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Strategy_Management\Local Departments, Data\Profiles\Profile Report SFY 2019\"/>
    </mc:Choice>
  </mc:AlternateContent>
  <bookViews>
    <workbookView xWindow="0" yWindow="0" windowWidth="19200" windowHeight="9960" tabRatio="590"/>
  </bookViews>
  <sheets>
    <sheet name="Profile" sheetId="1" r:id="rId1"/>
    <sheet name="Spending By Region" sheetId="123" r:id="rId2"/>
    <sheet name="Social Svcs Spending Summary" sheetId="79" r:id="rId3"/>
    <sheet name="Data for Graphs" sheetId="108" r:id="rId4"/>
    <sheet name="Agency Level &amp; HR Policy" sheetId="69" r:id="rId5"/>
    <sheet name="IT Support" sheetId="68" r:id="rId6"/>
    <sheet name="2018 Population" sheetId="84" r:id="rId7"/>
    <sheet name="Poverty Estimates" sheetId="100" r:id="rId8"/>
    <sheet name="Poverty_All ages" sheetId="86" r:id="rId9"/>
    <sheet name="Poverty_Child" sheetId="87" r:id="rId10"/>
    <sheet name="Income to Poverty Ratio" sheetId="97" state="hidden" r:id="rId11"/>
    <sheet name="Unemployment" sheetId="24" r:id="rId12"/>
    <sheet name="Non-marital births" sheetId="73" r:id="rId13"/>
    <sheet name="Teen births" sheetId="114" r:id="rId14"/>
    <sheet name="NM Births_Trend" sheetId="109" r:id="rId15"/>
    <sheet name="Teen Births_Trend" sheetId="113" r:id="rId16"/>
    <sheet name="Children in Single Parent Homes" sheetId="115" r:id="rId17"/>
    <sheet name="SNAP Clients by SFY-2005-2015" sheetId="31" state="hidden" r:id="rId18"/>
    <sheet name="SNAP Applications Received" sheetId="133" r:id="rId19"/>
    <sheet name="SNAP Applications Disposed" sheetId="129" r:id="rId20"/>
    <sheet name="TANF Applications Received" sheetId="134" r:id="rId21"/>
    <sheet name="TANF Applications Disposed" sheetId="128" r:id="rId22"/>
    <sheet name="Medicaid Applications Received" sheetId="135" r:id="rId23"/>
    <sheet name="Medicaid Applications Disposed" sheetId="130" r:id="rId24"/>
    <sheet name="Child Care Application Received" sheetId="136" r:id="rId25"/>
    <sheet name="Child Care Application Disposed" sheetId="131" r:id="rId26"/>
    <sheet name="SNAP Clients_Annual" sheetId="125" r:id="rId27"/>
    <sheet name="TANF Clients by SFY" sheetId="32" state="hidden" r:id="rId28"/>
    <sheet name="TANF Clients_Annual" sheetId="126" r:id="rId29"/>
    <sheet name="Medicaid Clients by SFY" sheetId="89" state="hidden" r:id="rId30"/>
    <sheet name="Medicaid Clients_Annual" sheetId="127" r:id="rId31"/>
    <sheet name="Benefit Clients_Annual" sheetId="94" r:id="rId32"/>
    <sheet name="Child Care_Annual" sheetId="138" r:id="rId33"/>
    <sheet name="TANF Cases - Annual" sheetId="110" r:id="rId34"/>
    <sheet name="SNAP Cases - Annual" sheetId="111" r:id="rId35"/>
    <sheet name="Medicaid Cases- Annual" sheetId="112" r:id="rId36"/>
    <sheet name="EA Cases - Annual" sheetId="106" r:id="rId37"/>
    <sheet name="Child Care Cases - Annual" sheetId="120" state="hidden" r:id="rId38"/>
    <sheet name="SNAP Client Demographics" sheetId="49" r:id="rId39"/>
    <sheet name="TANF Client Demographics" sheetId="102" r:id="rId40"/>
    <sheet name="MA Client Demographics" sheetId="103" r:id="rId41"/>
    <sheet name="Hispanic Adjustment" sheetId="95" state="hidden" r:id="rId42"/>
    <sheet name="Child Care Client Demographics" sheetId="137" r:id="rId43"/>
    <sheet name="Benefit Client Demographics" sheetId="104" r:id="rId44"/>
    <sheet name="Child Welfare Caseload" sheetId="132" state="hidden" r:id="rId45"/>
    <sheet name="Children in Foster Care" sheetId="6" r:id="rId46"/>
    <sheet name="Adoption Child by Race" sheetId="63" state="hidden" r:id="rId47"/>
    <sheet name="Adopted Children" sheetId="122" r:id="rId48"/>
    <sheet name="Adoption Subsidies" sheetId="96" r:id="rId49"/>
    <sheet name="APS Reports" sheetId="91" r:id="rId50"/>
    <sheet name="CPS Referrals" sheetId="92" r:id="rId51"/>
    <sheet name="Compare Recipients Census Med" sheetId="39" state="hidden" r:id="rId52"/>
    <sheet name="Compare Recipients Census SNAP" sheetId="40" state="hidden" r:id="rId53"/>
    <sheet name="Compare Recipients Census TANF" sheetId="41" state="hidden" r:id="rId54"/>
    <sheet name="Adoption Counts Summed SFY 2010" sheetId="38" state="hidden" r:id="rId55"/>
    <sheet name="CPS Ref Child Demo 2010 (2)" sheetId="36" state="hidden" r:id="rId56"/>
    <sheet name="Administration LASER" sheetId="53" r:id="rId57"/>
    <sheet name="Other Oper Exp. LASER" sheetId="55" r:id="rId58"/>
    <sheet name="Client Services LASER" sheetId="56" r:id="rId59"/>
    <sheet name="CSA LASER" sheetId="117" r:id="rId60"/>
    <sheet name="Medicaid &amp; FAMIS - LASER" sheetId="57" r:id="rId61"/>
    <sheet name="SNAP LASER" sheetId="58" r:id="rId62"/>
    <sheet name="Energy Assistance LASER" sheetId="59" r:id="rId63"/>
    <sheet name="TANF LASER" sheetId="61" r:id="rId64"/>
    <sheet name="ChildCare LASER" sheetId="101" r:id="rId65"/>
    <sheet name="FC &amp; Adoptions LASER" sheetId="60" r:id="rId66"/>
    <sheet name="Other Benefits LASER" sheetId="62" r:id="rId67"/>
    <sheet name="Statewide Benefits" sheetId="118" r:id="rId68"/>
    <sheet name="Medicaid Clients" sheetId="46" state="hidden" r:id="rId69"/>
    <sheet name="Staffing" sheetId="85" r:id="rId70"/>
    <sheet name="Children in Single-Parent Homes" sheetId="72" state="hidden" r:id="rId71"/>
    <sheet name="Married Parent Households" sheetId="75" state="hidden" r:id="rId72"/>
    <sheet name="SNAP Participation Rate" sheetId="10" state="hidden" r:id="rId73"/>
    <sheet name="AuxGrant" sheetId="90" state="hidden" r:id="rId74"/>
    <sheet name="Locality Name" sheetId="4" r:id="rId75"/>
    <sheet name="Password" sheetId="42" state="hidden" r:id="rId76"/>
    <sheet name="Region Name" sheetId="124" r:id="rId77"/>
  </sheets>
  <definedNames>
    <definedName name="_xlnm._FilterDatabase" localSheetId="6" hidden="1">'2018 Population'!$A$4:$D$125</definedName>
    <definedName name="_xlnm._FilterDatabase" localSheetId="56" hidden="1">'Administration LASER'!$A$3:$C$124</definedName>
    <definedName name="_xlnm._FilterDatabase" localSheetId="46" hidden="1">'Adoption Child by Race'!$A$3:$C$3</definedName>
    <definedName name="_xlnm._FilterDatabase" localSheetId="54" hidden="1">'Adoption Counts Summed SFY 2010'!$A$1:$F$125</definedName>
    <definedName name="_xlnm._FilterDatabase" localSheetId="48" hidden="1">'Adoption Subsidies'!$A$3:$C$3</definedName>
    <definedName name="_xlnm._FilterDatabase" localSheetId="4" hidden="1">'Agency Level &amp; HR Policy'!$A$3:$I$123</definedName>
    <definedName name="_xlnm._FilterDatabase" localSheetId="49" hidden="1">'APS Reports'!$A$4:$C$125</definedName>
    <definedName name="_xlnm._FilterDatabase" localSheetId="73" hidden="1">AuxGrant!$A$4:$C$4</definedName>
    <definedName name="_xlnm._FilterDatabase" localSheetId="31" hidden="1">'Benefit Clients_Annual'!$A$3:$C$3</definedName>
    <definedName name="_xlnm._FilterDatabase" localSheetId="64" hidden="1">'ChildCare LASER'!$A$3:$C$124</definedName>
    <definedName name="_xlnm._FilterDatabase" localSheetId="45" hidden="1">'Children in Foster Care'!$A$4:$C$4</definedName>
    <definedName name="_xlnm._FilterDatabase" localSheetId="16" hidden="1">'Children in Single Parent Homes'!$A$3:$C$124</definedName>
    <definedName name="_xlnm._FilterDatabase" localSheetId="58" hidden="1">'Client Services LASER'!$A$3:$B$3</definedName>
    <definedName name="_xlnm._FilterDatabase" localSheetId="51" hidden="1">'Compare Recipients Census Med'!$A$3:$Y$127</definedName>
    <definedName name="_xlnm._FilterDatabase" localSheetId="52" hidden="1">'Compare Recipients Census SNAP'!$A$3:$Y$127</definedName>
    <definedName name="_xlnm._FilterDatabase" localSheetId="53" hidden="1">'Compare Recipients Census TANF'!$A$3:$Y$127</definedName>
    <definedName name="_xlnm._FilterDatabase" localSheetId="55" hidden="1">'CPS Ref Child Demo 2010 (2)'!$B$4:$X$125</definedName>
    <definedName name="_xlnm._FilterDatabase" localSheetId="50" hidden="1">'CPS Referrals'!$A$3:$C$3</definedName>
    <definedName name="_xlnm._FilterDatabase" localSheetId="59" hidden="1">'CSA LASER'!$A$3:$I$124</definedName>
    <definedName name="_xlnm._FilterDatabase" localSheetId="36" hidden="1">'EA Cases - Annual'!$A$4:$C$125</definedName>
    <definedName name="_xlnm._FilterDatabase" localSheetId="62" hidden="1">'Energy Assistance LASER'!$A$3:$C$124</definedName>
    <definedName name="_xlnm._FilterDatabase" localSheetId="65" hidden="1">'FC &amp; Adoptions LASER'!$A$3:$C$124</definedName>
    <definedName name="_xlnm._FilterDatabase" localSheetId="5" hidden="1">'IT Support'!$A$3:$D$123</definedName>
    <definedName name="_xlnm._FilterDatabase" localSheetId="40" hidden="1">'MA Client Demographics'!$A$4:$C$4</definedName>
    <definedName name="_xlnm._FilterDatabase" localSheetId="60" hidden="1">'Medicaid &amp; FAMIS - LASER'!$A$3:$C$124</definedName>
    <definedName name="_xlnm._FilterDatabase" localSheetId="35" hidden="1">'Medicaid Cases- Annual'!$A$3:$C$3</definedName>
    <definedName name="_xlnm._FilterDatabase" localSheetId="29" hidden="1">'Medicaid Clients by SFY'!$A$3:$C$3</definedName>
    <definedName name="_xlnm._FilterDatabase" localSheetId="14" hidden="1">'NM Births_Trend'!$A$4:$C$125</definedName>
    <definedName name="_xlnm._FilterDatabase" localSheetId="12" hidden="1">'Non-marital births'!$A$4:$C$126</definedName>
    <definedName name="_xlnm._FilterDatabase" localSheetId="66" hidden="1">'Other Benefits LASER'!$A$3:$C$124</definedName>
    <definedName name="_xlnm._FilterDatabase" localSheetId="57" hidden="1">'Other Oper Exp. LASER'!$A$3:$C$124</definedName>
    <definedName name="_xlnm._FilterDatabase" localSheetId="7" hidden="1">'Poverty Estimates'!$A$4:$C$125</definedName>
    <definedName name="_xlnm._FilterDatabase" localSheetId="8" hidden="1">'Poverty_All ages'!$A$3:$C$3</definedName>
    <definedName name="_xlnm._FilterDatabase" localSheetId="9" hidden="1">Poverty_Child!$A$4:$C$4</definedName>
    <definedName name="_xlnm._FilterDatabase" localSheetId="34" hidden="1">'SNAP Cases - Annual'!$A$3:$C$3</definedName>
    <definedName name="_xlnm._FilterDatabase" localSheetId="38" hidden="1">'SNAP Client Demographics'!$A$4:$C$4</definedName>
    <definedName name="_xlnm._FilterDatabase" localSheetId="17" hidden="1">'SNAP Clients by SFY-2005-2015'!$A$3:$C$3</definedName>
    <definedName name="_xlnm._FilterDatabase" localSheetId="61" hidden="1">'SNAP LASER'!$A$3:$C$124</definedName>
    <definedName name="_xlnm._FilterDatabase" localSheetId="72" hidden="1">'SNAP Participation Rate'!$A$3:$C$3</definedName>
    <definedName name="_xlnm._FilterDatabase" localSheetId="2" hidden="1">'Social Svcs Spending Summary'!$A$4:$C$4</definedName>
    <definedName name="_xlnm._FilterDatabase" localSheetId="69" hidden="1">Staffing!$A$5:$C$5</definedName>
    <definedName name="_xlnm._FilterDatabase" localSheetId="33" hidden="1">'TANF Cases - Annual'!$A$3:$C$3</definedName>
    <definedName name="_xlnm._FilterDatabase" localSheetId="39" hidden="1">'TANF Client Demographics'!$A$4:$C$4</definedName>
    <definedName name="_xlnm._FilterDatabase" localSheetId="27" hidden="1">'TANF Clients by SFY'!$A$3:$C$3</definedName>
    <definedName name="_xlnm._FilterDatabase" localSheetId="63" hidden="1">'TANF LASER'!$A$3:$C$124</definedName>
    <definedName name="_xlnm._FilterDatabase" localSheetId="13" hidden="1">'Teen births'!$A$4:$C$125</definedName>
    <definedName name="_xlnm._FilterDatabase" localSheetId="15" hidden="1">'Teen Births_Trend'!$A$4:$C$125</definedName>
    <definedName name="_xlnm._FilterDatabase" localSheetId="11" hidden="1">Unemployment!$A$3:$C$124</definedName>
    <definedName name="Admin_Costs_LASER">'Administration LASER'!$A$4:$K$131</definedName>
    <definedName name="ADOP_AVG" localSheetId="51">'Compare Recipients Census Med'!$A$4:$M$124</definedName>
    <definedName name="ADOP_AVG" localSheetId="52">'Compare Recipients Census SNAP'!$A$4:$M$124</definedName>
    <definedName name="ADOP_AVG" localSheetId="53">'Compare Recipients Census TANF'!$A$4:$M$124</definedName>
    <definedName name="ADOP_AVG">'Adoption Counts Summed SFY 2010'!$A$2:$F$122</definedName>
    <definedName name="Adoption_Child_Demo" comment="Source: OASIS, VCWOR. For federal fiscal year (October through September).">'Adopted Children'!$A$4:AA$124</definedName>
    <definedName name="adoption_race" comment="Number of Foster Children Adopted, by Race of Child, FFY 2012">'Adoption Child by Race'!$A$3:$G$124</definedName>
    <definedName name="AdoptionServices" comment="As of February 1, 2015.">'Adoption Subsidies'!$A$4:$R$124</definedName>
    <definedName name="Agency_Level" comment="Agency Level (or Size), Board Type, and HR Policy/Practice Deviation">'Agency Level &amp; HR Policy'!$A$3:$I$123</definedName>
    <definedName name="APS_Reports" comment="Number of unduplicated APS reports, SFY 2018. Source: DARS">'APS Reports'!$A$3:$N$125</definedName>
    <definedName name="AuxGrant" comment="Auxiliary Grant Recipients, SFY 2012">AuxGrant!$A$3:$J$125</definedName>
    <definedName name="BenefitClient_Demo" comment="Source: VaCMS, Client Cross Program Locality Yearly Analysis. Unique count of clients who received SNAP, TANF, and/or Medicaid, by gender, age group, and race/ethnicity, CY 2017.">'Benefit Client Demographics'!$A$5:$Q$125</definedName>
    <definedName name="BenefitClnts_Annual" comment="Source: Data Warehouse, &quot;Client Cross Program Yearly Analysis&quot; (20112-2016 data comes from ADAPT, 2017-2018 data from VaCMS). Refers to participating (&quot;F00&quot;, &quot;A00&quot;) or eligible clients from SNAP, TANF and/or Medicaid. For state fiscal year.">'Benefit Clients_Annual'!$A$5:$K$124</definedName>
    <definedName name="cc_apps_disp" comment="Source: VDSS, Data Warehouse, &quot;Application Program Monthly Status Analysis.&quot; Data source is VaCMS. ">'Child Care Application Disposed'!$A$4:$P$124</definedName>
    <definedName name="cc_apps_recvd" comment="Source: VDSS, Data Warehouse, &quot;Application Program Monthly Status Analysis.&quot; Data source is VaCMS. ">'Child Care Application Received'!$A$4:$P$124</definedName>
    <definedName name="CCClient_Demo" comment="Source: VaCMS, Data Warehouse, &quot;Client Cross Program Yearly Analysis&quot;. Unduplicated count of clients with &quot;eligible&quot; status for CY 2017.">'Child Care Client Demographics'!$A$5:$Q$125</definedName>
    <definedName name="Child_SingleParentHH" comment="Source: U.S. Census Bureau, ACS 2013-2017 (5-Year Estimate), Table B090002">'Children in Single Parent Homes'!$A$4:$N$124</definedName>
    <definedName name="ChildCareClients_Annual" comment="Source: VaCMS, &quot;Children and Family Counts - Expenditure by Budget Line&quot;. Refers to children and families served by state fiscal year.">'Child Care_Annual'!$A$3:$Q$124</definedName>
    <definedName name="ChildCareFamilies" comment="Source: VaCMS. For 2014-2016, counts for state fiscal year are reported; for 2017, counts are for the calendar year.">'Child Care Cases - Annual'!$A$4:$G$124</definedName>
    <definedName name="ChildCareLASER">'ChildCare LASER'!$A$4:$K$131</definedName>
    <definedName name="Children_CPS_Referrals">'CPS Referrals'!$A$4:AA$124</definedName>
    <definedName name="Client_Svcs_LASER">'Client Services LASER'!$A$4:$K$131</definedName>
    <definedName name="CPSReferrals" comment="Number of children in CPS referrals by race and locality, SFY 2018.">'CPS Referrals'!$A$4:$AE$124</definedName>
    <definedName name="CSA_LASER">'CSA LASER'!$A$4:$I$131</definedName>
    <definedName name="EA_LASER">'Energy Assistance LASER'!$A$4:$I$131</definedName>
    <definedName name="EACases_Annual" comment="Energy Assistance Program Reports (from Data Warehouse, &quot;Case Counts Agency Summary Report&quot;). Reported by federal fiscal year for each program component (2013-2018).">'EA Cases - Annual'!$A$5:$AA$125</definedName>
    <definedName name="EAClients_FFY" comment="Unduplicated number of Energy Assistance clients served in each federal fiscal year.">#REF!</definedName>
    <definedName name="Employment" comment="Annual employment data for CY 2000 - 2017. Source: Virginia Employment Commission. Rates are not seasonally adjusted.">Unemployment!$A$4:$BH$130</definedName>
    <definedName name="FC_Adop_LASER">'FC &amp; Adoptions LASER'!$A$3:$J$131</definedName>
    <definedName name="FC_DEMO">'Children in Foster Care'!$A$5:$AG$125</definedName>
    <definedName name="FCMAP">'Children in Foster Care'!$A$6:$S$125</definedName>
    <definedName name="FIPS">'Locality Name'!$D$7:$E$128</definedName>
    <definedName name="FIPS_NUM">'Locality Name'!$C$8:$E$128</definedName>
    <definedName name="FIPSN">'Locality Name'!$C$9:$E$128</definedName>
    <definedName name="fs_caseload" comment="Source: VDSS, OASIS, &quot;Caseload&quot; Analysis (Data as of 8/1/2017). Includes CPS, CPS ongoing, early prevention, prevention &amp; support for families, foster care, adoption, post-adoption, and independent living cases.">'Child Welfare Caseload'!$A$5:$AX$125</definedName>
    <definedName name="IT_Support" comment="Level of IT Support">'IT Support'!$A$3:$D$123</definedName>
    <definedName name="Loc_Name">'Locality Name'!$D$9:$E$128</definedName>
    <definedName name="Locality">'Locality Name'!$D$9:$D$128</definedName>
    <definedName name="ma_apps_disp" comment="Source: VDSS, Data Warehouse, &quot;Application Program Monthly Status Analysis.&quot; Data source is VaCMS. ">'Medicaid Applications Disposed'!$A$4:$P$124</definedName>
    <definedName name="ma_apps_recvd" comment="Source: VDSS, Data Warehouse, &quot;Application Program Monthly Status Analysis.&quot; Data source is VaCMS. ">'Medicaid Applications Received'!$A$4:$P$124</definedName>
    <definedName name="MAClnts_Annual" comment="Source: Data Warehouse, Client Cross Program Yearly Analysis (2012-2016 data comes from ADAPT; 2017-2018 data from VaCMS). Refers to clients served in the state fiscal year.">'Medicaid Clients_Annual'!$A$4:$K$124</definedName>
    <definedName name="marriedcouples" comment="Percentage of households with couples with or without children who are married vs. cohabiting. Source: U.S. Census Bureau, 2010 Census, Summary File 1. Excludes same-sex couples.">'Married Parent Households'!$A$6:$Q$133</definedName>
    <definedName name="MarriedParentHouseholds" comment="Percentage of Couples who are Married vs. Cohabitating. Source: US Census Bureau, 2010 Census, Summary File 1. Excludes same-sex couple households.">'Married Parent Households'!$A$6:$Q$133</definedName>
    <definedName name="Medicaid_FAMIS_LASER">'Medicaid &amp; FAMIS - LASER'!$A$4:$O$131</definedName>
    <definedName name="MedicaidCases_Annual" comment="Source: MMIS (2010-2016 per state fiscal year); VaCMS (2017 - calendar year only). Unduplicated counts within locality and statewide. Statewide totals include enrollees from state mental hospitals. ">'Medicaid Cases- Annual'!$A$4:$M$124</definedName>
    <definedName name="MedicaidClient_Demo" comment="Source: VaCMS, Data Warehouse, &quot;Client Cross Program Yearly Analysis&quot;. Unduplicated count of clients with &quot;eligible&quot; status for CY 2017.">'MA Client Demographics'!$A$5:$Q$125</definedName>
    <definedName name="MedicaidClients" comment="Number of Medicaid Clients by State Fiscal Year. Unique counts are reported. Source: Data Warehouse Client Cross-Program Locality Yearly Analysis.">'Medicaid Clients by SFY'!$A$4:$J$124</definedName>
    <definedName name="NMBirths_Trend" comment="Percentage of live births that are non-marital, 1998-2015. Source: VDH, Center for Health Statistics.">'NM Births_Trend'!$A$5:$BP$131</definedName>
    <definedName name="NonMaritalBirths" comment="Non-marital births and percentage rate, 2016. Source: Virginia Department of Health, Vital Records data.">'Non-marital births'!$A$6:$O$132</definedName>
    <definedName name="OT_BENE_LASER">'Other Benefits LASER'!$A$3:$J$131</definedName>
    <definedName name="OT_EXP_LASER_2013">'Other Oper Exp. LASER'!$A$4:$K$131</definedName>
    <definedName name="Other_Oper_Exp_LASER">'Other Oper Exp. LASER'!$A$4:$K$131</definedName>
    <definedName name="Pop_Estimates" comment="Source: U.S. Census Bureau, Population Division. Estimates formated by the UVA Weldon Cooper Center, Demographics Research Group.">'2018 Population'!$A$3:$AG$131</definedName>
    <definedName name="Poverty" comment="Source: U.S. Census Bureau, Small Area Income and Poverty Estimates. Estimates come from model-based calculations using the 2009-2013 American Community Survey (5-Year Estimates). Universe excludes people living in group quarters.">'Poverty Estimates'!$A$5:$L$131</definedName>
    <definedName name="Poverty_AllAges" comment="Poverty rate (%) among people of all ages. Source: U.S. Census Bureau.">'Poverty_All ages'!$A$4:$AP$130</definedName>
    <definedName name="Poverty_Child" comment="Poverty rate (%) among children (0-17 years). Source: U.S. Census Bureau.">Poverty_Child!$A$5:$AP$132</definedName>
    <definedName name="_xlnm.Print_Area" localSheetId="45">'Children in Foster Care'!$A$6:$S$130</definedName>
    <definedName name="_xlnm.Print_Area" localSheetId="74">'Locality Name'!$B$9:$E$132</definedName>
    <definedName name="_xlnm.Print_Area" localSheetId="0">Profile!$A$1:$N$241</definedName>
    <definedName name="_xlnm.Print_Area" localSheetId="72">'SNAP Participation Rate'!$A$5:$J$131</definedName>
    <definedName name="_xlnm.Print_Area" localSheetId="1">'Spending By Region'!$A$1:$H$45</definedName>
    <definedName name="_xlnm.Print_Area" localSheetId="11">Unemployment!$A$5:$AJ$132</definedName>
    <definedName name="_xlnm.Print_Titles" localSheetId="45">'Children in Foster Care'!$1:$5</definedName>
    <definedName name="_xlnm.Print_Titles" localSheetId="0">Profile!$1:$4</definedName>
    <definedName name="_xlnm.Print_Titles" localSheetId="72">'SNAP Participation Rate'!$1:$4</definedName>
    <definedName name="_xlnm.Print_Titles" localSheetId="11">Unemployment!$3:$4</definedName>
    <definedName name="Region">'Region Name'!$A$1:$A$6</definedName>
    <definedName name="SingleParentHomes">'Children in Single-Parent Homes'!$A$6:$S$133</definedName>
    <definedName name="snap_apps_disp" comment="Source: VDSS, Data Warehouse, &quot;Application Program Monthly Status Analysis.&quot; Data source is VaCMS. ">'SNAP Applications Disposed'!$A$4:$P$124</definedName>
    <definedName name="snap_apps_recvd" comment="Source: VDSS, Data Warehouse, &quot;Application Program Monthly Status Analysis.&quot; Data source is VaCMS. ">'SNAP Applications Received'!$A$4:$P$124</definedName>
    <definedName name="SNAP_LASER">'SNAP LASER'!$A$4:$E$131</definedName>
    <definedName name="SNAP_RACE">'Locality Name'!$B$9:$E$129</definedName>
    <definedName name="SNAPCases_Annual" comment="Source: ADAPT (2010-2016, per state fiscal year); VaCMS (2017 - calendar year only). Unduplicated counts within locality and statewide.">'SNAP Cases - Annual'!$A$4:$M$124</definedName>
    <definedName name="SNAPClient_Demo" comment="Source: VaCMS, Data Warehouse, &quot;Client Cross Program Yearly Analysis&quot;. Unduplicated count of clients with &quot;eligible&quot; status for CY 2017.">'SNAP Client Demographics'!$A$5:$Q$125</definedName>
    <definedName name="SNAPClients">'SNAP Clients by SFY-2005-2015'!$A$4:$N$124</definedName>
    <definedName name="SNAPClnts_Yearly" comment="Source: Data Warehouse, &quot;Client Cross Program Yearly Analysis&quot; (2012-2016 comes from ADAPT; 2017-2018 comes from VaCMS). By state fiscal year. Only participating or eligible SNAP clients are counted.">'SNAP Clients_Annual'!$A$3:$K$124</definedName>
    <definedName name="Staffing" comment="Number of filled and unfilled positions. Source: Human Resources, Local Employment Tracking System (LETS). Data as of 9/30/2018 (report run on 10/1/2018).">Staffing!$A$6:$AJ$126</definedName>
    <definedName name="tanf_apps_disp" comment="Source: VDSS, Data Warehouse, &quot;Application Program Monthly Status Analysis.&quot; Data source is VaCMS. ">'TANF Applications Disposed'!$A$4:$P$124</definedName>
    <definedName name="tanf_apps_recvd" comment="Source: VDSS, Data Warehouse, &quot;Application Program Monthly Status Analysis.&quot; Data source is VaCMS. ">'TANF Applications Received'!$A$4:$P$124</definedName>
    <definedName name="TANF_LASER">'TANF LASER'!$A$4:$I$131</definedName>
    <definedName name="TANFCases_Annual" comment="Source: ADAPT (2010-2016 per state fiscal year); VaCMS (2017 - calendar year only). Unduplicated counts within locality and statewide.">'TANF Cases - Annual'!$A$4:$M$124</definedName>
    <definedName name="TANFClient_Demo" comment="Source: VaCMS, Data Warehouse, &quot;Client Cross Program Yearly Analysis&quot;. Unduplicated count of clients with &quot;eligible&quot; status for CY 2017.">'TANF Client Demographics'!$A$5:$Q$125</definedName>
    <definedName name="TANFClients" comment="TANF Client Caseload by SFY, 2005-2015. Source: ADAPT SFY Client Summary Analysis; Client Cross-Program Yearly Locality Count Analysis for 2009-2015.">'TANF Clients by SFY'!$A$4:$N$124</definedName>
    <definedName name="TANFClnts_Yearly" comment="Source: Data Warehouse, &quot;Client Cross Program Yearly Analysis&quot; (2012-2016 data comes from ADAPT; 2017-2018 data from VaCMS). Refers to participating or eligible clients served in the state fiscal year.">'TANF Clients_Annual'!$A$3:$K$124</definedName>
    <definedName name="TeenBirths" comment="Teen births and birth rates (per 1,000 pop.). Source: VDH, Center for Health Statiistics. Rates are age-specific (not age-adjusted).">'Teen births'!$5:$131</definedName>
    <definedName name="TeenBirths_Trend" comment="Teen birth rate (per 1,000) among female teens 10-19 years. Source: VDH, Center for Health Statistics. Rates are age-specific, not age-adjusted.">'Teen Births_Trend'!$A$5:$BP$131</definedName>
    <definedName name="YTD_EMP">Unemployment!#REF!</definedName>
  </definedNames>
  <calcPr calcId="162913"/>
</workbook>
</file>

<file path=xl/calcChain.xml><?xml version="1.0" encoding="utf-8"?>
<calcChain xmlns="http://schemas.openxmlformats.org/spreadsheetml/2006/main">
  <c r="G6" i="73" l="1"/>
  <c r="F6" i="73"/>
  <c r="E6" i="73"/>
  <c r="D6" i="73"/>
  <c r="F127" i="115" l="1"/>
  <c r="D127" i="115" s="1"/>
  <c r="F128" i="115"/>
  <c r="D128" i="115" s="1"/>
  <c r="F129" i="115"/>
  <c r="D129" i="115" s="1"/>
  <c r="F130" i="115"/>
  <c r="D130" i="115" s="1"/>
  <c r="F126" i="115"/>
  <c r="D126" i="115" s="1"/>
  <c r="H39" i="1" l="1"/>
  <c r="G39" i="1" l="1"/>
  <c r="I23" i="108" l="1"/>
  <c r="BP131" i="109"/>
  <c r="BP130" i="109"/>
  <c r="BP129" i="109"/>
  <c r="BP128" i="109"/>
  <c r="BP127" i="109"/>
  <c r="BP125" i="109"/>
  <c r="BP124" i="109"/>
  <c r="BP123" i="109"/>
  <c r="BP122" i="109"/>
  <c r="BP121" i="109"/>
  <c r="BP120" i="109"/>
  <c r="BP119" i="109"/>
  <c r="BP118" i="109"/>
  <c r="BP117" i="109"/>
  <c r="BP116" i="109"/>
  <c r="BP115" i="109"/>
  <c r="BP114" i="109"/>
  <c r="BP113" i="109"/>
  <c r="BP112" i="109"/>
  <c r="BP111" i="109"/>
  <c r="BP110" i="109"/>
  <c r="BP109" i="109"/>
  <c r="BP108" i="109"/>
  <c r="BP107" i="109"/>
  <c r="BP106" i="109"/>
  <c r="BP105" i="109"/>
  <c r="BP104" i="109"/>
  <c r="BP103" i="109"/>
  <c r="BP102" i="109"/>
  <c r="BP101" i="109"/>
  <c r="BP100" i="109"/>
  <c r="BP99" i="109"/>
  <c r="BP98" i="109"/>
  <c r="BP97" i="109"/>
  <c r="BP96" i="109"/>
  <c r="BP95" i="109"/>
  <c r="BP94" i="109"/>
  <c r="BP93" i="109"/>
  <c r="BP92" i="109"/>
  <c r="BP91" i="109"/>
  <c r="BP90" i="109"/>
  <c r="BP89" i="109"/>
  <c r="BP88" i="109"/>
  <c r="BP87" i="109"/>
  <c r="BP86" i="109"/>
  <c r="BP85" i="109"/>
  <c r="BP84" i="109"/>
  <c r="BP83" i="109"/>
  <c r="BP82" i="109"/>
  <c r="BP81" i="109"/>
  <c r="BP80" i="109"/>
  <c r="BP79" i="109"/>
  <c r="BP78" i="109"/>
  <c r="BP77" i="109"/>
  <c r="BP76" i="109"/>
  <c r="BP75" i="109"/>
  <c r="BP74" i="109"/>
  <c r="BP73" i="109"/>
  <c r="BP72" i="109"/>
  <c r="BP71" i="109"/>
  <c r="BP70" i="109"/>
  <c r="BP69" i="109"/>
  <c r="BP68" i="109"/>
  <c r="BP67" i="109"/>
  <c r="BP66" i="109"/>
  <c r="BP65" i="109"/>
  <c r="BP64" i="109"/>
  <c r="BP63" i="109"/>
  <c r="BP62" i="109"/>
  <c r="BP61" i="109"/>
  <c r="BP60" i="109"/>
  <c r="BP59" i="109"/>
  <c r="BP58" i="109"/>
  <c r="BP57" i="109"/>
  <c r="BP56" i="109"/>
  <c r="BP55" i="109"/>
  <c r="BP54" i="109"/>
  <c r="BP53" i="109"/>
  <c r="BP52" i="109"/>
  <c r="BP51" i="109"/>
  <c r="BP50" i="109"/>
  <c r="BP49" i="109"/>
  <c r="BP48" i="109"/>
  <c r="BP47" i="109"/>
  <c r="BP46" i="109"/>
  <c r="BP45" i="109"/>
  <c r="BP44" i="109"/>
  <c r="BP43" i="109"/>
  <c r="BP42" i="109"/>
  <c r="BP41" i="109"/>
  <c r="BP40" i="109"/>
  <c r="BP39" i="109"/>
  <c r="BP38" i="109"/>
  <c r="BP37" i="109"/>
  <c r="BP36" i="109"/>
  <c r="BP35" i="109"/>
  <c r="BP34" i="109"/>
  <c r="BP33" i="109"/>
  <c r="BP32" i="109"/>
  <c r="BP31" i="109"/>
  <c r="BP30" i="109"/>
  <c r="BP29" i="109"/>
  <c r="BP28" i="109"/>
  <c r="BP27" i="109"/>
  <c r="BP26" i="109"/>
  <c r="BP25" i="109"/>
  <c r="BP24" i="109"/>
  <c r="BP23" i="109"/>
  <c r="BP22" i="109"/>
  <c r="BP21" i="109"/>
  <c r="BP20" i="109"/>
  <c r="BP19" i="109"/>
  <c r="BP18" i="109"/>
  <c r="BP17" i="109"/>
  <c r="BP16" i="109"/>
  <c r="BP15" i="109"/>
  <c r="BP14" i="109"/>
  <c r="BP13" i="109"/>
  <c r="BP12" i="109"/>
  <c r="BP11" i="109"/>
  <c r="BP10" i="109"/>
  <c r="BP9" i="109"/>
  <c r="BP8" i="109"/>
  <c r="BP7" i="109"/>
  <c r="BP6" i="109"/>
  <c r="BP131" i="113"/>
  <c r="BP130" i="113"/>
  <c r="BP129" i="113"/>
  <c r="BP128" i="113"/>
  <c r="BP127" i="113"/>
  <c r="BP125" i="113"/>
  <c r="BP124" i="113"/>
  <c r="BP123" i="113"/>
  <c r="BP122" i="113"/>
  <c r="BP121" i="113"/>
  <c r="BP120" i="113"/>
  <c r="BP119" i="113"/>
  <c r="BP118" i="113"/>
  <c r="BP117" i="113"/>
  <c r="BP116" i="113"/>
  <c r="BP115" i="113"/>
  <c r="BP114" i="113"/>
  <c r="BP113" i="113"/>
  <c r="BP112" i="113"/>
  <c r="BP111" i="113"/>
  <c r="BP110" i="113"/>
  <c r="BP109" i="113"/>
  <c r="BP108" i="113"/>
  <c r="BP107" i="113"/>
  <c r="BP106" i="113"/>
  <c r="BP105" i="113"/>
  <c r="BP104" i="113"/>
  <c r="BP103" i="113"/>
  <c r="BP102" i="113"/>
  <c r="BP101" i="113"/>
  <c r="BP100" i="113"/>
  <c r="BP99" i="113"/>
  <c r="BP98" i="113"/>
  <c r="BP97" i="113"/>
  <c r="BP96" i="113"/>
  <c r="BP95" i="113"/>
  <c r="BP94" i="113"/>
  <c r="BP93" i="113"/>
  <c r="BP92" i="113"/>
  <c r="BP91" i="113"/>
  <c r="BP90" i="113"/>
  <c r="BP89" i="113"/>
  <c r="BP88" i="113"/>
  <c r="BP87" i="113"/>
  <c r="BP86" i="113"/>
  <c r="BP85" i="113"/>
  <c r="BP84" i="113"/>
  <c r="BP83" i="113"/>
  <c r="BP82" i="113"/>
  <c r="BP81" i="113"/>
  <c r="BP80" i="113"/>
  <c r="BP79" i="113"/>
  <c r="BP78" i="113"/>
  <c r="BP77" i="113"/>
  <c r="BP76" i="113"/>
  <c r="BP75" i="113"/>
  <c r="BP74" i="113"/>
  <c r="BP73" i="113"/>
  <c r="BP72" i="113"/>
  <c r="BP71" i="113"/>
  <c r="BP70" i="113"/>
  <c r="BP69" i="113"/>
  <c r="BP68" i="113"/>
  <c r="BP67" i="113"/>
  <c r="BP66" i="113"/>
  <c r="BP65" i="113"/>
  <c r="BP64" i="113"/>
  <c r="BP63" i="113"/>
  <c r="BP62" i="113"/>
  <c r="BP61" i="113"/>
  <c r="BP60" i="113"/>
  <c r="BP59" i="113"/>
  <c r="BP58" i="113"/>
  <c r="BP57" i="113"/>
  <c r="BP56" i="113"/>
  <c r="BP55" i="113"/>
  <c r="BP54" i="113"/>
  <c r="BP53" i="113"/>
  <c r="BP52" i="113"/>
  <c r="BP51" i="113"/>
  <c r="BP50" i="113"/>
  <c r="BP49" i="113"/>
  <c r="BP48" i="113"/>
  <c r="BP47" i="113"/>
  <c r="BP46" i="113"/>
  <c r="BP45" i="113"/>
  <c r="BP44" i="113"/>
  <c r="BP43" i="113"/>
  <c r="BP42" i="113"/>
  <c r="BP41" i="113"/>
  <c r="BP40" i="113"/>
  <c r="BP39" i="113"/>
  <c r="BP38" i="113"/>
  <c r="BP37" i="113"/>
  <c r="BP36" i="113"/>
  <c r="BP35" i="113"/>
  <c r="BP34" i="113"/>
  <c r="BP33" i="113"/>
  <c r="BP32" i="113"/>
  <c r="BP31" i="113"/>
  <c r="BP30" i="113"/>
  <c r="BP29" i="113"/>
  <c r="BP28" i="113"/>
  <c r="BP27" i="113"/>
  <c r="BP26" i="113"/>
  <c r="BP25" i="113"/>
  <c r="BP24" i="113"/>
  <c r="BP23" i="113"/>
  <c r="BP22" i="113"/>
  <c r="BP21" i="113"/>
  <c r="BP20" i="113"/>
  <c r="BP19" i="113"/>
  <c r="BP18" i="113"/>
  <c r="BP17" i="113"/>
  <c r="BP16" i="113"/>
  <c r="BP15" i="113"/>
  <c r="BP14" i="113"/>
  <c r="BP13" i="113"/>
  <c r="BP12" i="113"/>
  <c r="BP11" i="113"/>
  <c r="BP10" i="113"/>
  <c r="BP9" i="113"/>
  <c r="BP8" i="113"/>
  <c r="BP7" i="113"/>
  <c r="BP6" i="113"/>
  <c r="BP5" i="113"/>
  <c r="X5" i="109" l="1"/>
  <c r="BP5" i="109" s="1"/>
  <c r="D23" i="108" s="1"/>
  <c r="AT5" i="109"/>
  <c r="K6" i="73"/>
  <c r="J6" i="73"/>
  <c r="I6" i="73"/>
  <c r="H6" i="73"/>
  <c r="G21" i="1" l="1"/>
  <c r="G20" i="1"/>
  <c r="G19" i="1"/>
  <c r="G18" i="1"/>
  <c r="G17" i="1"/>
  <c r="G16" i="1"/>
  <c r="G15" i="1"/>
  <c r="G14" i="1"/>
  <c r="G13" i="1"/>
  <c r="G12" i="1"/>
  <c r="G11" i="1"/>
  <c r="AG131" i="84" l="1"/>
  <c r="AB131" i="84"/>
  <c r="AA131" i="84"/>
  <c r="Z131" i="84"/>
  <c r="Y131" i="84"/>
  <c r="X131" i="84"/>
  <c r="W131" i="84"/>
  <c r="V131" i="84"/>
  <c r="O131" i="84"/>
  <c r="AE131" i="84" s="1"/>
  <c r="N131" i="84"/>
  <c r="AD131" i="84" s="1"/>
  <c r="M131" i="84"/>
  <c r="AC131" i="84" s="1"/>
  <c r="AG130" i="84"/>
  <c r="AB130" i="84"/>
  <c r="AA130" i="84"/>
  <c r="Z130" i="84"/>
  <c r="Y130" i="84"/>
  <c r="X130" i="84"/>
  <c r="W130" i="84"/>
  <c r="V130" i="84"/>
  <c r="O130" i="84"/>
  <c r="AE130" i="84" s="1"/>
  <c r="N130" i="84"/>
  <c r="AD130" i="84" s="1"/>
  <c r="M130" i="84"/>
  <c r="AC130" i="84" s="1"/>
  <c r="AG129" i="84"/>
  <c r="AB129" i="84"/>
  <c r="AA129" i="84"/>
  <c r="Z129" i="84"/>
  <c r="Y129" i="84"/>
  <c r="X129" i="84"/>
  <c r="W129" i="84"/>
  <c r="V129" i="84"/>
  <c r="O129" i="84"/>
  <c r="AE129" i="84" s="1"/>
  <c r="N129" i="84"/>
  <c r="AD129" i="84" s="1"/>
  <c r="M129" i="84"/>
  <c r="AC129" i="84" s="1"/>
  <c r="AG128" i="84"/>
  <c r="AB128" i="84"/>
  <c r="AA128" i="84"/>
  <c r="Z128" i="84"/>
  <c r="Y128" i="84"/>
  <c r="X128" i="84"/>
  <c r="W128" i="84"/>
  <c r="V128" i="84"/>
  <c r="O128" i="84"/>
  <c r="AE128" i="84" s="1"/>
  <c r="N128" i="84"/>
  <c r="AD128" i="84" s="1"/>
  <c r="M128" i="84"/>
  <c r="AC128" i="84" s="1"/>
  <c r="AG127" i="84"/>
  <c r="AB127" i="84"/>
  <c r="AA127" i="84"/>
  <c r="Z127" i="84"/>
  <c r="Y127" i="84"/>
  <c r="X127" i="84"/>
  <c r="W127" i="84"/>
  <c r="V127" i="84"/>
  <c r="O127" i="84"/>
  <c r="AE127" i="84" s="1"/>
  <c r="N127" i="84"/>
  <c r="AD127" i="84" s="1"/>
  <c r="M127" i="84"/>
  <c r="AC127" i="84" s="1"/>
  <c r="AG125" i="84"/>
  <c r="AB125" i="84"/>
  <c r="AA125" i="84"/>
  <c r="Z125" i="84"/>
  <c r="Y125" i="84"/>
  <c r="X125" i="84"/>
  <c r="W125" i="84"/>
  <c r="V125" i="84"/>
  <c r="O125" i="84"/>
  <c r="AE125" i="84" s="1"/>
  <c r="N125" i="84"/>
  <c r="AD125" i="84" s="1"/>
  <c r="M125" i="84"/>
  <c r="AC125" i="84" s="1"/>
  <c r="AG124" i="84"/>
  <c r="AB124" i="84"/>
  <c r="AA124" i="84"/>
  <c r="Z124" i="84"/>
  <c r="Y124" i="84"/>
  <c r="X124" i="84"/>
  <c r="W124" i="84"/>
  <c r="V124" i="84"/>
  <c r="O124" i="84"/>
  <c r="AE124" i="84" s="1"/>
  <c r="N124" i="84"/>
  <c r="AD124" i="84" s="1"/>
  <c r="M124" i="84"/>
  <c r="AC124" i="84" s="1"/>
  <c r="AG123" i="84"/>
  <c r="AB123" i="84"/>
  <c r="AA123" i="84"/>
  <c r="Z123" i="84"/>
  <c r="Y123" i="84"/>
  <c r="X123" i="84"/>
  <c r="W123" i="84"/>
  <c r="V123" i="84"/>
  <c r="O123" i="84"/>
  <c r="AE123" i="84" s="1"/>
  <c r="N123" i="84"/>
  <c r="AD123" i="84" s="1"/>
  <c r="M123" i="84"/>
  <c r="AC123" i="84" s="1"/>
  <c r="AG122" i="84"/>
  <c r="AB122" i="84"/>
  <c r="AA122" i="84"/>
  <c r="Z122" i="84"/>
  <c r="Y122" i="84"/>
  <c r="X122" i="84"/>
  <c r="W122" i="84"/>
  <c r="V122" i="84"/>
  <c r="O122" i="84"/>
  <c r="AE122" i="84" s="1"/>
  <c r="N122" i="84"/>
  <c r="AD122" i="84" s="1"/>
  <c r="M122" i="84"/>
  <c r="AC122" i="84" s="1"/>
  <c r="AG121" i="84"/>
  <c r="AB121" i="84"/>
  <c r="AA121" i="84"/>
  <c r="Z121" i="84"/>
  <c r="Y121" i="84"/>
  <c r="X121" i="84"/>
  <c r="W121" i="84"/>
  <c r="V121" i="84"/>
  <c r="O121" i="84"/>
  <c r="AE121" i="84" s="1"/>
  <c r="N121" i="84"/>
  <c r="AD121" i="84" s="1"/>
  <c r="M121" i="84"/>
  <c r="AC121" i="84" s="1"/>
  <c r="AG120" i="84"/>
  <c r="AB120" i="84"/>
  <c r="AA120" i="84"/>
  <c r="Z120" i="84"/>
  <c r="Y120" i="84"/>
  <c r="X120" i="84"/>
  <c r="W120" i="84"/>
  <c r="V120" i="84"/>
  <c r="O120" i="84"/>
  <c r="AE120" i="84" s="1"/>
  <c r="N120" i="84"/>
  <c r="AD120" i="84" s="1"/>
  <c r="M120" i="84"/>
  <c r="AC120" i="84" s="1"/>
  <c r="AG119" i="84"/>
  <c r="AB119" i="84"/>
  <c r="AA119" i="84"/>
  <c r="Z119" i="84"/>
  <c r="Y119" i="84"/>
  <c r="X119" i="84"/>
  <c r="W119" i="84"/>
  <c r="V119" i="84"/>
  <c r="O119" i="84"/>
  <c r="AE119" i="84" s="1"/>
  <c r="N119" i="84"/>
  <c r="AD119" i="84" s="1"/>
  <c r="M119" i="84"/>
  <c r="AC119" i="84" s="1"/>
  <c r="AG118" i="84"/>
  <c r="AB118" i="84"/>
  <c r="AA118" i="84"/>
  <c r="Z118" i="84"/>
  <c r="Y118" i="84"/>
  <c r="X118" i="84"/>
  <c r="W118" i="84"/>
  <c r="V118" i="84"/>
  <c r="O118" i="84"/>
  <c r="AE118" i="84" s="1"/>
  <c r="N118" i="84"/>
  <c r="AD118" i="84" s="1"/>
  <c r="M118" i="84"/>
  <c r="AC118" i="84" s="1"/>
  <c r="AG117" i="84"/>
  <c r="AB117" i="84"/>
  <c r="AA117" i="84"/>
  <c r="Z117" i="84"/>
  <c r="Y117" i="84"/>
  <c r="X117" i="84"/>
  <c r="W117" i="84"/>
  <c r="V117" i="84"/>
  <c r="O117" i="84"/>
  <c r="AE117" i="84" s="1"/>
  <c r="N117" i="84"/>
  <c r="AD117" i="84" s="1"/>
  <c r="M117" i="84"/>
  <c r="AC117" i="84" s="1"/>
  <c r="AG116" i="84"/>
  <c r="AB116" i="84"/>
  <c r="AA116" i="84"/>
  <c r="Z116" i="84"/>
  <c r="Y116" i="84"/>
  <c r="X116" i="84"/>
  <c r="W116" i="84"/>
  <c r="V116" i="84"/>
  <c r="O116" i="84"/>
  <c r="AE116" i="84" s="1"/>
  <c r="N116" i="84"/>
  <c r="AD116" i="84" s="1"/>
  <c r="M116" i="84"/>
  <c r="AC116" i="84" s="1"/>
  <c r="AG115" i="84"/>
  <c r="AB115" i="84"/>
  <c r="AA115" i="84"/>
  <c r="Z115" i="84"/>
  <c r="Y115" i="84"/>
  <c r="X115" i="84"/>
  <c r="W115" i="84"/>
  <c r="V115" i="84"/>
  <c r="O115" i="84"/>
  <c r="AE115" i="84" s="1"/>
  <c r="N115" i="84"/>
  <c r="AD115" i="84" s="1"/>
  <c r="M115" i="84"/>
  <c r="AC115" i="84" s="1"/>
  <c r="AG114" i="84"/>
  <c r="AB114" i="84"/>
  <c r="AA114" i="84"/>
  <c r="Z114" i="84"/>
  <c r="Y114" i="84"/>
  <c r="X114" i="84"/>
  <c r="W114" i="84"/>
  <c r="V114" i="84"/>
  <c r="O114" i="84"/>
  <c r="AE114" i="84" s="1"/>
  <c r="N114" i="84"/>
  <c r="AD114" i="84" s="1"/>
  <c r="M114" i="84"/>
  <c r="AC114" i="84" s="1"/>
  <c r="AG113" i="84"/>
  <c r="AB113" i="84"/>
  <c r="AA113" i="84"/>
  <c r="Z113" i="84"/>
  <c r="Y113" i="84"/>
  <c r="X113" i="84"/>
  <c r="W113" i="84"/>
  <c r="V113" i="84"/>
  <c r="O113" i="84"/>
  <c r="AE113" i="84" s="1"/>
  <c r="N113" i="84"/>
  <c r="AD113" i="84" s="1"/>
  <c r="M113" i="84"/>
  <c r="AC113" i="84" s="1"/>
  <c r="AG112" i="84"/>
  <c r="AB112" i="84"/>
  <c r="AA112" i="84"/>
  <c r="Z112" i="84"/>
  <c r="Y112" i="84"/>
  <c r="X112" i="84"/>
  <c r="W112" i="84"/>
  <c r="V112" i="84"/>
  <c r="O112" i="84"/>
  <c r="AE112" i="84" s="1"/>
  <c r="N112" i="84"/>
  <c r="AD112" i="84" s="1"/>
  <c r="M112" i="84"/>
  <c r="AC112" i="84" s="1"/>
  <c r="AG111" i="84"/>
  <c r="AB111" i="84"/>
  <c r="AA111" i="84"/>
  <c r="Z111" i="84"/>
  <c r="Y111" i="84"/>
  <c r="X111" i="84"/>
  <c r="W111" i="84"/>
  <c r="V111" i="84"/>
  <c r="O111" i="84"/>
  <c r="AE111" i="84" s="1"/>
  <c r="N111" i="84"/>
  <c r="AD111" i="84" s="1"/>
  <c r="M111" i="84"/>
  <c r="AC111" i="84" s="1"/>
  <c r="AG110" i="84"/>
  <c r="AB110" i="84"/>
  <c r="AA110" i="84"/>
  <c r="Z110" i="84"/>
  <c r="Y110" i="84"/>
  <c r="X110" i="84"/>
  <c r="W110" i="84"/>
  <c r="V110" i="84"/>
  <c r="O110" i="84"/>
  <c r="AE110" i="84" s="1"/>
  <c r="N110" i="84"/>
  <c r="AD110" i="84" s="1"/>
  <c r="M110" i="84"/>
  <c r="AC110" i="84" s="1"/>
  <c r="AG109" i="84"/>
  <c r="AB109" i="84"/>
  <c r="AA109" i="84"/>
  <c r="Z109" i="84"/>
  <c r="Y109" i="84"/>
  <c r="X109" i="84"/>
  <c r="W109" i="84"/>
  <c r="V109" i="84"/>
  <c r="O109" i="84"/>
  <c r="AE109" i="84" s="1"/>
  <c r="N109" i="84"/>
  <c r="AD109" i="84" s="1"/>
  <c r="M109" i="84"/>
  <c r="AC109" i="84" s="1"/>
  <c r="AG108" i="84"/>
  <c r="AB108" i="84"/>
  <c r="AA108" i="84"/>
  <c r="Z108" i="84"/>
  <c r="Y108" i="84"/>
  <c r="X108" i="84"/>
  <c r="W108" i="84"/>
  <c r="V108" i="84"/>
  <c r="O108" i="84"/>
  <c r="AE108" i="84" s="1"/>
  <c r="N108" i="84"/>
  <c r="AD108" i="84" s="1"/>
  <c r="M108" i="84"/>
  <c r="AC108" i="84" s="1"/>
  <c r="AG107" i="84"/>
  <c r="AB107" i="84"/>
  <c r="AA107" i="84"/>
  <c r="Z107" i="84"/>
  <c r="Y107" i="84"/>
  <c r="X107" i="84"/>
  <c r="W107" i="84"/>
  <c r="V107" i="84"/>
  <c r="O107" i="84"/>
  <c r="AE107" i="84" s="1"/>
  <c r="N107" i="84"/>
  <c r="AD107" i="84" s="1"/>
  <c r="M107" i="84"/>
  <c r="AC107" i="84" s="1"/>
  <c r="AG106" i="84"/>
  <c r="AB106" i="84"/>
  <c r="AA106" i="84"/>
  <c r="Z106" i="84"/>
  <c r="Y106" i="84"/>
  <c r="X106" i="84"/>
  <c r="W106" i="84"/>
  <c r="V106" i="84"/>
  <c r="O106" i="84"/>
  <c r="AE106" i="84" s="1"/>
  <c r="N106" i="84"/>
  <c r="AD106" i="84" s="1"/>
  <c r="M106" i="84"/>
  <c r="AC106" i="84" s="1"/>
  <c r="AG105" i="84"/>
  <c r="AB105" i="84"/>
  <c r="AA105" i="84"/>
  <c r="Z105" i="84"/>
  <c r="Y105" i="84"/>
  <c r="X105" i="84"/>
  <c r="W105" i="84"/>
  <c r="V105" i="84"/>
  <c r="O105" i="84"/>
  <c r="AE105" i="84" s="1"/>
  <c r="N105" i="84"/>
  <c r="AD105" i="84" s="1"/>
  <c r="M105" i="84"/>
  <c r="AC105" i="84" s="1"/>
  <c r="AG104" i="84"/>
  <c r="AB104" i="84"/>
  <c r="AA104" i="84"/>
  <c r="Z104" i="84"/>
  <c r="Y104" i="84"/>
  <c r="X104" i="84"/>
  <c r="W104" i="84"/>
  <c r="V104" i="84"/>
  <c r="O104" i="84"/>
  <c r="AE104" i="84" s="1"/>
  <c r="N104" i="84"/>
  <c r="AD104" i="84" s="1"/>
  <c r="M104" i="84"/>
  <c r="AC104" i="84" s="1"/>
  <c r="AG103" i="84"/>
  <c r="AB103" i="84"/>
  <c r="AA103" i="84"/>
  <c r="Z103" i="84"/>
  <c r="Y103" i="84"/>
  <c r="X103" i="84"/>
  <c r="W103" i="84"/>
  <c r="V103" i="84"/>
  <c r="O103" i="84"/>
  <c r="AE103" i="84" s="1"/>
  <c r="N103" i="84"/>
  <c r="AD103" i="84" s="1"/>
  <c r="M103" i="84"/>
  <c r="AC103" i="84" s="1"/>
  <c r="AG102" i="84"/>
  <c r="AB102" i="84"/>
  <c r="AA102" i="84"/>
  <c r="Z102" i="84"/>
  <c r="Y102" i="84"/>
  <c r="X102" i="84"/>
  <c r="W102" i="84"/>
  <c r="V102" i="84"/>
  <c r="O102" i="84"/>
  <c r="AE102" i="84" s="1"/>
  <c r="N102" i="84"/>
  <c r="AD102" i="84" s="1"/>
  <c r="M102" i="84"/>
  <c r="AC102" i="84" s="1"/>
  <c r="AG101" i="84"/>
  <c r="AB101" i="84"/>
  <c r="AA101" i="84"/>
  <c r="Z101" i="84"/>
  <c r="Y101" i="84"/>
  <c r="X101" i="84"/>
  <c r="W101" i="84"/>
  <c r="V101" i="84"/>
  <c r="O101" i="84"/>
  <c r="AE101" i="84" s="1"/>
  <c r="N101" i="84"/>
  <c r="AD101" i="84" s="1"/>
  <c r="M101" i="84"/>
  <c r="AC101" i="84" s="1"/>
  <c r="AG100" i="84"/>
  <c r="AB100" i="84"/>
  <c r="AA100" i="84"/>
  <c r="Z100" i="84"/>
  <c r="Y100" i="84"/>
  <c r="X100" i="84"/>
  <c r="W100" i="84"/>
  <c r="V100" i="84"/>
  <c r="O100" i="84"/>
  <c r="AE100" i="84" s="1"/>
  <c r="N100" i="84"/>
  <c r="AD100" i="84" s="1"/>
  <c r="M100" i="84"/>
  <c r="AC100" i="84" s="1"/>
  <c r="AG99" i="84"/>
  <c r="AB99" i="84"/>
  <c r="AA99" i="84"/>
  <c r="Z99" i="84"/>
  <c r="Y99" i="84"/>
  <c r="X99" i="84"/>
  <c r="W99" i="84"/>
  <c r="V99" i="84"/>
  <c r="O99" i="84"/>
  <c r="AE99" i="84" s="1"/>
  <c r="N99" i="84"/>
  <c r="AD99" i="84" s="1"/>
  <c r="M99" i="84"/>
  <c r="AC99" i="84" s="1"/>
  <c r="AG98" i="84"/>
  <c r="AB98" i="84"/>
  <c r="AA98" i="84"/>
  <c r="Z98" i="84"/>
  <c r="Y98" i="84"/>
  <c r="X98" i="84"/>
  <c r="W98" i="84"/>
  <c r="V98" i="84"/>
  <c r="O98" i="84"/>
  <c r="AE98" i="84" s="1"/>
  <c r="N98" i="84"/>
  <c r="AD98" i="84" s="1"/>
  <c r="M98" i="84"/>
  <c r="AC98" i="84" s="1"/>
  <c r="AG97" i="84"/>
  <c r="AB97" i="84"/>
  <c r="AA97" i="84"/>
  <c r="Z97" i="84"/>
  <c r="Y97" i="84"/>
  <c r="X97" i="84"/>
  <c r="W97" i="84"/>
  <c r="V97" i="84"/>
  <c r="O97" i="84"/>
  <c r="AE97" i="84" s="1"/>
  <c r="N97" i="84"/>
  <c r="AD97" i="84" s="1"/>
  <c r="M97" i="84"/>
  <c r="AC97" i="84" s="1"/>
  <c r="AG96" i="84"/>
  <c r="AB96" i="84"/>
  <c r="AA96" i="84"/>
  <c r="Z96" i="84"/>
  <c r="Y96" i="84"/>
  <c r="X96" i="84"/>
  <c r="W96" i="84"/>
  <c r="V96" i="84"/>
  <c r="O96" i="84"/>
  <c r="AE96" i="84" s="1"/>
  <c r="N96" i="84"/>
  <c r="AD96" i="84" s="1"/>
  <c r="M96" i="84"/>
  <c r="AC96" i="84" s="1"/>
  <c r="AG95" i="84"/>
  <c r="AB95" i="84"/>
  <c r="AA95" i="84"/>
  <c r="Z95" i="84"/>
  <c r="Y95" i="84"/>
  <c r="X95" i="84"/>
  <c r="W95" i="84"/>
  <c r="V95" i="84"/>
  <c r="O95" i="84"/>
  <c r="AE95" i="84" s="1"/>
  <c r="N95" i="84"/>
  <c r="AD95" i="84" s="1"/>
  <c r="M95" i="84"/>
  <c r="AC95" i="84" s="1"/>
  <c r="AG94" i="84"/>
  <c r="AB94" i="84"/>
  <c r="AA94" i="84"/>
  <c r="Z94" i="84"/>
  <c r="Y94" i="84"/>
  <c r="X94" i="84"/>
  <c r="W94" i="84"/>
  <c r="V94" i="84"/>
  <c r="O94" i="84"/>
  <c r="AE94" i="84" s="1"/>
  <c r="N94" i="84"/>
  <c r="AD94" i="84" s="1"/>
  <c r="M94" i="84"/>
  <c r="AC94" i="84" s="1"/>
  <c r="AG93" i="84"/>
  <c r="AB93" i="84"/>
  <c r="AA93" i="84"/>
  <c r="Z93" i="84"/>
  <c r="Y93" i="84"/>
  <c r="X93" i="84"/>
  <c r="W93" i="84"/>
  <c r="V93" i="84"/>
  <c r="O93" i="84"/>
  <c r="AE93" i="84" s="1"/>
  <c r="N93" i="84"/>
  <c r="AD93" i="84" s="1"/>
  <c r="M93" i="84"/>
  <c r="AC93" i="84" s="1"/>
  <c r="AG92" i="84"/>
  <c r="AB92" i="84"/>
  <c r="AA92" i="84"/>
  <c r="Z92" i="84"/>
  <c r="Y92" i="84"/>
  <c r="X92" i="84"/>
  <c r="W92" i="84"/>
  <c r="V92" i="84"/>
  <c r="O92" i="84"/>
  <c r="AE92" i="84" s="1"/>
  <c r="N92" i="84"/>
  <c r="AD92" i="84" s="1"/>
  <c r="M92" i="84"/>
  <c r="AC92" i="84" s="1"/>
  <c r="AG91" i="84"/>
  <c r="AB91" i="84"/>
  <c r="AA91" i="84"/>
  <c r="Z91" i="84"/>
  <c r="Y91" i="84"/>
  <c r="X91" i="84"/>
  <c r="W91" i="84"/>
  <c r="V91" i="84"/>
  <c r="O91" i="84"/>
  <c r="AE91" i="84" s="1"/>
  <c r="N91" i="84"/>
  <c r="AD91" i="84" s="1"/>
  <c r="M91" i="84"/>
  <c r="AC91" i="84" s="1"/>
  <c r="AG90" i="84"/>
  <c r="AB90" i="84"/>
  <c r="AA90" i="84"/>
  <c r="Z90" i="84"/>
  <c r="Y90" i="84"/>
  <c r="X90" i="84"/>
  <c r="W90" i="84"/>
  <c r="V90" i="84"/>
  <c r="O90" i="84"/>
  <c r="AE90" i="84" s="1"/>
  <c r="N90" i="84"/>
  <c r="AD90" i="84" s="1"/>
  <c r="M90" i="84"/>
  <c r="AC90" i="84" s="1"/>
  <c r="AG89" i="84"/>
  <c r="AB89" i="84"/>
  <c r="AA89" i="84"/>
  <c r="Z89" i="84"/>
  <c r="Y89" i="84"/>
  <c r="X89" i="84"/>
  <c r="W89" i="84"/>
  <c r="V89" i="84"/>
  <c r="O89" i="84"/>
  <c r="AE89" i="84" s="1"/>
  <c r="N89" i="84"/>
  <c r="AD89" i="84" s="1"/>
  <c r="M89" i="84"/>
  <c r="AC89" i="84" s="1"/>
  <c r="AG88" i="84"/>
  <c r="AB88" i="84"/>
  <c r="AA88" i="84"/>
  <c r="Z88" i="84"/>
  <c r="Y88" i="84"/>
  <c r="X88" i="84"/>
  <c r="W88" i="84"/>
  <c r="V88" i="84"/>
  <c r="O88" i="84"/>
  <c r="AE88" i="84" s="1"/>
  <c r="N88" i="84"/>
  <c r="AD88" i="84" s="1"/>
  <c r="M88" i="84"/>
  <c r="AC88" i="84" s="1"/>
  <c r="AG87" i="84"/>
  <c r="AB87" i="84"/>
  <c r="AA87" i="84"/>
  <c r="Z87" i="84"/>
  <c r="Y87" i="84"/>
  <c r="X87" i="84"/>
  <c r="W87" i="84"/>
  <c r="V87" i="84"/>
  <c r="O87" i="84"/>
  <c r="AE87" i="84" s="1"/>
  <c r="N87" i="84"/>
  <c r="AD87" i="84" s="1"/>
  <c r="M87" i="84"/>
  <c r="AC87" i="84" s="1"/>
  <c r="AG86" i="84"/>
  <c r="AB86" i="84"/>
  <c r="AA86" i="84"/>
  <c r="Z86" i="84"/>
  <c r="Y86" i="84"/>
  <c r="X86" i="84"/>
  <c r="W86" i="84"/>
  <c r="V86" i="84"/>
  <c r="O86" i="84"/>
  <c r="AE86" i="84" s="1"/>
  <c r="N86" i="84"/>
  <c r="AD86" i="84" s="1"/>
  <c r="M86" i="84"/>
  <c r="AC86" i="84" s="1"/>
  <c r="AG85" i="84"/>
  <c r="AB85" i="84"/>
  <c r="AA85" i="84"/>
  <c r="Z85" i="84"/>
  <c r="Y85" i="84"/>
  <c r="X85" i="84"/>
  <c r="W85" i="84"/>
  <c r="V85" i="84"/>
  <c r="O85" i="84"/>
  <c r="AE85" i="84" s="1"/>
  <c r="N85" i="84"/>
  <c r="AD85" i="84" s="1"/>
  <c r="M85" i="84"/>
  <c r="AC85" i="84" s="1"/>
  <c r="AG84" i="84"/>
  <c r="AB84" i="84"/>
  <c r="AA84" i="84"/>
  <c r="Z84" i="84"/>
  <c r="Y84" i="84"/>
  <c r="X84" i="84"/>
  <c r="W84" i="84"/>
  <c r="V84" i="84"/>
  <c r="O84" i="84"/>
  <c r="AE84" i="84" s="1"/>
  <c r="N84" i="84"/>
  <c r="AD84" i="84" s="1"/>
  <c r="M84" i="84"/>
  <c r="AC84" i="84" s="1"/>
  <c r="AG83" i="84"/>
  <c r="AB83" i="84"/>
  <c r="AA83" i="84"/>
  <c r="Z83" i="84"/>
  <c r="Y83" i="84"/>
  <c r="X83" i="84"/>
  <c r="W83" i="84"/>
  <c r="V83" i="84"/>
  <c r="O83" i="84"/>
  <c r="AE83" i="84" s="1"/>
  <c r="N83" i="84"/>
  <c r="AD83" i="84" s="1"/>
  <c r="M83" i="84"/>
  <c r="AC83" i="84" s="1"/>
  <c r="AG82" i="84"/>
  <c r="AB82" i="84"/>
  <c r="AA82" i="84"/>
  <c r="Z82" i="84"/>
  <c r="Y82" i="84"/>
  <c r="X82" i="84"/>
  <c r="W82" i="84"/>
  <c r="V82" i="84"/>
  <c r="O82" i="84"/>
  <c r="AE82" i="84" s="1"/>
  <c r="N82" i="84"/>
  <c r="AD82" i="84" s="1"/>
  <c r="M82" i="84"/>
  <c r="AC82" i="84" s="1"/>
  <c r="AG81" i="84"/>
  <c r="AB81" i="84"/>
  <c r="AA81" i="84"/>
  <c r="Z81" i="84"/>
  <c r="Y81" i="84"/>
  <c r="X81" i="84"/>
  <c r="W81" i="84"/>
  <c r="V81" i="84"/>
  <c r="O81" i="84"/>
  <c r="AE81" i="84" s="1"/>
  <c r="N81" i="84"/>
  <c r="AD81" i="84" s="1"/>
  <c r="M81" i="84"/>
  <c r="AC81" i="84" s="1"/>
  <c r="AG80" i="84"/>
  <c r="AB80" i="84"/>
  <c r="AA80" i="84"/>
  <c r="Z80" i="84"/>
  <c r="Y80" i="84"/>
  <c r="X80" i="84"/>
  <c r="W80" i="84"/>
  <c r="V80" i="84"/>
  <c r="O80" i="84"/>
  <c r="AE80" i="84" s="1"/>
  <c r="N80" i="84"/>
  <c r="AD80" i="84" s="1"/>
  <c r="M80" i="84"/>
  <c r="AC80" i="84" s="1"/>
  <c r="AG79" i="84"/>
  <c r="AB79" i="84"/>
  <c r="AA79" i="84"/>
  <c r="Z79" i="84"/>
  <c r="Y79" i="84"/>
  <c r="X79" i="84"/>
  <c r="W79" i="84"/>
  <c r="V79" i="84"/>
  <c r="O79" i="84"/>
  <c r="AE79" i="84" s="1"/>
  <c r="N79" i="84"/>
  <c r="AD79" i="84" s="1"/>
  <c r="M79" i="84"/>
  <c r="AC79" i="84" s="1"/>
  <c r="AG78" i="84"/>
  <c r="AB78" i="84"/>
  <c r="AA78" i="84"/>
  <c r="Z78" i="84"/>
  <c r="Y78" i="84"/>
  <c r="X78" i="84"/>
  <c r="W78" i="84"/>
  <c r="V78" i="84"/>
  <c r="O78" i="84"/>
  <c r="AE78" i="84" s="1"/>
  <c r="N78" i="84"/>
  <c r="AD78" i="84" s="1"/>
  <c r="M78" i="84"/>
  <c r="AC78" i="84" s="1"/>
  <c r="AG77" i="84"/>
  <c r="AB77" i="84"/>
  <c r="AA77" i="84"/>
  <c r="Z77" i="84"/>
  <c r="Y77" i="84"/>
  <c r="X77" i="84"/>
  <c r="W77" i="84"/>
  <c r="V77" i="84"/>
  <c r="O77" i="84"/>
  <c r="AE77" i="84" s="1"/>
  <c r="N77" i="84"/>
  <c r="AD77" i="84" s="1"/>
  <c r="M77" i="84"/>
  <c r="AC77" i="84" s="1"/>
  <c r="AG76" i="84"/>
  <c r="AB76" i="84"/>
  <c r="AA76" i="84"/>
  <c r="Z76" i="84"/>
  <c r="Y76" i="84"/>
  <c r="X76" i="84"/>
  <c r="W76" i="84"/>
  <c r="V76" i="84"/>
  <c r="O76" i="84"/>
  <c r="AE76" i="84" s="1"/>
  <c r="N76" i="84"/>
  <c r="AD76" i="84" s="1"/>
  <c r="M76" i="84"/>
  <c r="AC76" i="84" s="1"/>
  <c r="AG75" i="84"/>
  <c r="AB75" i="84"/>
  <c r="AA75" i="84"/>
  <c r="Z75" i="84"/>
  <c r="Y75" i="84"/>
  <c r="X75" i="84"/>
  <c r="W75" i="84"/>
  <c r="V75" i="84"/>
  <c r="O75" i="84"/>
  <c r="AE75" i="84" s="1"/>
  <c r="N75" i="84"/>
  <c r="AD75" i="84" s="1"/>
  <c r="M75" i="84"/>
  <c r="AC75" i="84" s="1"/>
  <c r="AG74" i="84"/>
  <c r="AB74" i="84"/>
  <c r="AA74" i="84"/>
  <c r="Z74" i="84"/>
  <c r="Y74" i="84"/>
  <c r="X74" i="84"/>
  <c r="W74" i="84"/>
  <c r="V74" i="84"/>
  <c r="O74" i="84"/>
  <c r="AE74" i="84" s="1"/>
  <c r="N74" i="84"/>
  <c r="AD74" i="84" s="1"/>
  <c r="M74" i="84"/>
  <c r="AC74" i="84" s="1"/>
  <c r="AG73" i="84"/>
  <c r="AB73" i="84"/>
  <c r="AA73" i="84"/>
  <c r="Z73" i="84"/>
  <c r="Y73" i="84"/>
  <c r="X73" i="84"/>
  <c r="W73" i="84"/>
  <c r="V73" i="84"/>
  <c r="O73" i="84"/>
  <c r="AE73" i="84" s="1"/>
  <c r="N73" i="84"/>
  <c r="AD73" i="84" s="1"/>
  <c r="M73" i="84"/>
  <c r="AC73" i="84" s="1"/>
  <c r="AG72" i="84"/>
  <c r="AB72" i="84"/>
  <c r="AA72" i="84"/>
  <c r="Z72" i="84"/>
  <c r="Y72" i="84"/>
  <c r="X72" i="84"/>
  <c r="W72" i="84"/>
  <c r="V72" i="84"/>
  <c r="O72" i="84"/>
  <c r="AE72" i="84" s="1"/>
  <c r="N72" i="84"/>
  <c r="AD72" i="84" s="1"/>
  <c r="M72" i="84"/>
  <c r="AC72" i="84" s="1"/>
  <c r="AG71" i="84"/>
  <c r="AB71" i="84"/>
  <c r="AA71" i="84"/>
  <c r="Z71" i="84"/>
  <c r="Y71" i="84"/>
  <c r="X71" i="84"/>
  <c r="W71" i="84"/>
  <c r="V71" i="84"/>
  <c r="O71" i="84"/>
  <c r="AE71" i="84" s="1"/>
  <c r="N71" i="84"/>
  <c r="AD71" i="84" s="1"/>
  <c r="M71" i="84"/>
  <c r="AC71" i="84" s="1"/>
  <c r="AG70" i="84"/>
  <c r="AB70" i="84"/>
  <c r="AA70" i="84"/>
  <c r="Z70" i="84"/>
  <c r="Y70" i="84"/>
  <c r="X70" i="84"/>
  <c r="W70" i="84"/>
  <c r="V70" i="84"/>
  <c r="O70" i="84"/>
  <c r="AE70" i="84" s="1"/>
  <c r="N70" i="84"/>
  <c r="AD70" i="84" s="1"/>
  <c r="M70" i="84"/>
  <c r="AC70" i="84" s="1"/>
  <c r="AG69" i="84"/>
  <c r="AB69" i="84"/>
  <c r="AA69" i="84"/>
  <c r="Z69" i="84"/>
  <c r="Y69" i="84"/>
  <c r="X69" i="84"/>
  <c r="W69" i="84"/>
  <c r="V69" i="84"/>
  <c r="O69" i="84"/>
  <c r="AE69" i="84" s="1"/>
  <c r="N69" i="84"/>
  <c r="AD69" i="84" s="1"/>
  <c r="M69" i="84"/>
  <c r="AC69" i="84" s="1"/>
  <c r="AG68" i="84"/>
  <c r="AB68" i="84"/>
  <c r="AA68" i="84"/>
  <c r="Z68" i="84"/>
  <c r="Y68" i="84"/>
  <c r="X68" i="84"/>
  <c r="W68" i="84"/>
  <c r="V68" i="84"/>
  <c r="O68" i="84"/>
  <c r="AE68" i="84" s="1"/>
  <c r="N68" i="84"/>
  <c r="AD68" i="84" s="1"/>
  <c r="M68" i="84"/>
  <c r="AC68" i="84" s="1"/>
  <c r="AG67" i="84"/>
  <c r="AB67" i="84"/>
  <c r="AA67" i="84"/>
  <c r="Z67" i="84"/>
  <c r="Y67" i="84"/>
  <c r="X67" i="84"/>
  <c r="W67" i="84"/>
  <c r="V67" i="84"/>
  <c r="O67" i="84"/>
  <c r="AE67" i="84" s="1"/>
  <c r="N67" i="84"/>
  <c r="AD67" i="84" s="1"/>
  <c r="M67" i="84"/>
  <c r="AC67" i="84" s="1"/>
  <c r="AG66" i="84"/>
  <c r="AB66" i="84"/>
  <c r="AA66" i="84"/>
  <c r="Z66" i="84"/>
  <c r="Y66" i="84"/>
  <c r="X66" i="84"/>
  <c r="W66" i="84"/>
  <c r="V66" i="84"/>
  <c r="O66" i="84"/>
  <c r="AE66" i="84" s="1"/>
  <c r="N66" i="84"/>
  <c r="AD66" i="84" s="1"/>
  <c r="M66" i="84"/>
  <c r="AC66" i="84" s="1"/>
  <c r="AG65" i="84"/>
  <c r="AB65" i="84"/>
  <c r="AA65" i="84"/>
  <c r="Z65" i="84"/>
  <c r="Y65" i="84"/>
  <c r="X65" i="84"/>
  <c r="W65" i="84"/>
  <c r="V65" i="84"/>
  <c r="O65" i="84"/>
  <c r="AE65" i="84" s="1"/>
  <c r="N65" i="84"/>
  <c r="AD65" i="84" s="1"/>
  <c r="M65" i="84"/>
  <c r="AC65" i="84" s="1"/>
  <c r="AG64" i="84"/>
  <c r="AB64" i="84"/>
  <c r="AA64" i="84"/>
  <c r="Z64" i="84"/>
  <c r="Y64" i="84"/>
  <c r="X64" i="84"/>
  <c r="W64" i="84"/>
  <c r="V64" i="84"/>
  <c r="O64" i="84"/>
  <c r="AE64" i="84" s="1"/>
  <c r="N64" i="84"/>
  <c r="AD64" i="84" s="1"/>
  <c r="M64" i="84"/>
  <c r="AC64" i="84" s="1"/>
  <c r="AG63" i="84"/>
  <c r="AB63" i="84"/>
  <c r="AA63" i="84"/>
  <c r="Z63" i="84"/>
  <c r="Y63" i="84"/>
  <c r="X63" i="84"/>
  <c r="W63" i="84"/>
  <c r="V63" i="84"/>
  <c r="O63" i="84"/>
  <c r="AE63" i="84" s="1"/>
  <c r="N63" i="84"/>
  <c r="AD63" i="84" s="1"/>
  <c r="M63" i="84"/>
  <c r="AC63" i="84" s="1"/>
  <c r="AG62" i="84"/>
  <c r="AB62" i="84"/>
  <c r="AA62" i="84"/>
  <c r="Z62" i="84"/>
  <c r="Y62" i="84"/>
  <c r="X62" i="84"/>
  <c r="W62" i="84"/>
  <c r="V62" i="84"/>
  <c r="O62" i="84"/>
  <c r="AE62" i="84" s="1"/>
  <c r="N62" i="84"/>
  <c r="AD62" i="84" s="1"/>
  <c r="M62" i="84"/>
  <c r="AC62" i="84" s="1"/>
  <c r="AG61" i="84"/>
  <c r="AB61" i="84"/>
  <c r="AA61" i="84"/>
  <c r="Z61" i="84"/>
  <c r="Y61" i="84"/>
  <c r="X61" i="84"/>
  <c r="W61" i="84"/>
  <c r="V61" i="84"/>
  <c r="O61" i="84"/>
  <c r="AE61" i="84" s="1"/>
  <c r="N61" i="84"/>
  <c r="AD61" i="84" s="1"/>
  <c r="M61" i="84"/>
  <c r="AC61" i="84" s="1"/>
  <c r="AG60" i="84"/>
  <c r="AB60" i="84"/>
  <c r="AA60" i="84"/>
  <c r="Z60" i="84"/>
  <c r="Y60" i="84"/>
  <c r="X60" i="84"/>
  <c r="W60" i="84"/>
  <c r="V60" i="84"/>
  <c r="O60" i="84"/>
  <c r="AE60" i="84" s="1"/>
  <c r="N60" i="84"/>
  <c r="AD60" i="84" s="1"/>
  <c r="M60" i="84"/>
  <c r="AC60" i="84" s="1"/>
  <c r="AG59" i="84"/>
  <c r="AB59" i="84"/>
  <c r="AA59" i="84"/>
  <c r="Z59" i="84"/>
  <c r="Y59" i="84"/>
  <c r="X59" i="84"/>
  <c r="W59" i="84"/>
  <c r="V59" i="84"/>
  <c r="O59" i="84"/>
  <c r="AE59" i="84" s="1"/>
  <c r="N59" i="84"/>
  <c r="AD59" i="84" s="1"/>
  <c r="M59" i="84"/>
  <c r="AC59" i="84" s="1"/>
  <c r="AG58" i="84"/>
  <c r="AB58" i="84"/>
  <c r="AA58" i="84"/>
  <c r="Z58" i="84"/>
  <c r="Y58" i="84"/>
  <c r="X58" i="84"/>
  <c r="W58" i="84"/>
  <c r="V58" i="84"/>
  <c r="O58" i="84"/>
  <c r="AE58" i="84" s="1"/>
  <c r="N58" i="84"/>
  <c r="AD58" i="84" s="1"/>
  <c r="M58" i="84"/>
  <c r="AC58" i="84" s="1"/>
  <c r="AG57" i="84"/>
  <c r="AB57" i="84"/>
  <c r="AA57" i="84"/>
  <c r="Z57" i="84"/>
  <c r="Y57" i="84"/>
  <c r="X57" i="84"/>
  <c r="W57" i="84"/>
  <c r="V57" i="84"/>
  <c r="O57" i="84"/>
  <c r="AE57" i="84" s="1"/>
  <c r="N57" i="84"/>
  <c r="AD57" i="84" s="1"/>
  <c r="M57" i="84"/>
  <c r="AC57" i="84" s="1"/>
  <c r="AG56" i="84"/>
  <c r="AB56" i="84"/>
  <c r="AA56" i="84"/>
  <c r="Z56" i="84"/>
  <c r="Y56" i="84"/>
  <c r="X56" i="84"/>
  <c r="W56" i="84"/>
  <c r="V56" i="84"/>
  <c r="O56" i="84"/>
  <c r="AE56" i="84" s="1"/>
  <c r="N56" i="84"/>
  <c r="AD56" i="84" s="1"/>
  <c r="M56" i="84"/>
  <c r="AC56" i="84" s="1"/>
  <c r="AG55" i="84"/>
  <c r="AB55" i="84"/>
  <c r="AA55" i="84"/>
  <c r="Z55" i="84"/>
  <c r="Y55" i="84"/>
  <c r="X55" i="84"/>
  <c r="W55" i="84"/>
  <c r="V55" i="84"/>
  <c r="O55" i="84"/>
  <c r="AE55" i="84" s="1"/>
  <c r="N55" i="84"/>
  <c r="AD55" i="84" s="1"/>
  <c r="M55" i="84"/>
  <c r="AC55" i="84" s="1"/>
  <c r="AG54" i="84"/>
  <c r="AB54" i="84"/>
  <c r="AA54" i="84"/>
  <c r="Z54" i="84"/>
  <c r="Y54" i="84"/>
  <c r="X54" i="84"/>
  <c r="W54" i="84"/>
  <c r="V54" i="84"/>
  <c r="O54" i="84"/>
  <c r="AE54" i="84" s="1"/>
  <c r="N54" i="84"/>
  <c r="AD54" i="84" s="1"/>
  <c r="M54" i="84"/>
  <c r="AC54" i="84" s="1"/>
  <c r="AG53" i="84"/>
  <c r="AB53" i="84"/>
  <c r="AA53" i="84"/>
  <c r="Z53" i="84"/>
  <c r="Y53" i="84"/>
  <c r="X53" i="84"/>
  <c r="W53" i="84"/>
  <c r="V53" i="84"/>
  <c r="O53" i="84"/>
  <c r="AE53" i="84" s="1"/>
  <c r="N53" i="84"/>
  <c r="AD53" i="84" s="1"/>
  <c r="M53" i="84"/>
  <c r="AC53" i="84" s="1"/>
  <c r="AG52" i="84"/>
  <c r="AB52" i="84"/>
  <c r="AA52" i="84"/>
  <c r="Z52" i="84"/>
  <c r="Y52" i="84"/>
  <c r="X52" i="84"/>
  <c r="W52" i="84"/>
  <c r="V52" i="84"/>
  <c r="O52" i="84"/>
  <c r="AE52" i="84" s="1"/>
  <c r="N52" i="84"/>
  <c r="AD52" i="84" s="1"/>
  <c r="M52" i="84"/>
  <c r="AC52" i="84" s="1"/>
  <c r="AG51" i="84"/>
  <c r="AB51" i="84"/>
  <c r="AA51" i="84"/>
  <c r="Z51" i="84"/>
  <c r="Y51" i="84"/>
  <c r="X51" i="84"/>
  <c r="W51" i="84"/>
  <c r="V51" i="84"/>
  <c r="O51" i="84"/>
  <c r="AE51" i="84" s="1"/>
  <c r="N51" i="84"/>
  <c r="AD51" i="84" s="1"/>
  <c r="M51" i="84"/>
  <c r="AC51" i="84" s="1"/>
  <c r="AG50" i="84"/>
  <c r="AB50" i="84"/>
  <c r="AA50" i="84"/>
  <c r="Z50" i="84"/>
  <c r="Y50" i="84"/>
  <c r="X50" i="84"/>
  <c r="W50" i="84"/>
  <c r="V50" i="84"/>
  <c r="O50" i="84"/>
  <c r="AE50" i="84" s="1"/>
  <c r="N50" i="84"/>
  <c r="AD50" i="84" s="1"/>
  <c r="M50" i="84"/>
  <c r="AC50" i="84" s="1"/>
  <c r="AG49" i="84"/>
  <c r="AB49" i="84"/>
  <c r="AA49" i="84"/>
  <c r="Z49" i="84"/>
  <c r="Y49" i="84"/>
  <c r="X49" i="84"/>
  <c r="W49" i="84"/>
  <c r="V49" i="84"/>
  <c r="O49" i="84"/>
  <c r="AE49" i="84" s="1"/>
  <c r="N49" i="84"/>
  <c r="AD49" i="84" s="1"/>
  <c r="M49" i="84"/>
  <c r="AC49" i="84" s="1"/>
  <c r="AG48" i="84"/>
  <c r="AB48" i="84"/>
  <c r="AA48" i="84"/>
  <c r="Z48" i="84"/>
  <c r="Y48" i="84"/>
  <c r="X48" i="84"/>
  <c r="W48" i="84"/>
  <c r="V48" i="84"/>
  <c r="O48" i="84"/>
  <c r="AE48" i="84" s="1"/>
  <c r="N48" i="84"/>
  <c r="AD48" i="84" s="1"/>
  <c r="M48" i="84"/>
  <c r="AC48" i="84" s="1"/>
  <c r="AG47" i="84"/>
  <c r="AB47" i="84"/>
  <c r="AA47" i="84"/>
  <c r="Z47" i="84"/>
  <c r="Y47" i="84"/>
  <c r="X47" i="84"/>
  <c r="W47" i="84"/>
  <c r="V47" i="84"/>
  <c r="O47" i="84"/>
  <c r="AE47" i="84" s="1"/>
  <c r="N47" i="84"/>
  <c r="AD47" i="84" s="1"/>
  <c r="M47" i="84"/>
  <c r="AC47" i="84" s="1"/>
  <c r="AG46" i="84"/>
  <c r="AB46" i="84"/>
  <c r="AA46" i="84"/>
  <c r="Z46" i="84"/>
  <c r="Y46" i="84"/>
  <c r="X46" i="84"/>
  <c r="W46" i="84"/>
  <c r="V46" i="84"/>
  <c r="O46" i="84"/>
  <c r="AE46" i="84" s="1"/>
  <c r="N46" i="84"/>
  <c r="AD46" i="84" s="1"/>
  <c r="M46" i="84"/>
  <c r="AC46" i="84" s="1"/>
  <c r="AG45" i="84"/>
  <c r="AB45" i="84"/>
  <c r="AA45" i="84"/>
  <c r="Z45" i="84"/>
  <c r="Y45" i="84"/>
  <c r="X45" i="84"/>
  <c r="W45" i="84"/>
  <c r="V45" i="84"/>
  <c r="O45" i="84"/>
  <c r="AE45" i="84" s="1"/>
  <c r="N45" i="84"/>
  <c r="AD45" i="84" s="1"/>
  <c r="M45" i="84"/>
  <c r="AC45" i="84" s="1"/>
  <c r="AG44" i="84"/>
  <c r="AB44" i="84"/>
  <c r="AA44" i="84"/>
  <c r="Z44" i="84"/>
  <c r="Y44" i="84"/>
  <c r="X44" i="84"/>
  <c r="W44" i="84"/>
  <c r="V44" i="84"/>
  <c r="O44" i="84"/>
  <c r="AE44" i="84" s="1"/>
  <c r="N44" i="84"/>
  <c r="AD44" i="84" s="1"/>
  <c r="M44" i="84"/>
  <c r="AC44" i="84" s="1"/>
  <c r="AG43" i="84"/>
  <c r="AB43" i="84"/>
  <c r="AA43" i="84"/>
  <c r="Z43" i="84"/>
  <c r="Y43" i="84"/>
  <c r="X43" i="84"/>
  <c r="W43" i="84"/>
  <c r="V43" i="84"/>
  <c r="O43" i="84"/>
  <c r="AE43" i="84" s="1"/>
  <c r="N43" i="84"/>
  <c r="AD43" i="84" s="1"/>
  <c r="M43" i="84"/>
  <c r="AC43" i="84" s="1"/>
  <c r="AG42" i="84"/>
  <c r="AB42" i="84"/>
  <c r="AA42" i="84"/>
  <c r="Z42" i="84"/>
  <c r="Y42" i="84"/>
  <c r="X42" i="84"/>
  <c r="W42" i="84"/>
  <c r="V42" i="84"/>
  <c r="O42" i="84"/>
  <c r="AE42" i="84" s="1"/>
  <c r="N42" i="84"/>
  <c r="AD42" i="84" s="1"/>
  <c r="M42" i="84"/>
  <c r="AC42" i="84" s="1"/>
  <c r="AG41" i="84"/>
  <c r="AB41" i="84"/>
  <c r="AA41" i="84"/>
  <c r="Z41" i="84"/>
  <c r="Y41" i="84"/>
  <c r="X41" i="84"/>
  <c r="W41" i="84"/>
  <c r="V41" i="84"/>
  <c r="O41" i="84"/>
  <c r="AE41" i="84" s="1"/>
  <c r="N41" i="84"/>
  <c r="AD41" i="84" s="1"/>
  <c r="M41" i="84"/>
  <c r="AC41" i="84" s="1"/>
  <c r="AG40" i="84"/>
  <c r="AB40" i="84"/>
  <c r="AA40" i="84"/>
  <c r="Z40" i="84"/>
  <c r="Y40" i="84"/>
  <c r="X40" i="84"/>
  <c r="W40" i="84"/>
  <c r="V40" i="84"/>
  <c r="O40" i="84"/>
  <c r="AE40" i="84" s="1"/>
  <c r="N40" i="84"/>
  <c r="AD40" i="84" s="1"/>
  <c r="M40" i="84"/>
  <c r="AC40" i="84" s="1"/>
  <c r="AG39" i="84"/>
  <c r="AB39" i="84"/>
  <c r="AA39" i="84"/>
  <c r="Z39" i="84"/>
  <c r="Y39" i="84"/>
  <c r="X39" i="84"/>
  <c r="W39" i="84"/>
  <c r="V39" i="84"/>
  <c r="O39" i="84"/>
  <c r="AE39" i="84" s="1"/>
  <c r="N39" i="84"/>
  <c r="AD39" i="84" s="1"/>
  <c r="M39" i="84"/>
  <c r="AC39" i="84" s="1"/>
  <c r="AG38" i="84"/>
  <c r="AB38" i="84"/>
  <c r="AA38" i="84"/>
  <c r="Z38" i="84"/>
  <c r="Y38" i="84"/>
  <c r="X38" i="84"/>
  <c r="W38" i="84"/>
  <c r="V38" i="84"/>
  <c r="O38" i="84"/>
  <c r="AE38" i="84" s="1"/>
  <c r="N38" i="84"/>
  <c r="AD38" i="84" s="1"/>
  <c r="M38" i="84"/>
  <c r="AC38" i="84" s="1"/>
  <c r="AG37" i="84"/>
  <c r="AB37" i="84"/>
  <c r="AA37" i="84"/>
  <c r="Z37" i="84"/>
  <c r="Y37" i="84"/>
  <c r="X37" i="84"/>
  <c r="W37" i="84"/>
  <c r="V37" i="84"/>
  <c r="O37" i="84"/>
  <c r="AE37" i="84" s="1"/>
  <c r="N37" i="84"/>
  <c r="AD37" i="84" s="1"/>
  <c r="M37" i="84"/>
  <c r="AC37" i="84" s="1"/>
  <c r="AG36" i="84"/>
  <c r="AB36" i="84"/>
  <c r="AA36" i="84"/>
  <c r="Z36" i="84"/>
  <c r="Y36" i="84"/>
  <c r="X36" i="84"/>
  <c r="W36" i="84"/>
  <c r="V36" i="84"/>
  <c r="O36" i="84"/>
  <c r="AE36" i="84" s="1"/>
  <c r="N36" i="84"/>
  <c r="AD36" i="84" s="1"/>
  <c r="M36" i="84"/>
  <c r="AC36" i="84" s="1"/>
  <c r="AG35" i="84"/>
  <c r="AB35" i="84"/>
  <c r="AA35" i="84"/>
  <c r="Z35" i="84"/>
  <c r="Y35" i="84"/>
  <c r="X35" i="84"/>
  <c r="W35" i="84"/>
  <c r="V35" i="84"/>
  <c r="O35" i="84"/>
  <c r="AE35" i="84" s="1"/>
  <c r="N35" i="84"/>
  <c r="AD35" i="84" s="1"/>
  <c r="M35" i="84"/>
  <c r="AC35" i="84" s="1"/>
  <c r="AG34" i="84"/>
  <c r="AB34" i="84"/>
  <c r="AA34" i="84"/>
  <c r="Z34" i="84"/>
  <c r="Y34" i="84"/>
  <c r="X34" i="84"/>
  <c r="W34" i="84"/>
  <c r="V34" i="84"/>
  <c r="O34" i="84"/>
  <c r="AE34" i="84" s="1"/>
  <c r="N34" i="84"/>
  <c r="AD34" i="84" s="1"/>
  <c r="M34" i="84"/>
  <c r="AC34" i="84" s="1"/>
  <c r="AG33" i="84"/>
  <c r="AB33" i="84"/>
  <c r="AA33" i="84"/>
  <c r="Z33" i="84"/>
  <c r="Y33" i="84"/>
  <c r="X33" i="84"/>
  <c r="W33" i="84"/>
  <c r="V33" i="84"/>
  <c r="O33" i="84"/>
  <c r="AE33" i="84" s="1"/>
  <c r="N33" i="84"/>
  <c r="AD33" i="84" s="1"/>
  <c r="M33" i="84"/>
  <c r="AC33" i="84" s="1"/>
  <c r="AG32" i="84"/>
  <c r="AB32" i="84"/>
  <c r="AA32" i="84"/>
  <c r="Z32" i="84"/>
  <c r="Y32" i="84"/>
  <c r="X32" i="84"/>
  <c r="W32" i="84"/>
  <c r="V32" i="84"/>
  <c r="O32" i="84"/>
  <c r="AE32" i="84" s="1"/>
  <c r="N32" i="84"/>
  <c r="AD32" i="84" s="1"/>
  <c r="M32" i="84"/>
  <c r="AC32" i="84" s="1"/>
  <c r="AG31" i="84"/>
  <c r="AB31" i="84"/>
  <c r="AA31" i="84"/>
  <c r="Z31" i="84"/>
  <c r="Y31" i="84"/>
  <c r="X31" i="84"/>
  <c r="W31" i="84"/>
  <c r="V31" i="84"/>
  <c r="O31" i="84"/>
  <c r="AE31" i="84" s="1"/>
  <c r="N31" i="84"/>
  <c r="AD31" i="84" s="1"/>
  <c r="M31" i="84"/>
  <c r="AC31" i="84" s="1"/>
  <c r="AG30" i="84"/>
  <c r="AB30" i="84"/>
  <c r="AA30" i="84"/>
  <c r="Z30" i="84"/>
  <c r="Y30" i="84"/>
  <c r="X30" i="84"/>
  <c r="W30" i="84"/>
  <c r="V30" i="84"/>
  <c r="O30" i="84"/>
  <c r="AE30" i="84" s="1"/>
  <c r="N30" i="84"/>
  <c r="AD30" i="84" s="1"/>
  <c r="M30" i="84"/>
  <c r="AC30" i="84" s="1"/>
  <c r="AG29" i="84"/>
  <c r="AB29" i="84"/>
  <c r="AA29" i="84"/>
  <c r="Z29" i="84"/>
  <c r="Y29" i="84"/>
  <c r="X29" i="84"/>
  <c r="W29" i="84"/>
  <c r="V29" i="84"/>
  <c r="O29" i="84"/>
  <c r="AE29" i="84" s="1"/>
  <c r="N29" i="84"/>
  <c r="AD29" i="84" s="1"/>
  <c r="M29" i="84"/>
  <c r="AC29" i="84" s="1"/>
  <c r="AG28" i="84"/>
  <c r="AB28" i="84"/>
  <c r="AA28" i="84"/>
  <c r="Z28" i="84"/>
  <c r="Y28" i="84"/>
  <c r="X28" i="84"/>
  <c r="W28" i="84"/>
  <c r="V28" i="84"/>
  <c r="O28" i="84"/>
  <c r="AE28" i="84" s="1"/>
  <c r="N28" i="84"/>
  <c r="AD28" i="84" s="1"/>
  <c r="M28" i="84"/>
  <c r="AC28" i="84" s="1"/>
  <c r="AG27" i="84"/>
  <c r="AB27" i="84"/>
  <c r="AA27" i="84"/>
  <c r="Z27" i="84"/>
  <c r="Y27" i="84"/>
  <c r="X27" i="84"/>
  <c r="W27" i="84"/>
  <c r="V27" i="84"/>
  <c r="O27" i="84"/>
  <c r="AE27" i="84" s="1"/>
  <c r="N27" i="84"/>
  <c r="AD27" i="84" s="1"/>
  <c r="M27" i="84"/>
  <c r="AC27" i="84" s="1"/>
  <c r="AG26" i="84"/>
  <c r="AB26" i="84"/>
  <c r="AA26" i="84"/>
  <c r="Z26" i="84"/>
  <c r="Y26" i="84"/>
  <c r="X26" i="84"/>
  <c r="W26" i="84"/>
  <c r="V26" i="84"/>
  <c r="O26" i="84"/>
  <c r="AE26" i="84" s="1"/>
  <c r="N26" i="84"/>
  <c r="AD26" i="84" s="1"/>
  <c r="M26" i="84"/>
  <c r="AC26" i="84" s="1"/>
  <c r="AG25" i="84"/>
  <c r="AB25" i="84"/>
  <c r="AA25" i="84"/>
  <c r="Z25" i="84"/>
  <c r="Y25" i="84"/>
  <c r="X25" i="84"/>
  <c r="W25" i="84"/>
  <c r="V25" i="84"/>
  <c r="O25" i="84"/>
  <c r="AE25" i="84" s="1"/>
  <c r="N25" i="84"/>
  <c r="AD25" i="84" s="1"/>
  <c r="M25" i="84"/>
  <c r="AC25" i="84" s="1"/>
  <c r="AG24" i="84"/>
  <c r="AB24" i="84"/>
  <c r="AA24" i="84"/>
  <c r="Z24" i="84"/>
  <c r="Y24" i="84"/>
  <c r="X24" i="84"/>
  <c r="W24" i="84"/>
  <c r="V24" i="84"/>
  <c r="O24" i="84"/>
  <c r="AE24" i="84" s="1"/>
  <c r="N24" i="84"/>
  <c r="AD24" i="84" s="1"/>
  <c r="M24" i="84"/>
  <c r="AC24" i="84" s="1"/>
  <c r="AG23" i="84"/>
  <c r="AB23" i="84"/>
  <c r="AA23" i="84"/>
  <c r="Z23" i="84"/>
  <c r="Y23" i="84"/>
  <c r="X23" i="84"/>
  <c r="W23" i="84"/>
  <c r="V23" i="84"/>
  <c r="O23" i="84"/>
  <c r="AE23" i="84" s="1"/>
  <c r="N23" i="84"/>
  <c r="AD23" i="84" s="1"/>
  <c r="M23" i="84"/>
  <c r="AC23" i="84" s="1"/>
  <c r="AG22" i="84"/>
  <c r="AB22" i="84"/>
  <c r="AA22" i="84"/>
  <c r="Z22" i="84"/>
  <c r="Y22" i="84"/>
  <c r="X22" i="84"/>
  <c r="W22" i="84"/>
  <c r="V22" i="84"/>
  <c r="O22" i="84"/>
  <c r="AE22" i="84" s="1"/>
  <c r="N22" i="84"/>
  <c r="AD22" i="84" s="1"/>
  <c r="M22" i="84"/>
  <c r="AC22" i="84" s="1"/>
  <c r="AG21" i="84"/>
  <c r="AB21" i="84"/>
  <c r="AA21" i="84"/>
  <c r="Z21" i="84"/>
  <c r="Y21" i="84"/>
  <c r="X21" i="84"/>
  <c r="W21" i="84"/>
  <c r="V21" i="84"/>
  <c r="O21" i="84"/>
  <c r="AE21" i="84" s="1"/>
  <c r="N21" i="84"/>
  <c r="AD21" i="84" s="1"/>
  <c r="M21" i="84"/>
  <c r="AC21" i="84" s="1"/>
  <c r="AG20" i="84"/>
  <c r="AB20" i="84"/>
  <c r="AA20" i="84"/>
  <c r="Z20" i="84"/>
  <c r="Y20" i="84"/>
  <c r="X20" i="84"/>
  <c r="W20" i="84"/>
  <c r="V20" i="84"/>
  <c r="O20" i="84"/>
  <c r="AE20" i="84" s="1"/>
  <c r="N20" i="84"/>
  <c r="AD20" i="84" s="1"/>
  <c r="M20" i="84"/>
  <c r="AC20" i="84" s="1"/>
  <c r="AG19" i="84"/>
  <c r="AB19" i="84"/>
  <c r="AA19" i="84"/>
  <c r="Z19" i="84"/>
  <c r="Y19" i="84"/>
  <c r="X19" i="84"/>
  <c r="W19" i="84"/>
  <c r="V19" i="84"/>
  <c r="O19" i="84"/>
  <c r="AE19" i="84" s="1"/>
  <c r="N19" i="84"/>
  <c r="AD19" i="84" s="1"/>
  <c r="M19" i="84"/>
  <c r="AC19" i="84" s="1"/>
  <c r="AG18" i="84"/>
  <c r="AB18" i="84"/>
  <c r="AA18" i="84"/>
  <c r="Z18" i="84"/>
  <c r="Y18" i="84"/>
  <c r="X18" i="84"/>
  <c r="W18" i="84"/>
  <c r="V18" i="84"/>
  <c r="O18" i="84"/>
  <c r="AE18" i="84" s="1"/>
  <c r="N18" i="84"/>
  <c r="AD18" i="84" s="1"/>
  <c r="M18" i="84"/>
  <c r="AC18" i="84" s="1"/>
  <c r="AG17" i="84"/>
  <c r="AB17" i="84"/>
  <c r="AA17" i="84"/>
  <c r="Z17" i="84"/>
  <c r="Y17" i="84"/>
  <c r="X17" i="84"/>
  <c r="W17" i="84"/>
  <c r="V17" i="84"/>
  <c r="O17" i="84"/>
  <c r="AE17" i="84" s="1"/>
  <c r="N17" i="84"/>
  <c r="AD17" i="84" s="1"/>
  <c r="M17" i="84"/>
  <c r="AC17" i="84" s="1"/>
  <c r="AG16" i="84"/>
  <c r="AB16" i="84"/>
  <c r="AA16" i="84"/>
  <c r="Z16" i="84"/>
  <c r="Y16" i="84"/>
  <c r="X16" i="84"/>
  <c r="W16" i="84"/>
  <c r="V16" i="84"/>
  <c r="O16" i="84"/>
  <c r="AE16" i="84" s="1"/>
  <c r="N16" i="84"/>
  <c r="AD16" i="84" s="1"/>
  <c r="M16" i="84"/>
  <c r="AC16" i="84" s="1"/>
  <c r="AG15" i="84"/>
  <c r="AB15" i="84"/>
  <c r="AA15" i="84"/>
  <c r="Z15" i="84"/>
  <c r="Y15" i="84"/>
  <c r="X15" i="84"/>
  <c r="W15" i="84"/>
  <c r="V15" i="84"/>
  <c r="O15" i="84"/>
  <c r="AE15" i="84" s="1"/>
  <c r="N15" i="84"/>
  <c r="AD15" i="84" s="1"/>
  <c r="M15" i="84"/>
  <c r="AC15" i="84" s="1"/>
  <c r="AG14" i="84"/>
  <c r="AB14" i="84"/>
  <c r="AA14" i="84"/>
  <c r="Z14" i="84"/>
  <c r="Y14" i="84"/>
  <c r="X14" i="84"/>
  <c r="W14" i="84"/>
  <c r="V14" i="84"/>
  <c r="O14" i="84"/>
  <c r="AE14" i="84" s="1"/>
  <c r="N14" i="84"/>
  <c r="AD14" i="84" s="1"/>
  <c r="M14" i="84"/>
  <c r="AC14" i="84" s="1"/>
  <c r="AG13" i="84"/>
  <c r="AB13" i="84"/>
  <c r="AA13" i="84"/>
  <c r="Z13" i="84"/>
  <c r="Y13" i="84"/>
  <c r="X13" i="84"/>
  <c r="W13" i="84"/>
  <c r="V13" i="84"/>
  <c r="O13" i="84"/>
  <c r="AE13" i="84" s="1"/>
  <c r="N13" i="84"/>
  <c r="AD13" i="84" s="1"/>
  <c r="M13" i="84"/>
  <c r="AC13" i="84" s="1"/>
  <c r="AG12" i="84"/>
  <c r="AB12" i="84"/>
  <c r="AA12" i="84"/>
  <c r="Z12" i="84"/>
  <c r="Y12" i="84"/>
  <c r="X12" i="84"/>
  <c r="W12" i="84"/>
  <c r="V12" i="84"/>
  <c r="O12" i="84"/>
  <c r="AE12" i="84" s="1"/>
  <c r="N12" i="84"/>
  <c r="AD12" i="84" s="1"/>
  <c r="M12" i="84"/>
  <c r="AC12" i="84" s="1"/>
  <c r="AG11" i="84"/>
  <c r="AB11" i="84"/>
  <c r="AA11" i="84"/>
  <c r="Z11" i="84"/>
  <c r="Y11" i="84"/>
  <c r="X11" i="84"/>
  <c r="W11" i="84"/>
  <c r="V11" i="84"/>
  <c r="O11" i="84"/>
  <c r="AE11" i="84" s="1"/>
  <c r="N11" i="84"/>
  <c r="AD11" i="84" s="1"/>
  <c r="M11" i="84"/>
  <c r="AC11" i="84" s="1"/>
  <c r="AG10" i="84"/>
  <c r="AB10" i="84"/>
  <c r="AA10" i="84"/>
  <c r="Z10" i="84"/>
  <c r="Y10" i="84"/>
  <c r="X10" i="84"/>
  <c r="W10" i="84"/>
  <c r="V10" i="84"/>
  <c r="O10" i="84"/>
  <c r="AE10" i="84" s="1"/>
  <c r="N10" i="84"/>
  <c r="AD10" i="84" s="1"/>
  <c r="M10" i="84"/>
  <c r="AC10" i="84" s="1"/>
  <c r="AG9" i="84"/>
  <c r="AB9" i="84"/>
  <c r="AA9" i="84"/>
  <c r="Z9" i="84"/>
  <c r="Y9" i="84"/>
  <c r="X9" i="84"/>
  <c r="W9" i="84"/>
  <c r="V9" i="84"/>
  <c r="O9" i="84"/>
  <c r="AE9" i="84" s="1"/>
  <c r="N9" i="84"/>
  <c r="AD9" i="84" s="1"/>
  <c r="M9" i="84"/>
  <c r="AC9" i="84" s="1"/>
  <c r="AG8" i="84"/>
  <c r="AB8" i="84"/>
  <c r="AA8" i="84"/>
  <c r="Z8" i="84"/>
  <c r="Y8" i="84"/>
  <c r="X8" i="84"/>
  <c r="W8" i="84"/>
  <c r="V8" i="84"/>
  <c r="O8" i="84"/>
  <c r="AE8" i="84" s="1"/>
  <c r="N8" i="84"/>
  <c r="AD8" i="84" s="1"/>
  <c r="M8" i="84"/>
  <c r="AC8" i="84" s="1"/>
  <c r="AG7" i="84"/>
  <c r="AB7" i="84"/>
  <c r="AA7" i="84"/>
  <c r="Z7" i="84"/>
  <c r="Y7" i="84"/>
  <c r="X7" i="84"/>
  <c r="W7" i="84"/>
  <c r="V7" i="84"/>
  <c r="O7" i="84"/>
  <c r="AE7" i="84" s="1"/>
  <c r="N7" i="84"/>
  <c r="AD7" i="84" s="1"/>
  <c r="M7" i="84"/>
  <c r="AC7" i="84" s="1"/>
  <c r="AG6" i="84"/>
  <c r="AB6" i="84"/>
  <c r="AA6" i="84"/>
  <c r="Z6" i="84"/>
  <c r="Y6" i="84"/>
  <c r="X6" i="84"/>
  <c r="W6" i="84"/>
  <c r="V6" i="84"/>
  <c r="O6" i="84"/>
  <c r="AE6" i="84" s="1"/>
  <c r="N6" i="84"/>
  <c r="AD6" i="84" s="1"/>
  <c r="M6" i="84"/>
  <c r="AF5" i="84"/>
  <c r="U5" i="84"/>
  <c r="T5" i="84"/>
  <c r="S5" i="84"/>
  <c r="R5" i="84"/>
  <c r="Q5" i="84"/>
  <c r="P5" i="84"/>
  <c r="L5" i="84"/>
  <c r="K5" i="84"/>
  <c r="J5" i="84"/>
  <c r="I5" i="84"/>
  <c r="H5" i="84"/>
  <c r="G5" i="84"/>
  <c r="F5" i="84"/>
  <c r="E5" i="84"/>
  <c r="X5" i="84" l="1"/>
  <c r="AB5" i="84"/>
  <c r="AG5" i="84"/>
  <c r="N5" i="84"/>
  <c r="AD5" i="84" s="1"/>
  <c r="M5" i="84"/>
  <c r="AC5" i="84" s="1"/>
  <c r="Y5" i="84"/>
  <c r="V5" i="84"/>
  <c r="Z5" i="84"/>
  <c r="W5" i="84"/>
  <c r="AA5" i="84"/>
  <c r="O5" i="84"/>
  <c r="AE5" i="84" s="1"/>
  <c r="AC6" i="84"/>
  <c r="H131" i="55" l="1"/>
  <c r="G131" i="55"/>
  <c r="F131" i="55"/>
  <c r="E131" i="55"/>
  <c r="D131" i="55"/>
  <c r="G131" i="101" l="1"/>
  <c r="F131" i="101"/>
  <c r="E131" i="101"/>
  <c r="D131" i="101"/>
  <c r="G131" i="61"/>
  <c r="F131" i="61"/>
  <c r="E131" i="61"/>
  <c r="D131" i="61"/>
  <c r="K131" i="57"/>
  <c r="J131" i="57"/>
  <c r="I131" i="57"/>
  <c r="O131" i="57"/>
  <c r="N131" i="57"/>
  <c r="M131" i="57"/>
  <c r="E131" i="58"/>
  <c r="E131" i="59"/>
  <c r="D131" i="117"/>
  <c r="F131" i="117"/>
  <c r="E131" i="117"/>
  <c r="I22" i="108" l="1"/>
  <c r="BO131" i="113"/>
  <c r="BO130" i="113"/>
  <c r="BO129" i="113"/>
  <c r="BO128" i="113"/>
  <c r="BO127" i="113"/>
  <c r="BO100" i="113"/>
  <c r="BO99" i="113"/>
  <c r="BO98" i="113"/>
  <c r="BO125" i="113"/>
  <c r="BO124" i="113"/>
  <c r="BO97" i="113"/>
  <c r="BO96" i="113"/>
  <c r="BO95" i="113"/>
  <c r="BO123" i="113"/>
  <c r="BO94" i="113"/>
  <c r="BO93" i="113"/>
  <c r="BO92" i="113"/>
  <c r="BO122" i="113"/>
  <c r="BO91" i="113"/>
  <c r="BO90" i="113"/>
  <c r="BO89" i="113"/>
  <c r="BO88" i="113"/>
  <c r="BO87" i="113"/>
  <c r="BO86" i="113"/>
  <c r="BO85" i="113"/>
  <c r="BO84" i="113"/>
  <c r="BO83" i="113"/>
  <c r="BO82" i="113"/>
  <c r="BO121" i="113"/>
  <c r="BO81" i="113"/>
  <c r="BO120" i="113"/>
  <c r="BO80" i="113"/>
  <c r="BO119" i="113"/>
  <c r="BO79" i="113"/>
  <c r="BO78" i="113"/>
  <c r="BO77" i="113"/>
  <c r="BO76" i="113"/>
  <c r="BO75" i="113"/>
  <c r="BO118" i="113"/>
  <c r="BO74" i="113"/>
  <c r="BO117" i="113"/>
  <c r="BO73" i="113"/>
  <c r="BO72" i="113"/>
  <c r="BO71" i="113"/>
  <c r="BO70" i="113"/>
  <c r="BO116" i="113"/>
  <c r="BO69" i="113"/>
  <c r="BO68" i="113"/>
  <c r="BO115" i="113"/>
  <c r="BO114" i="113"/>
  <c r="BO67" i="113"/>
  <c r="BO66" i="113"/>
  <c r="BO65" i="113"/>
  <c r="BO64" i="113"/>
  <c r="BO63" i="113"/>
  <c r="BO62" i="113"/>
  <c r="BO113" i="113"/>
  <c r="BO112" i="113"/>
  <c r="BO61" i="113"/>
  <c r="BO111" i="113"/>
  <c r="BO60" i="113"/>
  <c r="BO59" i="113"/>
  <c r="BO58" i="113"/>
  <c r="BO57" i="113"/>
  <c r="BO56" i="113"/>
  <c r="BO55" i="113"/>
  <c r="BO54" i="113"/>
  <c r="BO53" i="113"/>
  <c r="BO52" i="113"/>
  <c r="BO51" i="113"/>
  <c r="BO110" i="113"/>
  <c r="BO50" i="113"/>
  <c r="BO49" i="113"/>
  <c r="BO48" i="113"/>
  <c r="BO47" i="113"/>
  <c r="BO109" i="113"/>
  <c r="BO46" i="113"/>
  <c r="BO45" i="113"/>
  <c r="BO44" i="113"/>
  <c r="BO43" i="113"/>
  <c r="BO42" i="113"/>
  <c r="BO41" i="113"/>
  <c r="BO40" i="113"/>
  <c r="BO108" i="113"/>
  <c r="BO107" i="113"/>
  <c r="BO39" i="113"/>
  <c r="BO38" i="113"/>
  <c r="BO106" i="113"/>
  <c r="BO37" i="113"/>
  <c r="BO36" i="113"/>
  <c r="BO35" i="113"/>
  <c r="BO34" i="113"/>
  <c r="BO33" i="113"/>
  <c r="BO32" i="113"/>
  <c r="BO31" i="113"/>
  <c r="BO105" i="113"/>
  <c r="BO30" i="113"/>
  <c r="BO29" i="113"/>
  <c r="BO28" i="113"/>
  <c r="BO27" i="113"/>
  <c r="BO26" i="113"/>
  <c r="BO104" i="113"/>
  <c r="BO103" i="113"/>
  <c r="BO25" i="113"/>
  <c r="BO24" i="113"/>
  <c r="BO23" i="113"/>
  <c r="BO22" i="113"/>
  <c r="BO21" i="113"/>
  <c r="BO20" i="113"/>
  <c r="BO19" i="113"/>
  <c r="BO18" i="113"/>
  <c r="BO102" i="113"/>
  <c r="BO17" i="113"/>
  <c r="BO16" i="113"/>
  <c r="BO15" i="113"/>
  <c r="BO14" i="113"/>
  <c r="BO13" i="113"/>
  <c r="BO12" i="113"/>
  <c r="BO11" i="113"/>
  <c r="BO10" i="113"/>
  <c r="BO9" i="113"/>
  <c r="BO8" i="113"/>
  <c r="BO101" i="113"/>
  <c r="BO7" i="113"/>
  <c r="BO6" i="113"/>
  <c r="BO5" i="113"/>
  <c r="D131" i="114"/>
  <c r="D130" i="114"/>
  <c r="D129" i="114"/>
  <c r="D128" i="114"/>
  <c r="D127" i="114"/>
  <c r="D99" i="114"/>
  <c r="H131" i="114"/>
  <c r="H130" i="114"/>
  <c r="H129" i="114"/>
  <c r="H128" i="114"/>
  <c r="H127" i="114"/>
  <c r="H7" i="114"/>
  <c r="H101" i="114"/>
  <c r="H8" i="114"/>
  <c r="H9" i="114"/>
  <c r="H10" i="114"/>
  <c r="H11" i="114"/>
  <c r="H12" i="114"/>
  <c r="H13" i="114"/>
  <c r="H14" i="114"/>
  <c r="H15" i="114"/>
  <c r="H16" i="114"/>
  <c r="H17" i="114"/>
  <c r="H102" i="114"/>
  <c r="H18" i="114"/>
  <c r="H19" i="114"/>
  <c r="H20" i="114"/>
  <c r="H21" i="114"/>
  <c r="H22" i="114"/>
  <c r="H23" i="114"/>
  <c r="H24" i="114"/>
  <c r="H25" i="114"/>
  <c r="H103" i="114"/>
  <c r="H104" i="114"/>
  <c r="H26" i="114"/>
  <c r="H27" i="114"/>
  <c r="H28" i="114"/>
  <c r="H29" i="114"/>
  <c r="H30" i="114"/>
  <c r="H105" i="114"/>
  <c r="H31" i="114"/>
  <c r="H32" i="114"/>
  <c r="H33" i="114"/>
  <c r="H34" i="114"/>
  <c r="H35" i="114"/>
  <c r="H36" i="114"/>
  <c r="H37" i="114"/>
  <c r="H106" i="114"/>
  <c r="H38" i="114"/>
  <c r="H39" i="114"/>
  <c r="H107" i="114"/>
  <c r="H108" i="114"/>
  <c r="H40" i="114"/>
  <c r="H41" i="114"/>
  <c r="H42" i="114"/>
  <c r="H43" i="114"/>
  <c r="H44" i="114"/>
  <c r="H45" i="114"/>
  <c r="H46" i="114"/>
  <c r="H109" i="114"/>
  <c r="H47" i="114"/>
  <c r="H48" i="114"/>
  <c r="H49" i="114"/>
  <c r="H50" i="114"/>
  <c r="H110" i="114"/>
  <c r="H51" i="114"/>
  <c r="H52" i="114"/>
  <c r="H53" i="114"/>
  <c r="H54" i="114"/>
  <c r="H55" i="114"/>
  <c r="H56" i="114"/>
  <c r="H57" i="114"/>
  <c r="H58" i="114"/>
  <c r="H59" i="114"/>
  <c r="H60" i="114"/>
  <c r="H111" i="114"/>
  <c r="H61" i="114"/>
  <c r="H112" i="114"/>
  <c r="H113" i="114"/>
  <c r="H62" i="114"/>
  <c r="H63" i="114"/>
  <c r="H64" i="114"/>
  <c r="H65" i="114"/>
  <c r="H66" i="114"/>
  <c r="H67" i="114"/>
  <c r="H114" i="114"/>
  <c r="H115" i="114"/>
  <c r="H68" i="114"/>
  <c r="H69" i="114"/>
  <c r="H116" i="114"/>
  <c r="H70" i="114"/>
  <c r="H71" i="114"/>
  <c r="H72" i="114"/>
  <c r="H73" i="114"/>
  <c r="H117" i="114"/>
  <c r="H74" i="114"/>
  <c r="H118" i="114"/>
  <c r="H75" i="114"/>
  <c r="H76" i="114"/>
  <c r="H77" i="114"/>
  <c r="H78" i="114"/>
  <c r="H79" i="114"/>
  <c r="H119" i="114"/>
  <c r="H80" i="114"/>
  <c r="H120" i="114"/>
  <c r="H81" i="114"/>
  <c r="H121" i="114"/>
  <c r="H82" i="114"/>
  <c r="H83" i="114"/>
  <c r="H84" i="114"/>
  <c r="H85" i="114"/>
  <c r="H86" i="114"/>
  <c r="H87" i="114"/>
  <c r="H88" i="114"/>
  <c r="H89" i="114"/>
  <c r="H90" i="114"/>
  <c r="H91" i="114"/>
  <c r="H122" i="114"/>
  <c r="H92" i="114"/>
  <c r="H93" i="114"/>
  <c r="H94" i="114"/>
  <c r="H123" i="114"/>
  <c r="H95" i="114"/>
  <c r="H96" i="114"/>
  <c r="H97" i="114"/>
  <c r="H124" i="114"/>
  <c r="H125" i="114"/>
  <c r="H98" i="114"/>
  <c r="H99" i="114"/>
  <c r="H100" i="114"/>
  <c r="H6" i="114"/>
  <c r="D7" i="114"/>
  <c r="D101" i="114"/>
  <c r="D8" i="114"/>
  <c r="D9" i="114"/>
  <c r="D10" i="114"/>
  <c r="D11" i="114"/>
  <c r="D12" i="114"/>
  <c r="D13" i="114"/>
  <c r="D14" i="114"/>
  <c r="D15" i="114"/>
  <c r="D16" i="114"/>
  <c r="D17" i="114"/>
  <c r="D102" i="114"/>
  <c r="D18" i="114"/>
  <c r="D19" i="114"/>
  <c r="D20" i="114"/>
  <c r="D21" i="114"/>
  <c r="D22" i="114"/>
  <c r="D23" i="114"/>
  <c r="D24" i="114"/>
  <c r="D25" i="114"/>
  <c r="D103" i="114"/>
  <c r="D104" i="114"/>
  <c r="D26" i="114"/>
  <c r="D27" i="114"/>
  <c r="D28" i="114"/>
  <c r="D29" i="114"/>
  <c r="D30" i="114"/>
  <c r="D105" i="114"/>
  <c r="D31" i="114"/>
  <c r="D32" i="114"/>
  <c r="D33" i="114"/>
  <c r="D34" i="114"/>
  <c r="D35" i="114"/>
  <c r="D36" i="114"/>
  <c r="D37" i="114"/>
  <c r="D106" i="114"/>
  <c r="D38" i="114"/>
  <c r="D39" i="114"/>
  <c r="D107" i="114"/>
  <c r="D108" i="114"/>
  <c r="D40" i="114"/>
  <c r="D41" i="114"/>
  <c r="D42" i="114"/>
  <c r="D43" i="114"/>
  <c r="D44" i="114"/>
  <c r="D45" i="114"/>
  <c r="D46" i="114"/>
  <c r="D109" i="114"/>
  <c r="D47" i="114"/>
  <c r="D48" i="114"/>
  <c r="D49" i="114"/>
  <c r="D50" i="114"/>
  <c r="D110" i="114"/>
  <c r="D51" i="114"/>
  <c r="D52" i="114"/>
  <c r="D53" i="114"/>
  <c r="D54" i="114"/>
  <c r="D55" i="114"/>
  <c r="D56" i="114"/>
  <c r="D57" i="114"/>
  <c r="D58" i="114"/>
  <c r="D59" i="114"/>
  <c r="D60" i="114"/>
  <c r="D111" i="114"/>
  <c r="D61" i="114"/>
  <c r="D112" i="114"/>
  <c r="D113" i="114"/>
  <c r="D62" i="114"/>
  <c r="D63" i="114"/>
  <c r="D64" i="114"/>
  <c r="D65" i="114"/>
  <c r="D66" i="114"/>
  <c r="D67" i="114"/>
  <c r="D114" i="114"/>
  <c r="D115" i="114"/>
  <c r="D68" i="114"/>
  <c r="D69" i="114"/>
  <c r="D116" i="114"/>
  <c r="D70" i="114"/>
  <c r="D71" i="114"/>
  <c r="D72" i="114"/>
  <c r="D73" i="114"/>
  <c r="D117" i="114"/>
  <c r="D74" i="114"/>
  <c r="D118" i="114"/>
  <c r="D75" i="114"/>
  <c r="D76" i="114"/>
  <c r="D77" i="114"/>
  <c r="D78" i="114"/>
  <c r="D79" i="114"/>
  <c r="D119" i="114"/>
  <c r="D80" i="114"/>
  <c r="D120" i="114"/>
  <c r="D81" i="114"/>
  <c r="D121" i="114"/>
  <c r="D82" i="114"/>
  <c r="D83" i="114"/>
  <c r="D84" i="114"/>
  <c r="D85" i="114"/>
  <c r="D86" i="114"/>
  <c r="D87" i="114"/>
  <c r="D88" i="114"/>
  <c r="D89" i="114"/>
  <c r="D90" i="114"/>
  <c r="D91" i="114"/>
  <c r="D122" i="114"/>
  <c r="D92" i="114"/>
  <c r="D93" i="114"/>
  <c r="D94" i="114"/>
  <c r="D123" i="114"/>
  <c r="D95" i="114"/>
  <c r="D96" i="114"/>
  <c r="D97" i="114"/>
  <c r="D124" i="114"/>
  <c r="D125" i="114"/>
  <c r="D98" i="114"/>
  <c r="D100" i="114"/>
  <c r="D6" i="114"/>
  <c r="D22" i="108" l="1"/>
  <c r="BO128" i="109"/>
  <c r="BO129" i="109"/>
  <c r="BO130" i="109"/>
  <c r="BO131" i="109"/>
  <c r="BO127" i="109"/>
  <c r="BO100" i="109"/>
  <c r="BO99" i="109"/>
  <c r="BO98" i="109"/>
  <c r="BO125" i="109"/>
  <c r="BO124" i="109"/>
  <c r="BO97" i="109"/>
  <c r="BO96" i="109"/>
  <c r="BO95" i="109"/>
  <c r="BO123" i="109"/>
  <c r="BO94" i="109"/>
  <c r="BO93" i="109"/>
  <c r="BO92" i="109"/>
  <c r="BO122" i="109"/>
  <c r="BO91" i="109"/>
  <c r="BO90" i="109"/>
  <c r="BO89" i="109"/>
  <c r="BO88" i="109"/>
  <c r="BO87" i="109"/>
  <c r="BO86" i="109"/>
  <c r="BO85" i="109"/>
  <c r="BO84" i="109"/>
  <c r="BO83" i="109"/>
  <c r="BO82" i="109"/>
  <c r="BO121" i="109"/>
  <c r="BO81" i="109"/>
  <c r="BO120" i="109"/>
  <c r="BO80" i="109"/>
  <c r="BO119" i="109"/>
  <c r="BO79" i="109"/>
  <c r="BO78" i="109"/>
  <c r="BO77" i="109"/>
  <c r="BO76" i="109"/>
  <c r="BO75" i="109"/>
  <c r="BO118" i="109"/>
  <c r="BO74" i="109"/>
  <c r="BO117" i="109"/>
  <c r="BO73" i="109"/>
  <c r="BO72" i="109"/>
  <c r="BO71" i="109"/>
  <c r="BO70" i="109"/>
  <c r="BO116" i="109"/>
  <c r="BO69" i="109"/>
  <c r="BO68" i="109"/>
  <c r="BO115" i="109"/>
  <c r="BO114" i="109"/>
  <c r="BO67" i="109"/>
  <c r="BO66" i="109"/>
  <c r="BO65" i="109"/>
  <c r="BO64" i="109"/>
  <c r="BO63" i="109"/>
  <c r="BO62" i="109"/>
  <c r="BO113" i="109"/>
  <c r="BO112" i="109"/>
  <c r="BO61" i="109"/>
  <c r="BO111" i="109"/>
  <c r="BO60" i="109"/>
  <c r="BO59" i="109"/>
  <c r="BO58" i="109"/>
  <c r="BO57" i="109"/>
  <c r="BO56" i="109"/>
  <c r="BO55" i="109"/>
  <c r="BO54" i="109"/>
  <c r="BO53" i="109"/>
  <c r="BO52" i="109"/>
  <c r="BO51" i="109"/>
  <c r="BO110" i="109"/>
  <c r="BO50" i="109"/>
  <c r="BO49" i="109"/>
  <c r="BO48" i="109"/>
  <c r="BO47" i="109"/>
  <c r="BO109" i="109"/>
  <c r="BO46" i="109"/>
  <c r="BO45" i="109"/>
  <c r="BO44" i="109"/>
  <c r="BO43" i="109"/>
  <c r="BO42" i="109"/>
  <c r="BO41" i="109"/>
  <c r="BO40" i="109"/>
  <c r="BO108" i="109"/>
  <c r="BO107" i="109"/>
  <c r="BO39" i="109"/>
  <c r="BO38" i="109"/>
  <c r="BO106" i="109"/>
  <c r="BO37" i="109"/>
  <c r="BO36" i="109"/>
  <c r="BO35" i="109"/>
  <c r="BO34" i="109"/>
  <c r="BO33" i="109"/>
  <c r="BO32" i="109"/>
  <c r="BO31" i="109"/>
  <c r="BO105" i="109"/>
  <c r="BO30" i="109"/>
  <c r="BO29" i="109"/>
  <c r="BO28" i="109"/>
  <c r="BO27" i="109"/>
  <c r="BO26" i="109"/>
  <c r="BO104" i="109"/>
  <c r="BO103" i="109"/>
  <c r="BO25" i="109"/>
  <c r="BO24" i="109"/>
  <c r="BO23" i="109"/>
  <c r="BO22" i="109"/>
  <c r="BO21" i="109"/>
  <c r="BO20" i="109"/>
  <c r="BO19" i="109"/>
  <c r="BO18" i="109"/>
  <c r="BO102" i="109"/>
  <c r="BO17" i="109"/>
  <c r="BO16" i="109"/>
  <c r="BO15" i="109"/>
  <c r="BO14" i="109"/>
  <c r="BO13" i="109"/>
  <c r="BO12" i="109"/>
  <c r="BO11" i="109"/>
  <c r="BO10" i="109"/>
  <c r="BO9" i="109"/>
  <c r="BO8" i="109"/>
  <c r="BO101" i="109"/>
  <c r="BO7" i="109"/>
  <c r="BO6" i="109"/>
  <c r="BO5" i="109"/>
  <c r="H129" i="73"/>
  <c r="H130" i="73"/>
  <c r="H131" i="73"/>
  <c r="H132" i="73"/>
  <c r="H128" i="73"/>
  <c r="D129" i="73"/>
  <c r="D130" i="73"/>
  <c r="D131" i="73"/>
  <c r="D132" i="73"/>
  <c r="D128" i="73"/>
  <c r="F55" i="1" l="1"/>
  <c r="BH130" i="24"/>
  <c r="BH129" i="24"/>
  <c r="BH128" i="24"/>
  <c r="BH127" i="24"/>
  <c r="BH126" i="24"/>
  <c r="BH124" i="24"/>
  <c r="BH123" i="24"/>
  <c r="BH122" i="24"/>
  <c r="BH121" i="24"/>
  <c r="BH120" i="24"/>
  <c r="BH119" i="24"/>
  <c r="BH118" i="24"/>
  <c r="BH117" i="24"/>
  <c r="BH116" i="24"/>
  <c r="BH115" i="24"/>
  <c r="BH114" i="24"/>
  <c r="BH113" i="24"/>
  <c r="BH112" i="24"/>
  <c r="BH111" i="24"/>
  <c r="BH110" i="24"/>
  <c r="BH109" i="24"/>
  <c r="BH108" i="24"/>
  <c r="BH107" i="24"/>
  <c r="BH106" i="24"/>
  <c r="BH105" i="24"/>
  <c r="BH104" i="24"/>
  <c r="BH103" i="24"/>
  <c r="BH102" i="24"/>
  <c r="BH101" i="24"/>
  <c r="BH100" i="24"/>
  <c r="BH99" i="24"/>
  <c r="BH98" i="24"/>
  <c r="BH97" i="24"/>
  <c r="BH96" i="24"/>
  <c r="BH95" i="24"/>
  <c r="BH94" i="24"/>
  <c r="BH93" i="24"/>
  <c r="BH92" i="24"/>
  <c r="BH91" i="24"/>
  <c r="BH90" i="24"/>
  <c r="BH89" i="24"/>
  <c r="BH88" i="24"/>
  <c r="BH87" i="24"/>
  <c r="BH86" i="24"/>
  <c r="BH85" i="24"/>
  <c r="BH84" i="24"/>
  <c r="BH83" i="24"/>
  <c r="BH82" i="24"/>
  <c r="BH81" i="24"/>
  <c r="BH80" i="24"/>
  <c r="BH79" i="24"/>
  <c r="BH78" i="24"/>
  <c r="BH77" i="24"/>
  <c r="BH76" i="24"/>
  <c r="BH75" i="24"/>
  <c r="BH74" i="24"/>
  <c r="BH73" i="24"/>
  <c r="BH72" i="24"/>
  <c r="BH71" i="24"/>
  <c r="BH70" i="24"/>
  <c r="BH69" i="24"/>
  <c r="BH68" i="24"/>
  <c r="BH67" i="24"/>
  <c r="BH66" i="24"/>
  <c r="BH65" i="24"/>
  <c r="BH64" i="24"/>
  <c r="BH63" i="24"/>
  <c r="BH62" i="24"/>
  <c r="BH61" i="24"/>
  <c r="BH60" i="24"/>
  <c r="BH59" i="24"/>
  <c r="BH58" i="24"/>
  <c r="BH57" i="24"/>
  <c r="BH56" i="24"/>
  <c r="BH55" i="24"/>
  <c r="BH54" i="24"/>
  <c r="BH53" i="24"/>
  <c r="BH52" i="24"/>
  <c r="BH51" i="24"/>
  <c r="BH50" i="24"/>
  <c r="BH49" i="24"/>
  <c r="BH48" i="24"/>
  <c r="BH47" i="24"/>
  <c r="BH46" i="24"/>
  <c r="BH45" i="24"/>
  <c r="BH44" i="24"/>
  <c r="BH43" i="24"/>
  <c r="BH42" i="24"/>
  <c r="BH41" i="24"/>
  <c r="BH40" i="24"/>
  <c r="BH39" i="24"/>
  <c r="BH38" i="24"/>
  <c r="BH37" i="24"/>
  <c r="BH36" i="24"/>
  <c r="BH35" i="24"/>
  <c r="BH34" i="24"/>
  <c r="BH33" i="24"/>
  <c r="BH32" i="24"/>
  <c r="BH31" i="24"/>
  <c r="BH30" i="24"/>
  <c r="BH29" i="24"/>
  <c r="BH28" i="24"/>
  <c r="BH27" i="24"/>
  <c r="BH26" i="24"/>
  <c r="BH25" i="24"/>
  <c r="BH24" i="24"/>
  <c r="BH23" i="24"/>
  <c r="BH22" i="24"/>
  <c r="BH21" i="24"/>
  <c r="BH20" i="24"/>
  <c r="BH19" i="24"/>
  <c r="BH18" i="24"/>
  <c r="BH17" i="24"/>
  <c r="BH16" i="24"/>
  <c r="BH15" i="24"/>
  <c r="BH14" i="24"/>
  <c r="BH13" i="24"/>
  <c r="BH12" i="24"/>
  <c r="BH11" i="24"/>
  <c r="BH10" i="24"/>
  <c r="BH9" i="24"/>
  <c r="BH8" i="24"/>
  <c r="BH7" i="24"/>
  <c r="BH6" i="24"/>
  <c r="BH5" i="24"/>
  <c r="BG4" i="24"/>
  <c r="BF4" i="24"/>
  <c r="BH4" i="24" l="1"/>
  <c r="F99" i="115" l="1"/>
  <c r="D99" i="115" s="1"/>
  <c r="F98" i="115"/>
  <c r="D98" i="115" s="1"/>
  <c r="F97" i="115"/>
  <c r="D97" i="115" s="1"/>
  <c r="F124" i="115"/>
  <c r="D124" i="115" s="1"/>
  <c r="F123" i="115"/>
  <c r="D123" i="115" s="1"/>
  <c r="F96" i="115"/>
  <c r="D96" i="115" s="1"/>
  <c r="F95" i="115"/>
  <c r="D95" i="115" s="1"/>
  <c r="F94" i="115"/>
  <c r="D94" i="115" s="1"/>
  <c r="F122" i="115"/>
  <c r="D122" i="115" s="1"/>
  <c r="F93" i="115"/>
  <c r="D93" i="115" s="1"/>
  <c r="F92" i="115"/>
  <c r="D92" i="115" s="1"/>
  <c r="F91" i="115"/>
  <c r="D91" i="115" s="1"/>
  <c r="F121" i="115"/>
  <c r="D121" i="115" s="1"/>
  <c r="F90" i="115"/>
  <c r="D90" i="115" s="1"/>
  <c r="F89" i="115"/>
  <c r="D89" i="115" s="1"/>
  <c r="F88" i="115"/>
  <c r="D88" i="115" s="1"/>
  <c r="F87" i="115"/>
  <c r="D87" i="115" s="1"/>
  <c r="F86" i="115"/>
  <c r="D86" i="115" s="1"/>
  <c r="F85" i="115"/>
  <c r="D85" i="115" s="1"/>
  <c r="F84" i="115"/>
  <c r="D84" i="115" s="1"/>
  <c r="F83" i="115"/>
  <c r="D83" i="115" s="1"/>
  <c r="F82" i="115"/>
  <c r="D82" i="115" s="1"/>
  <c r="F81" i="115"/>
  <c r="D81" i="115" s="1"/>
  <c r="F120" i="115"/>
  <c r="D120" i="115" s="1"/>
  <c r="F80" i="115"/>
  <c r="D80" i="115" s="1"/>
  <c r="F119" i="115"/>
  <c r="D119" i="115" s="1"/>
  <c r="F79" i="115"/>
  <c r="D79" i="115" s="1"/>
  <c r="F118" i="115"/>
  <c r="D118" i="115" s="1"/>
  <c r="F78" i="115"/>
  <c r="D78" i="115" s="1"/>
  <c r="F77" i="115"/>
  <c r="D77" i="115" s="1"/>
  <c r="F76" i="115"/>
  <c r="D76" i="115" s="1"/>
  <c r="F75" i="115"/>
  <c r="D75" i="115" s="1"/>
  <c r="F74" i="115"/>
  <c r="D74" i="115" s="1"/>
  <c r="F117" i="115"/>
  <c r="D117" i="115" s="1"/>
  <c r="F73" i="115"/>
  <c r="D73" i="115" s="1"/>
  <c r="F116" i="115"/>
  <c r="D116" i="115" s="1"/>
  <c r="F72" i="115"/>
  <c r="D72" i="115" s="1"/>
  <c r="F71" i="115"/>
  <c r="D71" i="115" s="1"/>
  <c r="F70" i="115"/>
  <c r="D70" i="115" s="1"/>
  <c r="F69" i="115"/>
  <c r="D69" i="115" s="1"/>
  <c r="F115" i="115"/>
  <c r="D115" i="115" s="1"/>
  <c r="F68" i="115"/>
  <c r="D68" i="115" s="1"/>
  <c r="F67" i="115"/>
  <c r="D67" i="115" s="1"/>
  <c r="F114" i="115"/>
  <c r="D114" i="115" s="1"/>
  <c r="F113" i="115"/>
  <c r="D113" i="115" s="1"/>
  <c r="F66" i="115"/>
  <c r="D66" i="115" s="1"/>
  <c r="F65" i="115"/>
  <c r="D65" i="115" s="1"/>
  <c r="F64" i="115"/>
  <c r="D64" i="115" s="1"/>
  <c r="F63" i="115"/>
  <c r="D63" i="115" s="1"/>
  <c r="F62" i="115"/>
  <c r="D62" i="115" s="1"/>
  <c r="F61" i="115"/>
  <c r="D61" i="115" s="1"/>
  <c r="F112" i="115"/>
  <c r="D112" i="115" s="1"/>
  <c r="F111" i="115"/>
  <c r="D111" i="115" s="1"/>
  <c r="F60" i="115"/>
  <c r="D60" i="115" s="1"/>
  <c r="F110" i="115"/>
  <c r="D110" i="115" s="1"/>
  <c r="F59" i="115"/>
  <c r="D59" i="115" s="1"/>
  <c r="F58" i="115"/>
  <c r="D58" i="115" s="1"/>
  <c r="F57" i="115"/>
  <c r="D57" i="115" s="1"/>
  <c r="F56" i="115"/>
  <c r="D56" i="115" s="1"/>
  <c r="F55" i="115"/>
  <c r="D55" i="115" s="1"/>
  <c r="F54" i="115"/>
  <c r="D54" i="115" s="1"/>
  <c r="F53" i="115"/>
  <c r="D53" i="115" s="1"/>
  <c r="F52" i="115"/>
  <c r="D52" i="115" s="1"/>
  <c r="F51" i="115"/>
  <c r="D51" i="115" s="1"/>
  <c r="F50" i="115"/>
  <c r="D50" i="115" s="1"/>
  <c r="F109" i="115"/>
  <c r="D109" i="115" s="1"/>
  <c r="F49" i="115"/>
  <c r="D49" i="115" s="1"/>
  <c r="F48" i="115"/>
  <c r="D48" i="115" s="1"/>
  <c r="F47" i="115"/>
  <c r="D47" i="115" s="1"/>
  <c r="F46" i="115"/>
  <c r="D46" i="115" s="1"/>
  <c r="F108" i="115"/>
  <c r="D108" i="115" s="1"/>
  <c r="F45" i="115"/>
  <c r="D45" i="115" s="1"/>
  <c r="F44" i="115"/>
  <c r="D44" i="115" s="1"/>
  <c r="F43" i="115"/>
  <c r="D43" i="115" s="1"/>
  <c r="F42" i="115"/>
  <c r="D42" i="115" s="1"/>
  <c r="F41" i="115"/>
  <c r="D41" i="115" s="1"/>
  <c r="F40" i="115"/>
  <c r="D40" i="115" s="1"/>
  <c r="F39" i="115"/>
  <c r="D39" i="115" s="1"/>
  <c r="F107" i="115"/>
  <c r="D107" i="115" s="1"/>
  <c r="F106" i="115"/>
  <c r="D106" i="115" s="1"/>
  <c r="F38" i="115"/>
  <c r="D38" i="115" s="1"/>
  <c r="F37" i="115"/>
  <c r="D37" i="115" s="1"/>
  <c r="F105" i="115"/>
  <c r="D105" i="115" s="1"/>
  <c r="F36" i="115"/>
  <c r="D36" i="115" s="1"/>
  <c r="F35" i="115"/>
  <c r="D35" i="115" s="1"/>
  <c r="F34" i="115"/>
  <c r="D34" i="115" s="1"/>
  <c r="F33" i="115"/>
  <c r="D33" i="115" s="1"/>
  <c r="F32" i="115"/>
  <c r="D32" i="115" s="1"/>
  <c r="F31" i="115"/>
  <c r="D31" i="115" s="1"/>
  <c r="F30" i="115"/>
  <c r="D30" i="115" s="1"/>
  <c r="F104" i="115"/>
  <c r="D104" i="115" s="1"/>
  <c r="F29" i="115"/>
  <c r="D29" i="115" s="1"/>
  <c r="F28" i="115"/>
  <c r="D28" i="115" s="1"/>
  <c r="F27" i="115"/>
  <c r="D27" i="115" s="1"/>
  <c r="F26" i="115"/>
  <c r="D26" i="115" s="1"/>
  <c r="F25" i="115"/>
  <c r="D25" i="115" s="1"/>
  <c r="F103" i="115"/>
  <c r="D103" i="115" s="1"/>
  <c r="F102" i="115"/>
  <c r="D102" i="115" s="1"/>
  <c r="F24" i="115"/>
  <c r="D24" i="115" s="1"/>
  <c r="F23" i="115"/>
  <c r="D23" i="115" s="1"/>
  <c r="F22" i="115"/>
  <c r="D22" i="115" s="1"/>
  <c r="F21" i="115"/>
  <c r="D21" i="115" s="1"/>
  <c r="F20" i="115"/>
  <c r="D20" i="115" s="1"/>
  <c r="F19" i="115"/>
  <c r="D19" i="115" s="1"/>
  <c r="F18" i="115"/>
  <c r="D18" i="115" s="1"/>
  <c r="F17" i="115"/>
  <c r="D17" i="115" s="1"/>
  <c r="F101" i="115"/>
  <c r="D101" i="115" s="1"/>
  <c r="F16" i="115"/>
  <c r="D16" i="115" s="1"/>
  <c r="F15" i="115"/>
  <c r="D15" i="115" s="1"/>
  <c r="F14" i="115"/>
  <c r="D14" i="115" s="1"/>
  <c r="F13" i="115"/>
  <c r="D13" i="115" s="1"/>
  <c r="F12" i="115"/>
  <c r="D12" i="115" s="1"/>
  <c r="F11" i="115"/>
  <c r="D11" i="115" s="1"/>
  <c r="F10" i="115"/>
  <c r="D10" i="115" s="1"/>
  <c r="F9" i="115"/>
  <c r="D9" i="115" s="1"/>
  <c r="F8" i="115"/>
  <c r="D8" i="115" s="1"/>
  <c r="F7" i="115"/>
  <c r="D7" i="115" s="1"/>
  <c r="F100" i="115"/>
  <c r="D100" i="115" s="1"/>
  <c r="F6" i="115"/>
  <c r="D6" i="115" s="1"/>
  <c r="F5" i="115"/>
  <c r="D5" i="115" s="1"/>
  <c r="H100" i="91"/>
  <c r="H99" i="91"/>
  <c r="H98" i="91"/>
  <c r="H125" i="91"/>
  <c r="H124" i="91"/>
  <c r="H97" i="91"/>
  <c r="H96" i="91"/>
  <c r="H95" i="91"/>
  <c r="H123" i="91"/>
  <c r="H94" i="91"/>
  <c r="H93" i="91"/>
  <c r="H92" i="91"/>
  <c r="H122" i="91"/>
  <c r="H91" i="91"/>
  <c r="H90" i="91"/>
  <c r="H89" i="91"/>
  <c r="H88" i="91"/>
  <c r="H87" i="91"/>
  <c r="H86" i="91"/>
  <c r="H85" i="91"/>
  <c r="H84" i="91"/>
  <c r="H83" i="91"/>
  <c r="H82" i="91"/>
  <c r="H121" i="91"/>
  <c r="H81" i="91"/>
  <c r="H120" i="91"/>
  <c r="H80" i="91"/>
  <c r="H119" i="91"/>
  <c r="H79" i="91"/>
  <c r="H78" i="91"/>
  <c r="H77" i="91"/>
  <c r="H76" i="91"/>
  <c r="H75" i="91"/>
  <c r="H118" i="91"/>
  <c r="H74" i="91"/>
  <c r="H117" i="91"/>
  <c r="H73" i="91"/>
  <c r="H72" i="91"/>
  <c r="H71" i="91"/>
  <c r="H70" i="91"/>
  <c r="H116" i="91"/>
  <c r="H69" i="91"/>
  <c r="H68" i="91"/>
  <c r="H115" i="91"/>
  <c r="H114" i="91"/>
  <c r="H67" i="91"/>
  <c r="H66" i="91"/>
  <c r="H65" i="91"/>
  <c r="H64" i="91"/>
  <c r="H63" i="91"/>
  <c r="H62" i="91"/>
  <c r="H113" i="91"/>
  <c r="H112" i="91"/>
  <c r="H61" i="91"/>
  <c r="H111" i="91"/>
  <c r="H60" i="91"/>
  <c r="H59" i="91"/>
  <c r="H58" i="91"/>
  <c r="H57" i="91"/>
  <c r="H56" i="91"/>
  <c r="H55" i="91"/>
  <c r="H54" i="91"/>
  <c r="H53" i="91"/>
  <c r="H52" i="91"/>
  <c r="H51" i="91"/>
  <c r="H110" i="91"/>
  <c r="H50" i="91"/>
  <c r="H49" i="91"/>
  <c r="H48" i="91"/>
  <c r="H47" i="91"/>
  <c r="H109" i="91"/>
  <c r="H46" i="91"/>
  <c r="H45" i="91"/>
  <c r="H44" i="91"/>
  <c r="H43" i="91"/>
  <c r="H42" i="91"/>
  <c r="H41" i="91"/>
  <c r="H40" i="91"/>
  <c r="H108" i="91"/>
  <c r="H107" i="91"/>
  <c r="H39" i="91"/>
  <c r="H38" i="91"/>
  <c r="H106" i="91"/>
  <c r="H37" i="91"/>
  <c r="H36" i="91"/>
  <c r="H35" i="91"/>
  <c r="H34" i="91"/>
  <c r="H33" i="91"/>
  <c r="H32" i="91"/>
  <c r="H31" i="91"/>
  <c r="H105" i="91"/>
  <c r="H30" i="91"/>
  <c r="H29" i="91"/>
  <c r="H28" i="91"/>
  <c r="H27" i="91"/>
  <c r="H26" i="91"/>
  <c r="H104" i="91"/>
  <c r="H103" i="91"/>
  <c r="H25" i="91"/>
  <c r="H24" i="91"/>
  <c r="H23" i="91"/>
  <c r="H22" i="91"/>
  <c r="H21" i="91"/>
  <c r="H20" i="91"/>
  <c r="H19" i="91"/>
  <c r="H18" i="91"/>
  <c r="H102" i="91"/>
  <c r="H17" i="91"/>
  <c r="H16" i="91"/>
  <c r="H15" i="91"/>
  <c r="H14" i="91"/>
  <c r="H13" i="91"/>
  <c r="H12" i="91"/>
  <c r="H11" i="91"/>
  <c r="H10" i="91"/>
  <c r="H9" i="91"/>
  <c r="H8" i="91"/>
  <c r="H101" i="91"/>
  <c r="H7" i="91"/>
  <c r="H6" i="91"/>
  <c r="H38" i="1" l="1"/>
  <c r="G38" i="1"/>
  <c r="E126" i="57" l="1"/>
  <c r="F126" i="57"/>
  <c r="G126" i="57"/>
  <c r="E127" i="57"/>
  <c r="F127" i="57"/>
  <c r="G127" i="57"/>
  <c r="E128" i="57"/>
  <c r="F128" i="57"/>
  <c r="G128" i="57"/>
  <c r="E129" i="57"/>
  <c r="F129" i="57"/>
  <c r="G129" i="57"/>
  <c r="E130" i="57"/>
  <c r="F130" i="57"/>
  <c r="G130" i="57"/>
  <c r="F21" i="123"/>
  <c r="G19" i="123"/>
  <c r="F19" i="123"/>
  <c r="F18" i="123"/>
  <c r="G16" i="123"/>
  <c r="F16" i="123"/>
  <c r="F10" i="123"/>
  <c r="C29" i="108" s="1"/>
  <c r="F7" i="123"/>
  <c r="F6" i="123"/>
  <c r="E7" i="123"/>
  <c r="E6" i="123"/>
  <c r="D7" i="123"/>
  <c r="D6" i="123"/>
  <c r="J130" i="62" l="1"/>
  <c r="J129" i="62"/>
  <c r="J128" i="62"/>
  <c r="J127" i="62"/>
  <c r="J126" i="62"/>
  <c r="G21" i="123" s="1"/>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J77" i="62"/>
  <c r="J76" i="62"/>
  <c r="J75" i="62"/>
  <c r="J74" i="62"/>
  <c r="J73" i="62"/>
  <c r="J72" i="62"/>
  <c r="J71" i="62"/>
  <c r="J70" i="62"/>
  <c r="J69" i="62"/>
  <c r="J68" i="62"/>
  <c r="J67" i="62"/>
  <c r="J66" i="62"/>
  <c r="J65" i="62"/>
  <c r="J64" i="62"/>
  <c r="J63" i="62"/>
  <c r="J62" i="62"/>
  <c r="J61" i="62"/>
  <c r="J60" i="62"/>
  <c r="J59" i="62"/>
  <c r="J58" i="62"/>
  <c r="J57" i="62"/>
  <c r="J56" i="62"/>
  <c r="J55" i="62"/>
  <c r="J54" i="62"/>
  <c r="J53" i="62"/>
  <c r="J52" i="62"/>
  <c r="J51" i="62"/>
  <c r="J50" i="62"/>
  <c r="J49" i="62"/>
  <c r="J48" i="62"/>
  <c r="J47" i="62"/>
  <c r="J46" i="62"/>
  <c r="J45" i="62"/>
  <c r="J44" i="62"/>
  <c r="J43" i="62"/>
  <c r="J42" i="62"/>
  <c r="J41" i="62"/>
  <c r="J40" i="62"/>
  <c r="J39" i="62"/>
  <c r="J38" i="62"/>
  <c r="J37" i="62"/>
  <c r="J36" i="62"/>
  <c r="J35" i="62"/>
  <c r="J34" i="62"/>
  <c r="J33" i="62"/>
  <c r="J32" i="62"/>
  <c r="J31" i="62"/>
  <c r="J30" i="62"/>
  <c r="J29" i="62"/>
  <c r="J28" i="62"/>
  <c r="J27" i="62"/>
  <c r="J26" i="62"/>
  <c r="J25" i="62"/>
  <c r="J24" i="62"/>
  <c r="J23" i="62"/>
  <c r="J22" i="62"/>
  <c r="J21" i="62"/>
  <c r="J20" i="62"/>
  <c r="J19" i="62"/>
  <c r="J18" i="62"/>
  <c r="J17" i="62"/>
  <c r="J16" i="62"/>
  <c r="J15" i="62"/>
  <c r="J14" i="62"/>
  <c r="J13" i="62"/>
  <c r="J12" i="62"/>
  <c r="J11" i="62"/>
  <c r="J10" i="62"/>
  <c r="J9" i="62"/>
  <c r="J8" i="62"/>
  <c r="J7" i="62"/>
  <c r="J6" i="62"/>
  <c r="J5" i="62"/>
  <c r="U125" i="79" l="1"/>
  <c r="U124" i="79"/>
  <c r="U123" i="79"/>
  <c r="U122" i="79"/>
  <c r="U121" i="79"/>
  <c r="U120" i="79"/>
  <c r="U119" i="79"/>
  <c r="U118" i="79"/>
  <c r="U117" i="79"/>
  <c r="U116" i="79"/>
  <c r="U115" i="79"/>
  <c r="U114" i="79"/>
  <c r="U113" i="79"/>
  <c r="U112" i="79"/>
  <c r="U111" i="79"/>
  <c r="U110" i="79"/>
  <c r="U109" i="79"/>
  <c r="U108" i="79"/>
  <c r="U107" i="79"/>
  <c r="U106" i="79"/>
  <c r="U105" i="79"/>
  <c r="U104" i="79"/>
  <c r="U103" i="79"/>
  <c r="U102" i="79"/>
  <c r="U101" i="79"/>
  <c r="U100" i="79"/>
  <c r="U99" i="79"/>
  <c r="U98" i="79"/>
  <c r="U97" i="79"/>
  <c r="U96" i="79"/>
  <c r="U95" i="79"/>
  <c r="U94" i="79"/>
  <c r="U93" i="79"/>
  <c r="U92" i="79"/>
  <c r="U91" i="79"/>
  <c r="U90" i="79"/>
  <c r="U89" i="79"/>
  <c r="U88" i="79"/>
  <c r="U87" i="79"/>
  <c r="U86" i="79"/>
  <c r="U85" i="79"/>
  <c r="U84" i="79"/>
  <c r="U83" i="79"/>
  <c r="U82" i="79"/>
  <c r="U81" i="79"/>
  <c r="U80" i="79"/>
  <c r="U79" i="79"/>
  <c r="U78" i="79"/>
  <c r="U77" i="79"/>
  <c r="U76" i="79"/>
  <c r="U75" i="79"/>
  <c r="U74" i="79"/>
  <c r="U73" i="79"/>
  <c r="U72" i="79"/>
  <c r="U71" i="79"/>
  <c r="U70" i="79"/>
  <c r="U69" i="79"/>
  <c r="U68" i="79"/>
  <c r="U67" i="79"/>
  <c r="U66" i="79"/>
  <c r="U65" i="79"/>
  <c r="U64" i="79"/>
  <c r="U63" i="79"/>
  <c r="U62" i="79"/>
  <c r="U61" i="79"/>
  <c r="U60" i="79"/>
  <c r="U59" i="79"/>
  <c r="U58" i="79"/>
  <c r="U57" i="79"/>
  <c r="U56" i="79"/>
  <c r="U55" i="79"/>
  <c r="U54" i="79"/>
  <c r="U53" i="79"/>
  <c r="U52" i="79"/>
  <c r="U51" i="79"/>
  <c r="U50" i="79"/>
  <c r="U49" i="79"/>
  <c r="U48" i="79"/>
  <c r="U47" i="79"/>
  <c r="U46" i="79"/>
  <c r="U45" i="79"/>
  <c r="U44" i="79"/>
  <c r="U43" i="79"/>
  <c r="U42" i="79"/>
  <c r="U41" i="79"/>
  <c r="U40" i="79"/>
  <c r="U39" i="79"/>
  <c r="U38" i="79"/>
  <c r="U37" i="79"/>
  <c r="U36" i="79"/>
  <c r="U35" i="79"/>
  <c r="U34" i="79"/>
  <c r="U33" i="79"/>
  <c r="U32" i="79"/>
  <c r="U31" i="79"/>
  <c r="U30" i="79"/>
  <c r="U29" i="79"/>
  <c r="U28" i="79"/>
  <c r="U27" i="79"/>
  <c r="U26" i="79"/>
  <c r="U25" i="79"/>
  <c r="U24" i="79"/>
  <c r="U23" i="79"/>
  <c r="U22" i="79"/>
  <c r="U21" i="79"/>
  <c r="U20" i="79"/>
  <c r="U19" i="79"/>
  <c r="U18" i="79"/>
  <c r="U17" i="79"/>
  <c r="U16" i="79"/>
  <c r="U15" i="79"/>
  <c r="U14" i="79"/>
  <c r="U13" i="79"/>
  <c r="U12" i="79"/>
  <c r="U11" i="79"/>
  <c r="U10" i="79"/>
  <c r="U9" i="79"/>
  <c r="U8" i="79"/>
  <c r="U7" i="79"/>
  <c r="U6" i="79"/>
  <c r="S125" i="79"/>
  <c r="S124" i="79"/>
  <c r="S123" i="79"/>
  <c r="S122" i="79"/>
  <c r="S121" i="79"/>
  <c r="S120" i="79"/>
  <c r="S119" i="79"/>
  <c r="S118" i="79"/>
  <c r="S117" i="79"/>
  <c r="S116" i="79"/>
  <c r="S115" i="79"/>
  <c r="S114" i="79"/>
  <c r="S113" i="79"/>
  <c r="S112" i="79"/>
  <c r="S111" i="79"/>
  <c r="S110" i="79"/>
  <c r="S109" i="79"/>
  <c r="S108" i="79"/>
  <c r="S107" i="79"/>
  <c r="S106" i="79"/>
  <c r="S105" i="79"/>
  <c r="S104" i="79"/>
  <c r="S103" i="79"/>
  <c r="S102" i="79"/>
  <c r="S101" i="79"/>
  <c r="S100" i="79"/>
  <c r="S99" i="79"/>
  <c r="S98" i="79"/>
  <c r="S97" i="79"/>
  <c r="S96" i="79"/>
  <c r="S95" i="79"/>
  <c r="S94" i="79"/>
  <c r="S93" i="79"/>
  <c r="S92" i="79"/>
  <c r="S91" i="79"/>
  <c r="S90" i="79"/>
  <c r="S89" i="79"/>
  <c r="S88" i="79"/>
  <c r="S87" i="79"/>
  <c r="S86" i="79"/>
  <c r="S85" i="79"/>
  <c r="S84" i="79"/>
  <c r="S83" i="79"/>
  <c r="S82" i="79"/>
  <c r="S81" i="79"/>
  <c r="S80" i="79"/>
  <c r="S79" i="79"/>
  <c r="S78" i="79"/>
  <c r="S77" i="79"/>
  <c r="S76" i="79"/>
  <c r="S75" i="79"/>
  <c r="S74" i="79"/>
  <c r="S73" i="79"/>
  <c r="S72" i="79"/>
  <c r="S71" i="79"/>
  <c r="S70" i="79"/>
  <c r="S69" i="79"/>
  <c r="S68" i="79"/>
  <c r="S67" i="79"/>
  <c r="S66" i="79"/>
  <c r="S65" i="79"/>
  <c r="S64" i="79"/>
  <c r="S63" i="79"/>
  <c r="S62" i="79"/>
  <c r="S61" i="79"/>
  <c r="S60" i="79"/>
  <c r="S59" i="79"/>
  <c r="S58" i="79"/>
  <c r="S57" i="79"/>
  <c r="S56" i="79"/>
  <c r="S55" i="79"/>
  <c r="S54" i="79"/>
  <c r="S53" i="79"/>
  <c r="S52" i="79"/>
  <c r="S51" i="79"/>
  <c r="S50" i="79"/>
  <c r="S49" i="79"/>
  <c r="S48" i="79"/>
  <c r="S47" i="79"/>
  <c r="S46" i="79"/>
  <c r="S45" i="79"/>
  <c r="S44" i="79"/>
  <c r="S43" i="79"/>
  <c r="S42" i="79"/>
  <c r="S41" i="79"/>
  <c r="S40" i="79"/>
  <c r="S39" i="79"/>
  <c r="S38" i="79"/>
  <c r="S37" i="79"/>
  <c r="S36" i="79"/>
  <c r="S35" i="79"/>
  <c r="S34" i="79"/>
  <c r="S33" i="79"/>
  <c r="S32" i="79"/>
  <c r="S31" i="79"/>
  <c r="S30" i="79"/>
  <c r="S29" i="79"/>
  <c r="S28" i="79"/>
  <c r="S27" i="79"/>
  <c r="S26" i="79"/>
  <c r="S25" i="79"/>
  <c r="S24" i="79"/>
  <c r="S23" i="79"/>
  <c r="S22" i="79"/>
  <c r="S21" i="79"/>
  <c r="S20" i="79"/>
  <c r="S19" i="79"/>
  <c r="S18" i="79"/>
  <c r="S17" i="79"/>
  <c r="S16" i="79"/>
  <c r="S15" i="79"/>
  <c r="S14" i="79"/>
  <c r="S13" i="79"/>
  <c r="S12" i="79"/>
  <c r="S11" i="79"/>
  <c r="S10" i="79"/>
  <c r="S9" i="79"/>
  <c r="S8" i="79"/>
  <c r="S7" i="79"/>
  <c r="S6" i="79"/>
  <c r="K125" i="79"/>
  <c r="K124" i="79"/>
  <c r="K123" i="79"/>
  <c r="K122" i="79"/>
  <c r="K121" i="79"/>
  <c r="K120" i="79"/>
  <c r="K119" i="79"/>
  <c r="K118" i="79"/>
  <c r="K117" i="79"/>
  <c r="K116" i="79"/>
  <c r="K115" i="79"/>
  <c r="K114" i="79"/>
  <c r="K113" i="79"/>
  <c r="K112" i="79"/>
  <c r="K111" i="79"/>
  <c r="K110" i="79"/>
  <c r="K109" i="79"/>
  <c r="K108" i="79"/>
  <c r="K107" i="79"/>
  <c r="K106" i="79"/>
  <c r="K105" i="79"/>
  <c r="K104" i="79"/>
  <c r="K103" i="79"/>
  <c r="K102" i="79"/>
  <c r="K101" i="79"/>
  <c r="K100" i="79"/>
  <c r="K99" i="79"/>
  <c r="K98" i="79"/>
  <c r="K97" i="79"/>
  <c r="K96" i="79"/>
  <c r="K95" i="79"/>
  <c r="K94" i="79"/>
  <c r="K93" i="79"/>
  <c r="K92" i="79"/>
  <c r="K91" i="79"/>
  <c r="K90" i="79"/>
  <c r="K89" i="79"/>
  <c r="K88" i="79"/>
  <c r="K87" i="79"/>
  <c r="K86" i="79"/>
  <c r="K85" i="79"/>
  <c r="K84" i="79"/>
  <c r="K83" i="79"/>
  <c r="K82" i="79"/>
  <c r="K81" i="79"/>
  <c r="K80" i="79"/>
  <c r="K79" i="79"/>
  <c r="K78" i="79"/>
  <c r="K77" i="79"/>
  <c r="K76" i="79"/>
  <c r="K75" i="79"/>
  <c r="K74" i="79"/>
  <c r="K73" i="79"/>
  <c r="K72" i="79"/>
  <c r="K71" i="79"/>
  <c r="K70" i="79"/>
  <c r="K69" i="79"/>
  <c r="K68" i="79"/>
  <c r="K67" i="79"/>
  <c r="K66" i="79"/>
  <c r="K65" i="79"/>
  <c r="K64" i="79"/>
  <c r="K63" i="79"/>
  <c r="K62" i="79"/>
  <c r="K61" i="79"/>
  <c r="K60" i="79"/>
  <c r="K59" i="79"/>
  <c r="K58" i="79"/>
  <c r="K57" i="79"/>
  <c r="K56" i="79"/>
  <c r="K55" i="79"/>
  <c r="K54" i="79"/>
  <c r="K53" i="79"/>
  <c r="K52" i="79"/>
  <c r="K51" i="79"/>
  <c r="K50" i="79"/>
  <c r="K49" i="79"/>
  <c r="K48" i="79"/>
  <c r="K47" i="79"/>
  <c r="K46" i="79"/>
  <c r="K45" i="79"/>
  <c r="K44" i="79"/>
  <c r="K43" i="79"/>
  <c r="K42" i="79"/>
  <c r="K41" i="79"/>
  <c r="K40" i="79"/>
  <c r="K39" i="79"/>
  <c r="K38" i="79"/>
  <c r="K37" i="79"/>
  <c r="K36" i="79"/>
  <c r="K35" i="79"/>
  <c r="K34" i="79"/>
  <c r="K33" i="79"/>
  <c r="K32" i="79"/>
  <c r="K31" i="79"/>
  <c r="K30" i="79"/>
  <c r="K29" i="79"/>
  <c r="K28" i="79"/>
  <c r="K27" i="79"/>
  <c r="K26" i="79"/>
  <c r="K25" i="79"/>
  <c r="K24" i="79"/>
  <c r="K23" i="79"/>
  <c r="K22" i="79"/>
  <c r="K21" i="79"/>
  <c r="K20" i="79"/>
  <c r="K19" i="79"/>
  <c r="K18" i="79"/>
  <c r="K17" i="79"/>
  <c r="K16" i="79"/>
  <c r="K15" i="79"/>
  <c r="K14" i="79"/>
  <c r="K13" i="79"/>
  <c r="K12" i="79"/>
  <c r="K11" i="79"/>
  <c r="K10" i="79"/>
  <c r="K9" i="79"/>
  <c r="K8" i="79"/>
  <c r="K7" i="79"/>
  <c r="K6" i="79"/>
  <c r="F125" i="79"/>
  <c r="F124" i="79"/>
  <c r="F123" i="79"/>
  <c r="F122" i="79"/>
  <c r="F121" i="79"/>
  <c r="F120" i="79"/>
  <c r="F119" i="79"/>
  <c r="F118" i="79"/>
  <c r="F117" i="79"/>
  <c r="F116" i="79"/>
  <c r="F115" i="79"/>
  <c r="F114" i="79"/>
  <c r="F113" i="79"/>
  <c r="F112" i="79"/>
  <c r="F111" i="79"/>
  <c r="F110" i="79"/>
  <c r="F109" i="79"/>
  <c r="F108" i="79"/>
  <c r="F107" i="79"/>
  <c r="F106" i="79"/>
  <c r="F105" i="79"/>
  <c r="F104" i="79"/>
  <c r="F103" i="79"/>
  <c r="F102" i="79"/>
  <c r="F101" i="79"/>
  <c r="F100" i="79"/>
  <c r="F99" i="79"/>
  <c r="F98" i="79"/>
  <c r="F97" i="79"/>
  <c r="F96" i="79"/>
  <c r="F95" i="79"/>
  <c r="F94" i="79"/>
  <c r="F93" i="79"/>
  <c r="F92" i="79"/>
  <c r="F91" i="79"/>
  <c r="F90" i="79"/>
  <c r="F89" i="79"/>
  <c r="F88" i="79"/>
  <c r="F87" i="79"/>
  <c r="F86" i="79"/>
  <c r="F85" i="79"/>
  <c r="F84" i="79"/>
  <c r="F83" i="79"/>
  <c r="F82" i="79"/>
  <c r="F81" i="79"/>
  <c r="F80" i="79"/>
  <c r="F79" i="79"/>
  <c r="F78" i="79"/>
  <c r="F77" i="79"/>
  <c r="F76" i="79"/>
  <c r="F75" i="79"/>
  <c r="F74" i="79"/>
  <c r="F73" i="79"/>
  <c r="F72" i="79"/>
  <c r="F71" i="79"/>
  <c r="F70" i="79"/>
  <c r="F69" i="79"/>
  <c r="F68" i="79"/>
  <c r="F67" i="79"/>
  <c r="F66" i="79"/>
  <c r="F65" i="79"/>
  <c r="F64" i="79"/>
  <c r="F63" i="79"/>
  <c r="F62" i="79"/>
  <c r="F61" i="79"/>
  <c r="F60" i="79"/>
  <c r="F59" i="79"/>
  <c r="F58" i="79"/>
  <c r="F57" i="79"/>
  <c r="F56" i="79"/>
  <c r="F55" i="79"/>
  <c r="F54" i="79"/>
  <c r="F53" i="79"/>
  <c r="F52" i="79"/>
  <c r="F51" i="79"/>
  <c r="F50" i="79"/>
  <c r="F49" i="79"/>
  <c r="F48" i="79"/>
  <c r="F47" i="79"/>
  <c r="F46" i="79"/>
  <c r="F45" i="79"/>
  <c r="F44" i="79"/>
  <c r="F43" i="79"/>
  <c r="F42" i="79"/>
  <c r="F41" i="79"/>
  <c r="F40" i="79"/>
  <c r="F39" i="79"/>
  <c r="F38" i="79"/>
  <c r="F37" i="79"/>
  <c r="F36" i="79"/>
  <c r="F35" i="79"/>
  <c r="F34" i="79"/>
  <c r="F33" i="79"/>
  <c r="F32" i="79"/>
  <c r="F31" i="79"/>
  <c r="F30" i="79"/>
  <c r="F29" i="79"/>
  <c r="F28" i="79"/>
  <c r="F27" i="79"/>
  <c r="F26" i="79"/>
  <c r="F25" i="79"/>
  <c r="F24" i="79"/>
  <c r="F23" i="79"/>
  <c r="F22" i="79"/>
  <c r="F21" i="79"/>
  <c r="F20" i="79"/>
  <c r="F19" i="79"/>
  <c r="F18" i="79"/>
  <c r="F17" i="79"/>
  <c r="F16" i="79"/>
  <c r="F15" i="79"/>
  <c r="F14" i="79"/>
  <c r="F13" i="79"/>
  <c r="F12" i="79"/>
  <c r="F11" i="79"/>
  <c r="F10" i="79"/>
  <c r="F9" i="79"/>
  <c r="F8" i="79"/>
  <c r="F7" i="79"/>
  <c r="F6" i="79"/>
  <c r="I130" i="62" l="1"/>
  <c r="I129" i="62"/>
  <c r="I128" i="62"/>
  <c r="I127" i="62"/>
  <c r="I126" i="62"/>
  <c r="H21" i="123" s="1"/>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I77" i="62"/>
  <c r="I76" i="62"/>
  <c r="I75" i="62"/>
  <c r="I74" i="62"/>
  <c r="I73" i="62"/>
  <c r="I72" i="62"/>
  <c r="I71" i="62"/>
  <c r="I70" i="62"/>
  <c r="I69" i="62"/>
  <c r="I68" i="62"/>
  <c r="I67" i="62"/>
  <c r="I66" i="62"/>
  <c r="I65" i="62"/>
  <c r="I64" i="62"/>
  <c r="I63" i="62"/>
  <c r="I62" i="62"/>
  <c r="I61" i="62"/>
  <c r="I60" i="62"/>
  <c r="I59" i="62"/>
  <c r="I58" i="62"/>
  <c r="I57" i="62"/>
  <c r="I56" i="62"/>
  <c r="I55" i="62"/>
  <c r="I54" i="62"/>
  <c r="I53" i="62"/>
  <c r="I52" i="62"/>
  <c r="I51" i="62"/>
  <c r="I50" i="62"/>
  <c r="I49" i="62"/>
  <c r="I48" i="62"/>
  <c r="I47" i="62"/>
  <c r="I46" i="62"/>
  <c r="I45" i="62"/>
  <c r="I44" i="62"/>
  <c r="I43" i="62"/>
  <c r="I42" i="62"/>
  <c r="I41" i="62"/>
  <c r="I40" i="62"/>
  <c r="I39" i="62"/>
  <c r="I38" i="62"/>
  <c r="I37" i="62"/>
  <c r="I36" i="62"/>
  <c r="I35" i="62"/>
  <c r="I34" i="62"/>
  <c r="I33" i="62"/>
  <c r="I32" i="62"/>
  <c r="I31" i="62"/>
  <c r="I30" i="62"/>
  <c r="I29" i="62"/>
  <c r="I28" i="62"/>
  <c r="I27" i="62"/>
  <c r="I26" i="62"/>
  <c r="I25" i="62"/>
  <c r="I24" i="62"/>
  <c r="I23" i="62"/>
  <c r="I22" i="62"/>
  <c r="I21" i="62"/>
  <c r="I20" i="62"/>
  <c r="I19" i="62"/>
  <c r="I18" i="62"/>
  <c r="I17" i="62"/>
  <c r="I16" i="62"/>
  <c r="I15" i="62"/>
  <c r="I14" i="62"/>
  <c r="I13" i="62"/>
  <c r="I12" i="62"/>
  <c r="I11" i="62"/>
  <c r="I10" i="62"/>
  <c r="I9" i="62"/>
  <c r="I8" i="62"/>
  <c r="I7" i="62"/>
  <c r="I6" i="62"/>
  <c r="I5" i="62"/>
  <c r="I130" i="60"/>
  <c r="I129" i="60"/>
  <c r="I128" i="60"/>
  <c r="I127" i="60"/>
  <c r="I126"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G131" i="62"/>
  <c r="D131" i="62"/>
  <c r="E131" i="62"/>
  <c r="F131" i="62"/>
  <c r="H131" i="62"/>
  <c r="G4" i="62"/>
  <c r="J130" i="60"/>
  <c r="J129" i="60"/>
  <c r="J128" i="60"/>
  <c r="J127" i="60"/>
  <c r="J126" i="60"/>
  <c r="G18" i="123" s="1"/>
  <c r="G13" i="123" s="1"/>
  <c r="D30" i="108" s="1"/>
  <c r="G131" i="60"/>
  <c r="J124" i="60"/>
  <c r="J123" i="60"/>
  <c r="V124" i="79" s="1"/>
  <c r="J122" i="60"/>
  <c r="J121" i="60"/>
  <c r="V122" i="79" s="1"/>
  <c r="J120" i="60"/>
  <c r="J119" i="60"/>
  <c r="V120" i="79" s="1"/>
  <c r="J118" i="60"/>
  <c r="J117" i="60"/>
  <c r="V118" i="79" s="1"/>
  <c r="J116" i="60"/>
  <c r="J115" i="60"/>
  <c r="J114" i="60"/>
  <c r="V115" i="79" s="1"/>
  <c r="J113" i="60"/>
  <c r="V114" i="79" s="1"/>
  <c r="J112" i="60"/>
  <c r="J111" i="60"/>
  <c r="V112" i="79" s="1"/>
  <c r="J110" i="60"/>
  <c r="J109" i="60"/>
  <c r="V110" i="79" s="1"/>
  <c r="J108" i="60"/>
  <c r="J107" i="60"/>
  <c r="V108" i="79" s="1"/>
  <c r="J106" i="60"/>
  <c r="J105" i="60"/>
  <c r="V106" i="79" s="1"/>
  <c r="J104" i="60"/>
  <c r="J103" i="60"/>
  <c r="V104" i="79" s="1"/>
  <c r="J102" i="60"/>
  <c r="J101" i="60"/>
  <c r="V102" i="79" s="1"/>
  <c r="J100" i="60"/>
  <c r="J99" i="60"/>
  <c r="V100" i="79" s="1"/>
  <c r="J98" i="60"/>
  <c r="J97" i="60"/>
  <c r="V98" i="79" s="1"/>
  <c r="J96" i="60"/>
  <c r="J95" i="60"/>
  <c r="J94" i="60"/>
  <c r="V95" i="79" s="1"/>
  <c r="J93" i="60"/>
  <c r="V94" i="79" s="1"/>
  <c r="J92" i="60"/>
  <c r="J91" i="60"/>
  <c r="J90" i="60"/>
  <c r="J89" i="60"/>
  <c r="V90" i="79" s="1"/>
  <c r="J88" i="60"/>
  <c r="J87" i="60"/>
  <c r="J86" i="60"/>
  <c r="J85" i="60"/>
  <c r="J84" i="60"/>
  <c r="J83" i="60"/>
  <c r="V84" i="79" s="1"/>
  <c r="J82" i="60"/>
  <c r="J81" i="60"/>
  <c r="J80" i="60"/>
  <c r="J79" i="60"/>
  <c r="J78" i="60"/>
  <c r="J77" i="60"/>
  <c r="J76" i="60"/>
  <c r="J75" i="60"/>
  <c r="J74" i="60"/>
  <c r="J73" i="60"/>
  <c r="J72" i="60"/>
  <c r="J71" i="60"/>
  <c r="J70" i="60"/>
  <c r="V71" i="79" s="1"/>
  <c r="J69" i="60"/>
  <c r="V70" i="79" s="1"/>
  <c r="J68" i="60"/>
  <c r="J67" i="60"/>
  <c r="J66" i="60"/>
  <c r="J65" i="60"/>
  <c r="V66" i="79" s="1"/>
  <c r="J64" i="60"/>
  <c r="J63" i="60"/>
  <c r="J62" i="60"/>
  <c r="J61" i="60"/>
  <c r="V62" i="79" s="1"/>
  <c r="J60" i="60"/>
  <c r="J59" i="60"/>
  <c r="J58" i="60"/>
  <c r="J57" i="60"/>
  <c r="J56" i="60"/>
  <c r="J55" i="60"/>
  <c r="J54" i="60"/>
  <c r="J53" i="60"/>
  <c r="J52" i="60"/>
  <c r="J51" i="60"/>
  <c r="J50" i="60"/>
  <c r="J49" i="60"/>
  <c r="J48" i="60"/>
  <c r="J47" i="60"/>
  <c r="J46" i="60"/>
  <c r="V47" i="79" s="1"/>
  <c r="J45" i="60"/>
  <c r="J44" i="60"/>
  <c r="J43" i="60"/>
  <c r="J42" i="60"/>
  <c r="J41" i="60"/>
  <c r="J40" i="60"/>
  <c r="J39" i="60"/>
  <c r="J38" i="60"/>
  <c r="J37" i="60"/>
  <c r="J36" i="60"/>
  <c r="J35" i="60"/>
  <c r="J34" i="60"/>
  <c r="J33" i="60"/>
  <c r="J32" i="60"/>
  <c r="J31" i="60"/>
  <c r="J30" i="60"/>
  <c r="J29" i="60"/>
  <c r="J28" i="60"/>
  <c r="J27" i="60"/>
  <c r="J26" i="60"/>
  <c r="J25" i="60"/>
  <c r="V26" i="79" s="1"/>
  <c r="J24" i="60"/>
  <c r="J23" i="60"/>
  <c r="J22" i="60"/>
  <c r="J21" i="60"/>
  <c r="V22" i="79" s="1"/>
  <c r="J20" i="60"/>
  <c r="J19" i="60"/>
  <c r="J18" i="60"/>
  <c r="J17" i="60"/>
  <c r="J16" i="60"/>
  <c r="J15" i="60"/>
  <c r="J14" i="60"/>
  <c r="J13" i="60"/>
  <c r="J12" i="60"/>
  <c r="J11" i="60"/>
  <c r="J10" i="60"/>
  <c r="J9" i="60"/>
  <c r="J8" i="60"/>
  <c r="J7" i="60"/>
  <c r="J6" i="60"/>
  <c r="V7" i="79" s="1"/>
  <c r="J5" i="60"/>
  <c r="V6" i="79" s="1"/>
  <c r="G4" i="60"/>
  <c r="V23" i="79" l="1"/>
  <c r="V55" i="79"/>
  <c r="V63" i="79"/>
  <c r="V8" i="79"/>
  <c r="V12" i="79"/>
  <c r="V16" i="79"/>
  <c r="V28" i="79"/>
  <c r="V36" i="79"/>
  <c r="V40" i="79"/>
  <c r="V56" i="79"/>
  <c r="V72" i="79"/>
  <c r="V76" i="79"/>
  <c r="V80" i="79"/>
  <c r="V10" i="79"/>
  <c r="V14" i="79"/>
  <c r="V18" i="79"/>
  <c r="V30" i="79"/>
  <c r="V38" i="79"/>
  <c r="V42" i="79"/>
  <c r="V46" i="79"/>
  <c r="V58" i="79"/>
  <c r="V74" i="79"/>
  <c r="V78" i="79"/>
  <c r="V82" i="79"/>
  <c r="V27" i="79"/>
  <c r="V35" i="79"/>
  <c r="V67" i="79"/>
  <c r="V34" i="79"/>
  <c r="V54" i="79"/>
  <c r="V20" i="79"/>
  <c r="V24" i="79"/>
  <c r="V32" i="79"/>
  <c r="V44" i="79"/>
  <c r="V48" i="79"/>
  <c r="V52" i="79"/>
  <c r="V60" i="79"/>
  <c r="V64" i="79"/>
  <c r="V68" i="79"/>
  <c r="V88" i="79"/>
  <c r="V92" i="79"/>
  <c r="V96" i="79"/>
  <c r="V116" i="79"/>
  <c r="V9" i="79"/>
  <c r="V13" i="79"/>
  <c r="V17" i="79"/>
  <c r="V21" i="79"/>
  <c r="V25" i="79"/>
  <c r="V29" i="79"/>
  <c r="V33" i="79"/>
  <c r="V37" i="79"/>
  <c r="V41" i="79"/>
  <c r="V45" i="79"/>
  <c r="V49" i="79"/>
  <c r="V53" i="79"/>
  <c r="V57" i="79"/>
  <c r="V61" i="79"/>
  <c r="V65" i="79"/>
  <c r="V69" i="79"/>
  <c r="V73" i="79"/>
  <c r="V77" i="79"/>
  <c r="V81" i="79"/>
  <c r="V85" i="79"/>
  <c r="V89" i="79"/>
  <c r="V93" i="79"/>
  <c r="V97" i="79"/>
  <c r="V101" i="79"/>
  <c r="V105" i="79"/>
  <c r="V109" i="79"/>
  <c r="V113" i="79"/>
  <c r="V117" i="79"/>
  <c r="V121" i="79"/>
  <c r="V125" i="79"/>
  <c r="W100" i="79"/>
  <c r="V50" i="79"/>
  <c r="V86" i="79"/>
  <c r="V11" i="79"/>
  <c r="V15" i="79"/>
  <c r="V19" i="79"/>
  <c r="V31" i="79"/>
  <c r="V39" i="79"/>
  <c r="V43" i="79"/>
  <c r="V51" i="79"/>
  <c r="V59" i="79"/>
  <c r="V75" i="79"/>
  <c r="V79" i="79"/>
  <c r="V83" i="79"/>
  <c r="V87" i="79"/>
  <c r="V91" i="79"/>
  <c r="V99" i="79"/>
  <c r="V103" i="79"/>
  <c r="V107" i="79"/>
  <c r="V111" i="79"/>
  <c r="V119" i="79"/>
  <c r="V123" i="79"/>
  <c r="W13" i="79"/>
  <c r="W17" i="79"/>
  <c r="W25" i="79"/>
  <c r="W37" i="79"/>
  <c r="W45" i="79"/>
  <c r="W61" i="79"/>
  <c r="W69" i="79"/>
  <c r="W77" i="79"/>
  <c r="W81" i="79"/>
  <c r="W93" i="79"/>
  <c r="W105" i="79"/>
  <c r="W117" i="79"/>
  <c r="W125" i="79"/>
  <c r="W7" i="79"/>
  <c r="W47" i="79"/>
  <c r="W71" i="79"/>
  <c r="W83" i="79"/>
  <c r="W99" i="79"/>
  <c r="W119" i="79"/>
  <c r="W9" i="79"/>
  <c r="W21" i="79"/>
  <c r="W29" i="79"/>
  <c r="W41" i="79"/>
  <c r="W57" i="79"/>
  <c r="W65" i="79"/>
  <c r="W73" i="79"/>
  <c r="W85" i="79"/>
  <c r="W97" i="79"/>
  <c r="W109" i="79"/>
  <c r="W113" i="79"/>
  <c r="W121" i="79"/>
  <c r="W6" i="79"/>
  <c r="W22" i="79"/>
  <c r="W26" i="79"/>
  <c r="W46" i="79"/>
  <c r="W62" i="79"/>
  <c r="W66" i="79"/>
  <c r="W70" i="79"/>
  <c r="W82" i="79"/>
  <c r="W94" i="79"/>
  <c r="W98" i="79"/>
  <c r="W114" i="79"/>
  <c r="W118" i="79"/>
  <c r="W33" i="79"/>
  <c r="W49" i="79"/>
  <c r="W53" i="79"/>
  <c r="W89" i="79"/>
  <c r="W101" i="79"/>
  <c r="W10" i="79"/>
  <c r="W14" i="79"/>
  <c r="W18" i="79"/>
  <c r="W30" i="79"/>
  <c r="W34" i="79"/>
  <c r="W38" i="79"/>
  <c r="W42" i="79"/>
  <c r="W50" i="79"/>
  <c r="W54" i="79"/>
  <c r="W58" i="79"/>
  <c r="W74" i="79"/>
  <c r="W78" i="79"/>
  <c r="W86" i="79"/>
  <c r="W90" i="79"/>
  <c r="W102" i="79"/>
  <c r="W106" i="79"/>
  <c r="W110" i="79"/>
  <c r="W122" i="79"/>
  <c r="W11" i="79"/>
  <c r="W15" i="79"/>
  <c r="W19" i="79"/>
  <c r="W23" i="79"/>
  <c r="W27" i="79"/>
  <c r="W31" i="79"/>
  <c r="W35" i="79"/>
  <c r="W39" i="79"/>
  <c r="W43" i="79"/>
  <c r="W51" i="79"/>
  <c r="W55" i="79"/>
  <c r="W59" i="79"/>
  <c r="W63" i="79"/>
  <c r="W67" i="79"/>
  <c r="W75" i="79"/>
  <c r="W79" i="79"/>
  <c r="W87" i="79"/>
  <c r="W91" i="79"/>
  <c r="W95" i="79"/>
  <c r="W103" i="79"/>
  <c r="W107" i="79"/>
  <c r="W111" i="79"/>
  <c r="W115" i="79"/>
  <c r="W123" i="79"/>
  <c r="W8" i="79"/>
  <c r="W12" i="79"/>
  <c r="W16" i="79"/>
  <c r="W20" i="79"/>
  <c r="W24" i="79"/>
  <c r="W28" i="79"/>
  <c r="W32" i="79"/>
  <c r="W36" i="79"/>
  <c r="W40" i="79"/>
  <c r="W44" i="79"/>
  <c r="W48" i="79"/>
  <c r="W52" i="79"/>
  <c r="W56" i="79"/>
  <c r="W60" i="79"/>
  <c r="W64" i="79"/>
  <c r="W68" i="79"/>
  <c r="W72" i="79"/>
  <c r="W76" i="79"/>
  <c r="W80" i="79"/>
  <c r="W84" i="79"/>
  <c r="W88" i="79"/>
  <c r="W92" i="79"/>
  <c r="W96" i="79"/>
  <c r="W104" i="79"/>
  <c r="W108" i="79"/>
  <c r="W112" i="79"/>
  <c r="W116" i="79"/>
  <c r="W120" i="79"/>
  <c r="W124" i="79"/>
  <c r="H131" i="56"/>
  <c r="G131" i="56"/>
  <c r="F131" i="56"/>
  <c r="E131" i="56"/>
  <c r="D131" i="56"/>
  <c r="I6" i="53" l="1"/>
  <c r="I7" i="53"/>
  <c r="I8" i="53"/>
  <c r="I9" i="53"/>
  <c r="I10" i="53"/>
  <c r="I11" i="53"/>
  <c r="I12" i="53"/>
  <c r="I13" i="53"/>
  <c r="I14" i="53"/>
  <c r="I15" i="53"/>
  <c r="I16" i="53"/>
  <c r="I17"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I69" i="53"/>
  <c r="I70" i="53"/>
  <c r="I71" i="53"/>
  <c r="I72" i="53"/>
  <c r="I73" i="53"/>
  <c r="I74" i="53"/>
  <c r="I75" i="53"/>
  <c r="I76" i="53"/>
  <c r="I77" i="53"/>
  <c r="I78" i="53"/>
  <c r="I79" i="53"/>
  <c r="I80" i="53"/>
  <c r="I81" i="53"/>
  <c r="I82" i="53"/>
  <c r="I83" i="53"/>
  <c r="I84" i="53"/>
  <c r="I85" i="53"/>
  <c r="I86" i="53"/>
  <c r="I87" i="53"/>
  <c r="I88" i="53"/>
  <c r="I89" i="53"/>
  <c r="I90" i="53"/>
  <c r="I91" i="53"/>
  <c r="I92" i="53"/>
  <c r="I93" i="53"/>
  <c r="I94" i="53"/>
  <c r="I95" i="53"/>
  <c r="I96" i="53"/>
  <c r="I97" i="53"/>
  <c r="I98" i="53"/>
  <c r="I99" i="53"/>
  <c r="I100" i="53"/>
  <c r="I101" i="53"/>
  <c r="I102" i="53"/>
  <c r="I103" i="53"/>
  <c r="I104" i="53"/>
  <c r="I105" i="53"/>
  <c r="I106" i="53"/>
  <c r="I107" i="53"/>
  <c r="I108" i="53"/>
  <c r="I109" i="53"/>
  <c r="I110" i="53"/>
  <c r="I111" i="53"/>
  <c r="I112" i="53"/>
  <c r="I113" i="53"/>
  <c r="I114" i="53"/>
  <c r="I115" i="53"/>
  <c r="I116" i="53"/>
  <c r="I117" i="53"/>
  <c r="I118" i="53"/>
  <c r="I119" i="53"/>
  <c r="I120" i="53"/>
  <c r="I121" i="53"/>
  <c r="I122" i="53"/>
  <c r="I123" i="53"/>
  <c r="I124" i="53"/>
  <c r="I5" i="53"/>
  <c r="D130" i="58"/>
  <c r="D129" i="58"/>
  <c r="D128" i="58"/>
  <c r="D127" i="58"/>
  <c r="D126" i="58"/>
  <c r="D99" i="58"/>
  <c r="D98" i="58"/>
  <c r="D97" i="58"/>
  <c r="D124" i="58"/>
  <c r="D123" i="58"/>
  <c r="D96" i="58"/>
  <c r="D95" i="58"/>
  <c r="D94" i="58"/>
  <c r="D122" i="58"/>
  <c r="D93" i="58"/>
  <c r="D92" i="58"/>
  <c r="D91" i="58"/>
  <c r="D121" i="58"/>
  <c r="D90" i="58"/>
  <c r="D89" i="58"/>
  <c r="D88" i="58"/>
  <c r="D87" i="58"/>
  <c r="D86" i="58"/>
  <c r="D85" i="58"/>
  <c r="D84" i="58"/>
  <c r="D83" i="58"/>
  <c r="D82" i="58"/>
  <c r="D81" i="58"/>
  <c r="D120" i="58"/>
  <c r="D80" i="58"/>
  <c r="D119" i="58"/>
  <c r="D79" i="58"/>
  <c r="D118" i="58"/>
  <c r="D78" i="58"/>
  <c r="D77" i="58"/>
  <c r="D76" i="58"/>
  <c r="D75" i="58"/>
  <c r="D74" i="58"/>
  <c r="D117" i="58"/>
  <c r="D73" i="58"/>
  <c r="D116" i="58"/>
  <c r="D72" i="58"/>
  <c r="D71" i="58"/>
  <c r="D70" i="58"/>
  <c r="D69" i="58"/>
  <c r="D115" i="58"/>
  <c r="D68" i="58"/>
  <c r="D67" i="58"/>
  <c r="D114" i="58"/>
  <c r="D113" i="58"/>
  <c r="D66" i="58"/>
  <c r="D65" i="58"/>
  <c r="D64" i="58"/>
  <c r="D63" i="58"/>
  <c r="D62" i="58"/>
  <c r="D61" i="58"/>
  <c r="D112" i="58"/>
  <c r="D111" i="58"/>
  <c r="D60" i="58"/>
  <c r="D110" i="58"/>
  <c r="D59" i="58"/>
  <c r="D58" i="58"/>
  <c r="D57" i="58"/>
  <c r="D56" i="58"/>
  <c r="D55" i="58"/>
  <c r="D54" i="58"/>
  <c r="D53" i="58"/>
  <c r="D52" i="58"/>
  <c r="D51" i="58"/>
  <c r="D50" i="58"/>
  <c r="D109" i="58"/>
  <c r="D49" i="58"/>
  <c r="D48" i="58"/>
  <c r="D47" i="58"/>
  <c r="D46" i="58"/>
  <c r="D108" i="58"/>
  <c r="D45" i="58"/>
  <c r="D44" i="58"/>
  <c r="D43" i="58"/>
  <c r="D42" i="58"/>
  <c r="D41" i="58"/>
  <c r="D40" i="58"/>
  <c r="D39" i="58"/>
  <c r="D107" i="58"/>
  <c r="D106" i="58"/>
  <c r="D38" i="58"/>
  <c r="D37" i="58"/>
  <c r="D105" i="58"/>
  <c r="D36" i="58"/>
  <c r="D35" i="58"/>
  <c r="D34" i="58"/>
  <c r="D33" i="58"/>
  <c r="D32" i="58"/>
  <c r="D31" i="58"/>
  <c r="D30" i="58"/>
  <c r="D104" i="58"/>
  <c r="D29" i="58"/>
  <c r="D28" i="58"/>
  <c r="D27" i="58"/>
  <c r="D26" i="58"/>
  <c r="D25" i="58"/>
  <c r="D103" i="58"/>
  <c r="D102" i="58"/>
  <c r="D24" i="58"/>
  <c r="D23" i="58"/>
  <c r="D22" i="58"/>
  <c r="D21" i="58"/>
  <c r="D20" i="58"/>
  <c r="D19" i="58"/>
  <c r="D18" i="58"/>
  <c r="D17" i="58"/>
  <c r="D101" i="58"/>
  <c r="D16" i="58"/>
  <c r="D15" i="58"/>
  <c r="D14" i="58"/>
  <c r="D13" i="58"/>
  <c r="D12" i="58"/>
  <c r="D11" i="58"/>
  <c r="D10" i="58"/>
  <c r="D9" i="58"/>
  <c r="D8" i="58"/>
  <c r="D7" i="58"/>
  <c r="D100" i="58"/>
  <c r="D6" i="58"/>
  <c r="D5" i="58"/>
  <c r="I3" i="1" l="1"/>
  <c r="F164" i="1" s="1"/>
  <c r="AG126" i="85"/>
  <c r="AJ126" i="85" s="1"/>
  <c r="AF126" i="85"/>
  <c r="AI126" i="85" s="1"/>
  <c r="AE126" i="85"/>
  <c r="AH126" i="85" s="1"/>
  <c r="AG125" i="85"/>
  <c r="AJ125" i="85" s="1"/>
  <c r="AF125" i="85"/>
  <c r="AI125" i="85" s="1"/>
  <c r="AE125" i="85"/>
  <c r="AH125" i="85" s="1"/>
  <c r="AG124" i="85"/>
  <c r="AJ124" i="85" s="1"/>
  <c r="AF124" i="85"/>
  <c r="AI124" i="85" s="1"/>
  <c r="AE124" i="85"/>
  <c r="AH124" i="85" s="1"/>
  <c r="AG123" i="85"/>
  <c r="AJ123" i="85" s="1"/>
  <c r="AF123" i="85"/>
  <c r="AI123" i="85" s="1"/>
  <c r="AE123" i="85"/>
  <c r="AH123" i="85" s="1"/>
  <c r="AG122" i="85"/>
  <c r="AJ122" i="85" s="1"/>
  <c r="AF122" i="85"/>
  <c r="AI122" i="85" s="1"/>
  <c r="AE122" i="85"/>
  <c r="AH122" i="85" s="1"/>
  <c r="AG121" i="85"/>
  <c r="AJ121" i="85" s="1"/>
  <c r="AF121" i="85"/>
  <c r="AI121" i="85" s="1"/>
  <c r="AE121" i="85"/>
  <c r="AH121" i="85" s="1"/>
  <c r="AG120" i="85"/>
  <c r="AJ120" i="85" s="1"/>
  <c r="AF120" i="85"/>
  <c r="AI120" i="85" s="1"/>
  <c r="AE120" i="85"/>
  <c r="AH120" i="85" s="1"/>
  <c r="AG119" i="85"/>
  <c r="AJ119" i="85" s="1"/>
  <c r="AF119" i="85"/>
  <c r="AI119" i="85" s="1"/>
  <c r="AE119" i="85"/>
  <c r="AH119" i="85" s="1"/>
  <c r="AG118" i="85"/>
  <c r="AJ118" i="85" s="1"/>
  <c r="AF118" i="85"/>
  <c r="AI118" i="85" s="1"/>
  <c r="AE118" i="85"/>
  <c r="AH118" i="85" s="1"/>
  <c r="AG117" i="85"/>
  <c r="AJ117" i="85" s="1"/>
  <c r="AF117" i="85"/>
  <c r="AI117" i="85" s="1"/>
  <c r="AE117" i="85"/>
  <c r="AH117" i="85" s="1"/>
  <c r="AG116" i="85"/>
  <c r="AJ116" i="85" s="1"/>
  <c r="AF116" i="85"/>
  <c r="AI116" i="85" s="1"/>
  <c r="AE116" i="85"/>
  <c r="AH116" i="85" s="1"/>
  <c r="AG115" i="85"/>
  <c r="AJ115" i="85" s="1"/>
  <c r="AF115" i="85"/>
  <c r="AI115" i="85" s="1"/>
  <c r="AE115" i="85"/>
  <c r="AH115" i="85" s="1"/>
  <c r="AG114" i="85"/>
  <c r="AJ114" i="85" s="1"/>
  <c r="AF114" i="85"/>
  <c r="AI114" i="85" s="1"/>
  <c r="AE114" i="85"/>
  <c r="AH114" i="85" s="1"/>
  <c r="AG113" i="85"/>
  <c r="AJ113" i="85" s="1"/>
  <c r="AF113" i="85"/>
  <c r="AI113" i="85" s="1"/>
  <c r="AE113" i="85"/>
  <c r="AH113" i="85" s="1"/>
  <c r="AG112" i="85"/>
  <c r="AJ112" i="85" s="1"/>
  <c r="AF112" i="85"/>
  <c r="AI112" i="85" s="1"/>
  <c r="AE112" i="85"/>
  <c r="AH112" i="85" s="1"/>
  <c r="AG111" i="85"/>
  <c r="AJ111" i="85" s="1"/>
  <c r="AF111" i="85"/>
  <c r="AI111" i="85" s="1"/>
  <c r="AE111" i="85"/>
  <c r="AH111" i="85" s="1"/>
  <c r="AG110" i="85"/>
  <c r="AJ110" i="85" s="1"/>
  <c r="AF110" i="85"/>
  <c r="AI110" i="85" s="1"/>
  <c r="AE110" i="85"/>
  <c r="AH110" i="85" s="1"/>
  <c r="AG109" i="85"/>
  <c r="AJ109" i="85" s="1"/>
  <c r="AF109" i="85"/>
  <c r="AI109" i="85" s="1"/>
  <c r="AE109" i="85"/>
  <c r="AH109" i="85" s="1"/>
  <c r="AG108" i="85"/>
  <c r="AJ108" i="85" s="1"/>
  <c r="AF108" i="85"/>
  <c r="AI108" i="85" s="1"/>
  <c r="AE108" i="85"/>
  <c r="AH108" i="85" s="1"/>
  <c r="AG107" i="85"/>
  <c r="AJ107" i="85" s="1"/>
  <c r="AF107" i="85"/>
  <c r="AI107" i="85" s="1"/>
  <c r="AE107" i="85"/>
  <c r="AH107" i="85" s="1"/>
  <c r="AG106" i="85"/>
  <c r="AJ106" i="85" s="1"/>
  <c r="AF106" i="85"/>
  <c r="AI106" i="85" s="1"/>
  <c r="AE106" i="85"/>
  <c r="AH106" i="85" s="1"/>
  <c r="AG105" i="85"/>
  <c r="AJ105" i="85" s="1"/>
  <c r="AF105" i="85"/>
  <c r="AI105" i="85" s="1"/>
  <c r="AE105" i="85"/>
  <c r="AH105" i="85" s="1"/>
  <c r="AG104" i="85"/>
  <c r="AJ104" i="85" s="1"/>
  <c r="AF104" i="85"/>
  <c r="AI104" i="85" s="1"/>
  <c r="AE104" i="85"/>
  <c r="AH104" i="85" s="1"/>
  <c r="AG103" i="85"/>
  <c r="AJ103" i="85" s="1"/>
  <c r="AF103" i="85"/>
  <c r="AI103" i="85" s="1"/>
  <c r="AE103" i="85"/>
  <c r="AH103" i="85" s="1"/>
  <c r="AG102" i="85"/>
  <c r="AJ102" i="85" s="1"/>
  <c r="AF102" i="85"/>
  <c r="AI102" i="85" s="1"/>
  <c r="AE102" i="85"/>
  <c r="AH102" i="85" s="1"/>
  <c r="AG101" i="85"/>
  <c r="AJ101" i="85" s="1"/>
  <c r="AF101" i="85"/>
  <c r="AI101" i="85" s="1"/>
  <c r="AE101" i="85"/>
  <c r="AH101" i="85" s="1"/>
  <c r="AG100" i="85"/>
  <c r="AJ100" i="85" s="1"/>
  <c r="AF100" i="85"/>
  <c r="AI100" i="85" s="1"/>
  <c r="AE100" i="85"/>
  <c r="AH100" i="85" s="1"/>
  <c r="AG99" i="85"/>
  <c r="AJ99" i="85" s="1"/>
  <c r="AF99" i="85"/>
  <c r="AI99" i="85" s="1"/>
  <c r="AE99" i="85"/>
  <c r="AH99" i="85" s="1"/>
  <c r="AG98" i="85"/>
  <c r="AJ98" i="85" s="1"/>
  <c r="AF98" i="85"/>
  <c r="AI98" i="85" s="1"/>
  <c r="AE98" i="85"/>
  <c r="AH98" i="85" s="1"/>
  <c r="AG97" i="85"/>
  <c r="AJ97" i="85" s="1"/>
  <c r="AF97" i="85"/>
  <c r="AI97" i="85" s="1"/>
  <c r="AE97" i="85"/>
  <c r="AH97" i="85" s="1"/>
  <c r="AG96" i="85"/>
  <c r="AJ96" i="85" s="1"/>
  <c r="AF96" i="85"/>
  <c r="AI96" i="85" s="1"/>
  <c r="AE96" i="85"/>
  <c r="AH96" i="85" s="1"/>
  <c r="AG95" i="85"/>
  <c r="AJ95" i="85" s="1"/>
  <c r="AF95" i="85"/>
  <c r="AI95" i="85" s="1"/>
  <c r="AE95" i="85"/>
  <c r="AH95" i="85" s="1"/>
  <c r="AG94" i="85"/>
  <c r="AJ94" i="85" s="1"/>
  <c r="AF94" i="85"/>
  <c r="AI94" i="85" s="1"/>
  <c r="AE94" i="85"/>
  <c r="AH94" i="85" s="1"/>
  <c r="AG93" i="85"/>
  <c r="AJ93" i="85" s="1"/>
  <c r="AF93" i="85"/>
  <c r="AI93" i="85" s="1"/>
  <c r="AE93" i="85"/>
  <c r="AH93" i="85" s="1"/>
  <c r="AG92" i="85"/>
  <c r="AJ92" i="85" s="1"/>
  <c r="AF92" i="85"/>
  <c r="AI92" i="85" s="1"/>
  <c r="AE92" i="85"/>
  <c r="AH92" i="85" s="1"/>
  <c r="AG91" i="85"/>
  <c r="AJ91" i="85" s="1"/>
  <c r="AF91" i="85"/>
  <c r="AI91" i="85" s="1"/>
  <c r="AE91" i="85"/>
  <c r="AH91" i="85" s="1"/>
  <c r="AG90" i="85"/>
  <c r="AJ90" i="85" s="1"/>
  <c r="AF90" i="85"/>
  <c r="AI90" i="85" s="1"/>
  <c r="AE90" i="85"/>
  <c r="AH90" i="85" s="1"/>
  <c r="AG89" i="85"/>
  <c r="AJ89" i="85" s="1"/>
  <c r="AF89" i="85"/>
  <c r="AI89" i="85" s="1"/>
  <c r="AE89" i="85"/>
  <c r="AH89" i="85" s="1"/>
  <c r="AG88" i="85"/>
  <c r="AJ88" i="85" s="1"/>
  <c r="AF88" i="85"/>
  <c r="AI88" i="85" s="1"/>
  <c r="AE88" i="85"/>
  <c r="AH88" i="85" s="1"/>
  <c r="AG87" i="85"/>
  <c r="AJ87" i="85" s="1"/>
  <c r="AF87" i="85"/>
  <c r="AI87" i="85" s="1"/>
  <c r="AE87" i="85"/>
  <c r="AH87" i="85" s="1"/>
  <c r="AG86" i="85"/>
  <c r="AJ86" i="85" s="1"/>
  <c r="AF86" i="85"/>
  <c r="AI86" i="85" s="1"/>
  <c r="AE86" i="85"/>
  <c r="AH86" i="85" s="1"/>
  <c r="AG85" i="85"/>
  <c r="AJ85" i="85" s="1"/>
  <c r="AF85" i="85"/>
  <c r="AI85" i="85" s="1"/>
  <c r="AE85" i="85"/>
  <c r="AH85" i="85" s="1"/>
  <c r="AG84" i="85"/>
  <c r="AJ84" i="85" s="1"/>
  <c r="AF84" i="85"/>
  <c r="AI84" i="85" s="1"/>
  <c r="AE84" i="85"/>
  <c r="AH84" i="85" s="1"/>
  <c r="AG83" i="85"/>
  <c r="AJ83" i="85" s="1"/>
  <c r="AF83" i="85"/>
  <c r="AI83" i="85" s="1"/>
  <c r="AE83" i="85"/>
  <c r="AH83" i="85" s="1"/>
  <c r="AG82" i="85"/>
  <c r="AJ82" i="85" s="1"/>
  <c r="AF82" i="85"/>
  <c r="AI82" i="85" s="1"/>
  <c r="AE82" i="85"/>
  <c r="AH82" i="85" s="1"/>
  <c r="AG81" i="85"/>
  <c r="AJ81" i="85" s="1"/>
  <c r="AF81" i="85"/>
  <c r="AI81" i="85" s="1"/>
  <c r="AE81" i="85"/>
  <c r="AH81" i="85" s="1"/>
  <c r="AG80" i="85"/>
  <c r="AJ80" i="85" s="1"/>
  <c r="AF80" i="85"/>
  <c r="AI80" i="85" s="1"/>
  <c r="AE80" i="85"/>
  <c r="AH80" i="85" s="1"/>
  <c r="AG79" i="85"/>
  <c r="AJ79" i="85" s="1"/>
  <c r="AF79" i="85"/>
  <c r="AI79" i="85" s="1"/>
  <c r="AE79" i="85"/>
  <c r="AH79" i="85" s="1"/>
  <c r="AG78" i="85"/>
  <c r="AJ78" i="85" s="1"/>
  <c r="AF78" i="85"/>
  <c r="AI78" i="85" s="1"/>
  <c r="AE78" i="85"/>
  <c r="AH78" i="85" s="1"/>
  <c r="AG77" i="85"/>
  <c r="AJ77" i="85" s="1"/>
  <c r="AF77" i="85"/>
  <c r="AI77" i="85" s="1"/>
  <c r="AE77" i="85"/>
  <c r="AH77" i="85" s="1"/>
  <c r="AG76" i="85"/>
  <c r="AJ76" i="85" s="1"/>
  <c r="AF76" i="85"/>
  <c r="AI76" i="85" s="1"/>
  <c r="AE76" i="85"/>
  <c r="AH76" i="85" s="1"/>
  <c r="AG75" i="85"/>
  <c r="AJ75" i="85" s="1"/>
  <c r="AF75" i="85"/>
  <c r="AI75" i="85" s="1"/>
  <c r="AE75" i="85"/>
  <c r="AH75" i="85" s="1"/>
  <c r="AG74" i="85"/>
  <c r="AJ74" i="85" s="1"/>
  <c r="AF74" i="85"/>
  <c r="AI74" i="85" s="1"/>
  <c r="AE74" i="85"/>
  <c r="AH74" i="85" s="1"/>
  <c r="AG73" i="85"/>
  <c r="AJ73" i="85" s="1"/>
  <c r="AF73" i="85"/>
  <c r="AI73" i="85" s="1"/>
  <c r="AE73" i="85"/>
  <c r="AH73" i="85" s="1"/>
  <c r="AG72" i="85"/>
  <c r="AJ72" i="85" s="1"/>
  <c r="AF72" i="85"/>
  <c r="AI72" i="85" s="1"/>
  <c r="AE72" i="85"/>
  <c r="AH72" i="85" s="1"/>
  <c r="AG71" i="85"/>
  <c r="AJ71" i="85" s="1"/>
  <c r="AF71" i="85"/>
  <c r="AI71" i="85" s="1"/>
  <c r="AE71" i="85"/>
  <c r="AH71" i="85" s="1"/>
  <c r="AG70" i="85"/>
  <c r="AJ70" i="85" s="1"/>
  <c r="AF70" i="85"/>
  <c r="AI70" i="85" s="1"/>
  <c r="AE70" i="85"/>
  <c r="AH70" i="85" s="1"/>
  <c r="AG69" i="85"/>
  <c r="AJ69" i="85" s="1"/>
  <c r="AF69" i="85"/>
  <c r="AI69" i="85" s="1"/>
  <c r="AE69" i="85"/>
  <c r="AH69" i="85" s="1"/>
  <c r="AG68" i="85"/>
  <c r="AJ68" i="85" s="1"/>
  <c r="AF68" i="85"/>
  <c r="AI68" i="85" s="1"/>
  <c r="AE68" i="85"/>
  <c r="AH68" i="85" s="1"/>
  <c r="AG67" i="85"/>
  <c r="AJ67" i="85" s="1"/>
  <c r="AF67" i="85"/>
  <c r="AI67" i="85" s="1"/>
  <c r="AE67" i="85"/>
  <c r="AH67" i="85" s="1"/>
  <c r="AG66" i="85"/>
  <c r="AJ66" i="85" s="1"/>
  <c r="AF66" i="85"/>
  <c r="AI66" i="85" s="1"/>
  <c r="AE66" i="85"/>
  <c r="AH66" i="85" s="1"/>
  <c r="AG65" i="85"/>
  <c r="AJ65" i="85" s="1"/>
  <c r="AF65" i="85"/>
  <c r="AI65" i="85" s="1"/>
  <c r="AE65" i="85"/>
  <c r="AH65" i="85" s="1"/>
  <c r="AG64" i="85"/>
  <c r="AJ64" i="85" s="1"/>
  <c r="AF64" i="85"/>
  <c r="AI64" i="85" s="1"/>
  <c r="AE64" i="85"/>
  <c r="AH64" i="85" s="1"/>
  <c r="AG63" i="85"/>
  <c r="AJ63" i="85" s="1"/>
  <c r="AF63" i="85"/>
  <c r="AI63" i="85" s="1"/>
  <c r="AE63" i="85"/>
  <c r="AH63" i="85" s="1"/>
  <c r="AG62" i="85"/>
  <c r="AJ62" i="85" s="1"/>
  <c r="AF62" i="85"/>
  <c r="AI62" i="85" s="1"/>
  <c r="AE62" i="85"/>
  <c r="AH62" i="85" s="1"/>
  <c r="AG61" i="85"/>
  <c r="AJ61" i="85" s="1"/>
  <c r="AF61" i="85"/>
  <c r="AI61" i="85" s="1"/>
  <c r="AE61" i="85"/>
  <c r="AH61" i="85" s="1"/>
  <c r="AG60" i="85"/>
  <c r="AJ60" i="85" s="1"/>
  <c r="AF60" i="85"/>
  <c r="AI60" i="85" s="1"/>
  <c r="AE60" i="85"/>
  <c r="AH60" i="85" s="1"/>
  <c r="AG59" i="85"/>
  <c r="AJ59" i="85" s="1"/>
  <c r="AF59" i="85"/>
  <c r="AI59" i="85" s="1"/>
  <c r="AE59" i="85"/>
  <c r="AH59" i="85" s="1"/>
  <c r="AG58" i="85"/>
  <c r="AJ58" i="85" s="1"/>
  <c r="AF58" i="85"/>
  <c r="AI58" i="85" s="1"/>
  <c r="AE58" i="85"/>
  <c r="AH58" i="85" s="1"/>
  <c r="AG57" i="85"/>
  <c r="AJ57" i="85" s="1"/>
  <c r="AF57" i="85"/>
  <c r="AI57" i="85" s="1"/>
  <c r="AE57" i="85"/>
  <c r="AH57" i="85" s="1"/>
  <c r="AG56" i="85"/>
  <c r="AJ56" i="85" s="1"/>
  <c r="AF56" i="85"/>
  <c r="AI56" i="85" s="1"/>
  <c r="AE56" i="85"/>
  <c r="AH56" i="85" s="1"/>
  <c r="AG55" i="85"/>
  <c r="AJ55" i="85" s="1"/>
  <c r="AF55" i="85"/>
  <c r="AI55" i="85" s="1"/>
  <c r="AE55" i="85"/>
  <c r="AH55" i="85" s="1"/>
  <c r="AG54" i="85"/>
  <c r="AJ54" i="85" s="1"/>
  <c r="AF54" i="85"/>
  <c r="AI54" i="85" s="1"/>
  <c r="AE54" i="85"/>
  <c r="AH54" i="85" s="1"/>
  <c r="AG53" i="85"/>
  <c r="AJ53" i="85" s="1"/>
  <c r="AF53" i="85"/>
  <c r="AI53" i="85" s="1"/>
  <c r="AE53" i="85"/>
  <c r="AH53" i="85" s="1"/>
  <c r="AG52" i="85"/>
  <c r="AJ52" i="85" s="1"/>
  <c r="AF52" i="85"/>
  <c r="AI52" i="85" s="1"/>
  <c r="AE52" i="85"/>
  <c r="AH52" i="85" s="1"/>
  <c r="AG51" i="85"/>
  <c r="AJ51" i="85" s="1"/>
  <c r="AF51" i="85"/>
  <c r="AI51" i="85" s="1"/>
  <c r="AE51" i="85"/>
  <c r="AH51" i="85" s="1"/>
  <c r="AG50" i="85"/>
  <c r="AJ50" i="85" s="1"/>
  <c r="AF50" i="85"/>
  <c r="AI50" i="85" s="1"/>
  <c r="AE50" i="85"/>
  <c r="AH50" i="85" s="1"/>
  <c r="AG49" i="85"/>
  <c r="AJ49" i="85" s="1"/>
  <c r="AF49" i="85"/>
  <c r="AI49" i="85" s="1"/>
  <c r="AE49" i="85"/>
  <c r="AH49" i="85" s="1"/>
  <c r="AG48" i="85"/>
  <c r="AJ48" i="85" s="1"/>
  <c r="AF48" i="85"/>
  <c r="AI48" i="85" s="1"/>
  <c r="AE48" i="85"/>
  <c r="AH48" i="85" s="1"/>
  <c r="AG47" i="85"/>
  <c r="AJ47" i="85" s="1"/>
  <c r="AF47" i="85"/>
  <c r="AI47" i="85" s="1"/>
  <c r="AE47" i="85"/>
  <c r="AH47" i="85" s="1"/>
  <c r="AG46" i="85"/>
  <c r="AJ46" i="85" s="1"/>
  <c r="AF46" i="85"/>
  <c r="AI46" i="85" s="1"/>
  <c r="AE46" i="85"/>
  <c r="AH46" i="85" s="1"/>
  <c r="AG45" i="85"/>
  <c r="AJ45" i="85" s="1"/>
  <c r="AF45" i="85"/>
  <c r="AI45" i="85" s="1"/>
  <c r="AE45" i="85"/>
  <c r="AH45" i="85" s="1"/>
  <c r="AG44" i="85"/>
  <c r="AJ44" i="85" s="1"/>
  <c r="AF44" i="85"/>
  <c r="AI44" i="85" s="1"/>
  <c r="AE44" i="85"/>
  <c r="AH44" i="85" s="1"/>
  <c r="AG43" i="85"/>
  <c r="AJ43" i="85" s="1"/>
  <c r="AF43" i="85"/>
  <c r="AI43" i="85" s="1"/>
  <c r="AE43" i="85"/>
  <c r="AH43" i="85" s="1"/>
  <c r="AG42" i="85"/>
  <c r="AJ42" i="85" s="1"/>
  <c r="AF42" i="85"/>
  <c r="AI42" i="85" s="1"/>
  <c r="AE42" i="85"/>
  <c r="AH42" i="85" s="1"/>
  <c r="AG41" i="85"/>
  <c r="AJ41" i="85" s="1"/>
  <c r="AF41" i="85"/>
  <c r="AI41" i="85" s="1"/>
  <c r="AE41" i="85"/>
  <c r="AH41" i="85" s="1"/>
  <c r="AG40" i="85"/>
  <c r="AJ40" i="85" s="1"/>
  <c r="AF40" i="85"/>
  <c r="AI40" i="85" s="1"/>
  <c r="AE40" i="85"/>
  <c r="AH40" i="85" s="1"/>
  <c r="AG39" i="85"/>
  <c r="AJ39" i="85" s="1"/>
  <c r="AF39" i="85"/>
  <c r="AI39" i="85" s="1"/>
  <c r="AE39" i="85"/>
  <c r="AH39" i="85" s="1"/>
  <c r="AG38" i="85"/>
  <c r="AJ38" i="85" s="1"/>
  <c r="AF38" i="85"/>
  <c r="AI38" i="85" s="1"/>
  <c r="AE38" i="85"/>
  <c r="AH38" i="85" s="1"/>
  <c r="AG37" i="85"/>
  <c r="AJ37" i="85" s="1"/>
  <c r="AF37" i="85"/>
  <c r="AI37" i="85" s="1"/>
  <c r="AE37" i="85"/>
  <c r="AH37" i="85" s="1"/>
  <c r="AG36" i="85"/>
  <c r="AJ36" i="85" s="1"/>
  <c r="AF36" i="85"/>
  <c r="AI36" i="85" s="1"/>
  <c r="AE36" i="85"/>
  <c r="AH36" i="85" s="1"/>
  <c r="AG35" i="85"/>
  <c r="AJ35" i="85" s="1"/>
  <c r="AF35" i="85"/>
  <c r="AI35" i="85" s="1"/>
  <c r="AE35" i="85"/>
  <c r="AH35" i="85" s="1"/>
  <c r="AG34" i="85"/>
  <c r="AJ34" i="85" s="1"/>
  <c r="AF34" i="85"/>
  <c r="AI34" i="85" s="1"/>
  <c r="AE34" i="85"/>
  <c r="AH34" i="85" s="1"/>
  <c r="AG33" i="85"/>
  <c r="AJ33" i="85" s="1"/>
  <c r="AF33" i="85"/>
  <c r="AI33" i="85" s="1"/>
  <c r="AE33" i="85"/>
  <c r="AH33" i="85" s="1"/>
  <c r="AG32" i="85"/>
  <c r="AJ32" i="85" s="1"/>
  <c r="AF32" i="85"/>
  <c r="AI32" i="85" s="1"/>
  <c r="AE32" i="85"/>
  <c r="AH32" i="85" s="1"/>
  <c r="AG31" i="85"/>
  <c r="AJ31" i="85" s="1"/>
  <c r="AF31" i="85"/>
  <c r="AI31" i="85" s="1"/>
  <c r="AE31" i="85"/>
  <c r="AH31" i="85" s="1"/>
  <c r="AG30" i="85"/>
  <c r="AJ30" i="85" s="1"/>
  <c r="AF30" i="85"/>
  <c r="AI30" i="85" s="1"/>
  <c r="AE30" i="85"/>
  <c r="AH30" i="85" s="1"/>
  <c r="AG29" i="85"/>
  <c r="AJ29" i="85" s="1"/>
  <c r="AF29" i="85"/>
  <c r="AI29" i="85" s="1"/>
  <c r="AE29" i="85"/>
  <c r="AH29" i="85" s="1"/>
  <c r="AG28" i="85"/>
  <c r="AJ28" i="85" s="1"/>
  <c r="AF28" i="85"/>
  <c r="AI28" i="85" s="1"/>
  <c r="AE28" i="85"/>
  <c r="AH28" i="85" s="1"/>
  <c r="AG27" i="85"/>
  <c r="AJ27" i="85" s="1"/>
  <c r="AF27" i="85"/>
  <c r="AI27" i="85" s="1"/>
  <c r="AE27" i="85"/>
  <c r="AH27" i="85" s="1"/>
  <c r="AG26" i="85"/>
  <c r="AJ26" i="85" s="1"/>
  <c r="AF26" i="85"/>
  <c r="AI26" i="85" s="1"/>
  <c r="AE26" i="85"/>
  <c r="AH26" i="85" s="1"/>
  <c r="AG25" i="85"/>
  <c r="AJ25" i="85" s="1"/>
  <c r="AF25" i="85"/>
  <c r="AI25" i="85" s="1"/>
  <c r="AE25" i="85"/>
  <c r="AH25" i="85" s="1"/>
  <c r="AG24" i="85"/>
  <c r="AJ24" i="85" s="1"/>
  <c r="AF24" i="85"/>
  <c r="AI24" i="85" s="1"/>
  <c r="AE24" i="85"/>
  <c r="AH24" i="85" s="1"/>
  <c r="AG23" i="85"/>
  <c r="AJ23" i="85" s="1"/>
  <c r="AF23" i="85"/>
  <c r="AI23" i="85" s="1"/>
  <c r="AE23" i="85"/>
  <c r="AH23" i="85" s="1"/>
  <c r="AG22" i="85"/>
  <c r="AJ22" i="85" s="1"/>
  <c r="AF22" i="85"/>
  <c r="AI22" i="85" s="1"/>
  <c r="AE22" i="85"/>
  <c r="AH22" i="85" s="1"/>
  <c r="AG21" i="85"/>
  <c r="AJ21" i="85" s="1"/>
  <c r="AF21" i="85"/>
  <c r="AI21" i="85" s="1"/>
  <c r="AE21" i="85"/>
  <c r="AH21" i="85" s="1"/>
  <c r="AG20" i="85"/>
  <c r="AJ20" i="85" s="1"/>
  <c r="AF20" i="85"/>
  <c r="AI20" i="85" s="1"/>
  <c r="AE20" i="85"/>
  <c r="AH20" i="85" s="1"/>
  <c r="AG19" i="85"/>
  <c r="AJ19" i="85" s="1"/>
  <c r="AF19" i="85"/>
  <c r="AI19" i="85" s="1"/>
  <c r="AE19" i="85"/>
  <c r="AH19" i="85" s="1"/>
  <c r="AG18" i="85"/>
  <c r="AJ18" i="85" s="1"/>
  <c r="AF18" i="85"/>
  <c r="AI18" i="85" s="1"/>
  <c r="AE18" i="85"/>
  <c r="AH18" i="85" s="1"/>
  <c r="AG17" i="85"/>
  <c r="AJ17" i="85" s="1"/>
  <c r="AF17" i="85"/>
  <c r="AI17" i="85" s="1"/>
  <c r="AE17" i="85"/>
  <c r="AH17" i="85" s="1"/>
  <c r="AG16" i="85"/>
  <c r="AJ16" i="85" s="1"/>
  <c r="AF16" i="85"/>
  <c r="AI16" i="85" s="1"/>
  <c r="AE16" i="85"/>
  <c r="AH16" i="85" s="1"/>
  <c r="AG15" i="85"/>
  <c r="AJ15" i="85" s="1"/>
  <c r="AF15" i="85"/>
  <c r="AI15" i="85" s="1"/>
  <c r="AE15" i="85"/>
  <c r="AH15" i="85" s="1"/>
  <c r="AG14" i="85"/>
  <c r="AJ14" i="85" s="1"/>
  <c r="AF14" i="85"/>
  <c r="AI14" i="85" s="1"/>
  <c r="AE14" i="85"/>
  <c r="AH14" i="85" s="1"/>
  <c r="AG13" i="85"/>
  <c r="AJ13" i="85" s="1"/>
  <c r="AF13" i="85"/>
  <c r="AI13" i="85" s="1"/>
  <c r="AE13" i="85"/>
  <c r="AH13" i="85" s="1"/>
  <c r="AG12" i="85"/>
  <c r="AJ12" i="85" s="1"/>
  <c r="AF12" i="85"/>
  <c r="AI12" i="85" s="1"/>
  <c r="AE12" i="85"/>
  <c r="AH12" i="85" s="1"/>
  <c r="AG11" i="85"/>
  <c r="AJ11" i="85" s="1"/>
  <c r="AF11" i="85"/>
  <c r="AI11" i="85" s="1"/>
  <c r="AE11" i="85"/>
  <c r="AH11" i="85" s="1"/>
  <c r="AG10" i="85"/>
  <c r="AJ10" i="85" s="1"/>
  <c r="AF10" i="85"/>
  <c r="AI10" i="85" s="1"/>
  <c r="AE10" i="85"/>
  <c r="AH10" i="85" s="1"/>
  <c r="AG9" i="85"/>
  <c r="AJ9" i="85" s="1"/>
  <c r="AF9" i="85"/>
  <c r="AI9" i="85" s="1"/>
  <c r="AE9" i="85"/>
  <c r="AH9" i="85" s="1"/>
  <c r="AG8" i="85"/>
  <c r="AJ8" i="85" s="1"/>
  <c r="AF8" i="85"/>
  <c r="AI8" i="85" s="1"/>
  <c r="AE8" i="85"/>
  <c r="AH8" i="85" s="1"/>
  <c r="AG7" i="85"/>
  <c r="AJ7" i="85" s="1"/>
  <c r="AF7" i="85"/>
  <c r="AI7" i="85" s="1"/>
  <c r="AE7" i="85"/>
  <c r="AH7" i="85" s="1"/>
  <c r="AD6" i="85"/>
  <c r="AC6" i="85"/>
  <c r="AF6" i="85" s="1"/>
  <c r="AB6" i="85"/>
  <c r="AA6" i="85"/>
  <c r="Z6" i="85"/>
  <c r="Y6" i="85"/>
  <c r="D164" i="1" l="1"/>
  <c r="E164" i="1"/>
  <c r="D39" i="1"/>
  <c r="C39" i="1"/>
  <c r="I164" i="1"/>
  <c r="I160" i="1"/>
  <c r="H163" i="1"/>
  <c r="H159" i="1"/>
  <c r="I159" i="1"/>
  <c r="H158" i="1"/>
  <c r="I158" i="1"/>
  <c r="I161" i="1"/>
  <c r="H164" i="1"/>
  <c r="H160" i="1"/>
  <c r="I163" i="1"/>
  <c r="H162" i="1"/>
  <c r="I162" i="1"/>
  <c r="H161" i="1"/>
  <c r="G164" i="1"/>
  <c r="G21" i="108"/>
  <c r="G17" i="108"/>
  <c r="G13" i="108"/>
  <c r="G9" i="108"/>
  <c r="G5" i="108"/>
  <c r="G23" i="108"/>
  <c r="G20" i="108"/>
  <c r="G16" i="108"/>
  <c r="G12" i="108"/>
  <c r="G8" i="108"/>
  <c r="G4" i="108"/>
  <c r="G19" i="108"/>
  <c r="G15" i="108"/>
  <c r="G11" i="108"/>
  <c r="G7" i="108"/>
  <c r="G3" i="108"/>
  <c r="G22" i="108"/>
  <c r="G18" i="108"/>
  <c r="G14" i="108"/>
  <c r="G10" i="108"/>
  <c r="G6" i="108"/>
  <c r="B21" i="108"/>
  <c r="B17" i="108"/>
  <c r="B13" i="108"/>
  <c r="B9" i="108"/>
  <c r="B5" i="108"/>
  <c r="B20" i="108"/>
  <c r="B16" i="108"/>
  <c r="B12" i="108"/>
  <c r="B8" i="108"/>
  <c r="B4" i="108"/>
  <c r="B23" i="108"/>
  <c r="B19" i="108"/>
  <c r="B15" i="108"/>
  <c r="B11" i="108"/>
  <c r="B7" i="108"/>
  <c r="B3" i="108"/>
  <c r="B22" i="108"/>
  <c r="B18" i="108"/>
  <c r="B14" i="108"/>
  <c r="B10" i="108"/>
  <c r="B6" i="108"/>
  <c r="E19" i="1"/>
  <c r="E13" i="1"/>
  <c r="D13" i="1"/>
  <c r="D18" i="1"/>
  <c r="E11" i="1"/>
  <c r="E17" i="1"/>
  <c r="E20" i="1"/>
  <c r="E15" i="1"/>
  <c r="D21" i="1"/>
  <c r="D17" i="1"/>
  <c r="D12" i="1"/>
  <c r="E16" i="1"/>
  <c r="D15" i="1"/>
  <c r="D20" i="1"/>
  <c r="D16" i="1"/>
  <c r="D11" i="1"/>
  <c r="E18" i="1"/>
  <c r="E14" i="1"/>
  <c r="D14" i="1"/>
  <c r="D19" i="1"/>
  <c r="E12" i="1"/>
  <c r="AG6" i="85"/>
  <c r="D55" i="1"/>
  <c r="D54" i="1"/>
  <c r="C55" i="1"/>
  <c r="C54" i="1"/>
  <c r="F124" i="1"/>
  <c r="G124" i="1"/>
  <c r="K115" i="1" s="1"/>
  <c r="I124" i="1"/>
  <c r="E124" i="1"/>
  <c r="H124" i="1"/>
  <c r="D124" i="1"/>
  <c r="J145" i="1"/>
  <c r="J201" i="1"/>
  <c r="J205" i="1"/>
  <c r="J146" i="1"/>
  <c r="J176" i="1"/>
  <c r="J190" i="1"/>
  <c r="J194" i="1"/>
  <c r="J202" i="1"/>
  <c r="J218" i="1"/>
  <c r="J147" i="1"/>
  <c r="J168" i="1"/>
  <c r="J181" i="1"/>
  <c r="J191" i="1"/>
  <c r="J199" i="1"/>
  <c r="J203" i="1"/>
  <c r="J219" i="1"/>
  <c r="J144" i="1"/>
  <c r="J149" i="1"/>
  <c r="J185" i="1"/>
  <c r="J200" i="1"/>
  <c r="J204" i="1"/>
  <c r="G163" i="1"/>
  <c r="G161" i="1"/>
  <c r="G162" i="1"/>
  <c r="F163" i="1"/>
  <c r="E163" i="1"/>
  <c r="D162" i="1"/>
  <c r="D163" i="1"/>
  <c r="F162" i="1"/>
  <c r="E162" i="1"/>
  <c r="M185" i="1"/>
  <c r="I185" i="1"/>
  <c r="L185" i="1"/>
  <c r="K185" i="1"/>
  <c r="C37" i="1"/>
  <c r="C38" i="1"/>
  <c r="D38" i="1"/>
  <c r="D37" i="1"/>
  <c r="M205" i="1"/>
  <c r="K203" i="1"/>
  <c r="L202" i="1"/>
  <c r="N205" i="1"/>
  <c r="K202" i="1"/>
  <c r="M200" i="1"/>
  <c r="L205" i="1"/>
  <c r="M203" i="1"/>
  <c r="N202" i="1"/>
  <c r="L200" i="1"/>
  <c r="K205" i="1"/>
  <c r="K204" i="1"/>
  <c r="L203" i="1"/>
  <c r="M202" i="1"/>
  <c r="K194" i="1"/>
  <c r="K191" i="1"/>
  <c r="K190" i="1"/>
  <c r="N190" i="1"/>
  <c r="N199" i="1"/>
  <c r="L194" i="1"/>
  <c r="L191" i="1"/>
  <c r="L190" i="1"/>
  <c r="I219" i="1"/>
  <c r="H218" i="1"/>
  <c r="H219" i="1"/>
  <c r="I218" i="1"/>
  <c r="AJ6" i="85"/>
  <c r="J222" i="1" s="1"/>
  <c r="AE6" i="85"/>
  <c r="AH6" i="85" s="1"/>
  <c r="H222" i="1" s="1"/>
  <c r="AI6" i="85"/>
  <c r="I222" i="1" s="1"/>
  <c r="BB5" i="24"/>
  <c r="BB6" i="24"/>
  <c r="BB7" i="24"/>
  <c r="BB8" i="24"/>
  <c r="BB9" i="24"/>
  <c r="BB10" i="24"/>
  <c r="BB11" i="24"/>
  <c r="BB12" i="24"/>
  <c r="BB13" i="24"/>
  <c r="BB14" i="24"/>
  <c r="BB15" i="24"/>
  <c r="BB16" i="24"/>
  <c r="BB17" i="24"/>
  <c r="BB18" i="24"/>
  <c r="BB19" i="24"/>
  <c r="BB20" i="24"/>
  <c r="BB21" i="24"/>
  <c r="BB22" i="24"/>
  <c r="BB23" i="24"/>
  <c r="BB24" i="24"/>
  <c r="BB25" i="24"/>
  <c r="BB26" i="24"/>
  <c r="BB27" i="24"/>
  <c r="BB28" i="24"/>
  <c r="BB29" i="24"/>
  <c r="BB30" i="24"/>
  <c r="BB31" i="24"/>
  <c r="BB32" i="24"/>
  <c r="BB33" i="24"/>
  <c r="BB34" i="24"/>
  <c r="BB35" i="24"/>
  <c r="BB36" i="24"/>
  <c r="BB37" i="24"/>
  <c r="BB38" i="24"/>
  <c r="BB39" i="24"/>
  <c r="BB40" i="24"/>
  <c r="BB41" i="24"/>
  <c r="BB42" i="24"/>
  <c r="BB43" i="24"/>
  <c r="BB44" i="24"/>
  <c r="BB45" i="24"/>
  <c r="BB46" i="24"/>
  <c r="BB47" i="24"/>
  <c r="BB48" i="24"/>
  <c r="BB49" i="24"/>
  <c r="BB50" i="24"/>
  <c r="BB51" i="24"/>
  <c r="BB52" i="24"/>
  <c r="BB53" i="24"/>
  <c r="BB54" i="24"/>
  <c r="BB55" i="24"/>
  <c r="BB56" i="24"/>
  <c r="BB57" i="24"/>
  <c r="BB58" i="24"/>
  <c r="BB59" i="24"/>
  <c r="BB60" i="24"/>
  <c r="BB61" i="24"/>
  <c r="BB62" i="24"/>
  <c r="BB63" i="24"/>
  <c r="BB64" i="24"/>
  <c r="BB65" i="24"/>
  <c r="BB66" i="24"/>
  <c r="BB67" i="24"/>
  <c r="BB68" i="24"/>
  <c r="BB69" i="24"/>
  <c r="BB70" i="24"/>
  <c r="BB71" i="24"/>
  <c r="BB72" i="24"/>
  <c r="BB73" i="24"/>
  <c r="BB74" i="24"/>
  <c r="BB75" i="24"/>
  <c r="BB76" i="24"/>
  <c r="BB77" i="24"/>
  <c r="BB78" i="24"/>
  <c r="BB79" i="24"/>
  <c r="BB80" i="24"/>
  <c r="BB81" i="24"/>
  <c r="BB82" i="24"/>
  <c r="BB83" i="24"/>
  <c r="BB84" i="24"/>
  <c r="BB85" i="24"/>
  <c r="BB86" i="24"/>
  <c r="BB87" i="24"/>
  <c r="BB88" i="24"/>
  <c r="BB89" i="24"/>
  <c r="BB90" i="24"/>
  <c r="BB91" i="24"/>
  <c r="BB92" i="24"/>
  <c r="BB93" i="24"/>
  <c r="BB94" i="24"/>
  <c r="BB95" i="24"/>
  <c r="BB96" i="24"/>
  <c r="BB97" i="24"/>
  <c r="BB98" i="24"/>
  <c r="BB99" i="24"/>
  <c r="BB100" i="24"/>
  <c r="BB101" i="24"/>
  <c r="BB102" i="24"/>
  <c r="BB103" i="24"/>
  <c r="BB104" i="24"/>
  <c r="BB105" i="24"/>
  <c r="BB106" i="24"/>
  <c r="BB107" i="24"/>
  <c r="BB108" i="24"/>
  <c r="BB109" i="24"/>
  <c r="BB110" i="24"/>
  <c r="BB111" i="24"/>
  <c r="BB112" i="24"/>
  <c r="BB113" i="24"/>
  <c r="BB114" i="24"/>
  <c r="BB115" i="24"/>
  <c r="BB116" i="24"/>
  <c r="BB117" i="24"/>
  <c r="BB118" i="24"/>
  <c r="BB119" i="24"/>
  <c r="BB120" i="24"/>
  <c r="BB121" i="24"/>
  <c r="BB122" i="24"/>
  <c r="BB123" i="24"/>
  <c r="BB124" i="24"/>
  <c r="BE130" i="24"/>
  <c r="BE129" i="24"/>
  <c r="BE128" i="24"/>
  <c r="BE127" i="24"/>
  <c r="BE126" i="24"/>
  <c r="BE124" i="24"/>
  <c r="BE123" i="24"/>
  <c r="BE122" i="24"/>
  <c r="BE121" i="24"/>
  <c r="BE120" i="24"/>
  <c r="BE119" i="24"/>
  <c r="BE118" i="24"/>
  <c r="BE117" i="24"/>
  <c r="BE116" i="24"/>
  <c r="BE115" i="24"/>
  <c r="BE114" i="24"/>
  <c r="BE113" i="24"/>
  <c r="BE112" i="24"/>
  <c r="BE111" i="24"/>
  <c r="BE110" i="24"/>
  <c r="BE109" i="24"/>
  <c r="BE108" i="24"/>
  <c r="BE107" i="24"/>
  <c r="BE106" i="24"/>
  <c r="BE105" i="24"/>
  <c r="BE104" i="24"/>
  <c r="BE103" i="24"/>
  <c r="BE102" i="24"/>
  <c r="BE101" i="24"/>
  <c r="BE100" i="24"/>
  <c r="BE99" i="24"/>
  <c r="BE98" i="24"/>
  <c r="BE97" i="24"/>
  <c r="BE96" i="24"/>
  <c r="BE95" i="24"/>
  <c r="BE94" i="24"/>
  <c r="BE93" i="24"/>
  <c r="BE92" i="24"/>
  <c r="BE91" i="24"/>
  <c r="BE90" i="24"/>
  <c r="BE89" i="24"/>
  <c r="BE88" i="24"/>
  <c r="BE87" i="24"/>
  <c r="BE86" i="24"/>
  <c r="BE85" i="24"/>
  <c r="BE84" i="24"/>
  <c r="BE83" i="24"/>
  <c r="BE82" i="24"/>
  <c r="BE81" i="24"/>
  <c r="BE80" i="24"/>
  <c r="BE79" i="24"/>
  <c r="BE78" i="24"/>
  <c r="BE77" i="24"/>
  <c r="BE76" i="24"/>
  <c r="BE75" i="24"/>
  <c r="BE74" i="24"/>
  <c r="BE73" i="24"/>
  <c r="BE72" i="24"/>
  <c r="BE71" i="24"/>
  <c r="BE70" i="24"/>
  <c r="BE69" i="24"/>
  <c r="BE68" i="24"/>
  <c r="BE67" i="24"/>
  <c r="BE66" i="24"/>
  <c r="BE65" i="24"/>
  <c r="BE64" i="24"/>
  <c r="BE63" i="24"/>
  <c r="BE62" i="24"/>
  <c r="BE61" i="24"/>
  <c r="BE60" i="24"/>
  <c r="BE59" i="24"/>
  <c r="BE58" i="24"/>
  <c r="BE57" i="24"/>
  <c r="BE56" i="24"/>
  <c r="BE55" i="24"/>
  <c r="BE54" i="24"/>
  <c r="BE53" i="24"/>
  <c r="BE52" i="24"/>
  <c r="BE51" i="24"/>
  <c r="BE50" i="24"/>
  <c r="BE49" i="24"/>
  <c r="BE48" i="24"/>
  <c r="BE47" i="24"/>
  <c r="BE46" i="24"/>
  <c r="BE45" i="24"/>
  <c r="BE44" i="24"/>
  <c r="BE43" i="24"/>
  <c r="BE42" i="24"/>
  <c r="BE41" i="24"/>
  <c r="BE40" i="24"/>
  <c r="BE39" i="24"/>
  <c r="BE38" i="24"/>
  <c r="BE37" i="24"/>
  <c r="BE36" i="24"/>
  <c r="BE35" i="24"/>
  <c r="BE34" i="24"/>
  <c r="BE33" i="24"/>
  <c r="BE32" i="24"/>
  <c r="BE31" i="24"/>
  <c r="BE30" i="24"/>
  <c r="BE29" i="24"/>
  <c r="BE28" i="24"/>
  <c r="BE27" i="24"/>
  <c r="BE26" i="24"/>
  <c r="BE25" i="24"/>
  <c r="BE24" i="24"/>
  <c r="BE23" i="24"/>
  <c r="BE22" i="24"/>
  <c r="BE21" i="24"/>
  <c r="BE20" i="24"/>
  <c r="BE19" i="24"/>
  <c r="BE18" i="24"/>
  <c r="BE17" i="24"/>
  <c r="BE16" i="24"/>
  <c r="BE15" i="24"/>
  <c r="BE14" i="24"/>
  <c r="BE13" i="24"/>
  <c r="BE12" i="24"/>
  <c r="BE11" i="24"/>
  <c r="BE10" i="24"/>
  <c r="BE9" i="24"/>
  <c r="BE8" i="24"/>
  <c r="BE7" i="24"/>
  <c r="BE6" i="24"/>
  <c r="BE5" i="24"/>
  <c r="BD4" i="24"/>
  <c r="BC4" i="24"/>
  <c r="J220" i="1" l="1"/>
  <c r="J221" i="1" s="1"/>
  <c r="J189" i="1"/>
  <c r="H220" i="1"/>
  <c r="H221" i="1" s="1"/>
  <c r="M197" i="1"/>
  <c r="I220" i="1"/>
  <c r="I221" i="1" s="1"/>
  <c r="BE4" i="24"/>
  <c r="F54" i="1" s="1"/>
  <c r="BN131" i="113"/>
  <c r="BN130" i="113"/>
  <c r="BN129" i="113"/>
  <c r="BN128" i="113"/>
  <c r="BN127" i="113"/>
  <c r="BN125" i="113"/>
  <c r="BN124" i="113"/>
  <c r="BN123" i="113"/>
  <c r="BN122" i="113"/>
  <c r="BN121" i="113"/>
  <c r="BN120" i="113"/>
  <c r="BN119" i="113"/>
  <c r="BN118" i="113"/>
  <c r="BN117" i="113"/>
  <c r="BN116" i="113"/>
  <c r="BN115" i="113"/>
  <c r="BN114" i="113"/>
  <c r="BN113" i="113"/>
  <c r="BN112" i="113"/>
  <c r="BN111" i="113"/>
  <c r="BN110" i="113"/>
  <c r="BN109" i="113"/>
  <c r="BN108" i="113"/>
  <c r="BN107" i="113"/>
  <c r="BN106" i="113"/>
  <c r="BN105" i="113"/>
  <c r="BN104" i="113"/>
  <c r="BN103" i="113"/>
  <c r="BN102" i="113"/>
  <c r="BN101" i="113"/>
  <c r="BN100" i="113"/>
  <c r="BN99" i="113"/>
  <c r="BN98" i="113"/>
  <c r="BN97" i="113"/>
  <c r="BN96" i="113"/>
  <c r="BN95" i="113"/>
  <c r="BN94" i="113"/>
  <c r="BN93" i="113"/>
  <c r="BN92" i="113"/>
  <c r="BN91" i="113"/>
  <c r="BN90" i="113"/>
  <c r="BN89" i="113"/>
  <c r="BN88" i="113"/>
  <c r="BN87" i="113"/>
  <c r="BN86" i="113"/>
  <c r="BN85" i="113"/>
  <c r="BN84" i="113"/>
  <c r="BN83" i="113"/>
  <c r="BN82" i="113"/>
  <c r="BN81" i="113"/>
  <c r="BN80" i="113"/>
  <c r="BN79" i="113"/>
  <c r="BN78" i="113"/>
  <c r="BN77" i="113"/>
  <c r="BN76" i="113"/>
  <c r="BN75" i="113"/>
  <c r="BN74" i="113"/>
  <c r="BN73" i="113"/>
  <c r="BN72" i="113"/>
  <c r="BN71" i="113"/>
  <c r="BN70" i="113"/>
  <c r="BN69" i="113"/>
  <c r="BN68" i="113"/>
  <c r="BN67" i="113"/>
  <c r="BN66" i="113"/>
  <c r="BN65" i="113"/>
  <c r="BN64" i="113"/>
  <c r="BN63" i="113"/>
  <c r="BN62" i="113"/>
  <c r="BN61" i="113"/>
  <c r="BN60" i="113"/>
  <c r="BN59" i="113"/>
  <c r="BN58" i="113"/>
  <c r="BN57" i="113"/>
  <c r="BN56" i="113"/>
  <c r="BN55" i="113"/>
  <c r="BN54" i="113"/>
  <c r="BN53" i="113"/>
  <c r="BN52" i="113"/>
  <c r="BN51" i="113"/>
  <c r="BN50" i="113"/>
  <c r="BN49" i="113"/>
  <c r="BN48" i="113"/>
  <c r="BN47" i="113"/>
  <c r="BN46" i="113"/>
  <c r="BN45" i="113"/>
  <c r="BN44" i="113"/>
  <c r="BN43" i="113"/>
  <c r="BN42" i="113"/>
  <c r="BN41" i="113"/>
  <c r="BN40" i="113"/>
  <c r="BN39" i="113"/>
  <c r="BN38" i="113"/>
  <c r="BN37" i="113"/>
  <c r="BN36" i="113"/>
  <c r="BN35" i="113"/>
  <c r="BN34" i="113"/>
  <c r="BN33" i="113"/>
  <c r="BN32" i="113"/>
  <c r="BN31" i="113"/>
  <c r="BN30" i="113"/>
  <c r="BN29" i="113"/>
  <c r="BN28" i="113"/>
  <c r="BN27" i="113"/>
  <c r="BN26" i="113"/>
  <c r="BN25" i="113"/>
  <c r="BN24" i="113"/>
  <c r="BN23" i="113"/>
  <c r="BN22" i="113"/>
  <c r="BN21" i="113"/>
  <c r="BN20" i="113"/>
  <c r="BN19" i="113"/>
  <c r="BN18" i="113"/>
  <c r="BN17" i="113"/>
  <c r="BN16" i="113"/>
  <c r="BN15" i="113"/>
  <c r="BN14" i="113"/>
  <c r="BN13" i="113"/>
  <c r="BN12" i="113"/>
  <c r="BN11" i="113"/>
  <c r="BN10" i="113"/>
  <c r="BN9" i="113"/>
  <c r="BN8" i="113"/>
  <c r="BN7" i="113"/>
  <c r="BN6" i="113"/>
  <c r="BN5" i="113"/>
  <c r="I21" i="108" s="1"/>
  <c r="L7" i="114"/>
  <c r="L101" i="114"/>
  <c r="L8" i="114"/>
  <c r="L9" i="114"/>
  <c r="L10" i="114"/>
  <c r="L11" i="114"/>
  <c r="L12" i="114"/>
  <c r="L13" i="114"/>
  <c r="L14" i="114"/>
  <c r="L15" i="114"/>
  <c r="L16" i="114"/>
  <c r="L17" i="114"/>
  <c r="L102" i="114"/>
  <c r="L18" i="114"/>
  <c r="L19" i="114"/>
  <c r="L20" i="114"/>
  <c r="L21" i="114"/>
  <c r="L22" i="114"/>
  <c r="L23" i="114"/>
  <c r="L24" i="114"/>
  <c r="L25" i="114"/>
  <c r="L103" i="114"/>
  <c r="L104" i="114"/>
  <c r="L26" i="114"/>
  <c r="L27" i="114"/>
  <c r="L28" i="114"/>
  <c r="L29" i="114"/>
  <c r="L30" i="114"/>
  <c r="L105" i="114"/>
  <c r="L31" i="114"/>
  <c r="L32" i="114"/>
  <c r="L33" i="114"/>
  <c r="L34" i="114"/>
  <c r="L35" i="114"/>
  <c r="L36" i="114"/>
  <c r="L37" i="114"/>
  <c r="L106" i="114"/>
  <c r="L38" i="114"/>
  <c r="L39" i="114"/>
  <c r="L107" i="114"/>
  <c r="L108" i="114"/>
  <c r="L40" i="114"/>
  <c r="L41" i="114"/>
  <c r="L42" i="114"/>
  <c r="L43" i="114"/>
  <c r="L44" i="114"/>
  <c r="L45" i="114"/>
  <c r="L46" i="114"/>
  <c r="L109" i="114"/>
  <c r="L47" i="114"/>
  <c r="L48" i="114"/>
  <c r="L49" i="114"/>
  <c r="L50" i="114"/>
  <c r="L110" i="114"/>
  <c r="L51" i="114"/>
  <c r="L52" i="114"/>
  <c r="L53" i="114"/>
  <c r="L54" i="114"/>
  <c r="L55" i="114"/>
  <c r="L56" i="114"/>
  <c r="L57" i="114"/>
  <c r="L58" i="114"/>
  <c r="L59" i="114"/>
  <c r="L60" i="114"/>
  <c r="L111" i="114"/>
  <c r="L61" i="114"/>
  <c r="L112" i="114"/>
  <c r="L113" i="114"/>
  <c r="L62" i="114"/>
  <c r="L63" i="114"/>
  <c r="L64" i="114"/>
  <c r="L65" i="114"/>
  <c r="L66" i="114"/>
  <c r="L67" i="114"/>
  <c r="L114" i="114"/>
  <c r="L115" i="114"/>
  <c r="L68" i="114"/>
  <c r="L69" i="114"/>
  <c r="L116" i="114"/>
  <c r="L70" i="114"/>
  <c r="L71" i="114"/>
  <c r="L72" i="114"/>
  <c r="L73" i="114"/>
  <c r="L117" i="114"/>
  <c r="L74" i="114"/>
  <c r="L118" i="114"/>
  <c r="L75" i="114"/>
  <c r="L76" i="114"/>
  <c r="L77" i="114"/>
  <c r="L78" i="114"/>
  <c r="L79" i="114"/>
  <c r="L119" i="114"/>
  <c r="L80" i="114"/>
  <c r="L120" i="114"/>
  <c r="L81" i="114"/>
  <c r="L121" i="114"/>
  <c r="L82" i="114"/>
  <c r="L83" i="114"/>
  <c r="L84" i="114"/>
  <c r="L85" i="114"/>
  <c r="L86" i="114"/>
  <c r="L87" i="114"/>
  <c r="L88" i="114"/>
  <c r="L89" i="114"/>
  <c r="L90" i="114"/>
  <c r="L91" i="114"/>
  <c r="L122" i="114"/>
  <c r="L92" i="114"/>
  <c r="L93" i="114"/>
  <c r="L94" i="114"/>
  <c r="L123" i="114"/>
  <c r="L95" i="114"/>
  <c r="L96" i="114"/>
  <c r="L97" i="114"/>
  <c r="L124" i="114"/>
  <c r="L125" i="114"/>
  <c r="L98" i="114"/>
  <c r="L99" i="114"/>
  <c r="L100" i="114"/>
  <c r="BN131" i="109" l="1"/>
  <c r="BN130" i="109"/>
  <c r="BN129" i="109"/>
  <c r="BN128" i="109"/>
  <c r="BN127" i="109"/>
  <c r="BN100" i="109"/>
  <c r="BN99" i="109"/>
  <c r="BN98" i="109"/>
  <c r="BN125" i="109"/>
  <c r="BN124" i="109"/>
  <c r="BN97" i="109"/>
  <c r="BN96" i="109"/>
  <c r="BN95" i="109"/>
  <c r="BN123" i="109"/>
  <c r="BN94" i="109"/>
  <c r="BN93" i="109"/>
  <c r="BN92" i="109"/>
  <c r="BN122" i="109"/>
  <c r="BN91" i="109"/>
  <c r="BN90" i="109"/>
  <c r="BN89" i="109"/>
  <c r="BN88" i="109"/>
  <c r="BN87" i="109"/>
  <c r="BN86" i="109"/>
  <c r="BN85" i="109"/>
  <c r="BN84" i="109"/>
  <c r="BN83" i="109"/>
  <c r="BN82" i="109"/>
  <c r="BN121" i="109"/>
  <c r="BN81" i="109"/>
  <c r="BN120" i="109"/>
  <c r="BN80" i="109"/>
  <c r="BN119" i="109"/>
  <c r="BN79" i="109"/>
  <c r="BN78" i="109"/>
  <c r="BN77" i="109"/>
  <c r="BN76" i="109"/>
  <c r="BN75" i="109"/>
  <c r="BN118" i="109"/>
  <c r="BN74" i="109"/>
  <c r="BN117" i="109"/>
  <c r="BN73" i="109"/>
  <c r="BN72" i="109"/>
  <c r="BN71" i="109"/>
  <c r="BN70" i="109"/>
  <c r="BN116" i="109"/>
  <c r="BN69" i="109"/>
  <c r="BN68" i="109"/>
  <c r="BN115" i="109"/>
  <c r="BN114" i="109"/>
  <c r="BN67" i="109"/>
  <c r="BN66" i="109"/>
  <c r="BN65" i="109"/>
  <c r="BN64" i="109"/>
  <c r="BN63" i="109"/>
  <c r="BN62" i="109"/>
  <c r="BN113" i="109"/>
  <c r="BN112" i="109"/>
  <c r="BN61" i="109"/>
  <c r="BN111" i="109"/>
  <c r="BN60" i="109"/>
  <c r="BN59" i="109"/>
  <c r="BN58" i="109"/>
  <c r="BN57" i="109"/>
  <c r="BN56" i="109"/>
  <c r="BN55" i="109"/>
  <c r="BN54" i="109"/>
  <c r="BN53" i="109"/>
  <c r="BN52" i="109"/>
  <c r="BN51" i="109"/>
  <c r="BN110" i="109"/>
  <c r="BN50" i="109"/>
  <c r="BN49" i="109"/>
  <c r="BN48" i="109"/>
  <c r="BN47" i="109"/>
  <c r="BN109" i="109"/>
  <c r="BN46" i="109"/>
  <c r="BN45" i="109"/>
  <c r="BN44" i="109"/>
  <c r="BN43" i="109"/>
  <c r="BN42" i="109"/>
  <c r="BN41" i="109"/>
  <c r="BN40" i="109"/>
  <c r="BN108" i="109"/>
  <c r="BN107" i="109"/>
  <c r="BN39" i="109"/>
  <c r="BN38" i="109"/>
  <c r="BN106" i="109"/>
  <c r="BN37" i="109"/>
  <c r="BN36" i="109"/>
  <c r="BN35" i="109"/>
  <c r="BN34" i="109"/>
  <c r="BN33" i="109"/>
  <c r="BN32" i="109"/>
  <c r="BN31" i="109"/>
  <c r="BN105" i="109"/>
  <c r="BN30" i="109"/>
  <c r="BN29" i="109"/>
  <c r="BN28" i="109"/>
  <c r="BN27" i="109"/>
  <c r="BN26" i="109"/>
  <c r="BN104" i="109"/>
  <c r="BN103" i="109"/>
  <c r="BN25" i="109"/>
  <c r="BN24" i="109"/>
  <c r="BN23" i="109"/>
  <c r="BN22" i="109"/>
  <c r="BN21" i="109"/>
  <c r="BN20" i="109"/>
  <c r="BN19" i="109"/>
  <c r="BN18" i="109"/>
  <c r="BN102" i="109"/>
  <c r="BN17" i="109"/>
  <c r="BN16" i="109"/>
  <c r="BN15" i="109"/>
  <c r="BN14" i="109"/>
  <c r="BN13" i="109"/>
  <c r="BN12" i="109"/>
  <c r="BN11" i="109"/>
  <c r="BN10" i="109"/>
  <c r="BN9" i="109"/>
  <c r="BN8" i="109"/>
  <c r="BN101" i="109"/>
  <c r="BN7" i="109"/>
  <c r="BN6" i="109"/>
  <c r="BN5" i="109"/>
  <c r="D21" i="108" s="1"/>
  <c r="E16" i="123" l="1"/>
  <c r="L5" i="49" l="1"/>
  <c r="K7" i="91" l="1"/>
  <c r="K8" i="91"/>
  <c r="K9" i="91"/>
  <c r="K10" i="91"/>
  <c r="K11" i="91"/>
  <c r="K12" i="91"/>
  <c r="K13" i="91"/>
  <c r="K14" i="91"/>
  <c r="K15" i="91"/>
  <c r="K16" i="91"/>
  <c r="K17" i="91"/>
  <c r="K18" i="91"/>
  <c r="K19" i="91"/>
  <c r="K20" i="91"/>
  <c r="K21" i="91"/>
  <c r="K22" i="91"/>
  <c r="K23" i="91"/>
  <c r="K24" i="91"/>
  <c r="K25" i="91"/>
  <c r="K26" i="91"/>
  <c r="K27" i="91"/>
  <c r="K28" i="91"/>
  <c r="K29" i="91"/>
  <c r="K30" i="91"/>
  <c r="K31" i="91"/>
  <c r="K32" i="91"/>
  <c r="K33" i="91"/>
  <c r="K34" i="91"/>
  <c r="K35" i="91"/>
  <c r="K36" i="91"/>
  <c r="K37" i="91"/>
  <c r="K38" i="91"/>
  <c r="K39" i="91"/>
  <c r="K40" i="91"/>
  <c r="K41" i="91"/>
  <c r="K42" i="91"/>
  <c r="K43" i="91"/>
  <c r="K44" i="91"/>
  <c r="K45" i="91"/>
  <c r="K46" i="91"/>
  <c r="K47" i="91"/>
  <c r="K48" i="91"/>
  <c r="K49" i="91"/>
  <c r="K50" i="91"/>
  <c r="K51" i="91"/>
  <c r="K52" i="91"/>
  <c r="K53" i="91"/>
  <c r="K54" i="91"/>
  <c r="K55" i="91"/>
  <c r="K56" i="91"/>
  <c r="K57" i="91"/>
  <c r="K58" i="91"/>
  <c r="K59" i="91"/>
  <c r="K60" i="91"/>
  <c r="K61" i="91"/>
  <c r="K62" i="91"/>
  <c r="K63" i="91"/>
  <c r="K64" i="91"/>
  <c r="K65" i="91"/>
  <c r="K66" i="91"/>
  <c r="K67" i="91"/>
  <c r="K68" i="91"/>
  <c r="K69" i="91"/>
  <c r="K70" i="91"/>
  <c r="K71" i="91"/>
  <c r="K72" i="91"/>
  <c r="K73" i="91"/>
  <c r="K74" i="91"/>
  <c r="K75" i="91"/>
  <c r="K76" i="91"/>
  <c r="K77" i="91"/>
  <c r="K78" i="91"/>
  <c r="K79" i="91"/>
  <c r="K80" i="91"/>
  <c r="K81" i="91"/>
  <c r="K82" i="91"/>
  <c r="K83" i="91"/>
  <c r="K84" i="91"/>
  <c r="K85" i="91"/>
  <c r="K86" i="91"/>
  <c r="K87" i="91"/>
  <c r="K88" i="91"/>
  <c r="K89" i="91"/>
  <c r="K90" i="91"/>
  <c r="K91" i="91"/>
  <c r="K92" i="91"/>
  <c r="K93" i="91"/>
  <c r="K94" i="91"/>
  <c r="K95" i="91"/>
  <c r="K96" i="91"/>
  <c r="K97" i="91"/>
  <c r="K98" i="91"/>
  <c r="K99" i="91"/>
  <c r="K100" i="91"/>
  <c r="K101" i="91"/>
  <c r="K102" i="91"/>
  <c r="K103" i="91"/>
  <c r="K104" i="91"/>
  <c r="K105" i="91"/>
  <c r="K106" i="91"/>
  <c r="K107" i="91"/>
  <c r="K108" i="91"/>
  <c r="K109" i="91"/>
  <c r="K110" i="91"/>
  <c r="K111" i="91"/>
  <c r="K112" i="91"/>
  <c r="K113" i="91"/>
  <c r="K114" i="91"/>
  <c r="K115" i="91"/>
  <c r="K116" i="91"/>
  <c r="K117" i="91"/>
  <c r="K118" i="91"/>
  <c r="K119" i="91"/>
  <c r="K120" i="91"/>
  <c r="K121" i="91"/>
  <c r="K122" i="91"/>
  <c r="K123" i="91"/>
  <c r="K124" i="91"/>
  <c r="K125" i="91"/>
  <c r="K6" i="91"/>
  <c r="G4" i="92" l="1"/>
  <c r="F4" i="92"/>
  <c r="E4" i="92"/>
  <c r="AB5" i="6"/>
  <c r="P7" i="6"/>
  <c r="P101" i="6"/>
  <c r="P8" i="6"/>
  <c r="P9" i="6"/>
  <c r="P10" i="6"/>
  <c r="P11" i="6"/>
  <c r="P12" i="6"/>
  <c r="P13" i="6"/>
  <c r="P14" i="6"/>
  <c r="P15" i="6"/>
  <c r="P16" i="6"/>
  <c r="P17" i="6"/>
  <c r="P102" i="6"/>
  <c r="P18" i="6"/>
  <c r="P19" i="6"/>
  <c r="P20" i="6"/>
  <c r="P21" i="6"/>
  <c r="P22" i="6"/>
  <c r="P23" i="6"/>
  <c r="P24" i="6"/>
  <c r="P25" i="6"/>
  <c r="P103" i="6"/>
  <c r="P104" i="6"/>
  <c r="P26" i="6"/>
  <c r="P27" i="6"/>
  <c r="P28" i="6"/>
  <c r="P29" i="6"/>
  <c r="P30" i="6"/>
  <c r="P105" i="6"/>
  <c r="P31" i="6"/>
  <c r="P32" i="6"/>
  <c r="P33" i="6"/>
  <c r="P34" i="6"/>
  <c r="P35" i="6"/>
  <c r="P36" i="6"/>
  <c r="P37" i="6"/>
  <c r="P106" i="6"/>
  <c r="P38" i="6"/>
  <c r="P39" i="6"/>
  <c r="P107" i="6"/>
  <c r="P108" i="6"/>
  <c r="P40" i="6"/>
  <c r="P41" i="6"/>
  <c r="P42" i="6"/>
  <c r="P43" i="6"/>
  <c r="P44" i="6"/>
  <c r="P45" i="6"/>
  <c r="P46" i="6"/>
  <c r="P109" i="6"/>
  <c r="P47" i="6"/>
  <c r="P48" i="6"/>
  <c r="P49" i="6"/>
  <c r="P50" i="6"/>
  <c r="P110" i="6"/>
  <c r="P51" i="6"/>
  <c r="P52" i="6"/>
  <c r="P53" i="6"/>
  <c r="P54" i="6"/>
  <c r="P55" i="6"/>
  <c r="P56" i="6"/>
  <c r="P57" i="6"/>
  <c r="P58" i="6"/>
  <c r="P59" i="6"/>
  <c r="P60" i="6"/>
  <c r="P111" i="6"/>
  <c r="P61" i="6"/>
  <c r="P112" i="6"/>
  <c r="P113" i="6"/>
  <c r="P62" i="6"/>
  <c r="P63" i="6"/>
  <c r="P64" i="6"/>
  <c r="P65" i="6"/>
  <c r="P66" i="6"/>
  <c r="P67" i="6"/>
  <c r="P114" i="6"/>
  <c r="P115" i="6"/>
  <c r="P68" i="6"/>
  <c r="P69" i="6"/>
  <c r="P116" i="6"/>
  <c r="P70" i="6"/>
  <c r="P71" i="6"/>
  <c r="P72" i="6"/>
  <c r="P73" i="6"/>
  <c r="P117" i="6"/>
  <c r="P74" i="6"/>
  <c r="P118" i="6"/>
  <c r="P75" i="6"/>
  <c r="P76" i="6"/>
  <c r="P77" i="6"/>
  <c r="P78" i="6"/>
  <c r="P79" i="6"/>
  <c r="P119" i="6"/>
  <c r="P80" i="6"/>
  <c r="P120" i="6"/>
  <c r="P81" i="6"/>
  <c r="P121" i="6"/>
  <c r="P82" i="6"/>
  <c r="P83" i="6"/>
  <c r="P84" i="6"/>
  <c r="P85" i="6"/>
  <c r="P86" i="6"/>
  <c r="P87" i="6"/>
  <c r="P88" i="6"/>
  <c r="P89" i="6"/>
  <c r="P90" i="6"/>
  <c r="P91" i="6"/>
  <c r="P122" i="6"/>
  <c r="P92" i="6"/>
  <c r="P93" i="6"/>
  <c r="P94" i="6"/>
  <c r="P123" i="6"/>
  <c r="P95" i="6"/>
  <c r="P96" i="6"/>
  <c r="P97" i="6"/>
  <c r="P124" i="6"/>
  <c r="P125" i="6"/>
  <c r="P98" i="6"/>
  <c r="P99" i="6"/>
  <c r="P100" i="6"/>
  <c r="P6" i="6"/>
  <c r="M5" i="6"/>
  <c r="P5" i="6" l="1"/>
  <c r="H37" i="1" l="1"/>
  <c r="H36" i="1"/>
  <c r="H35" i="1"/>
  <c r="H34" i="1"/>
  <c r="H33" i="1"/>
  <c r="H32" i="1"/>
  <c r="H31" i="1"/>
  <c r="H30" i="1"/>
  <c r="H29" i="1"/>
  <c r="H28" i="1"/>
  <c r="G37" i="1"/>
  <c r="G36" i="1"/>
  <c r="G35" i="1"/>
  <c r="G34" i="1"/>
  <c r="G33" i="1"/>
  <c r="G32" i="1"/>
  <c r="G31" i="1"/>
  <c r="G30" i="1"/>
  <c r="G29" i="1"/>
  <c r="G28" i="1"/>
  <c r="G131" i="118" l="1"/>
  <c r="G130" i="118"/>
  <c r="G129" i="118"/>
  <c r="G128" i="118"/>
  <c r="G127" i="118"/>
  <c r="G7" i="118"/>
  <c r="Q7" i="79" s="1"/>
  <c r="G8" i="118"/>
  <c r="Q8" i="79" s="1"/>
  <c r="G9" i="118"/>
  <c r="Q9" i="79" s="1"/>
  <c r="G10" i="118"/>
  <c r="Q10" i="79" s="1"/>
  <c r="G11" i="118"/>
  <c r="Q11" i="79" s="1"/>
  <c r="G12" i="118"/>
  <c r="Q12" i="79" s="1"/>
  <c r="G13" i="118"/>
  <c r="Q13" i="79" s="1"/>
  <c r="G14" i="118"/>
  <c r="Q14" i="79" s="1"/>
  <c r="G15" i="118"/>
  <c r="Q15" i="79" s="1"/>
  <c r="G16" i="118"/>
  <c r="Q16" i="79" s="1"/>
  <c r="G17" i="118"/>
  <c r="Q17" i="79" s="1"/>
  <c r="G18" i="118"/>
  <c r="Q18" i="79" s="1"/>
  <c r="G19" i="118"/>
  <c r="Q19" i="79" s="1"/>
  <c r="G20" i="118"/>
  <c r="Q20" i="79" s="1"/>
  <c r="G21" i="118"/>
  <c r="Q21" i="79" s="1"/>
  <c r="G22" i="118"/>
  <c r="Q22" i="79" s="1"/>
  <c r="G23" i="118"/>
  <c r="Q23" i="79" s="1"/>
  <c r="G24" i="118"/>
  <c r="Q24" i="79" s="1"/>
  <c r="G25" i="118"/>
  <c r="Q25" i="79" s="1"/>
  <c r="G26" i="118"/>
  <c r="Q26" i="79" s="1"/>
  <c r="G27" i="118"/>
  <c r="Q27" i="79" s="1"/>
  <c r="G28" i="118"/>
  <c r="Q28" i="79" s="1"/>
  <c r="G29" i="118"/>
  <c r="Q29" i="79" s="1"/>
  <c r="G30" i="118"/>
  <c r="Q30" i="79" s="1"/>
  <c r="G31" i="118"/>
  <c r="Q31" i="79" s="1"/>
  <c r="G32" i="118"/>
  <c r="Q32" i="79" s="1"/>
  <c r="G33" i="118"/>
  <c r="Q33" i="79" s="1"/>
  <c r="G34" i="118"/>
  <c r="Q34" i="79" s="1"/>
  <c r="G35" i="118"/>
  <c r="Q35" i="79" s="1"/>
  <c r="G36" i="118"/>
  <c r="Q36" i="79" s="1"/>
  <c r="G37" i="118"/>
  <c r="Q37" i="79" s="1"/>
  <c r="G38" i="118"/>
  <c r="Q38" i="79" s="1"/>
  <c r="G39" i="118"/>
  <c r="Q39" i="79" s="1"/>
  <c r="G40" i="118"/>
  <c r="Q40" i="79" s="1"/>
  <c r="G41" i="118"/>
  <c r="Q41" i="79" s="1"/>
  <c r="G42" i="118"/>
  <c r="Q42" i="79" s="1"/>
  <c r="G43" i="118"/>
  <c r="Q43" i="79" s="1"/>
  <c r="G44" i="118"/>
  <c r="Q44" i="79" s="1"/>
  <c r="G45" i="118"/>
  <c r="Q45" i="79" s="1"/>
  <c r="G46" i="118"/>
  <c r="Q46" i="79" s="1"/>
  <c r="G47" i="118"/>
  <c r="Q47" i="79" s="1"/>
  <c r="G48" i="118"/>
  <c r="Q48" i="79" s="1"/>
  <c r="G49" i="118"/>
  <c r="Q49" i="79" s="1"/>
  <c r="G50" i="118"/>
  <c r="Q50" i="79" s="1"/>
  <c r="G51" i="118"/>
  <c r="Q51" i="79" s="1"/>
  <c r="G52" i="118"/>
  <c r="Q52" i="79" s="1"/>
  <c r="G53" i="118"/>
  <c r="Q53" i="79" s="1"/>
  <c r="G54" i="118"/>
  <c r="Q54" i="79" s="1"/>
  <c r="G55" i="118"/>
  <c r="Q55" i="79" s="1"/>
  <c r="G56" i="118"/>
  <c r="Q56" i="79" s="1"/>
  <c r="G57" i="118"/>
  <c r="Q57" i="79" s="1"/>
  <c r="G58" i="118"/>
  <c r="Q58" i="79" s="1"/>
  <c r="G59" i="118"/>
  <c r="Q59" i="79" s="1"/>
  <c r="G60" i="118"/>
  <c r="Q60" i="79" s="1"/>
  <c r="G61" i="118"/>
  <c r="Q61" i="79" s="1"/>
  <c r="G62" i="118"/>
  <c r="Q62" i="79" s="1"/>
  <c r="G63" i="118"/>
  <c r="Q63" i="79" s="1"/>
  <c r="G64" i="118"/>
  <c r="Q64" i="79" s="1"/>
  <c r="G65" i="118"/>
  <c r="Q65" i="79" s="1"/>
  <c r="G66" i="118"/>
  <c r="Q66" i="79" s="1"/>
  <c r="G67" i="118"/>
  <c r="Q67" i="79" s="1"/>
  <c r="G68" i="118"/>
  <c r="Q68" i="79" s="1"/>
  <c r="G69" i="118"/>
  <c r="Q69" i="79" s="1"/>
  <c r="G70" i="118"/>
  <c r="Q70" i="79" s="1"/>
  <c r="G71" i="118"/>
  <c r="Q71" i="79" s="1"/>
  <c r="G72" i="118"/>
  <c r="Q72" i="79" s="1"/>
  <c r="G73" i="118"/>
  <c r="Q73" i="79" s="1"/>
  <c r="G74" i="118"/>
  <c r="Q74" i="79" s="1"/>
  <c r="G75" i="118"/>
  <c r="Q75" i="79" s="1"/>
  <c r="G76" i="118"/>
  <c r="Q76" i="79" s="1"/>
  <c r="G77" i="118"/>
  <c r="Q77" i="79" s="1"/>
  <c r="G78" i="118"/>
  <c r="Q78" i="79" s="1"/>
  <c r="G79" i="118"/>
  <c r="Q79" i="79" s="1"/>
  <c r="G80" i="118"/>
  <c r="Q80" i="79" s="1"/>
  <c r="G81" i="118"/>
  <c r="Q81" i="79" s="1"/>
  <c r="G82" i="118"/>
  <c r="Q82" i="79" s="1"/>
  <c r="G83" i="118"/>
  <c r="Q83" i="79" s="1"/>
  <c r="G84" i="118"/>
  <c r="Q84" i="79" s="1"/>
  <c r="G85" i="118"/>
  <c r="Q85" i="79" s="1"/>
  <c r="G86" i="118"/>
  <c r="Q86" i="79" s="1"/>
  <c r="G87" i="118"/>
  <c r="Q87" i="79" s="1"/>
  <c r="G88" i="118"/>
  <c r="Q88" i="79" s="1"/>
  <c r="G89" i="118"/>
  <c r="Q89" i="79" s="1"/>
  <c r="G90" i="118"/>
  <c r="Q90" i="79" s="1"/>
  <c r="G91" i="118"/>
  <c r="Q91" i="79" s="1"/>
  <c r="G92" i="118"/>
  <c r="Q92" i="79" s="1"/>
  <c r="G93" i="118"/>
  <c r="Q93" i="79" s="1"/>
  <c r="G94" i="118"/>
  <c r="Q94" i="79" s="1"/>
  <c r="G95" i="118"/>
  <c r="Q95" i="79" s="1"/>
  <c r="G96" i="118"/>
  <c r="Q96" i="79" s="1"/>
  <c r="G97" i="118"/>
  <c r="Q97" i="79" s="1"/>
  <c r="G98" i="118"/>
  <c r="Q98" i="79" s="1"/>
  <c r="G99" i="118"/>
  <c r="Q99" i="79" s="1"/>
  <c r="G100" i="118"/>
  <c r="Q100" i="79" s="1"/>
  <c r="G101" i="118"/>
  <c r="Q101" i="79" s="1"/>
  <c r="G102" i="118"/>
  <c r="Q102" i="79" s="1"/>
  <c r="G103" i="118"/>
  <c r="Q103" i="79" s="1"/>
  <c r="G104" i="118"/>
  <c r="Q104" i="79" s="1"/>
  <c r="G105" i="118"/>
  <c r="Q105" i="79" s="1"/>
  <c r="G106" i="118"/>
  <c r="Q106" i="79" s="1"/>
  <c r="G107" i="118"/>
  <c r="Q107" i="79" s="1"/>
  <c r="G108" i="118"/>
  <c r="Q108" i="79" s="1"/>
  <c r="G109" i="118"/>
  <c r="Q109" i="79" s="1"/>
  <c r="G110" i="118"/>
  <c r="Q110" i="79" s="1"/>
  <c r="G111" i="118"/>
  <c r="Q111" i="79" s="1"/>
  <c r="G112" i="118"/>
  <c r="Q112" i="79" s="1"/>
  <c r="G113" i="118"/>
  <c r="Q113" i="79" s="1"/>
  <c r="G114" i="118"/>
  <c r="Q114" i="79" s="1"/>
  <c r="G115" i="118"/>
  <c r="Q115" i="79" s="1"/>
  <c r="G116" i="118"/>
  <c r="Q116" i="79" s="1"/>
  <c r="G117" i="118"/>
  <c r="Q117" i="79" s="1"/>
  <c r="G118" i="118"/>
  <c r="Q118" i="79" s="1"/>
  <c r="G119" i="118"/>
  <c r="Q119" i="79" s="1"/>
  <c r="G120" i="118"/>
  <c r="Q120" i="79" s="1"/>
  <c r="G121" i="118"/>
  <c r="Q121" i="79" s="1"/>
  <c r="G122" i="118"/>
  <c r="Q122" i="79" s="1"/>
  <c r="G123" i="118"/>
  <c r="Q123" i="79" s="1"/>
  <c r="G124" i="118"/>
  <c r="Q124" i="79" s="1"/>
  <c r="G125" i="118"/>
  <c r="Q125" i="79" s="1"/>
  <c r="G6" i="118"/>
  <c r="Q6" i="79" s="1"/>
  <c r="G132" i="118" l="1"/>
  <c r="J130" i="56" l="1"/>
  <c r="J129" i="56"/>
  <c r="J128" i="56"/>
  <c r="J126" i="56"/>
  <c r="G10" i="123" s="1"/>
  <c r="C30" i="108" s="1"/>
  <c r="C32" i="108" s="1"/>
  <c r="I129" i="56"/>
  <c r="I128" i="56"/>
  <c r="I127" i="56"/>
  <c r="K128" i="56" l="1"/>
  <c r="J127" i="56"/>
  <c r="K127" i="56" s="1"/>
  <c r="I126" i="56"/>
  <c r="I130" i="56"/>
  <c r="K129" i="56"/>
  <c r="K126" i="56"/>
  <c r="K130" i="56"/>
  <c r="J99" i="56"/>
  <c r="K130" i="101" l="1"/>
  <c r="K129" i="101"/>
  <c r="K128" i="101"/>
  <c r="K127" i="101"/>
  <c r="K126" i="101"/>
  <c r="J131" i="101"/>
  <c r="I131" i="101"/>
  <c r="H130" i="101"/>
  <c r="H129" i="101"/>
  <c r="H128" i="101"/>
  <c r="H127" i="101"/>
  <c r="H126" i="101"/>
  <c r="I130" i="117"/>
  <c r="H130" i="117"/>
  <c r="I129" i="117"/>
  <c r="H129" i="117"/>
  <c r="I128" i="117"/>
  <c r="H128" i="117"/>
  <c r="I127" i="117"/>
  <c r="H127" i="117"/>
  <c r="I126" i="117"/>
  <c r="H126" i="117"/>
  <c r="I130" i="61"/>
  <c r="I129" i="61"/>
  <c r="I128" i="61"/>
  <c r="I127" i="61"/>
  <c r="I126" i="61"/>
  <c r="H130" i="61"/>
  <c r="H129" i="61"/>
  <c r="H16" i="123" s="1"/>
  <c r="H128" i="61"/>
  <c r="H127" i="61"/>
  <c r="H126" i="61"/>
  <c r="L130" i="24" l="1"/>
  <c r="L129" i="24"/>
  <c r="L128" i="24"/>
  <c r="L127" i="24"/>
  <c r="L126"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L6" i="24"/>
  <c r="L5" i="24"/>
  <c r="L4" i="24"/>
  <c r="R1" i="108" l="1"/>
  <c r="P1" i="108"/>
  <c r="N1" i="108"/>
  <c r="L1" i="108"/>
  <c r="P124" i="136"/>
  <c r="P123" i="136"/>
  <c r="P122" i="136"/>
  <c r="P121" i="136"/>
  <c r="P120" i="136"/>
  <c r="P119" i="136"/>
  <c r="P118" i="136"/>
  <c r="P117" i="136"/>
  <c r="P116" i="136"/>
  <c r="P115" i="136"/>
  <c r="P114" i="136"/>
  <c r="P113" i="136"/>
  <c r="P112" i="136"/>
  <c r="P111" i="136"/>
  <c r="P110" i="136"/>
  <c r="P109" i="136"/>
  <c r="P108" i="136"/>
  <c r="P107" i="136"/>
  <c r="P106" i="136"/>
  <c r="P105" i="136"/>
  <c r="P104" i="136"/>
  <c r="P103" i="136"/>
  <c r="P102" i="136"/>
  <c r="P101" i="136"/>
  <c r="P100" i="136"/>
  <c r="P99" i="136"/>
  <c r="P98" i="136"/>
  <c r="P97" i="136"/>
  <c r="P96" i="136"/>
  <c r="P95" i="136"/>
  <c r="P94" i="136"/>
  <c r="P93" i="136"/>
  <c r="P92" i="136"/>
  <c r="P91" i="136"/>
  <c r="P90" i="136"/>
  <c r="P89" i="136"/>
  <c r="P88" i="136"/>
  <c r="P87" i="136"/>
  <c r="P86" i="136"/>
  <c r="P85" i="136"/>
  <c r="P84" i="136"/>
  <c r="P83" i="136"/>
  <c r="P82" i="136"/>
  <c r="P81" i="136"/>
  <c r="P80" i="136"/>
  <c r="P79" i="136"/>
  <c r="P78" i="136"/>
  <c r="P77" i="136"/>
  <c r="P76" i="136"/>
  <c r="P75" i="136"/>
  <c r="P74" i="136"/>
  <c r="P73" i="136"/>
  <c r="P72" i="136"/>
  <c r="P71" i="136"/>
  <c r="P70" i="136"/>
  <c r="P69" i="136"/>
  <c r="P68" i="136"/>
  <c r="P67" i="136"/>
  <c r="P66" i="136"/>
  <c r="P65" i="136"/>
  <c r="P64" i="136"/>
  <c r="P63" i="136"/>
  <c r="P62" i="136"/>
  <c r="P61" i="136"/>
  <c r="P60" i="136"/>
  <c r="P59" i="136"/>
  <c r="P58" i="136"/>
  <c r="P57" i="136"/>
  <c r="P56" i="136"/>
  <c r="P55" i="136"/>
  <c r="P54" i="136"/>
  <c r="P53" i="136"/>
  <c r="P52" i="136"/>
  <c r="P51" i="136"/>
  <c r="P50" i="136"/>
  <c r="P49" i="136"/>
  <c r="P48" i="136"/>
  <c r="P47" i="136"/>
  <c r="P46" i="136"/>
  <c r="P45" i="136"/>
  <c r="P44" i="136"/>
  <c r="P43" i="136"/>
  <c r="P42" i="136"/>
  <c r="P41" i="136"/>
  <c r="P40" i="136"/>
  <c r="P39" i="136"/>
  <c r="P38" i="136"/>
  <c r="P37" i="136"/>
  <c r="P36" i="136"/>
  <c r="P35" i="136"/>
  <c r="P34" i="136"/>
  <c r="P33" i="136"/>
  <c r="P32" i="136"/>
  <c r="P31" i="136"/>
  <c r="P30" i="136"/>
  <c r="P29" i="136"/>
  <c r="P28" i="136"/>
  <c r="P27" i="136"/>
  <c r="P26" i="136"/>
  <c r="P25" i="136"/>
  <c r="P24" i="136"/>
  <c r="P23" i="136"/>
  <c r="P22" i="136"/>
  <c r="P21" i="136"/>
  <c r="P20" i="136"/>
  <c r="P19" i="136"/>
  <c r="P18" i="136"/>
  <c r="P17" i="136"/>
  <c r="P16" i="136"/>
  <c r="P15" i="136"/>
  <c r="P14" i="136"/>
  <c r="P13" i="136"/>
  <c r="P12" i="136"/>
  <c r="P11" i="136"/>
  <c r="P10" i="136"/>
  <c r="P9" i="136"/>
  <c r="P8" i="136"/>
  <c r="P7" i="136"/>
  <c r="P6" i="136"/>
  <c r="P5" i="136"/>
  <c r="O4" i="136"/>
  <c r="N4" i="136"/>
  <c r="M4" i="136"/>
  <c r="L4" i="136"/>
  <c r="K4" i="136"/>
  <c r="J4" i="136"/>
  <c r="I4" i="136"/>
  <c r="H4" i="136"/>
  <c r="G4" i="136"/>
  <c r="F4" i="136"/>
  <c r="E4" i="136"/>
  <c r="D4" i="136"/>
  <c r="P124" i="135"/>
  <c r="P123" i="135"/>
  <c r="P122" i="135"/>
  <c r="P121" i="135"/>
  <c r="P120" i="135"/>
  <c r="P119" i="135"/>
  <c r="P118" i="135"/>
  <c r="P117" i="135"/>
  <c r="P116" i="135"/>
  <c r="P115" i="135"/>
  <c r="P114" i="135"/>
  <c r="P113" i="135"/>
  <c r="P112" i="135"/>
  <c r="P111" i="135"/>
  <c r="P110" i="135"/>
  <c r="P109" i="135"/>
  <c r="P108" i="135"/>
  <c r="P107" i="135"/>
  <c r="P106" i="135"/>
  <c r="P105" i="135"/>
  <c r="P104" i="135"/>
  <c r="P103" i="135"/>
  <c r="P102" i="135"/>
  <c r="P101" i="135"/>
  <c r="P100" i="135"/>
  <c r="P99" i="135"/>
  <c r="P98" i="135"/>
  <c r="P97" i="135"/>
  <c r="P96" i="135"/>
  <c r="P95" i="135"/>
  <c r="P94" i="135"/>
  <c r="P93" i="135"/>
  <c r="P92" i="135"/>
  <c r="P91" i="135"/>
  <c r="P90" i="135"/>
  <c r="P89" i="135"/>
  <c r="P88" i="135"/>
  <c r="P87" i="135"/>
  <c r="P86" i="135"/>
  <c r="P85" i="135"/>
  <c r="P84" i="135"/>
  <c r="P83" i="135"/>
  <c r="P82" i="135"/>
  <c r="P81" i="135"/>
  <c r="P80" i="135"/>
  <c r="P79" i="135"/>
  <c r="P78" i="135"/>
  <c r="P77" i="135"/>
  <c r="P76" i="135"/>
  <c r="P75" i="135"/>
  <c r="P74" i="135"/>
  <c r="P73" i="135"/>
  <c r="P72" i="135"/>
  <c r="P71" i="135"/>
  <c r="P70" i="135"/>
  <c r="P69" i="135"/>
  <c r="P68" i="135"/>
  <c r="P67" i="135"/>
  <c r="P66" i="135"/>
  <c r="P65" i="135"/>
  <c r="P64" i="135"/>
  <c r="P63" i="135"/>
  <c r="P62" i="135"/>
  <c r="P61" i="135"/>
  <c r="P60" i="135"/>
  <c r="P59" i="135"/>
  <c r="P58" i="135"/>
  <c r="P57" i="135"/>
  <c r="P56" i="135"/>
  <c r="P55" i="135"/>
  <c r="P54" i="135"/>
  <c r="P53" i="135"/>
  <c r="P52" i="135"/>
  <c r="P51" i="135"/>
  <c r="P50" i="135"/>
  <c r="P49" i="135"/>
  <c r="P48" i="135"/>
  <c r="P47" i="135"/>
  <c r="P46" i="135"/>
  <c r="P45" i="135"/>
  <c r="P44" i="135"/>
  <c r="P43" i="135"/>
  <c r="P42" i="135"/>
  <c r="P41" i="135"/>
  <c r="P40" i="135"/>
  <c r="P39" i="135"/>
  <c r="P38" i="135"/>
  <c r="P37" i="135"/>
  <c r="P36" i="135"/>
  <c r="P35" i="135"/>
  <c r="P34" i="135"/>
  <c r="P33" i="135"/>
  <c r="P32" i="135"/>
  <c r="P31" i="135"/>
  <c r="P30" i="135"/>
  <c r="P29" i="135"/>
  <c r="P28" i="135"/>
  <c r="P27" i="135"/>
  <c r="P26" i="135"/>
  <c r="P25" i="135"/>
  <c r="P24" i="135"/>
  <c r="P23" i="135"/>
  <c r="P22" i="135"/>
  <c r="P21" i="135"/>
  <c r="P20" i="135"/>
  <c r="P19" i="135"/>
  <c r="P18" i="135"/>
  <c r="P17" i="135"/>
  <c r="P16" i="135"/>
  <c r="P15" i="135"/>
  <c r="P14" i="135"/>
  <c r="P13" i="135"/>
  <c r="P12" i="135"/>
  <c r="P11" i="135"/>
  <c r="P10" i="135"/>
  <c r="P9" i="135"/>
  <c r="P8" i="135"/>
  <c r="P7" i="135"/>
  <c r="P6" i="135"/>
  <c r="P5" i="135"/>
  <c r="O4" i="135"/>
  <c r="N4" i="135"/>
  <c r="M4" i="135"/>
  <c r="L4" i="135"/>
  <c r="K4" i="135"/>
  <c r="J4" i="135"/>
  <c r="I4" i="135"/>
  <c r="H4" i="135"/>
  <c r="G4" i="135"/>
  <c r="F4" i="135"/>
  <c r="E4" i="135"/>
  <c r="D4" i="135"/>
  <c r="P124" i="134"/>
  <c r="P123" i="134"/>
  <c r="P122" i="134"/>
  <c r="P121" i="134"/>
  <c r="P120" i="134"/>
  <c r="P119" i="134"/>
  <c r="P118" i="134"/>
  <c r="P117" i="134"/>
  <c r="P116" i="134"/>
  <c r="P115" i="134"/>
  <c r="P114" i="134"/>
  <c r="P113" i="134"/>
  <c r="P112" i="134"/>
  <c r="P111" i="134"/>
  <c r="P110" i="134"/>
  <c r="P109" i="134"/>
  <c r="P108" i="134"/>
  <c r="P107" i="134"/>
  <c r="P106" i="134"/>
  <c r="P105" i="134"/>
  <c r="P104" i="134"/>
  <c r="P103" i="134"/>
  <c r="P102" i="134"/>
  <c r="P101" i="134"/>
  <c r="P100" i="134"/>
  <c r="P99" i="134"/>
  <c r="P98" i="134"/>
  <c r="P97" i="134"/>
  <c r="P96" i="134"/>
  <c r="P95" i="134"/>
  <c r="P94" i="134"/>
  <c r="P93" i="134"/>
  <c r="P92" i="134"/>
  <c r="P91" i="134"/>
  <c r="P90" i="134"/>
  <c r="P89" i="134"/>
  <c r="P88" i="134"/>
  <c r="P87" i="134"/>
  <c r="P86" i="134"/>
  <c r="P85" i="134"/>
  <c r="P84" i="134"/>
  <c r="P83" i="134"/>
  <c r="P82" i="134"/>
  <c r="P81" i="134"/>
  <c r="P80" i="134"/>
  <c r="P79" i="134"/>
  <c r="P78" i="134"/>
  <c r="P77" i="134"/>
  <c r="P76" i="134"/>
  <c r="P75" i="134"/>
  <c r="P74" i="134"/>
  <c r="P73" i="134"/>
  <c r="P72" i="134"/>
  <c r="P71" i="134"/>
  <c r="P70" i="134"/>
  <c r="P69" i="134"/>
  <c r="P68" i="134"/>
  <c r="P67" i="134"/>
  <c r="P66" i="134"/>
  <c r="P65" i="134"/>
  <c r="P64" i="134"/>
  <c r="P63" i="134"/>
  <c r="P62" i="134"/>
  <c r="P61" i="134"/>
  <c r="P60" i="134"/>
  <c r="P59" i="134"/>
  <c r="P58" i="134"/>
  <c r="P57" i="134"/>
  <c r="P56" i="134"/>
  <c r="P55" i="134"/>
  <c r="P54" i="134"/>
  <c r="P53" i="134"/>
  <c r="P52" i="134"/>
  <c r="P51" i="134"/>
  <c r="P50" i="134"/>
  <c r="P49" i="134"/>
  <c r="P48" i="134"/>
  <c r="P47" i="134"/>
  <c r="P46" i="134"/>
  <c r="P45" i="134"/>
  <c r="P44" i="134"/>
  <c r="P43" i="134"/>
  <c r="P42" i="134"/>
  <c r="P41" i="134"/>
  <c r="P40" i="134"/>
  <c r="P39" i="134"/>
  <c r="P38" i="134"/>
  <c r="P37" i="134"/>
  <c r="P36" i="134"/>
  <c r="P35" i="134"/>
  <c r="P34" i="134"/>
  <c r="P33" i="134"/>
  <c r="P32" i="134"/>
  <c r="P31" i="134"/>
  <c r="P30" i="134"/>
  <c r="P29" i="134"/>
  <c r="P28" i="134"/>
  <c r="P27" i="134"/>
  <c r="P26" i="134"/>
  <c r="P25" i="134"/>
  <c r="P24" i="134"/>
  <c r="P23" i="134"/>
  <c r="P22" i="134"/>
  <c r="P21" i="134"/>
  <c r="P20" i="134"/>
  <c r="P19" i="134"/>
  <c r="P18" i="134"/>
  <c r="P17" i="134"/>
  <c r="P16" i="134"/>
  <c r="P15" i="134"/>
  <c r="P14" i="134"/>
  <c r="P13" i="134"/>
  <c r="P12" i="134"/>
  <c r="P11" i="134"/>
  <c r="P10" i="134"/>
  <c r="P9" i="134"/>
  <c r="P8" i="134"/>
  <c r="P7" i="134"/>
  <c r="P6" i="134"/>
  <c r="P5" i="134"/>
  <c r="O4" i="134"/>
  <c r="N4" i="134"/>
  <c r="M4" i="134"/>
  <c r="L4" i="134"/>
  <c r="K4" i="134"/>
  <c r="J4" i="134"/>
  <c r="I4" i="134"/>
  <c r="H4" i="134"/>
  <c r="G4" i="134"/>
  <c r="F4" i="134"/>
  <c r="E4" i="134"/>
  <c r="D4" i="134"/>
  <c r="P124" i="133"/>
  <c r="P123" i="133"/>
  <c r="P122" i="133"/>
  <c r="P121" i="133"/>
  <c r="P120" i="133"/>
  <c r="P119" i="133"/>
  <c r="P118" i="133"/>
  <c r="P117" i="133"/>
  <c r="P116" i="133"/>
  <c r="P115" i="133"/>
  <c r="P114" i="133"/>
  <c r="P113" i="133"/>
  <c r="P112" i="133"/>
  <c r="P111" i="133"/>
  <c r="P110" i="133"/>
  <c r="P109" i="133"/>
  <c r="P108" i="133"/>
  <c r="P107" i="133"/>
  <c r="P106" i="133"/>
  <c r="P105" i="133"/>
  <c r="P104" i="133"/>
  <c r="P103" i="133"/>
  <c r="P102" i="133"/>
  <c r="P101" i="133"/>
  <c r="P100" i="133"/>
  <c r="P99" i="133"/>
  <c r="P98" i="133"/>
  <c r="P97" i="133"/>
  <c r="P96" i="133"/>
  <c r="P95" i="133"/>
  <c r="P94" i="133"/>
  <c r="P93" i="133"/>
  <c r="P92" i="133"/>
  <c r="P91" i="133"/>
  <c r="P90" i="133"/>
  <c r="P89" i="133"/>
  <c r="P88" i="133"/>
  <c r="P87" i="133"/>
  <c r="P86" i="133"/>
  <c r="P85" i="133"/>
  <c r="P84" i="133"/>
  <c r="P83" i="133"/>
  <c r="P82" i="133"/>
  <c r="P81" i="133"/>
  <c r="P80" i="133"/>
  <c r="P79" i="133"/>
  <c r="P78" i="133"/>
  <c r="P77" i="133"/>
  <c r="P76" i="133"/>
  <c r="P75" i="133"/>
  <c r="P74" i="133"/>
  <c r="P73" i="133"/>
  <c r="P72" i="133"/>
  <c r="P71" i="133"/>
  <c r="P70" i="133"/>
  <c r="P69" i="133"/>
  <c r="P68" i="133"/>
  <c r="P67" i="133"/>
  <c r="P66" i="133"/>
  <c r="P65" i="133"/>
  <c r="P64" i="133"/>
  <c r="P63" i="133"/>
  <c r="P62" i="133"/>
  <c r="P61" i="133"/>
  <c r="P60" i="133"/>
  <c r="P59" i="133"/>
  <c r="P58" i="133"/>
  <c r="P57" i="133"/>
  <c r="P56" i="133"/>
  <c r="P55" i="133"/>
  <c r="P54" i="133"/>
  <c r="P53" i="133"/>
  <c r="P52" i="133"/>
  <c r="P51" i="133"/>
  <c r="P50" i="133"/>
  <c r="P49" i="133"/>
  <c r="P48" i="133"/>
  <c r="P47" i="133"/>
  <c r="P46" i="133"/>
  <c r="P45" i="133"/>
  <c r="P44" i="133"/>
  <c r="P43" i="133"/>
  <c r="P42" i="133"/>
  <c r="P41" i="133"/>
  <c r="P40" i="133"/>
  <c r="P39" i="133"/>
  <c r="P38" i="133"/>
  <c r="P37" i="133"/>
  <c r="P36" i="133"/>
  <c r="P35" i="133"/>
  <c r="P34" i="133"/>
  <c r="P33" i="133"/>
  <c r="P32" i="133"/>
  <c r="P31" i="133"/>
  <c r="P30" i="133"/>
  <c r="P29" i="133"/>
  <c r="P28" i="133"/>
  <c r="P27" i="133"/>
  <c r="P26" i="133"/>
  <c r="P25" i="133"/>
  <c r="P24" i="133"/>
  <c r="P23" i="133"/>
  <c r="P22" i="133"/>
  <c r="P21" i="133"/>
  <c r="P20" i="133"/>
  <c r="P19" i="133"/>
  <c r="P18" i="133"/>
  <c r="P17" i="133"/>
  <c r="P16" i="133"/>
  <c r="P15" i="133"/>
  <c r="P14" i="133"/>
  <c r="P13" i="133"/>
  <c r="P12" i="133"/>
  <c r="P11" i="133"/>
  <c r="P10" i="133"/>
  <c r="P9" i="133"/>
  <c r="P8" i="133"/>
  <c r="P7" i="133"/>
  <c r="P6" i="133"/>
  <c r="P5" i="133"/>
  <c r="O4" i="133"/>
  <c r="N4" i="133"/>
  <c r="M4" i="133"/>
  <c r="L4" i="133"/>
  <c r="K4" i="133"/>
  <c r="J4" i="133"/>
  <c r="I4" i="133"/>
  <c r="H4" i="133"/>
  <c r="G4" i="133"/>
  <c r="F4" i="133"/>
  <c r="E4" i="133"/>
  <c r="D4" i="133"/>
  <c r="P4" i="136" l="1"/>
  <c r="P4" i="134"/>
  <c r="P4" i="135"/>
  <c r="P4" i="133"/>
  <c r="BM131" i="113"/>
  <c r="BM130" i="113"/>
  <c r="BM129" i="113"/>
  <c r="BM128" i="113"/>
  <c r="BM127" i="113"/>
  <c r="BM125" i="113"/>
  <c r="BM124" i="113"/>
  <c r="BM123" i="113"/>
  <c r="BM122" i="113"/>
  <c r="BM121" i="113"/>
  <c r="BM120" i="113"/>
  <c r="BM119" i="113"/>
  <c r="BM118" i="113"/>
  <c r="BM117" i="113"/>
  <c r="BM116" i="113"/>
  <c r="BM115" i="113"/>
  <c r="BM114" i="113"/>
  <c r="BM113" i="113"/>
  <c r="BM112" i="113"/>
  <c r="BM111" i="113"/>
  <c r="BM110" i="113"/>
  <c r="BM109" i="113"/>
  <c r="BM108" i="113"/>
  <c r="BM107" i="113"/>
  <c r="BM106" i="113"/>
  <c r="BM105" i="113"/>
  <c r="BM104" i="113"/>
  <c r="BM103" i="113"/>
  <c r="BM102" i="113"/>
  <c r="BM101" i="113"/>
  <c r="BM100" i="113"/>
  <c r="BM99" i="113"/>
  <c r="BM98" i="113"/>
  <c r="BM97" i="113"/>
  <c r="BM96" i="113"/>
  <c r="BM95" i="113"/>
  <c r="BM94" i="113"/>
  <c r="BM93" i="113"/>
  <c r="BM92" i="113"/>
  <c r="BM91" i="113"/>
  <c r="BM90" i="113"/>
  <c r="BM89" i="113"/>
  <c r="BM88" i="113"/>
  <c r="BM87" i="113"/>
  <c r="BM86" i="113"/>
  <c r="BM85" i="113"/>
  <c r="BM84" i="113"/>
  <c r="BM83" i="113"/>
  <c r="BM82" i="113"/>
  <c r="BM81" i="113"/>
  <c r="BM80" i="113"/>
  <c r="BM79" i="113"/>
  <c r="BM78" i="113"/>
  <c r="BM77" i="113"/>
  <c r="BM76" i="113"/>
  <c r="BM75" i="113"/>
  <c r="BM74" i="113"/>
  <c r="BM73" i="113"/>
  <c r="BM72" i="113"/>
  <c r="BM71" i="113"/>
  <c r="BM70" i="113"/>
  <c r="BM69" i="113"/>
  <c r="BM68" i="113"/>
  <c r="BM67" i="113"/>
  <c r="BM66" i="113"/>
  <c r="BM65" i="113"/>
  <c r="BM64" i="113"/>
  <c r="BM63" i="113"/>
  <c r="BM62" i="113"/>
  <c r="BM61" i="113"/>
  <c r="BM60" i="113"/>
  <c r="BM59" i="113"/>
  <c r="BM58" i="113"/>
  <c r="BM57" i="113"/>
  <c r="BM56" i="113"/>
  <c r="BM55" i="113"/>
  <c r="BM54" i="113"/>
  <c r="BM53" i="113"/>
  <c r="BM52" i="113"/>
  <c r="BM51" i="113"/>
  <c r="BM50" i="113"/>
  <c r="BM49" i="113"/>
  <c r="BM48" i="113"/>
  <c r="BM47" i="113"/>
  <c r="BM46" i="113"/>
  <c r="BM45" i="113"/>
  <c r="BM44" i="113"/>
  <c r="BM43" i="113"/>
  <c r="BM42" i="113"/>
  <c r="BM41" i="113"/>
  <c r="BM40" i="113"/>
  <c r="BM39" i="113"/>
  <c r="BM38" i="113"/>
  <c r="BM37" i="113"/>
  <c r="BM36" i="113"/>
  <c r="BM35" i="113"/>
  <c r="BM34" i="113"/>
  <c r="BM33" i="113"/>
  <c r="BM32" i="113"/>
  <c r="BM31" i="113"/>
  <c r="BM30" i="113"/>
  <c r="BM29" i="113"/>
  <c r="BM28" i="113"/>
  <c r="BM27" i="113"/>
  <c r="BM26" i="113"/>
  <c r="BM25" i="113"/>
  <c r="BM24" i="113"/>
  <c r="BM23" i="113"/>
  <c r="BM22" i="113"/>
  <c r="BM21" i="113"/>
  <c r="BM20" i="113"/>
  <c r="BM19" i="113"/>
  <c r="BM18" i="113"/>
  <c r="BM17" i="113"/>
  <c r="BM16" i="113"/>
  <c r="BM15" i="113"/>
  <c r="BM14" i="113"/>
  <c r="BM13" i="113"/>
  <c r="BM12" i="113"/>
  <c r="BM11" i="113"/>
  <c r="BM10" i="113"/>
  <c r="BM9" i="113"/>
  <c r="BM8" i="113"/>
  <c r="BM7" i="113"/>
  <c r="BM6" i="113"/>
  <c r="BM5" i="113"/>
  <c r="I20" i="108" s="1"/>
  <c r="BB130" i="24" l="1"/>
  <c r="BB129" i="24"/>
  <c r="BB128" i="24"/>
  <c r="BB127" i="24"/>
  <c r="BB126" i="24"/>
  <c r="BA4" i="24" l="1"/>
  <c r="AZ4" i="24"/>
  <c r="BB4" i="24" l="1"/>
  <c r="F53" i="1" s="1"/>
  <c r="F5" i="132"/>
  <c r="F7" i="132" l="1"/>
  <c r="F8" i="132"/>
  <c r="F9" i="132"/>
  <c r="F10" i="132"/>
  <c r="F11" i="132"/>
  <c r="F12" i="132"/>
  <c r="F13" i="132"/>
  <c r="F14" i="132"/>
  <c r="F15" i="132"/>
  <c r="F16" i="132"/>
  <c r="F17" i="132"/>
  <c r="F18" i="132"/>
  <c r="F19" i="132"/>
  <c r="F20" i="132"/>
  <c r="F21" i="132"/>
  <c r="F22" i="132"/>
  <c r="F23" i="132"/>
  <c r="F24" i="132"/>
  <c r="F25" i="132"/>
  <c r="F26" i="132"/>
  <c r="F27" i="132"/>
  <c r="F28" i="132"/>
  <c r="F29" i="132"/>
  <c r="F30" i="132"/>
  <c r="F31" i="132"/>
  <c r="F32" i="132"/>
  <c r="F33" i="132"/>
  <c r="F34" i="132"/>
  <c r="F35" i="132"/>
  <c r="F36" i="132"/>
  <c r="F37" i="132"/>
  <c r="F38" i="132"/>
  <c r="F39" i="132"/>
  <c r="F40" i="132"/>
  <c r="F41" i="132"/>
  <c r="F42" i="132"/>
  <c r="F43" i="132"/>
  <c r="F44" i="132"/>
  <c r="F45" i="132"/>
  <c r="F46" i="132"/>
  <c r="F47" i="132"/>
  <c r="F48" i="132"/>
  <c r="F49" i="132"/>
  <c r="F50" i="132"/>
  <c r="F51" i="132"/>
  <c r="F52" i="132"/>
  <c r="F53" i="132"/>
  <c r="F54" i="132"/>
  <c r="F55" i="132"/>
  <c r="F56" i="132"/>
  <c r="F57" i="132"/>
  <c r="F58" i="132"/>
  <c r="F59" i="132"/>
  <c r="F60" i="132"/>
  <c r="F61" i="132"/>
  <c r="F62" i="132"/>
  <c r="F63" i="132"/>
  <c r="F64" i="132"/>
  <c r="F65" i="132"/>
  <c r="F66" i="132"/>
  <c r="F67" i="132"/>
  <c r="F68" i="132"/>
  <c r="F69" i="132"/>
  <c r="F70" i="132"/>
  <c r="F71" i="132"/>
  <c r="F72" i="132"/>
  <c r="F73" i="132"/>
  <c r="F74" i="132"/>
  <c r="F75" i="132"/>
  <c r="F76" i="132"/>
  <c r="F77" i="132"/>
  <c r="F78" i="132"/>
  <c r="F79" i="132"/>
  <c r="F80" i="132"/>
  <c r="F81" i="132"/>
  <c r="F82" i="132"/>
  <c r="F83" i="132"/>
  <c r="F84" i="132"/>
  <c r="F85" i="132"/>
  <c r="F86" i="132"/>
  <c r="F87" i="132"/>
  <c r="F88" i="132"/>
  <c r="F89" i="132"/>
  <c r="F90" i="132"/>
  <c r="F91" i="132"/>
  <c r="F92" i="132"/>
  <c r="F93" i="132"/>
  <c r="F94" i="132"/>
  <c r="F95" i="132"/>
  <c r="F96" i="132"/>
  <c r="F97" i="132"/>
  <c r="F98" i="132"/>
  <c r="F99" i="132"/>
  <c r="F100" i="132"/>
  <c r="F101" i="132"/>
  <c r="F102" i="132"/>
  <c r="F103" i="132"/>
  <c r="F104" i="132"/>
  <c r="F105" i="132"/>
  <c r="F106" i="132"/>
  <c r="F107" i="132"/>
  <c r="F108" i="132"/>
  <c r="F109" i="132"/>
  <c r="F110" i="132"/>
  <c r="F111" i="132"/>
  <c r="F112" i="132"/>
  <c r="F113" i="132"/>
  <c r="F114" i="132"/>
  <c r="F115" i="132"/>
  <c r="F116" i="132"/>
  <c r="F117" i="132"/>
  <c r="F118" i="132"/>
  <c r="F119" i="132"/>
  <c r="F120" i="132"/>
  <c r="F121" i="132"/>
  <c r="F122" i="132"/>
  <c r="F123" i="132"/>
  <c r="F124" i="132"/>
  <c r="F125" i="132"/>
  <c r="F6" i="132"/>
  <c r="P99" i="131" l="1"/>
  <c r="P98" i="131"/>
  <c r="P97" i="131"/>
  <c r="P124" i="131"/>
  <c r="P123" i="131"/>
  <c r="P96" i="131"/>
  <c r="P95" i="131"/>
  <c r="P94" i="131"/>
  <c r="P122" i="131"/>
  <c r="P93" i="131"/>
  <c r="P92" i="131"/>
  <c r="P91" i="131"/>
  <c r="P121" i="131"/>
  <c r="P90" i="131"/>
  <c r="P89" i="131"/>
  <c r="P88" i="131"/>
  <c r="P87" i="131"/>
  <c r="P86" i="131"/>
  <c r="P85" i="131"/>
  <c r="P84" i="131"/>
  <c r="P83" i="131"/>
  <c r="P82" i="131"/>
  <c r="P81" i="131"/>
  <c r="P120" i="131"/>
  <c r="P80" i="131"/>
  <c r="P119" i="131"/>
  <c r="P79" i="131"/>
  <c r="P118" i="131"/>
  <c r="P78" i="131"/>
  <c r="P77" i="131"/>
  <c r="P76" i="131"/>
  <c r="P75" i="131"/>
  <c r="P74" i="131"/>
  <c r="P117" i="131"/>
  <c r="P73" i="131"/>
  <c r="P116" i="131"/>
  <c r="P72" i="131"/>
  <c r="P71" i="131"/>
  <c r="P70" i="131"/>
  <c r="P69" i="131"/>
  <c r="P115" i="131"/>
  <c r="P68" i="131"/>
  <c r="P67" i="131"/>
  <c r="P114" i="131"/>
  <c r="P113" i="131"/>
  <c r="P66" i="131"/>
  <c r="P65" i="131"/>
  <c r="P64" i="131"/>
  <c r="P63" i="131"/>
  <c r="P62" i="131"/>
  <c r="P61" i="131"/>
  <c r="P112" i="131"/>
  <c r="P111" i="131"/>
  <c r="P60" i="131"/>
  <c r="P110" i="131"/>
  <c r="P59" i="131"/>
  <c r="P58" i="131"/>
  <c r="P57" i="131"/>
  <c r="P56" i="131"/>
  <c r="P55" i="131"/>
  <c r="P54" i="131"/>
  <c r="P53" i="131"/>
  <c r="P52" i="131"/>
  <c r="P51" i="131"/>
  <c r="P50" i="131"/>
  <c r="P109" i="131"/>
  <c r="P49" i="131"/>
  <c r="P48" i="131"/>
  <c r="P47" i="131"/>
  <c r="P46" i="131"/>
  <c r="P108" i="131"/>
  <c r="P45" i="131"/>
  <c r="P44" i="131"/>
  <c r="P43" i="131"/>
  <c r="P42" i="131"/>
  <c r="P41" i="131"/>
  <c r="P40" i="131"/>
  <c r="P39" i="131"/>
  <c r="P107" i="131"/>
  <c r="P106" i="131"/>
  <c r="P38" i="131"/>
  <c r="P37" i="131"/>
  <c r="P105" i="131"/>
  <c r="P36" i="131"/>
  <c r="P35" i="131"/>
  <c r="P34" i="131"/>
  <c r="P33" i="131"/>
  <c r="P32" i="131"/>
  <c r="P31" i="131"/>
  <c r="P30" i="131"/>
  <c r="P104" i="131"/>
  <c r="P29" i="131"/>
  <c r="P28" i="131"/>
  <c r="P27" i="131"/>
  <c r="P26" i="131"/>
  <c r="P25" i="131"/>
  <c r="P103" i="131"/>
  <c r="P102" i="131"/>
  <c r="P24" i="131"/>
  <c r="P23" i="131"/>
  <c r="P22" i="131"/>
  <c r="P21" i="131"/>
  <c r="P20" i="131"/>
  <c r="P19" i="131"/>
  <c r="P18" i="131"/>
  <c r="P17" i="131"/>
  <c r="P101" i="131"/>
  <c r="P16" i="131"/>
  <c r="P15" i="131"/>
  <c r="P14" i="131"/>
  <c r="P13" i="131"/>
  <c r="P12" i="131"/>
  <c r="P11" i="131"/>
  <c r="P10" i="131"/>
  <c r="P9" i="131"/>
  <c r="P8" i="131"/>
  <c r="P7" i="131"/>
  <c r="P100" i="131"/>
  <c r="P6" i="131"/>
  <c r="P5" i="131"/>
  <c r="O4" i="131"/>
  <c r="N4" i="131"/>
  <c r="M4" i="131"/>
  <c r="L4" i="131"/>
  <c r="K4" i="131"/>
  <c r="J4" i="131"/>
  <c r="I4" i="131"/>
  <c r="H4" i="131"/>
  <c r="G4" i="131"/>
  <c r="F4" i="131"/>
  <c r="E4" i="131"/>
  <c r="D4" i="131"/>
  <c r="P99" i="130"/>
  <c r="P98" i="130"/>
  <c r="P97" i="130"/>
  <c r="P124" i="130"/>
  <c r="P123" i="130"/>
  <c r="P96" i="130"/>
  <c r="P95" i="130"/>
  <c r="P94" i="130"/>
  <c r="P122" i="130"/>
  <c r="P93" i="130"/>
  <c r="P92" i="130"/>
  <c r="P91" i="130"/>
  <c r="P121" i="130"/>
  <c r="P90" i="130"/>
  <c r="P89" i="130"/>
  <c r="P88" i="130"/>
  <c r="P87" i="130"/>
  <c r="P86" i="130"/>
  <c r="P85" i="130"/>
  <c r="P84" i="130"/>
  <c r="P83" i="130"/>
  <c r="P82" i="130"/>
  <c r="P81" i="130"/>
  <c r="P120" i="130"/>
  <c r="P80" i="130"/>
  <c r="P119" i="130"/>
  <c r="P79" i="130"/>
  <c r="P118" i="130"/>
  <c r="P78" i="130"/>
  <c r="P77" i="130"/>
  <c r="P76" i="130"/>
  <c r="P75" i="130"/>
  <c r="P74" i="130"/>
  <c r="P117" i="130"/>
  <c r="P73" i="130"/>
  <c r="P116" i="130"/>
  <c r="P72" i="130"/>
  <c r="P71" i="130"/>
  <c r="P70" i="130"/>
  <c r="P69" i="130"/>
  <c r="P115" i="130"/>
  <c r="P68" i="130"/>
  <c r="P67" i="130"/>
  <c r="P114" i="130"/>
  <c r="P113" i="130"/>
  <c r="P66" i="130"/>
  <c r="P65" i="130"/>
  <c r="P64" i="130"/>
  <c r="P63" i="130"/>
  <c r="P62" i="130"/>
  <c r="P61" i="130"/>
  <c r="P112" i="130"/>
  <c r="P111" i="130"/>
  <c r="P60" i="130"/>
  <c r="P110" i="130"/>
  <c r="P59" i="130"/>
  <c r="P58" i="130"/>
  <c r="P57" i="130"/>
  <c r="P56" i="130"/>
  <c r="P55" i="130"/>
  <c r="P54" i="130"/>
  <c r="P53" i="130"/>
  <c r="P52" i="130"/>
  <c r="P51" i="130"/>
  <c r="P50" i="130"/>
  <c r="P109" i="130"/>
  <c r="P49" i="130"/>
  <c r="P48" i="130"/>
  <c r="P47" i="130"/>
  <c r="P46" i="130"/>
  <c r="P108" i="130"/>
  <c r="P45" i="130"/>
  <c r="P44" i="130"/>
  <c r="P43" i="130"/>
  <c r="P42" i="130"/>
  <c r="P41" i="130"/>
  <c r="P40" i="130"/>
  <c r="P39" i="130"/>
  <c r="P107" i="130"/>
  <c r="P106" i="130"/>
  <c r="P38" i="130"/>
  <c r="P37" i="130"/>
  <c r="P105" i="130"/>
  <c r="P36" i="130"/>
  <c r="P35" i="130"/>
  <c r="P34" i="130"/>
  <c r="P33" i="130"/>
  <c r="P32" i="130"/>
  <c r="P31" i="130"/>
  <c r="P30" i="130"/>
  <c r="P104" i="130"/>
  <c r="P29" i="130"/>
  <c r="P28" i="130"/>
  <c r="P27" i="130"/>
  <c r="P26" i="130"/>
  <c r="P25" i="130"/>
  <c r="P103" i="130"/>
  <c r="P102" i="130"/>
  <c r="P24" i="130"/>
  <c r="P23" i="130"/>
  <c r="P22" i="130"/>
  <c r="P21" i="130"/>
  <c r="P20" i="130"/>
  <c r="P19" i="130"/>
  <c r="P18" i="130"/>
  <c r="P17" i="130"/>
  <c r="P101" i="130"/>
  <c r="P16" i="130"/>
  <c r="P15" i="130"/>
  <c r="P14" i="130"/>
  <c r="P13" i="130"/>
  <c r="P12" i="130"/>
  <c r="P11" i="130"/>
  <c r="P10" i="130"/>
  <c r="P9" i="130"/>
  <c r="P8" i="130"/>
  <c r="P7" i="130"/>
  <c r="P100" i="130"/>
  <c r="P6" i="130"/>
  <c r="P5" i="130"/>
  <c r="O4" i="130"/>
  <c r="N4" i="130"/>
  <c r="M4" i="130"/>
  <c r="L4" i="130"/>
  <c r="K4" i="130"/>
  <c r="J4" i="130"/>
  <c r="I4" i="130"/>
  <c r="H4" i="130"/>
  <c r="G4" i="130"/>
  <c r="F4" i="130"/>
  <c r="E4" i="130"/>
  <c r="D4" i="130"/>
  <c r="P124" i="128"/>
  <c r="P123" i="128"/>
  <c r="P122" i="128"/>
  <c r="P121" i="128"/>
  <c r="P120" i="128"/>
  <c r="P119" i="128"/>
  <c r="P118" i="128"/>
  <c r="P117" i="128"/>
  <c r="P116" i="128"/>
  <c r="P115" i="128"/>
  <c r="P114" i="128"/>
  <c r="P113" i="128"/>
  <c r="P112" i="128"/>
  <c r="P111" i="128"/>
  <c r="P110" i="128"/>
  <c r="P109" i="128"/>
  <c r="P108" i="128"/>
  <c r="P107" i="128"/>
  <c r="P106" i="128"/>
  <c r="P105" i="128"/>
  <c r="P104" i="128"/>
  <c r="P103" i="128"/>
  <c r="P102" i="128"/>
  <c r="P101" i="128"/>
  <c r="P100" i="128"/>
  <c r="P99" i="128"/>
  <c r="P98" i="128"/>
  <c r="P97" i="128"/>
  <c r="P96" i="128"/>
  <c r="P95" i="128"/>
  <c r="P94" i="128"/>
  <c r="P93" i="128"/>
  <c r="P92" i="128"/>
  <c r="P91" i="128"/>
  <c r="P90" i="128"/>
  <c r="P89" i="128"/>
  <c r="P88" i="128"/>
  <c r="P87" i="128"/>
  <c r="P86" i="128"/>
  <c r="P85" i="128"/>
  <c r="P84" i="128"/>
  <c r="P83" i="128"/>
  <c r="P82" i="128"/>
  <c r="P81" i="128"/>
  <c r="P80" i="128"/>
  <c r="P79" i="128"/>
  <c r="P78" i="128"/>
  <c r="P77" i="128"/>
  <c r="P76" i="128"/>
  <c r="P75" i="128"/>
  <c r="P74" i="128"/>
  <c r="P73" i="128"/>
  <c r="P72" i="128"/>
  <c r="P71" i="128"/>
  <c r="P70" i="128"/>
  <c r="P69" i="128"/>
  <c r="P68" i="128"/>
  <c r="P67" i="128"/>
  <c r="P66" i="128"/>
  <c r="P65" i="128"/>
  <c r="P64" i="128"/>
  <c r="P63" i="128"/>
  <c r="P62" i="128"/>
  <c r="P61" i="128"/>
  <c r="P60" i="128"/>
  <c r="P59" i="128"/>
  <c r="P58" i="128"/>
  <c r="P57" i="128"/>
  <c r="P56" i="128"/>
  <c r="P55" i="128"/>
  <c r="P54" i="128"/>
  <c r="P53" i="128"/>
  <c r="P52" i="128"/>
  <c r="P51" i="128"/>
  <c r="P50" i="128"/>
  <c r="P49" i="128"/>
  <c r="P48" i="128"/>
  <c r="P47" i="128"/>
  <c r="P46" i="128"/>
  <c r="P45" i="128"/>
  <c r="P44" i="128"/>
  <c r="P43" i="128"/>
  <c r="P42" i="128"/>
  <c r="P41" i="128"/>
  <c r="P40" i="128"/>
  <c r="P39" i="128"/>
  <c r="P38" i="128"/>
  <c r="P37" i="128"/>
  <c r="P36" i="128"/>
  <c r="P35" i="128"/>
  <c r="P34" i="128"/>
  <c r="P33" i="128"/>
  <c r="P32" i="128"/>
  <c r="P31" i="128"/>
  <c r="P30" i="128"/>
  <c r="P29" i="128"/>
  <c r="P28" i="128"/>
  <c r="P27" i="128"/>
  <c r="P26" i="128"/>
  <c r="P25" i="128"/>
  <c r="P24" i="128"/>
  <c r="P23" i="128"/>
  <c r="P22" i="128"/>
  <c r="P21" i="128"/>
  <c r="P20" i="128"/>
  <c r="P19" i="128"/>
  <c r="P18" i="128"/>
  <c r="P17" i="128"/>
  <c r="P16" i="128"/>
  <c r="P15" i="128"/>
  <c r="P14" i="128"/>
  <c r="P13" i="128"/>
  <c r="P12" i="128"/>
  <c r="P11" i="128"/>
  <c r="P10" i="128"/>
  <c r="P9" i="128"/>
  <c r="P8" i="128"/>
  <c r="P7" i="128"/>
  <c r="P6" i="128"/>
  <c r="P5" i="128"/>
  <c r="O4" i="128"/>
  <c r="N4" i="128"/>
  <c r="M4" i="128"/>
  <c r="L4" i="128"/>
  <c r="K4" i="128"/>
  <c r="J4" i="128"/>
  <c r="I4" i="128"/>
  <c r="H4" i="128"/>
  <c r="G4" i="128"/>
  <c r="F4" i="128"/>
  <c r="E4" i="128"/>
  <c r="D4" i="128"/>
  <c r="P6" i="129"/>
  <c r="P100" i="129"/>
  <c r="P7" i="129"/>
  <c r="P8" i="129"/>
  <c r="P9" i="129"/>
  <c r="P10" i="129"/>
  <c r="P11" i="129"/>
  <c r="P12" i="129"/>
  <c r="P13" i="129"/>
  <c r="P14" i="129"/>
  <c r="P15" i="129"/>
  <c r="P16" i="129"/>
  <c r="P101" i="129"/>
  <c r="P17" i="129"/>
  <c r="P18" i="129"/>
  <c r="P19" i="129"/>
  <c r="P20" i="129"/>
  <c r="P21" i="129"/>
  <c r="P22" i="129"/>
  <c r="P23" i="129"/>
  <c r="P24" i="129"/>
  <c r="P102" i="129"/>
  <c r="P103" i="129"/>
  <c r="P25" i="129"/>
  <c r="P26" i="129"/>
  <c r="P27" i="129"/>
  <c r="P28" i="129"/>
  <c r="P29" i="129"/>
  <c r="P104" i="129"/>
  <c r="P30" i="129"/>
  <c r="P31" i="129"/>
  <c r="P32" i="129"/>
  <c r="P33" i="129"/>
  <c r="P34" i="129"/>
  <c r="P35" i="129"/>
  <c r="P36" i="129"/>
  <c r="P105" i="129"/>
  <c r="P37" i="129"/>
  <c r="P38" i="129"/>
  <c r="P106" i="129"/>
  <c r="P107" i="129"/>
  <c r="P39" i="129"/>
  <c r="P40" i="129"/>
  <c r="P41" i="129"/>
  <c r="P42" i="129"/>
  <c r="P43" i="129"/>
  <c r="P44" i="129"/>
  <c r="P45" i="129"/>
  <c r="P108" i="129"/>
  <c r="P46" i="129"/>
  <c r="P47" i="129"/>
  <c r="P48" i="129"/>
  <c r="P49" i="129"/>
  <c r="P109" i="129"/>
  <c r="P50" i="129"/>
  <c r="P51" i="129"/>
  <c r="P52" i="129"/>
  <c r="P53" i="129"/>
  <c r="P54" i="129"/>
  <c r="P55" i="129"/>
  <c r="P56" i="129"/>
  <c r="P57" i="129"/>
  <c r="P58" i="129"/>
  <c r="P59" i="129"/>
  <c r="P110" i="129"/>
  <c r="P60" i="129"/>
  <c r="P111" i="129"/>
  <c r="P112" i="129"/>
  <c r="P61" i="129"/>
  <c r="P62" i="129"/>
  <c r="P63" i="129"/>
  <c r="P64" i="129"/>
  <c r="P65" i="129"/>
  <c r="P66" i="129"/>
  <c r="P113" i="129"/>
  <c r="P114" i="129"/>
  <c r="P67" i="129"/>
  <c r="P68" i="129"/>
  <c r="P115" i="129"/>
  <c r="P69" i="129"/>
  <c r="P70" i="129"/>
  <c r="P71" i="129"/>
  <c r="P72" i="129"/>
  <c r="P116" i="129"/>
  <c r="P73" i="129"/>
  <c r="P117" i="129"/>
  <c r="P74" i="129"/>
  <c r="P75" i="129"/>
  <c r="P76" i="129"/>
  <c r="P77" i="129"/>
  <c r="P78" i="129"/>
  <c r="P118" i="129"/>
  <c r="P79" i="129"/>
  <c r="P119" i="129"/>
  <c r="P80" i="129"/>
  <c r="P120" i="129"/>
  <c r="P81" i="129"/>
  <c r="P82" i="129"/>
  <c r="P83" i="129"/>
  <c r="P84" i="129"/>
  <c r="P85" i="129"/>
  <c r="P86" i="129"/>
  <c r="P87" i="129"/>
  <c r="P88" i="129"/>
  <c r="P89" i="129"/>
  <c r="P90" i="129"/>
  <c r="P121" i="129"/>
  <c r="P91" i="129"/>
  <c r="P92" i="129"/>
  <c r="P93" i="129"/>
  <c r="P122" i="129"/>
  <c r="P94" i="129"/>
  <c r="P95" i="129"/>
  <c r="P96" i="129"/>
  <c r="P123" i="129"/>
  <c r="P124" i="129"/>
  <c r="P97" i="129"/>
  <c r="P98" i="129"/>
  <c r="P99" i="129"/>
  <c r="P5" i="129"/>
  <c r="O4" i="129"/>
  <c r="N4" i="129"/>
  <c r="M4" i="129"/>
  <c r="L4" i="129"/>
  <c r="K4" i="129"/>
  <c r="J4" i="129"/>
  <c r="I4" i="129"/>
  <c r="H4" i="129"/>
  <c r="G4" i="129"/>
  <c r="F4" i="129"/>
  <c r="E4" i="129"/>
  <c r="D4" i="129"/>
  <c r="P4" i="131" l="1"/>
  <c r="P4" i="128"/>
  <c r="P4" i="129"/>
  <c r="P4" i="130"/>
  <c r="BM131" i="109"/>
  <c r="BM130" i="109"/>
  <c r="BM129" i="109"/>
  <c r="BM128" i="109"/>
  <c r="BM127" i="109"/>
  <c r="BM100" i="109"/>
  <c r="BM99" i="109"/>
  <c r="BM98" i="109"/>
  <c r="BM125" i="109"/>
  <c r="BM124" i="109"/>
  <c r="BM97" i="109"/>
  <c r="BM96" i="109"/>
  <c r="BM95" i="109"/>
  <c r="BM123" i="109"/>
  <c r="BM94" i="109"/>
  <c r="BM93" i="109"/>
  <c r="BM92" i="109"/>
  <c r="BM122" i="109"/>
  <c r="BM91" i="109"/>
  <c r="BM90" i="109"/>
  <c r="BM89" i="109"/>
  <c r="BM88" i="109"/>
  <c r="BM87" i="109"/>
  <c r="BM86" i="109"/>
  <c r="BM85" i="109"/>
  <c r="BM84" i="109"/>
  <c r="BM83" i="109"/>
  <c r="BM82" i="109"/>
  <c r="BM121" i="109"/>
  <c r="BM81" i="109"/>
  <c r="BM120" i="109"/>
  <c r="BM80" i="109"/>
  <c r="BM119" i="109"/>
  <c r="BM79" i="109"/>
  <c r="BM78" i="109"/>
  <c r="BM77" i="109"/>
  <c r="BM76" i="109"/>
  <c r="BM75" i="109"/>
  <c r="BM118" i="109"/>
  <c r="BM74" i="109"/>
  <c r="BM117" i="109"/>
  <c r="BM73" i="109"/>
  <c r="BM72" i="109"/>
  <c r="BM71" i="109"/>
  <c r="BM70" i="109"/>
  <c r="BM116" i="109"/>
  <c r="BM69" i="109"/>
  <c r="BM68" i="109"/>
  <c r="BM115" i="109"/>
  <c r="BM114" i="109"/>
  <c r="BM67" i="109"/>
  <c r="BM66" i="109"/>
  <c r="BM65" i="109"/>
  <c r="BM64" i="109"/>
  <c r="BM63" i="109"/>
  <c r="BM62" i="109"/>
  <c r="BM113" i="109"/>
  <c r="BM112" i="109"/>
  <c r="BM61" i="109"/>
  <c r="BM111" i="109"/>
  <c r="BM60" i="109"/>
  <c r="BM59" i="109"/>
  <c r="BM58" i="109"/>
  <c r="BM57" i="109"/>
  <c r="BM56" i="109"/>
  <c r="BM55" i="109"/>
  <c r="BM54" i="109"/>
  <c r="BM53" i="109"/>
  <c r="BM52" i="109"/>
  <c r="BM51" i="109"/>
  <c r="BM110" i="109"/>
  <c r="BM50" i="109"/>
  <c r="BM49" i="109"/>
  <c r="BM48" i="109"/>
  <c r="BM47" i="109"/>
  <c r="BM109" i="109"/>
  <c r="BM46" i="109"/>
  <c r="BM45" i="109"/>
  <c r="BM44" i="109"/>
  <c r="BM43" i="109"/>
  <c r="BM42" i="109"/>
  <c r="BM41" i="109"/>
  <c r="BM40" i="109"/>
  <c r="BM108" i="109"/>
  <c r="BM107" i="109"/>
  <c r="BM39" i="109"/>
  <c r="BM38" i="109"/>
  <c r="BM106" i="109"/>
  <c r="BM37" i="109"/>
  <c r="BM36" i="109"/>
  <c r="BM35" i="109"/>
  <c r="BM34" i="109"/>
  <c r="BM33" i="109"/>
  <c r="BM32" i="109"/>
  <c r="BM31" i="109"/>
  <c r="BM105" i="109"/>
  <c r="BM30" i="109"/>
  <c r="BM29" i="109"/>
  <c r="BM28" i="109"/>
  <c r="BM27" i="109"/>
  <c r="BM26" i="109"/>
  <c r="BM104" i="109"/>
  <c r="BM103" i="109"/>
  <c r="BM25" i="109"/>
  <c r="BM24" i="109"/>
  <c r="BM23" i="109"/>
  <c r="BM22" i="109"/>
  <c r="BM21" i="109"/>
  <c r="BM20" i="109"/>
  <c r="BM19" i="109"/>
  <c r="BM18" i="109"/>
  <c r="BM102" i="109"/>
  <c r="BM17" i="109"/>
  <c r="BM16" i="109"/>
  <c r="BM15" i="109"/>
  <c r="BM14" i="109"/>
  <c r="BM13" i="109"/>
  <c r="BM12" i="109"/>
  <c r="BM11" i="109"/>
  <c r="BM10" i="109"/>
  <c r="BM9" i="109"/>
  <c r="BM8" i="109"/>
  <c r="BM101" i="109"/>
  <c r="BM7" i="109"/>
  <c r="BM6" i="109"/>
  <c r="BM5" i="109"/>
  <c r="D20" i="108" s="1"/>
  <c r="Y6" i="122" l="1"/>
  <c r="Z6" i="122"/>
  <c r="Y100" i="122"/>
  <c r="Z100" i="122"/>
  <c r="Y7" i="122"/>
  <c r="Z7" i="122"/>
  <c r="Y8" i="122"/>
  <c r="Z8" i="122"/>
  <c r="Y9" i="122"/>
  <c r="Z9" i="122"/>
  <c r="Y10" i="122"/>
  <c r="Z10" i="122"/>
  <c r="Y11" i="122"/>
  <c r="Z11" i="122"/>
  <c r="Y12" i="122"/>
  <c r="Z12" i="122"/>
  <c r="Y13" i="122"/>
  <c r="Z13" i="122"/>
  <c r="Y14" i="122"/>
  <c r="Z14" i="122"/>
  <c r="Y15" i="122"/>
  <c r="Z15" i="122"/>
  <c r="Y16" i="122"/>
  <c r="Z16" i="122"/>
  <c r="Y101" i="122"/>
  <c r="Z101" i="122"/>
  <c r="Y17" i="122"/>
  <c r="Z17" i="122"/>
  <c r="Y18" i="122"/>
  <c r="Z18" i="122"/>
  <c r="Y19" i="122"/>
  <c r="Z19" i="122"/>
  <c r="Y20" i="122"/>
  <c r="Z20" i="122"/>
  <c r="Y21" i="122"/>
  <c r="Z21" i="122"/>
  <c r="Y22" i="122"/>
  <c r="Z22" i="122"/>
  <c r="Y23" i="122"/>
  <c r="Z23" i="122"/>
  <c r="Y24" i="122"/>
  <c r="Z24" i="122"/>
  <c r="Y102" i="122"/>
  <c r="Z102" i="122"/>
  <c r="Y103" i="122"/>
  <c r="Z103" i="122"/>
  <c r="Y25" i="122"/>
  <c r="Z25" i="122"/>
  <c r="Y26" i="122"/>
  <c r="Z26" i="122"/>
  <c r="Y27" i="122"/>
  <c r="Z27" i="122"/>
  <c r="Y28" i="122"/>
  <c r="Z28" i="122"/>
  <c r="Y29" i="122"/>
  <c r="Z29" i="122"/>
  <c r="Y104" i="122"/>
  <c r="Z104" i="122"/>
  <c r="Y30" i="122"/>
  <c r="Z30" i="122"/>
  <c r="Y31" i="122"/>
  <c r="Z31" i="122"/>
  <c r="Y32" i="122"/>
  <c r="Z32" i="122"/>
  <c r="Y33" i="122"/>
  <c r="Z33" i="122"/>
  <c r="Y34" i="122"/>
  <c r="Z34" i="122"/>
  <c r="Y35" i="122"/>
  <c r="Z35" i="122"/>
  <c r="Y36" i="122"/>
  <c r="Z36" i="122"/>
  <c r="Y105" i="122"/>
  <c r="Z105" i="122"/>
  <c r="Y37" i="122"/>
  <c r="Z37" i="122"/>
  <c r="Y38" i="122"/>
  <c r="Z38" i="122"/>
  <c r="Y106" i="122"/>
  <c r="Z106" i="122"/>
  <c r="Y107" i="122"/>
  <c r="Z107" i="122"/>
  <c r="Y39" i="122"/>
  <c r="Z39" i="122"/>
  <c r="Y40" i="122"/>
  <c r="Z40" i="122"/>
  <c r="Y41" i="122"/>
  <c r="Z41" i="122"/>
  <c r="Y42" i="122"/>
  <c r="Z42" i="122"/>
  <c r="Y43" i="122"/>
  <c r="Z43" i="122"/>
  <c r="Y44" i="122"/>
  <c r="Z44" i="122"/>
  <c r="Y45" i="122"/>
  <c r="Z45" i="122"/>
  <c r="Y108" i="122"/>
  <c r="Z108" i="122"/>
  <c r="Y46" i="122"/>
  <c r="Z46" i="122"/>
  <c r="Y47" i="122"/>
  <c r="Z47" i="122"/>
  <c r="Y48" i="122"/>
  <c r="Z48" i="122"/>
  <c r="Y49" i="122"/>
  <c r="Z49" i="122"/>
  <c r="Y109" i="122"/>
  <c r="Z109" i="122"/>
  <c r="Y50" i="122"/>
  <c r="Z50" i="122"/>
  <c r="Y51" i="122"/>
  <c r="Z51" i="122"/>
  <c r="Y52" i="122"/>
  <c r="Z52" i="122"/>
  <c r="Y53" i="122"/>
  <c r="Z53" i="122"/>
  <c r="Y54" i="122"/>
  <c r="Z54" i="122"/>
  <c r="Y55" i="122"/>
  <c r="Z55" i="122"/>
  <c r="Y56" i="122"/>
  <c r="Z56" i="122"/>
  <c r="Y57" i="122"/>
  <c r="Z57" i="122"/>
  <c r="Y58" i="122"/>
  <c r="Z58" i="122"/>
  <c r="Y59" i="122"/>
  <c r="Z59" i="122"/>
  <c r="Y110" i="122"/>
  <c r="Z110" i="122"/>
  <c r="Y60" i="122"/>
  <c r="Z60" i="122"/>
  <c r="Y111" i="122"/>
  <c r="Z111" i="122"/>
  <c r="Y112" i="122"/>
  <c r="Z112" i="122"/>
  <c r="Y61" i="122"/>
  <c r="Z61" i="122"/>
  <c r="Y62" i="122"/>
  <c r="Z62" i="122"/>
  <c r="Y63" i="122"/>
  <c r="Z63" i="122"/>
  <c r="Y64" i="122"/>
  <c r="Z64" i="122"/>
  <c r="Y65" i="122"/>
  <c r="Z65" i="122"/>
  <c r="Y66" i="122"/>
  <c r="Z66" i="122"/>
  <c r="Y113" i="122"/>
  <c r="Z113" i="122"/>
  <c r="Y114" i="122"/>
  <c r="Z114" i="122"/>
  <c r="Y67" i="122"/>
  <c r="Z67" i="122"/>
  <c r="Y68" i="122"/>
  <c r="Z68" i="122"/>
  <c r="Y115" i="122"/>
  <c r="Z115" i="122"/>
  <c r="Y69" i="122"/>
  <c r="Z69" i="122"/>
  <c r="Y70" i="122"/>
  <c r="Z70" i="122"/>
  <c r="Y71" i="122"/>
  <c r="Z71" i="122"/>
  <c r="Y72" i="122"/>
  <c r="Z72" i="122"/>
  <c r="Y116" i="122"/>
  <c r="Z116" i="122"/>
  <c r="Y73" i="122"/>
  <c r="Z73" i="122"/>
  <c r="Y117" i="122"/>
  <c r="Z117" i="122"/>
  <c r="Y74" i="122"/>
  <c r="Z74" i="122"/>
  <c r="Y75" i="122"/>
  <c r="Z75" i="122"/>
  <c r="Y76" i="122"/>
  <c r="Z76" i="122"/>
  <c r="Y77" i="122"/>
  <c r="Z77" i="122"/>
  <c r="Y78" i="122"/>
  <c r="Z78" i="122"/>
  <c r="Y118" i="122"/>
  <c r="Z118" i="122"/>
  <c r="Y79" i="122"/>
  <c r="Z79" i="122"/>
  <c r="Y119" i="122"/>
  <c r="Z119" i="122"/>
  <c r="Y80" i="122"/>
  <c r="Z80" i="122"/>
  <c r="Y120" i="122"/>
  <c r="Z120" i="122"/>
  <c r="Y81" i="122"/>
  <c r="Z81" i="122"/>
  <c r="Y82" i="122"/>
  <c r="Z82" i="122"/>
  <c r="Y83" i="122"/>
  <c r="Z83" i="122"/>
  <c r="Y84" i="122"/>
  <c r="Z84" i="122"/>
  <c r="Y85" i="122"/>
  <c r="Z85" i="122"/>
  <c r="Y86" i="122"/>
  <c r="Z86" i="122"/>
  <c r="Y87" i="122"/>
  <c r="Z87" i="122"/>
  <c r="Y88" i="122"/>
  <c r="Z88" i="122"/>
  <c r="Y89" i="122"/>
  <c r="Z89" i="122"/>
  <c r="Y90" i="122"/>
  <c r="Z90" i="122"/>
  <c r="Y121" i="122"/>
  <c r="Z121" i="122"/>
  <c r="Y91" i="122"/>
  <c r="Z91" i="122"/>
  <c r="Y92" i="122"/>
  <c r="Z92" i="122"/>
  <c r="Y93" i="122"/>
  <c r="Z93" i="122"/>
  <c r="Y122" i="122"/>
  <c r="Z122" i="122"/>
  <c r="Y94" i="122"/>
  <c r="Z94" i="122"/>
  <c r="Y95" i="122"/>
  <c r="Z95" i="122"/>
  <c r="Y96" i="122"/>
  <c r="Z96" i="122"/>
  <c r="Y123" i="122"/>
  <c r="Z123" i="122"/>
  <c r="Y124" i="122"/>
  <c r="Z124" i="122"/>
  <c r="Y97" i="122"/>
  <c r="Z97" i="122"/>
  <c r="Y98" i="122"/>
  <c r="Z98" i="122"/>
  <c r="Y99" i="122"/>
  <c r="Z99" i="122"/>
  <c r="Z5" i="122"/>
  <c r="Y5" i="122"/>
  <c r="Y4" i="122" l="1"/>
  <c r="AF100" i="6"/>
  <c r="AE100" i="6"/>
  <c r="AF99" i="6"/>
  <c r="AE99" i="6"/>
  <c r="AF98" i="6"/>
  <c r="AE98" i="6"/>
  <c r="AF125" i="6"/>
  <c r="AE125" i="6"/>
  <c r="AF124" i="6"/>
  <c r="AE124" i="6"/>
  <c r="AF97" i="6"/>
  <c r="AE97" i="6"/>
  <c r="AF96" i="6"/>
  <c r="AE96" i="6"/>
  <c r="AF95" i="6"/>
  <c r="AE95" i="6"/>
  <c r="AF123" i="6"/>
  <c r="AE123" i="6"/>
  <c r="AF94" i="6"/>
  <c r="AE94" i="6"/>
  <c r="AF93" i="6"/>
  <c r="AE93" i="6"/>
  <c r="AF92" i="6"/>
  <c r="AE92" i="6"/>
  <c r="AF122" i="6"/>
  <c r="AE122" i="6"/>
  <c r="AF91" i="6"/>
  <c r="AE91" i="6"/>
  <c r="AF90" i="6"/>
  <c r="AE90" i="6"/>
  <c r="AF89" i="6"/>
  <c r="AE89" i="6"/>
  <c r="AF88" i="6"/>
  <c r="AE88" i="6"/>
  <c r="AF87" i="6"/>
  <c r="AE87" i="6"/>
  <c r="AF86" i="6"/>
  <c r="AE86" i="6"/>
  <c r="AF85" i="6"/>
  <c r="AE85" i="6"/>
  <c r="AF84" i="6"/>
  <c r="AE84" i="6"/>
  <c r="AF83" i="6"/>
  <c r="AE83" i="6"/>
  <c r="AF82" i="6"/>
  <c r="AE82" i="6"/>
  <c r="AF121" i="6"/>
  <c r="AE121" i="6"/>
  <c r="AF81" i="6"/>
  <c r="AE81" i="6"/>
  <c r="AF120" i="6"/>
  <c r="AE120" i="6"/>
  <c r="AF80" i="6"/>
  <c r="AE80" i="6"/>
  <c r="AF119" i="6"/>
  <c r="AE119" i="6"/>
  <c r="AF79" i="6"/>
  <c r="AE79" i="6"/>
  <c r="AF78" i="6"/>
  <c r="AE78" i="6"/>
  <c r="AF77" i="6"/>
  <c r="AE77" i="6"/>
  <c r="AF76" i="6"/>
  <c r="AE76" i="6"/>
  <c r="AF75" i="6"/>
  <c r="AE75" i="6"/>
  <c r="AF118" i="6"/>
  <c r="AE118" i="6"/>
  <c r="AF74" i="6"/>
  <c r="AE74" i="6"/>
  <c r="AF117" i="6"/>
  <c r="AE117" i="6"/>
  <c r="AF73" i="6"/>
  <c r="AE73" i="6"/>
  <c r="AF72" i="6"/>
  <c r="AE72" i="6"/>
  <c r="AF71" i="6"/>
  <c r="AE71" i="6"/>
  <c r="AF70" i="6"/>
  <c r="AE70" i="6"/>
  <c r="AF116" i="6"/>
  <c r="AE116" i="6"/>
  <c r="AF69" i="6"/>
  <c r="AE69" i="6"/>
  <c r="AF68" i="6"/>
  <c r="AE68" i="6"/>
  <c r="AF115" i="6"/>
  <c r="AE115" i="6"/>
  <c r="AF114" i="6"/>
  <c r="AE114" i="6"/>
  <c r="AF67" i="6"/>
  <c r="AE67" i="6"/>
  <c r="AF66" i="6"/>
  <c r="AE66" i="6"/>
  <c r="AF65" i="6"/>
  <c r="AE65" i="6"/>
  <c r="AF64" i="6"/>
  <c r="AE64" i="6"/>
  <c r="AF63" i="6"/>
  <c r="AE63" i="6"/>
  <c r="AF62" i="6"/>
  <c r="AE62" i="6"/>
  <c r="AF113" i="6"/>
  <c r="AE113" i="6"/>
  <c r="AF112" i="6"/>
  <c r="AE112" i="6"/>
  <c r="AF61" i="6"/>
  <c r="AE61" i="6"/>
  <c r="AF111" i="6"/>
  <c r="AE111" i="6"/>
  <c r="AF60" i="6"/>
  <c r="AE60" i="6"/>
  <c r="AF59" i="6"/>
  <c r="AE59" i="6"/>
  <c r="AF58" i="6"/>
  <c r="AE58" i="6"/>
  <c r="AF57" i="6"/>
  <c r="AE57" i="6"/>
  <c r="AF56" i="6"/>
  <c r="AE56" i="6"/>
  <c r="AF55" i="6"/>
  <c r="AE55" i="6"/>
  <c r="AF54" i="6"/>
  <c r="AE54" i="6"/>
  <c r="AF53" i="6"/>
  <c r="AE53" i="6"/>
  <c r="AF52" i="6"/>
  <c r="AE52" i="6"/>
  <c r="AF51" i="6"/>
  <c r="AE51" i="6"/>
  <c r="AF110" i="6"/>
  <c r="AE110" i="6"/>
  <c r="AF50" i="6"/>
  <c r="AE50" i="6"/>
  <c r="AF49" i="6"/>
  <c r="AE49" i="6"/>
  <c r="AF48" i="6"/>
  <c r="AE48" i="6"/>
  <c r="AF47" i="6"/>
  <c r="AE47" i="6"/>
  <c r="AF109" i="6"/>
  <c r="AE109" i="6"/>
  <c r="AF46" i="6"/>
  <c r="AE46" i="6"/>
  <c r="AF45" i="6"/>
  <c r="AE45" i="6"/>
  <c r="AF44" i="6"/>
  <c r="AE44" i="6"/>
  <c r="AF43" i="6"/>
  <c r="AE43" i="6"/>
  <c r="AF42" i="6"/>
  <c r="AE42" i="6"/>
  <c r="AF41" i="6"/>
  <c r="AE41" i="6"/>
  <c r="AF40" i="6"/>
  <c r="AE40" i="6"/>
  <c r="AF108" i="6"/>
  <c r="AE108" i="6"/>
  <c r="AF107" i="6"/>
  <c r="AE107" i="6"/>
  <c r="AF39" i="6"/>
  <c r="AE39" i="6"/>
  <c r="AF38" i="6"/>
  <c r="AE38" i="6"/>
  <c r="AF106" i="6"/>
  <c r="AE106" i="6"/>
  <c r="AF37" i="6"/>
  <c r="AE37" i="6"/>
  <c r="AF36" i="6"/>
  <c r="AE36" i="6"/>
  <c r="AF35" i="6"/>
  <c r="AE35" i="6"/>
  <c r="AF34" i="6"/>
  <c r="AE34" i="6"/>
  <c r="AF33" i="6"/>
  <c r="AE33" i="6"/>
  <c r="AF32" i="6"/>
  <c r="AE32" i="6"/>
  <c r="AF31" i="6"/>
  <c r="AE31" i="6"/>
  <c r="AF105" i="6"/>
  <c r="AE105" i="6"/>
  <c r="AF30" i="6"/>
  <c r="AE30" i="6"/>
  <c r="AF29" i="6"/>
  <c r="AE29" i="6"/>
  <c r="AF28" i="6"/>
  <c r="AE28" i="6"/>
  <c r="AF27" i="6"/>
  <c r="AE27" i="6"/>
  <c r="AF26" i="6"/>
  <c r="AE26" i="6"/>
  <c r="AF104" i="6"/>
  <c r="AE104" i="6"/>
  <c r="AF103" i="6"/>
  <c r="AE103" i="6"/>
  <c r="AF25" i="6"/>
  <c r="AE25" i="6"/>
  <c r="AF24" i="6"/>
  <c r="AE24" i="6"/>
  <c r="AF23" i="6"/>
  <c r="AE23" i="6"/>
  <c r="AF22" i="6"/>
  <c r="AE22" i="6"/>
  <c r="AF21" i="6"/>
  <c r="AE21" i="6"/>
  <c r="AF20" i="6"/>
  <c r="AE20" i="6"/>
  <c r="AF19" i="6"/>
  <c r="AE19" i="6"/>
  <c r="AF18" i="6"/>
  <c r="AE18" i="6"/>
  <c r="AF102" i="6"/>
  <c r="AE102" i="6"/>
  <c r="AF17" i="6"/>
  <c r="AE17" i="6"/>
  <c r="AF16" i="6"/>
  <c r="AE16" i="6"/>
  <c r="AF15" i="6"/>
  <c r="AE15" i="6"/>
  <c r="AF14" i="6"/>
  <c r="AE14" i="6"/>
  <c r="AF13" i="6"/>
  <c r="AE13" i="6"/>
  <c r="AF12" i="6"/>
  <c r="AE12" i="6"/>
  <c r="AF11" i="6"/>
  <c r="AE11" i="6"/>
  <c r="AF10" i="6"/>
  <c r="AE10" i="6"/>
  <c r="AF9" i="6"/>
  <c r="AE9" i="6"/>
  <c r="AF8" i="6"/>
  <c r="AE8" i="6"/>
  <c r="AF101" i="6"/>
  <c r="AE101" i="6"/>
  <c r="AF7" i="6"/>
  <c r="AE7" i="6"/>
  <c r="AF6" i="6"/>
  <c r="AE6" i="6"/>
  <c r="AE5" i="6" l="1"/>
  <c r="G188" i="1"/>
  <c r="A4" i="123"/>
  <c r="L131" i="100" l="1"/>
  <c r="L130" i="100"/>
  <c r="L129" i="100"/>
  <c r="L128" i="100"/>
  <c r="L127" i="100"/>
  <c r="I131" i="100"/>
  <c r="I130" i="100"/>
  <c r="I129" i="100"/>
  <c r="I128" i="100"/>
  <c r="I127" i="100"/>
  <c r="F131" i="100"/>
  <c r="F130" i="100"/>
  <c r="F129" i="100"/>
  <c r="F128" i="100"/>
  <c r="F127" i="100"/>
  <c r="L5" i="100"/>
  <c r="I5" i="100"/>
  <c r="F5" i="100"/>
  <c r="L7" i="100"/>
  <c r="L101" i="100"/>
  <c r="L8" i="100"/>
  <c r="L9" i="100"/>
  <c r="L10" i="100"/>
  <c r="L11" i="100"/>
  <c r="L12" i="100"/>
  <c r="L13" i="100"/>
  <c r="L14" i="100"/>
  <c r="L15" i="100"/>
  <c r="L16" i="100"/>
  <c r="L17" i="100"/>
  <c r="L102" i="100"/>
  <c r="L18" i="100"/>
  <c r="L19" i="100"/>
  <c r="L20" i="100"/>
  <c r="L21" i="100"/>
  <c r="L22" i="100"/>
  <c r="L23" i="100"/>
  <c r="L24" i="100"/>
  <c r="L25" i="100"/>
  <c r="L103" i="100"/>
  <c r="L104" i="100"/>
  <c r="L26" i="100"/>
  <c r="L27" i="100"/>
  <c r="L28" i="100"/>
  <c r="L29" i="100"/>
  <c r="L30" i="100"/>
  <c r="L105" i="100"/>
  <c r="L31" i="100"/>
  <c r="L32" i="100"/>
  <c r="L33" i="100"/>
  <c r="L34" i="100"/>
  <c r="L35" i="100"/>
  <c r="L36" i="100"/>
  <c r="L37" i="100"/>
  <c r="L106" i="100"/>
  <c r="L38" i="100"/>
  <c r="L39" i="100"/>
  <c r="L107" i="100"/>
  <c r="L108" i="100"/>
  <c r="L40" i="100"/>
  <c r="L41" i="100"/>
  <c r="L42" i="100"/>
  <c r="L43" i="100"/>
  <c r="L44" i="100"/>
  <c r="L45" i="100"/>
  <c r="L46" i="100"/>
  <c r="L109" i="100"/>
  <c r="L47" i="100"/>
  <c r="L48" i="100"/>
  <c r="L49" i="100"/>
  <c r="L50" i="100"/>
  <c r="L110" i="100"/>
  <c r="L51" i="100"/>
  <c r="L52" i="100"/>
  <c r="L53" i="100"/>
  <c r="L54" i="100"/>
  <c r="L55" i="100"/>
  <c r="L56" i="100"/>
  <c r="L57" i="100"/>
  <c r="L58" i="100"/>
  <c r="L59" i="100"/>
  <c r="L60" i="100"/>
  <c r="L111" i="100"/>
  <c r="L61" i="100"/>
  <c r="L112" i="100"/>
  <c r="L113" i="100"/>
  <c r="L62" i="100"/>
  <c r="L63" i="100"/>
  <c r="L64" i="100"/>
  <c r="L65" i="100"/>
  <c r="L66" i="100"/>
  <c r="L67" i="100"/>
  <c r="L114" i="100"/>
  <c r="L115" i="100"/>
  <c r="L68" i="100"/>
  <c r="L69" i="100"/>
  <c r="L116" i="100"/>
  <c r="L70" i="100"/>
  <c r="L71" i="100"/>
  <c r="L72" i="100"/>
  <c r="L73" i="100"/>
  <c r="L117" i="100"/>
  <c r="L74" i="100"/>
  <c r="L118" i="100"/>
  <c r="L75" i="100"/>
  <c r="L76" i="100"/>
  <c r="L77" i="100"/>
  <c r="L78" i="100"/>
  <c r="L79" i="100"/>
  <c r="L119" i="100"/>
  <c r="L80" i="100"/>
  <c r="L120" i="100"/>
  <c r="L81" i="100"/>
  <c r="L121" i="100"/>
  <c r="L82" i="100"/>
  <c r="L83" i="100"/>
  <c r="L84" i="100"/>
  <c r="L85" i="100"/>
  <c r="L86" i="100"/>
  <c r="L87" i="100"/>
  <c r="L88" i="100"/>
  <c r="L89" i="100"/>
  <c r="L90" i="100"/>
  <c r="L91" i="100"/>
  <c r="L122" i="100"/>
  <c r="L92" i="100"/>
  <c r="L93" i="100"/>
  <c r="L94" i="100"/>
  <c r="L123" i="100"/>
  <c r="L95" i="100"/>
  <c r="L96" i="100"/>
  <c r="L97" i="100"/>
  <c r="L124" i="100"/>
  <c r="L125" i="100"/>
  <c r="L98" i="100"/>
  <c r="L99" i="100"/>
  <c r="L100" i="100"/>
  <c r="L6" i="100"/>
  <c r="I7" i="100"/>
  <c r="I101" i="100"/>
  <c r="I8" i="100"/>
  <c r="I9" i="100"/>
  <c r="I10" i="100"/>
  <c r="I11" i="100"/>
  <c r="I12" i="100"/>
  <c r="I13" i="100"/>
  <c r="I14" i="100"/>
  <c r="I15" i="100"/>
  <c r="I16" i="100"/>
  <c r="I17" i="100"/>
  <c r="I102" i="100"/>
  <c r="I18" i="100"/>
  <c r="I19" i="100"/>
  <c r="I20" i="100"/>
  <c r="I21" i="100"/>
  <c r="I22" i="100"/>
  <c r="I23" i="100"/>
  <c r="I24" i="100"/>
  <c r="I25" i="100"/>
  <c r="I103" i="100"/>
  <c r="I104" i="100"/>
  <c r="I26" i="100"/>
  <c r="I27" i="100"/>
  <c r="I28" i="100"/>
  <c r="I29" i="100"/>
  <c r="I30" i="100"/>
  <c r="I105" i="100"/>
  <c r="I31" i="100"/>
  <c r="I32" i="100"/>
  <c r="I33" i="100"/>
  <c r="I34" i="100"/>
  <c r="I35" i="100"/>
  <c r="I36" i="100"/>
  <c r="I37" i="100"/>
  <c r="I106" i="100"/>
  <c r="I38" i="100"/>
  <c r="I39" i="100"/>
  <c r="I107" i="100"/>
  <c r="I108" i="100"/>
  <c r="I40" i="100"/>
  <c r="I41" i="100"/>
  <c r="I42" i="100"/>
  <c r="I43" i="100"/>
  <c r="I44" i="100"/>
  <c r="I45" i="100"/>
  <c r="I46" i="100"/>
  <c r="I109" i="100"/>
  <c r="I47" i="100"/>
  <c r="I48" i="100"/>
  <c r="I49" i="100"/>
  <c r="I50" i="100"/>
  <c r="I110" i="100"/>
  <c r="I51" i="100"/>
  <c r="I52" i="100"/>
  <c r="I53" i="100"/>
  <c r="I54" i="100"/>
  <c r="I55" i="100"/>
  <c r="I56" i="100"/>
  <c r="I57" i="100"/>
  <c r="I58" i="100"/>
  <c r="I59" i="100"/>
  <c r="I60" i="100"/>
  <c r="I111" i="100"/>
  <c r="I61" i="100"/>
  <c r="I112" i="100"/>
  <c r="I113" i="100"/>
  <c r="I62" i="100"/>
  <c r="I63" i="100"/>
  <c r="I64" i="100"/>
  <c r="I65" i="100"/>
  <c r="I66" i="100"/>
  <c r="I67" i="100"/>
  <c r="I114" i="100"/>
  <c r="I115" i="100"/>
  <c r="I68" i="100"/>
  <c r="I69" i="100"/>
  <c r="I116" i="100"/>
  <c r="I70" i="100"/>
  <c r="I71" i="100"/>
  <c r="I72" i="100"/>
  <c r="I73" i="100"/>
  <c r="I117" i="100"/>
  <c r="I74" i="100"/>
  <c r="I118" i="100"/>
  <c r="I75" i="100"/>
  <c r="I76" i="100"/>
  <c r="I77" i="100"/>
  <c r="I78" i="100"/>
  <c r="I79" i="100"/>
  <c r="I119" i="100"/>
  <c r="I80" i="100"/>
  <c r="I120" i="100"/>
  <c r="I81" i="100"/>
  <c r="I121" i="100"/>
  <c r="I82" i="100"/>
  <c r="I83" i="100"/>
  <c r="I84" i="100"/>
  <c r="I85" i="100"/>
  <c r="I86" i="100"/>
  <c r="I87" i="100"/>
  <c r="I88" i="100"/>
  <c r="I89" i="100"/>
  <c r="I90" i="100"/>
  <c r="I91" i="100"/>
  <c r="I122" i="100"/>
  <c r="I92" i="100"/>
  <c r="I93" i="100"/>
  <c r="I94" i="100"/>
  <c r="I123" i="100"/>
  <c r="I95" i="100"/>
  <c r="I96" i="100"/>
  <c r="I97" i="100"/>
  <c r="I124" i="100"/>
  <c r="I125" i="100"/>
  <c r="I98" i="100"/>
  <c r="I99" i="100"/>
  <c r="I100" i="100"/>
  <c r="I6" i="100"/>
  <c r="F7" i="100"/>
  <c r="F101" i="100"/>
  <c r="F8" i="100"/>
  <c r="F9" i="100"/>
  <c r="F10" i="100"/>
  <c r="F11" i="100"/>
  <c r="F12" i="100"/>
  <c r="F13" i="100"/>
  <c r="F14" i="100"/>
  <c r="F15" i="100"/>
  <c r="F16" i="100"/>
  <c r="F17" i="100"/>
  <c r="F102" i="100"/>
  <c r="F18" i="100"/>
  <c r="F19" i="100"/>
  <c r="F20" i="100"/>
  <c r="F21" i="100"/>
  <c r="F22" i="100"/>
  <c r="F23" i="100"/>
  <c r="F24" i="100"/>
  <c r="F25" i="100"/>
  <c r="F103" i="100"/>
  <c r="F104" i="100"/>
  <c r="F26" i="100"/>
  <c r="F27" i="100"/>
  <c r="F28" i="100"/>
  <c r="F29" i="100"/>
  <c r="F30" i="100"/>
  <c r="F105" i="100"/>
  <c r="F31" i="100"/>
  <c r="F32" i="100"/>
  <c r="F33" i="100"/>
  <c r="F34" i="100"/>
  <c r="F35" i="100"/>
  <c r="F36" i="100"/>
  <c r="F37" i="100"/>
  <c r="F106" i="100"/>
  <c r="F38" i="100"/>
  <c r="F39" i="100"/>
  <c r="F107" i="100"/>
  <c r="F108" i="100"/>
  <c r="F40" i="100"/>
  <c r="F41" i="100"/>
  <c r="F42" i="100"/>
  <c r="F43" i="100"/>
  <c r="F44" i="100"/>
  <c r="F45" i="100"/>
  <c r="F46" i="100"/>
  <c r="F109" i="100"/>
  <c r="F47" i="100"/>
  <c r="F48" i="100"/>
  <c r="F49" i="100"/>
  <c r="F50" i="100"/>
  <c r="F110" i="100"/>
  <c r="F51" i="100"/>
  <c r="F52" i="100"/>
  <c r="F53" i="100"/>
  <c r="F54" i="100"/>
  <c r="F55" i="100"/>
  <c r="F56" i="100"/>
  <c r="F57" i="100"/>
  <c r="F58" i="100"/>
  <c r="F59" i="100"/>
  <c r="F60" i="100"/>
  <c r="F111" i="100"/>
  <c r="F61" i="100"/>
  <c r="F112" i="100"/>
  <c r="F113" i="100"/>
  <c r="F62" i="100"/>
  <c r="F63" i="100"/>
  <c r="F64" i="100"/>
  <c r="F65" i="100"/>
  <c r="F66" i="100"/>
  <c r="F67" i="100"/>
  <c r="F114" i="100"/>
  <c r="F115" i="100"/>
  <c r="F68" i="100"/>
  <c r="F69" i="100"/>
  <c r="F116" i="100"/>
  <c r="F70" i="100"/>
  <c r="F71" i="100"/>
  <c r="F72" i="100"/>
  <c r="F73" i="100"/>
  <c r="F117" i="100"/>
  <c r="F74" i="100"/>
  <c r="F118" i="100"/>
  <c r="F75" i="100"/>
  <c r="F76" i="100"/>
  <c r="F77" i="100"/>
  <c r="F78" i="100"/>
  <c r="F79" i="100"/>
  <c r="F119" i="100"/>
  <c r="F80" i="100"/>
  <c r="F120" i="100"/>
  <c r="F81" i="100"/>
  <c r="F121" i="100"/>
  <c r="F82" i="100"/>
  <c r="F83" i="100"/>
  <c r="F84" i="100"/>
  <c r="F85" i="100"/>
  <c r="F86" i="100"/>
  <c r="F87" i="100"/>
  <c r="F88" i="100"/>
  <c r="F89" i="100"/>
  <c r="F90" i="100"/>
  <c r="F91" i="100"/>
  <c r="F122" i="100"/>
  <c r="F92" i="100"/>
  <c r="F93" i="100"/>
  <c r="F94" i="100"/>
  <c r="F123" i="100"/>
  <c r="F95" i="100"/>
  <c r="F96" i="100"/>
  <c r="F97" i="100"/>
  <c r="F124" i="100"/>
  <c r="F125" i="100"/>
  <c r="F98" i="100"/>
  <c r="F99" i="100"/>
  <c r="F100" i="100"/>
  <c r="F6" i="100"/>
  <c r="K5" i="114" l="1"/>
  <c r="J5" i="114"/>
  <c r="I5" i="114"/>
  <c r="H5" i="114"/>
  <c r="G5" i="114"/>
  <c r="F5" i="114"/>
  <c r="E5" i="114"/>
  <c r="D5" i="114"/>
  <c r="L5" i="91" l="1"/>
  <c r="N5" i="91"/>
  <c r="M5" i="91"/>
  <c r="Z4" i="122" l="1"/>
  <c r="AA99" i="122"/>
  <c r="X99" i="122"/>
  <c r="W99" i="122"/>
  <c r="AA98" i="122"/>
  <c r="X98" i="122"/>
  <c r="W98" i="122"/>
  <c r="AA97" i="122"/>
  <c r="X97" i="122"/>
  <c r="W97" i="122"/>
  <c r="AA124" i="122"/>
  <c r="X124" i="122"/>
  <c r="W124" i="122"/>
  <c r="AA123" i="122"/>
  <c r="X123" i="122"/>
  <c r="W123" i="122"/>
  <c r="AA96" i="122"/>
  <c r="X96" i="122"/>
  <c r="W96" i="122"/>
  <c r="AA95" i="122"/>
  <c r="X95" i="122"/>
  <c r="W95" i="122"/>
  <c r="AA94" i="122"/>
  <c r="X94" i="122"/>
  <c r="W94" i="122"/>
  <c r="AA122" i="122"/>
  <c r="X122" i="122"/>
  <c r="W122" i="122"/>
  <c r="AA93" i="122"/>
  <c r="X93" i="122"/>
  <c r="W93" i="122"/>
  <c r="AA92" i="122"/>
  <c r="X92" i="122"/>
  <c r="W92" i="122"/>
  <c r="AA91" i="122"/>
  <c r="X91" i="122"/>
  <c r="W91" i="122"/>
  <c r="AA121" i="122"/>
  <c r="X121" i="122"/>
  <c r="W121" i="122"/>
  <c r="AA90" i="122"/>
  <c r="X90" i="122"/>
  <c r="W90" i="122"/>
  <c r="AA89" i="122"/>
  <c r="X89" i="122"/>
  <c r="W89" i="122"/>
  <c r="AA88" i="122"/>
  <c r="X88" i="122"/>
  <c r="W88" i="122"/>
  <c r="AA87" i="122"/>
  <c r="X87" i="122"/>
  <c r="W87" i="122"/>
  <c r="AA86" i="122"/>
  <c r="X86" i="122"/>
  <c r="W86" i="122"/>
  <c r="AA85" i="122"/>
  <c r="X85" i="122"/>
  <c r="W85" i="122"/>
  <c r="AA84" i="122"/>
  <c r="X84" i="122"/>
  <c r="W84" i="122"/>
  <c r="AA83" i="122"/>
  <c r="X83" i="122"/>
  <c r="W83" i="122"/>
  <c r="AA82" i="122"/>
  <c r="X82" i="122"/>
  <c r="W82" i="122"/>
  <c r="AA81" i="122"/>
  <c r="X81" i="122"/>
  <c r="W81" i="122"/>
  <c r="AA120" i="122"/>
  <c r="X120" i="122"/>
  <c r="W120" i="122"/>
  <c r="AA80" i="122"/>
  <c r="X80" i="122"/>
  <c r="W80" i="122"/>
  <c r="AA119" i="122"/>
  <c r="X119" i="122"/>
  <c r="W119" i="122"/>
  <c r="AA79" i="122"/>
  <c r="X79" i="122"/>
  <c r="W79" i="122"/>
  <c r="AA118" i="122"/>
  <c r="X118" i="122"/>
  <c r="W118" i="122"/>
  <c r="AA78" i="122"/>
  <c r="X78" i="122"/>
  <c r="W78" i="122"/>
  <c r="AA77" i="122"/>
  <c r="X77" i="122"/>
  <c r="W77" i="122"/>
  <c r="AA76" i="122"/>
  <c r="X76" i="122"/>
  <c r="W76" i="122"/>
  <c r="AA75" i="122"/>
  <c r="X75" i="122"/>
  <c r="W75" i="122"/>
  <c r="AA74" i="122"/>
  <c r="X74" i="122"/>
  <c r="W74" i="122"/>
  <c r="AA117" i="122"/>
  <c r="X117" i="122"/>
  <c r="W117" i="122"/>
  <c r="AA73" i="122"/>
  <c r="X73" i="122"/>
  <c r="W73" i="122"/>
  <c r="AA116" i="122"/>
  <c r="X116" i="122"/>
  <c r="W116" i="122"/>
  <c r="AA72" i="122"/>
  <c r="X72" i="122"/>
  <c r="W72" i="122"/>
  <c r="AA71" i="122"/>
  <c r="X71" i="122"/>
  <c r="W71" i="122"/>
  <c r="AA70" i="122"/>
  <c r="X70" i="122"/>
  <c r="W70" i="122"/>
  <c r="AA69" i="122"/>
  <c r="X69" i="122"/>
  <c r="W69" i="122"/>
  <c r="AA115" i="122"/>
  <c r="X115" i="122"/>
  <c r="W115" i="122"/>
  <c r="AA68" i="122"/>
  <c r="X68" i="122"/>
  <c r="W68" i="122"/>
  <c r="AA67" i="122"/>
  <c r="X67" i="122"/>
  <c r="W67" i="122"/>
  <c r="AA114" i="122"/>
  <c r="X114" i="122"/>
  <c r="W114" i="122"/>
  <c r="AA113" i="122"/>
  <c r="X113" i="122"/>
  <c r="W113" i="122"/>
  <c r="AA66" i="122"/>
  <c r="X66" i="122"/>
  <c r="W66" i="122"/>
  <c r="AA65" i="122"/>
  <c r="X65" i="122"/>
  <c r="W65" i="122"/>
  <c r="AA64" i="122"/>
  <c r="X64" i="122"/>
  <c r="W64" i="122"/>
  <c r="AA63" i="122"/>
  <c r="X63" i="122"/>
  <c r="W63" i="122"/>
  <c r="AA62" i="122"/>
  <c r="X62" i="122"/>
  <c r="W62" i="122"/>
  <c r="AA61" i="122"/>
  <c r="X61" i="122"/>
  <c r="W61" i="122"/>
  <c r="AA112" i="122"/>
  <c r="X112" i="122"/>
  <c r="W112" i="122"/>
  <c r="AA111" i="122"/>
  <c r="X111" i="122"/>
  <c r="W111" i="122"/>
  <c r="AA60" i="122"/>
  <c r="X60" i="122"/>
  <c r="W60" i="122"/>
  <c r="AA110" i="122"/>
  <c r="X110" i="122"/>
  <c r="W110" i="122"/>
  <c r="AA59" i="122"/>
  <c r="X59" i="122"/>
  <c r="W59" i="122"/>
  <c r="AA58" i="122"/>
  <c r="X58" i="122"/>
  <c r="W58" i="122"/>
  <c r="AA57" i="122"/>
  <c r="X57" i="122"/>
  <c r="W57" i="122"/>
  <c r="AA56" i="122"/>
  <c r="X56" i="122"/>
  <c r="W56" i="122"/>
  <c r="AA55" i="122"/>
  <c r="X55" i="122"/>
  <c r="W55" i="122"/>
  <c r="AA54" i="122"/>
  <c r="X54" i="122"/>
  <c r="W54" i="122"/>
  <c r="AA53" i="122"/>
  <c r="X53" i="122"/>
  <c r="W53" i="122"/>
  <c r="AA52" i="122"/>
  <c r="X52" i="122"/>
  <c r="W52" i="122"/>
  <c r="AA51" i="122"/>
  <c r="X51" i="122"/>
  <c r="W51" i="122"/>
  <c r="AA50" i="122"/>
  <c r="X50" i="122"/>
  <c r="W50" i="122"/>
  <c r="AA109" i="122"/>
  <c r="X109" i="122"/>
  <c r="W109" i="122"/>
  <c r="AA49" i="122"/>
  <c r="X49" i="122"/>
  <c r="W49" i="122"/>
  <c r="AA48" i="122"/>
  <c r="X48" i="122"/>
  <c r="W48" i="122"/>
  <c r="AA47" i="122"/>
  <c r="X47" i="122"/>
  <c r="W47" i="122"/>
  <c r="AA46" i="122"/>
  <c r="X46" i="122"/>
  <c r="W46" i="122"/>
  <c r="AA108" i="122"/>
  <c r="X108" i="122"/>
  <c r="W108" i="122"/>
  <c r="AA45" i="122"/>
  <c r="X45" i="122"/>
  <c r="W45" i="122"/>
  <c r="AA44" i="122"/>
  <c r="X44" i="122"/>
  <c r="W44" i="122"/>
  <c r="AA43" i="122"/>
  <c r="X43" i="122"/>
  <c r="W43" i="122"/>
  <c r="AA42" i="122"/>
  <c r="X42" i="122"/>
  <c r="W42" i="122"/>
  <c r="AA41" i="122"/>
  <c r="X41" i="122"/>
  <c r="W41" i="122"/>
  <c r="AA40" i="122"/>
  <c r="X40" i="122"/>
  <c r="W40" i="122"/>
  <c r="AA39" i="122"/>
  <c r="X39" i="122"/>
  <c r="W39" i="122"/>
  <c r="AA107" i="122"/>
  <c r="X107" i="122"/>
  <c r="W107" i="122"/>
  <c r="AA106" i="122"/>
  <c r="X106" i="122"/>
  <c r="W106" i="122"/>
  <c r="AA38" i="122"/>
  <c r="X38" i="122"/>
  <c r="W38" i="122"/>
  <c r="AA37" i="122"/>
  <c r="X37" i="122"/>
  <c r="W37" i="122"/>
  <c r="AA105" i="122"/>
  <c r="X105" i="122"/>
  <c r="W105" i="122"/>
  <c r="AA36" i="122"/>
  <c r="X36" i="122"/>
  <c r="W36" i="122"/>
  <c r="AA35" i="122"/>
  <c r="X35" i="122"/>
  <c r="W35" i="122"/>
  <c r="AA34" i="122"/>
  <c r="X34" i="122"/>
  <c r="W34" i="122"/>
  <c r="AA33" i="122"/>
  <c r="X33" i="122"/>
  <c r="W33" i="122"/>
  <c r="AA32" i="122"/>
  <c r="X32" i="122"/>
  <c r="W32" i="122"/>
  <c r="AA31" i="122"/>
  <c r="X31" i="122"/>
  <c r="W31" i="122"/>
  <c r="AA30" i="122"/>
  <c r="X30" i="122"/>
  <c r="W30" i="122"/>
  <c r="AA104" i="122"/>
  <c r="X104" i="122"/>
  <c r="W104" i="122"/>
  <c r="AA29" i="122"/>
  <c r="X29" i="122"/>
  <c r="W29" i="122"/>
  <c r="AA28" i="122"/>
  <c r="X28" i="122"/>
  <c r="W28" i="122"/>
  <c r="AA27" i="122"/>
  <c r="X27" i="122"/>
  <c r="W27" i="122"/>
  <c r="AA26" i="122"/>
  <c r="X26" i="122"/>
  <c r="W26" i="122"/>
  <c r="AA25" i="122"/>
  <c r="X25" i="122"/>
  <c r="W25" i="122"/>
  <c r="AA103" i="122"/>
  <c r="X103" i="122"/>
  <c r="W103" i="122"/>
  <c r="AA102" i="122"/>
  <c r="X102" i="122"/>
  <c r="W102" i="122"/>
  <c r="AA24" i="122"/>
  <c r="X24" i="122"/>
  <c r="W24" i="122"/>
  <c r="AA23" i="122"/>
  <c r="X23" i="122"/>
  <c r="W23" i="122"/>
  <c r="AA22" i="122"/>
  <c r="X22" i="122"/>
  <c r="W22" i="122"/>
  <c r="AA21" i="122"/>
  <c r="X21" i="122"/>
  <c r="W21" i="122"/>
  <c r="AA20" i="122"/>
  <c r="X20" i="122"/>
  <c r="W20" i="122"/>
  <c r="AA19" i="122"/>
  <c r="X19" i="122"/>
  <c r="W19" i="122"/>
  <c r="AA18" i="122"/>
  <c r="X18" i="122"/>
  <c r="W18" i="122"/>
  <c r="AA17" i="122"/>
  <c r="X17" i="122"/>
  <c r="W17" i="122"/>
  <c r="AA101" i="122"/>
  <c r="X101" i="122"/>
  <c r="W101" i="122"/>
  <c r="AA16" i="122"/>
  <c r="X16" i="122"/>
  <c r="W16" i="122"/>
  <c r="AA15" i="122"/>
  <c r="X15" i="122"/>
  <c r="W15" i="122"/>
  <c r="AA14" i="122"/>
  <c r="X14" i="122"/>
  <c r="W14" i="122"/>
  <c r="AA13" i="122"/>
  <c r="X13" i="122"/>
  <c r="W13" i="122"/>
  <c r="AA12" i="122"/>
  <c r="X12" i="122"/>
  <c r="W12" i="122"/>
  <c r="AA11" i="122"/>
  <c r="X11" i="122"/>
  <c r="W11" i="122"/>
  <c r="AA10" i="122"/>
  <c r="X10" i="122"/>
  <c r="W10" i="122"/>
  <c r="AA9" i="122"/>
  <c r="X9" i="122"/>
  <c r="W9" i="122"/>
  <c r="AA8" i="122"/>
  <c r="X8" i="122"/>
  <c r="W8" i="122"/>
  <c r="AA7" i="122"/>
  <c r="X7" i="122"/>
  <c r="W7" i="122"/>
  <c r="AA100" i="122"/>
  <c r="X100" i="122"/>
  <c r="W100" i="122"/>
  <c r="AA6" i="122"/>
  <c r="X6" i="122"/>
  <c r="W6" i="122"/>
  <c r="AA5" i="122"/>
  <c r="X5" i="122"/>
  <c r="W5" i="122"/>
  <c r="J175" i="1" s="1"/>
  <c r="P4" i="122"/>
  <c r="U4" i="122"/>
  <c r="AF5" i="6"/>
  <c r="AG100" i="6"/>
  <c r="AD100" i="6"/>
  <c r="AC100" i="6"/>
  <c r="AG99" i="6"/>
  <c r="AD99" i="6"/>
  <c r="AC99" i="6"/>
  <c r="AG98" i="6"/>
  <c r="AD98" i="6"/>
  <c r="AC98" i="6"/>
  <c r="AG125" i="6"/>
  <c r="AD125" i="6"/>
  <c r="AC125" i="6"/>
  <c r="AG124" i="6"/>
  <c r="AD124" i="6"/>
  <c r="AC124" i="6"/>
  <c r="AG97" i="6"/>
  <c r="AD97" i="6"/>
  <c r="AC97" i="6"/>
  <c r="AG96" i="6"/>
  <c r="AD96" i="6"/>
  <c r="AC96" i="6"/>
  <c r="AG95" i="6"/>
  <c r="AD95" i="6"/>
  <c r="AC95" i="6"/>
  <c r="AG123" i="6"/>
  <c r="AD123" i="6"/>
  <c r="AC123" i="6"/>
  <c r="AG94" i="6"/>
  <c r="AD94" i="6"/>
  <c r="AC94" i="6"/>
  <c r="AG93" i="6"/>
  <c r="AD93" i="6"/>
  <c r="AC93" i="6"/>
  <c r="AG92" i="6"/>
  <c r="AD92" i="6"/>
  <c r="AC92" i="6"/>
  <c r="AG122" i="6"/>
  <c r="AD122" i="6"/>
  <c r="AC122" i="6"/>
  <c r="AG91" i="6"/>
  <c r="AD91" i="6"/>
  <c r="AC91" i="6"/>
  <c r="AG90" i="6"/>
  <c r="AD90" i="6"/>
  <c r="AC90" i="6"/>
  <c r="AG89" i="6"/>
  <c r="AD89" i="6"/>
  <c r="AC89" i="6"/>
  <c r="AG88" i="6"/>
  <c r="AD88" i="6"/>
  <c r="AC88" i="6"/>
  <c r="AG87" i="6"/>
  <c r="AD87" i="6"/>
  <c r="AC87" i="6"/>
  <c r="AG86" i="6"/>
  <c r="AD86" i="6"/>
  <c r="AC86" i="6"/>
  <c r="AG85" i="6"/>
  <c r="AD85" i="6"/>
  <c r="AC85" i="6"/>
  <c r="AG84" i="6"/>
  <c r="AD84" i="6"/>
  <c r="AC84" i="6"/>
  <c r="AG83" i="6"/>
  <c r="AD83" i="6"/>
  <c r="AC83" i="6"/>
  <c r="AG82" i="6"/>
  <c r="AD82" i="6"/>
  <c r="AC82" i="6"/>
  <c r="AG121" i="6"/>
  <c r="AD121" i="6"/>
  <c r="AC121" i="6"/>
  <c r="AG81" i="6"/>
  <c r="AD81" i="6"/>
  <c r="AC81" i="6"/>
  <c r="AG120" i="6"/>
  <c r="AD120" i="6"/>
  <c r="AC120" i="6"/>
  <c r="AG80" i="6"/>
  <c r="AD80" i="6"/>
  <c r="AC80" i="6"/>
  <c r="AG119" i="6"/>
  <c r="AD119" i="6"/>
  <c r="AC119" i="6"/>
  <c r="AG79" i="6"/>
  <c r="AD79" i="6"/>
  <c r="AC79" i="6"/>
  <c r="AG78" i="6"/>
  <c r="AD78" i="6"/>
  <c r="AC78" i="6"/>
  <c r="AG77" i="6"/>
  <c r="AD77" i="6"/>
  <c r="AC77" i="6"/>
  <c r="AG76" i="6"/>
  <c r="AD76" i="6"/>
  <c r="AC76" i="6"/>
  <c r="AG75" i="6"/>
  <c r="AD75" i="6"/>
  <c r="AC75" i="6"/>
  <c r="AG118" i="6"/>
  <c r="AD118" i="6"/>
  <c r="AC118" i="6"/>
  <c r="AG74" i="6"/>
  <c r="AD74" i="6"/>
  <c r="AC74" i="6"/>
  <c r="AG117" i="6"/>
  <c r="AD117" i="6"/>
  <c r="AC117" i="6"/>
  <c r="AG73" i="6"/>
  <c r="AD73" i="6"/>
  <c r="AC73" i="6"/>
  <c r="AG72" i="6"/>
  <c r="AD72" i="6"/>
  <c r="AC72" i="6"/>
  <c r="AG71" i="6"/>
  <c r="AD71" i="6"/>
  <c r="AC71" i="6"/>
  <c r="AG70" i="6"/>
  <c r="AD70" i="6"/>
  <c r="AC70" i="6"/>
  <c r="AG116" i="6"/>
  <c r="AD116" i="6"/>
  <c r="AC116" i="6"/>
  <c r="AG69" i="6"/>
  <c r="AD69" i="6"/>
  <c r="AC69" i="6"/>
  <c r="AG68" i="6"/>
  <c r="AD68" i="6"/>
  <c r="AC68" i="6"/>
  <c r="AG115" i="6"/>
  <c r="AD115" i="6"/>
  <c r="AC115" i="6"/>
  <c r="AG114" i="6"/>
  <c r="AD114" i="6"/>
  <c r="AC114" i="6"/>
  <c r="AG67" i="6"/>
  <c r="AD67" i="6"/>
  <c r="AC67" i="6"/>
  <c r="AG66" i="6"/>
  <c r="AD66" i="6"/>
  <c r="AC66" i="6"/>
  <c r="AG65" i="6"/>
  <c r="AD65" i="6"/>
  <c r="AC65" i="6"/>
  <c r="AG64" i="6"/>
  <c r="AD64" i="6"/>
  <c r="AC64" i="6"/>
  <c r="AG63" i="6"/>
  <c r="AD63" i="6"/>
  <c r="AC63" i="6"/>
  <c r="AG62" i="6"/>
  <c r="AD62" i="6"/>
  <c r="AC62" i="6"/>
  <c r="AG113" i="6"/>
  <c r="AD113" i="6"/>
  <c r="AC113" i="6"/>
  <c r="AG112" i="6"/>
  <c r="AD112" i="6"/>
  <c r="AC112" i="6"/>
  <c r="AG61" i="6"/>
  <c r="AD61" i="6"/>
  <c r="AC61" i="6"/>
  <c r="AG111" i="6"/>
  <c r="AD111" i="6"/>
  <c r="AC111" i="6"/>
  <c r="AG60" i="6"/>
  <c r="AD60" i="6"/>
  <c r="AC60" i="6"/>
  <c r="AG59" i="6"/>
  <c r="AD59" i="6"/>
  <c r="AC59" i="6"/>
  <c r="AG58" i="6"/>
  <c r="AD58" i="6"/>
  <c r="AC58" i="6"/>
  <c r="AG57" i="6"/>
  <c r="AD57" i="6"/>
  <c r="AC57" i="6"/>
  <c r="AG56" i="6"/>
  <c r="AD56" i="6"/>
  <c r="AC56" i="6"/>
  <c r="AG55" i="6"/>
  <c r="AD55" i="6"/>
  <c r="AC55" i="6"/>
  <c r="AG54" i="6"/>
  <c r="AD54" i="6"/>
  <c r="AC54" i="6"/>
  <c r="AG53" i="6"/>
  <c r="AD53" i="6"/>
  <c r="AC53" i="6"/>
  <c r="AG52" i="6"/>
  <c r="AD52" i="6"/>
  <c r="AC52" i="6"/>
  <c r="AG51" i="6"/>
  <c r="AD51" i="6"/>
  <c r="AC51" i="6"/>
  <c r="AG110" i="6"/>
  <c r="AD110" i="6"/>
  <c r="AC110" i="6"/>
  <c r="AG50" i="6"/>
  <c r="AD50" i="6"/>
  <c r="AC50" i="6"/>
  <c r="AG49" i="6"/>
  <c r="AD49" i="6"/>
  <c r="AC49" i="6"/>
  <c r="AG48" i="6"/>
  <c r="AD48" i="6"/>
  <c r="AC48" i="6"/>
  <c r="AG47" i="6"/>
  <c r="AD47" i="6"/>
  <c r="AC47" i="6"/>
  <c r="AG109" i="6"/>
  <c r="AD109" i="6"/>
  <c r="AC109" i="6"/>
  <c r="AG46" i="6"/>
  <c r="AD46" i="6"/>
  <c r="AC46" i="6"/>
  <c r="AG45" i="6"/>
  <c r="AD45" i="6"/>
  <c r="AC45" i="6"/>
  <c r="AG44" i="6"/>
  <c r="AD44" i="6"/>
  <c r="AC44" i="6"/>
  <c r="AG43" i="6"/>
  <c r="AD43" i="6"/>
  <c r="AC43" i="6"/>
  <c r="AG42" i="6"/>
  <c r="AD42" i="6"/>
  <c r="AC42" i="6"/>
  <c r="AG41" i="6"/>
  <c r="AD41" i="6"/>
  <c r="AC41" i="6"/>
  <c r="AG40" i="6"/>
  <c r="AD40" i="6"/>
  <c r="AC40" i="6"/>
  <c r="AG108" i="6"/>
  <c r="AD108" i="6"/>
  <c r="AC108" i="6"/>
  <c r="AG107" i="6"/>
  <c r="AD107" i="6"/>
  <c r="AC107" i="6"/>
  <c r="AG39" i="6"/>
  <c r="AD39" i="6"/>
  <c r="AC39" i="6"/>
  <c r="AG38" i="6"/>
  <c r="AD38" i="6"/>
  <c r="AC38" i="6"/>
  <c r="AG106" i="6"/>
  <c r="AD106" i="6"/>
  <c r="AC106" i="6"/>
  <c r="AG37" i="6"/>
  <c r="AD37" i="6"/>
  <c r="AC37" i="6"/>
  <c r="AG36" i="6"/>
  <c r="AD36" i="6"/>
  <c r="AC36" i="6"/>
  <c r="AG35" i="6"/>
  <c r="AD35" i="6"/>
  <c r="AC35" i="6"/>
  <c r="AG34" i="6"/>
  <c r="AD34" i="6"/>
  <c r="AC34" i="6"/>
  <c r="AG33" i="6"/>
  <c r="AD33" i="6"/>
  <c r="AC33" i="6"/>
  <c r="AG32" i="6"/>
  <c r="AD32" i="6"/>
  <c r="AC32" i="6"/>
  <c r="AG31" i="6"/>
  <c r="AD31" i="6"/>
  <c r="AC31" i="6"/>
  <c r="AG105" i="6"/>
  <c r="AD105" i="6"/>
  <c r="AC105" i="6"/>
  <c r="AG30" i="6"/>
  <c r="AD30" i="6"/>
  <c r="AC30" i="6"/>
  <c r="AG29" i="6"/>
  <c r="AD29" i="6"/>
  <c r="AC29" i="6"/>
  <c r="AG28" i="6"/>
  <c r="AD28" i="6"/>
  <c r="AC28" i="6"/>
  <c r="AG27" i="6"/>
  <c r="AD27" i="6"/>
  <c r="AC27" i="6"/>
  <c r="AG26" i="6"/>
  <c r="AD26" i="6"/>
  <c r="AC26" i="6"/>
  <c r="AG104" i="6"/>
  <c r="AD104" i="6"/>
  <c r="AC104" i="6"/>
  <c r="AG103" i="6"/>
  <c r="AD103" i="6"/>
  <c r="AC103" i="6"/>
  <c r="AG25" i="6"/>
  <c r="AD25" i="6"/>
  <c r="AC25" i="6"/>
  <c r="AG24" i="6"/>
  <c r="AD24" i="6"/>
  <c r="AC24" i="6"/>
  <c r="AG23" i="6"/>
  <c r="AD23" i="6"/>
  <c r="AC23" i="6"/>
  <c r="AG22" i="6"/>
  <c r="AD22" i="6"/>
  <c r="AC22" i="6"/>
  <c r="AG21" i="6"/>
  <c r="AD21" i="6"/>
  <c r="AC21" i="6"/>
  <c r="AG20" i="6"/>
  <c r="AD20" i="6"/>
  <c r="AC20" i="6"/>
  <c r="AG19" i="6"/>
  <c r="AD19" i="6"/>
  <c r="AC19" i="6"/>
  <c r="AG18" i="6"/>
  <c r="AD18" i="6"/>
  <c r="AC18" i="6"/>
  <c r="AG102" i="6"/>
  <c r="AD102" i="6"/>
  <c r="AC102" i="6"/>
  <c r="AG17" i="6"/>
  <c r="AD17" i="6"/>
  <c r="AC17" i="6"/>
  <c r="AG16" i="6"/>
  <c r="AD16" i="6"/>
  <c r="AC16" i="6"/>
  <c r="AG15" i="6"/>
  <c r="AD15" i="6"/>
  <c r="AC15" i="6"/>
  <c r="AG14" i="6"/>
  <c r="AD14" i="6"/>
  <c r="AC14" i="6"/>
  <c r="AG13" i="6"/>
  <c r="AD13" i="6"/>
  <c r="AC13" i="6"/>
  <c r="AG12" i="6"/>
  <c r="AD12" i="6"/>
  <c r="AC12" i="6"/>
  <c r="AG11" i="6"/>
  <c r="AD11" i="6"/>
  <c r="AC11" i="6"/>
  <c r="AG10" i="6"/>
  <c r="AD10" i="6"/>
  <c r="AC10" i="6"/>
  <c r="AG9" i="6"/>
  <c r="AD9" i="6"/>
  <c r="AC9" i="6"/>
  <c r="AG8" i="6"/>
  <c r="AD8" i="6"/>
  <c r="AC8" i="6"/>
  <c r="AG101" i="6"/>
  <c r="AD101" i="6"/>
  <c r="AC101" i="6"/>
  <c r="AG7" i="6"/>
  <c r="AD7" i="6"/>
  <c r="AC7" i="6"/>
  <c r="AG6" i="6"/>
  <c r="AD6" i="6"/>
  <c r="AC6" i="6"/>
  <c r="J174" i="1" s="1"/>
  <c r="AA5" i="6"/>
  <c r="Z5" i="6"/>
  <c r="V5" i="6"/>
  <c r="AA4" i="122" l="1"/>
  <c r="W4" i="122"/>
  <c r="X4" i="122"/>
  <c r="AC5" i="6"/>
  <c r="AD5" i="6"/>
  <c r="AG5" i="6"/>
  <c r="AD6" i="92"/>
  <c r="AE6" i="92"/>
  <c r="AD100" i="92"/>
  <c r="AE100" i="92"/>
  <c r="AD7" i="92"/>
  <c r="AE7" i="92"/>
  <c r="AD8" i="92"/>
  <c r="AE8" i="92"/>
  <c r="AD9" i="92"/>
  <c r="AE9" i="92"/>
  <c r="AD10" i="92"/>
  <c r="AE10" i="92"/>
  <c r="AD11" i="92"/>
  <c r="AE11" i="92"/>
  <c r="AD12" i="92"/>
  <c r="AE12" i="92"/>
  <c r="AD13" i="92"/>
  <c r="AE13" i="92"/>
  <c r="AD14" i="92"/>
  <c r="AE14" i="92"/>
  <c r="AD15" i="92"/>
  <c r="AE15" i="92"/>
  <c r="AD16" i="92"/>
  <c r="AE16" i="92"/>
  <c r="AD101" i="92"/>
  <c r="AE101" i="92"/>
  <c r="AD17" i="92"/>
  <c r="AE17" i="92"/>
  <c r="AD18" i="92"/>
  <c r="AE18" i="92"/>
  <c r="AD19" i="92"/>
  <c r="AE19" i="92"/>
  <c r="AD20" i="92"/>
  <c r="AE20" i="92"/>
  <c r="AD21" i="92"/>
  <c r="AE21" i="92"/>
  <c r="AD22" i="92"/>
  <c r="AE22" i="92"/>
  <c r="AD23" i="92"/>
  <c r="AE23" i="92"/>
  <c r="AD24" i="92"/>
  <c r="AE24" i="92"/>
  <c r="AD102" i="92"/>
  <c r="AE102" i="92"/>
  <c r="AD103" i="92"/>
  <c r="AE103" i="92"/>
  <c r="AD25" i="92"/>
  <c r="AE25" i="92"/>
  <c r="AD26" i="92"/>
  <c r="AE26" i="92"/>
  <c r="AD27" i="92"/>
  <c r="AE27" i="92"/>
  <c r="AD28" i="92"/>
  <c r="AE28" i="92"/>
  <c r="AD29" i="92"/>
  <c r="AE29" i="92"/>
  <c r="AD104" i="92"/>
  <c r="AE104" i="92"/>
  <c r="AD30" i="92"/>
  <c r="AE30" i="92"/>
  <c r="AD31" i="92"/>
  <c r="AE31" i="92"/>
  <c r="AD32" i="92"/>
  <c r="AE32" i="92"/>
  <c r="AD33" i="92"/>
  <c r="AE33" i="92"/>
  <c r="AD34" i="92"/>
  <c r="AE34" i="92"/>
  <c r="AD35" i="92"/>
  <c r="AE35" i="92"/>
  <c r="AD36" i="92"/>
  <c r="AE36" i="92"/>
  <c r="AD105" i="92"/>
  <c r="AE105" i="92"/>
  <c r="AD37" i="92"/>
  <c r="AE37" i="92"/>
  <c r="AD38" i="92"/>
  <c r="AE38" i="92"/>
  <c r="AD106" i="92"/>
  <c r="AE106" i="92"/>
  <c r="AD107" i="92"/>
  <c r="AE107" i="92"/>
  <c r="AD39" i="92"/>
  <c r="AE39" i="92"/>
  <c r="AD40" i="92"/>
  <c r="AE40" i="92"/>
  <c r="AD41" i="92"/>
  <c r="AE41" i="92"/>
  <c r="AD42" i="92"/>
  <c r="AE42" i="92"/>
  <c r="AD43" i="92"/>
  <c r="AE43" i="92"/>
  <c r="AD44" i="92"/>
  <c r="AE44" i="92"/>
  <c r="AD45" i="92"/>
  <c r="AE45" i="92"/>
  <c r="AD108" i="92"/>
  <c r="AE108" i="92"/>
  <c r="AD46" i="92"/>
  <c r="AE46" i="92"/>
  <c r="AD47" i="92"/>
  <c r="AE47" i="92"/>
  <c r="AD48" i="92"/>
  <c r="AE48" i="92"/>
  <c r="AD49" i="92"/>
  <c r="AE49" i="92"/>
  <c r="AD109" i="92"/>
  <c r="AE109" i="92"/>
  <c r="AD50" i="92"/>
  <c r="AE50" i="92"/>
  <c r="AD51" i="92"/>
  <c r="AE51" i="92"/>
  <c r="AD52" i="92"/>
  <c r="AE52" i="92"/>
  <c r="AD53" i="92"/>
  <c r="AE53" i="92"/>
  <c r="AD54" i="92"/>
  <c r="AE54" i="92"/>
  <c r="AD55" i="92"/>
  <c r="AE55" i="92"/>
  <c r="AD56" i="92"/>
  <c r="AE56" i="92"/>
  <c r="AD57" i="92"/>
  <c r="AE57" i="92"/>
  <c r="AD58" i="92"/>
  <c r="AE58" i="92"/>
  <c r="AD59" i="92"/>
  <c r="AE59" i="92"/>
  <c r="AD110" i="92"/>
  <c r="AE110" i="92"/>
  <c r="AD60" i="92"/>
  <c r="AE60" i="92"/>
  <c r="AD111" i="92"/>
  <c r="AE111" i="92"/>
  <c r="AD112" i="92"/>
  <c r="AE112" i="92"/>
  <c r="AD61" i="92"/>
  <c r="AE61" i="92"/>
  <c r="AD62" i="92"/>
  <c r="AE62" i="92"/>
  <c r="AD63" i="92"/>
  <c r="AE63" i="92"/>
  <c r="AD64" i="92"/>
  <c r="AE64" i="92"/>
  <c r="AD65" i="92"/>
  <c r="AE65" i="92"/>
  <c r="AD66" i="92"/>
  <c r="AE66" i="92"/>
  <c r="AD113" i="92"/>
  <c r="AE113" i="92"/>
  <c r="AD114" i="92"/>
  <c r="AE114" i="92"/>
  <c r="AD67" i="92"/>
  <c r="AE67" i="92"/>
  <c r="AD68" i="92"/>
  <c r="AE68" i="92"/>
  <c r="AD115" i="92"/>
  <c r="AE115" i="92"/>
  <c r="AD69" i="92"/>
  <c r="AE69" i="92"/>
  <c r="AD70" i="92"/>
  <c r="AE70" i="92"/>
  <c r="AD71" i="92"/>
  <c r="AE71" i="92"/>
  <c r="AD72" i="92"/>
  <c r="AE72" i="92"/>
  <c r="AD116" i="92"/>
  <c r="AE116" i="92"/>
  <c r="AD73" i="92"/>
  <c r="AE73" i="92"/>
  <c r="AD117" i="92"/>
  <c r="AE117" i="92"/>
  <c r="AD74" i="92"/>
  <c r="AE74" i="92"/>
  <c r="AD75" i="92"/>
  <c r="AE75" i="92"/>
  <c r="AD76" i="92"/>
  <c r="AE76" i="92"/>
  <c r="AD77" i="92"/>
  <c r="AE77" i="92"/>
  <c r="AD78" i="92"/>
  <c r="AE78" i="92"/>
  <c r="AD118" i="92"/>
  <c r="AE118" i="92"/>
  <c r="AD79" i="92"/>
  <c r="AE79" i="92"/>
  <c r="AD119" i="92"/>
  <c r="AE119" i="92"/>
  <c r="AD80" i="92"/>
  <c r="AE80" i="92"/>
  <c r="AD120" i="92"/>
  <c r="AE120" i="92"/>
  <c r="AD81" i="92"/>
  <c r="AE81" i="92"/>
  <c r="AD82" i="92"/>
  <c r="AE82" i="92"/>
  <c r="AD83" i="92"/>
  <c r="AE83" i="92"/>
  <c r="AD84" i="92"/>
  <c r="AE84" i="92"/>
  <c r="AD85" i="92"/>
  <c r="AE85" i="92"/>
  <c r="AD86" i="92"/>
  <c r="AE86" i="92"/>
  <c r="AD87" i="92"/>
  <c r="AE87" i="92"/>
  <c r="AD88" i="92"/>
  <c r="AE88" i="92"/>
  <c r="AD89" i="92"/>
  <c r="AE89" i="92"/>
  <c r="AD90" i="92"/>
  <c r="AE90" i="92"/>
  <c r="AD121" i="92"/>
  <c r="AE121" i="92"/>
  <c r="AD91" i="92"/>
  <c r="AE91" i="92"/>
  <c r="AD92" i="92"/>
  <c r="AE92" i="92"/>
  <c r="AD93" i="92"/>
  <c r="AE93" i="92"/>
  <c r="AD122" i="92"/>
  <c r="AE122" i="92"/>
  <c r="AD94" i="92"/>
  <c r="AE94" i="92"/>
  <c r="AD95" i="92"/>
  <c r="AE95" i="92"/>
  <c r="AD96" i="92"/>
  <c r="AE96" i="92"/>
  <c r="AD123" i="92"/>
  <c r="AE123" i="92"/>
  <c r="AD124" i="92"/>
  <c r="AE124" i="92"/>
  <c r="AD97" i="92"/>
  <c r="AE97" i="92"/>
  <c r="AD98" i="92"/>
  <c r="AE98" i="92"/>
  <c r="AD99" i="92"/>
  <c r="AE99" i="92"/>
  <c r="AE5" i="92"/>
  <c r="AD5" i="92"/>
  <c r="AD4" i="92" l="1"/>
  <c r="AE4" i="92"/>
  <c r="F4" i="120"/>
  <c r="U5" i="106" l="1"/>
  <c r="G5" i="106"/>
  <c r="N5" i="106"/>
  <c r="M5" i="106"/>
  <c r="E5" i="106"/>
  <c r="BL131" i="113" l="1"/>
  <c r="BL130" i="113"/>
  <c r="BL129" i="113"/>
  <c r="BL128" i="113"/>
  <c r="BL127" i="113"/>
  <c r="BL125" i="113"/>
  <c r="BL124" i="113"/>
  <c r="BL123" i="113"/>
  <c r="BL122" i="113"/>
  <c r="BL121" i="113"/>
  <c r="BL120" i="113"/>
  <c r="BL119" i="113"/>
  <c r="BL118" i="113"/>
  <c r="BL117" i="113"/>
  <c r="BL116" i="113"/>
  <c r="BL115" i="113"/>
  <c r="BL114" i="113"/>
  <c r="BL113" i="113"/>
  <c r="BL112" i="113"/>
  <c r="BL111" i="113"/>
  <c r="BL110" i="113"/>
  <c r="BL109" i="113"/>
  <c r="BL108" i="113"/>
  <c r="BL107" i="113"/>
  <c r="BL106" i="113"/>
  <c r="BL105" i="113"/>
  <c r="BL104" i="113"/>
  <c r="BL103" i="113"/>
  <c r="BL102" i="113"/>
  <c r="BL101" i="113"/>
  <c r="BL100" i="113"/>
  <c r="BL99" i="113"/>
  <c r="BL98" i="113"/>
  <c r="BL97" i="113"/>
  <c r="BL96" i="113"/>
  <c r="BL95" i="113"/>
  <c r="BL94" i="113"/>
  <c r="BL93" i="113"/>
  <c r="BL92" i="113"/>
  <c r="BL91" i="113"/>
  <c r="BL90" i="113"/>
  <c r="BL89" i="113"/>
  <c r="BL88" i="113"/>
  <c r="BL87" i="113"/>
  <c r="BL86" i="113"/>
  <c r="BL85" i="113"/>
  <c r="BL84" i="113"/>
  <c r="BL83" i="113"/>
  <c r="BL82" i="113"/>
  <c r="BL81" i="113"/>
  <c r="BL80" i="113"/>
  <c r="BL79" i="113"/>
  <c r="BL78" i="113"/>
  <c r="BL77" i="113"/>
  <c r="BL76" i="113"/>
  <c r="BL75" i="113"/>
  <c r="BL74" i="113"/>
  <c r="BL73" i="113"/>
  <c r="BL72" i="113"/>
  <c r="BL71" i="113"/>
  <c r="BL70" i="113"/>
  <c r="BL69" i="113"/>
  <c r="BL68" i="113"/>
  <c r="BL67" i="113"/>
  <c r="BL66" i="113"/>
  <c r="BL65" i="113"/>
  <c r="BL64" i="113"/>
  <c r="BL63" i="113"/>
  <c r="BL62" i="113"/>
  <c r="BL61" i="113"/>
  <c r="BL60" i="113"/>
  <c r="BL59" i="113"/>
  <c r="BL58" i="113"/>
  <c r="BL57" i="113"/>
  <c r="BL56" i="113"/>
  <c r="BL55" i="113"/>
  <c r="BL54" i="113"/>
  <c r="BL53" i="113"/>
  <c r="BL52" i="113"/>
  <c r="BL51" i="113"/>
  <c r="BL50" i="113"/>
  <c r="BL49" i="113"/>
  <c r="BL48" i="113"/>
  <c r="BL47" i="113"/>
  <c r="BL46" i="113"/>
  <c r="BL45" i="113"/>
  <c r="BL44" i="113"/>
  <c r="BL43" i="113"/>
  <c r="BL42" i="113"/>
  <c r="BL41" i="113"/>
  <c r="BL40" i="113"/>
  <c r="BL39" i="113"/>
  <c r="BL38" i="113"/>
  <c r="BL37" i="113"/>
  <c r="BL36" i="113"/>
  <c r="BL35" i="113"/>
  <c r="BL34" i="113"/>
  <c r="BL33" i="113"/>
  <c r="BL32" i="113"/>
  <c r="BL31" i="113"/>
  <c r="BL30" i="113"/>
  <c r="BL29" i="113"/>
  <c r="BL28" i="113"/>
  <c r="BL27" i="113"/>
  <c r="BL26" i="113"/>
  <c r="BL25" i="113"/>
  <c r="BL24" i="113"/>
  <c r="BL23" i="113"/>
  <c r="BL22" i="113"/>
  <c r="BL21" i="113"/>
  <c r="BL20" i="113"/>
  <c r="BL19" i="113"/>
  <c r="BL18" i="113"/>
  <c r="BL17" i="113"/>
  <c r="BL16" i="113"/>
  <c r="BL15" i="113"/>
  <c r="BL14" i="113"/>
  <c r="BL13" i="113"/>
  <c r="BL12" i="113"/>
  <c r="BL11" i="113"/>
  <c r="BL10" i="113"/>
  <c r="BL9" i="113"/>
  <c r="BL8" i="113"/>
  <c r="BL7" i="113"/>
  <c r="BL6" i="113"/>
  <c r="BL5" i="113"/>
  <c r="I19" i="108" s="1"/>
  <c r="D19" i="108" l="1"/>
  <c r="T7" i="79" l="1"/>
  <c r="T8" i="79"/>
  <c r="T9" i="79"/>
  <c r="T10" i="79"/>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70" i="79"/>
  <c r="T71" i="79"/>
  <c r="T72" i="79"/>
  <c r="T73" i="79"/>
  <c r="T74" i="79"/>
  <c r="T75" i="79"/>
  <c r="T76" i="79"/>
  <c r="T77" i="79"/>
  <c r="T78" i="79"/>
  <c r="T79" i="79"/>
  <c r="T80" i="79"/>
  <c r="T81" i="79"/>
  <c r="T82" i="79"/>
  <c r="T83" i="79"/>
  <c r="T84" i="79"/>
  <c r="T85" i="79"/>
  <c r="T86" i="79"/>
  <c r="T87" i="79"/>
  <c r="T88" i="79"/>
  <c r="T89" i="79"/>
  <c r="T90" i="79"/>
  <c r="T91" i="79"/>
  <c r="T92" i="79"/>
  <c r="T93" i="79"/>
  <c r="T94" i="79"/>
  <c r="T95" i="79"/>
  <c r="T96" i="79"/>
  <c r="T97" i="79"/>
  <c r="T98" i="79"/>
  <c r="T99" i="79"/>
  <c r="T100" i="79"/>
  <c r="T101" i="79"/>
  <c r="T102" i="79"/>
  <c r="T103" i="79"/>
  <c r="T104" i="79"/>
  <c r="T105" i="79"/>
  <c r="T106" i="79"/>
  <c r="T107" i="79"/>
  <c r="T108" i="79"/>
  <c r="T109" i="79"/>
  <c r="T110" i="79"/>
  <c r="T111" i="79"/>
  <c r="T112" i="79"/>
  <c r="T113" i="79"/>
  <c r="T114" i="79"/>
  <c r="T115" i="79"/>
  <c r="T116" i="79"/>
  <c r="T117" i="79"/>
  <c r="T118" i="79"/>
  <c r="T119" i="79"/>
  <c r="T120" i="79"/>
  <c r="T121" i="79"/>
  <c r="T122" i="79"/>
  <c r="T123" i="79"/>
  <c r="T124" i="79"/>
  <c r="T125" i="79"/>
  <c r="T6" i="79"/>
  <c r="J7" i="79" l="1"/>
  <c r="J30" i="79"/>
  <c r="J31" i="79"/>
  <c r="J33" i="79"/>
  <c r="J34" i="79"/>
  <c r="J48" i="79"/>
  <c r="J49" i="79"/>
  <c r="J50" i="79"/>
  <c r="J51" i="79"/>
  <c r="J52" i="79"/>
  <c r="J53" i="79"/>
  <c r="J54" i="79"/>
  <c r="J86" i="79"/>
  <c r="J87" i="79"/>
  <c r="J88" i="79"/>
  <c r="J89" i="79"/>
  <c r="J101" i="79"/>
  <c r="J6" i="79"/>
  <c r="I7" i="79"/>
  <c r="I30" i="79"/>
  <c r="I31" i="79"/>
  <c r="I33" i="79"/>
  <c r="I34" i="79"/>
  <c r="I48" i="79"/>
  <c r="I49" i="79"/>
  <c r="I50" i="79"/>
  <c r="I51" i="79"/>
  <c r="I53" i="79"/>
  <c r="I54" i="79"/>
  <c r="I86" i="79"/>
  <c r="I87" i="79"/>
  <c r="I89" i="79"/>
  <c r="I101" i="79"/>
  <c r="I6" i="79"/>
  <c r="I120" i="79" l="1"/>
  <c r="I84" i="79"/>
  <c r="I72" i="79"/>
  <c r="J120" i="79"/>
  <c r="J84" i="79"/>
  <c r="I115" i="79"/>
  <c r="I67" i="79"/>
  <c r="I63" i="79"/>
  <c r="I27" i="79"/>
  <c r="I23" i="79"/>
  <c r="J115" i="79"/>
  <c r="J67" i="79"/>
  <c r="J63" i="79"/>
  <c r="J27" i="79"/>
  <c r="J23" i="79"/>
  <c r="I110" i="79"/>
  <c r="I106" i="79"/>
  <c r="I123" i="79"/>
  <c r="I111" i="79"/>
  <c r="I107" i="79"/>
  <c r="I103" i="79"/>
  <c r="I91" i="79"/>
  <c r="I79" i="79"/>
  <c r="I75" i="79"/>
  <c r="I59" i="79"/>
  <c r="I55" i="79"/>
  <c r="I43" i="79"/>
  <c r="I39" i="79"/>
  <c r="I35" i="79"/>
  <c r="I19" i="79"/>
  <c r="I15" i="79"/>
  <c r="I11" i="79"/>
  <c r="J123" i="79"/>
  <c r="J111" i="79"/>
  <c r="J107" i="79"/>
  <c r="J103" i="79"/>
  <c r="J91" i="79"/>
  <c r="J79" i="79"/>
  <c r="J75" i="79"/>
  <c r="J59" i="79"/>
  <c r="J55" i="79"/>
  <c r="J43" i="79"/>
  <c r="J39" i="79"/>
  <c r="J35" i="79"/>
  <c r="J19" i="79"/>
  <c r="J15" i="79"/>
  <c r="J11" i="79"/>
  <c r="I38" i="79"/>
  <c r="I18" i="79"/>
  <c r="I10" i="79"/>
  <c r="J110" i="79"/>
  <c r="J106" i="79"/>
  <c r="J78" i="79"/>
  <c r="J58" i="79"/>
  <c r="J42" i="79"/>
  <c r="J38" i="79"/>
  <c r="J14" i="79"/>
  <c r="J10" i="79"/>
  <c r="J72" i="79"/>
  <c r="I58" i="79"/>
  <c r="J32" i="79"/>
  <c r="I116" i="79"/>
  <c r="I108" i="79"/>
  <c r="I104" i="79"/>
  <c r="I96" i="79"/>
  <c r="I92" i="79"/>
  <c r="I80" i="79"/>
  <c r="I76" i="79"/>
  <c r="I68" i="79"/>
  <c r="I64" i="79"/>
  <c r="I60" i="79"/>
  <c r="I56" i="79"/>
  <c r="I44" i="79"/>
  <c r="I40" i="79"/>
  <c r="I36" i="79"/>
  <c r="I28" i="79"/>
  <c r="I24" i="79"/>
  <c r="I20" i="79"/>
  <c r="I16" i="79"/>
  <c r="I12" i="79"/>
  <c r="I8" i="79"/>
  <c r="J116" i="79"/>
  <c r="J108" i="79"/>
  <c r="J104" i="79"/>
  <c r="J96" i="79"/>
  <c r="J92" i="79"/>
  <c r="J80" i="79"/>
  <c r="J76" i="79"/>
  <c r="J68" i="79"/>
  <c r="J64" i="79"/>
  <c r="J60" i="79"/>
  <c r="J56" i="79"/>
  <c r="J44" i="79"/>
  <c r="J40" i="79"/>
  <c r="J36" i="79"/>
  <c r="J28" i="79"/>
  <c r="J24" i="79"/>
  <c r="J20" i="79"/>
  <c r="J16" i="79"/>
  <c r="J12" i="79"/>
  <c r="J8" i="79"/>
  <c r="I124" i="79"/>
  <c r="J124" i="79"/>
  <c r="I112" i="79"/>
  <c r="J112" i="79"/>
  <c r="I95" i="79"/>
  <c r="J95" i="79"/>
  <c r="I88" i="79"/>
  <c r="I78" i="79"/>
  <c r="I52" i="79"/>
  <c r="I42" i="79"/>
  <c r="I32" i="79"/>
  <c r="I100" i="79"/>
  <c r="J100" i="79"/>
  <c r="I99" i="79"/>
  <c r="I83" i="79"/>
  <c r="I71" i="79"/>
  <c r="I47" i="79"/>
  <c r="J83" i="79"/>
  <c r="J47" i="79"/>
  <c r="I122" i="79"/>
  <c r="I118" i="79"/>
  <c r="I114" i="79"/>
  <c r="I102" i="79"/>
  <c r="I98" i="79"/>
  <c r="I94" i="79"/>
  <c r="I90" i="79"/>
  <c r="I82" i="79"/>
  <c r="I74" i="79"/>
  <c r="I70" i="79"/>
  <c r="I66" i="79"/>
  <c r="I62" i="79"/>
  <c r="I46" i="79"/>
  <c r="I26" i="79"/>
  <c r="I22" i="79"/>
  <c r="I14" i="79"/>
  <c r="J122" i="79"/>
  <c r="J118" i="79"/>
  <c r="J114" i="79"/>
  <c r="J102" i="79"/>
  <c r="J98" i="79"/>
  <c r="J94" i="79"/>
  <c r="J90" i="79"/>
  <c r="J82" i="79"/>
  <c r="J74" i="79"/>
  <c r="J70" i="79"/>
  <c r="J66" i="79"/>
  <c r="J62" i="79"/>
  <c r="J46" i="79"/>
  <c r="J26" i="79"/>
  <c r="J22" i="79"/>
  <c r="J18" i="79"/>
  <c r="I119" i="79"/>
  <c r="J119" i="79"/>
  <c r="J99" i="79"/>
  <c r="J71" i="79"/>
  <c r="I125" i="79"/>
  <c r="I121" i="79"/>
  <c r="I117" i="79"/>
  <c r="I113" i="79"/>
  <c r="I109" i="79"/>
  <c r="I105" i="79"/>
  <c r="I97" i="79"/>
  <c r="I93" i="79"/>
  <c r="I85" i="79"/>
  <c r="I81" i="79"/>
  <c r="I77" i="79"/>
  <c r="I73" i="79"/>
  <c r="I69" i="79"/>
  <c r="I65" i="79"/>
  <c r="I61" i="79"/>
  <c r="I57" i="79"/>
  <c r="I45" i="79"/>
  <c r="I41" i="79"/>
  <c r="I37" i="79"/>
  <c r="I29" i="79"/>
  <c r="I25" i="79"/>
  <c r="I21" i="79"/>
  <c r="I17" i="79"/>
  <c r="I13" i="79"/>
  <c r="I9" i="79"/>
  <c r="J125" i="79"/>
  <c r="J121" i="79"/>
  <c r="J117" i="79"/>
  <c r="J113" i="79"/>
  <c r="J109" i="79"/>
  <c r="J105" i="79"/>
  <c r="J97" i="79"/>
  <c r="J93" i="79"/>
  <c r="J85" i="79"/>
  <c r="J81" i="79"/>
  <c r="J77" i="79"/>
  <c r="J73" i="79"/>
  <c r="J69" i="79"/>
  <c r="J65" i="79"/>
  <c r="J61" i="79"/>
  <c r="J57" i="79"/>
  <c r="J45" i="79"/>
  <c r="J41" i="79"/>
  <c r="J37" i="79"/>
  <c r="J29" i="79"/>
  <c r="J25" i="79"/>
  <c r="J21" i="79"/>
  <c r="J17" i="79"/>
  <c r="J13" i="79"/>
  <c r="J9" i="79"/>
  <c r="G6" i="57" l="1"/>
  <c r="F7" i="118" s="1"/>
  <c r="P7" i="79" s="1"/>
  <c r="Z7" i="79" s="1"/>
  <c r="AN7" i="79" s="1"/>
  <c r="G100" i="57"/>
  <c r="G7" i="57"/>
  <c r="G8" i="57"/>
  <c r="G9" i="57"/>
  <c r="G10" i="57"/>
  <c r="G11" i="57"/>
  <c r="G12" i="57"/>
  <c r="G13" i="57"/>
  <c r="G14" i="57"/>
  <c r="G15" i="57"/>
  <c r="G16" i="57"/>
  <c r="G101" i="57"/>
  <c r="G17" i="57"/>
  <c r="G18" i="57"/>
  <c r="G19" i="57"/>
  <c r="G20" i="57"/>
  <c r="G21" i="57"/>
  <c r="G22" i="57"/>
  <c r="G23" i="57"/>
  <c r="G24" i="57"/>
  <c r="G102" i="57"/>
  <c r="G103" i="57"/>
  <c r="G25" i="57"/>
  <c r="F26" i="118" s="1"/>
  <c r="P26" i="79" s="1"/>
  <c r="Z26" i="79" s="1"/>
  <c r="AN26" i="79" s="1"/>
  <c r="G26" i="57"/>
  <c r="F27" i="118" s="1"/>
  <c r="P27" i="79" s="1"/>
  <c r="Z27" i="79" s="1"/>
  <c r="AN27" i="79" s="1"/>
  <c r="G27" i="57"/>
  <c r="F28" i="118" s="1"/>
  <c r="P28" i="79" s="1"/>
  <c r="Z28" i="79" s="1"/>
  <c r="AN28" i="79" s="1"/>
  <c r="G28" i="57"/>
  <c r="G29" i="57"/>
  <c r="F30" i="118" s="1"/>
  <c r="P30" i="79" s="1"/>
  <c r="Z30" i="79" s="1"/>
  <c r="AN30" i="79" s="1"/>
  <c r="G104" i="57"/>
  <c r="G30" i="57"/>
  <c r="G31" i="57"/>
  <c r="G32" i="57"/>
  <c r="G33" i="57"/>
  <c r="G34" i="57"/>
  <c r="G35" i="57"/>
  <c r="G36" i="57"/>
  <c r="G105" i="57"/>
  <c r="G37" i="57"/>
  <c r="G38" i="57"/>
  <c r="G106" i="57"/>
  <c r="G107" i="57"/>
  <c r="G39" i="57"/>
  <c r="F40" i="118" s="1"/>
  <c r="P40" i="79" s="1"/>
  <c r="Z40" i="79" s="1"/>
  <c r="AN40" i="79" s="1"/>
  <c r="G40" i="57"/>
  <c r="F41" i="118" s="1"/>
  <c r="P41" i="79" s="1"/>
  <c r="Z41" i="79" s="1"/>
  <c r="AN41" i="79" s="1"/>
  <c r="G41" i="57"/>
  <c r="F42" i="118" s="1"/>
  <c r="P42" i="79" s="1"/>
  <c r="Z42" i="79" s="1"/>
  <c r="AN42" i="79" s="1"/>
  <c r="G42" i="57"/>
  <c r="F43" i="118" s="1"/>
  <c r="P43" i="79" s="1"/>
  <c r="Z43" i="79" s="1"/>
  <c r="AN43" i="79" s="1"/>
  <c r="G43" i="57"/>
  <c r="F44" i="118" s="1"/>
  <c r="P44" i="79" s="1"/>
  <c r="Z44" i="79" s="1"/>
  <c r="AN44" i="79" s="1"/>
  <c r="G44" i="57"/>
  <c r="F45" i="118" s="1"/>
  <c r="P45" i="79" s="1"/>
  <c r="Z45" i="79" s="1"/>
  <c r="AN45" i="79" s="1"/>
  <c r="G45" i="57"/>
  <c r="F46" i="118" s="1"/>
  <c r="P46" i="79" s="1"/>
  <c r="Z46" i="79" s="1"/>
  <c r="AN46" i="79" s="1"/>
  <c r="G108" i="57"/>
  <c r="G46" i="57"/>
  <c r="G47" i="57"/>
  <c r="G48" i="57"/>
  <c r="G49" i="57"/>
  <c r="G109" i="57"/>
  <c r="G50" i="57"/>
  <c r="G51" i="57"/>
  <c r="G52" i="57"/>
  <c r="G53" i="57"/>
  <c r="G54" i="57"/>
  <c r="G55" i="57"/>
  <c r="G56" i="57"/>
  <c r="G57" i="57"/>
  <c r="G58" i="57"/>
  <c r="G59" i="57"/>
  <c r="G110" i="57"/>
  <c r="G60" i="57"/>
  <c r="G111" i="57"/>
  <c r="G112" i="57"/>
  <c r="G61" i="57"/>
  <c r="G62" i="57"/>
  <c r="G63" i="57"/>
  <c r="G64" i="57"/>
  <c r="G65" i="57"/>
  <c r="G66" i="57"/>
  <c r="G113" i="57"/>
  <c r="G114" i="57"/>
  <c r="G67" i="57"/>
  <c r="G68" i="57"/>
  <c r="G115" i="57"/>
  <c r="G69" i="57"/>
  <c r="F70" i="118" s="1"/>
  <c r="P70" i="79" s="1"/>
  <c r="Z70" i="79" s="1"/>
  <c r="AN70" i="79" s="1"/>
  <c r="G70" i="57"/>
  <c r="F71" i="118" s="1"/>
  <c r="P71" i="79" s="1"/>
  <c r="Z71" i="79" s="1"/>
  <c r="AN71" i="79" s="1"/>
  <c r="G71" i="57"/>
  <c r="F72" i="118" s="1"/>
  <c r="P72" i="79" s="1"/>
  <c r="Z72" i="79" s="1"/>
  <c r="AN72" i="79" s="1"/>
  <c r="G72" i="57"/>
  <c r="F73" i="118" s="1"/>
  <c r="P73" i="79" s="1"/>
  <c r="Z73" i="79" s="1"/>
  <c r="AN73" i="79" s="1"/>
  <c r="G116" i="57"/>
  <c r="G73" i="57"/>
  <c r="G117" i="57"/>
  <c r="G74" i="57"/>
  <c r="G75" i="57"/>
  <c r="G76" i="57"/>
  <c r="G77" i="57"/>
  <c r="G78" i="57"/>
  <c r="G118" i="57"/>
  <c r="G79" i="57"/>
  <c r="G119" i="57"/>
  <c r="G80" i="57"/>
  <c r="F81" i="118" s="1"/>
  <c r="P81" i="79" s="1"/>
  <c r="Z81" i="79" s="1"/>
  <c r="AN81" i="79" s="1"/>
  <c r="G120" i="57"/>
  <c r="G81" i="57"/>
  <c r="G82" i="57"/>
  <c r="G83" i="57"/>
  <c r="G84" i="57"/>
  <c r="G85" i="57"/>
  <c r="G86" i="57"/>
  <c r="G87" i="57"/>
  <c r="G88" i="57"/>
  <c r="G89" i="57"/>
  <c r="G90" i="57"/>
  <c r="G121" i="57"/>
  <c r="G91" i="57"/>
  <c r="G92" i="57"/>
  <c r="G93" i="57"/>
  <c r="G122" i="57"/>
  <c r="G94" i="57"/>
  <c r="G95" i="57"/>
  <c r="G96" i="57"/>
  <c r="G123" i="57"/>
  <c r="G124" i="57"/>
  <c r="G97" i="57"/>
  <c r="G98" i="57"/>
  <c r="G99" i="57"/>
  <c r="G5" i="57"/>
  <c r="H6" i="57"/>
  <c r="H100" i="57"/>
  <c r="H7" i="57"/>
  <c r="H8" i="57"/>
  <c r="H9" i="57"/>
  <c r="H10" i="57"/>
  <c r="H11" i="57"/>
  <c r="H12" i="57"/>
  <c r="H13" i="57"/>
  <c r="H14" i="57"/>
  <c r="H15" i="57"/>
  <c r="H16" i="57"/>
  <c r="H101" i="57"/>
  <c r="H17" i="57"/>
  <c r="H18" i="57"/>
  <c r="H19" i="57"/>
  <c r="H20" i="57"/>
  <c r="H21" i="57"/>
  <c r="H22" i="57"/>
  <c r="H23" i="57"/>
  <c r="H24" i="57"/>
  <c r="H102" i="57"/>
  <c r="H103" i="57"/>
  <c r="H25" i="57"/>
  <c r="H26" i="57"/>
  <c r="H27" i="57"/>
  <c r="H28" i="57"/>
  <c r="H29" i="57"/>
  <c r="H104" i="57"/>
  <c r="H30" i="57"/>
  <c r="H31" i="57"/>
  <c r="H32" i="57"/>
  <c r="H33" i="57"/>
  <c r="H34" i="57"/>
  <c r="H35" i="57"/>
  <c r="H36" i="57"/>
  <c r="H105" i="57"/>
  <c r="H37" i="57"/>
  <c r="H38" i="57"/>
  <c r="H106" i="57"/>
  <c r="H107" i="57"/>
  <c r="H39" i="57"/>
  <c r="H40" i="57"/>
  <c r="H41" i="57"/>
  <c r="H42" i="57"/>
  <c r="H43" i="57"/>
  <c r="H44" i="57"/>
  <c r="H45" i="57"/>
  <c r="H108" i="57"/>
  <c r="H46" i="57"/>
  <c r="H47" i="57"/>
  <c r="H48" i="57"/>
  <c r="H49" i="57"/>
  <c r="H109" i="57"/>
  <c r="H50" i="57"/>
  <c r="H51" i="57"/>
  <c r="H52" i="57"/>
  <c r="H53" i="57"/>
  <c r="H54" i="57"/>
  <c r="H55" i="57"/>
  <c r="H56" i="57"/>
  <c r="H57" i="57"/>
  <c r="H58" i="57"/>
  <c r="H59" i="57"/>
  <c r="H110" i="57"/>
  <c r="H60" i="57"/>
  <c r="H111" i="57"/>
  <c r="H112" i="57"/>
  <c r="H61" i="57"/>
  <c r="H62" i="57"/>
  <c r="H63" i="57"/>
  <c r="H64" i="57"/>
  <c r="H65" i="57"/>
  <c r="H66" i="57"/>
  <c r="H113" i="57"/>
  <c r="H114" i="57"/>
  <c r="H67" i="57"/>
  <c r="H68" i="57"/>
  <c r="H115" i="57"/>
  <c r="H69" i="57"/>
  <c r="H70" i="57"/>
  <c r="H71" i="57"/>
  <c r="H72" i="57"/>
  <c r="H116" i="57"/>
  <c r="H73" i="57"/>
  <c r="H117" i="57"/>
  <c r="H74" i="57"/>
  <c r="H75" i="57"/>
  <c r="H76" i="57"/>
  <c r="H77" i="57"/>
  <c r="H78" i="57"/>
  <c r="H118" i="57"/>
  <c r="H79" i="57"/>
  <c r="H119" i="57"/>
  <c r="H80" i="57"/>
  <c r="H120" i="57"/>
  <c r="H81" i="57"/>
  <c r="H82" i="57"/>
  <c r="H83" i="57"/>
  <c r="H84" i="57"/>
  <c r="H85" i="57"/>
  <c r="H86" i="57"/>
  <c r="H87" i="57"/>
  <c r="H88" i="57"/>
  <c r="H89" i="57"/>
  <c r="H90" i="57"/>
  <c r="H121" i="57"/>
  <c r="H91" i="57"/>
  <c r="H92" i="57"/>
  <c r="H93" i="57"/>
  <c r="H122" i="57"/>
  <c r="H94" i="57"/>
  <c r="H95" i="57"/>
  <c r="H96" i="57"/>
  <c r="H123" i="57"/>
  <c r="H124" i="57"/>
  <c r="H97" i="57"/>
  <c r="H98" i="57"/>
  <c r="H99" i="57"/>
  <c r="H5" i="57"/>
  <c r="K4" i="57"/>
  <c r="F94" i="118" l="1"/>
  <c r="P94" i="79" s="1"/>
  <c r="Z94" i="79" s="1"/>
  <c r="AN94" i="79" s="1"/>
  <c r="F78" i="118"/>
  <c r="P78" i="79" s="1"/>
  <c r="Z78" i="79" s="1"/>
  <c r="AN78" i="79" s="1"/>
  <c r="F98" i="118"/>
  <c r="P98" i="79" s="1"/>
  <c r="Z98" i="79" s="1"/>
  <c r="AN98" i="79" s="1"/>
  <c r="F90" i="118"/>
  <c r="P90" i="79" s="1"/>
  <c r="Z90" i="79" s="1"/>
  <c r="AN90" i="79" s="1"/>
  <c r="F86" i="118"/>
  <c r="P86" i="79" s="1"/>
  <c r="Z86" i="79" s="1"/>
  <c r="AN86" i="79" s="1"/>
  <c r="F82" i="118"/>
  <c r="P82" i="79" s="1"/>
  <c r="Z82" i="79" s="1"/>
  <c r="AN82" i="79" s="1"/>
  <c r="F74" i="118"/>
  <c r="P74" i="79" s="1"/>
  <c r="Z74" i="79" s="1"/>
  <c r="AN74" i="79" s="1"/>
  <c r="F66" i="118"/>
  <c r="P66" i="79" s="1"/>
  <c r="Z66" i="79" s="1"/>
  <c r="AN66" i="79" s="1"/>
  <c r="F62" i="118"/>
  <c r="P62" i="79" s="1"/>
  <c r="Z62" i="79" s="1"/>
  <c r="AN62" i="79" s="1"/>
  <c r="F50" i="118"/>
  <c r="P50" i="79" s="1"/>
  <c r="Z50" i="79" s="1"/>
  <c r="AN50" i="79" s="1"/>
  <c r="F34" i="118"/>
  <c r="P34" i="79" s="1"/>
  <c r="Z34" i="79" s="1"/>
  <c r="AN34" i="79" s="1"/>
  <c r="F14" i="118"/>
  <c r="P14" i="79" s="1"/>
  <c r="Z14" i="79" s="1"/>
  <c r="AN14" i="79" s="1"/>
  <c r="F10" i="118"/>
  <c r="P10" i="79" s="1"/>
  <c r="Z10" i="79" s="1"/>
  <c r="AN10" i="79" s="1"/>
  <c r="F6" i="118"/>
  <c r="P6" i="79" s="1"/>
  <c r="Z6" i="79" s="1"/>
  <c r="AN6" i="79" s="1"/>
  <c r="L198" i="1"/>
  <c r="F58" i="118"/>
  <c r="P58" i="79" s="1"/>
  <c r="Z58" i="79" s="1"/>
  <c r="AN58" i="79" s="1"/>
  <c r="F54" i="118"/>
  <c r="P54" i="79" s="1"/>
  <c r="Z54" i="79" s="1"/>
  <c r="AN54" i="79" s="1"/>
  <c r="F38" i="118"/>
  <c r="P38" i="79" s="1"/>
  <c r="Z38" i="79" s="1"/>
  <c r="AN38" i="79" s="1"/>
  <c r="F22" i="118"/>
  <c r="P22" i="79" s="1"/>
  <c r="Z22" i="79" s="1"/>
  <c r="AN22" i="79" s="1"/>
  <c r="F18" i="118"/>
  <c r="P18" i="79" s="1"/>
  <c r="Z18" i="79" s="1"/>
  <c r="AN18" i="79" s="1"/>
  <c r="F79" i="118"/>
  <c r="P79" i="79" s="1"/>
  <c r="Z79" i="79" s="1"/>
  <c r="AN79" i="79" s="1"/>
  <c r="F75" i="118"/>
  <c r="P75" i="79" s="1"/>
  <c r="Z75" i="79" s="1"/>
  <c r="AN75" i="79" s="1"/>
  <c r="F59" i="118"/>
  <c r="P59" i="79" s="1"/>
  <c r="Z59" i="79" s="1"/>
  <c r="AN59" i="79" s="1"/>
  <c r="F55" i="118"/>
  <c r="P55" i="79" s="1"/>
  <c r="Z55" i="79" s="1"/>
  <c r="AN55" i="79" s="1"/>
  <c r="F51" i="118"/>
  <c r="P51" i="79" s="1"/>
  <c r="Z51" i="79" s="1"/>
  <c r="AN51" i="79" s="1"/>
  <c r="F39" i="118"/>
  <c r="P39" i="79" s="1"/>
  <c r="Z39" i="79" s="1"/>
  <c r="AN39" i="79" s="1"/>
  <c r="F99" i="118"/>
  <c r="P99" i="79" s="1"/>
  <c r="Z99" i="79" s="1"/>
  <c r="AN99" i="79" s="1"/>
  <c r="F91" i="118"/>
  <c r="P91" i="79" s="1"/>
  <c r="Z91" i="79" s="1"/>
  <c r="AN91" i="79" s="1"/>
  <c r="F87" i="118"/>
  <c r="P87" i="79" s="1"/>
  <c r="Z87" i="79" s="1"/>
  <c r="AN87" i="79" s="1"/>
  <c r="F83" i="118"/>
  <c r="P83" i="79" s="1"/>
  <c r="Z83" i="79" s="1"/>
  <c r="AN83" i="79" s="1"/>
  <c r="F67" i="118"/>
  <c r="P67" i="79" s="1"/>
  <c r="Z67" i="79" s="1"/>
  <c r="AN67" i="79" s="1"/>
  <c r="F63" i="118"/>
  <c r="P63" i="79" s="1"/>
  <c r="Z63" i="79" s="1"/>
  <c r="AN63" i="79" s="1"/>
  <c r="F47" i="118"/>
  <c r="P47" i="79" s="1"/>
  <c r="Z47" i="79" s="1"/>
  <c r="AN47" i="79" s="1"/>
  <c r="F95" i="118"/>
  <c r="P95" i="79" s="1"/>
  <c r="Z95" i="79" s="1"/>
  <c r="AN95" i="79" s="1"/>
  <c r="F100" i="118"/>
  <c r="P100" i="79" s="1"/>
  <c r="Z100" i="79" s="1"/>
  <c r="AN100" i="79" s="1"/>
  <c r="F124" i="118"/>
  <c r="P124" i="79" s="1"/>
  <c r="Z124" i="79" s="1"/>
  <c r="AN124" i="79" s="1"/>
  <c r="F123" i="118"/>
  <c r="P123" i="79" s="1"/>
  <c r="Z123" i="79" s="1"/>
  <c r="AN123" i="79" s="1"/>
  <c r="F122" i="118"/>
  <c r="P122" i="79" s="1"/>
  <c r="Z122" i="79" s="1"/>
  <c r="AN122" i="79" s="1"/>
  <c r="F88" i="118"/>
  <c r="P88" i="79" s="1"/>
  <c r="Z88" i="79" s="1"/>
  <c r="AN88" i="79" s="1"/>
  <c r="F84" i="118"/>
  <c r="P84" i="79" s="1"/>
  <c r="Z84" i="79" s="1"/>
  <c r="AN84" i="79" s="1"/>
  <c r="F116" i="118"/>
  <c r="P116" i="79" s="1"/>
  <c r="Z116" i="79" s="1"/>
  <c r="AN116" i="79" s="1"/>
  <c r="F114" i="118"/>
  <c r="P114" i="79" s="1"/>
  <c r="Z114" i="79" s="1"/>
  <c r="AN114" i="79" s="1"/>
  <c r="F64" i="118"/>
  <c r="P64" i="79" s="1"/>
  <c r="Z64" i="79" s="1"/>
  <c r="AN64" i="79" s="1"/>
  <c r="F112" i="118"/>
  <c r="P112" i="79" s="1"/>
  <c r="Z112" i="79" s="1"/>
  <c r="AN112" i="79" s="1"/>
  <c r="F48" i="118"/>
  <c r="P48" i="79" s="1"/>
  <c r="Z48" i="79" s="1"/>
  <c r="AN48" i="79" s="1"/>
  <c r="F36" i="118"/>
  <c r="P36" i="79" s="1"/>
  <c r="Z36" i="79" s="1"/>
  <c r="AN36" i="79" s="1"/>
  <c r="F32" i="118"/>
  <c r="P32" i="79" s="1"/>
  <c r="Z32" i="79" s="1"/>
  <c r="AN32" i="79" s="1"/>
  <c r="F104" i="118"/>
  <c r="P104" i="79" s="1"/>
  <c r="Z104" i="79" s="1"/>
  <c r="AN104" i="79" s="1"/>
  <c r="F23" i="118"/>
  <c r="P23" i="79" s="1"/>
  <c r="Z23" i="79" s="1"/>
  <c r="AN23" i="79" s="1"/>
  <c r="F19" i="118"/>
  <c r="P19" i="79" s="1"/>
  <c r="Z19" i="79" s="1"/>
  <c r="AN19" i="79" s="1"/>
  <c r="F16" i="118"/>
  <c r="P16" i="79" s="1"/>
  <c r="Z16" i="79" s="1"/>
  <c r="AN16" i="79" s="1"/>
  <c r="F12" i="118"/>
  <c r="P12" i="79" s="1"/>
  <c r="Z12" i="79" s="1"/>
  <c r="AN12" i="79" s="1"/>
  <c r="F8" i="118"/>
  <c r="P8" i="79" s="1"/>
  <c r="Z8" i="79" s="1"/>
  <c r="AN8" i="79" s="1"/>
  <c r="F96" i="118"/>
  <c r="P96" i="79" s="1"/>
  <c r="Z96" i="79" s="1"/>
  <c r="AN96" i="79" s="1"/>
  <c r="F80" i="118"/>
  <c r="P80" i="79" s="1"/>
  <c r="Z80" i="79" s="1"/>
  <c r="AN80" i="79" s="1"/>
  <c r="F68" i="118"/>
  <c r="P68" i="79" s="1"/>
  <c r="Z68" i="79" s="1"/>
  <c r="AN68" i="79" s="1"/>
  <c r="F92" i="118"/>
  <c r="P92" i="79" s="1"/>
  <c r="Z92" i="79" s="1"/>
  <c r="AN92" i="79" s="1"/>
  <c r="F76" i="118"/>
  <c r="P76" i="79" s="1"/>
  <c r="Z76" i="79" s="1"/>
  <c r="AN76" i="79" s="1"/>
  <c r="F60" i="118"/>
  <c r="P60" i="79" s="1"/>
  <c r="Z60" i="79" s="1"/>
  <c r="AN60" i="79" s="1"/>
  <c r="F56" i="118"/>
  <c r="P56" i="79" s="1"/>
  <c r="Z56" i="79" s="1"/>
  <c r="AN56" i="79" s="1"/>
  <c r="F52" i="118"/>
  <c r="P52" i="79" s="1"/>
  <c r="Z52" i="79" s="1"/>
  <c r="AN52" i="79" s="1"/>
  <c r="F24" i="118"/>
  <c r="P24" i="79" s="1"/>
  <c r="Z24" i="79" s="1"/>
  <c r="AN24" i="79" s="1"/>
  <c r="F20" i="118"/>
  <c r="P20" i="79" s="1"/>
  <c r="Z20" i="79" s="1"/>
  <c r="AN20" i="79" s="1"/>
  <c r="F35" i="118"/>
  <c r="P35" i="79" s="1"/>
  <c r="Z35" i="79" s="1"/>
  <c r="AN35" i="79" s="1"/>
  <c r="F31" i="118"/>
  <c r="P31" i="79" s="1"/>
  <c r="Z31" i="79" s="1"/>
  <c r="AN31" i="79" s="1"/>
  <c r="F97" i="118"/>
  <c r="P97" i="79" s="1"/>
  <c r="Z97" i="79" s="1"/>
  <c r="AN97" i="79" s="1"/>
  <c r="F120" i="118"/>
  <c r="P120" i="79" s="1"/>
  <c r="Z120" i="79" s="1"/>
  <c r="AN120" i="79" s="1"/>
  <c r="F118" i="118"/>
  <c r="P118" i="79" s="1"/>
  <c r="Z118" i="79" s="1"/>
  <c r="AN118" i="79" s="1"/>
  <c r="F69" i="118"/>
  <c r="P69" i="79" s="1"/>
  <c r="Z69" i="79" s="1"/>
  <c r="AN69" i="79" s="1"/>
  <c r="F61" i="118"/>
  <c r="P61" i="79" s="1"/>
  <c r="Z61" i="79" s="1"/>
  <c r="AN61" i="79" s="1"/>
  <c r="F110" i="118"/>
  <c r="P110" i="79" s="1"/>
  <c r="Z110" i="79" s="1"/>
  <c r="AN110" i="79" s="1"/>
  <c r="F103" i="118"/>
  <c r="P103" i="79" s="1"/>
  <c r="Z103" i="79" s="1"/>
  <c r="AN103" i="79" s="1"/>
  <c r="F15" i="118"/>
  <c r="P15" i="79" s="1"/>
  <c r="Z15" i="79" s="1"/>
  <c r="AN15" i="79" s="1"/>
  <c r="F11" i="118"/>
  <c r="P11" i="79" s="1"/>
  <c r="Z11" i="79" s="1"/>
  <c r="AN11" i="79" s="1"/>
  <c r="F101" i="118"/>
  <c r="P101" i="79" s="1"/>
  <c r="Z101" i="79" s="1"/>
  <c r="AN101" i="79" s="1"/>
  <c r="F29" i="118"/>
  <c r="P29" i="79" s="1"/>
  <c r="Z29" i="79" s="1"/>
  <c r="AN29" i="79" s="1"/>
  <c r="F93" i="118"/>
  <c r="P93" i="79" s="1"/>
  <c r="Z93" i="79" s="1"/>
  <c r="AN93" i="79" s="1"/>
  <c r="F77" i="118"/>
  <c r="P77" i="79" s="1"/>
  <c r="Z77" i="79" s="1"/>
  <c r="AN77" i="79" s="1"/>
  <c r="F111" i="118"/>
  <c r="P111" i="79" s="1"/>
  <c r="Z111" i="79" s="1"/>
  <c r="AN111" i="79" s="1"/>
  <c r="F57" i="118"/>
  <c r="P57" i="79" s="1"/>
  <c r="Z57" i="79" s="1"/>
  <c r="AN57" i="79" s="1"/>
  <c r="F53" i="118"/>
  <c r="P53" i="79" s="1"/>
  <c r="Z53" i="79" s="1"/>
  <c r="AN53" i="79" s="1"/>
  <c r="F109" i="118"/>
  <c r="P109" i="79" s="1"/>
  <c r="Z109" i="79" s="1"/>
  <c r="AN109" i="79" s="1"/>
  <c r="F108" i="118"/>
  <c r="P108" i="79" s="1"/>
  <c r="Z108" i="79" s="1"/>
  <c r="AN108" i="79" s="1"/>
  <c r="F106" i="118"/>
  <c r="P106" i="79" s="1"/>
  <c r="Z106" i="79" s="1"/>
  <c r="AN106" i="79" s="1"/>
  <c r="F105" i="118"/>
  <c r="P105" i="79" s="1"/>
  <c r="Z105" i="79" s="1"/>
  <c r="AN105" i="79" s="1"/>
  <c r="F25" i="118"/>
  <c r="P25" i="79" s="1"/>
  <c r="Z25" i="79" s="1"/>
  <c r="AN25" i="79" s="1"/>
  <c r="F21" i="118"/>
  <c r="P21" i="79" s="1"/>
  <c r="Z21" i="79" s="1"/>
  <c r="AN21" i="79" s="1"/>
  <c r="F102" i="118"/>
  <c r="P102" i="79" s="1"/>
  <c r="Z102" i="79" s="1"/>
  <c r="AN102" i="79" s="1"/>
  <c r="F125" i="118"/>
  <c r="P125" i="79" s="1"/>
  <c r="Z125" i="79" s="1"/>
  <c r="AN125" i="79" s="1"/>
  <c r="F89" i="118"/>
  <c r="P89" i="79" s="1"/>
  <c r="Z89" i="79" s="1"/>
  <c r="AN89" i="79" s="1"/>
  <c r="F85" i="118"/>
  <c r="P85" i="79" s="1"/>
  <c r="Z85" i="79" s="1"/>
  <c r="AN85" i="79" s="1"/>
  <c r="F121" i="118"/>
  <c r="P121" i="79" s="1"/>
  <c r="Z121" i="79" s="1"/>
  <c r="AN121" i="79" s="1"/>
  <c r="F119" i="118"/>
  <c r="P119" i="79" s="1"/>
  <c r="Z119" i="79" s="1"/>
  <c r="AN119" i="79" s="1"/>
  <c r="F117" i="118"/>
  <c r="P117" i="79" s="1"/>
  <c r="Z117" i="79" s="1"/>
  <c r="AN117" i="79" s="1"/>
  <c r="F115" i="118"/>
  <c r="P115" i="79" s="1"/>
  <c r="Z115" i="79" s="1"/>
  <c r="AN115" i="79" s="1"/>
  <c r="F65" i="118"/>
  <c r="P65" i="79" s="1"/>
  <c r="Z65" i="79" s="1"/>
  <c r="AN65" i="79" s="1"/>
  <c r="F113" i="118"/>
  <c r="P113" i="79" s="1"/>
  <c r="Z113" i="79" s="1"/>
  <c r="AN113" i="79" s="1"/>
  <c r="F49" i="118"/>
  <c r="P49" i="79" s="1"/>
  <c r="Z49" i="79" s="1"/>
  <c r="AN49" i="79" s="1"/>
  <c r="F107" i="118"/>
  <c r="P107" i="79" s="1"/>
  <c r="Z107" i="79" s="1"/>
  <c r="AN107" i="79" s="1"/>
  <c r="F37" i="118"/>
  <c r="P37" i="79" s="1"/>
  <c r="Z37" i="79" s="1"/>
  <c r="AN37" i="79" s="1"/>
  <c r="F33" i="118"/>
  <c r="P33" i="79" s="1"/>
  <c r="Z33" i="79" s="1"/>
  <c r="AN33" i="79" s="1"/>
  <c r="F17" i="118"/>
  <c r="P17" i="79" s="1"/>
  <c r="Z17" i="79" s="1"/>
  <c r="AN17" i="79" s="1"/>
  <c r="F13" i="118"/>
  <c r="P13" i="79" s="1"/>
  <c r="Z13" i="79" s="1"/>
  <c r="AN13" i="79" s="1"/>
  <c r="F9" i="118"/>
  <c r="P9" i="79" s="1"/>
  <c r="Z9" i="79" s="1"/>
  <c r="AN9" i="79" s="1"/>
  <c r="AY130" i="24"/>
  <c r="AY129" i="24"/>
  <c r="AY128" i="24"/>
  <c r="AY127" i="24"/>
  <c r="AY126" i="24"/>
  <c r="AY99" i="24"/>
  <c r="AY98" i="24"/>
  <c r="AY97" i="24"/>
  <c r="AY124" i="24"/>
  <c r="AY123" i="24"/>
  <c r="AY96" i="24"/>
  <c r="AY95" i="24"/>
  <c r="AY94" i="24"/>
  <c r="AY122" i="24"/>
  <c r="AY93" i="24"/>
  <c r="AY92" i="24"/>
  <c r="AY91" i="24"/>
  <c r="AY121" i="24"/>
  <c r="AY90" i="24"/>
  <c r="AY89" i="24"/>
  <c r="AY88" i="24"/>
  <c r="AY87" i="24"/>
  <c r="AY86" i="24"/>
  <c r="AY85" i="24"/>
  <c r="AY84" i="24"/>
  <c r="AY83" i="24"/>
  <c r="AY82" i="24"/>
  <c r="AY81" i="24"/>
  <c r="AY120" i="24"/>
  <c r="AY80" i="24"/>
  <c r="AY119" i="24"/>
  <c r="AY79" i="24"/>
  <c r="AY118" i="24"/>
  <c r="AY78" i="24"/>
  <c r="AY77" i="24"/>
  <c r="AY76" i="24"/>
  <c r="AY75" i="24"/>
  <c r="AY74" i="24"/>
  <c r="AY117" i="24"/>
  <c r="AY73" i="24"/>
  <c r="AY116" i="24"/>
  <c r="AY72" i="24"/>
  <c r="AY71" i="24"/>
  <c r="AY70" i="24"/>
  <c r="AY69" i="24"/>
  <c r="AY115" i="24"/>
  <c r="AY68" i="24"/>
  <c r="AY67" i="24"/>
  <c r="AY114" i="24"/>
  <c r="AY113" i="24"/>
  <c r="AY66" i="24"/>
  <c r="AY65" i="24"/>
  <c r="AY64" i="24"/>
  <c r="AY63" i="24"/>
  <c r="AY62" i="24"/>
  <c r="AY61" i="24"/>
  <c r="AY112" i="24"/>
  <c r="AY111" i="24"/>
  <c r="AY60" i="24"/>
  <c r="AY110" i="24"/>
  <c r="AY59" i="24"/>
  <c r="AY58" i="24"/>
  <c r="AY57" i="24"/>
  <c r="AY56" i="24"/>
  <c r="AY55" i="24"/>
  <c r="AY54" i="24"/>
  <c r="AY53" i="24"/>
  <c r="AY52" i="24"/>
  <c r="AY51" i="24"/>
  <c r="AY50" i="24"/>
  <c r="AY109" i="24"/>
  <c r="AY49" i="24"/>
  <c r="AY48" i="24"/>
  <c r="AY47" i="24"/>
  <c r="AY46" i="24"/>
  <c r="AY108" i="24"/>
  <c r="AY45" i="24"/>
  <c r="AY44" i="24"/>
  <c r="AY43" i="24"/>
  <c r="AY42" i="24"/>
  <c r="AY41" i="24"/>
  <c r="AY40" i="24"/>
  <c r="AY39" i="24"/>
  <c r="AY107" i="24"/>
  <c r="AY106" i="24"/>
  <c r="AY38" i="24"/>
  <c r="AY37" i="24"/>
  <c r="AY105" i="24"/>
  <c r="AY36" i="24"/>
  <c r="AY35" i="24"/>
  <c r="AY34" i="24"/>
  <c r="AY33" i="24"/>
  <c r="AY32" i="24"/>
  <c r="AY31" i="24"/>
  <c r="AY30" i="24"/>
  <c r="AY104" i="24"/>
  <c r="AY29" i="24"/>
  <c r="AY28" i="24"/>
  <c r="AY27" i="24"/>
  <c r="AY26" i="24"/>
  <c r="AY25" i="24"/>
  <c r="AY103" i="24"/>
  <c r="AY102" i="24"/>
  <c r="AY24" i="24"/>
  <c r="AY23" i="24"/>
  <c r="AY22" i="24"/>
  <c r="AY21" i="24"/>
  <c r="AY20" i="24"/>
  <c r="AY19" i="24"/>
  <c r="AY18" i="24"/>
  <c r="AY17" i="24"/>
  <c r="AY101" i="24"/>
  <c r="AY16" i="24"/>
  <c r="AY15" i="24"/>
  <c r="AY14" i="24"/>
  <c r="AY13" i="24"/>
  <c r="AY12" i="24"/>
  <c r="AY11" i="24"/>
  <c r="AY10" i="24"/>
  <c r="AY9" i="24"/>
  <c r="AY8" i="24"/>
  <c r="AY7" i="24"/>
  <c r="AY100" i="24"/>
  <c r="AY6" i="24"/>
  <c r="AY5" i="24"/>
  <c r="AX4" i="24"/>
  <c r="AW4" i="24"/>
  <c r="AY4" i="24" l="1"/>
  <c r="F52" i="1" s="1"/>
  <c r="H4" i="115"/>
  <c r="G4" i="115"/>
  <c r="E4" i="115"/>
  <c r="D4" i="115"/>
  <c r="F4" i="115" l="1"/>
  <c r="AC99" i="92" l="1"/>
  <c r="AC98" i="92"/>
  <c r="AC97" i="92"/>
  <c r="AC124" i="92"/>
  <c r="AC123" i="92"/>
  <c r="AC96" i="92"/>
  <c r="AC95" i="92"/>
  <c r="AC94" i="92"/>
  <c r="AC122" i="92"/>
  <c r="AC93" i="92"/>
  <c r="AC92" i="92"/>
  <c r="AC91" i="92"/>
  <c r="AC121" i="92"/>
  <c r="AC90" i="92"/>
  <c r="AC89" i="92"/>
  <c r="AC88" i="92"/>
  <c r="AC87" i="92"/>
  <c r="AC86" i="92"/>
  <c r="AC85" i="92"/>
  <c r="AC84" i="92"/>
  <c r="AC83" i="92"/>
  <c r="AC82" i="92"/>
  <c r="AC81" i="92"/>
  <c r="AC120" i="92"/>
  <c r="AC80" i="92"/>
  <c r="AC119" i="92"/>
  <c r="AC79" i="92"/>
  <c r="AC118" i="92"/>
  <c r="AC78" i="92"/>
  <c r="AC77" i="92"/>
  <c r="AC76" i="92"/>
  <c r="AC75" i="92"/>
  <c r="AC74" i="92"/>
  <c r="AC117" i="92"/>
  <c r="AC73" i="92"/>
  <c r="AC116" i="92"/>
  <c r="AC72" i="92"/>
  <c r="AC71" i="92"/>
  <c r="AC70" i="92"/>
  <c r="AC69" i="92"/>
  <c r="AC115" i="92"/>
  <c r="AC68" i="92"/>
  <c r="AC67" i="92"/>
  <c r="AC114" i="92"/>
  <c r="AC113" i="92"/>
  <c r="AC66" i="92"/>
  <c r="AC65" i="92"/>
  <c r="AC64" i="92"/>
  <c r="AC63" i="92"/>
  <c r="AC62" i="92"/>
  <c r="AC61" i="92"/>
  <c r="AC112" i="92"/>
  <c r="AC111" i="92"/>
  <c r="AC60" i="92"/>
  <c r="AC110" i="92"/>
  <c r="AC59" i="92"/>
  <c r="AC58" i="92"/>
  <c r="AC57" i="92"/>
  <c r="AC56" i="92"/>
  <c r="AC55" i="92"/>
  <c r="AC54" i="92"/>
  <c r="AC53" i="92"/>
  <c r="AC52" i="92"/>
  <c r="AC51" i="92"/>
  <c r="AC50" i="92"/>
  <c r="AC109" i="92"/>
  <c r="AC49" i="92"/>
  <c r="AC48" i="92"/>
  <c r="AC47" i="92"/>
  <c r="AC46" i="92"/>
  <c r="AC108" i="92"/>
  <c r="AC45" i="92"/>
  <c r="AC44" i="92"/>
  <c r="AC43" i="92"/>
  <c r="AC42" i="92"/>
  <c r="AC41" i="92"/>
  <c r="AC40" i="92"/>
  <c r="AC39" i="92"/>
  <c r="AC107" i="92"/>
  <c r="AC106" i="92"/>
  <c r="AC38" i="92"/>
  <c r="AC37" i="92"/>
  <c r="AC105" i="92"/>
  <c r="AC36" i="92"/>
  <c r="AC35" i="92"/>
  <c r="AC34" i="92"/>
  <c r="AC33" i="92"/>
  <c r="AC32" i="92"/>
  <c r="AC31" i="92"/>
  <c r="AC30" i="92"/>
  <c r="AC104" i="92"/>
  <c r="AC29" i="92"/>
  <c r="AC28" i="92"/>
  <c r="AC27" i="92"/>
  <c r="AC26" i="92"/>
  <c r="AC25" i="92"/>
  <c r="AC103" i="92"/>
  <c r="AC102" i="92"/>
  <c r="AC24" i="92"/>
  <c r="AC23" i="92"/>
  <c r="AC22" i="92"/>
  <c r="AC21" i="92"/>
  <c r="AC20" i="92"/>
  <c r="AC19" i="92"/>
  <c r="AC18" i="92"/>
  <c r="AC17" i="92"/>
  <c r="AC101" i="92"/>
  <c r="AC16" i="92"/>
  <c r="AC15" i="92"/>
  <c r="AC14" i="92"/>
  <c r="AC13" i="92"/>
  <c r="AC12" i="92"/>
  <c r="AC11" i="92"/>
  <c r="AC10" i="92"/>
  <c r="AC9" i="92"/>
  <c r="AC8" i="92"/>
  <c r="AC7" i="92"/>
  <c r="AC100" i="92"/>
  <c r="AC6" i="92"/>
  <c r="AC5" i="92"/>
  <c r="AA4" i="92"/>
  <c r="Z4" i="92"/>
  <c r="Y4" i="92"/>
  <c r="O100" i="6"/>
  <c r="O99" i="6"/>
  <c r="O98" i="6"/>
  <c r="O125" i="6"/>
  <c r="O124" i="6"/>
  <c r="O97" i="6"/>
  <c r="O96" i="6"/>
  <c r="O95" i="6"/>
  <c r="O123" i="6"/>
  <c r="O94" i="6"/>
  <c r="O93" i="6"/>
  <c r="O92" i="6"/>
  <c r="O122" i="6"/>
  <c r="O91" i="6"/>
  <c r="O90" i="6"/>
  <c r="O89" i="6"/>
  <c r="O88" i="6"/>
  <c r="O87" i="6"/>
  <c r="O86" i="6"/>
  <c r="O85" i="6"/>
  <c r="O84" i="6"/>
  <c r="O83" i="6"/>
  <c r="O82" i="6"/>
  <c r="O121" i="6"/>
  <c r="O81" i="6"/>
  <c r="O120" i="6"/>
  <c r="O80" i="6"/>
  <c r="O119" i="6"/>
  <c r="O79" i="6"/>
  <c r="O78" i="6"/>
  <c r="O77" i="6"/>
  <c r="O76" i="6"/>
  <c r="O75" i="6"/>
  <c r="O118" i="6"/>
  <c r="O74" i="6"/>
  <c r="O117" i="6"/>
  <c r="O73" i="6"/>
  <c r="O72" i="6"/>
  <c r="O71" i="6"/>
  <c r="O70" i="6"/>
  <c r="O116" i="6"/>
  <c r="O69" i="6"/>
  <c r="O68" i="6"/>
  <c r="O115" i="6"/>
  <c r="O114" i="6"/>
  <c r="O67" i="6"/>
  <c r="O66" i="6"/>
  <c r="O65" i="6"/>
  <c r="O64" i="6"/>
  <c r="O63" i="6"/>
  <c r="O62" i="6"/>
  <c r="O113" i="6"/>
  <c r="O112" i="6"/>
  <c r="O61" i="6"/>
  <c r="O111" i="6"/>
  <c r="O60" i="6"/>
  <c r="O59" i="6"/>
  <c r="O58" i="6"/>
  <c r="O57" i="6"/>
  <c r="O56" i="6"/>
  <c r="O55" i="6"/>
  <c r="O54" i="6"/>
  <c r="O53" i="6"/>
  <c r="O52" i="6"/>
  <c r="O51" i="6"/>
  <c r="O110" i="6"/>
  <c r="O50" i="6"/>
  <c r="O49" i="6"/>
  <c r="O48" i="6"/>
  <c r="O47" i="6"/>
  <c r="O109" i="6"/>
  <c r="O46" i="6"/>
  <c r="O45" i="6"/>
  <c r="O44" i="6"/>
  <c r="O43" i="6"/>
  <c r="O42" i="6"/>
  <c r="O41" i="6"/>
  <c r="O40" i="6"/>
  <c r="O108" i="6"/>
  <c r="O107" i="6"/>
  <c r="O39" i="6"/>
  <c r="O38" i="6"/>
  <c r="O106" i="6"/>
  <c r="O37" i="6"/>
  <c r="O36" i="6"/>
  <c r="O35" i="6"/>
  <c r="O34" i="6"/>
  <c r="O33" i="6"/>
  <c r="O32" i="6"/>
  <c r="O31" i="6"/>
  <c r="O105" i="6"/>
  <c r="O30" i="6"/>
  <c r="O29" i="6"/>
  <c r="O28" i="6"/>
  <c r="O27" i="6"/>
  <c r="O26" i="6"/>
  <c r="O104" i="6"/>
  <c r="O103" i="6"/>
  <c r="O25" i="6"/>
  <c r="O24" i="6"/>
  <c r="O23" i="6"/>
  <c r="O22" i="6"/>
  <c r="O21" i="6"/>
  <c r="O20" i="6"/>
  <c r="O19" i="6"/>
  <c r="O18" i="6"/>
  <c r="O102" i="6"/>
  <c r="O17" i="6"/>
  <c r="O16" i="6"/>
  <c r="O15" i="6"/>
  <c r="O14" i="6"/>
  <c r="O13" i="6"/>
  <c r="O12" i="6"/>
  <c r="O11" i="6"/>
  <c r="O10" i="6"/>
  <c r="O9" i="6"/>
  <c r="O8" i="6"/>
  <c r="O101" i="6"/>
  <c r="O7" i="6"/>
  <c r="O6" i="6"/>
  <c r="H5" i="6"/>
  <c r="S99" i="92"/>
  <c r="S98" i="92"/>
  <c r="S97" i="92"/>
  <c r="S124" i="92"/>
  <c r="S123" i="92"/>
  <c r="S96" i="92"/>
  <c r="S95" i="92"/>
  <c r="S94" i="92"/>
  <c r="S122" i="92"/>
  <c r="S93" i="92"/>
  <c r="S92" i="92"/>
  <c r="S91" i="92"/>
  <c r="S121" i="92"/>
  <c r="S90" i="92"/>
  <c r="S89" i="92"/>
  <c r="S88" i="92"/>
  <c r="S87" i="92"/>
  <c r="S86" i="92"/>
  <c r="S85" i="92"/>
  <c r="S84" i="92"/>
  <c r="S83" i="92"/>
  <c r="S82" i="92"/>
  <c r="S81" i="92"/>
  <c r="S120" i="92"/>
  <c r="S80" i="92"/>
  <c r="S119" i="92"/>
  <c r="S79" i="92"/>
  <c r="S118" i="92"/>
  <c r="S78" i="92"/>
  <c r="S77" i="92"/>
  <c r="S76" i="92"/>
  <c r="S75" i="92"/>
  <c r="S74" i="92"/>
  <c r="S117" i="92"/>
  <c r="S73" i="92"/>
  <c r="S116" i="92"/>
  <c r="S72" i="92"/>
  <c r="S71" i="92"/>
  <c r="S70" i="92"/>
  <c r="S69" i="92"/>
  <c r="S115" i="92"/>
  <c r="S68" i="92"/>
  <c r="S67" i="92"/>
  <c r="S114" i="92"/>
  <c r="S113" i="92"/>
  <c r="S66" i="92"/>
  <c r="S65" i="92"/>
  <c r="S64" i="92"/>
  <c r="S63" i="92"/>
  <c r="S62" i="92"/>
  <c r="S61" i="92"/>
  <c r="S112" i="92"/>
  <c r="S111" i="92"/>
  <c r="S60" i="92"/>
  <c r="S110" i="92"/>
  <c r="S59" i="92"/>
  <c r="S58" i="92"/>
  <c r="S57" i="92"/>
  <c r="S56" i="92"/>
  <c r="S55" i="92"/>
  <c r="S54" i="92"/>
  <c r="S53" i="92"/>
  <c r="S52" i="92"/>
  <c r="S51" i="92"/>
  <c r="S50" i="92"/>
  <c r="S109" i="92"/>
  <c r="S49" i="92"/>
  <c r="S48" i="92"/>
  <c r="S47" i="92"/>
  <c r="S46" i="92"/>
  <c r="S108" i="92"/>
  <c r="S45" i="92"/>
  <c r="S44" i="92"/>
  <c r="S43" i="92"/>
  <c r="S42" i="92"/>
  <c r="S41" i="92"/>
  <c r="S40" i="92"/>
  <c r="S39" i="92"/>
  <c r="S107" i="92"/>
  <c r="S106" i="92"/>
  <c r="S38" i="92"/>
  <c r="S37" i="92"/>
  <c r="S105" i="92"/>
  <c r="S36" i="92"/>
  <c r="S35" i="92"/>
  <c r="S34" i="92"/>
  <c r="S33" i="92"/>
  <c r="S32" i="92"/>
  <c r="S31" i="92"/>
  <c r="S30" i="92"/>
  <c r="S104" i="92"/>
  <c r="S29" i="92"/>
  <c r="S28" i="92"/>
  <c r="S27" i="92"/>
  <c r="S26" i="92"/>
  <c r="S25" i="92"/>
  <c r="S103" i="92"/>
  <c r="S102" i="92"/>
  <c r="S24" i="92"/>
  <c r="S23" i="92"/>
  <c r="S22" i="92"/>
  <c r="S21" i="92"/>
  <c r="S20" i="92"/>
  <c r="S19" i="92"/>
  <c r="S18" i="92"/>
  <c r="S17" i="92"/>
  <c r="S101" i="92"/>
  <c r="S16" i="92"/>
  <c r="S15" i="92"/>
  <c r="S14" i="92"/>
  <c r="S13" i="92"/>
  <c r="S12" i="92"/>
  <c r="S11" i="92"/>
  <c r="S10" i="92"/>
  <c r="S9" i="92"/>
  <c r="S8" i="92"/>
  <c r="S7" i="92"/>
  <c r="S100" i="92"/>
  <c r="S6" i="92"/>
  <c r="S5" i="92"/>
  <c r="M124" i="122"/>
  <c r="M123" i="122"/>
  <c r="M122" i="122"/>
  <c r="M121" i="122"/>
  <c r="M120" i="122"/>
  <c r="M119" i="122"/>
  <c r="M118" i="122"/>
  <c r="M117" i="122"/>
  <c r="M116" i="122"/>
  <c r="M115" i="122"/>
  <c r="M114" i="122"/>
  <c r="M113" i="122"/>
  <c r="M112" i="122"/>
  <c r="M111" i="122"/>
  <c r="M110" i="122"/>
  <c r="M109" i="122"/>
  <c r="M108" i="122"/>
  <c r="M107" i="122"/>
  <c r="M106" i="122"/>
  <c r="M105" i="122"/>
  <c r="M104" i="122"/>
  <c r="M103" i="122"/>
  <c r="M102" i="122"/>
  <c r="M101" i="122"/>
  <c r="M100" i="122"/>
  <c r="M99" i="122"/>
  <c r="M98" i="122"/>
  <c r="M97" i="122"/>
  <c r="M96" i="122"/>
  <c r="M95" i="122"/>
  <c r="M94" i="122"/>
  <c r="M93" i="122"/>
  <c r="M92" i="122"/>
  <c r="M91" i="122"/>
  <c r="M90" i="122"/>
  <c r="M89" i="122"/>
  <c r="M88" i="122"/>
  <c r="M87" i="122"/>
  <c r="M86" i="122"/>
  <c r="M85" i="122"/>
  <c r="M84" i="122"/>
  <c r="M83" i="122"/>
  <c r="M82" i="122"/>
  <c r="M81" i="122"/>
  <c r="M80" i="122"/>
  <c r="M79" i="122"/>
  <c r="M78" i="122"/>
  <c r="M77" i="122"/>
  <c r="M76" i="122"/>
  <c r="M75" i="122"/>
  <c r="M74" i="122"/>
  <c r="M73" i="122"/>
  <c r="M72" i="122"/>
  <c r="M71" i="122"/>
  <c r="M70" i="122"/>
  <c r="M69" i="122"/>
  <c r="M68" i="122"/>
  <c r="M67" i="122"/>
  <c r="M66" i="122"/>
  <c r="M65" i="122"/>
  <c r="M64" i="122"/>
  <c r="M63" i="122"/>
  <c r="M62" i="122"/>
  <c r="M61" i="122"/>
  <c r="M60" i="122"/>
  <c r="M59" i="122"/>
  <c r="M58" i="122"/>
  <c r="M57" i="122"/>
  <c r="M56" i="122"/>
  <c r="M55" i="122"/>
  <c r="M54" i="122"/>
  <c r="M53" i="122"/>
  <c r="M52" i="122"/>
  <c r="M51" i="122"/>
  <c r="M50" i="122"/>
  <c r="M49" i="122"/>
  <c r="M48" i="122"/>
  <c r="M47" i="122"/>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10" i="122"/>
  <c r="M9" i="122"/>
  <c r="M8" i="122"/>
  <c r="M7" i="122"/>
  <c r="M6" i="122"/>
  <c r="M5" i="122"/>
  <c r="D124" i="122"/>
  <c r="D123" i="122"/>
  <c r="D122" i="122"/>
  <c r="D121" i="122"/>
  <c r="D120" i="122"/>
  <c r="D119" i="122"/>
  <c r="D118" i="122"/>
  <c r="D117" i="122"/>
  <c r="D116" i="122"/>
  <c r="D115" i="122"/>
  <c r="D114" i="122"/>
  <c r="D113" i="122"/>
  <c r="D112" i="122"/>
  <c r="D111" i="122"/>
  <c r="D110" i="122"/>
  <c r="D109" i="122"/>
  <c r="D108" i="122"/>
  <c r="D107" i="122"/>
  <c r="D106" i="122"/>
  <c r="D105" i="122"/>
  <c r="D104" i="122"/>
  <c r="D103" i="122"/>
  <c r="D102" i="122"/>
  <c r="D101" i="122"/>
  <c r="D100" i="122"/>
  <c r="D99" i="122"/>
  <c r="D98" i="122"/>
  <c r="D97" i="122"/>
  <c r="D96" i="122"/>
  <c r="D95" i="122"/>
  <c r="D94" i="122"/>
  <c r="D93" i="122"/>
  <c r="D92" i="122"/>
  <c r="D91" i="122"/>
  <c r="D90" i="122"/>
  <c r="D89" i="122"/>
  <c r="D88" i="122"/>
  <c r="D87" i="122"/>
  <c r="D86" i="122"/>
  <c r="D85" i="122"/>
  <c r="D84" i="122"/>
  <c r="D83" i="122"/>
  <c r="D82" i="122"/>
  <c r="D81" i="122"/>
  <c r="D80" i="122"/>
  <c r="D79" i="122"/>
  <c r="D78" i="122"/>
  <c r="D77" i="122"/>
  <c r="D76" i="122"/>
  <c r="D75" i="122"/>
  <c r="D74" i="122"/>
  <c r="D73" i="122"/>
  <c r="D72" i="122"/>
  <c r="D71" i="122"/>
  <c r="D70" i="122"/>
  <c r="D69" i="122"/>
  <c r="D68" i="122"/>
  <c r="D67" i="122"/>
  <c r="D66" i="122"/>
  <c r="D65" i="122"/>
  <c r="D64" i="122"/>
  <c r="D63" i="122"/>
  <c r="D62" i="122"/>
  <c r="D61" i="122"/>
  <c r="D60" i="122"/>
  <c r="D59" i="122"/>
  <c r="D58" i="122"/>
  <c r="D57" i="122"/>
  <c r="D56" i="122"/>
  <c r="D55" i="122"/>
  <c r="D54" i="122"/>
  <c r="D53" i="122"/>
  <c r="D52" i="122"/>
  <c r="D51" i="122"/>
  <c r="D50" i="122"/>
  <c r="D49" i="122"/>
  <c r="D48" i="122"/>
  <c r="D47" i="122"/>
  <c r="D46" i="122"/>
  <c r="D45" i="122"/>
  <c r="D44" i="122"/>
  <c r="D43" i="122"/>
  <c r="D42" i="122"/>
  <c r="D41" i="122"/>
  <c r="D40" i="122"/>
  <c r="D39" i="122"/>
  <c r="D38" i="122"/>
  <c r="D37" i="122"/>
  <c r="D36" i="122"/>
  <c r="D35" i="122"/>
  <c r="D34" i="122"/>
  <c r="D33" i="122"/>
  <c r="D32" i="122"/>
  <c r="D31" i="122"/>
  <c r="D30" i="122"/>
  <c r="D29" i="122"/>
  <c r="D28" i="122"/>
  <c r="D27" i="122"/>
  <c r="D26" i="122"/>
  <c r="D25" i="122"/>
  <c r="D24" i="122"/>
  <c r="D23" i="122"/>
  <c r="D22" i="122"/>
  <c r="D21" i="122"/>
  <c r="D20" i="122"/>
  <c r="D19" i="122"/>
  <c r="D18" i="122"/>
  <c r="D17" i="122"/>
  <c r="D16" i="122"/>
  <c r="D15" i="122"/>
  <c r="D14" i="122"/>
  <c r="D13" i="122"/>
  <c r="D12" i="122"/>
  <c r="D11" i="122"/>
  <c r="D10" i="122"/>
  <c r="D9" i="122"/>
  <c r="D8" i="122"/>
  <c r="D7" i="122"/>
  <c r="D6" i="122"/>
  <c r="D5" i="122"/>
  <c r="L99" i="96"/>
  <c r="L98" i="96"/>
  <c r="L97" i="96"/>
  <c r="L124" i="96"/>
  <c r="L123" i="96"/>
  <c r="L96" i="96"/>
  <c r="L95" i="96"/>
  <c r="L94" i="96"/>
  <c r="L122" i="96"/>
  <c r="L93" i="96"/>
  <c r="L92" i="96"/>
  <c r="L91" i="96"/>
  <c r="L121" i="96"/>
  <c r="L90" i="96"/>
  <c r="L89" i="96"/>
  <c r="L88" i="96"/>
  <c r="L87" i="96"/>
  <c r="L86" i="96"/>
  <c r="L85" i="96"/>
  <c r="L84" i="96"/>
  <c r="L83" i="96"/>
  <c r="L82" i="96"/>
  <c r="L81" i="96"/>
  <c r="L120" i="96"/>
  <c r="L80" i="96"/>
  <c r="L119" i="96"/>
  <c r="L79" i="96"/>
  <c r="L118" i="96"/>
  <c r="L78" i="96"/>
  <c r="L77" i="96"/>
  <c r="L76" i="96"/>
  <c r="L75" i="96"/>
  <c r="L74" i="96"/>
  <c r="L117" i="96"/>
  <c r="L73" i="96"/>
  <c r="L116" i="96"/>
  <c r="L72" i="96"/>
  <c r="L71" i="96"/>
  <c r="L70" i="96"/>
  <c r="L69" i="96"/>
  <c r="L115" i="96"/>
  <c r="L68" i="96"/>
  <c r="L67" i="96"/>
  <c r="L114" i="96"/>
  <c r="L113" i="96"/>
  <c r="L66" i="96"/>
  <c r="L65" i="96"/>
  <c r="L64" i="96"/>
  <c r="L63" i="96"/>
  <c r="L62" i="96"/>
  <c r="L61" i="96"/>
  <c r="L112" i="96"/>
  <c r="L111" i="96"/>
  <c r="L60" i="96"/>
  <c r="L110" i="96"/>
  <c r="L59" i="96"/>
  <c r="L58" i="96"/>
  <c r="L57" i="96"/>
  <c r="L56" i="96"/>
  <c r="L55" i="96"/>
  <c r="L54" i="96"/>
  <c r="L53" i="96"/>
  <c r="L52" i="96"/>
  <c r="L51" i="96"/>
  <c r="L50" i="96"/>
  <c r="L109" i="96"/>
  <c r="L49" i="96"/>
  <c r="L48" i="96"/>
  <c r="L47" i="96"/>
  <c r="L46" i="96"/>
  <c r="L108" i="96"/>
  <c r="L45" i="96"/>
  <c r="L44" i="96"/>
  <c r="L43" i="96"/>
  <c r="L42" i="96"/>
  <c r="L41" i="96"/>
  <c r="L40" i="96"/>
  <c r="L39" i="96"/>
  <c r="L107" i="96"/>
  <c r="L106" i="96"/>
  <c r="L38" i="96"/>
  <c r="L37" i="96"/>
  <c r="L105" i="96"/>
  <c r="L36" i="96"/>
  <c r="L35" i="96"/>
  <c r="L34" i="96"/>
  <c r="L33" i="96"/>
  <c r="L32" i="96"/>
  <c r="L31" i="96"/>
  <c r="L30" i="96"/>
  <c r="L104" i="96"/>
  <c r="L29" i="96"/>
  <c r="L28" i="96"/>
  <c r="L27" i="96"/>
  <c r="L26" i="96"/>
  <c r="L25" i="96"/>
  <c r="L103" i="96"/>
  <c r="L102" i="96"/>
  <c r="L24" i="96"/>
  <c r="L23" i="96"/>
  <c r="L22" i="96"/>
  <c r="L21" i="96"/>
  <c r="L20" i="96"/>
  <c r="L19" i="96"/>
  <c r="L18" i="96"/>
  <c r="L17" i="96"/>
  <c r="L101" i="96"/>
  <c r="L16" i="96"/>
  <c r="L15" i="96"/>
  <c r="L14" i="96"/>
  <c r="L13" i="96"/>
  <c r="L12" i="96"/>
  <c r="L11" i="96"/>
  <c r="L10" i="96"/>
  <c r="L9" i="96"/>
  <c r="L8" i="96"/>
  <c r="L7" i="96"/>
  <c r="L100" i="96"/>
  <c r="L6" i="96"/>
  <c r="L5" i="96"/>
  <c r="D99" i="96"/>
  <c r="D98" i="96"/>
  <c r="D97" i="96"/>
  <c r="D124" i="96"/>
  <c r="D123" i="96"/>
  <c r="D96" i="96"/>
  <c r="D95" i="96"/>
  <c r="D94" i="96"/>
  <c r="D122" i="96"/>
  <c r="D93" i="96"/>
  <c r="D92" i="96"/>
  <c r="D91" i="96"/>
  <c r="D121" i="96"/>
  <c r="D90" i="96"/>
  <c r="D89" i="96"/>
  <c r="D88" i="96"/>
  <c r="D87" i="96"/>
  <c r="D86" i="96"/>
  <c r="D85" i="96"/>
  <c r="D84" i="96"/>
  <c r="D83" i="96"/>
  <c r="D82" i="96"/>
  <c r="D81" i="96"/>
  <c r="D120" i="96"/>
  <c r="D80" i="96"/>
  <c r="D119" i="96"/>
  <c r="D79" i="96"/>
  <c r="D118" i="96"/>
  <c r="D78" i="96"/>
  <c r="D77" i="96"/>
  <c r="D76" i="96"/>
  <c r="D75" i="96"/>
  <c r="D74" i="96"/>
  <c r="D117" i="96"/>
  <c r="D73" i="96"/>
  <c r="D116" i="96"/>
  <c r="D72" i="96"/>
  <c r="D71" i="96"/>
  <c r="D70" i="96"/>
  <c r="D69" i="96"/>
  <c r="D115" i="96"/>
  <c r="D68" i="96"/>
  <c r="D67" i="96"/>
  <c r="D114" i="96"/>
  <c r="D113" i="96"/>
  <c r="D66" i="96"/>
  <c r="D65" i="96"/>
  <c r="D64" i="96"/>
  <c r="D63" i="96"/>
  <c r="D62" i="96"/>
  <c r="D61" i="96"/>
  <c r="D112" i="96"/>
  <c r="D111" i="96"/>
  <c r="D60" i="96"/>
  <c r="D110" i="96"/>
  <c r="D59" i="96"/>
  <c r="D58" i="96"/>
  <c r="D57" i="96"/>
  <c r="D56" i="96"/>
  <c r="D55" i="96"/>
  <c r="D54" i="96"/>
  <c r="D53" i="96"/>
  <c r="D52" i="96"/>
  <c r="D51" i="96"/>
  <c r="D50" i="96"/>
  <c r="D109" i="96"/>
  <c r="D49" i="96"/>
  <c r="D48" i="96"/>
  <c r="D47" i="96"/>
  <c r="D46" i="96"/>
  <c r="D108" i="96"/>
  <c r="D45" i="96"/>
  <c r="D44" i="96"/>
  <c r="D43" i="96"/>
  <c r="D42" i="96"/>
  <c r="D41" i="96"/>
  <c r="D40" i="96"/>
  <c r="D39" i="96"/>
  <c r="D107" i="96"/>
  <c r="D106" i="96"/>
  <c r="D38" i="96"/>
  <c r="D37" i="96"/>
  <c r="D105" i="96"/>
  <c r="D36" i="96"/>
  <c r="D35" i="96"/>
  <c r="D34" i="96"/>
  <c r="D33" i="96"/>
  <c r="D32" i="96"/>
  <c r="D31" i="96"/>
  <c r="D30" i="96"/>
  <c r="D104" i="96"/>
  <c r="D29" i="96"/>
  <c r="D28" i="96"/>
  <c r="D27" i="96"/>
  <c r="D26" i="96"/>
  <c r="D25" i="96"/>
  <c r="D103" i="96"/>
  <c r="D102" i="96"/>
  <c r="D24" i="96"/>
  <c r="D23" i="96"/>
  <c r="D22" i="96"/>
  <c r="D21" i="96"/>
  <c r="D20" i="96"/>
  <c r="D19" i="96"/>
  <c r="D18" i="96"/>
  <c r="D17" i="96"/>
  <c r="D101" i="96"/>
  <c r="D16" i="96"/>
  <c r="D15" i="96"/>
  <c r="D14" i="96"/>
  <c r="D13" i="96"/>
  <c r="D12" i="96"/>
  <c r="D11" i="96"/>
  <c r="D10" i="96"/>
  <c r="D9" i="96"/>
  <c r="D8" i="96"/>
  <c r="D7" i="96"/>
  <c r="D100" i="96"/>
  <c r="D6" i="96"/>
  <c r="D5" i="96"/>
  <c r="AC4" i="92" l="1"/>
  <c r="F131" i="60" l="1"/>
  <c r="E131" i="60"/>
  <c r="D131" i="60"/>
  <c r="H130" i="57" l="1"/>
  <c r="H128" i="57"/>
  <c r="H126" i="57"/>
  <c r="F131" i="118"/>
  <c r="I131" i="118" s="1"/>
  <c r="F130" i="118"/>
  <c r="I130" i="118" s="1"/>
  <c r="F129" i="118"/>
  <c r="I129" i="118" s="1"/>
  <c r="F128" i="118"/>
  <c r="I128" i="118" s="1"/>
  <c r="F127" i="118"/>
  <c r="H131" i="59"/>
  <c r="F131" i="59"/>
  <c r="F132" i="118" l="1"/>
  <c r="I127" i="118"/>
  <c r="I132" i="118" s="1"/>
  <c r="H127" i="57"/>
  <c r="H129" i="57"/>
  <c r="G131" i="59"/>
  <c r="D131" i="58"/>
  <c r="G131" i="57"/>
  <c r="F14" i="123" s="1"/>
  <c r="I131" i="61" l="1"/>
  <c r="H131" i="57"/>
  <c r="J131" i="56" l="1"/>
  <c r="K131" i="56"/>
  <c r="F131" i="57" l="1"/>
  <c r="L131" i="57"/>
  <c r="L130" i="57"/>
  <c r="L129" i="57"/>
  <c r="L128" i="57"/>
  <c r="L127" i="57"/>
  <c r="E131" i="57"/>
  <c r="E131" i="118"/>
  <c r="D131" i="118"/>
  <c r="E130" i="118"/>
  <c r="D130" i="118"/>
  <c r="E129" i="118"/>
  <c r="D129" i="118"/>
  <c r="E128" i="118"/>
  <c r="D128" i="118"/>
  <c r="L126" i="57"/>
  <c r="E127" i="118"/>
  <c r="D127" i="118"/>
  <c r="E4" i="120"/>
  <c r="H129" i="118" l="1"/>
  <c r="H131" i="118"/>
  <c r="H128" i="118"/>
  <c r="H130" i="118"/>
  <c r="D132" i="118"/>
  <c r="H127" i="118"/>
  <c r="E132" i="118"/>
  <c r="D126" i="57"/>
  <c r="D131" i="57"/>
  <c r="D130" i="57"/>
  <c r="D129" i="57"/>
  <c r="D128" i="57"/>
  <c r="D127" i="57"/>
  <c r="H131" i="101"/>
  <c r="H124" i="101"/>
  <c r="H123" i="101"/>
  <c r="H122" i="101"/>
  <c r="H121" i="101"/>
  <c r="H120" i="101"/>
  <c r="H119" i="101"/>
  <c r="H118" i="101"/>
  <c r="H117" i="101"/>
  <c r="H116" i="101"/>
  <c r="H115" i="101"/>
  <c r="H114" i="101"/>
  <c r="H113" i="101"/>
  <c r="H112" i="101"/>
  <c r="H111" i="101"/>
  <c r="H110" i="101"/>
  <c r="H109" i="101"/>
  <c r="H108"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4" i="101"/>
  <c r="H73" i="101"/>
  <c r="H72" i="101"/>
  <c r="H71" i="101"/>
  <c r="H70" i="101"/>
  <c r="H69" i="101"/>
  <c r="H68" i="101"/>
  <c r="H67" i="101"/>
  <c r="H66" i="101"/>
  <c r="H65" i="101"/>
  <c r="H64" i="101"/>
  <c r="H63" i="101"/>
  <c r="H62" i="101"/>
  <c r="H61" i="101"/>
  <c r="H60" i="101"/>
  <c r="H59" i="101"/>
  <c r="H58" i="101"/>
  <c r="H57" i="101"/>
  <c r="H56" i="101"/>
  <c r="H55" i="101"/>
  <c r="H54" i="101"/>
  <c r="H53" i="101"/>
  <c r="H52" i="101"/>
  <c r="H51" i="101"/>
  <c r="H50" i="101"/>
  <c r="H49" i="101"/>
  <c r="H48" i="101"/>
  <c r="H47" i="101"/>
  <c r="H46" i="101"/>
  <c r="H45" i="101"/>
  <c r="H44" i="101"/>
  <c r="H43" i="101"/>
  <c r="H42" i="101"/>
  <c r="H41" i="101"/>
  <c r="H40" i="101"/>
  <c r="H39" i="101"/>
  <c r="H38" i="101"/>
  <c r="H37" i="101"/>
  <c r="H36" i="10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6" i="101"/>
  <c r="H5" i="101"/>
  <c r="N204" i="1" s="1"/>
  <c r="H132" i="118" l="1"/>
  <c r="K131" i="101"/>
  <c r="K6" i="101"/>
  <c r="K10" i="101"/>
  <c r="K14" i="101"/>
  <c r="K22" i="101"/>
  <c r="K26" i="101"/>
  <c r="K30" i="101"/>
  <c r="K34" i="101"/>
  <c r="K38" i="101"/>
  <c r="K42" i="101"/>
  <c r="K46" i="101"/>
  <c r="K50" i="101"/>
  <c r="K54" i="101"/>
  <c r="K58" i="101"/>
  <c r="K62" i="101"/>
  <c r="K66" i="101"/>
  <c r="K70" i="101"/>
  <c r="K74" i="101"/>
  <c r="K78" i="101"/>
  <c r="K82" i="101"/>
  <c r="K86" i="101"/>
  <c r="K90" i="101"/>
  <c r="K94" i="101"/>
  <c r="K98" i="101"/>
  <c r="K102" i="101"/>
  <c r="K106" i="101"/>
  <c r="K110" i="101"/>
  <c r="K114" i="101"/>
  <c r="K118" i="101"/>
  <c r="K122" i="101"/>
  <c r="K18" i="101"/>
  <c r="K11" i="101"/>
  <c r="K27" i="101"/>
  <c r="K43" i="101"/>
  <c r="K59" i="101"/>
  <c r="K75" i="101"/>
  <c r="K91" i="101"/>
  <c r="K107" i="101"/>
  <c r="K123" i="101"/>
  <c r="K7" i="101"/>
  <c r="K15" i="101"/>
  <c r="K35" i="101"/>
  <c r="K39" i="101"/>
  <c r="K47" i="101"/>
  <c r="K67" i="101"/>
  <c r="K71" i="101"/>
  <c r="K95" i="101"/>
  <c r="K99" i="101"/>
  <c r="K103" i="101"/>
  <c r="K119" i="101"/>
  <c r="K19" i="101"/>
  <c r="K23" i="101"/>
  <c r="K31" i="101"/>
  <c r="K51" i="101"/>
  <c r="K55" i="101"/>
  <c r="K63" i="101"/>
  <c r="K79" i="101"/>
  <c r="K83" i="101"/>
  <c r="K87" i="101"/>
  <c r="K111" i="101"/>
  <c r="K115" i="101"/>
  <c r="K5" i="101"/>
  <c r="K9" i="101"/>
  <c r="K13" i="101"/>
  <c r="K17" i="101"/>
  <c r="K21" i="101"/>
  <c r="K25" i="101"/>
  <c r="K29" i="101"/>
  <c r="K33" i="101"/>
  <c r="K37" i="101"/>
  <c r="K41" i="101"/>
  <c r="K45" i="101"/>
  <c r="K49" i="101"/>
  <c r="K53" i="101"/>
  <c r="K57" i="101"/>
  <c r="K61" i="101"/>
  <c r="K65" i="101"/>
  <c r="K69" i="101"/>
  <c r="K73" i="101"/>
  <c r="K77" i="101"/>
  <c r="K81" i="101"/>
  <c r="K85" i="101"/>
  <c r="K89" i="101"/>
  <c r="K93" i="101"/>
  <c r="K97" i="101"/>
  <c r="K101" i="101"/>
  <c r="K105" i="101"/>
  <c r="K109" i="101"/>
  <c r="K113" i="101"/>
  <c r="K117" i="101"/>
  <c r="K121" i="101"/>
  <c r="K8" i="101"/>
  <c r="K12" i="101"/>
  <c r="K16" i="101"/>
  <c r="K20" i="101"/>
  <c r="K24" i="101"/>
  <c r="K28" i="101"/>
  <c r="K32" i="101"/>
  <c r="K36" i="101"/>
  <c r="K40" i="101"/>
  <c r="K44" i="101"/>
  <c r="K48" i="101"/>
  <c r="K52" i="101"/>
  <c r="K56" i="101"/>
  <c r="K60" i="101"/>
  <c r="K64" i="101"/>
  <c r="K68" i="101"/>
  <c r="K72" i="101"/>
  <c r="K76" i="101"/>
  <c r="K80" i="101"/>
  <c r="K84" i="101"/>
  <c r="K88" i="101"/>
  <c r="K92" i="101"/>
  <c r="K96" i="101"/>
  <c r="K100" i="101"/>
  <c r="K104" i="101"/>
  <c r="K108" i="101"/>
  <c r="K112" i="101"/>
  <c r="K116" i="101"/>
  <c r="K120" i="101"/>
  <c r="K124" i="101"/>
  <c r="I131" i="59"/>
  <c r="D130" i="59"/>
  <c r="D129" i="59"/>
  <c r="D128" i="59"/>
  <c r="D127" i="59"/>
  <c r="D126" i="59"/>
  <c r="H131" i="61"/>
  <c r="F5" i="106"/>
  <c r="T5" i="106"/>
  <c r="P98" i="31"/>
  <c r="P97" i="31"/>
  <c r="P124" i="31"/>
  <c r="P123" i="31"/>
  <c r="P96" i="31"/>
  <c r="P95" i="31"/>
  <c r="P94" i="31"/>
  <c r="P122" i="31"/>
  <c r="P93" i="31"/>
  <c r="P92" i="31"/>
  <c r="P91" i="31"/>
  <c r="P121" i="31"/>
  <c r="P90" i="31"/>
  <c r="P89" i="31"/>
  <c r="P88" i="31"/>
  <c r="P87" i="31"/>
  <c r="P86" i="31"/>
  <c r="P85" i="31"/>
  <c r="P84" i="31"/>
  <c r="P83" i="31"/>
  <c r="P82" i="31"/>
  <c r="P81" i="31"/>
  <c r="P120" i="31"/>
  <c r="P80" i="31"/>
  <c r="P119" i="31"/>
  <c r="P79" i="31"/>
  <c r="P118" i="31"/>
  <c r="P78" i="31"/>
  <c r="P77" i="31"/>
  <c r="P76" i="31"/>
  <c r="P75" i="31"/>
  <c r="P74" i="31"/>
  <c r="P117" i="31"/>
  <c r="P73" i="31"/>
  <c r="P116" i="31"/>
  <c r="P72" i="31"/>
  <c r="P71" i="31"/>
  <c r="P70" i="31"/>
  <c r="P69" i="31"/>
  <c r="P115" i="31"/>
  <c r="P68" i="31"/>
  <c r="P67" i="31"/>
  <c r="P114" i="31"/>
  <c r="P113" i="31"/>
  <c r="P66" i="31"/>
  <c r="P65" i="31"/>
  <c r="P64" i="31"/>
  <c r="P63" i="31"/>
  <c r="P62" i="31"/>
  <c r="P61" i="31"/>
  <c r="P112" i="31"/>
  <c r="P111" i="31"/>
  <c r="P60" i="31"/>
  <c r="P110" i="31"/>
  <c r="P59" i="31"/>
  <c r="P58" i="31"/>
  <c r="P57" i="31"/>
  <c r="P56" i="31"/>
  <c r="P55" i="31"/>
  <c r="P54" i="31"/>
  <c r="P53" i="31"/>
  <c r="P52" i="31"/>
  <c r="P51" i="31"/>
  <c r="P50" i="31"/>
  <c r="P109" i="31"/>
  <c r="P49" i="31"/>
  <c r="P48" i="31"/>
  <c r="P47" i="31"/>
  <c r="P46" i="31"/>
  <c r="P108" i="31"/>
  <c r="P45" i="31"/>
  <c r="P44" i="31"/>
  <c r="P43" i="31"/>
  <c r="P42" i="31"/>
  <c r="P41" i="31"/>
  <c r="P40" i="31"/>
  <c r="P39" i="31"/>
  <c r="P107" i="31"/>
  <c r="P106" i="31"/>
  <c r="P38" i="31"/>
  <c r="P37" i="31"/>
  <c r="P105" i="31"/>
  <c r="P36" i="31"/>
  <c r="P35" i="31"/>
  <c r="P34" i="31"/>
  <c r="P33" i="31"/>
  <c r="P32" i="31"/>
  <c r="P31" i="31"/>
  <c r="P30" i="31"/>
  <c r="P104" i="31"/>
  <c r="P29" i="31"/>
  <c r="P28" i="31"/>
  <c r="P27" i="31"/>
  <c r="P26" i="31"/>
  <c r="P25" i="31"/>
  <c r="P103" i="31"/>
  <c r="P102" i="31"/>
  <c r="P24" i="31"/>
  <c r="P23" i="31"/>
  <c r="P22" i="31"/>
  <c r="P21" i="31"/>
  <c r="P20" i="31"/>
  <c r="P19" i="31"/>
  <c r="P18" i="31"/>
  <c r="P17" i="31"/>
  <c r="P101" i="31"/>
  <c r="P16" i="31"/>
  <c r="P15" i="31"/>
  <c r="P14" i="31"/>
  <c r="P13" i="31"/>
  <c r="P12" i="31"/>
  <c r="P11" i="31"/>
  <c r="P10" i="31"/>
  <c r="P9" i="31"/>
  <c r="P8" i="31"/>
  <c r="P7" i="31"/>
  <c r="P100" i="31"/>
  <c r="P6" i="31"/>
  <c r="P5" i="31"/>
  <c r="P99" i="31"/>
  <c r="AV130" i="24"/>
  <c r="AV129" i="24"/>
  <c r="AV128" i="24"/>
  <c r="AV127" i="24"/>
  <c r="AV126" i="24"/>
  <c r="AV99" i="24"/>
  <c r="AV98" i="24"/>
  <c r="AV97" i="24"/>
  <c r="AV124" i="24"/>
  <c r="AV123" i="24"/>
  <c r="AV96" i="24"/>
  <c r="AV95" i="24"/>
  <c r="AV94" i="24"/>
  <c r="AV122" i="24"/>
  <c r="AV93" i="24"/>
  <c r="AV92" i="24"/>
  <c r="AV91" i="24"/>
  <c r="AV121" i="24"/>
  <c r="AV90" i="24"/>
  <c r="AV89" i="24"/>
  <c r="AV88" i="24"/>
  <c r="AV87" i="24"/>
  <c r="AV86" i="24"/>
  <c r="AV85" i="24"/>
  <c r="AV84" i="24"/>
  <c r="AV83" i="24"/>
  <c r="AV82" i="24"/>
  <c r="AV81" i="24"/>
  <c r="AV120" i="24"/>
  <c r="AV80" i="24"/>
  <c r="AV119" i="24"/>
  <c r="AV79" i="24"/>
  <c r="AV118" i="24"/>
  <c r="AV78" i="24"/>
  <c r="AV77" i="24"/>
  <c r="AV76" i="24"/>
  <c r="AV75" i="24"/>
  <c r="AV74" i="24"/>
  <c r="AV117" i="24"/>
  <c r="AV73" i="24"/>
  <c r="AV116" i="24"/>
  <c r="AV72" i="24"/>
  <c r="AV71" i="24"/>
  <c r="AV70" i="24"/>
  <c r="AV69" i="24"/>
  <c r="AV115" i="24"/>
  <c r="AV68" i="24"/>
  <c r="AV67" i="24"/>
  <c r="AV114" i="24"/>
  <c r="AV113" i="24"/>
  <c r="AV66" i="24"/>
  <c r="AV65" i="24"/>
  <c r="AV64" i="24"/>
  <c r="AV63" i="24"/>
  <c r="AV62" i="24"/>
  <c r="AV61" i="24"/>
  <c r="AV112" i="24"/>
  <c r="AV111" i="24"/>
  <c r="AV60" i="24"/>
  <c r="AV110" i="24"/>
  <c r="AV59" i="24"/>
  <c r="AV58" i="24"/>
  <c r="AV57" i="24"/>
  <c r="AV56" i="24"/>
  <c r="AV55" i="24"/>
  <c r="AV54" i="24"/>
  <c r="AV53" i="24"/>
  <c r="AV52" i="24"/>
  <c r="AV51" i="24"/>
  <c r="AV50" i="24"/>
  <c r="AV109" i="24"/>
  <c r="AV49" i="24"/>
  <c r="AV48" i="24"/>
  <c r="AV47" i="24"/>
  <c r="AV46" i="24"/>
  <c r="AV108" i="24"/>
  <c r="AV45" i="24"/>
  <c r="AV44" i="24"/>
  <c r="AV43" i="24"/>
  <c r="AV42" i="24"/>
  <c r="AV41" i="24"/>
  <c r="AV40" i="24"/>
  <c r="AV39" i="24"/>
  <c r="AV107" i="24"/>
  <c r="AV106" i="24"/>
  <c r="AV38" i="24"/>
  <c r="AV37" i="24"/>
  <c r="AV105" i="24"/>
  <c r="AV36" i="24"/>
  <c r="AV35" i="24"/>
  <c r="AV34" i="24"/>
  <c r="AV33" i="24"/>
  <c r="AV32" i="24"/>
  <c r="AV31" i="24"/>
  <c r="AV30" i="24"/>
  <c r="AV104" i="24"/>
  <c r="AV29" i="24"/>
  <c r="AV28" i="24"/>
  <c r="AV27" i="24"/>
  <c r="AV26" i="24"/>
  <c r="AV25" i="24"/>
  <c r="AV103" i="24"/>
  <c r="AV102" i="24"/>
  <c r="AV24" i="24"/>
  <c r="AV23" i="24"/>
  <c r="AV22" i="24"/>
  <c r="AV21" i="24"/>
  <c r="AV20" i="24"/>
  <c r="AV19" i="24"/>
  <c r="AV18" i="24"/>
  <c r="AV17" i="24"/>
  <c r="AV101" i="24"/>
  <c r="AV16" i="24"/>
  <c r="AV15" i="24"/>
  <c r="AV14" i="24"/>
  <c r="AV13" i="24"/>
  <c r="AV12" i="24"/>
  <c r="AV11" i="24"/>
  <c r="AV10" i="24"/>
  <c r="AV9" i="24"/>
  <c r="AV8" i="24"/>
  <c r="AV7" i="24"/>
  <c r="AV100" i="24"/>
  <c r="AV6" i="24"/>
  <c r="AV5" i="24"/>
  <c r="AV4" i="24"/>
  <c r="F51" i="1" s="1"/>
  <c r="BJ131" i="113"/>
  <c r="BI131" i="113"/>
  <c r="BH131" i="113"/>
  <c r="BG131" i="113"/>
  <c r="BF131" i="113"/>
  <c r="BE131" i="113"/>
  <c r="BD131" i="113"/>
  <c r="BC131" i="113"/>
  <c r="BB131" i="113"/>
  <c r="BA131" i="113"/>
  <c r="AZ131" i="113"/>
  <c r="AY131" i="113"/>
  <c r="AX131" i="113"/>
  <c r="AW131" i="113"/>
  <c r="AV131" i="113"/>
  <c r="BJ130" i="113"/>
  <c r="BI130" i="113"/>
  <c r="BH130" i="113"/>
  <c r="BG130" i="113"/>
  <c r="BF130" i="113"/>
  <c r="BE130" i="113"/>
  <c r="BD130" i="113"/>
  <c r="BC130" i="113"/>
  <c r="BB130" i="113"/>
  <c r="BA130" i="113"/>
  <c r="AZ130" i="113"/>
  <c r="AY130" i="113"/>
  <c r="AX130" i="113"/>
  <c r="AW130" i="113"/>
  <c r="AV130" i="113"/>
  <c r="BJ129" i="113"/>
  <c r="BI129" i="113"/>
  <c r="BH129" i="113"/>
  <c r="BG129" i="113"/>
  <c r="BF129" i="113"/>
  <c r="BE129" i="113"/>
  <c r="BD129" i="113"/>
  <c r="BC129" i="113"/>
  <c r="BB129" i="113"/>
  <c r="BA129" i="113"/>
  <c r="AZ129" i="113"/>
  <c r="AY129" i="113"/>
  <c r="AX129" i="113"/>
  <c r="AW129" i="113"/>
  <c r="AV129" i="113"/>
  <c r="BJ128" i="113"/>
  <c r="BI128" i="113"/>
  <c r="BH128" i="113"/>
  <c r="BG128" i="113"/>
  <c r="BF128" i="113"/>
  <c r="BE128" i="113"/>
  <c r="BD128" i="113"/>
  <c r="BC128" i="113"/>
  <c r="BB128" i="113"/>
  <c r="BA128" i="113"/>
  <c r="AZ128" i="113"/>
  <c r="AY128" i="113"/>
  <c r="AX128" i="113"/>
  <c r="AW128" i="113"/>
  <c r="AV128" i="113"/>
  <c r="BJ127" i="113"/>
  <c r="BI127" i="113"/>
  <c r="BH127" i="113"/>
  <c r="BG127" i="113"/>
  <c r="BF127" i="113"/>
  <c r="BE127" i="113"/>
  <c r="BD127" i="113"/>
  <c r="BC127" i="113"/>
  <c r="BB127" i="113"/>
  <c r="BA127" i="113"/>
  <c r="AZ127" i="113"/>
  <c r="AY127" i="113"/>
  <c r="AX127" i="113"/>
  <c r="AW127" i="113"/>
  <c r="AV127" i="113"/>
  <c r="BJ125" i="113"/>
  <c r="BI125" i="113"/>
  <c r="BH125" i="113"/>
  <c r="BG125" i="113"/>
  <c r="BF125" i="113"/>
  <c r="BE125" i="113"/>
  <c r="BD125" i="113"/>
  <c r="BC125" i="113"/>
  <c r="BB125" i="113"/>
  <c r="BA125" i="113"/>
  <c r="AZ125" i="113"/>
  <c r="AY125" i="113"/>
  <c r="AX125" i="113"/>
  <c r="AW125" i="113"/>
  <c r="AV125" i="113"/>
  <c r="BJ124" i="113"/>
  <c r="BI124" i="113"/>
  <c r="BH124" i="113"/>
  <c r="BG124" i="113"/>
  <c r="BF124" i="113"/>
  <c r="BE124" i="113"/>
  <c r="BD124" i="113"/>
  <c r="BC124" i="113"/>
  <c r="BB124" i="113"/>
  <c r="BA124" i="113"/>
  <c r="AZ124" i="113"/>
  <c r="AY124" i="113"/>
  <c r="AX124" i="113"/>
  <c r="AW124" i="113"/>
  <c r="AV124" i="113"/>
  <c r="BJ123" i="113"/>
  <c r="BI123" i="113"/>
  <c r="BH123" i="113"/>
  <c r="BG123" i="113"/>
  <c r="BF123" i="113"/>
  <c r="BE123" i="113"/>
  <c r="BD123" i="113"/>
  <c r="BC123" i="113"/>
  <c r="BB123" i="113"/>
  <c r="BA123" i="113"/>
  <c r="AZ123" i="113"/>
  <c r="AY123" i="113"/>
  <c r="AX123" i="113"/>
  <c r="AW123" i="113"/>
  <c r="AV123" i="113"/>
  <c r="BJ122" i="113"/>
  <c r="BI122" i="113"/>
  <c r="BH122" i="113"/>
  <c r="BG122" i="113"/>
  <c r="BF122" i="113"/>
  <c r="BE122" i="113"/>
  <c r="BD122" i="113"/>
  <c r="BC122" i="113"/>
  <c r="BB122" i="113"/>
  <c r="BA122" i="113"/>
  <c r="AZ122" i="113"/>
  <c r="AY122" i="113"/>
  <c r="AX122" i="113"/>
  <c r="AW122" i="113"/>
  <c r="AV122" i="113"/>
  <c r="BJ121" i="113"/>
  <c r="BI121" i="113"/>
  <c r="BH121" i="113"/>
  <c r="BG121" i="113"/>
  <c r="BF121" i="113"/>
  <c r="BE121" i="113"/>
  <c r="BD121" i="113"/>
  <c r="BC121" i="113"/>
  <c r="BB121" i="113"/>
  <c r="BA121" i="113"/>
  <c r="AZ121" i="113"/>
  <c r="AY121" i="113"/>
  <c r="AX121" i="113"/>
  <c r="AW121" i="113"/>
  <c r="AV121" i="113"/>
  <c r="BJ120" i="113"/>
  <c r="BI120" i="113"/>
  <c r="BH120" i="113"/>
  <c r="BG120" i="113"/>
  <c r="BF120" i="113"/>
  <c r="BE120" i="113"/>
  <c r="BD120" i="113"/>
  <c r="BC120" i="113"/>
  <c r="BB120" i="113"/>
  <c r="BA120" i="113"/>
  <c r="AZ120" i="113"/>
  <c r="AY120" i="113"/>
  <c r="AX120" i="113"/>
  <c r="AW120" i="113"/>
  <c r="AV120" i="113"/>
  <c r="BJ119" i="113"/>
  <c r="BI119" i="113"/>
  <c r="BH119" i="113"/>
  <c r="BG119" i="113"/>
  <c r="BF119" i="113"/>
  <c r="BE119" i="113"/>
  <c r="BD119" i="113"/>
  <c r="BC119" i="113"/>
  <c r="BB119" i="113"/>
  <c r="BA119" i="113"/>
  <c r="AZ119" i="113"/>
  <c r="AY119" i="113"/>
  <c r="AX119" i="113"/>
  <c r="AW119" i="113"/>
  <c r="AV119" i="113"/>
  <c r="BJ118" i="113"/>
  <c r="BI118" i="113"/>
  <c r="BH118" i="113"/>
  <c r="BG118" i="113"/>
  <c r="BF118" i="113"/>
  <c r="BE118" i="113"/>
  <c r="BD118" i="113"/>
  <c r="BC118" i="113"/>
  <c r="BB118" i="113"/>
  <c r="BA118" i="113"/>
  <c r="AZ118" i="113"/>
  <c r="AY118" i="113"/>
  <c r="AX118" i="113"/>
  <c r="AW118" i="113"/>
  <c r="AV118" i="113"/>
  <c r="BJ117" i="113"/>
  <c r="BI117" i="113"/>
  <c r="BH117" i="113"/>
  <c r="BG117" i="113"/>
  <c r="BF117" i="113"/>
  <c r="BE117" i="113"/>
  <c r="BD117" i="113"/>
  <c r="BC117" i="113"/>
  <c r="BB117" i="113"/>
  <c r="BA117" i="113"/>
  <c r="AZ117" i="113"/>
  <c r="AY117" i="113"/>
  <c r="AX117" i="113"/>
  <c r="AW117" i="113"/>
  <c r="AV117" i="113"/>
  <c r="BJ116" i="113"/>
  <c r="BI116" i="113"/>
  <c r="BH116" i="113"/>
  <c r="BG116" i="113"/>
  <c r="BF116" i="113"/>
  <c r="BE116" i="113"/>
  <c r="BD116" i="113"/>
  <c r="BC116" i="113"/>
  <c r="BB116" i="113"/>
  <c r="BA116" i="113"/>
  <c r="AZ116" i="113"/>
  <c r="AY116" i="113"/>
  <c r="AX116" i="113"/>
  <c r="AW116" i="113"/>
  <c r="AV116" i="113"/>
  <c r="BJ115" i="113"/>
  <c r="BI115" i="113"/>
  <c r="BH115" i="113"/>
  <c r="BG115" i="113"/>
  <c r="BF115" i="113"/>
  <c r="BE115" i="113"/>
  <c r="BD115" i="113"/>
  <c r="BC115" i="113"/>
  <c r="BB115" i="113"/>
  <c r="BA115" i="113"/>
  <c r="AZ115" i="113"/>
  <c r="AY115" i="113"/>
  <c r="AX115" i="113"/>
  <c r="AW115" i="113"/>
  <c r="AV115" i="113"/>
  <c r="BJ114" i="113"/>
  <c r="BI114" i="113"/>
  <c r="BH114" i="113"/>
  <c r="BG114" i="113"/>
  <c r="BF114" i="113"/>
  <c r="BE114" i="113"/>
  <c r="BD114" i="113"/>
  <c r="BC114" i="113"/>
  <c r="BB114" i="113"/>
  <c r="BA114" i="113"/>
  <c r="AZ114" i="113"/>
  <c r="AY114" i="113"/>
  <c r="AX114" i="113"/>
  <c r="AW114" i="113"/>
  <c r="AV114" i="113"/>
  <c r="BJ113" i="113"/>
  <c r="BI113" i="113"/>
  <c r="BH113" i="113"/>
  <c r="BG113" i="113"/>
  <c r="BF113" i="113"/>
  <c r="BE113" i="113"/>
  <c r="BD113" i="113"/>
  <c r="BC113" i="113"/>
  <c r="BB113" i="113"/>
  <c r="BA113" i="113"/>
  <c r="AZ113" i="113"/>
  <c r="AY113" i="113"/>
  <c r="AX113" i="113"/>
  <c r="AW113" i="113"/>
  <c r="AV113" i="113"/>
  <c r="BJ112" i="113"/>
  <c r="BI112" i="113"/>
  <c r="BH112" i="113"/>
  <c r="BG112" i="113"/>
  <c r="BF112" i="113"/>
  <c r="BE112" i="113"/>
  <c r="BD112" i="113"/>
  <c r="BC112" i="113"/>
  <c r="BB112" i="113"/>
  <c r="BA112" i="113"/>
  <c r="AZ112" i="113"/>
  <c r="AY112" i="113"/>
  <c r="AX112" i="113"/>
  <c r="AW112" i="113"/>
  <c r="AV112" i="113"/>
  <c r="BJ111" i="113"/>
  <c r="BI111" i="113"/>
  <c r="BH111" i="113"/>
  <c r="BG111" i="113"/>
  <c r="BF111" i="113"/>
  <c r="BE111" i="113"/>
  <c r="BD111" i="113"/>
  <c r="BC111" i="113"/>
  <c r="BB111" i="113"/>
  <c r="BA111" i="113"/>
  <c r="AZ111" i="113"/>
  <c r="AY111" i="113"/>
  <c r="AX111" i="113"/>
  <c r="AW111" i="113"/>
  <c r="AV111" i="113"/>
  <c r="BJ110" i="113"/>
  <c r="BI110" i="113"/>
  <c r="BH110" i="113"/>
  <c r="BG110" i="113"/>
  <c r="BF110" i="113"/>
  <c r="BE110" i="113"/>
  <c r="BD110" i="113"/>
  <c r="BC110" i="113"/>
  <c r="BB110" i="113"/>
  <c r="BA110" i="113"/>
  <c r="AZ110" i="113"/>
  <c r="AY110" i="113"/>
  <c r="AX110" i="113"/>
  <c r="AW110" i="113"/>
  <c r="AV110" i="113"/>
  <c r="BJ109" i="113"/>
  <c r="BI109" i="113"/>
  <c r="BH109" i="113"/>
  <c r="BG109" i="113"/>
  <c r="BF109" i="113"/>
  <c r="BE109" i="113"/>
  <c r="BD109" i="113"/>
  <c r="BC109" i="113"/>
  <c r="BB109" i="113"/>
  <c r="BA109" i="113"/>
  <c r="AZ109" i="113"/>
  <c r="AY109" i="113"/>
  <c r="AX109" i="113"/>
  <c r="AW109" i="113"/>
  <c r="AV109" i="113"/>
  <c r="BJ108" i="113"/>
  <c r="BI108" i="113"/>
  <c r="BH108" i="113"/>
  <c r="BG108" i="113"/>
  <c r="BF108" i="113"/>
  <c r="BE108" i="113"/>
  <c r="BD108" i="113"/>
  <c r="BC108" i="113"/>
  <c r="BB108" i="113"/>
  <c r="BA108" i="113"/>
  <c r="AZ108" i="113"/>
  <c r="AY108" i="113"/>
  <c r="AX108" i="113"/>
  <c r="AW108" i="113"/>
  <c r="AV108" i="113"/>
  <c r="BJ107" i="113"/>
  <c r="BI107" i="113"/>
  <c r="BH107" i="113"/>
  <c r="BG107" i="113"/>
  <c r="BF107" i="113"/>
  <c r="BE107" i="113"/>
  <c r="BD107" i="113"/>
  <c r="BC107" i="113"/>
  <c r="BB107" i="113"/>
  <c r="BA107" i="113"/>
  <c r="AZ107" i="113"/>
  <c r="AY107" i="113"/>
  <c r="AX107" i="113"/>
  <c r="AW107" i="113"/>
  <c r="AV107" i="113"/>
  <c r="BJ106" i="113"/>
  <c r="BI106" i="113"/>
  <c r="BH106" i="113"/>
  <c r="BG106" i="113"/>
  <c r="BF106" i="113"/>
  <c r="BE106" i="113"/>
  <c r="BD106" i="113"/>
  <c r="BC106" i="113"/>
  <c r="BB106" i="113"/>
  <c r="BA106" i="113"/>
  <c r="AZ106" i="113"/>
  <c r="AY106" i="113"/>
  <c r="AX106" i="113"/>
  <c r="AW106" i="113"/>
  <c r="AV106" i="113"/>
  <c r="BJ105" i="113"/>
  <c r="BI105" i="113"/>
  <c r="BH105" i="113"/>
  <c r="BG105" i="113"/>
  <c r="BF105" i="113"/>
  <c r="BE105" i="113"/>
  <c r="BD105" i="113"/>
  <c r="BC105" i="113"/>
  <c r="BB105" i="113"/>
  <c r="BA105" i="113"/>
  <c r="AZ105" i="113"/>
  <c r="AY105" i="113"/>
  <c r="AX105" i="113"/>
  <c r="AW105" i="113"/>
  <c r="AV105" i="113"/>
  <c r="BJ104" i="113"/>
  <c r="BI104" i="113"/>
  <c r="BH104" i="113"/>
  <c r="BG104" i="113"/>
  <c r="BF104" i="113"/>
  <c r="BE104" i="113"/>
  <c r="BD104" i="113"/>
  <c r="BC104" i="113"/>
  <c r="BB104" i="113"/>
  <c r="BA104" i="113"/>
  <c r="AZ104" i="113"/>
  <c r="AY104" i="113"/>
  <c r="AX104" i="113"/>
  <c r="AW104" i="113"/>
  <c r="AV104" i="113"/>
  <c r="BJ103" i="113"/>
  <c r="BI103" i="113"/>
  <c r="BH103" i="113"/>
  <c r="BG103" i="113"/>
  <c r="BF103" i="113"/>
  <c r="BE103" i="113"/>
  <c r="BD103" i="113"/>
  <c r="BC103" i="113"/>
  <c r="BB103" i="113"/>
  <c r="BA103" i="113"/>
  <c r="AZ103" i="113"/>
  <c r="AY103" i="113"/>
  <c r="AX103" i="113"/>
  <c r="AW103" i="113"/>
  <c r="AV103" i="113"/>
  <c r="BJ102" i="113"/>
  <c r="BI102" i="113"/>
  <c r="BH102" i="113"/>
  <c r="BG102" i="113"/>
  <c r="BF102" i="113"/>
  <c r="BE102" i="113"/>
  <c r="BD102" i="113"/>
  <c r="BC102" i="113"/>
  <c r="BB102" i="113"/>
  <c r="BA102" i="113"/>
  <c r="AZ102" i="113"/>
  <c r="AY102" i="113"/>
  <c r="AX102" i="113"/>
  <c r="AW102" i="113"/>
  <c r="AV102" i="113"/>
  <c r="BJ101" i="113"/>
  <c r="BI101" i="113"/>
  <c r="BH101" i="113"/>
  <c r="BG101" i="113"/>
  <c r="BF101" i="113"/>
  <c r="BE101" i="113"/>
  <c r="BD101" i="113"/>
  <c r="BC101" i="113"/>
  <c r="BB101" i="113"/>
  <c r="BA101" i="113"/>
  <c r="AZ101" i="113"/>
  <c r="AY101" i="113"/>
  <c r="AX101" i="113"/>
  <c r="AW101" i="113"/>
  <c r="AV101" i="113"/>
  <c r="BJ100" i="113"/>
  <c r="BI100" i="113"/>
  <c r="BH100" i="113"/>
  <c r="BG100" i="113"/>
  <c r="BF100" i="113"/>
  <c r="BE100" i="113"/>
  <c r="BD100" i="113"/>
  <c r="BC100" i="113"/>
  <c r="BB100" i="113"/>
  <c r="BA100" i="113"/>
  <c r="AZ100" i="113"/>
  <c r="AY100" i="113"/>
  <c r="AX100" i="113"/>
  <c r="AW100" i="113"/>
  <c r="AV100" i="113"/>
  <c r="BJ99" i="113"/>
  <c r="BI99" i="113"/>
  <c r="BH99" i="113"/>
  <c r="BG99" i="113"/>
  <c r="BF99" i="113"/>
  <c r="BE99" i="113"/>
  <c r="BD99" i="113"/>
  <c r="BC99" i="113"/>
  <c r="BB99" i="113"/>
  <c r="BA99" i="113"/>
  <c r="AZ99" i="113"/>
  <c r="AY99" i="113"/>
  <c r="AX99" i="113"/>
  <c r="AW99" i="113"/>
  <c r="AV99" i="113"/>
  <c r="BJ98" i="113"/>
  <c r="BI98" i="113"/>
  <c r="BH98" i="113"/>
  <c r="BG98" i="113"/>
  <c r="BF98" i="113"/>
  <c r="BE98" i="113"/>
  <c r="BD98" i="113"/>
  <c r="BC98" i="113"/>
  <c r="BB98" i="113"/>
  <c r="BA98" i="113"/>
  <c r="AZ98" i="113"/>
  <c r="AY98" i="113"/>
  <c r="AX98" i="113"/>
  <c r="AW98" i="113"/>
  <c r="AV98" i="113"/>
  <c r="BJ97" i="113"/>
  <c r="BI97" i="113"/>
  <c r="BH97" i="113"/>
  <c r="BG97" i="113"/>
  <c r="BF97" i="113"/>
  <c r="BE97" i="113"/>
  <c r="BD97" i="113"/>
  <c r="BC97" i="113"/>
  <c r="BB97" i="113"/>
  <c r="BA97" i="113"/>
  <c r="AZ97" i="113"/>
  <c r="AY97" i="113"/>
  <c r="AX97" i="113"/>
  <c r="AW97" i="113"/>
  <c r="AV97" i="113"/>
  <c r="BJ96" i="113"/>
  <c r="BI96" i="113"/>
  <c r="BH96" i="113"/>
  <c r="BG96" i="113"/>
  <c r="BF96" i="113"/>
  <c r="BE96" i="113"/>
  <c r="BD96" i="113"/>
  <c r="BC96" i="113"/>
  <c r="BB96" i="113"/>
  <c r="BA96" i="113"/>
  <c r="AZ96" i="113"/>
  <c r="AY96" i="113"/>
  <c r="AX96" i="113"/>
  <c r="AW96" i="113"/>
  <c r="AV96" i="113"/>
  <c r="BJ95" i="113"/>
  <c r="BI95" i="113"/>
  <c r="BH95" i="113"/>
  <c r="BG95" i="113"/>
  <c r="BF95" i="113"/>
  <c r="BE95" i="113"/>
  <c r="BD95" i="113"/>
  <c r="BC95" i="113"/>
  <c r="BB95" i="113"/>
  <c r="BA95" i="113"/>
  <c r="AZ95" i="113"/>
  <c r="AY95" i="113"/>
  <c r="AX95" i="113"/>
  <c r="AW95" i="113"/>
  <c r="AV95" i="113"/>
  <c r="BJ94" i="113"/>
  <c r="BI94" i="113"/>
  <c r="BH94" i="113"/>
  <c r="BG94" i="113"/>
  <c r="BF94" i="113"/>
  <c r="BE94" i="113"/>
  <c r="BD94" i="113"/>
  <c r="BC94" i="113"/>
  <c r="BB94" i="113"/>
  <c r="BA94" i="113"/>
  <c r="AZ94" i="113"/>
  <c r="AY94" i="113"/>
  <c r="AX94" i="113"/>
  <c r="AW94" i="113"/>
  <c r="AV94" i="113"/>
  <c r="BJ93" i="113"/>
  <c r="BI93" i="113"/>
  <c r="BH93" i="113"/>
  <c r="BG93" i="113"/>
  <c r="BF93" i="113"/>
  <c r="BE93" i="113"/>
  <c r="BD93" i="113"/>
  <c r="BC93" i="113"/>
  <c r="BB93" i="113"/>
  <c r="BA93" i="113"/>
  <c r="AZ93" i="113"/>
  <c r="AY93" i="113"/>
  <c r="AX93" i="113"/>
  <c r="AW93" i="113"/>
  <c r="AV93" i="113"/>
  <c r="BJ92" i="113"/>
  <c r="BI92" i="113"/>
  <c r="BH92" i="113"/>
  <c r="BG92" i="113"/>
  <c r="BF92" i="113"/>
  <c r="BE92" i="113"/>
  <c r="BD92" i="113"/>
  <c r="BC92" i="113"/>
  <c r="BB92" i="113"/>
  <c r="BA92" i="113"/>
  <c r="AZ92" i="113"/>
  <c r="AY92" i="113"/>
  <c r="AX92" i="113"/>
  <c r="AW92" i="113"/>
  <c r="AV92" i="113"/>
  <c r="BJ91" i="113"/>
  <c r="BI91" i="113"/>
  <c r="BH91" i="113"/>
  <c r="BG91" i="113"/>
  <c r="BF91" i="113"/>
  <c r="BE91" i="113"/>
  <c r="BD91" i="113"/>
  <c r="BC91" i="113"/>
  <c r="BB91" i="113"/>
  <c r="BA91" i="113"/>
  <c r="AZ91" i="113"/>
  <c r="AY91" i="113"/>
  <c r="AX91" i="113"/>
  <c r="AW91" i="113"/>
  <c r="AV91" i="113"/>
  <c r="BJ90" i="113"/>
  <c r="BI90" i="113"/>
  <c r="BH90" i="113"/>
  <c r="BG90" i="113"/>
  <c r="BF90" i="113"/>
  <c r="BE90" i="113"/>
  <c r="BD90" i="113"/>
  <c r="BC90" i="113"/>
  <c r="BB90" i="113"/>
  <c r="BA90" i="113"/>
  <c r="AZ90" i="113"/>
  <c r="AY90" i="113"/>
  <c r="AX90" i="113"/>
  <c r="AW90" i="113"/>
  <c r="AV90" i="113"/>
  <c r="BJ89" i="113"/>
  <c r="BI89" i="113"/>
  <c r="BH89" i="113"/>
  <c r="BG89" i="113"/>
  <c r="BF89" i="113"/>
  <c r="BE89" i="113"/>
  <c r="BD89" i="113"/>
  <c r="BC89" i="113"/>
  <c r="BB89" i="113"/>
  <c r="BA89" i="113"/>
  <c r="AZ89" i="113"/>
  <c r="AY89" i="113"/>
  <c r="AX89" i="113"/>
  <c r="AW89" i="113"/>
  <c r="AV89" i="113"/>
  <c r="BJ88" i="113"/>
  <c r="BI88" i="113"/>
  <c r="BH88" i="113"/>
  <c r="BG88" i="113"/>
  <c r="BF88" i="113"/>
  <c r="BE88" i="113"/>
  <c r="BD88" i="113"/>
  <c r="BC88" i="113"/>
  <c r="BB88" i="113"/>
  <c r="BA88" i="113"/>
  <c r="AZ88" i="113"/>
  <c r="AY88" i="113"/>
  <c r="AX88" i="113"/>
  <c r="AW88" i="113"/>
  <c r="AV88" i="113"/>
  <c r="BJ87" i="113"/>
  <c r="BI87" i="113"/>
  <c r="BH87" i="113"/>
  <c r="BG87" i="113"/>
  <c r="BF87" i="113"/>
  <c r="BE87" i="113"/>
  <c r="BD87" i="113"/>
  <c r="BC87" i="113"/>
  <c r="BB87" i="113"/>
  <c r="BA87" i="113"/>
  <c r="AZ87" i="113"/>
  <c r="AY87" i="113"/>
  <c r="AX87" i="113"/>
  <c r="AW87" i="113"/>
  <c r="AV87" i="113"/>
  <c r="BJ86" i="113"/>
  <c r="BI86" i="113"/>
  <c r="BH86" i="113"/>
  <c r="BG86" i="113"/>
  <c r="BF86" i="113"/>
  <c r="BE86" i="113"/>
  <c r="BD86" i="113"/>
  <c r="BC86" i="113"/>
  <c r="BB86" i="113"/>
  <c r="BA86" i="113"/>
  <c r="AZ86" i="113"/>
  <c r="AY86" i="113"/>
  <c r="AX86" i="113"/>
  <c r="AW86" i="113"/>
  <c r="AV86" i="113"/>
  <c r="BJ85" i="113"/>
  <c r="BI85" i="113"/>
  <c r="BH85" i="113"/>
  <c r="BG85" i="113"/>
  <c r="BF85" i="113"/>
  <c r="BE85" i="113"/>
  <c r="BD85" i="113"/>
  <c r="BC85" i="113"/>
  <c r="BB85" i="113"/>
  <c r="BA85" i="113"/>
  <c r="AZ85" i="113"/>
  <c r="AY85" i="113"/>
  <c r="AX85" i="113"/>
  <c r="AW85" i="113"/>
  <c r="AV85" i="113"/>
  <c r="BJ84" i="113"/>
  <c r="BI84" i="113"/>
  <c r="BH84" i="113"/>
  <c r="BG84" i="113"/>
  <c r="BF84" i="113"/>
  <c r="BE84" i="113"/>
  <c r="BD84" i="113"/>
  <c r="BC84" i="113"/>
  <c r="BB84" i="113"/>
  <c r="BA84" i="113"/>
  <c r="AZ84" i="113"/>
  <c r="AY84" i="113"/>
  <c r="AX84" i="113"/>
  <c r="AW84" i="113"/>
  <c r="AV84" i="113"/>
  <c r="BJ83" i="113"/>
  <c r="BI83" i="113"/>
  <c r="BH83" i="113"/>
  <c r="BG83" i="113"/>
  <c r="BF83" i="113"/>
  <c r="BE83" i="113"/>
  <c r="BD83" i="113"/>
  <c r="BC83" i="113"/>
  <c r="BB83" i="113"/>
  <c r="BA83" i="113"/>
  <c r="AZ83" i="113"/>
  <c r="AY83" i="113"/>
  <c r="AX83" i="113"/>
  <c r="AW83" i="113"/>
  <c r="AV83" i="113"/>
  <c r="BJ82" i="113"/>
  <c r="BI82" i="113"/>
  <c r="BH82" i="113"/>
  <c r="BG82" i="113"/>
  <c r="BF82" i="113"/>
  <c r="BE82" i="113"/>
  <c r="BD82" i="113"/>
  <c r="BC82" i="113"/>
  <c r="BB82" i="113"/>
  <c r="BA82" i="113"/>
  <c r="AZ82" i="113"/>
  <c r="AY82" i="113"/>
  <c r="AX82" i="113"/>
  <c r="AW82" i="113"/>
  <c r="AV82" i="113"/>
  <c r="BJ81" i="113"/>
  <c r="BI81" i="113"/>
  <c r="BH81" i="113"/>
  <c r="BG81" i="113"/>
  <c r="BF81" i="113"/>
  <c r="BE81" i="113"/>
  <c r="BD81" i="113"/>
  <c r="BC81" i="113"/>
  <c r="BB81" i="113"/>
  <c r="BA81" i="113"/>
  <c r="AZ81" i="113"/>
  <c r="AY81" i="113"/>
  <c r="AX81" i="113"/>
  <c r="AW81" i="113"/>
  <c r="AV81" i="113"/>
  <c r="BJ80" i="113"/>
  <c r="BI80" i="113"/>
  <c r="BH80" i="113"/>
  <c r="BG80" i="113"/>
  <c r="BF80" i="113"/>
  <c r="BE80" i="113"/>
  <c r="BD80" i="113"/>
  <c r="BC80" i="113"/>
  <c r="BB80" i="113"/>
  <c r="BA80" i="113"/>
  <c r="AZ80" i="113"/>
  <c r="AY80" i="113"/>
  <c r="AX80" i="113"/>
  <c r="AW80" i="113"/>
  <c r="AV80" i="113"/>
  <c r="BJ79" i="113"/>
  <c r="BI79" i="113"/>
  <c r="BH79" i="113"/>
  <c r="BG79" i="113"/>
  <c r="BF79" i="113"/>
  <c r="BE79" i="113"/>
  <c r="BD79" i="113"/>
  <c r="BC79" i="113"/>
  <c r="BB79" i="113"/>
  <c r="BA79" i="113"/>
  <c r="AZ79" i="113"/>
  <c r="AY79" i="113"/>
  <c r="AX79" i="113"/>
  <c r="AW79" i="113"/>
  <c r="AV79" i="113"/>
  <c r="BJ78" i="113"/>
  <c r="BI78" i="113"/>
  <c r="BH78" i="113"/>
  <c r="BG78" i="113"/>
  <c r="BF78" i="113"/>
  <c r="BE78" i="113"/>
  <c r="BD78" i="113"/>
  <c r="BC78" i="113"/>
  <c r="BB78" i="113"/>
  <c r="BA78" i="113"/>
  <c r="AZ78" i="113"/>
  <c r="AY78" i="113"/>
  <c r="AX78" i="113"/>
  <c r="AW78" i="113"/>
  <c r="AV78" i="113"/>
  <c r="BJ77" i="113"/>
  <c r="BI77" i="113"/>
  <c r="BH77" i="113"/>
  <c r="BG77" i="113"/>
  <c r="BF77" i="113"/>
  <c r="BE77" i="113"/>
  <c r="BD77" i="113"/>
  <c r="BC77" i="113"/>
  <c r="BB77" i="113"/>
  <c r="BA77" i="113"/>
  <c r="AZ77" i="113"/>
  <c r="AY77" i="113"/>
  <c r="AX77" i="113"/>
  <c r="AW77" i="113"/>
  <c r="AV77" i="113"/>
  <c r="BJ76" i="113"/>
  <c r="BI76" i="113"/>
  <c r="BH76" i="113"/>
  <c r="BG76" i="113"/>
  <c r="BF76" i="113"/>
  <c r="BE76" i="113"/>
  <c r="BD76" i="113"/>
  <c r="BC76" i="113"/>
  <c r="BB76" i="113"/>
  <c r="BA76" i="113"/>
  <c r="AZ76" i="113"/>
  <c r="AY76" i="113"/>
  <c r="AX76" i="113"/>
  <c r="AW76" i="113"/>
  <c r="AV76" i="113"/>
  <c r="BJ75" i="113"/>
  <c r="BI75" i="113"/>
  <c r="BH75" i="113"/>
  <c r="BG75" i="113"/>
  <c r="BF75" i="113"/>
  <c r="BE75" i="113"/>
  <c r="BD75" i="113"/>
  <c r="BC75" i="113"/>
  <c r="BB75" i="113"/>
  <c r="BA75" i="113"/>
  <c r="AZ75" i="113"/>
  <c r="AY75" i="113"/>
  <c r="AX75" i="113"/>
  <c r="AW75" i="113"/>
  <c r="AV75" i="113"/>
  <c r="BJ74" i="113"/>
  <c r="BI74" i="113"/>
  <c r="BH74" i="113"/>
  <c r="BG74" i="113"/>
  <c r="BF74" i="113"/>
  <c r="BE74" i="113"/>
  <c r="BD74" i="113"/>
  <c r="BC74" i="113"/>
  <c r="BB74" i="113"/>
  <c r="BA74" i="113"/>
  <c r="AZ74" i="113"/>
  <c r="AY74" i="113"/>
  <c r="AX74" i="113"/>
  <c r="AW74" i="113"/>
  <c r="AV74" i="113"/>
  <c r="BJ73" i="113"/>
  <c r="BI73" i="113"/>
  <c r="BH73" i="113"/>
  <c r="BG73" i="113"/>
  <c r="BF73" i="113"/>
  <c r="BE73" i="113"/>
  <c r="BD73" i="113"/>
  <c r="BC73" i="113"/>
  <c r="BB73" i="113"/>
  <c r="BA73" i="113"/>
  <c r="AZ73" i="113"/>
  <c r="AY73" i="113"/>
  <c r="AX73" i="113"/>
  <c r="AW73" i="113"/>
  <c r="AV73" i="113"/>
  <c r="BJ72" i="113"/>
  <c r="BI72" i="113"/>
  <c r="BH72" i="113"/>
  <c r="BG72" i="113"/>
  <c r="BF72" i="113"/>
  <c r="BE72" i="113"/>
  <c r="BD72" i="113"/>
  <c r="BC72" i="113"/>
  <c r="BB72" i="113"/>
  <c r="BA72" i="113"/>
  <c r="AZ72" i="113"/>
  <c r="AY72" i="113"/>
  <c r="AX72" i="113"/>
  <c r="AW72" i="113"/>
  <c r="AV72" i="113"/>
  <c r="BJ71" i="113"/>
  <c r="BI71" i="113"/>
  <c r="BH71" i="113"/>
  <c r="BG71" i="113"/>
  <c r="BF71" i="113"/>
  <c r="BE71" i="113"/>
  <c r="BD71" i="113"/>
  <c r="BC71" i="113"/>
  <c r="BB71" i="113"/>
  <c r="BA71" i="113"/>
  <c r="AZ71" i="113"/>
  <c r="AY71" i="113"/>
  <c r="AX71" i="113"/>
  <c r="AW71" i="113"/>
  <c r="AV71" i="113"/>
  <c r="BJ70" i="113"/>
  <c r="BI70" i="113"/>
  <c r="BH70" i="113"/>
  <c r="BG70" i="113"/>
  <c r="BF70" i="113"/>
  <c r="BE70" i="113"/>
  <c r="BD70" i="113"/>
  <c r="BC70" i="113"/>
  <c r="BB70" i="113"/>
  <c r="BA70" i="113"/>
  <c r="AZ70" i="113"/>
  <c r="AY70" i="113"/>
  <c r="AX70" i="113"/>
  <c r="AW70" i="113"/>
  <c r="AV70" i="113"/>
  <c r="BJ69" i="113"/>
  <c r="BI69" i="113"/>
  <c r="BH69" i="113"/>
  <c r="BG69" i="113"/>
  <c r="BF69" i="113"/>
  <c r="BE69" i="113"/>
  <c r="BD69" i="113"/>
  <c r="BC69" i="113"/>
  <c r="BB69" i="113"/>
  <c r="BA69" i="113"/>
  <c r="AZ69" i="113"/>
  <c r="AY69" i="113"/>
  <c r="AX69" i="113"/>
  <c r="AW69" i="113"/>
  <c r="AV69" i="113"/>
  <c r="BJ68" i="113"/>
  <c r="BI68" i="113"/>
  <c r="BH68" i="113"/>
  <c r="BG68" i="113"/>
  <c r="BF68" i="113"/>
  <c r="BE68" i="113"/>
  <c r="BD68" i="113"/>
  <c r="BC68" i="113"/>
  <c r="BB68" i="113"/>
  <c r="BA68" i="113"/>
  <c r="AZ68" i="113"/>
  <c r="AY68" i="113"/>
  <c r="AX68" i="113"/>
  <c r="AW68" i="113"/>
  <c r="AV68" i="113"/>
  <c r="BJ67" i="113"/>
  <c r="BI67" i="113"/>
  <c r="BH67" i="113"/>
  <c r="BG67" i="113"/>
  <c r="BF67" i="113"/>
  <c r="BE67" i="113"/>
  <c r="BD67" i="113"/>
  <c r="BC67" i="113"/>
  <c r="BB67" i="113"/>
  <c r="BA67" i="113"/>
  <c r="AZ67" i="113"/>
  <c r="AY67" i="113"/>
  <c r="AX67" i="113"/>
  <c r="AW67" i="113"/>
  <c r="AV67" i="113"/>
  <c r="BJ66" i="113"/>
  <c r="BI66" i="113"/>
  <c r="BH66" i="113"/>
  <c r="BG66" i="113"/>
  <c r="BF66" i="113"/>
  <c r="BE66" i="113"/>
  <c r="BD66" i="113"/>
  <c r="BC66" i="113"/>
  <c r="BB66" i="113"/>
  <c r="BA66" i="113"/>
  <c r="AZ66" i="113"/>
  <c r="AY66" i="113"/>
  <c r="AX66" i="113"/>
  <c r="AW66" i="113"/>
  <c r="AV66" i="113"/>
  <c r="BJ65" i="113"/>
  <c r="BI65" i="113"/>
  <c r="BH65" i="113"/>
  <c r="BG65" i="113"/>
  <c r="BF65" i="113"/>
  <c r="BE65" i="113"/>
  <c r="BD65" i="113"/>
  <c r="BC65" i="113"/>
  <c r="BB65" i="113"/>
  <c r="BA65" i="113"/>
  <c r="AZ65" i="113"/>
  <c r="AY65" i="113"/>
  <c r="AX65" i="113"/>
  <c r="AW65" i="113"/>
  <c r="AV65" i="113"/>
  <c r="BJ64" i="113"/>
  <c r="BI64" i="113"/>
  <c r="BH64" i="113"/>
  <c r="BG64" i="113"/>
  <c r="BF64" i="113"/>
  <c r="BE64" i="113"/>
  <c r="BD64" i="113"/>
  <c r="BC64" i="113"/>
  <c r="BB64" i="113"/>
  <c r="BA64" i="113"/>
  <c r="AZ64" i="113"/>
  <c r="AY64" i="113"/>
  <c r="AX64" i="113"/>
  <c r="AW64" i="113"/>
  <c r="AV64" i="113"/>
  <c r="BJ63" i="113"/>
  <c r="BI63" i="113"/>
  <c r="BH63" i="113"/>
  <c r="BG63" i="113"/>
  <c r="BF63" i="113"/>
  <c r="BE63" i="113"/>
  <c r="BD63" i="113"/>
  <c r="BC63" i="113"/>
  <c r="BB63" i="113"/>
  <c r="BA63" i="113"/>
  <c r="AZ63" i="113"/>
  <c r="AY63" i="113"/>
  <c r="AX63" i="113"/>
  <c r="AW63" i="113"/>
  <c r="AV63" i="113"/>
  <c r="BJ62" i="113"/>
  <c r="BI62" i="113"/>
  <c r="BH62" i="113"/>
  <c r="BG62" i="113"/>
  <c r="BF62" i="113"/>
  <c r="BE62" i="113"/>
  <c r="BD62" i="113"/>
  <c r="BC62" i="113"/>
  <c r="BB62" i="113"/>
  <c r="BA62" i="113"/>
  <c r="AZ62" i="113"/>
  <c r="AY62" i="113"/>
  <c r="AX62" i="113"/>
  <c r="AW62" i="113"/>
  <c r="AV62" i="113"/>
  <c r="BJ61" i="113"/>
  <c r="BI61" i="113"/>
  <c r="BH61" i="113"/>
  <c r="BG61" i="113"/>
  <c r="BF61" i="113"/>
  <c r="BE61" i="113"/>
  <c r="BD61" i="113"/>
  <c r="BC61" i="113"/>
  <c r="BB61" i="113"/>
  <c r="BA61" i="113"/>
  <c r="AZ61" i="113"/>
  <c r="AY61" i="113"/>
  <c r="AX61" i="113"/>
  <c r="AW61" i="113"/>
  <c r="AV61" i="113"/>
  <c r="BJ60" i="113"/>
  <c r="BI60" i="113"/>
  <c r="BH60" i="113"/>
  <c r="BG60" i="113"/>
  <c r="BF60" i="113"/>
  <c r="BE60" i="113"/>
  <c r="BD60" i="113"/>
  <c r="BC60" i="113"/>
  <c r="BB60" i="113"/>
  <c r="BA60" i="113"/>
  <c r="AZ60" i="113"/>
  <c r="AY60" i="113"/>
  <c r="AX60" i="113"/>
  <c r="AW60" i="113"/>
  <c r="AV60" i="113"/>
  <c r="BJ59" i="113"/>
  <c r="BI59" i="113"/>
  <c r="BH59" i="113"/>
  <c r="BG59" i="113"/>
  <c r="BF59" i="113"/>
  <c r="BE59" i="113"/>
  <c r="BD59" i="113"/>
  <c r="BC59" i="113"/>
  <c r="BB59" i="113"/>
  <c r="BA59" i="113"/>
  <c r="AZ59" i="113"/>
  <c r="AY59" i="113"/>
  <c r="AX59" i="113"/>
  <c r="AW59" i="113"/>
  <c r="AV59" i="113"/>
  <c r="BJ58" i="113"/>
  <c r="BI58" i="113"/>
  <c r="BH58" i="113"/>
  <c r="BG58" i="113"/>
  <c r="BF58" i="113"/>
  <c r="BE58" i="113"/>
  <c r="BD58" i="113"/>
  <c r="BC58" i="113"/>
  <c r="BB58" i="113"/>
  <c r="BA58" i="113"/>
  <c r="AZ58" i="113"/>
  <c r="AY58" i="113"/>
  <c r="AX58" i="113"/>
  <c r="AW58" i="113"/>
  <c r="AV58" i="113"/>
  <c r="BJ57" i="113"/>
  <c r="BI57" i="113"/>
  <c r="BH57" i="113"/>
  <c r="BG57" i="113"/>
  <c r="BF57" i="113"/>
  <c r="BE57" i="113"/>
  <c r="BD57" i="113"/>
  <c r="BC57" i="113"/>
  <c r="BB57" i="113"/>
  <c r="BA57" i="113"/>
  <c r="AZ57" i="113"/>
  <c r="AY57" i="113"/>
  <c r="AX57" i="113"/>
  <c r="AW57" i="113"/>
  <c r="AV57" i="113"/>
  <c r="BJ56" i="113"/>
  <c r="BI56" i="113"/>
  <c r="BH56" i="113"/>
  <c r="BG56" i="113"/>
  <c r="BF56" i="113"/>
  <c r="BE56" i="113"/>
  <c r="BD56" i="113"/>
  <c r="BC56" i="113"/>
  <c r="BB56" i="113"/>
  <c r="BA56" i="113"/>
  <c r="AZ56" i="113"/>
  <c r="AY56" i="113"/>
  <c r="AX56" i="113"/>
  <c r="AW56" i="113"/>
  <c r="AV56" i="113"/>
  <c r="BJ55" i="113"/>
  <c r="BI55" i="113"/>
  <c r="BH55" i="113"/>
  <c r="BG55" i="113"/>
  <c r="BF55" i="113"/>
  <c r="BE55" i="113"/>
  <c r="BD55" i="113"/>
  <c r="BC55" i="113"/>
  <c r="BB55" i="113"/>
  <c r="BA55" i="113"/>
  <c r="AZ55" i="113"/>
  <c r="AY55" i="113"/>
  <c r="AX55" i="113"/>
  <c r="AW55" i="113"/>
  <c r="AV55" i="113"/>
  <c r="BJ54" i="113"/>
  <c r="BI54" i="113"/>
  <c r="BH54" i="113"/>
  <c r="BG54" i="113"/>
  <c r="BF54" i="113"/>
  <c r="BE54" i="113"/>
  <c r="BD54" i="113"/>
  <c r="BC54" i="113"/>
  <c r="BB54" i="113"/>
  <c r="BA54" i="113"/>
  <c r="AZ54" i="113"/>
  <c r="AY54" i="113"/>
  <c r="AX54" i="113"/>
  <c r="AW54" i="113"/>
  <c r="AV54" i="113"/>
  <c r="BJ53" i="113"/>
  <c r="BI53" i="113"/>
  <c r="BH53" i="113"/>
  <c r="BG53" i="113"/>
  <c r="BF53" i="113"/>
  <c r="BE53" i="113"/>
  <c r="BD53" i="113"/>
  <c r="BC53" i="113"/>
  <c r="BB53" i="113"/>
  <c r="BA53" i="113"/>
  <c r="AZ53" i="113"/>
  <c r="AY53" i="113"/>
  <c r="AX53" i="113"/>
  <c r="AW53" i="113"/>
  <c r="AV53" i="113"/>
  <c r="BJ52" i="113"/>
  <c r="BI52" i="113"/>
  <c r="BH52" i="113"/>
  <c r="BG52" i="113"/>
  <c r="BF52" i="113"/>
  <c r="BE52" i="113"/>
  <c r="BD52" i="113"/>
  <c r="BC52" i="113"/>
  <c r="BB52" i="113"/>
  <c r="BA52" i="113"/>
  <c r="AZ52" i="113"/>
  <c r="AY52" i="113"/>
  <c r="AX52" i="113"/>
  <c r="AW52" i="113"/>
  <c r="AV52" i="113"/>
  <c r="BJ51" i="113"/>
  <c r="BI51" i="113"/>
  <c r="BH51" i="113"/>
  <c r="BG51" i="113"/>
  <c r="BF51" i="113"/>
  <c r="BE51" i="113"/>
  <c r="BD51" i="113"/>
  <c r="BC51" i="113"/>
  <c r="BB51" i="113"/>
  <c r="BA51" i="113"/>
  <c r="AZ51" i="113"/>
  <c r="AY51" i="113"/>
  <c r="AX51" i="113"/>
  <c r="AW51" i="113"/>
  <c r="AV51" i="113"/>
  <c r="BJ50" i="113"/>
  <c r="BI50" i="113"/>
  <c r="BH50" i="113"/>
  <c r="BG50" i="113"/>
  <c r="BF50" i="113"/>
  <c r="BE50" i="113"/>
  <c r="BD50" i="113"/>
  <c r="BC50" i="113"/>
  <c r="BB50" i="113"/>
  <c r="BA50" i="113"/>
  <c r="AZ50" i="113"/>
  <c r="AY50" i="113"/>
  <c r="AX50" i="113"/>
  <c r="AW50" i="113"/>
  <c r="AV50" i="113"/>
  <c r="BJ49" i="113"/>
  <c r="BI49" i="113"/>
  <c r="BH49" i="113"/>
  <c r="BG49" i="113"/>
  <c r="BF49" i="113"/>
  <c r="BE49" i="113"/>
  <c r="BD49" i="113"/>
  <c r="BC49" i="113"/>
  <c r="BB49" i="113"/>
  <c r="BA49" i="113"/>
  <c r="AZ49" i="113"/>
  <c r="AY49" i="113"/>
  <c r="AX49" i="113"/>
  <c r="AW49" i="113"/>
  <c r="AV49" i="113"/>
  <c r="BJ48" i="113"/>
  <c r="BI48" i="113"/>
  <c r="BH48" i="113"/>
  <c r="BG48" i="113"/>
  <c r="BF48" i="113"/>
  <c r="BE48" i="113"/>
  <c r="BD48" i="113"/>
  <c r="BC48" i="113"/>
  <c r="BB48" i="113"/>
  <c r="BA48" i="113"/>
  <c r="AZ48" i="113"/>
  <c r="AY48" i="113"/>
  <c r="AX48" i="113"/>
  <c r="AW48" i="113"/>
  <c r="AV48" i="113"/>
  <c r="BJ47" i="113"/>
  <c r="BI47" i="113"/>
  <c r="BH47" i="113"/>
  <c r="BG47" i="113"/>
  <c r="BF47" i="113"/>
  <c r="BE47" i="113"/>
  <c r="BD47" i="113"/>
  <c r="BC47" i="113"/>
  <c r="BB47" i="113"/>
  <c r="BA47" i="113"/>
  <c r="AZ47" i="113"/>
  <c r="AY47" i="113"/>
  <c r="AX47" i="113"/>
  <c r="AW47" i="113"/>
  <c r="AV47" i="113"/>
  <c r="BJ46" i="113"/>
  <c r="BI46" i="113"/>
  <c r="BH46" i="113"/>
  <c r="BG46" i="113"/>
  <c r="BF46" i="113"/>
  <c r="BE46" i="113"/>
  <c r="BD46" i="113"/>
  <c r="BC46" i="113"/>
  <c r="BB46" i="113"/>
  <c r="BA46" i="113"/>
  <c r="AZ46" i="113"/>
  <c r="AY46" i="113"/>
  <c r="AX46" i="113"/>
  <c r="AW46" i="113"/>
  <c r="AV46" i="113"/>
  <c r="BJ45" i="113"/>
  <c r="BI45" i="113"/>
  <c r="BH45" i="113"/>
  <c r="BG45" i="113"/>
  <c r="BF45" i="113"/>
  <c r="BE45" i="113"/>
  <c r="BD45" i="113"/>
  <c r="BC45" i="113"/>
  <c r="BB45" i="113"/>
  <c r="BA45" i="113"/>
  <c r="AZ45" i="113"/>
  <c r="AY45" i="113"/>
  <c r="AX45" i="113"/>
  <c r="AW45" i="113"/>
  <c r="AV45" i="113"/>
  <c r="BJ44" i="113"/>
  <c r="BI44" i="113"/>
  <c r="BH44" i="113"/>
  <c r="BG44" i="113"/>
  <c r="BF44" i="113"/>
  <c r="BE44" i="113"/>
  <c r="BD44" i="113"/>
  <c r="BC44" i="113"/>
  <c r="BB44" i="113"/>
  <c r="BA44" i="113"/>
  <c r="AZ44" i="113"/>
  <c r="AY44" i="113"/>
  <c r="AX44" i="113"/>
  <c r="AW44" i="113"/>
  <c r="AV44" i="113"/>
  <c r="BJ43" i="113"/>
  <c r="BI43" i="113"/>
  <c r="BH43" i="113"/>
  <c r="BG43" i="113"/>
  <c r="BF43" i="113"/>
  <c r="BE43" i="113"/>
  <c r="BD43" i="113"/>
  <c r="BC43" i="113"/>
  <c r="BB43" i="113"/>
  <c r="BA43" i="113"/>
  <c r="AZ43" i="113"/>
  <c r="AY43" i="113"/>
  <c r="AX43" i="113"/>
  <c r="AW43" i="113"/>
  <c r="AV43" i="113"/>
  <c r="BJ42" i="113"/>
  <c r="BI42" i="113"/>
  <c r="BH42" i="113"/>
  <c r="BG42" i="113"/>
  <c r="BF42" i="113"/>
  <c r="BE42" i="113"/>
  <c r="BD42" i="113"/>
  <c r="BC42" i="113"/>
  <c r="BB42" i="113"/>
  <c r="BA42" i="113"/>
  <c r="AZ42" i="113"/>
  <c r="AY42" i="113"/>
  <c r="AX42" i="113"/>
  <c r="AW42" i="113"/>
  <c r="AV42" i="113"/>
  <c r="BJ41" i="113"/>
  <c r="BI41" i="113"/>
  <c r="BH41" i="113"/>
  <c r="BG41" i="113"/>
  <c r="BF41" i="113"/>
  <c r="BE41" i="113"/>
  <c r="BD41" i="113"/>
  <c r="BC41" i="113"/>
  <c r="BB41" i="113"/>
  <c r="BA41" i="113"/>
  <c r="AZ41" i="113"/>
  <c r="AY41" i="113"/>
  <c r="AX41" i="113"/>
  <c r="AW41" i="113"/>
  <c r="AV41" i="113"/>
  <c r="BJ40" i="113"/>
  <c r="BI40" i="113"/>
  <c r="BH40" i="113"/>
  <c r="BG40" i="113"/>
  <c r="BF40" i="113"/>
  <c r="BE40" i="113"/>
  <c r="BD40" i="113"/>
  <c r="BC40" i="113"/>
  <c r="BB40" i="113"/>
  <c r="BA40" i="113"/>
  <c r="AZ40" i="113"/>
  <c r="AY40" i="113"/>
  <c r="AX40" i="113"/>
  <c r="AW40" i="113"/>
  <c r="AV40" i="113"/>
  <c r="BJ39" i="113"/>
  <c r="BI39" i="113"/>
  <c r="BH39" i="113"/>
  <c r="BG39" i="113"/>
  <c r="BF39" i="113"/>
  <c r="BE39" i="113"/>
  <c r="BD39" i="113"/>
  <c r="BC39" i="113"/>
  <c r="BB39" i="113"/>
  <c r="BA39" i="113"/>
  <c r="AZ39" i="113"/>
  <c r="AY39" i="113"/>
  <c r="AX39" i="113"/>
  <c r="AW39" i="113"/>
  <c r="AV39" i="113"/>
  <c r="BJ38" i="113"/>
  <c r="BI38" i="113"/>
  <c r="BH38" i="113"/>
  <c r="BG38" i="113"/>
  <c r="BF38" i="113"/>
  <c r="BE38" i="113"/>
  <c r="BD38" i="113"/>
  <c r="BC38" i="113"/>
  <c r="BB38" i="113"/>
  <c r="BA38" i="113"/>
  <c r="AZ38" i="113"/>
  <c r="AY38" i="113"/>
  <c r="AX38" i="113"/>
  <c r="AW38" i="113"/>
  <c r="AV38" i="113"/>
  <c r="BJ37" i="113"/>
  <c r="BI37" i="113"/>
  <c r="BH37" i="113"/>
  <c r="BG37" i="113"/>
  <c r="BF37" i="113"/>
  <c r="BE37" i="113"/>
  <c r="BD37" i="113"/>
  <c r="BC37" i="113"/>
  <c r="BB37" i="113"/>
  <c r="BA37" i="113"/>
  <c r="AZ37" i="113"/>
  <c r="AY37" i="113"/>
  <c r="AX37" i="113"/>
  <c r="AW37" i="113"/>
  <c r="AV37" i="113"/>
  <c r="BJ36" i="113"/>
  <c r="BI36" i="113"/>
  <c r="BH36" i="113"/>
  <c r="BG36" i="113"/>
  <c r="BF36" i="113"/>
  <c r="BE36" i="113"/>
  <c r="BD36" i="113"/>
  <c r="BC36" i="113"/>
  <c r="BB36" i="113"/>
  <c r="BA36" i="113"/>
  <c r="AZ36" i="113"/>
  <c r="AY36" i="113"/>
  <c r="AX36" i="113"/>
  <c r="AW36" i="113"/>
  <c r="AV36" i="113"/>
  <c r="BJ35" i="113"/>
  <c r="BI35" i="113"/>
  <c r="BH35" i="113"/>
  <c r="BG35" i="113"/>
  <c r="BF35" i="113"/>
  <c r="BE35" i="113"/>
  <c r="BD35" i="113"/>
  <c r="BC35" i="113"/>
  <c r="BB35" i="113"/>
  <c r="BA35" i="113"/>
  <c r="AZ35" i="113"/>
  <c r="AY35" i="113"/>
  <c r="AX35" i="113"/>
  <c r="AW35" i="113"/>
  <c r="AV35" i="113"/>
  <c r="BJ34" i="113"/>
  <c r="BI34" i="113"/>
  <c r="BH34" i="113"/>
  <c r="BG34" i="113"/>
  <c r="BF34" i="113"/>
  <c r="BE34" i="113"/>
  <c r="BD34" i="113"/>
  <c r="BC34" i="113"/>
  <c r="BB34" i="113"/>
  <c r="BA34" i="113"/>
  <c r="AZ34" i="113"/>
  <c r="AY34" i="113"/>
  <c r="AX34" i="113"/>
  <c r="AW34" i="113"/>
  <c r="AV34" i="113"/>
  <c r="BJ33" i="113"/>
  <c r="BI33" i="113"/>
  <c r="BH33" i="113"/>
  <c r="BG33" i="113"/>
  <c r="BF33" i="113"/>
  <c r="BE33" i="113"/>
  <c r="BD33" i="113"/>
  <c r="BC33" i="113"/>
  <c r="BB33" i="113"/>
  <c r="BA33" i="113"/>
  <c r="AZ33" i="113"/>
  <c r="AY33" i="113"/>
  <c r="AX33" i="113"/>
  <c r="AW33" i="113"/>
  <c r="AV33" i="113"/>
  <c r="BJ32" i="113"/>
  <c r="BI32" i="113"/>
  <c r="BH32" i="113"/>
  <c r="BG32" i="113"/>
  <c r="BF32" i="113"/>
  <c r="BE32" i="113"/>
  <c r="BD32" i="113"/>
  <c r="BC32" i="113"/>
  <c r="BB32" i="113"/>
  <c r="BA32" i="113"/>
  <c r="AZ32" i="113"/>
  <c r="AY32" i="113"/>
  <c r="AX32" i="113"/>
  <c r="AW32" i="113"/>
  <c r="AV32" i="113"/>
  <c r="BJ31" i="113"/>
  <c r="BI31" i="113"/>
  <c r="BH31" i="113"/>
  <c r="BG31" i="113"/>
  <c r="BF31" i="113"/>
  <c r="BE31" i="113"/>
  <c r="BD31" i="113"/>
  <c r="BC31" i="113"/>
  <c r="BB31" i="113"/>
  <c r="BA31" i="113"/>
  <c r="AZ31" i="113"/>
  <c r="AY31" i="113"/>
  <c r="AX31" i="113"/>
  <c r="AW31" i="113"/>
  <c r="AV31" i="113"/>
  <c r="BJ30" i="113"/>
  <c r="BI30" i="113"/>
  <c r="BH30" i="113"/>
  <c r="BG30" i="113"/>
  <c r="BF30" i="113"/>
  <c r="BE30" i="113"/>
  <c r="BD30" i="113"/>
  <c r="BC30" i="113"/>
  <c r="BB30" i="113"/>
  <c r="BA30" i="113"/>
  <c r="AZ30" i="113"/>
  <c r="AY30" i="113"/>
  <c r="AX30" i="113"/>
  <c r="AW30" i="113"/>
  <c r="AV30" i="113"/>
  <c r="BJ29" i="113"/>
  <c r="BI29" i="113"/>
  <c r="BH29" i="113"/>
  <c r="BG29" i="113"/>
  <c r="BF29" i="113"/>
  <c r="BE29" i="113"/>
  <c r="BD29" i="113"/>
  <c r="BC29" i="113"/>
  <c r="BB29" i="113"/>
  <c r="BA29" i="113"/>
  <c r="AZ29" i="113"/>
  <c r="AY29" i="113"/>
  <c r="AX29" i="113"/>
  <c r="AW29" i="113"/>
  <c r="AV29" i="113"/>
  <c r="BJ28" i="113"/>
  <c r="BI28" i="113"/>
  <c r="BH28" i="113"/>
  <c r="BG28" i="113"/>
  <c r="BF28" i="113"/>
  <c r="BE28" i="113"/>
  <c r="BD28" i="113"/>
  <c r="BC28" i="113"/>
  <c r="BB28" i="113"/>
  <c r="BA28" i="113"/>
  <c r="AZ28" i="113"/>
  <c r="AY28" i="113"/>
  <c r="AX28" i="113"/>
  <c r="AW28" i="113"/>
  <c r="AV28" i="113"/>
  <c r="BJ27" i="113"/>
  <c r="BI27" i="113"/>
  <c r="BH27" i="113"/>
  <c r="BG27" i="113"/>
  <c r="BF27" i="113"/>
  <c r="BE27" i="113"/>
  <c r="BD27" i="113"/>
  <c r="BC27" i="113"/>
  <c r="BB27" i="113"/>
  <c r="BA27" i="113"/>
  <c r="AZ27" i="113"/>
  <c r="AY27" i="113"/>
  <c r="AX27" i="113"/>
  <c r="AW27" i="113"/>
  <c r="AV27" i="113"/>
  <c r="BJ26" i="113"/>
  <c r="BI26" i="113"/>
  <c r="BH26" i="113"/>
  <c r="BG26" i="113"/>
  <c r="BF26" i="113"/>
  <c r="BE26" i="113"/>
  <c r="BD26" i="113"/>
  <c r="BC26" i="113"/>
  <c r="BB26" i="113"/>
  <c r="BA26" i="113"/>
  <c r="AZ26" i="113"/>
  <c r="AY26" i="113"/>
  <c r="AX26" i="113"/>
  <c r="AW26" i="113"/>
  <c r="AV26" i="113"/>
  <c r="BJ25" i="113"/>
  <c r="BI25" i="113"/>
  <c r="BH25" i="113"/>
  <c r="BG25" i="113"/>
  <c r="BF25" i="113"/>
  <c r="BE25" i="113"/>
  <c r="BD25" i="113"/>
  <c r="BC25" i="113"/>
  <c r="BB25" i="113"/>
  <c r="BA25" i="113"/>
  <c r="AZ25" i="113"/>
  <c r="AY25" i="113"/>
  <c r="AX25" i="113"/>
  <c r="AW25" i="113"/>
  <c r="AV25" i="113"/>
  <c r="BJ24" i="113"/>
  <c r="BI24" i="113"/>
  <c r="BH24" i="113"/>
  <c r="BG24" i="113"/>
  <c r="BF24" i="113"/>
  <c r="BE24" i="113"/>
  <c r="BD24" i="113"/>
  <c r="BC24" i="113"/>
  <c r="BB24" i="113"/>
  <c r="BA24" i="113"/>
  <c r="AZ24" i="113"/>
  <c r="AY24" i="113"/>
  <c r="AX24" i="113"/>
  <c r="AW24" i="113"/>
  <c r="AV24" i="113"/>
  <c r="BJ23" i="113"/>
  <c r="BI23" i="113"/>
  <c r="BH23" i="113"/>
  <c r="BG23" i="113"/>
  <c r="BF23" i="113"/>
  <c r="BE23" i="113"/>
  <c r="BD23" i="113"/>
  <c r="BC23" i="113"/>
  <c r="BB23" i="113"/>
  <c r="BA23" i="113"/>
  <c r="AZ23" i="113"/>
  <c r="AY23" i="113"/>
  <c r="AX23" i="113"/>
  <c r="AW23" i="113"/>
  <c r="AV23" i="113"/>
  <c r="BJ22" i="113"/>
  <c r="BI22" i="113"/>
  <c r="BH22" i="113"/>
  <c r="BG22" i="113"/>
  <c r="BF22" i="113"/>
  <c r="BE22" i="113"/>
  <c r="BD22" i="113"/>
  <c r="BC22" i="113"/>
  <c r="BB22" i="113"/>
  <c r="BA22" i="113"/>
  <c r="AZ22" i="113"/>
  <c r="AY22" i="113"/>
  <c r="AX22" i="113"/>
  <c r="AW22" i="113"/>
  <c r="AV22" i="113"/>
  <c r="BJ21" i="113"/>
  <c r="BI21" i="113"/>
  <c r="BH21" i="113"/>
  <c r="BG21" i="113"/>
  <c r="BF21" i="113"/>
  <c r="BE21" i="113"/>
  <c r="BD21" i="113"/>
  <c r="BC21" i="113"/>
  <c r="BB21" i="113"/>
  <c r="BA21" i="113"/>
  <c r="AZ21" i="113"/>
  <c r="AY21" i="113"/>
  <c r="AX21" i="113"/>
  <c r="AW21" i="113"/>
  <c r="AV21" i="113"/>
  <c r="BJ20" i="113"/>
  <c r="BI20" i="113"/>
  <c r="BH20" i="113"/>
  <c r="BG20" i="113"/>
  <c r="BF20" i="113"/>
  <c r="BE20" i="113"/>
  <c r="BD20" i="113"/>
  <c r="BC20" i="113"/>
  <c r="BB20" i="113"/>
  <c r="BA20" i="113"/>
  <c r="AZ20" i="113"/>
  <c r="AY20" i="113"/>
  <c r="AX20" i="113"/>
  <c r="AW20" i="113"/>
  <c r="AV20" i="113"/>
  <c r="BJ19" i="113"/>
  <c r="BI19" i="113"/>
  <c r="BH19" i="113"/>
  <c r="BG19" i="113"/>
  <c r="BF19" i="113"/>
  <c r="BE19" i="113"/>
  <c r="BD19" i="113"/>
  <c r="BC19" i="113"/>
  <c r="BB19" i="113"/>
  <c r="BA19" i="113"/>
  <c r="AZ19" i="113"/>
  <c r="AY19" i="113"/>
  <c r="AX19" i="113"/>
  <c r="AW19" i="113"/>
  <c r="AV19" i="113"/>
  <c r="BJ18" i="113"/>
  <c r="BI18" i="113"/>
  <c r="BH18" i="113"/>
  <c r="BG18" i="113"/>
  <c r="BF18" i="113"/>
  <c r="BE18" i="113"/>
  <c r="BD18" i="113"/>
  <c r="BC18" i="113"/>
  <c r="BB18" i="113"/>
  <c r="BA18" i="113"/>
  <c r="AZ18" i="113"/>
  <c r="AY18" i="113"/>
  <c r="AX18" i="113"/>
  <c r="AW18" i="113"/>
  <c r="AV18" i="113"/>
  <c r="BJ17" i="113"/>
  <c r="BI17" i="113"/>
  <c r="BH17" i="113"/>
  <c r="BG17" i="113"/>
  <c r="BF17" i="113"/>
  <c r="BE17" i="113"/>
  <c r="BD17" i="113"/>
  <c r="BC17" i="113"/>
  <c r="BB17" i="113"/>
  <c r="BA17" i="113"/>
  <c r="AZ17" i="113"/>
  <c r="AY17" i="113"/>
  <c r="AX17" i="113"/>
  <c r="AW17" i="113"/>
  <c r="AV17" i="113"/>
  <c r="BJ16" i="113"/>
  <c r="BI16" i="113"/>
  <c r="BH16" i="113"/>
  <c r="BG16" i="113"/>
  <c r="BF16" i="113"/>
  <c r="BE16" i="113"/>
  <c r="BD16" i="113"/>
  <c r="BC16" i="113"/>
  <c r="BB16" i="113"/>
  <c r="BA16" i="113"/>
  <c r="AZ16" i="113"/>
  <c r="AY16" i="113"/>
  <c r="AX16" i="113"/>
  <c r="AW16" i="113"/>
  <c r="AV16" i="113"/>
  <c r="BJ15" i="113"/>
  <c r="BI15" i="113"/>
  <c r="BH15" i="113"/>
  <c r="BG15" i="113"/>
  <c r="BF15" i="113"/>
  <c r="BE15" i="113"/>
  <c r="BD15" i="113"/>
  <c r="BC15" i="113"/>
  <c r="BB15" i="113"/>
  <c r="BA15" i="113"/>
  <c r="AZ15" i="113"/>
  <c r="AY15" i="113"/>
  <c r="AX15" i="113"/>
  <c r="AW15" i="113"/>
  <c r="AV15" i="113"/>
  <c r="BJ14" i="113"/>
  <c r="BI14" i="113"/>
  <c r="BH14" i="113"/>
  <c r="BG14" i="113"/>
  <c r="BF14" i="113"/>
  <c r="BE14" i="113"/>
  <c r="BD14" i="113"/>
  <c r="BC14" i="113"/>
  <c r="BB14" i="113"/>
  <c r="BA14" i="113"/>
  <c r="AZ14" i="113"/>
  <c r="AY14" i="113"/>
  <c r="AX14" i="113"/>
  <c r="AW14" i="113"/>
  <c r="AV14" i="113"/>
  <c r="BJ13" i="113"/>
  <c r="BI13" i="113"/>
  <c r="BH13" i="113"/>
  <c r="BG13" i="113"/>
  <c r="BF13" i="113"/>
  <c r="BE13" i="113"/>
  <c r="BD13" i="113"/>
  <c r="BC13" i="113"/>
  <c r="BB13" i="113"/>
  <c r="BA13" i="113"/>
  <c r="AZ13" i="113"/>
  <c r="AY13" i="113"/>
  <c r="AX13" i="113"/>
  <c r="AW13" i="113"/>
  <c r="AV13" i="113"/>
  <c r="BJ12" i="113"/>
  <c r="BI12" i="113"/>
  <c r="BH12" i="113"/>
  <c r="BG12" i="113"/>
  <c r="BF12" i="113"/>
  <c r="BE12" i="113"/>
  <c r="BD12" i="113"/>
  <c r="BC12" i="113"/>
  <c r="BB12" i="113"/>
  <c r="BA12" i="113"/>
  <c r="AZ12" i="113"/>
  <c r="AY12" i="113"/>
  <c r="AX12" i="113"/>
  <c r="AW12" i="113"/>
  <c r="AV12" i="113"/>
  <c r="BJ11" i="113"/>
  <c r="BI11" i="113"/>
  <c r="BH11" i="113"/>
  <c r="BG11" i="113"/>
  <c r="BF11" i="113"/>
  <c r="BE11" i="113"/>
  <c r="BD11" i="113"/>
  <c r="BC11" i="113"/>
  <c r="BB11" i="113"/>
  <c r="BA11" i="113"/>
  <c r="AZ11" i="113"/>
  <c r="AY11" i="113"/>
  <c r="AX11" i="113"/>
  <c r="AW11" i="113"/>
  <c r="AV11" i="113"/>
  <c r="BJ10" i="113"/>
  <c r="BI10" i="113"/>
  <c r="BH10" i="113"/>
  <c r="BG10" i="113"/>
  <c r="BF10" i="113"/>
  <c r="BE10" i="113"/>
  <c r="BD10" i="113"/>
  <c r="BC10" i="113"/>
  <c r="BB10" i="113"/>
  <c r="BA10" i="113"/>
  <c r="AZ10" i="113"/>
  <c r="AY10" i="113"/>
  <c r="AX10" i="113"/>
  <c r="AW10" i="113"/>
  <c r="AV10" i="113"/>
  <c r="BJ9" i="113"/>
  <c r="BI9" i="113"/>
  <c r="BH9" i="113"/>
  <c r="BG9" i="113"/>
  <c r="BF9" i="113"/>
  <c r="BE9" i="113"/>
  <c r="BD9" i="113"/>
  <c r="BC9" i="113"/>
  <c r="BB9" i="113"/>
  <c r="BA9" i="113"/>
  <c r="AZ9" i="113"/>
  <c r="AY9" i="113"/>
  <c r="AX9" i="113"/>
  <c r="AW9" i="113"/>
  <c r="AV9" i="113"/>
  <c r="BJ8" i="113"/>
  <c r="BI8" i="113"/>
  <c r="BH8" i="113"/>
  <c r="BG8" i="113"/>
  <c r="BF8" i="113"/>
  <c r="BE8" i="113"/>
  <c r="BD8" i="113"/>
  <c r="BC8" i="113"/>
  <c r="BB8" i="113"/>
  <c r="BA8" i="113"/>
  <c r="AZ8" i="113"/>
  <c r="AY8" i="113"/>
  <c r="AX8" i="113"/>
  <c r="AW8" i="113"/>
  <c r="AV8" i="113"/>
  <c r="BJ7" i="113"/>
  <c r="BI7" i="113"/>
  <c r="BH7" i="113"/>
  <c r="BG7" i="113"/>
  <c r="BF7" i="113"/>
  <c r="BE7" i="113"/>
  <c r="BD7" i="113"/>
  <c r="BC7" i="113"/>
  <c r="BB7" i="113"/>
  <c r="BA7" i="113"/>
  <c r="AZ7" i="113"/>
  <c r="AY7" i="113"/>
  <c r="AX7" i="113"/>
  <c r="AW7" i="113"/>
  <c r="AV7" i="113"/>
  <c r="BJ6" i="113"/>
  <c r="BI6" i="113"/>
  <c r="BH6" i="113"/>
  <c r="BG6" i="113"/>
  <c r="BF6" i="113"/>
  <c r="BE6" i="113"/>
  <c r="BD6" i="113"/>
  <c r="BC6" i="113"/>
  <c r="BB6" i="113"/>
  <c r="BA6" i="113"/>
  <c r="AZ6" i="113"/>
  <c r="AY6" i="113"/>
  <c r="AX6" i="113"/>
  <c r="AW6" i="113"/>
  <c r="AV6" i="113"/>
  <c r="BJ5" i="113"/>
  <c r="BI5" i="113"/>
  <c r="BH5" i="113"/>
  <c r="BG5" i="113"/>
  <c r="BF5" i="113"/>
  <c r="BE5" i="113"/>
  <c r="BD5" i="113"/>
  <c r="BC5" i="113"/>
  <c r="BB5" i="113"/>
  <c r="BA5" i="113"/>
  <c r="AZ5" i="113"/>
  <c r="AY5" i="113"/>
  <c r="AX5" i="113"/>
  <c r="AW5" i="113"/>
  <c r="AV5" i="113"/>
  <c r="AO131" i="113"/>
  <c r="AO130" i="113"/>
  <c r="AO129" i="113"/>
  <c r="AO128" i="113"/>
  <c r="AO127" i="113"/>
  <c r="O131" i="114"/>
  <c r="N131" i="114"/>
  <c r="M131" i="114"/>
  <c r="L131" i="114"/>
  <c r="O130" i="114"/>
  <c r="N130" i="114"/>
  <c r="M130" i="114"/>
  <c r="L130" i="114"/>
  <c r="O129" i="114"/>
  <c r="N129" i="114"/>
  <c r="M129" i="114"/>
  <c r="L129" i="114"/>
  <c r="O128" i="114"/>
  <c r="N128" i="114"/>
  <c r="M128" i="114"/>
  <c r="L128" i="114"/>
  <c r="O127" i="114"/>
  <c r="N127" i="114"/>
  <c r="M127" i="114"/>
  <c r="L127" i="114"/>
  <c r="O100" i="114"/>
  <c r="N100" i="114"/>
  <c r="M100" i="114"/>
  <c r="O99" i="114"/>
  <c r="N99" i="114"/>
  <c r="M99" i="114"/>
  <c r="O98" i="114"/>
  <c r="N98" i="114"/>
  <c r="M98" i="114"/>
  <c r="O125" i="114"/>
  <c r="N125" i="114"/>
  <c r="M125" i="114"/>
  <c r="O124" i="114"/>
  <c r="N124" i="114"/>
  <c r="M124" i="114"/>
  <c r="O97" i="114"/>
  <c r="N97" i="114"/>
  <c r="M97" i="114"/>
  <c r="O96" i="114"/>
  <c r="N96" i="114"/>
  <c r="M96" i="114"/>
  <c r="O95" i="114"/>
  <c r="N95" i="114"/>
  <c r="M95" i="114"/>
  <c r="O123" i="114"/>
  <c r="N123" i="114"/>
  <c r="M123" i="114"/>
  <c r="O94" i="114"/>
  <c r="N94" i="114"/>
  <c r="M94" i="114"/>
  <c r="O93" i="114"/>
  <c r="N93" i="114"/>
  <c r="M93" i="114"/>
  <c r="O92" i="114"/>
  <c r="N92" i="114"/>
  <c r="M92" i="114"/>
  <c r="O122" i="114"/>
  <c r="N122" i="114"/>
  <c r="M122" i="114"/>
  <c r="O91" i="114"/>
  <c r="N91" i="114"/>
  <c r="M91" i="114"/>
  <c r="O90" i="114"/>
  <c r="N90" i="114"/>
  <c r="M90" i="114"/>
  <c r="O89" i="114"/>
  <c r="N89" i="114"/>
  <c r="M89" i="114"/>
  <c r="O88" i="114"/>
  <c r="N88" i="114"/>
  <c r="M88" i="114"/>
  <c r="O87" i="114"/>
  <c r="N87" i="114"/>
  <c r="M87" i="114"/>
  <c r="O86" i="114"/>
  <c r="N86" i="114"/>
  <c r="M86" i="114"/>
  <c r="O85" i="114"/>
  <c r="N85" i="114"/>
  <c r="M85" i="114"/>
  <c r="O84" i="114"/>
  <c r="N84" i="114"/>
  <c r="M84" i="114"/>
  <c r="O83" i="114"/>
  <c r="N83" i="114"/>
  <c r="M83" i="114"/>
  <c r="O82" i="114"/>
  <c r="N82" i="114"/>
  <c r="M82" i="114"/>
  <c r="O121" i="114"/>
  <c r="N121" i="114"/>
  <c r="M121" i="114"/>
  <c r="O81" i="114"/>
  <c r="N81" i="114"/>
  <c r="M81" i="114"/>
  <c r="O120" i="114"/>
  <c r="N120" i="114"/>
  <c r="M120" i="114"/>
  <c r="O80" i="114"/>
  <c r="N80" i="114"/>
  <c r="M80" i="114"/>
  <c r="O119" i="114"/>
  <c r="N119" i="114"/>
  <c r="M119" i="114"/>
  <c r="O79" i="114"/>
  <c r="N79" i="114"/>
  <c r="M79" i="114"/>
  <c r="O78" i="114"/>
  <c r="N78" i="114"/>
  <c r="M78" i="114"/>
  <c r="O77" i="114"/>
  <c r="N77" i="114"/>
  <c r="M77" i="114"/>
  <c r="O76" i="114"/>
  <c r="N76" i="114"/>
  <c r="M76" i="114"/>
  <c r="O75" i="114"/>
  <c r="N75" i="114"/>
  <c r="M75" i="114"/>
  <c r="O118" i="114"/>
  <c r="N118" i="114"/>
  <c r="M118" i="114"/>
  <c r="O74" i="114"/>
  <c r="N74" i="114"/>
  <c r="M74" i="114"/>
  <c r="O117" i="114"/>
  <c r="N117" i="114"/>
  <c r="M117" i="114"/>
  <c r="O73" i="114"/>
  <c r="N73" i="114"/>
  <c r="M73" i="114"/>
  <c r="O72" i="114"/>
  <c r="N72" i="114"/>
  <c r="M72" i="114"/>
  <c r="O71" i="114"/>
  <c r="N71" i="114"/>
  <c r="M71" i="114"/>
  <c r="O70" i="114"/>
  <c r="N70" i="114"/>
  <c r="M70" i="114"/>
  <c r="O116" i="114"/>
  <c r="N116" i="114"/>
  <c r="M116" i="114"/>
  <c r="O69" i="114"/>
  <c r="N69" i="114"/>
  <c r="M69" i="114"/>
  <c r="O68" i="114"/>
  <c r="N68" i="114"/>
  <c r="M68" i="114"/>
  <c r="O115" i="114"/>
  <c r="N115" i="114"/>
  <c r="M115" i="114"/>
  <c r="O114" i="114"/>
  <c r="N114" i="114"/>
  <c r="M114" i="114"/>
  <c r="O67" i="114"/>
  <c r="N67" i="114"/>
  <c r="M67" i="114"/>
  <c r="O66" i="114"/>
  <c r="N66" i="114"/>
  <c r="M66" i="114"/>
  <c r="O65" i="114"/>
  <c r="N65" i="114"/>
  <c r="M65" i="114"/>
  <c r="O64" i="114"/>
  <c r="N64" i="114"/>
  <c r="M64" i="114"/>
  <c r="O63" i="114"/>
  <c r="N63" i="114"/>
  <c r="M63" i="114"/>
  <c r="O62" i="114"/>
  <c r="N62" i="114"/>
  <c r="M62" i="114"/>
  <c r="O113" i="114"/>
  <c r="N113" i="114"/>
  <c r="M113" i="114"/>
  <c r="O112" i="114"/>
  <c r="N112" i="114"/>
  <c r="M112" i="114"/>
  <c r="O61" i="114"/>
  <c r="N61" i="114"/>
  <c r="M61" i="114"/>
  <c r="O111" i="114"/>
  <c r="N111" i="114"/>
  <c r="M111" i="114"/>
  <c r="O60" i="114"/>
  <c r="N60" i="114"/>
  <c r="M60" i="114"/>
  <c r="O59" i="114"/>
  <c r="N59" i="114"/>
  <c r="M59" i="114"/>
  <c r="O58" i="114"/>
  <c r="N58" i="114"/>
  <c r="M58" i="114"/>
  <c r="O57" i="114"/>
  <c r="N57" i="114"/>
  <c r="M57" i="114"/>
  <c r="O56" i="114"/>
  <c r="N56" i="114"/>
  <c r="M56" i="114"/>
  <c r="O55" i="114"/>
  <c r="N55" i="114"/>
  <c r="M55" i="114"/>
  <c r="O54" i="114"/>
  <c r="N54" i="114"/>
  <c r="M54" i="114"/>
  <c r="O53" i="114"/>
  <c r="N53" i="114"/>
  <c r="M53" i="114"/>
  <c r="O52" i="114"/>
  <c r="N52" i="114"/>
  <c r="M52" i="114"/>
  <c r="O51" i="114"/>
  <c r="N51" i="114"/>
  <c r="M51" i="114"/>
  <c r="O110" i="114"/>
  <c r="N110" i="114"/>
  <c r="M110" i="114"/>
  <c r="O50" i="114"/>
  <c r="N50" i="114"/>
  <c r="M50" i="114"/>
  <c r="O49" i="114"/>
  <c r="N49" i="114"/>
  <c r="M49" i="114"/>
  <c r="O48" i="114"/>
  <c r="N48" i="114"/>
  <c r="M48" i="114"/>
  <c r="O47" i="114"/>
  <c r="N47" i="114"/>
  <c r="M47" i="114"/>
  <c r="O109" i="114"/>
  <c r="N109" i="114"/>
  <c r="M109" i="114"/>
  <c r="O46" i="114"/>
  <c r="N46" i="114"/>
  <c r="M46" i="114"/>
  <c r="O45" i="114"/>
  <c r="N45" i="114"/>
  <c r="M45" i="114"/>
  <c r="O44" i="114"/>
  <c r="N44" i="114"/>
  <c r="M44" i="114"/>
  <c r="O43" i="114"/>
  <c r="N43" i="114"/>
  <c r="M43" i="114"/>
  <c r="O42" i="114"/>
  <c r="N42" i="114"/>
  <c r="M42" i="114"/>
  <c r="O41" i="114"/>
  <c r="N41" i="114"/>
  <c r="M41" i="114"/>
  <c r="O40" i="114"/>
  <c r="N40" i="114"/>
  <c r="M40" i="114"/>
  <c r="O108" i="114"/>
  <c r="N108" i="114"/>
  <c r="M108" i="114"/>
  <c r="O107" i="114"/>
  <c r="N107" i="114"/>
  <c r="M107" i="114"/>
  <c r="O39" i="114"/>
  <c r="N39" i="114"/>
  <c r="M39" i="114"/>
  <c r="O38" i="114"/>
  <c r="N38" i="114"/>
  <c r="M38" i="114"/>
  <c r="O106" i="114"/>
  <c r="N106" i="114"/>
  <c r="M106" i="114"/>
  <c r="O37" i="114"/>
  <c r="N37" i="114"/>
  <c r="M37" i="114"/>
  <c r="O36" i="114"/>
  <c r="N36" i="114"/>
  <c r="M36" i="114"/>
  <c r="O35" i="114"/>
  <c r="N35" i="114"/>
  <c r="M35" i="114"/>
  <c r="O34" i="114"/>
  <c r="N34" i="114"/>
  <c r="M34" i="114"/>
  <c r="O33" i="114"/>
  <c r="N33" i="114"/>
  <c r="M33" i="114"/>
  <c r="O32" i="114"/>
  <c r="N32" i="114"/>
  <c r="M32" i="114"/>
  <c r="O31" i="114"/>
  <c r="N31" i="114"/>
  <c r="M31" i="114"/>
  <c r="O105" i="114"/>
  <c r="N105" i="114"/>
  <c r="M105" i="114"/>
  <c r="O30" i="114"/>
  <c r="N30" i="114"/>
  <c r="M30" i="114"/>
  <c r="O29" i="114"/>
  <c r="N29" i="114"/>
  <c r="M29" i="114"/>
  <c r="O28" i="114"/>
  <c r="N28" i="114"/>
  <c r="M28" i="114"/>
  <c r="O27" i="114"/>
  <c r="N27" i="114"/>
  <c r="M27" i="114"/>
  <c r="O26" i="114"/>
  <c r="N26" i="114"/>
  <c r="M26" i="114"/>
  <c r="O104" i="114"/>
  <c r="N104" i="114"/>
  <c r="M104" i="114"/>
  <c r="O103" i="114"/>
  <c r="N103" i="114"/>
  <c r="M103" i="114"/>
  <c r="O25" i="114"/>
  <c r="N25" i="114"/>
  <c r="M25" i="114"/>
  <c r="O24" i="114"/>
  <c r="N24" i="114"/>
  <c r="M24" i="114"/>
  <c r="O23" i="114"/>
  <c r="N23" i="114"/>
  <c r="M23" i="114"/>
  <c r="O22" i="114"/>
  <c r="N22" i="114"/>
  <c r="M22" i="114"/>
  <c r="O21" i="114"/>
  <c r="N21" i="114"/>
  <c r="M21" i="114"/>
  <c r="O20" i="114"/>
  <c r="N20" i="114"/>
  <c r="M20" i="114"/>
  <c r="O19" i="114"/>
  <c r="N19" i="114"/>
  <c r="M19" i="114"/>
  <c r="O18" i="114"/>
  <c r="N18" i="114"/>
  <c r="M18" i="114"/>
  <c r="O102" i="114"/>
  <c r="N102" i="114"/>
  <c r="M102" i="114"/>
  <c r="O17" i="114"/>
  <c r="N17" i="114"/>
  <c r="M17" i="114"/>
  <c r="O16" i="114"/>
  <c r="N16" i="114"/>
  <c r="M16" i="114"/>
  <c r="O15" i="114"/>
  <c r="N15" i="114"/>
  <c r="M15" i="114"/>
  <c r="O14" i="114"/>
  <c r="N14" i="114"/>
  <c r="M14" i="114"/>
  <c r="O13" i="114"/>
  <c r="N13" i="114"/>
  <c r="M13" i="114"/>
  <c r="O12" i="114"/>
  <c r="N12" i="114"/>
  <c r="M12" i="114"/>
  <c r="O11" i="114"/>
  <c r="N11" i="114"/>
  <c r="M11" i="114"/>
  <c r="O10" i="114"/>
  <c r="N10" i="114"/>
  <c r="M10" i="114"/>
  <c r="O9" i="114"/>
  <c r="N9" i="114"/>
  <c r="M9" i="114"/>
  <c r="O8" i="114"/>
  <c r="N8" i="114"/>
  <c r="M8" i="114"/>
  <c r="O101" i="114"/>
  <c r="N101" i="114"/>
  <c r="M101" i="114"/>
  <c r="O7" i="114"/>
  <c r="N7" i="114"/>
  <c r="M7" i="114"/>
  <c r="O6" i="114"/>
  <c r="N6" i="114"/>
  <c r="M6" i="114"/>
  <c r="L6" i="114"/>
  <c r="O5" i="114"/>
  <c r="J63" i="1" s="1"/>
  <c r="N5" i="114"/>
  <c r="J62" i="1" s="1"/>
  <c r="M5" i="114"/>
  <c r="J61" i="1" s="1"/>
  <c r="L5" i="114"/>
  <c r="J60" i="1" s="1"/>
  <c r="AO129" i="109"/>
  <c r="BK7" i="113" l="1"/>
  <c r="BK11" i="113"/>
  <c r="BK15" i="113"/>
  <c r="BK19" i="113"/>
  <c r="BK23" i="113"/>
  <c r="BK27" i="113"/>
  <c r="BK31" i="113"/>
  <c r="BK35" i="113"/>
  <c r="BK39" i="113"/>
  <c r="BK43" i="113"/>
  <c r="BK47" i="113"/>
  <c r="BK6" i="113"/>
  <c r="BK10" i="113"/>
  <c r="BK14" i="113"/>
  <c r="BK18" i="113"/>
  <c r="BK22" i="113"/>
  <c r="BK26" i="113"/>
  <c r="BK30" i="113"/>
  <c r="BK34" i="113"/>
  <c r="BK38" i="113"/>
  <c r="BK42" i="113"/>
  <c r="BK46" i="113"/>
  <c r="BK8" i="113"/>
  <c r="BK12" i="113"/>
  <c r="BK16" i="113"/>
  <c r="BK20" i="113"/>
  <c r="BK24" i="113"/>
  <c r="BK28" i="113"/>
  <c r="BK32" i="113"/>
  <c r="BK36" i="113"/>
  <c r="BK40" i="113"/>
  <c r="BK44" i="113"/>
  <c r="BK48" i="113"/>
  <c r="BK52" i="113"/>
  <c r="BK56" i="113"/>
  <c r="BK60" i="113"/>
  <c r="BK64" i="113"/>
  <c r="BK68" i="113"/>
  <c r="BK72" i="113"/>
  <c r="BK76" i="113"/>
  <c r="BK80" i="113"/>
  <c r="BK84" i="113"/>
  <c r="BK88" i="113"/>
  <c r="BK5" i="113"/>
  <c r="I18" i="108" s="1"/>
  <c r="BK9" i="113"/>
  <c r="BK13" i="113"/>
  <c r="BK17" i="113"/>
  <c r="BK21" i="113"/>
  <c r="BK25" i="113"/>
  <c r="BK29" i="113"/>
  <c r="BK33" i="113"/>
  <c r="BK37" i="113"/>
  <c r="BK41" i="113"/>
  <c r="BK45" i="113"/>
  <c r="BK49" i="113"/>
  <c r="BK53" i="113"/>
  <c r="BK57" i="113"/>
  <c r="BK61" i="113"/>
  <c r="BK65" i="113"/>
  <c r="BK69" i="113"/>
  <c r="BK73" i="113"/>
  <c r="BK77" i="113"/>
  <c r="BK81" i="113"/>
  <c r="BK85" i="113"/>
  <c r="BK89" i="113"/>
  <c r="D131" i="59"/>
  <c r="I131" i="117"/>
  <c r="H131" i="117"/>
  <c r="BK50" i="113"/>
  <c r="BK54" i="113"/>
  <c r="BK58" i="113"/>
  <c r="BK62" i="113"/>
  <c r="BK66" i="113"/>
  <c r="BK70" i="113"/>
  <c r="BK74" i="113"/>
  <c r="BK78" i="113"/>
  <c r="BK82" i="113"/>
  <c r="BK86" i="113"/>
  <c r="BK90" i="113"/>
  <c r="BK94" i="113"/>
  <c r="BK98" i="113"/>
  <c r="BK102" i="113"/>
  <c r="BK106" i="113"/>
  <c r="BK110" i="113"/>
  <c r="BK114" i="113"/>
  <c r="BK118" i="113"/>
  <c r="BK122" i="113"/>
  <c r="BK127" i="113"/>
  <c r="BK131" i="113"/>
  <c r="BK51" i="113"/>
  <c r="BK55" i="113"/>
  <c r="BK59" i="113"/>
  <c r="BK63" i="113"/>
  <c r="BK67" i="113"/>
  <c r="BK71" i="113"/>
  <c r="BK75" i="113"/>
  <c r="BK79" i="113"/>
  <c r="BK83" i="113"/>
  <c r="BK87" i="113"/>
  <c r="BK91" i="113"/>
  <c r="BK95" i="113"/>
  <c r="BK99" i="113"/>
  <c r="BK103" i="113"/>
  <c r="BK107" i="113"/>
  <c r="BK111" i="113"/>
  <c r="BK115" i="113"/>
  <c r="BK119" i="113"/>
  <c r="BK123" i="113"/>
  <c r="BK128" i="113"/>
  <c r="BK92" i="113"/>
  <c r="BK96" i="113"/>
  <c r="BK100" i="113"/>
  <c r="BK104" i="113"/>
  <c r="BK108" i="113"/>
  <c r="BK112" i="113"/>
  <c r="BK116" i="113"/>
  <c r="BK120" i="113"/>
  <c r="BK124" i="113"/>
  <c r="BK129" i="113"/>
  <c r="BK93" i="113"/>
  <c r="BK97" i="113"/>
  <c r="BK101" i="113"/>
  <c r="BK105" i="113"/>
  <c r="BK109" i="113"/>
  <c r="BK113" i="113"/>
  <c r="BK117" i="113"/>
  <c r="BK121" i="113"/>
  <c r="BK125" i="113"/>
  <c r="BK130" i="113"/>
  <c r="H17" i="123" l="1"/>
  <c r="D17" i="123"/>
  <c r="D16" i="123"/>
  <c r="D15" i="123"/>
  <c r="H14" i="123"/>
  <c r="E14" i="123"/>
  <c r="D14" i="123"/>
  <c r="E10" i="123"/>
  <c r="C28" i="108" s="1"/>
  <c r="D10" i="123"/>
  <c r="C27" i="108" s="1"/>
  <c r="R99" i="31"/>
  <c r="R98" i="31"/>
  <c r="R97" i="31"/>
  <c r="R124" i="31"/>
  <c r="R123" i="31"/>
  <c r="R96" i="31"/>
  <c r="R95" i="31"/>
  <c r="R94" i="31"/>
  <c r="R122" i="31"/>
  <c r="R93" i="31"/>
  <c r="R92" i="31"/>
  <c r="R91" i="31"/>
  <c r="R121" i="31"/>
  <c r="R90" i="31"/>
  <c r="R89" i="31"/>
  <c r="R88" i="31"/>
  <c r="R87" i="31"/>
  <c r="R86" i="31"/>
  <c r="R85" i="31"/>
  <c r="R84" i="31"/>
  <c r="R83" i="31"/>
  <c r="R82" i="31"/>
  <c r="R81" i="31"/>
  <c r="R120" i="31"/>
  <c r="R80" i="31"/>
  <c r="R119" i="31"/>
  <c r="R79" i="31"/>
  <c r="R118" i="31"/>
  <c r="R78" i="31"/>
  <c r="R77" i="31"/>
  <c r="R76" i="31"/>
  <c r="R75" i="31"/>
  <c r="R74" i="31"/>
  <c r="R117" i="31"/>
  <c r="R73" i="31"/>
  <c r="R116" i="31"/>
  <c r="R72" i="31"/>
  <c r="R71" i="31"/>
  <c r="R70" i="31"/>
  <c r="R69" i="31"/>
  <c r="R115" i="31"/>
  <c r="R68" i="31"/>
  <c r="R67" i="31"/>
  <c r="R114" i="31"/>
  <c r="R113" i="31"/>
  <c r="R66" i="31"/>
  <c r="R65" i="31"/>
  <c r="R64" i="31"/>
  <c r="R63" i="31"/>
  <c r="R62" i="31"/>
  <c r="R61" i="31"/>
  <c r="R112" i="31"/>
  <c r="R111" i="31"/>
  <c r="R60" i="31"/>
  <c r="R110" i="31"/>
  <c r="R59" i="31"/>
  <c r="R58" i="31"/>
  <c r="R57" i="31"/>
  <c r="R56" i="31"/>
  <c r="R55" i="31"/>
  <c r="R54" i="31"/>
  <c r="R53" i="31"/>
  <c r="R52" i="31"/>
  <c r="R51" i="31"/>
  <c r="R50" i="31"/>
  <c r="R109" i="31"/>
  <c r="R49" i="31"/>
  <c r="R48" i="31"/>
  <c r="R47" i="31"/>
  <c r="R46" i="31"/>
  <c r="R108" i="31"/>
  <c r="R45" i="31"/>
  <c r="R44" i="31"/>
  <c r="R43" i="31"/>
  <c r="R42" i="31"/>
  <c r="R41" i="31"/>
  <c r="R40" i="31"/>
  <c r="R39" i="31"/>
  <c r="R107" i="31"/>
  <c r="R106" i="31"/>
  <c r="R38" i="31"/>
  <c r="R37" i="31"/>
  <c r="R105" i="31"/>
  <c r="R36" i="31"/>
  <c r="R35" i="31"/>
  <c r="R34" i="31"/>
  <c r="R33" i="31"/>
  <c r="R32" i="31"/>
  <c r="R31" i="31"/>
  <c r="R30" i="31"/>
  <c r="R104" i="31"/>
  <c r="R29" i="31"/>
  <c r="R28" i="31"/>
  <c r="R27" i="31"/>
  <c r="R26" i="31"/>
  <c r="R25" i="31"/>
  <c r="R103" i="31"/>
  <c r="R102" i="31"/>
  <c r="R24" i="31"/>
  <c r="R23" i="31"/>
  <c r="R22" i="31"/>
  <c r="R21" i="31"/>
  <c r="R20" i="31"/>
  <c r="R19" i="31"/>
  <c r="R18" i="31"/>
  <c r="R17" i="31"/>
  <c r="R101" i="31"/>
  <c r="R16" i="31"/>
  <c r="R15" i="31"/>
  <c r="R14" i="31"/>
  <c r="R13" i="31"/>
  <c r="R12" i="31"/>
  <c r="R11" i="31"/>
  <c r="R10" i="31"/>
  <c r="R9" i="31"/>
  <c r="R8" i="31"/>
  <c r="R7" i="31"/>
  <c r="R100" i="31"/>
  <c r="R6" i="31"/>
  <c r="R5" i="31"/>
  <c r="Q99" i="31"/>
  <c r="Q98" i="31"/>
  <c r="Q97" i="31"/>
  <c r="Q124" i="31"/>
  <c r="Q123" i="31"/>
  <c r="Q96" i="31"/>
  <c r="Q95" i="31"/>
  <c r="Q94" i="31"/>
  <c r="Q122" i="31"/>
  <c r="Q93" i="31"/>
  <c r="Q92" i="31"/>
  <c r="Q91" i="31"/>
  <c r="Q121" i="31"/>
  <c r="Q90" i="31"/>
  <c r="Q89" i="31"/>
  <c r="Q88" i="31"/>
  <c r="Q87" i="31"/>
  <c r="Q86" i="31"/>
  <c r="Q85" i="31"/>
  <c r="Q84" i="31"/>
  <c r="Q83" i="31"/>
  <c r="Q82" i="31"/>
  <c r="Q81" i="31"/>
  <c r="Q120" i="31"/>
  <c r="Q80" i="31"/>
  <c r="Q119" i="31"/>
  <c r="Q79" i="31"/>
  <c r="Q118" i="31"/>
  <c r="Q78" i="31"/>
  <c r="Q77" i="31"/>
  <c r="Q76" i="31"/>
  <c r="Q75" i="31"/>
  <c r="Q74" i="31"/>
  <c r="Q117" i="31"/>
  <c r="Q73" i="31"/>
  <c r="Q116" i="31"/>
  <c r="Q72" i="31"/>
  <c r="Q71" i="31"/>
  <c r="Q70" i="31"/>
  <c r="Q69" i="31"/>
  <c r="Q115" i="31"/>
  <c r="Q68" i="31"/>
  <c r="Q67" i="31"/>
  <c r="Q114" i="31"/>
  <c r="Q113" i="31"/>
  <c r="Q66" i="31"/>
  <c r="Q65" i="31"/>
  <c r="Q64" i="31"/>
  <c r="Q63" i="31"/>
  <c r="Q62" i="31"/>
  <c r="Q61" i="31"/>
  <c r="Q112" i="31"/>
  <c r="Q111" i="31"/>
  <c r="Q60" i="31"/>
  <c r="Q110" i="31"/>
  <c r="Q59" i="31"/>
  <c r="Q58" i="31"/>
  <c r="Q57" i="31"/>
  <c r="Q56" i="31"/>
  <c r="Q55" i="31"/>
  <c r="Q54" i="31"/>
  <c r="Q53" i="31"/>
  <c r="Q52" i="31"/>
  <c r="Q51" i="31"/>
  <c r="Q50" i="31"/>
  <c r="Q109" i="31"/>
  <c r="Q49" i="31"/>
  <c r="Q48" i="31"/>
  <c r="Q47" i="31"/>
  <c r="Q46" i="31"/>
  <c r="Q108" i="31"/>
  <c r="Q45" i="31"/>
  <c r="Q44" i="31"/>
  <c r="Q43" i="31"/>
  <c r="Q42" i="31"/>
  <c r="Q41" i="31"/>
  <c r="Q40" i="31"/>
  <c r="Q39" i="31"/>
  <c r="Q107" i="31"/>
  <c r="Q106" i="31"/>
  <c r="Q38" i="31"/>
  <c r="Q37" i="31"/>
  <c r="Q105" i="31"/>
  <c r="Q36" i="31"/>
  <c r="Q35" i="31"/>
  <c r="Q34" i="31"/>
  <c r="Q33" i="31"/>
  <c r="Q32" i="31"/>
  <c r="Q31" i="31"/>
  <c r="Q30" i="31"/>
  <c r="Q104" i="31"/>
  <c r="Q29" i="31"/>
  <c r="Q28" i="31"/>
  <c r="Q27" i="31"/>
  <c r="Q26" i="31"/>
  <c r="Q25" i="31"/>
  <c r="Q103" i="31"/>
  <c r="Q102" i="31"/>
  <c r="Q24" i="31"/>
  <c r="Q23" i="31"/>
  <c r="Q22" i="31"/>
  <c r="Q21" i="31"/>
  <c r="Q20" i="31"/>
  <c r="Q19" i="31"/>
  <c r="Q18" i="31"/>
  <c r="Q17" i="31"/>
  <c r="Q101" i="31"/>
  <c r="Q16" i="31"/>
  <c r="Q15" i="31"/>
  <c r="Q14" i="31"/>
  <c r="Q13" i="31"/>
  <c r="Q12" i="31"/>
  <c r="Q11" i="31"/>
  <c r="Q10" i="31"/>
  <c r="Q9" i="31"/>
  <c r="Q8" i="31"/>
  <c r="Q7" i="31"/>
  <c r="Q100" i="31"/>
  <c r="Q6" i="31"/>
  <c r="Q5" i="31"/>
  <c r="M4" i="122"/>
  <c r="K4" i="122"/>
  <c r="T4" i="122"/>
  <c r="S4" i="122"/>
  <c r="R4" i="122"/>
  <c r="Q4" i="122"/>
  <c r="O4" i="122"/>
  <c r="L4" i="122"/>
  <c r="J4" i="122"/>
  <c r="I4" i="122"/>
  <c r="H4" i="122"/>
  <c r="G4" i="122"/>
  <c r="F4" i="122"/>
  <c r="E4" i="122"/>
  <c r="D4" i="122"/>
  <c r="R4" i="96"/>
  <c r="Q4" i="96"/>
  <c r="P4" i="96"/>
  <c r="O4" i="96"/>
  <c r="N4" i="96"/>
  <c r="Y5" i="6"/>
  <c r="X5" i="6"/>
  <c r="W5" i="6"/>
  <c r="U5" i="6"/>
  <c r="E19" i="123" l="1"/>
  <c r="D19" i="123"/>
  <c r="D4" i="120"/>
  <c r="X4" i="92" l="1"/>
  <c r="W4" i="92"/>
  <c r="V4" i="92"/>
  <c r="U4" i="92"/>
  <c r="I124" i="61"/>
  <c r="I123" i="61"/>
  <c r="I122" i="61"/>
  <c r="I121" i="61"/>
  <c r="I120" i="61"/>
  <c r="I119" i="61"/>
  <c r="I118" i="61"/>
  <c r="I117" i="61"/>
  <c r="I116" i="61"/>
  <c r="I115" i="61"/>
  <c r="I114" i="61"/>
  <c r="I113" i="61"/>
  <c r="I112" i="61"/>
  <c r="I111" i="61"/>
  <c r="I110" i="61"/>
  <c r="I109" i="61"/>
  <c r="I108" i="61"/>
  <c r="I107" i="61"/>
  <c r="I106" i="61"/>
  <c r="I105"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4" i="61"/>
  <c r="I63" i="61"/>
  <c r="I62" i="61"/>
  <c r="I61" i="61"/>
  <c r="I60" i="61"/>
  <c r="I59" i="61"/>
  <c r="I58" i="61"/>
  <c r="I57" i="61"/>
  <c r="I56" i="61"/>
  <c r="I55" i="61"/>
  <c r="I54" i="61"/>
  <c r="I53" i="61"/>
  <c r="I52" i="61"/>
  <c r="I51" i="61"/>
  <c r="I50" i="61"/>
  <c r="I49" i="61"/>
  <c r="I48" i="61"/>
  <c r="I47" i="61"/>
  <c r="I46" i="61"/>
  <c r="I45" i="61"/>
  <c r="I44" i="61"/>
  <c r="I43" i="61"/>
  <c r="I42" i="61"/>
  <c r="I41" i="61"/>
  <c r="I40" i="61"/>
  <c r="I39" i="61"/>
  <c r="I38" i="61"/>
  <c r="I37" i="61"/>
  <c r="I36" i="61"/>
  <c r="I35" i="61"/>
  <c r="I34" i="61"/>
  <c r="I33" i="61"/>
  <c r="I32" i="61"/>
  <c r="I31" i="61"/>
  <c r="I30" i="61"/>
  <c r="I29" i="61"/>
  <c r="I28" i="61"/>
  <c r="I27" i="61"/>
  <c r="I26" i="61"/>
  <c r="I25" i="61"/>
  <c r="I24" i="61"/>
  <c r="I23" i="61"/>
  <c r="I22" i="61"/>
  <c r="I21" i="61"/>
  <c r="I20" i="61"/>
  <c r="I19" i="61"/>
  <c r="I18" i="61"/>
  <c r="I17" i="61"/>
  <c r="I16" i="61"/>
  <c r="I15" i="61"/>
  <c r="I14" i="61"/>
  <c r="I13" i="61"/>
  <c r="I12" i="61"/>
  <c r="I11" i="61"/>
  <c r="I10" i="61"/>
  <c r="I9" i="61"/>
  <c r="I8" i="61"/>
  <c r="I7" i="61"/>
  <c r="I6" i="61"/>
  <c r="I5" i="61"/>
  <c r="G4" i="57" l="1"/>
  <c r="D21" i="123" l="1"/>
  <c r="E21" i="123"/>
  <c r="J123" i="56"/>
  <c r="J122" i="56"/>
  <c r="J121" i="56"/>
  <c r="J120" i="56"/>
  <c r="J119" i="56"/>
  <c r="J118" i="56"/>
  <c r="J117" i="56"/>
  <c r="J116" i="56"/>
  <c r="J115" i="56"/>
  <c r="J114" i="56"/>
  <c r="J113" i="56"/>
  <c r="J112" i="56"/>
  <c r="J111" i="56"/>
  <c r="J110" i="56"/>
  <c r="J109" i="56"/>
  <c r="J108" i="56"/>
  <c r="J107" i="56"/>
  <c r="J106" i="56"/>
  <c r="J105" i="56"/>
  <c r="J104" i="56"/>
  <c r="J103" i="56"/>
  <c r="J102" i="56"/>
  <c r="J101" i="56"/>
  <c r="J100" i="56"/>
  <c r="K99" i="56"/>
  <c r="J98" i="56"/>
  <c r="J97" i="56"/>
  <c r="J96" i="56"/>
  <c r="J95" i="56"/>
  <c r="J94" i="56"/>
  <c r="J93" i="56"/>
  <c r="J92" i="56"/>
  <c r="J91" i="56"/>
  <c r="J90" i="56"/>
  <c r="J89" i="56"/>
  <c r="J88" i="56"/>
  <c r="J87" i="56"/>
  <c r="J86" i="56"/>
  <c r="J85" i="56"/>
  <c r="J84" i="56"/>
  <c r="J83" i="56"/>
  <c r="J82" i="56"/>
  <c r="J81" i="56"/>
  <c r="J80" i="56"/>
  <c r="J79" i="56"/>
  <c r="J78" i="56"/>
  <c r="J77" i="56"/>
  <c r="J76" i="56"/>
  <c r="J75" i="56"/>
  <c r="J74" i="56"/>
  <c r="J73" i="56"/>
  <c r="J72" i="56"/>
  <c r="J71" i="56"/>
  <c r="J70" i="56"/>
  <c r="J69" i="56"/>
  <c r="J68" i="56"/>
  <c r="J67" i="56"/>
  <c r="J66"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J32" i="56"/>
  <c r="J31" i="56"/>
  <c r="J30" i="56"/>
  <c r="J29" i="56"/>
  <c r="J28" i="56"/>
  <c r="J27" i="56"/>
  <c r="J26" i="56"/>
  <c r="J25" i="56"/>
  <c r="J24" i="56"/>
  <c r="J23" i="56"/>
  <c r="J22" i="56"/>
  <c r="J21" i="56"/>
  <c r="J20" i="56"/>
  <c r="J19" i="56"/>
  <c r="J18" i="56"/>
  <c r="J17" i="56"/>
  <c r="J16" i="56"/>
  <c r="J15" i="56"/>
  <c r="J14" i="56"/>
  <c r="J13" i="56"/>
  <c r="J12" i="56"/>
  <c r="J11" i="56"/>
  <c r="J10" i="56"/>
  <c r="J9" i="56"/>
  <c r="J8" i="56"/>
  <c r="J7" i="56"/>
  <c r="J6" i="56"/>
  <c r="L7" i="79" s="1"/>
  <c r="J5" i="56"/>
  <c r="I120" i="56"/>
  <c r="I104" i="56"/>
  <c r="I72" i="56"/>
  <c r="I56" i="56"/>
  <c r="I40" i="56"/>
  <c r="I8" i="56"/>
  <c r="I124" i="117"/>
  <c r="I123" i="117"/>
  <c r="I122" i="117"/>
  <c r="I121" i="117"/>
  <c r="I120" i="117"/>
  <c r="I119" i="117"/>
  <c r="I118" i="117"/>
  <c r="I117" i="117"/>
  <c r="I116" i="117"/>
  <c r="I115" i="117"/>
  <c r="I114" i="117"/>
  <c r="I113" i="117"/>
  <c r="I112" i="117"/>
  <c r="I111" i="117"/>
  <c r="I110" i="117"/>
  <c r="I109" i="117"/>
  <c r="I108" i="117"/>
  <c r="I107" i="117"/>
  <c r="I106" i="117"/>
  <c r="I105" i="117"/>
  <c r="I104" i="117"/>
  <c r="I103" i="117"/>
  <c r="I102" i="117"/>
  <c r="I101" i="117"/>
  <c r="I100" i="117"/>
  <c r="I99" i="117"/>
  <c r="I98" i="117"/>
  <c r="I97" i="117"/>
  <c r="I96" i="117"/>
  <c r="I95" i="117"/>
  <c r="I94" i="117"/>
  <c r="I93" i="117"/>
  <c r="I92" i="117"/>
  <c r="I91" i="117"/>
  <c r="I90" i="117"/>
  <c r="I89" i="117"/>
  <c r="I88" i="117"/>
  <c r="I87" i="117"/>
  <c r="I86" i="117"/>
  <c r="I85" i="117"/>
  <c r="I84" i="117"/>
  <c r="I83" i="117"/>
  <c r="I82" i="117"/>
  <c r="I81" i="117"/>
  <c r="I80" i="117"/>
  <c r="I79" i="117"/>
  <c r="I78" i="117"/>
  <c r="I77" i="117"/>
  <c r="I76" i="117"/>
  <c r="I75" i="117"/>
  <c r="I74" i="117"/>
  <c r="I73" i="117"/>
  <c r="I72" i="117"/>
  <c r="I71" i="117"/>
  <c r="I70" i="117"/>
  <c r="I69" i="117"/>
  <c r="I68" i="117"/>
  <c r="I67" i="117"/>
  <c r="I66" i="117"/>
  <c r="I65" i="117"/>
  <c r="I64" i="117"/>
  <c r="I63" i="117"/>
  <c r="I62" i="117"/>
  <c r="I61" i="117"/>
  <c r="I60" i="117"/>
  <c r="I59" i="117"/>
  <c r="I58" i="117"/>
  <c r="I57" i="117"/>
  <c r="I56" i="117"/>
  <c r="I55" i="117"/>
  <c r="I54" i="117"/>
  <c r="I53" i="117"/>
  <c r="I52" i="117"/>
  <c r="I51" i="117"/>
  <c r="I50" i="117"/>
  <c r="I49" i="117"/>
  <c r="I48" i="117"/>
  <c r="I47" i="117"/>
  <c r="I46" i="117"/>
  <c r="I45" i="117"/>
  <c r="I44" i="117"/>
  <c r="I43" i="117"/>
  <c r="I42" i="117"/>
  <c r="I41" i="117"/>
  <c r="I40" i="117"/>
  <c r="I39" i="117"/>
  <c r="I38" i="117"/>
  <c r="I37" i="117"/>
  <c r="I36" i="117"/>
  <c r="I35" i="117"/>
  <c r="I34" i="117"/>
  <c r="I33" i="117"/>
  <c r="I32" i="117"/>
  <c r="I31" i="117"/>
  <c r="I30" i="117"/>
  <c r="I29" i="117"/>
  <c r="I28" i="117"/>
  <c r="I27" i="117"/>
  <c r="I26" i="117"/>
  <c r="I25" i="117"/>
  <c r="I24" i="117"/>
  <c r="I23" i="117"/>
  <c r="I22" i="117"/>
  <c r="I21" i="117"/>
  <c r="I20" i="117"/>
  <c r="I19" i="117"/>
  <c r="I18" i="117"/>
  <c r="I17" i="117"/>
  <c r="I16" i="117"/>
  <c r="I15" i="117"/>
  <c r="I14" i="117"/>
  <c r="I13" i="117"/>
  <c r="I12" i="117"/>
  <c r="I11" i="117"/>
  <c r="I10" i="117"/>
  <c r="I9" i="117"/>
  <c r="I8" i="117"/>
  <c r="I7" i="117"/>
  <c r="I6" i="117"/>
  <c r="I5" i="117"/>
  <c r="H124" i="117"/>
  <c r="H123" i="117"/>
  <c r="H122" i="117"/>
  <c r="H121" i="117"/>
  <c r="H120" i="117"/>
  <c r="H119" i="117"/>
  <c r="H118" i="117"/>
  <c r="H117" i="117"/>
  <c r="H116" i="117"/>
  <c r="H115" i="117"/>
  <c r="H114" i="117"/>
  <c r="H113" i="117"/>
  <c r="H112" i="117"/>
  <c r="H111" i="117"/>
  <c r="H110" i="117"/>
  <c r="H109" i="117"/>
  <c r="H108" i="117"/>
  <c r="H107" i="117"/>
  <c r="H106" i="117"/>
  <c r="H105" i="117"/>
  <c r="H104" i="117"/>
  <c r="H103" i="117"/>
  <c r="H102" i="117"/>
  <c r="H101" i="117"/>
  <c r="H100" i="117"/>
  <c r="H99" i="117"/>
  <c r="H98" i="117"/>
  <c r="H97" i="117"/>
  <c r="H96" i="117"/>
  <c r="H95" i="117"/>
  <c r="H94" i="117"/>
  <c r="H93" i="117"/>
  <c r="H92" i="117"/>
  <c r="H91" i="117"/>
  <c r="H90" i="117"/>
  <c r="H89" i="117"/>
  <c r="H88" i="117"/>
  <c r="H87" i="117"/>
  <c r="H86" i="117"/>
  <c r="H85" i="117"/>
  <c r="H84" i="117"/>
  <c r="H83" i="117"/>
  <c r="H82" i="117"/>
  <c r="H81" i="117"/>
  <c r="H80" i="117"/>
  <c r="H79" i="117"/>
  <c r="H78" i="117"/>
  <c r="H77" i="117"/>
  <c r="H76" i="117"/>
  <c r="H75" i="117"/>
  <c r="H74" i="117"/>
  <c r="H73" i="117"/>
  <c r="H72" i="117"/>
  <c r="H71" i="117"/>
  <c r="H70" i="117"/>
  <c r="H69" i="117"/>
  <c r="H68" i="117"/>
  <c r="H67" i="117"/>
  <c r="H66" i="117"/>
  <c r="H65" i="117"/>
  <c r="H64" i="117"/>
  <c r="H63" i="117"/>
  <c r="H62" i="117"/>
  <c r="H61" i="117"/>
  <c r="H60" i="117"/>
  <c r="H59" i="117"/>
  <c r="H58" i="117"/>
  <c r="H57" i="117"/>
  <c r="H56" i="117"/>
  <c r="H55" i="117"/>
  <c r="H54" i="117"/>
  <c r="H53" i="117"/>
  <c r="H52" i="117"/>
  <c r="H51" i="117"/>
  <c r="H50" i="117"/>
  <c r="H49" i="117"/>
  <c r="H48" i="117"/>
  <c r="H47" i="117"/>
  <c r="H46" i="117"/>
  <c r="H45" i="117"/>
  <c r="H44" i="117"/>
  <c r="H43" i="117"/>
  <c r="H42" i="117"/>
  <c r="H41" i="117"/>
  <c r="H40" i="117"/>
  <c r="H39" i="117"/>
  <c r="H38" i="117"/>
  <c r="H37" i="117"/>
  <c r="H36" i="117"/>
  <c r="H35" i="117"/>
  <c r="H34" i="117"/>
  <c r="H33" i="117"/>
  <c r="H32" i="117"/>
  <c r="H31" i="117"/>
  <c r="H30" i="117"/>
  <c r="H29" i="117"/>
  <c r="H28" i="117"/>
  <c r="H27" i="117"/>
  <c r="H26" i="117"/>
  <c r="H25" i="117"/>
  <c r="H24" i="117"/>
  <c r="H23" i="117"/>
  <c r="H22" i="117"/>
  <c r="H21" i="117"/>
  <c r="H20" i="117"/>
  <c r="H19" i="117"/>
  <c r="H18" i="117"/>
  <c r="H17" i="117"/>
  <c r="H16" i="117"/>
  <c r="H15" i="117"/>
  <c r="H14" i="117"/>
  <c r="H13" i="117"/>
  <c r="H12" i="117"/>
  <c r="H11" i="117"/>
  <c r="H10" i="117"/>
  <c r="H9" i="117"/>
  <c r="H8" i="117"/>
  <c r="H7" i="117"/>
  <c r="H6" i="117"/>
  <c r="H5" i="117"/>
  <c r="N203" i="1" s="1"/>
  <c r="G4" i="117"/>
  <c r="F4" i="117"/>
  <c r="E4" i="117"/>
  <c r="D4" i="117"/>
  <c r="L11" i="79" l="1"/>
  <c r="L15" i="79"/>
  <c r="L19" i="79"/>
  <c r="L8" i="79"/>
  <c r="L24" i="79"/>
  <c r="L64" i="79"/>
  <c r="L72" i="79"/>
  <c r="L10" i="79"/>
  <c r="L14" i="79"/>
  <c r="L18" i="79"/>
  <c r="L32" i="79"/>
  <c r="L40" i="79"/>
  <c r="L48" i="79"/>
  <c r="L56" i="79"/>
  <c r="L80" i="79"/>
  <c r="L88" i="79"/>
  <c r="L96" i="79"/>
  <c r="L104" i="79"/>
  <c r="L112" i="79"/>
  <c r="L120" i="79"/>
  <c r="L100" i="79"/>
  <c r="L9" i="79"/>
  <c r="L13" i="79"/>
  <c r="L17" i="79"/>
  <c r="L21" i="79"/>
  <c r="L22" i="79"/>
  <c r="L26" i="79"/>
  <c r="L58" i="79"/>
  <c r="K22" i="56"/>
  <c r="L23" i="79"/>
  <c r="K26" i="56"/>
  <c r="L27" i="79"/>
  <c r="K30" i="56"/>
  <c r="L31" i="79"/>
  <c r="K34" i="56"/>
  <c r="L35" i="79"/>
  <c r="K38" i="56"/>
  <c r="L39" i="79"/>
  <c r="K42" i="56"/>
  <c r="L43" i="79"/>
  <c r="K46" i="56"/>
  <c r="L47" i="79"/>
  <c r="K50" i="56"/>
  <c r="L51" i="79"/>
  <c r="K54" i="56"/>
  <c r="L55" i="79"/>
  <c r="K58" i="56"/>
  <c r="L59" i="79"/>
  <c r="K62" i="56"/>
  <c r="L63" i="79"/>
  <c r="K66" i="56"/>
  <c r="L67" i="79"/>
  <c r="K70" i="56"/>
  <c r="L71" i="79"/>
  <c r="K74" i="56"/>
  <c r="L75" i="79"/>
  <c r="K78" i="56"/>
  <c r="L79" i="79"/>
  <c r="K82" i="56"/>
  <c r="L83" i="79"/>
  <c r="K86" i="56"/>
  <c r="L87" i="79"/>
  <c r="K90" i="56"/>
  <c r="L91" i="79"/>
  <c r="K94" i="56"/>
  <c r="L95" i="79"/>
  <c r="K98" i="56"/>
  <c r="L99" i="79"/>
  <c r="K102" i="56"/>
  <c r="L103" i="79"/>
  <c r="K106" i="56"/>
  <c r="L107" i="79"/>
  <c r="K110" i="56"/>
  <c r="L111" i="79"/>
  <c r="K114" i="56"/>
  <c r="L115" i="79"/>
  <c r="K118" i="56"/>
  <c r="L119" i="79"/>
  <c r="K122" i="56"/>
  <c r="L123" i="79"/>
  <c r="K11" i="56"/>
  <c r="L12" i="79"/>
  <c r="K15" i="56"/>
  <c r="L16" i="79"/>
  <c r="K19" i="56"/>
  <c r="L20" i="79"/>
  <c r="K27" i="56"/>
  <c r="L28" i="79"/>
  <c r="K35" i="56"/>
  <c r="L36" i="79"/>
  <c r="K43" i="56"/>
  <c r="L44" i="79"/>
  <c r="K51" i="56"/>
  <c r="L52" i="79"/>
  <c r="K59" i="56"/>
  <c r="L60" i="79"/>
  <c r="K67" i="56"/>
  <c r="L68" i="79"/>
  <c r="K75" i="56"/>
  <c r="L76" i="79"/>
  <c r="K83" i="56"/>
  <c r="L84" i="79"/>
  <c r="K91" i="56"/>
  <c r="L92" i="79"/>
  <c r="K107" i="56"/>
  <c r="L108" i="79"/>
  <c r="K115" i="56"/>
  <c r="L116" i="79"/>
  <c r="K123" i="56"/>
  <c r="L124" i="79"/>
  <c r="K24" i="56"/>
  <c r="L25" i="79"/>
  <c r="K28" i="56"/>
  <c r="L29" i="79"/>
  <c r="K32" i="56"/>
  <c r="L33" i="79"/>
  <c r="K36" i="56"/>
  <c r="L37" i="79"/>
  <c r="K40" i="56"/>
  <c r="L41" i="79"/>
  <c r="K44" i="56"/>
  <c r="L45" i="79"/>
  <c r="K48" i="56"/>
  <c r="L49" i="79"/>
  <c r="K52" i="56"/>
  <c r="L53" i="79"/>
  <c r="K56" i="56"/>
  <c r="L57" i="79"/>
  <c r="K60" i="56"/>
  <c r="L61" i="79"/>
  <c r="K64" i="56"/>
  <c r="L65" i="79"/>
  <c r="K68" i="56"/>
  <c r="L69" i="79"/>
  <c r="K72" i="56"/>
  <c r="L73" i="79"/>
  <c r="K76" i="56"/>
  <c r="L77" i="79"/>
  <c r="K80" i="56"/>
  <c r="L81" i="79"/>
  <c r="K84" i="56"/>
  <c r="L85" i="79"/>
  <c r="K88" i="56"/>
  <c r="L89" i="79"/>
  <c r="K92" i="56"/>
  <c r="L93" i="79"/>
  <c r="K96" i="56"/>
  <c r="L97" i="79"/>
  <c r="K100" i="56"/>
  <c r="L101" i="79"/>
  <c r="K104" i="56"/>
  <c r="L105" i="79"/>
  <c r="K108" i="56"/>
  <c r="L109" i="79"/>
  <c r="K112" i="56"/>
  <c r="L113" i="79"/>
  <c r="K116" i="56"/>
  <c r="L117" i="79"/>
  <c r="K120" i="56"/>
  <c r="L121" i="79"/>
  <c r="L6" i="79"/>
  <c r="M194" i="1"/>
  <c r="K29" i="56"/>
  <c r="L30" i="79"/>
  <c r="K33" i="56"/>
  <c r="L34" i="79"/>
  <c r="K37" i="56"/>
  <c r="L38" i="79"/>
  <c r="K41" i="56"/>
  <c r="L42" i="79"/>
  <c r="K45" i="56"/>
  <c r="L46" i="79"/>
  <c r="K49" i="56"/>
  <c r="L50" i="79"/>
  <c r="K53" i="56"/>
  <c r="L54" i="79"/>
  <c r="K61" i="56"/>
  <c r="L62" i="79"/>
  <c r="K65" i="56"/>
  <c r="L66" i="79"/>
  <c r="K69" i="56"/>
  <c r="L70" i="79"/>
  <c r="K73" i="56"/>
  <c r="L74" i="79"/>
  <c r="K77" i="56"/>
  <c r="L78" i="79"/>
  <c r="K81" i="56"/>
  <c r="L82" i="79"/>
  <c r="K85" i="56"/>
  <c r="L86" i="79"/>
  <c r="K89" i="56"/>
  <c r="L90" i="79"/>
  <c r="K93" i="56"/>
  <c r="L94" i="79"/>
  <c r="K97" i="56"/>
  <c r="L98" i="79"/>
  <c r="K101" i="56"/>
  <c r="L102" i="79"/>
  <c r="K105" i="56"/>
  <c r="L106" i="79"/>
  <c r="K109" i="56"/>
  <c r="L110" i="79"/>
  <c r="K113" i="56"/>
  <c r="L114" i="79"/>
  <c r="K117" i="56"/>
  <c r="L118" i="79"/>
  <c r="K121" i="56"/>
  <c r="J124" i="56"/>
  <c r="L122" i="79" s="1"/>
  <c r="K57" i="56"/>
  <c r="K31" i="56"/>
  <c r="K47" i="56"/>
  <c r="K63" i="56"/>
  <c r="K79" i="56"/>
  <c r="K95" i="56"/>
  <c r="K111" i="56"/>
  <c r="K7" i="56"/>
  <c r="K23" i="56"/>
  <c r="K39" i="56"/>
  <c r="K55" i="56"/>
  <c r="K71" i="56"/>
  <c r="K87" i="56"/>
  <c r="K103" i="56"/>
  <c r="K119" i="56"/>
  <c r="K9" i="56"/>
  <c r="K13" i="56"/>
  <c r="K21" i="56"/>
  <c r="I5" i="56"/>
  <c r="M6" i="79" s="1"/>
  <c r="I9" i="56"/>
  <c r="M10" i="79" s="1"/>
  <c r="I13" i="56"/>
  <c r="I17" i="56"/>
  <c r="I21" i="56"/>
  <c r="I25" i="56"/>
  <c r="I29" i="56"/>
  <c r="I33" i="56"/>
  <c r="I37" i="56"/>
  <c r="I41" i="56"/>
  <c r="I45" i="56"/>
  <c r="I49" i="56"/>
  <c r="I53" i="56"/>
  <c r="I57" i="56"/>
  <c r="I61" i="56"/>
  <c r="I65" i="56"/>
  <c r="I69" i="56"/>
  <c r="I73" i="56"/>
  <c r="I77" i="56"/>
  <c r="I81" i="56"/>
  <c r="I85" i="56"/>
  <c r="M86" i="79" s="1"/>
  <c r="I89" i="56"/>
  <c r="I93" i="56"/>
  <c r="I97" i="56"/>
  <c r="I101" i="56"/>
  <c r="M102" i="79" s="1"/>
  <c r="I105" i="56"/>
  <c r="I109" i="56"/>
  <c r="I113" i="56"/>
  <c r="I117" i="56"/>
  <c r="I121" i="56"/>
  <c r="F5" i="118"/>
  <c r="P5" i="79" s="1"/>
  <c r="K6" i="56"/>
  <c r="K10" i="56"/>
  <c r="K14" i="56"/>
  <c r="K18" i="56"/>
  <c r="I6" i="56"/>
  <c r="M7" i="79" s="1"/>
  <c r="I10" i="56"/>
  <c r="I14" i="56"/>
  <c r="I18" i="56"/>
  <c r="I22" i="56"/>
  <c r="I26" i="56"/>
  <c r="I30" i="56"/>
  <c r="I34" i="56"/>
  <c r="M35" i="79" s="1"/>
  <c r="I38" i="56"/>
  <c r="I42" i="56"/>
  <c r="I46" i="56"/>
  <c r="I50" i="56"/>
  <c r="I54" i="56"/>
  <c r="I58" i="56"/>
  <c r="I62" i="56"/>
  <c r="I66" i="56"/>
  <c r="M67" i="79" s="1"/>
  <c r="I70" i="56"/>
  <c r="I74" i="56"/>
  <c r="I78" i="56"/>
  <c r="I82" i="56"/>
  <c r="I86" i="56"/>
  <c r="M87" i="79" s="1"/>
  <c r="I90" i="56"/>
  <c r="I94" i="56"/>
  <c r="I98" i="56"/>
  <c r="I102" i="56"/>
  <c r="I106" i="56"/>
  <c r="I110" i="56"/>
  <c r="I114" i="56"/>
  <c r="I118" i="56"/>
  <c r="I122" i="56"/>
  <c r="K5" i="56"/>
  <c r="K17" i="56"/>
  <c r="K25" i="56"/>
  <c r="I7" i="56"/>
  <c r="I11" i="56"/>
  <c r="I15" i="56"/>
  <c r="I19" i="56"/>
  <c r="M20" i="79" s="1"/>
  <c r="I23" i="56"/>
  <c r="M24" i="79" s="1"/>
  <c r="I27" i="56"/>
  <c r="I31" i="56"/>
  <c r="I35" i="56"/>
  <c r="I39" i="56"/>
  <c r="I43" i="56"/>
  <c r="I47" i="56"/>
  <c r="M57" i="79" s="1"/>
  <c r="I51" i="56"/>
  <c r="I55" i="56"/>
  <c r="I59" i="56"/>
  <c r="I63" i="56"/>
  <c r="I67" i="56"/>
  <c r="I71" i="56"/>
  <c r="I75" i="56"/>
  <c r="I79" i="56"/>
  <c r="I83" i="56"/>
  <c r="M105" i="79" s="1"/>
  <c r="I87" i="56"/>
  <c r="I91" i="56"/>
  <c r="I95" i="56"/>
  <c r="I99" i="56"/>
  <c r="I103" i="56"/>
  <c r="I107" i="56"/>
  <c r="I111" i="56"/>
  <c r="M73" i="79" s="1"/>
  <c r="I115" i="56"/>
  <c r="I119" i="56"/>
  <c r="I123" i="56"/>
  <c r="K8" i="56"/>
  <c r="K12" i="56"/>
  <c r="K16" i="56"/>
  <c r="K20" i="56"/>
  <c r="I12" i="56"/>
  <c r="I16" i="56"/>
  <c r="I20" i="56"/>
  <c r="I24" i="56"/>
  <c r="I28" i="56"/>
  <c r="I32" i="56"/>
  <c r="I36" i="56"/>
  <c r="I44" i="56"/>
  <c r="I48" i="56"/>
  <c r="M49" i="79" s="1"/>
  <c r="I52" i="56"/>
  <c r="I60" i="56"/>
  <c r="I64" i="56"/>
  <c r="I68" i="56"/>
  <c r="I76" i="56"/>
  <c r="I80" i="56"/>
  <c r="I84" i="56"/>
  <c r="I88" i="56"/>
  <c r="M89" i="79" s="1"/>
  <c r="I92" i="56"/>
  <c r="I96" i="56"/>
  <c r="I100" i="56"/>
  <c r="I108" i="56"/>
  <c r="I112" i="56"/>
  <c r="I116" i="56"/>
  <c r="I124" i="56"/>
  <c r="G4" i="56"/>
  <c r="E4" i="62"/>
  <c r="J4" i="62"/>
  <c r="F4" i="62"/>
  <c r="I4" i="62"/>
  <c r="I4" i="117"/>
  <c r="H4" i="117"/>
  <c r="K124" i="56" l="1"/>
  <c r="K4" i="56" s="1"/>
  <c r="L125" i="79"/>
  <c r="M12" i="79"/>
  <c r="M15" i="79"/>
  <c r="M11" i="79"/>
  <c r="M96" i="79"/>
  <c r="M88" i="79"/>
  <c r="M16" i="79"/>
  <c r="M97" i="79"/>
  <c r="M81" i="79"/>
  <c r="M61" i="79"/>
  <c r="M37" i="79"/>
  <c r="M21" i="79"/>
  <c r="M104" i="79"/>
  <c r="M56" i="79"/>
  <c r="M40" i="79"/>
  <c r="M103" i="79"/>
  <c r="M71" i="79"/>
  <c r="M55" i="79"/>
  <c r="M39" i="79"/>
  <c r="M118" i="79"/>
  <c r="M54" i="79"/>
  <c r="M38" i="79"/>
  <c r="M22" i="79"/>
  <c r="M119" i="79"/>
  <c r="M91" i="79"/>
  <c r="M43" i="79"/>
  <c r="M80" i="79"/>
  <c r="M95" i="79"/>
  <c r="M63" i="79"/>
  <c r="M125" i="79"/>
  <c r="M101" i="79"/>
  <c r="M85" i="79"/>
  <c r="M65" i="79"/>
  <c r="M45" i="79"/>
  <c r="M25" i="79"/>
  <c r="M124" i="79"/>
  <c r="M108" i="79"/>
  <c r="M92" i="79"/>
  <c r="M76" i="79"/>
  <c r="M60" i="79"/>
  <c r="M44" i="79"/>
  <c r="M28" i="79"/>
  <c r="M123" i="79"/>
  <c r="M107" i="79"/>
  <c r="M75" i="79"/>
  <c r="M59" i="79"/>
  <c r="M90" i="79"/>
  <c r="M74" i="79"/>
  <c r="M58" i="79"/>
  <c r="M42" i="79"/>
  <c r="M26" i="79"/>
  <c r="M79" i="79"/>
  <c r="M62" i="79"/>
  <c r="M122" i="79"/>
  <c r="M117" i="79"/>
  <c r="M8" i="79"/>
  <c r="M23" i="79"/>
  <c r="M70" i="79"/>
  <c r="M9" i="79"/>
  <c r="M113" i="79"/>
  <c r="M93" i="79"/>
  <c r="M77" i="79"/>
  <c r="M53" i="79"/>
  <c r="M33" i="79"/>
  <c r="M17" i="79"/>
  <c r="M116" i="79"/>
  <c r="M100" i="79"/>
  <c r="M84" i="79"/>
  <c r="M68" i="79"/>
  <c r="M52" i="79"/>
  <c r="M36" i="79"/>
  <c r="M115" i="79"/>
  <c r="M99" i="79"/>
  <c r="M83" i="79"/>
  <c r="M51" i="79"/>
  <c r="M19" i="79"/>
  <c r="M114" i="79"/>
  <c r="M98" i="79"/>
  <c r="M82" i="79"/>
  <c r="M66" i="79"/>
  <c r="M50" i="79"/>
  <c r="M34" i="79"/>
  <c r="M18" i="79"/>
  <c r="M27" i="79"/>
  <c r="M106" i="79"/>
  <c r="M120" i="79"/>
  <c r="M72" i="79"/>
  <c r="M109" i="79"/>
  <c r="M69" i="79"/>
  <c r="M29" i="79"/>
  <c r="M13" i="79"/>
  <c r="M112" i="79"/>
  <c r="M64" i="79"/>
  <c r="M48" i="79"/>
  <c r="M32" i="79"/>
  <c r="M111" i="79"/>
  <c r="M47" i="79"/>
  <c r="M31" i="79"/>
  <c r="M110" i="79"/>
  <c r="M94" i="79"/>
  <c r="M78" i="79"/>
  <c r="M46" i="79"/>
  <c r="M30" i="79"/>
  <c r="M14" i="79"/>
  <c r="M41" i="79"/>
  <c r="M121" i="79"/>
  <c r="K128" i="55"/>
  <c r="I127" i="55"/>
  <c r="J127" i="55"/>
  <c r="J126" i="55"/>
  <c r="G7" i="123" s="1"/>
  <c r="K130" i="55"/>
  <c r="J130" i="55"/>
  <c r="K127" i="55"/>
  <c r="J128" i="55"/>
  <c r="I130" i="55"/>
  <c r="I128" i="55"/>
  <c r="I129" i="55"/>
  <c r="K126" i="55"/>
  <c r="I126" i="55"/>
  <c r="J129" i="55"/>
  <c r="K129" i="55"/>
  <c r="J131" i="62"/>
  <c r="H19" i="123"/>
  <c r="I131" i="62"/>
  <c r="I4" i="56"/>
  <c r="M5" i="79" s="1"/>
  <c r="I4" i="60" l="1"/>
  <c r="W5" i="79" s="1"/>
  <c r="H131" i="60"/>
  <c r="I131" i="56"/>
  <c r="H10" i="123" s="1"/>
  <c r="J131" i="55"/>
  <c r="I131" i="55"/>
  <c r="H7" i="123" s="1"/>
  <c r="K131" i="55"/>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I10" i="59"/>
  <c r="I9" i="59"/>
  <c r="I8" i="59"/>
  <c r="I7" i="59"/>
  <c r="I6" i="59"/>
  <c r="I5" i="59"/>
  <c r="D124" i="59"/>
  <c r="D123" i="59"/>
  <c r="D122" i="59"/>
  <c r="D121" i="59"/>
  <c r="D120" i="59"/>
  <c r="D119" i="59"/>
  <c r="D118" i="59"/>
  <c r="D117" i="59"/>
  <c r="D116" i="59"/>
  <c r="D115" i="59"/>
  <c r="D114" i="59"/>
  <c r="D113" i="59"/>
  <c r="D112" i="59"/>
  <c r="D111" i="59"/>
  <c r="D110" i="59"/>
  <c r="D109" i="59"/>
  <c r="D108" i="59"/>
  <c r="D107" i="59"/>
  <c r="D106" i="59"/>
  <c r="D105" i="59"/>
  <c r="D104" i="59"/>
  <c r="D103" i="59"/>
  <c r="D102" i="59"/>
  <c r="D101" i="59"/>
  <c r="D100" i="59"/>
  <c r="D99" i="59"/>
  <c r="D98" i="59"/>
  <c r="D97" i="59"/>
  <c r="D96" i="59"/>
  <c r="D95" i="59"/>
  <c r="D94" i="59"/>
  <c r="D93" i="59"/>
  <c r="D92" i="59"/>
  <c r="D91" i="59"/>
  <c r="D90" i="59"/>
  <c r="D89" i="59"/>
  <c r="D88" i="59"/>
  <c r="D87" i="59"/>
  <c r="D86" i="59"/>
  <c r="D85" i="59"/>
  <c r="D84" i="59"/>
  <c r="D83" i="59"/>
  <c r="D82" i="59"/>
  <c r="D81" i="59"/>
  <c r="D80" i="59"/>
  <c r="D79" i="59"/>
  <c r="D78" i="59"/>
  <c r="D77" i="59"/>
  <c r="D76" i="59"/>
  <c r="D75" i="59"/>
  <c r="D74" i="59"/>
  <c r="D73" i="59"/>
  <c r="D72" i="59"/>
  <c r="D71" i="59"/>
  <c r="D70" i="59"/>
  <c r="D69" i="59"/>
  <c r="D68" i="59"/>
  <c r="D67" i="59"/>
  <c r="D66" i="59"/>
  <c r="D65" i="59"/>
  <c r="D64" i="59"/>
  <c r="D63" i="59"/>
  <c r="D62" i="59"/>
  <c r="D61" i="59"/>
  <c r="D60" i="59"/>
  <c r="D59" i="59"/>
  <c r="D58" i="59"/>
  <c r="D57" i="59"/>
  <c r="D56" i="59"/>
  <c r="D55" i="59"/>
  <c r="D54" i="59"/>
  <c r="D53" i="59"/>
  <c r="D52" i="59"/>
  <c r="D51" i="59"/>
  <c r="D50" i="59"/>
  <c r="D49" i="59"/>
  <c r="D48" i="59"/>
  <c r="D47" i="59"/>
  <c r="D46" i="59"/>
  <c r="D45" i="59"/>
  <c r="D44" i="59"/>
  <c r="D43" i="59"/>
  <c r="D42" i="59"/>
  <c r="D41" i="59"/>
  <c r="D40" i="59"/>
  <c r="D39" i="59"/>
  <c r="D38" i="59"/>
  <c r="D37" i="59"/>
  <c r="D36" i="59"/>
  <c r="D35" i="59"/>
  <c r="D34" i="59"/>
  <c r="D33" i="59"/>
  <c r="D32" i="59"/>
  <c r="D31" i="59"/>
  <c r="D30" i="59"/>
  <c r="D29" i="59"/>
  <c r="D28" i="59"/>
  <c r="D27" i="59"/>
  <c r="D26" i="59"/>
  <c r="D25" i="59"/>
  <c r="D24" i="59"/>
  <c r="D23" i="59"/>
  <c r="D22" i="59"/>
  <c r="D21" i="59"/>
  <c r="D20" i="59"/>
  <c r="D19" i="59"/>
  <c r="D18" i="59"/>
  <c r="D17" i="59"/>
  <c r="D16" i="59"/>
  <c r="D15" i="59"/>
  <c r="D14" i="59"/>
  <c r="D13" i="59"/>
  <c r="D12" i="59"/>
  <c r="D11" i="59"/>
  <c r="D10" i="59"/>
  <c r="D9" i="59"/>
  <c r="D8" i="59"/>
  <c r="D7" i="59"/>
  <c r="D6" i="59"/>
  <c r="D5" i="59"/>
  <c r="N201" i="1" s="1"/>
  <c r="H4" i="59"/>
  <c r="G4" i="59"/>
  <c r="F4" i="59"/>
  <c r="C31" i="108" l="1"/>
  <c r="G11" i="123"/>
  <c r="I131" i="60"/>
  <c r="J131" i="60"/>
  <c r="D11" i="123"/>
  <c r="H11" i="123"/>
  <c r="E11" i="123"/>
  <c r="F11" i="123"/>
  <c r="I4" i="59"/>
  <c r="H124" i="61"/>
  <c r="H123" i="61"/>
  <c r="H122" i="61"/>
  <c r="H121" i="61"/>
  <c r="H120" i="61"/>
  <c r="H119" i="61"/>
  <c r="H118" i="61"/>
  <c r="H117" i="61"/>
  <c r="H116" i="61"/>
  <c r="H115" i="61"/>
  <c r="H114" i="61"/>
  <c r="H113" i="61"/>
  <c r="H112" i="61"/>
  <c r="H111" i="61"/>
  <c r="H110" i="61"/>
  <c r="H109" i="61"/>
  <c r="H108" i="61"/>
  <c r="H107" i="61"/>
  <c r="H106" i="61"/>
  <c r="H105" i="61"/>
  <c r="H104" i="61"/>
  <c r="H103" i="61"/>
  <c r="H102" i="61"/>
  <c r="H101" i="61"/>
  <c r="H100" i="61"/>
  <c r="H99" i="61"/>
  <c r="H98" i="61"/>
  <c r="H97" i="61"/>
  <c r="H96" i="61"/>
  <c r="H95" i="61"/>
  <c r="H94" i="61"/>
  <c r="H93" i="61"/>
  <c r="H92" i="61"/>
  <c r="H91" i="61"/>
  <c r="H90" i="61"/>
  <c r="H89" i="61"/>
  <c r="H88" i="61"/>
  <c r="H87" i="61"/>
  <c r="H86" i="61"/>
  <c r="H85" i="61"/>
  <c r="H84" i="61"/>
  <c r="H83" i="61"/>
  <c r="H82" i="61"/>
  <c r="H81" i="61"/>
  <c r="H80" i="61"/>
  <c r="H79" i="61"/>
  <c r="H78" i="61"/>
  <c r="H77" i="61"/>
  <c r="H76" i="61"/>
  <c r="H75" i="61"/>
  <c r="H74" i="61"/>
  <c r="H73" i="61"/>
  <c r="H72" i="61"/>
  <c r="H71" i="61"/>
  <c r="H70" i="61"/>
  <c r="H69" i="61"/>
  <c r="H68" i="61"/>
  <c r="H67" i="61"/>
  <c r="H66" i="61"/>
  <c r="H65" i="61"/>
  <c r="H64" i="61"/>
  <c r="H63" i="61"/>
  <c r="H62" i="61"/>
  <c r="H61" i="61"/>
  <c r="H60" i="61"/>
  <c r="H59" i="61"/>
  <c r="H58" i="61"/>
  <c r="H57" i="61"/>
  <c r="H56" i="61"/>
  <c r="H55" i="61"/>
  <c r="H54" i="61"/>
  <c r="H53" i="61"/>
  <c r="H52" i="61"/>
  <c r="H51" i="61"/>
  <c r="H50" i="61"/>
  <c r="H49" i="61"/>
  <c r="H48" i="61"/>
  <c r="H47" i="61"/>
  <c r="H46" i="61"/>
  <c r="H45" i="61"/>
  <c r="H44" i="61"/>
  <c r="H43" i="61"/>
  <c r="H42" i="61"/>
  <c r="H41" i="61"/>
  <c r="H40" i="61"/>
  <c r="H39" i="61"/>
  <c r="H38" i="61"/>
  <c r="H37" i="61"/>
  <c r="H36" i="61"/>
  <c r="H35" i="61"/>
  <c r="H34" i="61"/>
  <c r="H33" i="61"/>
  <c r="H32" i="61"/>
  <c r="H31" i="61"/>
  <c r="H30" i="61"/>
  <c r="H29" i="61"/>
  <c r="H28" i="61"/>
  <c r="H27" i="61"/>
  <c r="H26" i="61"/>
  <c r="H25" i="61"/>
  <c r="H24" i="61"/>
  <c r="H23" i="61"/>
  <c r="H22" i="61"/>
  <c r="H21" i="61"/>
  <c r="H20" i="61"/>
  <c r="H19" i="61"/>
  <c r="H18" i="61"/>
  <c r="H17" i="61"/>
  <c r="H16" i="61"/>
  <c r="H15" i="61"/>
  <c r="H14" i="61"/>
  <c r="H13" i="61"/>
  <c r="H12" i="61"/>
  <c r="H11" i="61"/>
  <c r="H10" i="61"/>
  <c r="H9" i="61"/>
  <c r="H8" i="61"/>
  <c r="H7" i="61"/>
  <c r="H6" i="61"/>
  <c r="H5" i="61"/>
  <c r="N200" i="1" s="1"/>
  <c r="G4" i="61"/>
  <c r="F4" i="61"/>
  <c r="E4" i="61"/>
  <c r="D4" i="61"/>
  <c r="L124" i="57"/>
  <c r="L123" i="57"/>
  <c r="L122" i="57"/>
  <c r="L121" i="57"/>
  <c r="L120" i="57"/>
  <c r="L119" i="57"/>
  <c r="L118" i="57"/>
  <c r="L117" i="57"/>
  <c r="L116" i="57"/>
  <c r="L115" i="57"/>
  <c r="L114" i="57"/>
  <c r="L113" i="57"/>
  <c r="D113" i="57" s="1"/>
  <c r="L112" i="57"/>
  <c r="L111" i="57"/>
  <c r="D111" i="57" s="1"/>
  <c r="L110" i="57"/>
  <c r="L109" i="57"/>
  <c r="L108" i="57"/>
  <c r="L107" i="57"/>
  <c r="D107" i="57" s="1"/>
  <c r="L106" i="57"/>
  <c r="L105" i="57"/>
  <c r="L104" i="57"/>
  <c r="L103" i="57"/>
  <c r="D103" i="57" s="1"/>
  <c r="L102" i="57"/>
  <c r="L101" i="57"/>
  <c r="D101" i="57" s="1"/>
  <c r="L100" i="57"/>
  <c r="D100" i="57" s="1"/>
  <c r="L99" i="57"/>
  <c r="D99" i="57" s="1"/>
  <c r="L98" i="57"/>
  <c r="L97" i="57"/>
  <c r="D97" i="57" s="1"/>
  <c r="L96" i="57"/>
  <c r="D96" i="57" s="1"/>
  <c r="L95" i="57"/>
  <c r="D95" i="57" s="1"/>
  <c r="L94" i="57"/>
  <c r="D94" i="57" s="1"/>
  <c r="L93" i="57"/>
  <c r="D93" i="57" s="1"/>
  <c r="L92" i="57"/>
  <c r="D92" i="57" s="1"/>
  <c r="L91" i="57"/>
  <c r="D91" i="57" s="1"/>
  <c r="L90" i="57"/>
  <c r="D90" i="57" s="1"/>
  <c r="L89" i="57"/>
  <c r="D89" i="57" s="1"/>
  <c r="L88" i="57"/>
  <c r="D88" i="57" s="1"/>
  <c r="L87" i="57"/>
  <c r="D87" i="57" s="1"/>
  <c r="L86" i="57"/>
  <c r="D86" i="57" s="1"/>
  <c r="L85" i="57"/>
  <c r="D85" i="57" s="1"/>
  <c r="L84" i="57"/>
  <c r="D84" i="57" s="1"/>
  <c r="L83" i="57"/>
  <c r="D83" i="57" s="1"/>
  <c r="L82" i="57"/>
  <c r="D82" i="57" s="1"/>
  <c r="L81" i="57"/>
  <c r="D81" i="57" s="1"/>
  <c r="L80" i="57"/>
  <c r="D80" i="57" s="1"/>
  <c r="L79" i="57"/>
  <c r="D79" i="57" s="1"/>
  <c r="L78" i="57"/>
  <c r="D78" i="57" s="1"/>
  <c r="L77" i="57"/>
  <c r="D77" i="57" s="1"/>
  <c r="L76" i="57"/>
  <c r="D76" i="57" s="1"/>
  <c r="L75" i="57"/>
  <c r="D75" i="57" s="1"/>
  <c r="L74" i="57"/>
  <c r="D74" i="57" s="1"/>
  <c r="L73" i="57"/>
  <c r="D73" i="57" s="1"/>
  <c r="L72" i="57"/>
  <c r="D72" i="57" s="1"/>
  <c r="L71" i="57"/>
  <c r="D71" i="57" s="1"/>
  <c r="L70" i="57"/>
  <c r="D70" i="57" s="1"/>
  <c r="L69" i="57"/>
  <c r="D69" i="57" s="1"/>
  <c r="L68" i="57"/>
  <c r="D68" i="57" s="1"/>
  <c r="L67" i="57"/>
  <c r="D67" i="57" s="1"/>
  <c r="L66" i="57"/>
  <c r="D66" i="57" s="1"/>
  <c r="L65" i="57"/>
  <c r="D65" i="57" s="1"/>
  <c r="L64" i="57"/>
  <c r="D64" i="57" s="1"/>
  <c r="L63" i="57"/>
  <c r="D63" i="57" s="1"/>
  <c r="L62" i="57"/>
  <c r="D62" i="57" s="1"/>
  <c r="L61" i="57"/>
  <c r="D61" i="57" s="1"/>
  <c r="L60" i="57"/>
  <c r="D60" i="57" s="1"/>
  <c r="L59" i="57"/>
  <c r="D59" i="57" s="1"/>
  <c r="L58" i="57"/>
  <c r="D58" i="57" s="1"/>
  <c r="L57" i="57"/>
  <c r="D57" i="57" s="1"/>
  <c r="L56" i="57"/>
  <c r="D56" i="57" s="1"/>
  <c r="L55" i="57"/>
  <c r="D55" i="57" s="1"/>
  <c r="L54" i="57"/>
  <c r="D54" i="57" s="1"/>
  <c r="L53" i="57"/>
  <c r="D53" i="57" s="1"/>
  <c r="L52" i="57"/>
  <c r="D52" i="57" s="1"/>
  <c r="L51" i="57"/>
  <c r="D51" i="57" s="1"/>
  <c r="L50" i="57"/>
  <c r="D50" i="57" s="1"/>
  <c r="L49" i="57"/>
  <c r="D49" i="57" s="1"/>
  <c r="L48" i="57"/>
  <c r="D48" i="57" s="1"/>
  <c r="L47" i="57"/>
  <c r="D47" i="57" s="1"/>
  <c r="L46" i="57"/>
  <c r="D46" i="57" s="1"/>
  <c r="L45" i="57"/>
  <c r="D45" i="57" s="1"/>
  <c r="L44" i="57"/>
  <c r="D44" i="57" s="1"/>
  <c r="L43" i="57"/>
  <c r="D43" i="57" s="1"/>
  <c r="L42" i="57"/>
  <c r="D42" i="57" s="1"/>
  <c r="L41" i="57"/>
  <c r="D41" i="57" s="1"/>
  <c r="L40" i="57"/>
  <c r="D40" i="57" s="1"/>
  <c r="L39" i="57"/>
  <c r="D39" i="57" s="1"/>
  <c r="L38" i="57"/>
  <c r="D38" i="57" s="1"/>
  <c r="L37" i="57"/>
  <c r="D37" i="57" s="1"/>
  <c r="L36" i="57"/>
  <c r="D36" i="57" s="1"/>
  <c r="L35" i="57"/>
  <c r="D35" i="57" s="1"/>
  <c r="L34" i="57"/>
  <c r="D34" i="57" s="1"/>
  <c r="L33" i="57"/>
  <c r="D33" i="57" s="1"/>
  <c r="L32" i="57"/>
  <c r="D32" i="57" s="1"/>
  <c r="L31" i="57"/>
  <c r="D31" i="57" s="1"/>
  <c r="L30" i="57"/>
  <c r="D30" i="57" s="1"/>
  <c r="L29" i="57"/>
  <c r="D29" i="57" s="1"/>
  <c r="L28" i="57"/>
  <c r="D28" i="57" s="1"/>
  <c r="L27" i="57"/>
  <c r="D27" i="57" s="1"/>
  <c r="L26" i="57"/>
  <c r="D26" i="57" s="1"/>
  <c r="L25" i="57"/>
  <c r="D25" i="57" s="1"/>
  <c r="L24" i="57"/>
  <c r="D24" i="57" s="1"/>
  <c r="L23" i="57"/>
  <c r="D23" i="57" s="1"/>
  <c r="L22" i="57"/>
  <c r="D22" i="57" s="1"/>
  <c r="L21" i="57"/>
  <c r="D21" i="57" s="1"/>
  <c r="L20" i="57"/>
  <c r="D20" i="57" s="1"/>
  <c r="L19" i="57"/>
  <c r="D19" i="57" s="1"/>
  <c r="L18" i="57"/>
  <c r="D18" i="57" s="1"/>
  <c r="L17" i="57"/>
  <c r="D17" i="57" s="1"/>
  <c r="L16" i="57"/>
  <c r="D16" i="57" s="1"/>
  <c r="L15" i="57"/>
  <c r="D15" i="57" s="1"/>
  <c r="L14" i="57"/>
  <c r="D14" i="57" s="1"/>
  <c r="L13" i="57"/>
  <c r="D13" i="57" s="1"/>
  <c r="L12" i="57"/>
  <c r="D12" i="57" s="1"/>
  <c r="L11" i="57"/>
  <c r="D11" i="57" s="1"/>
  <c r="L10" i="57"/>
  <c r="D10" i="57" s="1"/>
  <c r="L9" i="57"/>
  <c r="D9" i="57" s="1"/>
  <c r="L8" i="57"/>
  <c r="D8" i="57" s="1"/>
  <c r="L7" i="57"/>
  <c r="D7" i="57" s="1"/>
  <c r="L6" i="57"/>
  <c r="D6" i="57" s="1"/>
  <c r="L5" i="57"/>
  <c r="D124" i="57"/>
  <c r="D123" i="57"/>
  <c r="D122" i="57"/>
  <c r="D121" i="57"/>
  <c r="D120" i="57"/>
  <c r="D119" i="57"/>
  <c r="D118" i="57"/>
  <c r="D117" i="57"/>
  <c r="D116" i="57"/>
  <c r="D115" i="57"/>
  <c r="D114" i="57"/>
  <c r="D112" i="57"/>
  <c r="D110" i="57"/>
  <c r="D109" i="57"/>
  <c r="D108" i="57"/>
  <c r="D106" i="57"/>
  <c r="D105" i="57"/>
  <c r="D104" i="57"/>
  <c r="D98" i="57"/>
  <c r="J124" i="55"/>
  <c r="K124" i="55" s="1"/>
  <c r="J123" i="55"/>
  <c r="K123" i="55" s="1"/>
  <c r="J122" i="55"/>
  <c r="K122" i="55" s="1"/>
  <c r="J121" i="55"/>
  <c r="K121" i="55" s="1"/>
  <c r="J120" i="55"/>
  <c r="K120" i="55" s="1"/>
  <c r="J118" i="55"/>
  <c r="K118" i="55" s="1"/>
  <c r="J116" i="55"/>
  <c r="K116" i="55" s="1"/>
  <c r="J115" i="55"/>
  <c r="K115" i="55" s="1"/>
  <c r="J114" i="55"/>
  <c r="K114" i="55" s="1"/>
  <c r="J112" i="55"/>
  <c r="K112" i="55" s="1"/>
  <c r="J111" i="55"/>
  <c r="K111" i="55" s="1"/>
  <c r="J110" i="55"/>
  <c r="K110" i="55" s="1"/>
  <c r="J109" i="55"/>
  <c r="K109" i="55" s="1"/>
  <c r="J108" i="55"/>
  <c r="K108" i="55" s="1"/>
  <c r="J107" i="55"/>
  <c r="K107" i="55" s="1"/>
  <c r="J106" i="55"/>
  <c r="K106" i="55" s="1"/>
  <c r="J105" i="55"/>
  <c r="K105" i="55" s="1"/>
  <c r="J104" i="55"/>
  <c r="K104" i="55" s="1"/>
  <c r="J103" i="55"/>
  <c r="K103" i="55" s="1"/>
  <c r="J102" i="55"/>
  <c r="K102" i="55" s="1"/>
  <c r="J101" i="55"/>
  <c r="K101" i="55" s="1"/>
  <c r="J100" i="55"/>
  <c r="K100" i="55" s="1"/>
  <c r="J99" i="55"/>
  <c r="K99" i="55" s="1"/>
  <c r="J98" i="55"/>
  <c r="K98" i="55" s="1"/>
  <c r="J97" i="55"/>
  <c r="K97" i="55" s="1"/>
  <c r="J96" i="55"/>
  <c r="K96" i="55" s="1"/>
  <c r="J94" i="55"/>
  <c r="K94" i="55" s="1"/>
  <c r="J92" i="55"/>
  <c r="K92" i="55" s="1"/>
  <c r="J91" i="55"/>
  <c r="K91" i="55" s="1"/>
  <c r="J90" i="55"/>
  <c r="K90" i="55" s="1"/>
  <c r="J89" i="55"/>
  <c r="K89" i="55" s="1"/>
  <c r="J88" i="55"/>
  <c r="K88" i="55" s="1"/>
  <c r="J87" i="55"/>
  <c r="K87" i="55" s="1"/>
  <c r="J86" i="55"/>
  <c r="K86" i="55" s="1"/>
  <c r="J85" i="55"/>
  <c r="K85" i="55" s="1"/>
  <c r="J84" i="55"/>
  <c r="K84" i="55" s="1"/>
  <c r="J83" i="55"/>
  <c r="K83" i="55" s="1"/>
  <c r="J82" i="55"/>
  <c r="K82" i="55" s="1"/>
  <c r="J81" i="55"/>
  <c r="K81" i="55" s="1"/>
  <c r="J80" i="55"/>
  <c r="K80" i="55" s="1"/>
  <c r="J79" i="55"/>
  <c r="K79" i="55" s="1"/>
  <c r="J78" i="55"/>
  <c r="K78" i="55" s="1"/>
  <c r="J77" i="55"/>
  <c r="K77" i="55" s="1"/>
  <c r="J76" i="55"/>
  <c r="K76" i="55" s="1"/>
  <c r="J75" i="55"/>
  <c r="K75" i="55" s="1"/>
  <c r="J74" i="55"/>
  <c r="K74" i="55" s="1"/>
  <c r="J73" i="55"/>
  <c r="K73" i="55" s="1"/>
  <c r="J72" i="55"/>
  <c r="K72" i="55" s="1"/>
  <c r="J71" i="55"/>
  <c r="K71" i="55" s="1"/>
  <c r="J70" i="55"/>
  <c r="K70" i="55" s="1"/>
  <c r="J69" i="55"/>
  <c r="K69" i="55" s="1"/>
  <c r="J68" i="55"/>
  <c r="K68" i="55" s="1"/>
  <c r="J67" i="55"/>
  <c r="K67" i="55" s="1"/>
  <c r="J65" i="55"/>
  <c r="K65" i="55" s="1"/>
  <c r="J64" i="55"/>
  <c r="K64" i="55" s="1"/>
  <c r="J63" i="55"/>
  <c r="K63" i="55" s="1"/>
  <c r="J61" i="55"/>
  <c r="K61" i="55" s="1"/>
  <c r="J60" i="55"/>
  <c r="K60" i="55" s="1"/>
  <c r="J59" i="55"/>
  <c r="K59" i="55" s="1"/>
  <c r="J58" i="55"/>
  <c r="K58" i="55" s="1"/>
  <c r="J57" i="55"/>
  <c r="K57" i="55" s="1"/>
  <c r="J56" i="55"/>
  <c r="K56" i="55" s="1"/>
  <c r="J55" i="55"/>
  <c r="K55" i="55" s="1"/>
  <c r="J54" i="55"/>
  <c r="K54" i="55" s="1"/>
  <c r="J53" i="55"/>
  <c r="K53" i="55" s="1"/>
  <c r="J52" i="55"/>
  <c r="K52" i="55" s="1"/>
  <c r="J50" i="55"/>
  <c r="K50" i="55" s="1"/>
  <c r="J49" i="55"/>
  <c r="K49" i="55" s="1"/>
  <c r="J46" i="55"/>
  <c r="K46" i="55" s="1"/>
  <c r="J45" i="55"/>
  <c r="K45" i="55" s="1"/>
  <c r="J44" i="55"/>
  <c r="K44" i="55" s="1"/>
  <c r="J43" i="55"/>
  <c r="K43" i="55" s="1"/>
  <c r="J42" i="55"/>
  <c r="K42" i="55" s="1"/>
  <c r="J41" i="55"/>
  <c r="K41" i="55" s="1"/>
  <c r="J40" i="55"/>
  <c r="K40" i="55" s="1"/>
  <c r="J39" i="55"/>
  <c r="K39" i="55" s="1"/>
  <c r="J38" i="55"/>
  <c r="K38" i="55" s="1"/>
  <c r="J37" i="55"/>
  <c r="K37" i="55" s="1"/>
  <c r="J36" i="55"/>
  <c r="K36" i="55" s="1"/>
  <c r="J35" i="55"/>
  <c r="K35" i="55" s="1"/>
  <c r="J33" i="55"/>
  <c r="K33" i="55" s="1"/>
  <c r="J32" i="55"/>
  <c r="K32" i="55" s="1"/>
  <c r="J30" i="55"/>
  <c r="K30" i="55" s="1"/>
  <c r="J29" i="55"/>
  <c r="K29" i="55" s="1"/>
  <c r="J28" i="55"/>
  <c r="K28" i="55" s="1"/>
  <c r="J27" i="55"/>
  <c r="K27" i="55" s="1"/>
  <c r="J26" i="55"/>
  <c r="K26" i="55" s="1"/>
  <c r="J24" i="55"/>
  <c r="K24" i="55" s="1"/>
  <c r="J23" i="55"/>
  <c r="K23" i="55" s="1"/>
  <c r="J22" i="55"/>
  <c r="K22" i="55" s="1"/>
  <c r="J19" i="55"/>
  <c r="K19" i="55" s="1"/>
  <c r="J18" i="55"/>
  <c r="K18" i="55" s="1"/>
  <c r="J17" i="55"/>
  <c r="K17" i="55" s="1"/>
  <c r="J16" i="55"/>
  <c r="K16" i="55" s="1"/>
  <c r="J15" i="55"/>
  <c r="K15" i="55" s="1"/>
  <c r="J14" i="55"/>
  <c r="K14" i="55" s="1"/>
  <c r="J13" i="55"/>
  <c r="K13" i="55" s="1"/>
  <c r="J11" i="55"/>
  <c r="K11" i="55" s="1"/>
  <c r="J10" i="55"/>
  <c r="K10" i="55" s="1"/>
  <c r="J9" i="55"/>
  <c r="K9" i="55" s="1"/>
  <c r="J8" i="55"/>
  <c r="K8" i="55" s="1"/>
  <c r="J7" i="55"/>
  <c r="K7" i="55" s="1"/>
  <c r="J5" i="55"/>
  <c r="I124" i="55"/>
  <c r="I123" i="55"/>
  <c r="I122" i="55"/>
  <c r="I121" i="55"/>
  <c r="I120" i="55"/>
  <c r="I119" i="55"/>
  <c r="I118" i="55"/>
  <c r="I117" i="55"/>
  <c r="I116" i="55"/>
  <c r="I115" i="55"/>
  <c r="I114" i="55"/>
  <c r="I112" i="55"/>
  <c r="I111" i="55"/>
  <c r="I110" i="55"/>
  <c r="I109" i="55"/>
  <c r="I108" i="55"/>
  <c r="I107" i="55"/>
  <c r="I106" i="55"/>
  <c r="I105" i="55"/>
  <c r="I104" i="55"/>
  <c r="I103" i="55"/>
  <c r="I102" i="55"/>
  <c r="I101" i="55"/>
  <c r="I100" i="55"/>
  <c r="I99" i="55"/>
  <c r="I98" i="55"/>
  <c r="I97" i="55"/>
  <c r="I96" i="55"/>
  <c r="I94"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1" i="55"/>
  <c r="I60" i="55"/>
  <c r="I59" i="55"/>
  <c r="I58" i="55"/>
  <c r="I57" i="55"/>
  <c r="I56" i="55"/>
  <c r="I55" i="55"/>
  <c r="I54" i="55"/>
  <c r="I53" i="55"/>
  <c r="I52" i="55"/>
  <c r="I50" i="55"/>
  <c r="I49" i="55"/>
  <c r="I46" i="55"/>
  <c r="I45" i="55"/>
  <c r="I44" i="55"/>
  <c r="I43" i="55"/>
  <c r="I42" i="55"/>
  <c r="I41" i="55"/>
  <c r="I39" i="55"/>
  <c r="I38" i="55"/>
  <c r="I37" i="55"/>
  <c r="I36" i="55"/>
  <c r="I35" i="55"/>
  <c r="I33" i="55"/>
  <c r="I32" i="55"/>
  <c r="I30" i="55"/>
  <c r="I29" i="55"/>
  <c r="I28" i="55"/>
  <c r="I27" i="55"/>
  <c r="I26" i="55"/>
  <c r="I24" i="55"/>
  <c r="I23" i="55"/>
  <c r="I22" i="55"/>
  <c r="I20" i="55"/>
  <c r="I19" i="55"/>
  <c r="I18" i="55"/>
  <c r="I17" i="55"/>
  <c r="I16" i="55"/>
  <c r="I15" i="55"/>
  <c r="I14" i="55"/>
  <c r="I13" i="55"/>
  <c r="I11" i="55"/>
  <c r="I10" i="55"/>
  <c r="I9" i="55"/>
  <c r="I8" i="55"/>
  <c r="I7" i="55"/>
  <c r="I5" i="55"/>
  <c r="N191" i="1" s="1"/>
  <c r="J119" i="55"/>
  <c r="K119" i="55" s="1"/>
  <c r="J117" i="55"/>
  <c r="K117" i="55" s="1"/>
  <c r="J113" i="55"/>
  <c r="K113" i="55" s="1"/>
  <c r="J95" i="55"/>
  <c r="K95" i="55" s="1"/>
  <c r="J93" i="55"/>
  <c r="K93" i="55" s="1"/>
  <c r="J66" i="55"/>
  <c r="K66" i="55" s="1"/>
  <c r="J62" i="55"/>
  <c r="K62" i="55" s="1"/>
  <c r="J51" i="55"/>
  <c r="K51" i="55" s="1"/>
  <c r="J48" i="55"/>
  <c r="K48" i="55" s="1"/>
  <c r="J47" i="55"/>
  <c r="K47" i="55" s="1"/>
  <c r="J34" i="55"/>
  <c r="K34" i="55" s="1"/>
  <c r="J31" i="55"/>
  <c r="K31" i="55" s="1"/>
  <c r="J25" i="55"/>
  <c r="K25" i="55" s="1"/>
  <c r="J21" i="55"/>
  <c r="K21" i="55" s="1"/>
  <c r="J20" i="55"/>
  <c r="K20" i="55" s="1"/>
  <c r="J12" i="55"/>
  <c r="K12" i="55" s="1"/>
  <c r="J6" i="55"/>
  <c r="K6" i="55" s="1"/>
  <c r="I113" i="55"/>
  <c r="I95" i="55"/>
  <c r="I93" i="55"/>
  <c r="I92" i="55"/>
  <c r="I62" i="55"/>
  <c r="I51" i="55"/>
  <c r="I48" i="55"/>
  <c r="I47" i="55"/>
  <c r="I40" i="55"/>
  <c r="I34" i="55"/>
  <c r="I31" i="55"/>
  <c r="I21" i="55"/>
  <c r="I12" i="55"/>
  <c r="I6" i="55"/>
  <c r="J124" i="53"/>
  <c r="J123" i="53"/>
  <c r="J122" i="53"/>
  <c r="J121" i="53"/>
  <c r="J120" i="53"/>
  <c r="J119" i="53"/>
  <c r="J118" i="53"/>
  <c r="J117" i="53"/>
  <c r="J116" i="53"/>
  <c r="J115" i="53"/>
  <c r="J113" i="53"/>
  <c r="J112" i="53"/>
  <c r="J111" i="53"/>
  <c r="J110" i="53"/>
  <c r="J109" i="53"/>
  <c r="J108" i="53"/>
  <c r="J107" i="53"/>
  <c r="J106" i="53"/>
  <c r="J105" i="53"/>
  <c r="J104" i="53"/>
  <c r="J103" i="53"/>
  <c r="J102" i="53"/>
  <c r="J101" i="53"/>
  <c r="J100" i="53"/>
  <c r="J99" i="53"/>
  <c r="J98" i="53"/>
  <c r="J97" i="53"/>
  <c r="J96" i="53"/>
  <c r="J95" i="53"/>
  <c r="J94" i="53"/>
  <c r="J93" i="53"/>
  <c r="J92" i="53"/>
  <c r="J91" i="53"/>
  <c r="J90" i="53"/>
  <c r="J89" i="53"/>
  <c r="J88" i="53"/>
  <c r="J87" i="53"/>
  <c r="J86" i="53"/>
  <c r="J85" i="53"/>
  <c r="J84" i="53"/>
  <c r="J83" i="53"/>
  <c r="J82" i="53"/>
  <c r="J81" i="53"/>
  <c r="J80" i="53"/>
  <c r="J79" i="53"/>
  <c r="J78" i="53"/>
  <c r="J77" i="53"/>
  <c r="J76" i="53"/>
  <c r="J75" i="53"/>
  <c r="J74" i="53"/>
  <c r="J73" i="53"/>
  <c r="J72" i="53"/>
  <c r="J71" i="53"/>
  <c r="J70" i="53"/>
  <c r="J69" i="53"/>
  <c r="J68" i="53"/>
  <c r="J67" i="53"/>
  <c r="J66" i="53"/>
  <c r="J65" i="53"/>
  <c r="J64" i="53"/>
  <c r="J63" i="53"/>
  <c r="J62" i="53"/>
  <c r="J61" i="53"/>
  <c r="J60" i="53"/>
  <c r="J59" i="53"/>
  <c r="J58" i="53"/>
  <c r="J57" i="53"/>
  <c r="J56" i="53"/>
  <c r="J55" i="53"/>
  <c r="J54" i="53"/>
  <c r="J53" i="53"/>
  <c r="J52" i="53"/>
  <c r="J51" i="53"/>
  <c r="J50" i="53"/>
  <c r="J49" i="53"/>
  <c r="J48" i="53"/>
  <c r="J47" i="53"/>
  <c r="J45" i="53"/>
  <c r="J44" i="53"/>
  <c r="J43" i="53"/>
  <c r="J42" i="53"/>
  <c r="J41" i="53"/>
  <c r="J40" i="53"/>
  <c r="J39" i="53"/>
  <c r="J38" i="53"/>
  <c r="J37" i="53"/>
  <c r="J36" i="53"/>
  <c r="J35" i="53"/>
  <c r="J34" i="53"/>
  <c r="J33" i="53"/>
  <c r="J32" i="53"/>
  <c r="J31" i="53"/>
  <c r="J30" i="53"/>
  <c r="J29" i="53"/>
  <c r="J28" i="53"/>
  <c r="J27" i="53"/>
  <c r="J26" i="53"/>
  <c r="J25" i="53"/>
  <c r="J24" i="53"/>
  <c r="J23" i="53"/>
  <c r="J21" i="53"/>
  <c r="J20" i="53"/>
  <c r="J19" i="53"/>
  <c r="J18" i="53"/>
  <c r="J17" i="53"/>
  <c r="J16" i="53"/>
  <c r="J14" i="53"/>
  <c r="J13" i="53"/>
  <c r="J12" i="53"/>
  <c r="J10" i="53"/>
  <c r="J9" i="53"/>
  <c r="J7" i="53"/>
  <c r="K124" i="53"/>
  <c r="K102" i="53"/>
  <c r="E125" i="79"/>
  <c r="E121" i="79"/>
  <c r="E113" i="79"/>
  <c r="E109" i="79"/>
  <c r="E105" i="79"/>
  <c r="E100" i="79"/>
  <c r="E85" i="79"/>
  <c r="E81" i="79"/>
  <c r="E77" i="79"/>
  <c r="E73" i="79"/>
  <c r="E71" i="79"/>
  <c r="E57" i="79"/>
  <c r="E41" i="79"/>
  <c r="E37" i="79"/>
  <c r="E29" i="79"/>
  <c r="E17" i="79"/>
  <c r="E13" i="79"/>
  <c r="D125" i="79"/>
  <c r="D121" i="79"/>
  <c r="D113" i="79"/>
  <c r="D109" i="79"/>
  <c r="D105" i="79"/>
  <c r="D100" i="79"/>
  <c r="D85" i="79"/>
  <c r="D81" i="79"/>
  <c r="D77" i="79"/>
  <c r="D73" i="79"/>
  <c r="D71" i="79"/>
  <c r="D57" i="79"/>
  <c r="D41" i="79"/>
  <c r="D37" i="79"/>
  <c r="D29" i="79"/>
  <c r="D17" i="79"/>
  <c r="D13" i="79"/>
  <c r="G8" i="79" l="1"/>
  <c r="AA8" i="79" s="1"/>
  <c r="K5" i="55"/>
  <c r="M191" i="1"/>
  <c r="G48" i="79"/>
  <c r="AA48" i="79" s="1"/>
  <c r="G52" i="79"/>
  <c r="AA52" i="79" s="1"/>
  <c r="G60" i="79"/>
  <c r="AA60" i="79" s="1"/>
  <c r="G64" i="79"/>
  <c r="AA64" i="79" s="1"/>
  <c r="G68" i="79"/>
  <c r="AA68" i="79" s="1"/>
  <c r="G72" i="79"/>
  <c r="AA72" i="79" s="1"/>
  <c r="G84" i="79"/>
  <c r="AA84" i="79" s="1"/>
  <c r="G92" i="79"/>
  <c r="AA92" i="79" s="1"/>
  <c r="G96" i="79"/>
  <c r="AA96" i="79" s="1"/>
  <c r="G103" i="79"/>
  <c r="AA103" i="79" s="1"/>
  <c r="G116" i="79"/>
  <c r="AA116" i="79" s="1"/>
  <c r="G120" i="79"/>
  <c r="AA120" i="79" s="1"/>
  <c r="G124" i="79"/>
  <c r="AA124" i="79" s="1"/>
  <c r="G76" i="79"/>
  <c r="AA76" i="79" s="1"/>
  <c r="G80" i="79"/>
  <c r="AA80" i="79" s="1"/>
  <c r="G88" i="79"/>
  <c r="AA88" i="79" s="1"/>
  <c r="G100" i="79"/>
  <c r="AA100" i="79" s="1"/>
  <c r="G104" i="79"/>
  <c r="AA104" i="79" s="1"/>
  <c r="G108" i="79"/>
  <c r="AA108" i="79" s="1"/>
  <c r="G112" i="79"/>
  <c r="AA112" i="79" s="1"/>
  <c r="G125" i="79"/>
  <c r="AA125" i="79" s="1"/>
  <c r="G24" i="79"/>
  <c r="AA24" i="79" s="1"/>
  <c r="G28" i="79"/>
  <c r="AA28" i="79" s="1"/>
  <c r="G32" i="79"/>
  <c r="AA32" i="79" s="1"/>
  <c r="G36" i="79"/>
  <c r="AA36" i="79" s="1"/>
  <c r="G40" i="79"/>
  <c r="AA40" i="79" s="1"/>
  <c r="G44" i="79"/>
  <c r="AA44" i="79" s="1"/>
  <c r="G101" i="79"/>
  <c r="AA101" i="79" s="1"/>
  <c r="G20" i="79"/>
  <c r="AA20" i="79" s="1"/>
  <c r="K10" i="53"/>
  <c r="G11" i="79"/>
  <c r="AA11" i="79" s="1"/>
  <c r="K16" i="53"/>
  <c r="K20" i="53"/>
  <c r="G21" i="79"/>
  <c r="AA21" i="79" s="1"/>
  <c r="K25" i="53"/>
  <c r="G26" i="79"/>
  <c r="AA26" i="79" s="1"/>
  <c r="K29" i="53"/>
  <c r="G30" i="79"/>
  <c r="AA30" i="79" s="1"/>
  <c r="K33" i="53"/>
  <c r="G34" i="79"/>
  <c r="AA34" i="79" s="1"/>
  <c r="K37" i="53"/>
  <c r="G38" i="79"/>
  <c r="AA38" i="79" s="1"/>
  <c r="K41" i="53"/>
  <c r="G42" i="79"/>
  <c r="AA42" i="79" s="1"/>
  <c r="K45" i="53"/>
  <c r="G46" i="79"/>
  <c r="AA46" i="79" s="1"/>
  <c r="K50" i="53"/>
  <c r="G51" i="79"/>
  <c r="AA51" i="79" s="1"/>
  <c r="K54" i="53"/>
  <c r="G55" i="79"/>
  <c r="AA55" i="79" s="1"/>
  <c r="K58" i="53"/>
  <c r="G59" i="79"/>
  <c r="AA59" i="79" s="1"/>
  <c r="K62" i="53"/>
  <c r="G63" i="79"/>
  <c r="AA63" i="79" s="1"/>
  <c r="K66" i="53"/>
  <c r="G67" i="79"/>
  <c r="AA67" i="79" s="1"/>
  <c r="K70" i="53"/>
  <c r="G71" i="79"/>
  <c r="AA71" i="79" s="1"/>
  <c r="K74" i="53"/>
  <c r="G75" i="79"/>
  <c r="AA75" i="79" s="1"/>
  <c r="K78" i="53"/>
  <c r="G79" i="79"/>
  <c r="AA79" i="79" s="1"/>
  <c r="K82" i="53"/>
  <c r="G83" i="79"/>
  <c r="AA83" i="79" s="1"/>
  <c r="K86" i="53"/>
  <c r="G87" i="79"/>
  <c r="AA87" i="79" s="1"/>
  <c r="K90" i="53"/>
  <c r="G91" i="79"/>
  <c r="AA91" i="79" s="1"/>
  <c r="K94" i="53"/>
  <c r="G95" i="79"/>
  <c r="AA95" i="79" s="1"/>
  <c r="K98" i="53"/>
  <c r="G99" i="79"/>
  <c r="AA99" i="79" s="1"/>
  <c r="K106" i="53"/>
  <c r="G107" i="79"/>
  <c r="AA107" i="79" s="1"/>
  <c r="K110" i="53"/>
  <c r="G111" i="79"/>
  <c r="AA111" i="79" s="1"/>
  <c r="K12" i="53"/>
  <c r="K17" i="53"/>
  <c r="G18" i="79"/>
  <c r="AA18" i="79" s="1"/>
  <c r="K21" i="53"/>
  <c r="G22" i="79"/>
  <c r="AA22" i="79" s="1"/>
  <c r="K26" i="53"/>
  <c r="G27" i="79"/>
  <c r="AA27" i="79" s="1"/>
  <c r="K30" i="53"/>
  <c r="G31" i="79"/>
  <c r="AA31" i="79" s="1"/>
  <c r="K34" i="53"/>
  <c r="G35" i="79"/>
  <c r="AA35" i="79" s="1"/>
  <c r="K38" i="53"/>
  <c r="G39" i="79"/>
  <c r="AA39" i="79" s="1"/>
  <c r="K42" i="53"/>
  <c r="G43" i="79"/>
  <c r="AA43" i="79" s="1"/>
  <c r="K116" i="53"/>
  <c r="G117" i="79"/>
  <c r="AA117" i="79" s="1"/>
  <c r="K120" i="53"/>
  <c r="G121" i="79"/>
  <c r="AA121" i="79" s="1"/>
  <c r="K13" i="53"/>
  <c r="G14" i="79"/>
  <c r="AA14" i="79" s="1"/>
  <c r="K18" i="53"/>
  <c r="G19" i="79"/>
  <c r="AA19" i="79" s="1"/>
  <c r="K48" i="53"/>
  <c r="G49" i="79"/>
  <c r="AA49" i="79" s="1"/>
  <c r="K52" i="53"/>
  <c r="G53" i="79"/>
  <c r="AA53" i="79" s="1"/>
  <c r="K56" i="53"/>
  <c r="G57" i="79"/>
  <c r="AA57" i="79" s="1"/>
  <c r="K60" i="53"/>
  <c r="G61" i="79"/>
  <c r="AA61" i="79" s="1"/>
  <c r="K64" i="53"/>
  <c r="G65" i="79"/>
  <c r="AA65" i="79" s="1"/>
  <c r="K68" i="53"/>
  <c r="G69" i="79"/>
  <c r="AA69" i="79" s="1"/>
  <c r="K72" i="53"/>
  <c r="G73" i="79"/>
  <c r="AA73" i="79" s="1"/>
  <c r="K76" i="53"/>
  <c r="G77" i="79"/>
  <c r="AA77" i="79" s="1"/>
  <c r="K80" i="53"/>
  <c r="G81" i="79"/>
  <c r="AA81" i="79" s="1"/>
  <c r="K84" i="53"/>
  <c r="G85" i="79"/>
  <c r="AA85" i="79" s="1"/>
  <c r="K88" i="53"/>
  <c r="G89" i="79"/>
  <c r="AA89" i="79" s="1"/>
  <c r="K92" i="53"/>
  <c r="G93" i="79"/>
  <c r="AA93" i="79" s="1"/>
  <c r="K96" i="53"/>
  <c r="G97" i="79"/>
  <c r="AA97" i="79" s="1"/>
  <c r="K104" i="53"/>
  <c r="G105" i="79"/>
  <c r="AA105" i="79" s="1"/>
  <c r="K108" i="53"/>
  <c r="G109" i="79"/>
  <c r="AA109" i="79" s="1"/>
  <c r="K112" i="53"/>
  <c r="G113" i="79"/>
  <c r="AA113" i="79" s="1"/>
  <c r="K117" i="53"/>
  <c r="G118" i="79"/>
  <c r="AA118" i="79" s="1"/>
  <c r="K121" i="53"/>
  <c r="G122" i="79"/>
  <c r="AA122" i="79" s="1"/>
  <c r="K9" i="53"/>
  <c r="K14" i="53"/>
  <c r="G15" i="79"/>
  <c r="AA15" i="79" s="1"/>
  <c r="K24" i="53"/>
  <c r="K28" i="53"/>
  <c r="G29" i="79"/>
  <c r="AA29" i="79" s="1"/>
  <c r="K32" i="53"/>
  <c r="G33" i="79"/>
  <c r="AA33" i="79" s="1"/>
  <c r="K36" i="53"/>
  <c r="G37" i="79"/>
  <c r="AA37" i="79" s="1"/>
  <c r="K40" i="53"/>
  <c r="G41" i="79"/>
  <c r="AA41" i="79" s="1"/>
  <c r="K44" i="53"/>
  <c r="G45" i="79"/>
  <c r="AA45" i="79" s="1"/>
  <c r="K49" i="53"/>
  <c r="G50" i="79"/>
  <c r="AA50" i="79" s="1"/>
  <c r="K53" i="53"/>
  <c r="G54" i="79"/>
  <c r="AA54" i="79" s="1"/>
  <c r="K57" i="53"/>
  <c r="G58" i="79"/>
  <c r="AA58" i="79" s="1"/>
  <c r="K61" i="53"/>
  <c r="G62" i="79"/>
  <c r="AA62" i="79" s="1"/>
  <c r="K65" i="53"/>
  <c r="G66" i="79"/>
  <c r="AA66" i="79" s="1"/>
  <c r="K69" i="53"/>
  <c r="G70" i="79"/>
  <c r="AA70" i="79" s="1"/>
  <c r="K73" i="53"/>
  <c r="G74" i="79"/>
  <c r="AA74" i="79" s="1"/>
  <c r="K77" i="53"/>
  <c r="G78" i="79"/>
  <c r="AA78" i="79" s="1"/>
  <c r="K81" i="53"/>
  <c r="K85" i="53"/>
  <c r="G86" i="79"/>
  <c r="AA86" i="79" s="1"/>
  <c r="K89" i="53"/>
  <c r="G90" i="79"/>
  <c r="AA90" i="79" s="1"/>
  <c r="K93" i="53"/>
  <c r="G94" i="79"/>
  <c r="AA94" i="79" s="1"/>
  <c r="K97" i="53"/>
  <c r="G98" i="79"/>
  <c r="AA98" i="79" s="1"/>
  <c r="K101" i="53"/>
  <c r="G102" i="79"/>
  <c r="AA102" i="79" s="1"/>
  <c r="K105" i="53"/>
  <c r="G106" i="79"/>
  <c r="AA106" i="79" s="1"/>
  <c r="K109" i="53"/>
  <c r="G110" i="79"/>
  <c r="AA110" i="79" s="1"/>
  <c r="K113" i="53"/>
  <c r="G114" i="79"/>
  <c r="AA114" i="79" s="1"/>
  <c r="K118" i="53"/>
  <c r="G119" i="79"/>
  <c r="AA119" i="79" s="1"/>
  <c r="K122" i="53"/>
  <c r="G123" i="79"/>
  <c r="AA123" i="79" s="1"/>
  <c r="D11" i="79"/>
  <c r="D15" i="79"/>
  <c r="D55" i="79"/>
  <c r="D59" i="79"/>
  <c r="D79" i="79"/>
  <c r="D83" i="79"/>
  <c r="D91" i="79"/>
  <c r="D99" i="79"/>
  <c r="D103" i="79"/>
  <c r="D107" i="79"/>
  <c r="D111" i="79"/>
  <c r="D119" i="79"/>
  <c r="D123" i="79"/>
  <c r="E11" i="79"/>
  <c r="E15" i="79"/>
  <c r="E55" i="79"/>
  <c r="E59" i="79"/>
  <c r="E79" i="79"/>
  <c r="E83" i="79"/>
  <c r="E91" i="79"/>
  <c r="E99" i="79"/>
  <c r="E103" i="79"/>
  <c r="E107" i="79"/>
  <c r="E111" i="79"/>
  <c r="E119" i="79"/>
  <c r="E123" i="79"/>
  <c r="D60" i="79"/>
  <c r="D92" i="79"/>
  <c r="E60" i="79"/>
  <c r="E92" i="79"/>
  <c r="D21" i="79"/>
  <c r="D25" i="79"/>
  <c r="D45" i="79"/>
  <c r="D61" i="79"/>
  <c r="D65" i="79"/>
  <c r="D69" i="79"/>
  <c r="D93" i="79"/>
  <c r="D97" i="79"/>
  <c r="D117" i="79"/>
  <c r="E21" i="79"/>
  <c r="E25" i="79"/>
  <c r="E45" i="79"/>
  <c r="E61" i="79"/>
  <c r="E65" i="79"/>
  <c r="E69" i="79"/>
  <c r="E93" i="79"/>
  <c r="E97" i="79"/>
  <c r="E117" i="79"/>
  <c r="D22" i="79"/>
  <c r="D26" i="79"/>
  <c r="D62" i="79"/>
  <c r="D66" i="79"/>
  <c r="D70" i="79"/>
  <c r="D94" i="79"/>
  <c r="D114" i="79"/>
  <c r="E22" i="79"/>
  <c r="E26" i="79"/>
  <c r="E62" i="79"/>
  <c r="E66" i="79"/>
  <c r="E70" i="79"/>
  <c r="D75" i="79"/>
  <c r="E75" i="79"/>
  <c r="D43" i="79"/>
  <c r="E43" i="79"/>
  <c r="D35" i="79"/>
  <c r="E35" i="79"/>
  <c r="D19" i="79"/>
  <c r="E19" i="79"/>
  <c r="K100" i="53"/>
  <c r="D39" i="79"/>
  <c r="E39" i="79"/>
  <c r="D33" i="79"/>
  <c r="D49" i="79"/>
  <c r="D53" i="79"/>
  <c r="D89" i="79"/>
  <c r="D101" i="79"/>
  <c r="E33" i="79"/>
  <c r="E49" i="79"/>
  <c r="E53" i="79"/>
  <c r="E89" i="79"/>
  <c r="E101" i="79"/>
  <c r="D10" i="79"/>
  <c r="D14" i="79"/>
  <c r="D18" i="79"/>
  <c r="D30" i="79"/>
  <c r="D34" i="79"/>
  <c r="D38" i="79"/>
  <c r="D42" i="79"/>
  <c r="D46" i="79"/>
  <c r="D50" i="79"/>
  <c r="D54" i="79"/>
  <c r="D58" i="79"/>
  <c r="D74" i="79"/>
  <c r="D78" i="79"/>
  <c r="D82" i="79"/>
  <c r="D86" i="79"/>
  <c r="D90" i="79"/>
  <c r="D98" i="79"/>
  <c r="D102" i="79"/>
  <c r="D106" i="79"/>
  <c r="D110" i="79"/>
  <c r="D118" i="79"/>
  <c r="D122" i="79"/>
  <c r="E10" i="79"/>
  <c r="E14" i="79"/>
  <c r="E18" i="79"/>
  <c r="E30" i="79"/>
  <c r="E34" i="79"/>
  <c r="E38" i="79"/>
  <c r="E42" i="79"/>
  <c r="E46" i="79"/>
  <c r="E50" i="79"/>
  <c r="E54" i="79"/>
  <c r="E58" i="79"/>
  <c r="E74" i="79"/>
  <c r="E78" i="79"/>
  <c r="E82" i="79"/>
  <c r="E86" i="79"/>
  <c r="E90" i="79"/>
  <c r="E94" i="79"/>
  <c r="E98" i="79"/>
  <c r="E102" i="79"/>
  <c r="E106" i="79"/>
  <c r="E110" i="79"/>
  <c r="E114" i="79"/>
  <c r="E118" i="79"/>
  <c r="E122" i="79"/>
  <c r="D27" i="79"/>
  <c r="D31" i="79"/>
  <c r="D51" i="79"/>
  <c r="D63" i="79"/>
  <c r="D67" i="79"/>
  <c r="D87" i="79"/>
  <c r="D95" i="79"/>
  <c r="E27" i="79"/>
  <c r="E31" i="79"/>
  <c r="E51" i="79"/>
  <c r="E63" i="79"/>
  <c r="E67" i="79"/>
  <c r="E87" i="79"/>
  <c r="E95" i="79"/>
  <c r="D8" i="79"/>
  <c r="D20" i="79"/>
  <c r="D24" i="79"/>
  <c r="D28" i="79"/>
  <c r="D32" i="79"/>
  <c r="D36" i="79"/>
  <c r="D40" i="79"/>
  <c r="D44" i="79"/>
  <c r="D48" i="79"/>
  <c r="D52" i="79"/>
  <c r="D56" i="79"/>
  <c r="D64" i="79"/>
  <c r="D68" i="79"/>
  <c r="D72" i="79"/>
  <c r="D76" i="79"/>
  <c r="D80" i="79"/>
  <c r="D84" i="79"/>
  <c r="D88" i="79"/>
  <c r="D96" i="79"/>
  <c r="D104" i="79"/>
  <c r="D108" i="79"/>
  <c r="D112" i="79"/>
  <c r="D116" i="79"/>
  <c r="D120" i="79"/>
  <c r="D124" i="79"/>
  <c r="E8" i="79"/>
  <c r="E20" i="79"/>
  <c r="E24" i="79"/>
  <c r="E28" i="79"/>
  <c r="E32" i="79"/>
  <c r="E36" i="79"/>
  <c r="E40" i="79"/>
  <c r="E44" i="79"/>
  <c r="E48" i="79"/>
  <c r="E52" i="79"/>
  <c r="E56" i="79"/>
  <c r="E64" i="79"/>
  <c r="E68" i="79"/>
  <c r="E72" i="79"/>
  <c r="E76" i="79"/>
  <c r="E80" i="79"/>
  <c r="E84" i="79"/>
  <c r="E88" i="79"/>
  <c r="E96" i="79"/>
  <c r="E104" i="79"/>
  <c r="E108" i="79"/>
  <c r="E112" i="79"/>
  <c r="E116" i="79"/>
  <c r="E120" i="79"/>
  <c r="E124" i="79"/>
  <c r="G5" i="118"/>
  <c r="Q5" i="79" s="1"/>
  <c r="E23" i="79"/>
  <c r="D23" i="79"/>
  <c r="J22" i="53"/>
  <c r="G25" i="79" s="1"/>
  <c r="AA25" i="79" s="1"/>
  <c r="D115" i="79"/>
  <c r="E115" i="79"/>
  <c r="J114" i="53"/>
  <c r="G82" i="79" s="1"/>
  <c r="AA82" i="79" s="1"/>
  <c r="D47" i="79"/>
  <c r="E47" i="79"/>
  <c r="J46" i="53"/>
  <c r="G56" i="79" s="1"/>
  <c r="AA56" i="79" s="1"/>
  <c r="D102" i="57"/>
  <c r="D5" i="57"/>
  <c r="N198" i="1" s="1"/>
  <c r="I4" i="61"/>
  <c r="E7" i="79"/>
  <c r="J6" i="53"/>
  <c r="D16" i="79"/>
  <c r="E12" i="79"/>
  <c r="E16" i="79"/>
  <c r="J11" i="53"/>
  <c r="G12" i="79" s="1"/>
  <c r="AA12" i="79" s="1"/>
  <c r="J15" i="53"/>
  <c r="G17" i="79" s="1"/>
  <c r="AA17" i="79" s="1"/>
  <c r="E9" i="79"/>
  <c r="J8" i="53"/>
  <c r="G10" i="79" s="1"/>
  <c r="AA10" i="79" s="1"/>
  <c r="E6" i="79"/>
  <c r="J5" i="53"/>
  <c r="D7" i="79"/>
  <c r="D12" i="79"/>
  <c r="D6" i="79"/>
  <c r="D9" i="79"/>
  <c r="K19" i="53"/>
  <c r="K27" i="53"/>
  <c r="K35" i="53"/>
  <c r="K43" i="53"/>
  <c r="K51" i="53"/>
  <c r="K59" i="53"/>
  <c r="K67" i="53"/>
  <c r="K75" i="53"/>
  <c r="K83" i="53"/>
  <c r="K91" i="53"/>
  <c r="K99" i="53"/>
  <c r="K107" i="53"/>
  <c r="K115" i="53"/>
  <c r="K123" i="53"/>
  <c r="K7" i="53"/>
  <c r="K23" i="53"/>
  <c r="K31" i="53"/>
  <c r="K39" i="53"/>
  <c r="K47" i="53"/>
  <c r="K55" i="53"/>
  <c r="K63" i="53"/>
  <c r="K71" i="53"/>
  <c r="K79" i="53"/>
  <c r="K87" i="53"/>
  <c r="K95" i="53"/>
  <c r="K103" i="53"/>
  <c r="K111" i="53"/>
  <c r="K119" i="53"/>
  <c r="I6" i="118"/>
  <c r="I10" i="118"/>
  <c r="I14" i="118"/>
  <c r="I18" i="118"/>
  <c r="I22" i="118"/>
  <c r="I26" i="118"/>
  <c r="I30" i="118"/>
  <c r="I34" i="118"/>
  <c r="I38" i="118"/>
  <c r="I42" i="118"/>
  <c r="I46" i="118"/>
  <c r="I50" i="118"/>
  <c r="I54" i="118"/>
  <c r="I58" i="118"/>
  <c r="I62" i="118"/>
  <c r="I66" i="118"/>
  <c r="I70" i="118"/>
  <c r="I74" i="118"/>
  <c r="I78" i="118"/>
  <c r="I82" i="118"/>
  <c r="I86" i="118"/>
  <c r="I90" i="118"/>
  <c r="I94" i="118"/>
  <c r="I98" i="118"/>
  <c r="I102" i="118"/>
  <c r="I106" i="118"/>
  <c r="I110" i="118"/>
  <c r="I114" i="118"/>
  <c r="I118" i="118"/>
  <c r="I122" i="118"/>
  <c r="I9" i="118"/>
  <c r="I13" i="118"/>
  <c r="I17" i="118"/>
  <c r="I21" i="118"/>
  <c r="I25" i="118"/>
  <c r="I29" i="118"/>
  <c r="I33" i="118"/>
  <c r="I37" i="118"/>
  <c r="I41" i="118"/>
  <c r="I45" i="118"/>
  <c r="I49" i="118"/>
  <c r="I53" i="118"/>
  <c r="I57" i="118"/>
  <c r="I61" i="118"/>
  <c r="I65" i="118"/>
  <c r="I69" i="118"/>
  <c r="I73" i="118"/>
  <c r="I77" i="118"/>
  <c r="I81" i="118"/>
  <c r="I85" i="118"/>
  <c r="I89" i="118"/>
  <c r="I93" i="118"/>
  <c r="I97" i="118"/>
  <c r="I101" i="118"/>
  <c r="I105" i="118"/>
  <c r="I109" i="118"/>
  <c r="I113" i="118"/>
  <c r="I117" i="118"/>
  <c r="I121" i="118"/>
  <c r="I125" i="118"/>
  <c r="I8" i="118"/>
  <c r="I12" i="118"/>
  <c r="I16" i="118"/>
  <c r="I20" i="118"/>
  <c r="I24" i="118"/>
  <c r="I28" i="118"/>
  <c r="I32" i="118"/>
  <c r="I36" i="118"/>
  <c r="I40" i="118"/>
  <c r="I44" i="118"/>
  <c r="I48" i="118"/>
  <c r="I52" i="118"/>
  <c r="I56" i="118"/>
  <c r="I60" i="118"/>
  <c r="I64" i="118"/>
  <c r="I68" i="118"/>
  <c r="I72" i="118"/>
  <c r="I76" i="118"/>
  <c r="I80" i="118"/>
  <c r="I84" i="118"/>
  <c r="I88" i="118"/>
  <c r="I92" i="118"/>
  <c r="I96" i="118"/>
  <c r="I100" i="118"/>
  <c r="I104" i="118"/>
  <c r="I108" i="118"/>
  <c r="I112" i="118"/>
  <c r="I116" i="118"/>
  <c r="I120" i="118"/>
  <c r="I124" i="118"/>
  <c r="I7" i="118"/>
  <c r="I11" i="118"/>
  <c r="I15" i="118"/>
  <c r="I19" i="118"/>
  <c r="I23" i="118"/>
  <c r="I27" i="118"/>
  <c r="I31" i="118"/>
  <c r="I35" i="118"/>
  <c r="I39" i="118"/>
  <c r="I43" i="118"/>
  <c r="I47" i="118"/>
  <c r="I51" i="118"/>
  <c r="I55" i="118"/>
  <c r="I59" i="118"/>
  <c r="I63" i="118"/>
  <c r="I67" i="118"/>
  <c r="I71" i="118"/>
  <c r="I75" i="118"/>
  <c r="I79" i="118"/>
  <c r="I83" i="118"/>
  <c r="I87" i="118"/>
  <c r="I91" i="118"/>
  <c r="I95" i="118"/>
  <c r="I99" i="118"/>
  <c r="I103" i="118"/>
  <c r="I107" i="118"/>
  <c r="I111" i="118"/>
  <c r="I115" i="118"/>
  <c r="I119" i="118"/>
  <c r="I123" i="118"/>
  <c r="H4" i="61"/>
  <c r="I25" i="55"/>
  <c r="I4" i="55" s="1"/>
  <c r="H4" i="55"/>
  <c r="K4" i="55"/>
  <c r="H4" i="53"/>
  <c r="G13" i="79" l="1"/>
  <c r="AA13" i="79" s="1"/>
  <c r="K5" i="53"/>
  <c r="G6" i="79"/>
  <c r="AA6" i="79" s="1"/>
  <c r="M190" i="1"/>
  <c r="M189" i="1" s="1"/>
  <c r="M208" i="1" s="1"/>
  <c r="K15" i="53"/>
  <c r="G16" i="79"/>
  <c r="AA16" i="79" s="1"/>
  <c r="K22" i="53"/>
  <c r="G23" i="79"/>
  <c r="AA23" i="79" s="1"/>
  <c r="K6" i="53"/>
  <c r="G7" i="79"/>
  <c r="AA7" i="79" s="1"/>
  <c r="K114" i="53"/>
  <c r="G115" i="79"/>
  <c r="AA115" i="79" s="1"/>
  <c r="K8" i="53"/>
  <c r="G9" i="79"/>
  <c r="AA9" i="79" s="1"/>
  <c r="K46" i="53"/>
  <c r="G47" i="79"/>
  <c r="AA47" i="79" s="1"/>
  <c r="AP96" i="79"/>
  <c r="AO64" i="79"/>
  <c r="AO42" i="79"/>
  <c r="AP103" i="79"/>
  <c r="AP10" i="79"/>
  <c r="AP123" i="79"/>
  <c r="AP11" i="79"/>
  <c r="AP78" i="79"/>
  <c r="AP34" i="79"/>
  <c r="AP39" i="79"/>
  <c r="AP30" i="79"/>
  <c r="AP124" i="79"/>
  <c r="AO92" i="79"/>
  <c r="AP28" i="79"/>
  <c r="AP81" i="79"/>
  <c r="AP79" i="79"/>
  <c r="AP115" i="79"/>
  <c r="AP37" i="79"/>
  <c r="AP60" i="79"/>
  <c r="AP19" i="79"/>
  <c r="AP63" i="79"/>
  <c r="AP21" i="79"/>
  <c r="AP102" i="79"/>
  <c r="AP101" i="79"/>
  <c r="AO120" i="79"/>
  <c r="AP66" i="79"/>
  <c r="AO116" i="79"/>
  <c r="AP20" i="79"/>
  <c r="AP38" i="79"/>
  <c r="AP15" i="79"/>
  <c r="AP95" i="79"/>
  <c r="AP75" i="79"/>
  <c r="AP90" i="79"/>
  <c r="AP98" i="79"/>
  <c r="AP18" i="79"/>
  <c r="AP112" i="79"/>
  <c r="AP80" i="79"/>
  <c r="AP53" i="79"/>
  <c r="AP108" i="79"/>
  <c r="AP76" i="79"/>
  <c r="AP44" i="79"/>
  <c r="AP111" i="79"/>
  <c r="AP55" i="79"/>
  <c r="AP109" i="79"/>
  <c r="AP24" i="79"/>
  <c r="AP61" i="79"/>
  <c r="AP84" i="79"/>
  <c r="AP59" i="79"/>
  <c r="AP69" i="79"/>
  <c r="AO51" i="79"/>
  <c r="AO117" i="79"/>
  <c r="AP49" i="79"/>
  <c r="AP104" i="79"/>
  <c r="AP72" i="79"/>
  <c r="AP40" i="79"/>
  <c r="AP113" i="79"/>
  <c r="AP33" i="79"/>
  <c r="AP125" i="79"/>
  <c r="AP68" i="79"/>
  <c r="AP36" i="79"/>
  <c r="AP46" i="79"/>
  <c r="AP107" i="79"/>
  <c r="AP35" i="79"/>
  <c r="AP89" i="79"/>
  <c r="AP87" i="79"/>
  <c r="AP67" i="79"/>
  <c r="AP27" i="79"/>
  <c r="AP45" i="79"/>
  <c r="AO106" i="79"/>
  <c r="AP54" i="79"/>
  <c r="AP43" i="79"/>
  <c r="AP23" i="79"/>
  <c r="AP50" i="79"/>
  <c r="AP93" i="79"/>
  <c r="AP17" i="79"/>
  <c r="AP91" i="79"/>
  <c r="AP71" i="79"/>
  <c r="AP31" i="79"/>
  <c r="AP65" i="79"/>
  <c r="AP74" i="79"/>
  <c r="AP110" i="79"/>
  <c r="AP58" i="79"/>
  <c r="AP14" i="79"/>
  <c r="AP122" i="79"/>
  <c r="AP25" i="79"/>
  <c r="AP26" i="79"/>
  <c r="AP119" i="79"/>
  <c r="AP41" i="79"/>
  <c r="AP70" i="79"/>
  <c r="AP73" i="79"/>
  <c r="AP100" i="79"/>
  <c r="AP82" i="79"/>
  <c r="AP62" i="79"/>
  <c r="AP114" i="79"/>
  <c r="AP94" i="79"/>
  <c r="K130" i="53"/>
  <c r="J130" i="53"/>
  <c r="I130" i="53"/>
  <c r="J127" i="53"/>
  <c r="K127" i="53"/>
  <c r="J126" i="53"/>
  <c r="G6" i="123" s="1"/>
  <c r="G5" i="123" s="1"/>
  <c r="J129" i="53"/>
  <c r="D131" i="53"/>
  <c r="K126" i="53"/>
  <c r="I127" i="53"/>
  <c r="J128" i="53"/>
  <c r="H131" i="53"/>
  <c r="K128" i="53"/>
  <c r="E131" i="53"/>
  <c r="G131" i="53"/>
  <c r="I126" i="53"/>
  <c r="F131" i="53"/>
  <c r="I128" i="53"/>
  <c r="I129" i="53"/>
  <c r="K129" i="53"/>
  <c r="AP6" i="79"/>
  <c r="AP9" i="79"/>
  <c r="K11" i="53"/>
  <c r="AP13" i="79" s="1"/>
  <c r="AP7" i="79"/>
  <c r="I5" i="118"/>
  <c r="B30" i="108" l="1"/>
  <c r="G24" i="123"/>
  <c r="H6" i="123"/>
  <c r="M193" i="1"/>
  <c r="U201" i="1" s="1"/>
  <c r="M196" i="1"/>
  <c r="V201" i="1" s="1"/>
  <c r="M207" i="1"/>
  <c r="W201" i="1" s="1"/>
  <c r="AO96" i="79"/>
  <c r="AO115" i="79"/>
  <c r="AO41" i="79"/>
  <c r="AO21" i="79"/>
  <c r="AP42" i="79"/>
  <c r="AO28" i="79"/>
  <c r="AP92" i="79"/>
  <c r="AO14" i="79"/>
  <c r="AP64" i="79"/>
  <c r="AO84" i="79"/>
  <c r="AP116" i="79"/>
  <c r="AO91" i="79"/>
  <c r="AO74" i="79"/>
  <c r="AO43" i="79"/>
  <c r="AO90" i="79"/>
  <c r="AO40" i="79"/>
  <c r="AO72" i="79"/>
  <c r="AO55" i="79"/>
  <c r="AO19" i="79"/>
  <c r="AO101" i="79"/>
  <c r="AO35" i="79"/>
  <c r="AO26" i="79"/>
  <c r="AP86" i="79"/>
  <c r="AO24" i="79"/>
  <c r="AO37" i="79"/>
  <c r="AO44" i="79"/>
  <c r="AO110" i="79"/>
  <c r="AO20" i="79"/>
  <c r="AO59" i="79"/>
  <c r="AP97" i="79"/>
  <c r="AP29" i="79"/>
  <c r="AP120" i="79"/>
  <c r="AP117" i="79"/>
  <c r="AO104" i="79"/>
  <c r="AO60" i="79"/>
  <c r="AP16" i="79"/>
  <c r="AP121" i="79"/>
  <c r="AP48" i="79"/>
  <c r="AP118" i="79"/>
  <c r="AP51" i="79"/>
  <c r="AP57" i="79"/>
  <c r="AP99" i="79"/>
  <c r="AP106" i="79"/>
  <c r="AP105" i="79"/>
  <c r="AP22" i="79"/>
  <c r="AP77" i="79"/>
  <c r="AP8" i="79"/>
  <c r="AP56" i="79"/>
  <c r="AP52" i="79"/>
  <c r="AO17" i="79"/>
  <c r="AP88" i="79"/>
  <c r="AP85" i="79"/>
  <c r="AP32" i="79"/>
  <c r="AP83" i="79"/>
  <c r="AP47" i="79"/>
  <c r="AO10" i="79"/>
  <c r="AO58" i="79"/>
  <c r="AO87" i="79"/>
  <c r="J131" i="53"/>
  <c r="K131" i="53"/>
  <c r="I131" i="53"/>
  <c r="AO23" i="79"/>
  <c r="AO102" i="79"/>
  <c r="AO111" i="79"/>
  <c r="AO119" i="79"/>
  <c r="AO86" i="79"/>
  <c r="AO67" i="79"/>
  <c r="AO118" i="79"/>
  <c r="AO97" i="79"/>
  <c r="AP12" i="79"/>
  <c r="AO108" i="79"/>
  <c r="AO124" i="79"/>
  <c r="AO69" i="79"/>
  <c r="AO25" i="79"/>
  <c r="AO46" i="79"/>
  <c r="AO76" i="79"/>
  <c r="AO6" i="79"/>
  <c r="AO100" i="79"/>
  <c r="AO53" i="79"/>
  <c r="AO33" i="79"/>
  <c r="AO70" i="79"/>
  <c r="AO7" i="79"/>
  <c r="AO107" i="79"/>
  <c r="AO98" i="79"/>
  <c r="AO27" i="79"/>
  <c r="AO34" i="79"/>
  <c r="AO68" i="79"/>
  <c r="AO15" i="79"/>
  <c r="AO80" i="79"/>
  <c r="AO122" i="79"/>
  <c r="AO9" i="79"/>
  <c r="AO103" i="79"/>
  <c r="AO11" i="79"/>
  <c r="AO113" i="79"/>
  <c r="AO82" i="79"/>
  <c r="AO62" i="79"/>
  <c r="AO31" i="79"/>
  <c r="AO81" i="79"/>
  <c r="AO94" i="79"/>
  <c r="AO63" i="79"/>
  <c r="AO49" i="79"/>
  <c r="AO39" i="79"/>
  <c r="AO30" i="79"/>
  <c r="AO114" i="79"/>
  <c r="AO75" i="79"/>
  <c r="AO45" i="79"/>
  <c r="AO36" i="79"/>
  <c r="AO54" i="79"/>
  <c r="AO18" i="79"/>
  <c r="AO79" i="79"/>
  <c r="AO50" i="79"/>
  <c r="AO89" i="79"/>
  <c r="AO78" i="79"/>
  <c r="AO125" i="79"/>
  <c r="AO109" i="79"/>
  <c r="AO95" i="79"/>
  <c r="AO65" i="79"/>
  <c r="AO71" i="79"/>
  <c r="AO66" i="79"/>
  <c r="AO93" i="79"/>
  <c r="AO123" i="79"/>
  <c r="AO73" i="79"/>
  <c r="AO38" i="79"/>
  <c r="AO61" i="79"/>
  <c r="AO13" i="79"/>
  <c r="AO112" i="79"/>
  <c r="G9" i="123" l="1"/>
  <c r="G23" i="123"/>
  <c r="E30" i="108"/>
  <c r="G12" i="123"/>
  <c r="AO32" i="79"/>
  <c r="AO99" i="79"/>
  <c r="AO47" i="79"/>
  <c r="AO77" i="79"/>
  <c r="AO121" i="79"/>
  <c r="AO105" i="79"/>
  <c r="AO29" i="79"/>
  <c r="AO88" i="79"/>
  <c r="AO56" i="79"/>
  <c r="AO57" i="79"/>
  <c r="AO48" i="79"/>
  <c r="AO52" i="79"/>
  <c r="AO8" i="79"/>
  <c r="AO22" i="79"/>
  <c r="AO83" i="79"/>
  <c r="AO85" i="79"/>
  <c r="AO16" i="79"/>
  <c r="AO12" i="79"/>
  <c r="AP127" i="79"/>
  <c r="AP128" i="79"/>
  <c r="M130" i="115"/>
  <c r="L130" i="115"/>
  <c r="K130" i="115"/>
  <c r="J130" i="115"/>
  <c r="M129" i="115"/>
  <c r="L129" i="115"/>
  <c r="K129" i="115"/>
  <c r="J129" i="115"/>
  <c r="M128" i="115"/>
  <c r="L128" i="115"/>
  <c r="K128" i="115"/>
  <c r="J128" i="115"/>
  <c r="M127" i="115"/>
  <c r="L127" i="115"/>
  <c r="K127" i="115"/>
  <c r="J127" i="115"/>
  <c r="M126" i="115"/>
  <c r="L126" i="115"/>
  <c r="K126" i="115"/>
  <c r="J126" i="115"/>
  <c r="M99" i="115"/>
  <c r="M98" i="115"/>
  <c r="M97" i="115"/>
  <c r="M124" i="115"/>
  <c r="M123" i="115"/>
  <c r="M96" i="115"/>
  <c r="M95" i="115"/>
  <c r="M94" i="115"/>
  <c r="M122" i="115"/>
  <c r="M93" i="115"/>
  <c r="M92" i="115"/>
  <c r="M91" i="115"/>
  <c r="M121" i="115"/>
  <c r="M90" i="115"/>
  <c r="M89" i="115"/>
  <c r="M88" i="115"/>
  <c r="M87" i="115"/>
  <c r="M86" i="115"/>
  <c r="M85" i="115"/>
  <c r="M84" i="115"/>
  <c r="M83" i="115"/>
  <c r="M82" i="115"/>
  <c r="M81" i="115"/>
  <c r="M120" i="115"/>
  <c r="M80" i="115"/>
  <c r="M119" i="115"/>
  <c r="M79" i="115"/>
  <c r="M118" i="115"/>
  <c r="M78" i="115"/>
  <c r="M77" i="115"/>
  <c r="M76" i="115"/>
  <c r="M75" i="115"/>
  <c r="M74" i="115"/>
  <c r="M117" i="115"/>
  <c r="M73" i="115"/>
  <c r="M116" i="115"/>
  <c r="M72" i="115"/>
  <c r="M71" i="115"/>
  <c r="M70" i="115"/>
  <c r="M69" i="115"/>
  <c r="M115" i="115"/>
  <c r="M68" i="115"/>
  <c r="M67" i="115"/>
  <c r="M114" i="115"/>
  <c r="M113" i="115"/>
  <c r="M66" i="115"/>
  <c r="M65" i="115"/>
  <c r="M64" i="115"/>
  <c r="M63" i="115"/>
  <c r="M62" i="115"/>
  <c r="M61" i="115"/>
  <c r="M112" i="115"/>
  <c r="M111" i="115"/>
  <c r="M60" i="115"/>
  <c r="M110" i="115"/>
  <c r="M59" i="115"/>
  <c r="M58" i="115"/>
  <c r="M57" i="115"/>
  <c r="M56" i="115"/>
  <c r="M55" i="115"/>
  <c r="M54" i="115"/>
  <c r="M53" i="115"/>
  <c r="M52" i="115"/>
  <c r="M51" i="115"/>
  <c r="M50" i="115"/>
  <c r="M109" i="115"/>
  <c r="M49" i="115"/>
  <c r="M48" i="115"/>
  <c r="M47" i="115"/>
  <c r="M46" i="115"/>
  <c r="M108" i="115"/>
  <c r="M45" i="115"/>
  <c r="M44" i="115"/>
  <c r="M43" i="115"/>
  <c r="M42" i="115"/>
  <c r="M41" i="115"/>
  <c r="M40" i="115"/>
  <c r="M39" i="115"/>
  <c r="M107" i="115"/>
  <c r="M106" i="115"/>
  <c r="M38" i="115"/>
  <c r="M37" i="115"/>
  <c r="M105" i="115"/>
  <c r="M36" i="115"/>
  <c r="M35" i="115"/>
  <c r="M34" i="115"/>
  <c r="M33" i="115"/>
  <c r="M32" i="115"/>
  <c r="M31" i="115"/>
  <c r="M30" i="115"/>
  <c r="M104" i="115"/>
  <c r="M29" i="115"/>
  <c r="M28" i="115"/>
  <c r="M27" i="115"/>
  <c r="M26" i="115"/>
  <c r="M25" i="115"/>
  <c r="M103" i="115"/>
  <c r="M102" i="115"/>
  <c r="M24" i="115"/>
  <c r="M23" i="115"/>
  <c r="M22" i="115"/>
  <c r="M21" i="115"/>
  <c r="M20" i="115"/>
  <c r="M19" i="115"/>
  <c r="M18" i="115"/>
  <c r="M17" i="115"/>
  <c r="M101" i="115"/>
  <c r="M16" i="115"/>
  <c r="M15" i="115"/>
  <c r="M14" i="115"/>
  <c r="M13" i="115"/>
  <c r="M12" i="115"/>
  <c r="M11" i="115"/>
  <c r="M10" i="115"/>
  <c r="M9" i="115"/>
  <c r="M8" i="115"/>
  <c r="M7" i="115"/>
  <c r="M100" i="115"/>
  <c r="M6" i="115"/>
  <c r="M5" i="115"/>
  <c r="M4" i="115"/>
  <c r="L99" i="115"/>
  <c r="L98" i="115"/>
  <c r="L97" i="115"/>
  <c r="L124" i="115"/>
  <c r="L123" i="115"/>
  <c r="L96" i="115"/>
  <c r="L95" i="115"/>
  <c r="L94" i="115"/>
  <c r="L122" i="115"/>
  <c r="L93" i="115"/>
  <c r="L92" i="115"/>
  <c r="L91" i="115"/>
  <c r="L121" i="115"/>
  <c r="L90" i="115"/>
  <c r="L89" i="115"/>
  <c r="L88" i="115"/>
  <c r="L87" i="115"/>
  <c r="L86" i="115"/>
  <c r="L85" i="115"/>
  <c r="L84" i="115"/>
  <c r="L83" i="115"/>
  <c r="L82" i="115"/>
  <c r="L81" i="115"/>
  <c r="L120" i="115"/>
  <c r="L80" i="115"/>
  <c r="L119" i="115"/>
  <c r="L79" i="115"/>
  <c r="L118" i="115"/>
  <c r="L78" i="115"/>
  <c r="L77" i="115"/>
  <c r="L76" i="115"/>
  <c r="L75" i="115"/>
  <c r="L74" i="115"/>
  <c r="L117" i="115"/>
  <c r="L73" i="115"/>
  <c r="L116" i="115"/>
  <c r="L72" i="115"/>
  <c r="L71" i="115"/>
  <c r="L70" i="115"/>
  <c r="L69" i="115"/>
  <c r="L115" i="115"/>
  <c r="L68" i="115"/>
  <c r="L67" i="115"/>
  <c r="L114" i="115"/>
  <c r="L113" i="115"/>
  <c r="L66" i="115"/>
  <c r="L65" i="115"/>
  <c r="L64" i="115"/>
  <c r="L63" i="115"/>
  <c r="L62" i="115"/>
  <c r="L61" i="115"/>
  <c r="L112" i="115"/>
  <c r="L111" i="115"/>
  <c r="L60" i="115"/>
  <c r="L110" i="115"/>
  <c r="L59" i="115"/>
  <c r="L58" i="115"/>
  <c r="L57" i="115"/>
  <c r="L56" i="115"/>
  <c r="L55" i="115"/>
  <c r="L54" i="115"/>
  <c r="L53" i="115"/>
  <c r="L52" i="115"/>
  <c r="L51" i="115"/>
  <c r="L50" i="115"/>
  <c r="L109" i="115"/>
  <c r="L49" i="115"/>
  <c r="L48" i="115"/>
  <c r="L47" i="115"/>
  <c r="L46" i="115"/>
  <c r="L108" i="115"/>
  <c r="L45" i="115"/>
  <c r="L44" i="115"/>
  <c r="L43" i="115"/>
  <c r="L42" i="115"/>
  <c r="L41" i="115"/>
  <c r="L40" i="115"/>
  <c r="L39" i="115"/>
  <c r="L107" i="115"/>
  <c r="L106" i="115"/>
  <c r="L38" i="115"/>
  <c r="L37" i="115"/>
  <c r="L105" i="115"/>
  <c r="L36" i="115"/>
  <c r="L35" i="115"/>
  <c r="L34" i="115"/>
  <c r="L33" i="115"/>
  <c r="L32" i="115"/>
  <c r="L31" i="115"/>
  <c r="L30" i="115"/>
  <c r="L104" i="115"/>
  <c r="L29" i="115"/>
  <c r="L28" i="115"/>
  <c r="L27" i="115"/>
  <c r="L26" i="115"/>
  <c r="L25" i="115"/>
  <c r="L103" i="115"/>
  <c r="L102" i="115"/>
  <c r="L24" i="115"/>
  <c r="L23" i="115"/>
  <c r="L22" i="115"/>
  <c r="L21" i="115"/>
  <c r="L20" i="115"/>
  <c r="L19" i="115"/>
  <c r="L18" i="115"/>
  <c r="L17" i="115"/>
  <c r="L101" i="115"/>
  <c r="L16" i="115"/>
  <c r="L15" i="115"/>
  <c r="L14" i="115"/>
  <c r="L13" i="115"/>
  <c r="L12" i="115"/>
  <c r="L11" i="115"/>
  <c r="L10" i="115"/>
  <c r="L9" i="115"/>
  <c r="L8" i="115"/>
  <c r="L7" i="115"/>
  <c r="L100" i="115"/>
  <c r="L6" i="115"/>
  <c r="L5" i="115"/>
  <c r="L4" i="115"/>
  <c r="J99" i="115"/>
  <c r="J98" i="115"/>
  <c r="J97" i="115"/>
  <c r="J124" i="115"/>
  <c r="J123" i="115"/>
  <c r="J96" i="115"/>
  <c r="J95" i="115"/>
  <c r="J94" i="115"/>
  <c r="J122" i="115"/>
  <c r="J93" i="115"/>
  <c r="J92" i="115"/>
  <c r="J91" i="115"/>
  <c r="J121" i="115"/>
  <c r="J90" i="115"/>
  <c r="J89" i="115"/>
  <c r="J88" i="115"/>
  <c r="J87" i="115"/>
  <c r="J86" i="115"/>
  <c r="J85" i="115"/>
  <c r="J84" i="115"/>
  <c r="J83" i="115"/>
  <c r="J82" i="115"/>
  <c r="J81" i="115"/>
  <c r="J120" i="115"/>
  <c r="J80" i="115"/>
  <c r="J119" i="115"/>
  <c r="J79" i="115"/>
  <c r="J118" i="115"/>
  <c r="J78" i="115"/>
  <c r="J77" i="115"/>
  <c r="J76" i="115"/>
  <c r="J75" i="115"/>
  <c r="J74" i="115"/>
  <c r="J117" i="115"/>
  <c r="J73" i="115"/>
  <c r="J116" i="115"/>
  <c r="J72" i="115"/>
  <c r="J71" i="115"/>
  <c r="J70" i="115"/>
  <c r="J69" i="115"/>
  <c r="J115" i="115"/>
  <c r="J68" i="115"/>
  <c r="J67" i="115"/>
  <c r="J114" i="115"/>
  <c r="J113" i="115"/>
  <c r="J66" i="115"/>
  <c r="J65" i="115"/>
  <c r="J64" i="115"/>
  <c r="J63" i="115"/>
  <c r="J62" i="115"/>
  <c r="J61" i="115"/>
  <c r="J112" i="115"/>
  <c r="J111" i="115"/>
  <c r="J60" i="115"/>
  <c r="J110" i="115"/>
  <c r="J59" i="115"/>
  <c r="J58" i="115"/>
  <c r="J57" i="115"/>
  <c r="J56" i="115"/>
  <c r="J55" i="115"/>
  <c r="J54" i="115"/>
  <c r="J53" i="115"/>
  <c r="J52" i="115"/>
  <c r="J51" i="115"/>
  <c r="J50" i="115"/>
  <c r="J109" i="115"/>
  <c r="J49" i="115"/>
  <c r="J48" i="115"/>
  <c r="J47" i="115"/>
  <c r="J46" i="115"/>
  <c r="J108" i="115"/>
  <c r="J45" i="115"/>
  <c r="J44" i="115"/>
  <c r="J43" i="115"/>
  <c r="J42" i="115"/>
  <c r="J41" i="115"/>
  <c r="J40" i="115"/>
  <c r="J39" i="115"/>
  <c r="J107" i="115"/>
  <c r="J106" i="115"/>
  <c r="J38" i="115"/>
  <c r="J37" i="115"/>
  <c r="J105" i="115"/>
  <c r="J36" i="115"/>
  <c r="J35" i="115"/>
  <c r="J34" i="115"/>
  <c r="J33" i="115"/>
  <c r="J32" i="115"/>
  <c r="J31" i="115"/>
  <c r="J30" i="115"/>
  <c r="J104" i="115"/>
  <c r="J29" i="115"/>
  <c r="J28" i="115"/>
  <c r="J27" i="115"/>
  <c r="J26" i="115"/>
  <c r="J25" i="115"/>
  <c r="J103" i="115"/>
  <c r="J102" i="115"/>
  <c r="J24" i="115"/>
  <c r="J23" i="115"/>
  <c r="J22" i="115"/>
  <c r="J21" i="115"/>
  <c r="J20" i="115"/>
  <c r="J19" i="115"/>
  <c r="J18" i="115"/>
  <c r="J17" i="115"/>
  <c r="J101" i="115"/>
  <c r="J16" i="115"/>
  <c r="J15" i="115"/>
  <c r="J14" i="115"/>
  <c r="J13" i="115"/>
  <c r="J12" i="115"/>
  <c r="J11" i="115"/>
  <c r="J10" i="115"/>
  <c r="J9" i="115"/>
  <c r="J8" i="115"/>
  <c r="J7" i="115"/>
  <c r="J100" i="115"/>
  <c r="J6" i="115"/>
  <c r="J5" i="115"/>
  <c r="J4" i="115"/>
  <c r="K99" i="115"/>
  <c r="K98" i="115"/>
  <c r="K97" i="115"/>
  <c r="K124" i="115"/>
  <c r="K123" i="115"/>
  <c r="K96" i="115"/>
  <c r="K95" i="115"/>
  <c r="K94" i="115"/>
  <c r="K122" i="115"/>
  <c r="K93" i="115"/>
  <c r="K92" i="115"/>
  <c r="K91" i="115"/>
  <c r="K121" i="115"/>
  <c r="K90" i="115"/>
  <c r="K89" i="115"/>
  <c r="K88" i="115"/>
  <c r="K87" i="115"/>
  <c r="K86" i="115"/>
  <c r="K85" i="115"/>
  <c r="K84" i="115"/>
  <c r="K83" i="115"/>
  <c r="K82" i="115"/>
  <c r="K81" i="115"/>
  <c r="K120" i="115"/>
  <c r="K80" i="115"/>
  <c r="K119" i="115"/>
  <c r="K79" i="115"/>
  <c r="K118" i="115"/>
  <c r="K78" i="115"/>
  <c r="K77" i="115"/>
  <c r="K76" i="115"/>
  <c r="K75" i="115"/>
  <c r="K74" i="115"/>
  <c r="K117" i="115"/>
  <c r="K73" i="115"/>
  <c r="K116" i="115"/>
  <c r="K72" i="115"/>
  <c r="K71" i="115"/>
  <c r="K70" i="115"/>
  <c r="K69" i="115"/>
  <c r="K115" i="115"/>
  <c r="K68" i="115"/>
  <c r="K67" i="115"/>
  <c r="K114" i="115"/>
  <c r="K113" i="115"/>
  <c r="K66" i="115"/>
  <c r="K65" i="115"/>
  <c r="K64" i="115"/>
  <c r="K63" i="115"/>
  <c r="K62" i="115"/>
  <c r="K61" i="115"/>
  <c r="K112" i="115"/>
  <c r="K111" i="115"/>
  <c r="K60" i="115"/>
  <c r="K110" i="115"/>
  <c r="K59" i="115"/>
  <c r="K58" i="115"/>
  <c r="K57" i="115"/>
  <c r="K56" i="115"/>
  <c r="K55" i="115"/>
  <c r="K54" i="115"/>
  <c r="K53" i="115"/>
  <c r="K52" i="115"/>
  <c r="K51" i="115"/>
  <c r="K50" i="115"/>
  <c r="K109" i="115"/>
  <c r="K49" i="115"/>
  <c r="K48" i="115"/>
  <c r="K47" i="115"/>
  <c r="K46" i="115"/>
  <c r="K108" i="115"/>
  <c r="K45" i="115"/>
  <c r="K44" i="115"/>
  <c r="K43" i="115"/>
  <c r="K42" i="115"/>
  <c r="K41" i="115"/>
  <c r="K40" i="115"/>
  <c r="K39" i="115"/>
  <c r="K107" i="115"/>
  <c r="K106" i="115"/>
  <c r="K38" i="115"/>
  <c r="K37" i="115"/>
  <c r="K105" i="115"/>
  <c r="K36" i="115"/>
  <c r="K35" i="115"/>
  <c r="K34" i="115"/>
  <c r="K33" i="115"/>
  <c r="K32" i="115"/>
  <c r="K31" i="115"/>
  <c r="K30" i="115"/>
  <c r="K104" i="115"/>
  <c r="K29" i="115"/>
  <c r="K28" i="115"/>
  <c r="K27" i="115"/>
  <c r="K26" i="115"/>
  <c r="K25" i="115"/>
  <c r="K103" i="115"/>
  <c r="K102" i="115"/>
  <c r="K24" i="115"/>
  <c r="K23" i="115"/>
  <c r="K22" i="115"/>
  <c r="K21" i="115"/>
  <c r="K20" i="115"/>
  <c r="K19" i="115"/>
  <c r="K18" i="115"/>
  <c r="K17" i="115"/>
  <c r="K101" i="115"/>
  <c r="K16" i="115"/>
  <c r="K15" i="115"/>
  <c r="K14" i="115"/>
  <c r="K13" i="115"/>
  <c r="K12" i="115"/>
  <c r="K11" i="115"/>
  <c r="K10" i="115"/>
  <c r="K9" i="115"/>
  <c r="K8" i="115"/>
  <c r="K7" i="115"/>
  <c r="K100" i="115"/>
  <c r="K6" i="115"/>
  <c r="K5" i="115"/>
  <c r="K4" i="115"/>
  <c r="AO128" i="79" l="1"/>
  <c r="AN128" i="79"/>
  <c r="AN127" i="79"/>
  <c r="AO127" i="79"/>
  <c r="G58" i="1"/>
  <c r="G2" i="108" l="1"/>
  <c r="I17" i="108"/>
  <c r="I16" i="108"/>
  <c r="I15" i="108"/>
  <c r="I14" i="108"/>
  <c r="I13" i="108"/>
  <c r="I12" i="108"/>
  <c r="I11" i="108"/>
  <c r="I10" i="108"/>
  <c r="I9" i="108"/>
  <c r="I8" i="108"/>
  <c r="I7" i="108"/>
  <c r="I6" i="108"/>
  <c r="I5" i="108"/>
  <c r="I4" i="108"/>
  <c r="I3" i="108"/>
  <c r="B2" i="108" l="1"/>
  <c r="BJ131" i="109"/>
  <c r="BI131" i="109"/>
  <c r="BH131" i="109"/>
  <c r="BG131" i="109"/>
  <c r="BF131" i="109"/>
  <c r="BE131" i="109"/>
  <c r="BD131" i="109"/>
  <c r="BC131" i="109"/>
  <c r="BB131" i="109"/>
  <c r="BA131" i="109"/>
  <c r="AZ131" i="109"/>
  <c r="AY131" i="109"/>
  <c r="AX131" i="109"/>
  <c r="AW131" i="109"/>
  <c r="AV131" i="109"/>
  <c r="BJ130" i="109"/>
  <c r="BI130" i="109"/>
  <c r="BH130" i="109"/>
  <c r="BG130" i="109"/>
  <c r="BF130" i="109"/>
  <c r="BE130" i="109"/>
  <c r="BD130" i="109"/>
  <c r="BC130" i="109"/>
  <c r="BB130" i="109"/>
  <c r="BA130" i="109"/>
  <c r="AZ130" i="109"/>
  <c r="AY130" i="109"/>
  <c r="AX130" i="109"/>
  <c r="AW130" i="109"/>
  <c r="AV130" i="109"/>
  <c r="BJ129" i="109"/>
  <c r="BI129" i="109"/>
  <c r="BH129" i="109"/>
  <c r="BG129" i="109"/>
  <c r="BF129" i="109"/>
  <c r="BE129" i="109"/>
  <c r="BD129" i="109"/>
  <c r="BC129" i="109"/>
  <c r="BB129" i="109"/>
  <c r="BA129" i="109"/>
  <c r="AZ129" i="109"/>
  <c r="AY129" i="109"/>
  <c r="AX129" i="109"/>
  <c r="AW129" i="109"/>
  <c r="AV129" i="109"/>
  <c r="BJ128" i="109"/>
  <c r="BI128" i="109"/>
  <c r="BH128" i="109"/>
  <c r="BG128" i="109"/>
  <c r="BF128" i="109"/>
  <c r="BE128" i="109"/>
  <c r="BD128" i="109"/>
  <c r="BC128" i="109"/>
  <c r="BB128" i="109"/>
  <c r="BA128" i="109"/>
  <c r="AZ128" i="109"/>
  <c r="AY128" i="109"/>
  <c r="AX128" i="109"/>
  <c r="AW128" i="109"/>
  <c r="AV128" i="109"/>
  <c r="BJ127" i="109"/>
  <c r="BI127" i="109"/>
  <c r="BH127" i="109"/>
  <c r="BG127" i="109"/>
  <c r="BF127" i="109"/>
  <c r="BE127" i="109"/>
  <c r="BD127" i="109"/>
  <c r="BC127" i="109"/>
  <c r="BB127" i="109"/>
  <c r="BA127" i="109"/>
  <c r="AZ127" i="109"/>
  <c r="AY127" i="109"/>
  <c r="AX127" i="109"/>
  <c r="AW127" i="109"/>
  <c r="AV127" i="109"/>
  <c r="BJ100" i="109"/>
  <c r="BI100" i="109"/>
  <c r="BH100" i="109"/>
  <c r="BG100" i="109"/>
  <c r="BF100" i="109"/>
  <c r="BE100" i="109"/>
  <c r="BD100" i="109"/>
  <c r="BC100" i="109"/>
  <c r="BB100" i="109"/>
  <c r="BA100" i="109"/>
  <c r="AZ100" i="109"/>
  <c r="AY100" i="109"/>
  <c r="AX100" i="109"/>
  <c r="AW100" i="109"/>
  <c r="AV100" i="109"/>
  <c r="BJ99" i="109"/>
  <c r="BI99" i="109"/>
  <c r="BH99" i="109"/>
  <c r="BG99" i="109"/>
  <c r="BF99" i="109"/>
  <c r="BE99" i="109"/>
  <c r="BD99" i="109"/>
  <c r="BC99" i="109"/>
  <c r="BB99" i="109"/>
  <c r="BA99" i="109"/>
  <c r="AZ99" i="109"/>
  <c r="AY99" i="109"/>
  <c r="AX99" i="109"/>
  <c r="AW99" i="109"/>
  <c r="AV99" i="109"/>
  <c r="BJ98" i="109"/>
  <c r="BI98" i="109"/>
  <c r="BH98" i="109"/>
  <c r="BG98" i="109"/>
  <c r="BF98" i="109"/>
  <c r="BE98" i="109"/>
  <c r="BD98" i="109"/>
  <c r="BC98" i="109"/>
  <c r="BB98" i="109"/>
  <c r="BA98" i="109"/>
  <c r="AZ98" i="109"/>
  <c r="AY98" i="109"/>
  <c r="AX98" i="109"/>
  <c r="AW98" i="109"/>
  <c r="AV98" i="109"/>
  <c r="BJ125" i="109"/>
  <c r="BI125" i="109"/>
  <c r="BH125" i="109"/>
  <c r="BG125" i="109"/>
  <c r="BF125" i="109"/>
  <c r="BE125" i="109"/>
  <c r="BD125" i="109"/>
  <c r="BC125" i="109"/>
  <c r="BB125" i="109"/>
  <c r="BA125" i="109"/>
  <c r="AZ125" i="109"/>
  <c r="AY125" i="109"/>
  <c r="AX125" i="109"/>
  <c r="AW125" i="109"/>
  <c r="AV125" i="109"/>
  <c r="BJ124" i="109"/>
  <c r="BI124" i="109"/>
  <c r="BH124" i="109"/>
  <c r="BG124" i="109"/>
  <c r="BF124" i="109"/>
  <c r="BE124" i="109"/>
  <c r="BD124" i="109"/>
  <c r="BC124" i="109"/>
  <c r="BB124" i="109"/>
  <c r="BA124" i="109"/>
  <c r="AZ124" i="109"/>
  <c r="AY124" i="109"/>
  <c r="AX124" i="109"/>
  <c r="AW124" i="109"/>
  <c r="AV124" i="109"/>
  <c r="BJ97" i="109"/>
  <c r="BI97" i="109"/>
  <c r="BH97" i="109"/>
  <c r="BG97" i="109"/>
  <c r="BF97" i="109"/>
  <c r="BE97" i="109"/>
  <c r="BD97" i="109"/>
  <c r="BC97" i="109"/>
  <c r="BB97" i="109"/>
  <c r="BA97" i="109"/>
  <c r="AZ97" i="109"/>
  <c r="AY97" i="109"/>
  <c r="AX97" i="109"/>
  <c r="AW97" i="109"/>
  <c r="AV97" i="109"/>
  <c r="BJ96" i="109"/>
  <c r="BI96" i="109"/>
  <c r="BH96" i="109"/>
  <c r="BG96" i="109"/>
  <c r="BF96" i="109"/>
  <c r="BE96" i="109"/>
  <c r="BD96" i="109"/>
  <c r="BC96" i="109"/>
  <c r="BB96" i="109"/>
  <c r="BA96" i="109"/>
  <c r="AZ96" i="109"/>
  <c r="AY96" i="109"/>
  <c r="AX96" i="109"/>
  <c r="AW96" i="109"/>
  <c r="AV96" i="109"/>
  <c r="BJ95" i="109"/>
  <c r="BI95" i="109"/>
  <c r="BH95" i="109"/>
  <c r="BG95" i="109"/>
  <c r="BF95" i="109"/>
  <c r="BE95" i="109"/>
  <c r="BD95" i="109"/>
  <c r="BC95" i="109"/>
  <c r="BB95" i="109"/>
  <c r="BA95" i="109"/>
  <c r="AZ95" i="109"/>
  <c r="AY95" i="109"/>
  <c r="AX95" i="109"/>
  <c r="AW95" i="109"/>
  <c r="AV95" i="109"/>
  <c r="BJ123" i="109"/>
  <c r="BI123" i="109"/>
  <c r="BH123" i="109"/>
  <c r="BG123" i="109"/>
  <c r="BF123" i="109"/>
  <c r="BE123" i="109"/>
  <c r="BD123" i="109"/>
  <c r="BC123" i="109"/>
  <c r="BB123" i="109"/>
  <c r="BA123" i="109"/>
  <c r="AZ123" i="109"/>
  <c r="AY123" i="109"/>
  <c r="AX123" i="109"/>
  <c r="AW123" i="109"/>
  <c r="AV123" i="109"/>
  <c r="BJ94" i="109"/>
  <c r="BI94" i="109"/>
  <c r="BH94" i="109"/>
  <c r="BG94" i="109"/>
  <c r="BF94" i="109"/>
  <c r="BE94" i="109"/>
  <c r="BD94" i="109"/>
  <c r="BC94" i="109"/>
  <c r="BB94" i="109"/>
  <c r="BA94" i="109"/>
  <c r="AZ94" i="109"/>
  <c r="AY94" i="109"/>
  <c r="AX94" i="109"/>
  <c r="AW94" i="109"/>
  <c r="AV94" i="109"/>
  <c r="BJ93" i="109"/>
  <c r="BI93" i="109"/>
  <c r="BH93" i="109"/>
  <c r="BG93" i="109"/>
  <c r="BF93" i="109"/>
  <c r="BE93" i="109"/>
  <c r="BD93" i="109"/>
  <c r="BC93" i="109"/>
  <c r="BB93" i="109"/>
  <c r="BA93" i="109"/>
  <c r="AZ93" i="109"/>
  <c r="AY93" i="109"/>
  <c r="AX93" i="109"/>
  <c r="AW93" i="109"/>
  <c r="AV93" i="109"/>
  <c r="BJ92" i="109"/>
  <c r="BI92" i="109"/>
  <c r="BH92" i="109"/>
  <c r="BG92" i="109"/>
  <c r="BF92" i="109"/>
  <c r="BE92" i="109"/>
  <c r="BD92" i="109"/>
  <c r="BC92" i="109"/>
  <c r="BB92" i="109"/>
  <c r="BA92" i="109"/>
  <c r="AZ92" i="109"/>
  <c r="AY92" i="109"/>
  <c r="AX92" i="109"/>
  <c r="AW92" i="109"/>
  <c r="AV92" i="109"/>
  <c r="BJ122" i="109"/>
  <c r="BI122" i="109"/>
  <c r="BH122" i="109"/>
  <c r="BG122" i="109"/>
  <c r="BF122" i="109"/>
  <c r="BE122" i="109"/>
  <c r="BD122" i="109"/>
  <c r="BC122" i="109"/>
  <c r="BB122" i="109"/>
  <c r="BA122" i="109"/>
  <c r="AZ122" i="109"/>
  <c r="AY122" i="109"/>
  <c r="AX122" i="109"/>
  <c r="AW122" i="109"/>
  <c r="AV122" i="109"/>
  <c r="BJ91" i="109"/>
  <c r="BI91" i="109"/>
  <c r="BH91" i="109"/>
  <c r="BG91" i="109"/>
  <c r="BF91" i="109"/>
  <c r="BE91" i="109"/>
  <c r="BD91" i="109"/>
  <c r="BC91" i="109"/>
  <c r="BB91" i="109"/>
  <c r="BA91" i="109"/>
  <c r="AZ91" i="109"/>
  <c r="AY91" i="109"/>
  <c r="AX91" i="109"/>
  <c r="AW91" i="109"/>
  <c r="AV91" i="109"/>
  <c r="BJ90" i="109"/>
  <c r="BI90" i="109"/>
  <c r="BH90" i="109"/>
  <c r="BG90" i="109"/>
  <c r="BF90" i="109"/>
  <c r="BE90" i="109"/>
  <c r="BD90" i="109"/>
  <c r="BC90" i="109"/>
  <c r="BB90" i="109"/>
  <c r="BA90" i="109"/>
  <c r="AZ90" i="109"/>
  <c r="AY90" i="109"/>
  <c r="AX90" i="109"/>
  <c r="AW90" i="109"/>
  <c r="AV90" i="109"/>
  <c r="BJ89" i="109"/>
  <c r="BI89" i="109"/>
  <c r="BH89" i="109"/>
  <c r="BG89" i="109"/>
  <c r="BF89" i="109"/>
  <c r="BE89" i="109"/>
  <c r="BD89" i="109"/>
  <c r="BC89" i="109"/>
  <c r="BB89" i="109"/>
  <c r="BA89" i="109"/>
  <c r="AZ89" i="109"/>
  <c r="AY89" i="109"/>
  <c r="AX89" i="109"/>
  <c r="AW89" i="109"/>
  <c r="AV89" i="109"/>
  <c r="BJ88" i="109"/>
  <c r="BI88" i="109"/>
  <c r="BH88" i="109"/>
  <c r="BG88" i="109"/>
  <c r="BF88" i="109"/>
  <c r="BE88" i="109"/>
  <c r="BD88" i="109"/>
  <c r="BC88" i="109"/>
  <c r="BB88" i="109"/>
  <c r="BA88" i="109"/>
  <c r="AZ88" i="109"/>
  <c r="AY88" i="109"/>
  <c r="AX88" i="109"/>
  <c r="AW88" i="109"/>
  <c r="AV88" i="109"/>
  <c r="BJ87" i="109"/>
  <c r="BI87" i="109"/>
  <c r="BH87" i="109"/>
  <c r="BG87" i="109"/>
  <c r="BF87" i="109"/>
  <c r="BE87" i="109"/>
  <c r="BD87" i="109"/>
  <c r="BC87" i="109"/>
  <c r="BB87" i="109"/>
  <c r="BA87" i="109"/>
  <c r="AZ87" i="109"/>
  <c r="AY87" i="109"/>
  <c r="AX87" i="109"/>
  <c r="AW87" i="109"/>
  <c r="AV87" i="109"/>
  <c r="BJ86" i="109"/>
  <c r="BI86" i="109"/>
  <c r="BH86" i="109"/>
  <c r="BG86" i="109"/>
  <c r="BF86" i="109"/>
  <c r="BE86" i="109"/>
  <c r="BD86" i="109"/>
  <c r="BC86" i="109"/>
  <c r="BB86" i="109"/>
  <c r="BA86" i="109"/>
  <c r="AZ86" i="109"/>
  <c r="AY86" i="109"/>
  <c r="AX86" i="109"/>
  <c r="AW86" i="109"/>
  <c r="AV86" i="109"/>
  <c r="BJ85" i="109"/>
  <c r="BI85" i="109"/>
  <c r="BH85" i="109"/>
  <c r="BG85" i="109"/>
  <c r="BF85" i="109"/>
  <c r="BE85" i="109"/>
  <c r="BD85" i="109"/>
  <c r="BC85" i="109"/>
  <c r="BB85" i="109"/>
  <c r="BA85" i="109"/>
  <c r="AZ85" i="109"/>
  <c r="AY85" i="109"/>
  <c r="AX85" i="109"/>
  <c r="AW85" i="109"/>
  <c r="AV85" i="109"/>
  <c r="BJ84" i="109"/>
  <c r="BI84" i="109"/>
  <c r="BH84" i="109"/>
  <c r="BG84" i="109"/>
  <c r="BF84" i="109"/>
  <c r="BE84" i="109"/>
  <c r="BD84" i="109"/>
  <c r="BC84" i="109"/>
  <c r="BB84" i="109"/>
  <c r="BA84" i="109"/>
  <c r="AZ84" i="109"/>
  <c r="AY84" i="109"/>
  <c r="AX84" i="109"/>
  <c r="AW84" i="109"/>
  <c r="AV84" i="109"/>
  <c r="BJ83" i="109"/>
  <c r="BI83" i="109"/>
  <c r="BH83" i="109"/>
  <c r="BG83" i="109"/>
  <c r="BF83" i="109"/>
  <c r="BE83" i="109"/>
  <c r="BD83" i="109"/>
  <c r="BC83" i="109"/>
  <c r="BB83" i="109"/>
  <c r="BA83" i="109"/>
  <c r="AZ83" i="109"/>
  <c r="AY83" i="109"/>
  <c r="AX83" i="109"/>
  <c r="AW83" i="109"/>
  <c r="AV83" i="109"/>
  <c r="BJ82" i="109"/>
  <c r="BI82" i="109"/>
  <c r="BH82" i="109"/>
  <c r="BG82" i="109"/>
  <c r="BF82" i="109"/>
  <c r="BE82" i="109"/>
  <c r="BD82" i="109"/>
  <c r="BC82" i="109"/>
  <c r="BB82" i="109"/>
  <c r="BA82" i="109"/>
  <c r="AZ82" i="109"/>
  <c r="AY82" i="109"/>
  <c r="AX82" i="109"/>
  <c r="AW82" i="109"/>
  <c r="AV82" i="109"/>
  <c r="BJ121" i="109"/>
  <c r="BI121" i="109"/>
  <c r="BH121" i="109"/>
  <c r="BG121" i="109"/>
  <c r="BF121" i="109"/>
  <c r="BE121" i="109"/>
  <c r="BD121" i="109"/>
  <c r="BC121" i="109"/>
  <c r="BB121" i="109"/>
  <c r="BA121" i="109"/>
  <c r="AZ121" i="109"/>
  <c r="AY121" i="109"/>
  <c r="AX121" i="109"/>
  <c r="AW121" i="109"/>
  <c r="AV121" i="109"/>
  <c r="BJ81" i="109"/>
  <c r="BI81" i="109"/>
  <c r="BH81" i="109"/>
  <c r="BG81" i="109"/>
  <c r="BF81" i="109"/>
  <c r="BE81" i="109"/>
  <c r="BD81" i="109"/>
  <c r="BC81" i="109"/>
  <c r="BB81" i="109"/>
  <c r="BA81" i="109"/>
  <c r="AZ81" i="109"/>
  <c r="AY81" i="109"/>
  <c r="AX81" i="109"/>
  <c r="AW81" i="109"/>
  <c r="AV81" i="109"/>
  <c r="BJ120" i="109"/>
  <c r="BI120" i="109"/>
  <c r="BH120" i="109"/>
  <c r="BG120" i="109"/>
  <c r="BF120" i="109"/>
  <c r="BE120" i="109"/>
  <c r="BD120" i="109"/>
  <c r="BC120" i="109"/>
  <c r="BB120" i="109"/>
  <c r="BA120" i="109"/>
  <c r="AZ120" i="109"/>
  <c r="AY120" i="109"/>
  <c r="AX120" i="109"/>
  <c r="AW120" i="109"/>
  <c r="AV120" i="109"/>
  <c r="BJ80" i="109"/>
  <c r="BI80" i="109"/>
  <c r="BH80" i="109"/>
  <c r="BG80" i="109"/>
  <c r="BF80" i="109"/>
  <c r="BE80" i="109"/>
  <c r="BD80" i="109"/>
  <c r="BC80" i="109"/>
  <c r="BB80" i="109"/>
  <c r="BA80" i="109"/>
  <c r="AZ80" i="109"/>
  <c r="AY80" i="109"/>
  <c r="AX80" i="109"/>
  <c r="AW80" i="109"/>
  <c r="AV80" i="109"/>
  <c r="BJ119" i="109"/>
  <c r="BI119" i="109"/>
  <c r="BH119" i="109"/>
  <c r="BG119" i="109"/>
  <c r="BF119" i="109"/>
  <c r="BE119" i="109"/>
  <c r="BD119" i="109"/>
  <c r="BC119" i="109"/>
  <c r="BB119" i="109"/>
  <c r="BA119" i="109"/>
  <c r="AZ119" i="109"/>
  <c r="AY119" i="109"/>
  <c r="AX119" i="109"/>
  <c r="AW119" i="109"/>
  <c r="AV119" i="109"/>
  <c r="BJ79" i="109"/>
  <c r="BI79" i="109"/>
  <c r="BH79" i="109"/>
  <c r="BG79" i="109"/>
  <c r="BF79" i="109"/>
  <c r="BE79" i="109"/>
  <c r="BD79" i="109"/>
  <c r="BC79" i="109"/>
  <c r="BB79" i="109"/>
  <c r="BA79" i="109"/>
  <c r="AZ79" i="109"/>
  <c r="AY79" i="109"/>
  <c r="AX79" i="109"/>
  <c r="AW79" i="109"/>
  <c r="AV79" i="109"/>
  <c r="BJ78" i="109"/>
  <c r="BI78" i="109"/>
  <c r="BH78" i="109"/>
  <c r="BG78" i="109"/>
  <c r="BF78" i="109"/>
  <c r="BE78" i="109"/>
  <c r="BD78" i="109"/>
  <c r="BC78" i="109"/>
  <c r="BB78" i="109"/>
  <c r="BA78" i="109"/>
  <c r="AZ78" i="109"/>
  <c r="AY78" i="109"/>
  <c r="AX78" i="109"/>
  <c r="AW78" i="109"/>
  <c r="AV78" i="109"/>
  <c r="BJ77" i="109"/>
  <c r="BI77" i="109"/>
  <c r="BH77" i="109"/>
  <c r="BG77" i="109"/>
  <c r="BF77" i="109"/>
  <c r="BE77" i="109"/>
  <c r="BD77" i="109"/>
  <c r="BC77" i="109"/>
  <c r="BB77" i="109"/>
  <c r="BA77" i="109"/>
  <c r="AZ77" i="109"/>
  <c r="AY77" i="109"/>
  <c r="AX77" i="109"/>
  <c r="AW77" i="109"/>
  <c r="AV77" i="109"/>
  <c r="BJ76" i="109"/>
  <c r="BI76" i="109"/>
  <c r="BH76" i="109"/>
  <c r="BG76" i="109"/>
  <c r="BF76" i="109"/>
  <c r="BE76" i="109"/>
  <c r="BD76" i="109"/>
  <c r="BC76" i="109"/>
  <c r="BB76" i="109"/>
  <c r="BA76" i="109"/>
  <c r="AZ76" i="109"/>
  <c r="AY76" i="109"/>
  <c r="AX76" i="109"/>
  <c r="AW76" i="109"/>
  <c r="AV76" i="109"/>
  <c r="BJ75" i="109"/>
  <c r="BI75" i="109"/>
  <c r="BH75" i="109"/>
  <c r="BG75" i="109"/>
  <c r="BF75" i="109"/>
  <c r="BE75" i="109"/>
  <c r="BD75" i="109"/>
  <c r="BC75" i="109"/>
  <c r="BB75" i="109"/>
  <c r="BA75" i="109"/>
  <c r="AZ75" i="109"/>
  <c r="AY75" i="109"/>
  <c r="AX75" i="109"/>
  <c r="AW75" i="109"/>
  <c r="AV75" i="109"/>
  <c r="BJ118" i="109"/>
  <c r="BI118" i="109"/>
  <c r="BH118" i="109"/>
  <c r="BG118" i="109"/>
  <c r="BF118" i="109"/>
  <c r="BE118" i="109"/>
  <c r="BD118" i="109"/>
  <c r="BC118" i="109"/>
  <c r="BB118" i="109"/>
  <c r="BA118" i="109"/>
  <c r="AZ118" i="109"/>
  <c r="AY118" i="109"/>
  <c r="AX118" i="109"/>
  <c r="AW118" i="109"/>
  <c r="AV118" i="109"/>
  <c r="BJ74" i="109"/>
  <c r="BI74" i="109"/>
  <c r="BH74" i="109"/>
  <c r="BG74" i="109"/>
  <c r="BF74" i="109"/>
  <c r="BE74" i="109"/>
  <c r="BD74" i="109"/>
  <c r="BC74" i="109"/>
  <c r="BB74" i="109"/>
  <c r="BA74" i="109"/>
  <c r="AZ74" i="109"/>
  <c r="AY74" i="109"/>
  <c r="AX74" i="109"/>
  <c r="AW74" i="109"/>
  <c r="AV74" i="109"/>
  <c r="BJ117" i="109"/>
  <c r="BI117" i="109"/>
  <c r="BH117" i="109"/>
  <c r="BG117" i="109"/>
  <c r="BF117" i="109"/>
  <c r="BE117" i="109"/>
  <c r="BD117" i="109"/>
  <c r="BC117" i="109"/>
  <c r="BB117" i="109"/>
  <c r="BA117" i="109"/>
  <c r="AZ117" i="109"/>
  <c r="AY117" i="109"/>
  <c r="AX117" i="109"/>
  <c r="AW117" i="109"/>
  <c r="AV117" i="109"/>
  <c r="BJ73" i="109"/>
  <c r="BI73" i="109"/>
  <c r="BH73" i="109"/>
  <c r="BG73" i="109"/>
  <c r="BF73" i="109"/>
  <c r="BE73" i="109"/>
  <c r="BD73" i="109"/>
  <c r="BC73" i="109"/>
  <c r="BB73" i="109"/>
  <c r="BA73" i="109"/>
  <c r="AZ73" i="109"/>
  <c r="AY73" i="109"/>
  <c r="AX73" i="109"/>
  <c r="AW73" i="109"/>
  <c r="AV73" i="109"/>
  <c r="BJ72" i="109"/>
  <c r="BI72" i="109"/>
  <c r="BH72" i="109"/>
  <c r="BG72" i="109"/>
  <c r="BF72" i="109"/>
  <c r="BE72" i="109"/>
  <c r="BD72" i="109"/>
  <c r="BC72" i="109"/>
  <c r="BB72" i="109"/>
  <c r="BA72" i="109"/>
  <c r="AZ72" i="109"/>
  <c r="AY72" i="109"/>
  <c r="AX72" i="109"/>
  <c r="AW72" i="109"/>
  <c r="AV72" i="109"/>
  <c r="BJ71" i="109"/>
  <c r="BI71" i="109"/>
  <c r="BH71" i="109"/>
  <c r="BG71" i="109"/>
  <c r="BF71" i="109"/>
  <c r="BE71" i="109"/>
  <c r="BD71" i="109"/>
  <c r="BC71" i="109"/>
  <c r="BB71" i="109"/>
  <c r="BA71" i="109"/>
  <c r="AZ71" i="109"/>
  <c r="AY71" i="109"/>
  <c r="AX71" i="109"/>
  <c r="AW71" i="109"/>
  <c r="AV71" i="109"/>
  <c r="BJ70" i="109"/>
  <c r="BI70" i="109"/>
  <c r="BH70" i="109"/>
  <c r="BG70" i="109"/>
  <c r="BF70" i="109"/>
  <c r="BE70" i="109"/>
  <c r="BD70" i="109"/>
  <c r="BC70" i="109"/>
  <c r="BB70" i="109"/>
  <c r="BA70" i="109"/>
  <c r="AZ70" i="109"/>
  <c r="AY70" i="109"/>
  <c r="AX70" i="109"/>
  <c r="AW70" i="109"/>
  <c r="AV70" i="109"/>
  <c r="BJ116" i="109"/>
  <c r="BI116" i="109"/>
  <c r="BH116" i="109"/>
  <c r="BG116" i="109"/>
  <c r="BF116" i="109"/>
  <c r="BE116" i="109"/>
  <c r="BD116" i="109"/>
  <c r="BC116" i="109"/>
  <c r="BB116" i="109"/>
  <c r="BA116" i="109"/>
  <c r="AZ116" i="109"/>
  <c r="AY116" i="109"/>
  <c r="AX116" i="109"/>
  <c r="AW116" i="109"/>
  <c r="AV116" i="109"/>
  <c r="BJ69" i="109"/>
  <c r="BI69" i="109"/>
  <c r="BH69" i="109"/>
  <c r="BG69" i="109"/>
  <c r="BF69" i="109"/>
  <c r="BE69" i="109"/>
  <c r="BD69" i="109"/>
  <c r="BC69" i="109"/>
  <c r="BB69" i="109"/>
  <c r="BA69" i="109"/>
  <c r="AZ69" i="109"/>
  <c r="AY69" i="109"/>
  <c r="AX69" i="109"/>
  <c r="AW69" i="109"/>
  <c r="AV69" i="109"/>
  <c r="BJ68" i="109"/>
  <c r="BI68" i="109"/>
  <c r="BH68" i="109"/>
  <c r="BG68" i="109"/>
  <c r="BF68" i="109"/>
  <c r="BE68" i="109"/>
  <c r="BD68" i="109"/>
  <c r="BC68" i="109"/>
  <c r="BB68" i="109"/>
  <c r="BA68" i="109"/>
  <c r="AZ68" i="109"/>
  <c r="AY68" i="109"/>
  <c r="AX68" i="109"/>
  <c r="AW68" i="109"/>
  <c r="AV68" i="109"/>
  <c r="BJ115" i="109"/>
  <c r="BI115" i="109"/>
  <c r="BH115" i="109"/>
  <c r="BG115" i="109"/>
  <c r="BF115" i="109"/>
  <c r="BE115" i="109"/>
  <c r="BD115" i="109"/>
  <c r="BC115" i="109"/>
  <c r="BB115" i="109"/>
  <c r="BA115" i="109"/>
  <c r="AZ115" i="109"/>
  <c r="AY115" i="109"/>
  <c r="AX115" i="109"/>
  <c r="AW115" i="109"/>
  <c r="AV115" i="109"/>
  <c r="BJ114" i="109"/>
  <c r="BI114" i="109"/>
  <c r="BH114" i="109"/>
  <c r="BG114" i="109"/>
  <c r="BF114" i="109"/>
  <c r="BE114" i="109"/>
  <c r="BD114" i="109"/>
  <c r="BC114" i="109"/>
  <c r="BB114" i="109"/>
  <c r="BA114" i="109"/>
  <c r="AZ114" i="109"/>
  <c r="AY114" i="109"/>
  <c r="AX114" i="109"/>
  <c r="AW114" i="109"/>
  <c r="AV114" i="109"/>
  <c r="BJ67" i="109"/>
  <c r="BI67" i="109"/>
  <c r="BH67" i="109"/>
  <c r="BG67" i="109"/>
  <c r="BF67" i="109"/>
  <c r="BE67" i="109"/>
  <c r="BD67" i="109"/>
  <c r="BC67" i="109"/>
  <c r="BB67" i="109"/>
  <c r="BA67" i="109"/>
  <c r="AZ67" i="109"/>
  <c r="AY67" i="109"/>
  <c r="AX67" i="109"/>
  <c r="AW67" i="109"/>
  <c r="AV67" i="109"/>
  <c r="BJ66" i="109"/>
  <c r="BI66" i="109"/>
  <c r="BH66" i="109"/>
  <c r="BG66" i="109"/>
  <c r="BF66" i="109"/>
  <c r="BE66" i="109"/>
  <c r="BD66" i="109"/>
  <c r="BC66" i="109"/>
  <c r="BB66" i="109"/>
  <c r="BA66" i="109"/>
  <c r="AZ66" i="109"/>
  <c r="AY66" i="109"/>
  <c r="AX66" i="109"/>
  <c r="AW66" i="109"/>
  <c r="AV66" i="109"/>
  <c r="BJ65" i="109"/>
  <c r="BI65" i="109"/>
  <c r="BH65" i="109"/>
  <c r="BG65" i="109"/>
  <c r="BF65" i="109"/>
  <c r="BE65" i="109"/>
  <c r="BD65" i="109"/>
  <c r="BC65" i="109"/>
  <c r="BB65" i="109"/>
  <c r="BA65" i="109"/>
  <c r="AZ65" i="109"/>
  <c r="AY65" i="109"/>
  <c r="AX65" i="109"/>
  <c r="AW65" i="109"/>
  <c r="AV65" i="109"/>
  <c r="BJ64" i="109"/>
  <c r="BI64" i="109"/>
  <c r="BH64" i="109"/>
  <c r="BG64" i="109"/>
  <c r="BF64" i="109"/>
  <c r="BE64" i="109"/>
  <c r="BD64" i="109"/>
  <c r="BC64" i="109"/>
  <c r="BB64" i="109"/>
  <c r="BA64" i="109"/>
  <c r="AZ64" i="109"/>
  <c r="AY64" i="109"/>
  <c r="AX64" i="109"/>
  <c r="AW64" i="109"/>
  <c r="AV64" i="109"/>
  <c r="BJ63" i="109"/>
  <c r="BI63" i="109"/>
  <c r="BH63" i="109"/>
  <c r="BG63" i="109"/>
  <c r="BF63" i="109"/>
  <c r="BE63" i="109"/>
  <c r="BD63" i="109"/>
  <c r="BC63" i="109"/>
  <c r="BB63" i="109"/>
  <c r="BA63" i="109"/>
  <c r="AZ63" i="109"/>
  <c r="AY63" i="109"/>
  <c r="AX63" i="109"/>
  <c r="AW63" i="109"/>
  <c r="AV63" i="109"/>
  <c r="BJ62" i="109"/>
  <c r="BI62" i="109"/>
  <c r="BH62" i="109"/>
  <c r="BG62" i="109"/>
  <c r="BF62" i="109"/>
  <c r="BE62" i="109"/>
  <c r="BD62" i="109"/>
  <c r="BC62" i="109"/>
  <c r="BB62" i="109"/>
  <c r="BA62" i="109"/>
  <c r="AZ62" i="109"/>
  <c r="AY62" i="109"/>
  <c r="AX62" i="109"/>
  <c r="AW62" i="109"/>
  <c r="AV62" i="109"/>
  <c r="BJ113" i="109"/>
  <c r="BI113" i="109"/>
  <c r="BH113" i="109"/>
  <c r="BG113" i="109"/>
  <c r="BF113" i="109"/>
  <c r="BE113" i="109"/>
  <c r="BD113" i="109"/>
  <c r="BC113" i="109"/>
  <c r="BB113" i="109"/>
  <c r="BA113" i="109"/>
  <c r="AZ113" i="109"/>
  <c r="AY113" i="109"/>
  <c r="AX113" i="109"/>
  <c r="AW113" i="109"/>
  <c r="AV113" i="109"/>
  <c r="BJ112" i="109"/>
  <c r="BI112" i="109"/>
  <c r="BH112" i="109"/>
  <c r="BG112" i="109"/>
  <c r="BF112" i="109"/>
  <c r="BE112" i="109"/>
  <c r="BD112" i="109"/>
  <c r="BC112" i="109"/>
  <c r="BB112" i="109"/>
  <c r="BA112" i="109"/>
  <c r="AZ112" i="109"/>
  <c r="AY112" i="109"/>
  <c r="AX112" i="109"/>
  <c r="AW112" i="109"/>
  <c r="AV112" i="109"/>
  <c r="BJ61" i="109"/>
  <c r="BI61" i="109"/>
  <c r="BH61" i="109"/>
  <c r="BG61" i="109"/>
  <c r="BF61" i="109"/>
  <c r="BE61" i="109"/>
  <c r="BD61" i="109"/>
  <c r="BC61" i="109"/>
  <c r="BB61" i="109"/>
  <c r="BA61" i="109"/>
  <c r="AZ61" i="109"/>
  <c r="AY61" i="109"/>
  <c r="AX61" i="109"/>
  <c r="AW61" i="109"/>
  <c r="AV61" i="109"/>
  <c r="BJ111" i="109"/>
  <c r="BI111" i="109"/>
  <c r="BH111" i="109"/>
  <c r="BG111" i="109"/>
  <c r="BF111" i="109"/>
  <c r="BE111" i="109"/>
  <c r="BD111" i="109"/>
  <c r="BC111" i="109"/>
  <c r="BB111" i="109"/>
  <c r="BA111" i="109"/>
  <c r="AZ111" i="109"/>
  <c r="AY111" i="109"/>
  <c r="AX111" i="109"/>
  <c r="AW111" i="109"/>
  <c r="AV111" i="109"/>
  <c r="BJ60" i="109"/>
  <c r="BI60" i="109"/>
  <c r="BH60" i="109"/>
  <c r="BG60" i="109"/>
  <c r="BF60" i="109"/>
  <c r="BE60" i="109"/>
  <c r="BD60" i="109"/>
  <c r="BC60" i="109"/>
  <c r="BB60" i="109"/>
  <c r="BA60" i="109"/>
  <c r="AZ60" i="109"/>
  <c r="AY60" i="109"/>
  <c r="AX60" i="109"/>
  <c r="AW60" i="109"/>
  <c r="AV60" i="109"/>
  <c r="BJ59" i="109"/>
  <c r="BI59" i="109"/>
  <c r="BH59" i="109"/>
  <c r="BG59" i="109"/>
  <c r="BF59" i="109"/>
  <c r="BE59" i="109"/>
  <c r="BD59" i="109"/>
  <c r="BC59" i="109"/>
  <c r="BB59" i="109"/>
  <c r="BA59" i="109"/>
  <c r="AZ59" i="109"/>
  <c r="AY59" i="109"/>
  <c r="AX59" i="109"/>
  <c r="AW59" i="109"/>
  <c r="AV59" i="109"/>
  <c r="BJ58" i="109"/>
  <c r="BI58" i="109"/>
  <c r="BH58" i="109"/>
  <c r="BG58" i="109"/>
  <c r="BF58" i="109"/>
  <c r="BE58" i="109"/>
  <c r="BD58" i="109"/>
  <c r="BC58" i="109"/>
  <c r="BB58" i="109"/>
  <c r="BA58" i="109"/>
  <c r="AZ58" i="109"/>
  <c r="AY58" i="109"/>
  <c r="AX58" i="109"/>
  <c r="AW58" i="109"/>
  <c r="AV58" i="109"/>
  <c r="BJ57" i="109"/>
  <c r="BI57" i="109"/>
  <c r="BH57" i="109"/>
  <c r="BG57" i="109"/>
  <c r="BF57" i="109"/>
  <c r="BE57" i="109"/>
  <c r="BD57" i="109"/>
  <c r="BC57" i="109"/>
  <c r="BB57" i="109"/>
  <c r="BA57" i="109"/>
  <c r="AZ57" i="109"/>
  <c r="AY57" i="109"/>
  <c r="AX57" i="109"/>
  <c r="AW57" i="109"/>
  <c r="AV57" i="109"/>
  <c r="BJ56" i="109"/>
  <c r="BI56" i="109"/>
  <c r="BH56" i="109"/>
  <c r="BG56" i="109"/>
  <c r="BF56" i="109"/>
  <c r="BE56" i="109"/>
  <c r="BD56" i="109"/>
  <c r="BC56" i="109"/>
  <c r="BB56" i="109"/>
  <c r="BA56" i="109"/>
  <c r="AZ56" i="109"/>
  <c r="AY56" i="109"/>
  <c r="AX56" i="109"/>
  <c r="AW56" i="109"/>
  <c r="AV56" i="109"/>
  <c r="BJ55" i="109"/>
  <c r="BI55" i="109"/>
  <c r="BH55" i="109"/>
  <c r="BG55" i="109"/>
  <c r="BF55" i="109"/>
  <c r="BE55" i="109"/>
  <c r="BD55" i="109"/>
  <c r="BC55" i="109"/>
  <c r="BB55" i="109"/>
  <c r="BA55" i="109"/>
  <c r="AZ55" i="109"/>
  <c r="AY55" i="109"/>
  <c r="AX55" i="109"/>
  <c r="AW55" i="109"/>
  <c r="AV55" i="109"/>
  <c r="BJ54" i="109"/>
  <c r="BI54" i="109"/>
  <c r="BH54" i="109"/>
  <c r="BG54" i="109"/>
  <c r="BF54" i="109"/>
  <c r="BE54" i="109"/>
  <c r="BD54" i="109"/>
  <c r="BC54" i="109"/>
  <c r="BB54" i="109"/>
  <c r="BA54" i="109"/>
  <c r="AZ54" i="109"/>
  <c r="AY54" i="109"/>
  <c r="AX54" i="109"/>
  <c r="AW54" i="109"/>
  <c r="AV54" i="109"/>
  <c r="BJ53" i="109"/>
  <c r="BI53" i="109"/>
  <c r="BH53" i="109"/>
  <c r="BG53" i="109"/>
  <c r="BF53" i="109"/>
  <c r="BE53" i="109"/>
  <c r="BD53" i="109"/>
  <c r="BC53" i="109"/>
  <c r="BB53" i="109"/>
  <c r="BA53" i="109"/>
  <c r="AZ53" i="109"/>
  <c r="AY53" i="109"/>
  <c r="AX53" i="109"/>
  <c r="AW53" i="109"/>
  <c r="AV53" i="109"/>
  <c r="BJ52" i="109"/>
  <c r="BI52" i="109"/>
  <c r="BH52" i="109"/>
  <c r="BG52" i="109"/>
  <c r="BF52" i="109"/>
  <c r="BE52" i="109"/>
  <c r="BD52" i="109"/>
  <c r="BC52" i="109"/>
  <c r="BB52" i="109"/>
  <c r="BA52" i="109"/>
  <c r="AZ52" i="109"/>
  <c r="AY52" i="109"/>
  <c r="AX52" i="109"/>
  <c r="AW52" i="109"/>
  <c r="AV52" i="109"/>
  <c r="BJ51" i="109"/>
  <c r="BI51" i="109"/>
  <c r="BH51" i="109"/>
  <c r="BG51" i="109"/>
  <c r="BF51" i="109"/>
  <c r="BE51" i="109"/>
  <c r="BD51" i="109"/>
  <c r="BC51" i="109"/>
  <c r="BB51" i="109"/>
  <c r="BA51" i="109"/>
  <c r="AZ51" i="109"/>
  <c r="AY51" i="109"/>
  <c r="AX51" i="109"/>
  <c r="AW51" i="109"/>
  <c r="AV51" i="109"/>
  <c r="BJ110" i="109"/>
  <c r="BI110" i="109"/>
  <c r="BH110" i="109"/>
  <c r="BG110" i="109"/>
  <c r="BF110" i="109"/>
  <c r="BE110" i="109"/>
  <c r="BD110" i="109"/>
  <c r="BC110" i="109"/>
  <c r="BB110" i="109"/>
  <c r="BA110" i="109"/>
  <c r="AZ110" i="109"/>
  <c r="AY110" i="109"/>
  <c r="AX110" i="109"/>
  <c r="AW110" i="109"/>
  <c r="AV110" i="109"/>
  <c r="BJ50" i="109"/>
  <c r="BI50" i="109"/>
  <c r="BH50" i="109"/>
  <c r="BG50" i="109"/>
  <c r="BF50" i="109"/>
  <c r="BE50" i="109"/>
  <c r="BD50" i="109"/>
  <c r="BC50" i="109"/>
  <c r="BB50" i="109"/>
  <c r="BA50" i="109"/>
  <c r="AZ50" i="109"/>
  <c r="AY50" i="109"/>
  <c r="AX50" i="109"/>
  <c r="AW50" i="109"/>
  <c r="AV50" i="109"/>
  <c r="BJ49" i="109"/>
  <c r="BI49" i="109"/>
  <c r="BH49" i="109"/>
  <c r="BG49" i="109"/>
  <c r="BF49" i="109"/>
  <c r="BE49" i="109"/>
  <c r="BD49" i="109"/>
  <c r="BC49" i="109"/>
  <c r="BB49" i="109"/>
  <c r="BA49" i="109"/>
  <c r="AZ49" i="109"/>
  <c r="AY49" i="109"/>
  <c r="AX49" i="109"/>
  <c r="AW49" i="109"/>
  <c r="AV49" i="109"/>
  <c r="BJ48" i="109"/>
  <c r="BI48" i="109"/>
  <c r="BH48" i="109"/>
  <c r="BG48" i="109"/>
  <c r="BF48" i="109"/>
  <c r="BE48" i="109"/>
  <c r="BD48" i="109"/>
  <c r="BC48" i="109"/>
  <c r="BB48" i="109"/>
  <c r="BA48" i="109"/>
  <c r="AZ48" i="109"/>
  <c r="AY48" i="109"/>
  <c r="AX48" i="109"/>
  <c r="AW48" i="109"/>
  <c r="AV48" i="109"/>
  <c r="BJ47" i="109"/>
  <c r="BI47" i="109"/>
  <c r="BH47" i="109"/>
  <c r="BG47" i="109"/>
  <c r="BF47" i="109"/>
  <c r="BE47" i="109"/>
  <c r="BD47" i="109"/>
  <c r="BC47" i="109"/>
  <c r="BB47" i="109"/>
  <c r="BA47" i="109"/>
  <c r="AZ47" i="109"/>
  <c r="AY47" i="109"/>
  <c r="AX47" i="109"/>
  <c r="AW47" i="109"/>
  <c r="AV47" i="109"/>
  <c r="BJ109" i="109"/>
  <c r="BI109" i="109"/>
  <c r="BH109" i="109"/>
  <c r="BG109" i="109"/>
  <c r="BF109" i="109"/>
  <c r="BE109" i="109"/>
  <c r="BD109" i="109"/>
  <c r="BC109" i="109"/>
  <c r="BB109" i="109"/>
  <c r="BA109" i="109"/>
  <c r="AZ109" i="109"/>
  <c r="AY109" i="109"/>
  <c r="AX109" i="109"/>
  <c r="AW109" i="109"/>
  <c r="AV109" i="109"/>
  <c r="BJ46" i="109"/>
  <c r="BI46" i="109"/>
  <c r="BH46" i="109"/>
  <c r="BG46" i="109"/>
  <c r="BF46" i="109"/>
  <c r="BE46" i="109"/>
  <c r="BD46" i="109"/>
  <c r="BC46" i="109"/>
  <c r="BB46" i="109"/>
  <c r="BA46" i="109"/>
  <c r="AZ46" i="109"/>
  <c r="AY46" i="109"/>
  <c r="AX46" i="109"/>
  <c r="AW46" i="109"/>
  <c r="AV46" i="109"/>
  <c r="BJ45" i="109"/>
  <c r="BI45" i="109"/>
  <c r="BH45" i="109"/>
  <c r="BG45" i="109"/>
  <c r="BF45" i="109"/>
  <c r="BE45" i="109"/>
  <c r="BD45" i="109"/>
  <c r="BC45" i="109"/>
  <c r="BB45" i="109"/>
  <c r="BA45" i="109"/>
  <c r="AZ45" i="109"/>
  <c r="AY45" i="109"/>
  <c r="AX45" i="109"/>
  <c r="AW45" i="109"/>
  <c r="AV45" i="109"/>
  <c r="BJ44" i="109"/>
  <c r="BI44" i="109"/>
  <c r="BH44" i="109"/>
  <c r="BG44" i="109"/>
  <c r="BF44" i="109"/>
  <c r="BE44" i="109"/>
  <c r="BD44" i="109"/>
  <c r="BC44" i="109"/>
  <c r="BB44" i="109"/>
  <c r="BA44" i="109"/>
  <c r="AZ44" i="109"/>
  <c r="AY44" i="109"/>
  <c r="AX44" i="109"/>
  <c r="AW44" i="109"/>
  <c r="AV44" i="109"/>
  <c r="BJ43" i="109"/>
  <c r="BI43" i="109"/>
  <c r="BH43" i="109"/>
  <c r="BG43" i="109"/>
  <c r="BF43" i="109"/>
  <c r="BE43" i="109"/>
  <c r="BD43" i="109"/>
  <c r="BC43" i="109"/>
  <c r="BB43" i="109"/>
  <c r="BA43" i="109"/>
  <c r="AZ43" i="109"/>
  <c r="AY43" i="109"/>
  <c r="AX43" i="109"/>
  <c r="AW43" i="109"/>
  <c r="AV43" i="109"/>
  <c r="BJ42" i="109"/>
  <c r="BI42" i="109"/>
  <c r="BH42" i="109"/>
  <c r="BG42" i="109"/>
  <c r="BF42" i="109"/>
  <c r="BE42" i="109"/>
  <c r="BD42" i="109"/>
  <c r="BC42" i="109"/>
  <c r="BB42" i="109"/>
  <c r="BA42" i="109"/>
  <c r="AZ42" i="109"/>
  <c r="AY42" i="109"/>
  <c r="AX42" i="109"/>
  <c r="AW42" i="109"/>
  <c r="AV42" i="109"/>
  <c r="BJ41" i="109"/>
  <c r="BI41" i="109"/>
  <c r="BH41" i="109"/>
  <c r="BG41" i="109"/>
  <c r="BF41" i="109"/>
  <c r="BE41" i="109"/>
  <c r="BD41" i="109"/>
  <c r="BC41" i="109"/>
  <c r="BB41" i="109"/>
  <c r="BA41" i="109"/>
  <c r="AZ41" i="109"/>
  <c r="AY41" i="109"/>
  <c r="AX41" i="109"/>
  <c r="AW41" i="109"/>
  <c r="AV41" i="109"/>
  <c r="BJ40" i="109"/>
  <c r="BI40" i="109"/>
  <c r="BH40" i="109"/>
  <c r="BG40" i="109"/>
  <c r="BF40" i="109"/>
  <c r="BE40" i="109"/>
  <c r="BD40" i="109"/>
  <c r="BC40" i="109"/>
  <c r="BB40" i="109"/>
  <c r="BA40" i="109"/>
  <c r="AZ40" i="109"/>
  <c r="AY40" i="109"/>
  <c r="AX40" i="109"/>
  <c r="AW40" i="109"/>
  <c r="AV40" i="109"/>
  <c r="BJ108" i="109"/>
  <c r="BI108" i="109"/>
  <c r="BH108" i="109"/>
  <c r="BG108" i="109"/>
  <c r="BF108" i="109"/>
  <c r="BE108" i="109"/>
  <c r="BD108" i="109"/>
  <c r="BC108" i="109"/>
  <c r="BB108" i="109"/>
  <c r="BA108" i="109"/>
  <c r="AZ108" i="109"/>
  <c r="AY108" i="109"/>
  <c r="AX108" i="109"/>
  <c r="AW108" i="109"/>
  <c r="AV108" i="109"/>
  <c r="BJ107" i="109"/>
  <c r="BI107" i="109"/>
  <c r="BH107" i="109"/>
  <c r="BG107" i="109"/>
  <c r="BF107" i="109"/>
  <c r="BE107" i="109"/>
  <c r="BD107" i="109"/>
  <c r="BC107" i="109"/>
  <c r="BB107" i="109"/>
  <c r="BA107" i="109"/>
  <c r="AZ107" i="109"/>
  <c r="AY107" i="109"/>
  <c r="AX107" i="109"/>
  <c r="AW107" i="109"/>
  <c r="AV107" i="109"/>
  <c r="BJ39" i="109"/>
  <c r="BI39" i="109"/>
  <c r="BH39" i="109"/>
  <c r="BG39" i="109"/>
  <c r="BF39" i="109"/>
  <c r="BE39" i="109"/>
  <c r="BD39" i="109"/>
  <c r="BC39" i="109"/>
  <c r="BB39" i="109"/>
  <c r="BA39" i="109"/>
  <c r="AZ39" i="109"/>
  <c r="AY39" i="109"/>
  <c r="AX39" i="109"/>
  <c r="AW39" i="109"/>
  <c r="AV39" i="109"/>
  <c r="BJ38" i="109"/>
  <c r="BI38" i="109"/>
  <c r="BH38" i="109"/>
  <c r="BG38" i="109"/>
  <c r="BF38" i="109"/>
  <c r="BE38" i="109"/>
  <c r="BD38" i="109"/>
  <c r="BC38" i="109"/>
  <c r="BB38" i="109"/>
  <c r="BA38" i="109"/>
  <c r="AZ38" i="109"/>
  <c r="AY38" i="109"/>
  <c r="AX38" i="109"/>
  <c r="AW38" i="109"/>
  <c r="AV38" i="109"/>
  <c r="BJ106" i="109"/>
  <c r="BI106" i="109"/>
  <c r="BH106" i="109"/>
  <c r="BG106" i="109"/>
  <c r="BF106" i="109"/>
  <c r="BE106" i="109"/>
  <c r="BD106" i="109"/>
  <c r="BC106" i="109"/>
  <c r="BB106" i="109"/>
  <c r="BA106" i="109"/>
  <c r="AZ106" i="109"/>
  <c r="AY106" i="109"/>
  <c r="AX106" i="109"/>
  <c r="AW106" i="109"/>
  <c r="AV106" i="109"/>
  <c r="BJ37" i="109"/>
  <c r="BI37" i="109"/>
  <c r="BH37" i="109"/>
  <c r="BG37" i="109"/>
  <c r="BF37" i="109"/>
  <c r="BE37" i="109"/>
  <c r="BD37" i="109"/>
  <c r="BC37" i="109"/>
  <c r="BB37" i="109"/>
  <c r="BA37" i="109"/>
  <c r="AZ37" i="109"/>
  <c r="AY37" i="109"/>
  <c r="AX37" i="109"/>
  <c r="AW37" i="109"/>
  <c r="AV37" i="109"/>
  <c r="BJ36" i="109"/>
  <c r="BI36" i="109"/>
  <c r="BH36" i="109"/>
  <c r="BG36" i="109"/>
  <c r="BF36" i="109"/>
  <c r="BE36" i="109"/>
  <c r="BD36" i="109"/>
  <c r="BC36" i="109"/>
  <c r="BB36" i="109"/>
  <c r="BA36" i="109"/>
  <c r="AZ36" i="109"/>
  <c r="AY36" i="109"/>
  <c r="AX36" i="109"/>
  <c r="AW36" i="109"/>
  <c r="AV36" i="109"/>
  <c r="BJ35" i="109"/>
  <c r="BI35" i="109"/>
  <c r="BH35" i="109"/>
  <c r="BG35" i="109"/>
  <c r="BF35" i="109"/>
  <c r="BE35" i="109"/>
  <c r="BD35" i="109"/>
  <c r="BC35" i="109"/>
  <c r="BB35" i="109"/>
  <c r="BA35" i="109"/>
  <c r="AZ35" i="109"/>
  <c r="AY35" i="109"/>
  <c r="AX35" i="109"/>
  <c r="AW35" i="109"/>
  <c r="AV35" i="109"/>
  <c r="BJ34" i="109"/>
  <c r="BI34" i="109"/>
  <c r="BH34" i="109"/>
  <c r="BG34" i="109"/>
  <c r="BF34" i="109"/>
  <c r="BE34" i="109"/>
  <c r="BD34" i="109"/>
  <c r="BC34" i="109"/>
  <c r="BB34" i="109"/>
  <c r="BA34" i="109"/>
  <c r="AZ34" i="109"/>
  <c r="AY34" i="109"/>
  <c r="AX34" i="109"/>
  <c r="AW34" i="109"/>
  <c r="AV34" i="109"/>
  <c r="BJ33" i="109"/>
  <c r="BI33" i="109"/>
  <c r="BH33" i="109"/>
  <c r="BG33" i="109"/>
  <c r="BF33" i="109"/>
  <c r="BE33" i="109"/>
  <c r="BD33" i="109"/>
  <c r="BC33" i="109"/>
  <c r="BB33" i="109"/>
  <c r="BA33" i="109"/>
  <c r="AZ33" i="109"/>
  <c r="AY33" i="109"/>
  <c r="AX33" i="109"/>
  <c r="AW33" i="109"/>
  <c r="AV33" i="109"/>
  <c r="BJ32" i="109"/>
  <c r="BI32" i="109"/>
  <c r="BH32" i="109"/>
  <c r="BG32" i="109"/>
  <c r="BF32" i="109"/>
  <c r="BE32" i="109"/>
  <c r="BD32" i="109"/>
  <c r="BC32" i="109"/>
  <c r="BB32" i="109"/>
  <c r="BA32" i="109"/>
  <c r="AZ32" i="109"/>
  <c r="AY32" i="109"/>
  <c r="AX32" i="109"/>
  <c r="AW32" i="109"/>
  <c r="AV32" i="109"/>
  <c r="BJ31" i="109"/>
  <c r="BI31" i="109"/>
  <c r="BH31" i="109"/>
  <c r="BG31" i="109"/>
  <c r="BF31" i="109"/>
  <c r="BE31" i="109"/>
  <c r="BD31" i="109"/>
  <c r="BC31" i="109"/>
  <c r="BB31" i="109"/>
  <c r="BA31" i="109"/>
  <c r="AZ31" i="109"/>
  <c r="AY31" i="109"/>
  <c r="AX31" i="109"/>
  <c r="AW31" i="109"/>
  <c r="AV31" i="109"/>
  <c r="BJ105" i="109"/>
  <c r="BI105" i="109"/>
  <c r="BH105" i="109"/>
  <c r="BG105" i="109"/>
  <c r="BF105" i="109"/>
  <c r="BE105" i="109"/>
  <c r="BD105" i="109"/>
  <c r="BC105" i="109"/>
  <c r="BB105" i="109"/>
  <c r="BA105" i="109"/>
  <c r="AZ105" i="109"/>
  <c r="AY105" i="109"/>
  <c r="AX105" i="109"/>
  <c r="AW105" i="109"/>
  <c r="AV105" i="109"/>
  <c r="BJ30" i="109"/>
  <c r="BI30" i="109"/>
  <c r="BH30" i="109"/>
  <c r="BG30" i="109"/>
  <c r="BF30" i="109"/>
  <c r="BE30" i="109"/>
  <c r="BD30" i="109"/>
  <c r="BC30" i="109"/>
  <c r="BB30" i="109"/>
  <c r="BA30" i="109"/>
  <c r="AZ30" i="109"/>
  <c r="AY30" i="109"/>
  <c r="AX30" i="109"/>
  <c r="AW30" i="109"/>
  <c r="AV30" i="109"/>
  <c r="BJ29" i="109"/>
  <c r="BI29" i="109"/>
  <c r="BH29" i="109"/>
  <c r="BG29" i="109"/>
  <c r="BF29" i="109"/>
  <c r="BE29" i="109"/>
  <c r="BD29" i="109"/>
  <c r="BC29" i="109"/>
  <c r="BB29" i="109"/>
  <c r="BA29" i="109"/>
  <c r="AZ29" i="109"/>
  <c r="AY29" i="109"/>
  <c r="AX29" i="109"/>
  <c r="AW29" i="109"/>
  <c r="AV29" i="109"/>
  <c r="BJ28" i="109"/>
  <c r="BI28" i="109"/>
  <c r="BH28" i="109"/>
  <c r="BG28" i="109"/>
  <c r="BF28" i="109"/>
  <c r="BE28" i="109"/>
  <c r="BD28" i="109"/>
  <c r="BC28" i="109"/>
  <c r="BB28" i="109"/>
  <c r="BA28" i="109"/>
  <c r="AZ28" i="109"/>
  <c r="AY28" i="109"/>
  <c r="AX28" i="109"/>
  <c r="AW28" i="109"/>
  <c r="AV28" i="109"/>
  <c r="BJ27" i="109"/>
  <c r="BI27" i="109"/>
  <c r="BH27" i="109"/>
  <c r="BG27" i="109"/>
  <c r="BF27" i="109"/>
  <c r="BE27" i="109"/>
  <c r="BD27" i="109"/>
  <c r="BC27" i="109"/>
  <c r="BB27" i="109"/>
  <c r="BA27" i="109"/>
  <c r="AZ27" i="109"/>
  <c r="AY27" i="109"/>
  <c r="AX27" i="109"/>
  <c r="AW27" i="109"/>
  <c r="AV27" i="109"/>
  <c r="BJ26" i="109"/>
  <c r="BI26" i="109"/>
  <c r="BH26" i="109"/>
  <c r="BG26" i="109"/>
  <c r="BF26" i="109"/>
  <c r="BE26" i="109"/>
  <c r="BD26" i="109"/>
  <c r="BC26" i="109"/>
  <c r="BB26" i="109"/>
  <c r="BA26" i="109"/>
  <c r="AZ26" i="109"/>
  <c r="AY26" i="109"/>
  <c r="AX26" i="109"/>
  <c r="AW26" i="109"/>
  <c r="AV26" i="109"/>
  <c r="BJ104" i="109"/>
  <c r="BI104" i="109"/>
  <c r="BH104" i="109"/>
  <c r="BG104" i="109"/>
  <c r="BF104" i="109"/>
  <c r="BE104" i="109"/>
  <c r="BD104" i="109"/>
  <c r="BC104" i="109"/>
  <c r="BB104" i="109"/>
  <c r="BA104" i="109"/>
  <c r="AZ104" i="109"/>
  <c r="AY104" i="109"/>
  <c r="AX104" i="109"/>
  <c r="AW104" i="109"/>
  <c r="AV104" i="109"/>
  <c r="BJ103" i="109"/>
  <c r="BI103" i="109"/>
  <c r="BH103" i="109"/>
  <c r="BG103" i="109"/>
  <c r="BF103" i="109"/>
  <c r="BE103" i="109"/>
  <c r="BD103" i="109"/>
  <c r="BC103" i="109"/>
  <c r="BB103" i="109"/>
  <c r="BA103" i="109"/>
  <c r="AZ103" i="109"/>
  <c r="AY103" i="109"/>
  <c r="AX103" i="109"/>
  <c r="AW103" i="109"/>
  <c r="AV103" i="109"/>
  <c r="BJ25" i="109"/>
  <c r="BI25" i="109"/>
  <c r="BH25" i="109"/>
  <c r="BG25" i="109"/>
  <c r="BF25" i="109"/>
  <c r="BE25" i="109"/>
  <c r="BD25" i="109"/>
  <c r="BC25" i="109"/>
  <c r="BB25" i="109"/>
  <c r="BA25" i="109"/>
  <c r="AZ25" i="109"/>
  <c r="AY25" i="109"/>
  <c r="AX25" i="109"/>
  <c r="AW25" i="109"/>
  <c r="AV25" i="109"/>
  <c r="BJ24" i="109"/>
  <c r="BI24" i="109"/>
  <c r="BH24" i="109"/>
  <c r="BG24" i="109"/>
  <c r="BF24" i="109"/>
  <c r="BE24" i="109"/>
  <c r="BD24" i="109"/>
  <c r="BC24" i="109"/>
  <c r="BB24" i="109"/>
  <c r="BA24" i="109"/>
  <c r="AZ24" i="109"/>
  <c r="AY24" i="109"/>
  <c r="AX24" i="109"/>
  <c r="AW24" i="109"/>
  <c r="AV24" i="109"/>
  <c r="BJ23" i="109"/>
  <c r="BI23" i="109"/>
  <c r="BH23" i="109"/>
  <c r="BG23" i="109"/>
  <c r="BF23" i="109"/>
  <c r="BE23" i="109"/>
  <c r="BD23" i="109"/>
  <c r="BC23" i="109"/>
  <c r="BB23" i="109"/>
  <c r="BA23" i="109"/>
  <c r="AZ23" i="109"/>
  <c r="AY23" i="109"/>
  <c r="AX23" i="109"/>
  <c r="AW23" i="109"/>
  <c r="AV23" i="109"/>
  <c r="BJ22" i="109"/>
  <c r="BI22" i="109"/>
  <c r="BH22" i="109"/>
  <c r="BG22" i="109"/>
  <c r="BF22" i="109"/>
  <c r="BE22" i="109"/>
  <c r="BD22" i="109"/>
  <c r="BC22" i="109"/>
  <c r="BB22" i="109"/>
  <c r="BA22" i="109"/>
  <c r="AZ22" i="109"/>
  <c r="AY22" i="109"/>
  <c r="AX22" i="109"/>
  <c r="AW22" i="109"/>
  <c r="AV22" i="109"/>
  <c r="BJ21" i="109"/>
  <c r="BI21" i="109"/>
  <c r="BH21" i="109"/>
  <c r="BG21" i="109"/>
  <c r="BF21" i="109"/>
  <c r="BE21" i="109"/>
  <c r="BD21" i="109"/>
  <c r="BC21" i="109"/>
  <c r="BB21" i="109"/>
  <c r="BA21" i="109"/>
  <c r="AZ21" i="109"/>
  <c r="AY21" i="109"/>
  <c r="AX21" i="109"/>
  <c r="AW21" i="109"/>
  <c r="AV21" i="109"/>
  <c r="BJ20" i="109"/>
  <c r="BI20" i="109"/>
  <c r="BH20" i="109"/>
  <c r="BG20" i="109"/>
  <c r="BF20" i="109"/>
  <c r="BE20" i="109"/>
  <c r="BD20" i="109"/>
  <c r="BC20" i="109"/>
  <c r="BB20" i="109"/>
  <c r="BA20" i="109"/>
  <c r="AZ20" i="109"/>
  <c r="AY20" i="109"/>
  <c r="AX20" i="109"/>
  <c r="AW20" i="109"/>
  <c r="AV20" i="109"/>
  <c r="BJ19" i="109"/>
  <c r="BI19" i="109"/>
  <c r="BH19" i="109"/>
  <c r="BG19" i="109"/>
  <c r="BF19" i="109"/>
  <c r="BE19" i="109"/>
  <c r="BD19" i="109"/>
  <c r="BC19" i="109"/>
  <c r="BB19" i="109"/>
  <c r="BA19" i="109"/>
  <c r="AZ19" i="109"/>
  <c r="AY19" i="109"/>
  <c r="AX19" i="109"/>
  <c r="AW19" i="109"/>
  <c r="AV19" i="109"/>
  <c r="BJ18" i="109"/>
  <c r="BI18" i="109"/>
  <c r="BH18" i="109"/>
  <c r="BG18" i="109"/>
  <c r="BF18" i="109"/>
  <c r="BE18" i="109"/>
  <c r="BD18" i="109"/>
  <c r="BC18" i="109"/>
  <c r="BB18" i="109"/>
  <c r="BA18" i="109"/>
  <c r="AZ18" i="109"/>
  <c r="AY18" i="109"/>
  <c r="AX18" i="109"/>
  <c r="AW18" i="109"/>
  <c r="AV18" i="109"/>
  <c r="BJ102" i="109"/>
  <c r="BI102" i="109"/>
  <c r="BH102" i="109"/>
  <c r="BG102" i="109"/>
  <c r="BF102" i="109"/>
  <c r="BE102" i="109"/>
  <c r="BD102" i="109"/>
  <c r="BC102" i="109"/>
  <c r="BB102" i="109"/>
  <c r="BA102" i="109"/>
  <c r="AZ102" i="109"/>
  <c r="AY102" i="109"/>
  <c r="AX102" i="109"/>
  <c r="AW102" i="109"/>
  <c r="AV102" i="109"/>
  <c r="BJ17" i="109"/>
  <c r="BI17" i="109"/>
  <c r="BH17" i="109"/>
  <c r="BG17" i="109"/>
  <c r="BF17" i="109"/>
  <c r="BE17" i="109"/>
  <c r="BD17" i="109"/>
  <c r="BC17" i="109"/>
  <c r="BB17" i="109"/>
  <c r="BA17" i="109"/>
  <c r="AZ17" i="109"/>
  <c r="AY17" i="109"/>
  <c r="AX17" i="109"/>
  <c r="AW17" i="109"/>
  <c r="AV17" i="109"/>
  <c r="BJ16" i="109"/>
  <c r="BI16" i="109"/>
  <c r="BH16" i="109"/>
  <c r="BG16" i="109"/>
  <c r="BF16" i="109"/>
  <c r="BE16" i="109"/>
  <c r="BD16" i="109"/>
  <c r="BC16" i="109"/>
  <c r="BB16" i="109"/>
  <c r="BA16" i="109"/>
  <c r="AZ16" i="109"/>
  <c r="AY16" i="109"/>
  <c r="AX16" i="109"/>
  <c r="AW16" i="109"/>
  <c r="AV16" i="109"/>
  <c r="BJ15" i="109"/>
  <c r="BI15" i="109"/>
  <c r="BH15" i="109"/>
  <c r="BG15" i="109"/>
  <c r="BF15" i="109"/>
  <c r="BE15" i="109"/>
  <c r="BD15" i="109"/>
  <c r="BC15" i="109"/>
  <c r="BB15" i="109"/>
  <c r="BA15" i="109"/>
  <c r="AZ15" i="109"/>
  <c r="AY15" i="109"/>
  <c r="AX15" i="109"/>
  <c r="AW15" i="109"/>
  <c r="AV15" i="109"/>
  <c r="BJ14" i="109"/>
  <c r="BI14" i="109"/>
  <c r="BH14" i="109"/>
  <c r="BG14" i="109"/>
  <c r="BF14" i="109"/>
  <c r="BE14" i="109"/>
  <c r="BD14" i="109"/>
  <c r="BC14" i="109"/>
  <c r="BB14" i="109"/>
  <c r="BA14" i="109"/>
  <c r="AZ14" i="109"/>
  <c r="AY14" i="109"/>
  <c r="AX14" i="109"/>
  <c r="AW14" i="109"/>
  <c r="AV14" i="109"/>
  <c r="BJ13" i="109"/>
  <c r="BI13" i="109"/>
  <c r="BH13" i="109"/>
  <c r="BG13" i="109"/>
  <c r="BF13" i="109"/>
  <c r="BE13" i="109"/>
  <c r="BD13" i="109"/>
  <c r="BC13" i="109"/>
  <c r="BB13" i="109"/>
  <c r="BA13" i="109"/>
  <c r="AZ13" i="109"/>
  <c r="AY13" i="109"/>
  <c r="AX13" i="109"/>
  <c r="AW13" i="109"/>
  <c r="AV13" i="109"/>
  <c r="BJ12" i="109"/>
  <c r="BI12" i="109"/>
  <c r="BH12" i="109"/>
  <c r="BG12" i="109"/>
  <c r="BF12" i="109"/>
  <c r="BE12" i="109"/>
  <c r="BD12" i="109"/>
  <c r="BC12" i="109"/>
  <c r="BB12" i="109"/>
  <c r="BA12" i="109"/>
  <c r="AZ12" i="109"/>
  <c r="AY12" i="109"/>
  <c r="AX12" i="109"/>
  <c r="AW12" i="109"/>
  <c r="AV12" i="109"/>
  <c r="BJ11" i="109"/>
  <c r="BI11" i="109"/>
  <c r="BH11" i="109"/>
  <c r="BG11" i="109"/>
  <c r="BF11" i="109"/>
  <c r="BE11" i="109"/>
  <c r="BD11" i="109"/>
  <c r="BC11" i="109"/>
  <c r="BB11" i="109"/>
  <c r="BA11" i="109"/>
  <c r="AZ11" i="109"/>
  <c r="AY11" i="109"/>
  <c r="AX11" i="109"/>
  <c r="AW11" i="109"/>
  <c r="AV11" i="109"/>
  <c r="BJ10" i="109"/>
  <c r="BI10" i="109"/>
  <c r="BH10" i="109"/>
  <c r="BG10" i="109"/>
  <c r="BF10" i="109"/>
  <c r="BE10" i="109"/>
  <c r="BD10" i="109"/>
  <c r="BC10" i="109"/>
  <c r="BB10" i="109"/>
  <c r="BA10" i="109"/>
  <c r="AZ10" i="109"/>
  <c r="AY10" i="109"/>
  <c r="AX10" i="109"/>
  <c r="AW10" i="109"/>
  <c r="AV10" i="109"/>
  <c r="BJ9" i="109"/>
  <c r="BI9" i="109"/>
  <c r="BH9" i="109"/>
  <c r="BG9" i="109"/>
  <c r="BF9" i="109"/>
  <c r="BE9" i="109"/>
  <c r="BD9" i="109"/>
  <c r="BC9" i="109"/>
  <c r="BB9" i="109"/>
  <c r="BA9" i="109"/>
  <c r="AZ9" i="109"/>
  <c r="AY9" i="109"/>
  <c r="AX9" i="109"/>
  <c r="AW9" i="109"/>
  <c r="AV9" i="109"/>
  <c r="BJ8" i="109"/>
  <c r="BI8" i="109"/>
  <c r="BH8" i="109"/>
  <c r="BG8" i="109"/>
  <c r="BF8" i="109"/>
  <c r="BE8" i="109"/>
  <c r="BD8" i="109"/>
  <c r="BC8" i="109"/>
  <c r="BB8" i="109"/>
  <c r="BA8" i="109"/>
  <c r="AZ8" i="109"/>
  <c r="AY8" i="109"/>
  <c r="AX8" i="109"/>
  <c r="AW8" i="109"/>
  <c r="AV8" i="109"/>
  <c r="BJ101" i="109"/>
  <c r="BI101" i="109"/>
  <c r="BH101" i="109"/>
  <c r="BG101" i="109"/>
  <c r="BF101" i="109"/>
  <c r="BE101" i="109"/>
  <c r="BD101" i="109"/>
  <c r="BC101" i="109"/>
  <c r="BB101" i="109"/>
  <c r="BA101" i="109"/>
  <c r="AZ101" i="109"/>
  <c r="AY101" i="109"/>
  <c r="AX101" i="109"/>
  <c r="AW101" i="109"/>
  <c r="AV101" i="109"/>
  <c r="BJ7" i="109"/>
  <c r="BI7" i="109"/>
  <c r="BH7" i="109"/>
  <c r="BG7" i="109"/>
  <c r="BF7" i="109"/>
  <c r="BE7" i="109"/>
  <c r="BD7" i="109"/>
  <c r="BC7" i="109"/>
  <c r="BB7" i="109"/>
  <c r="BA7" i="109"/>
  <c r="AZ7" i="109"/>
  <c r="AY7" i="109"/>
  <c r="AX7" i="109"/>
  <c r="AW7" i="109"/>
  <c r="AV7" i="109"/>
  <c r="BJ6" i="109"/>
  <c r="BI6" i="109"/>
  <c r="BH6" i="109"/>
  <c r="BG6" i="109"/>
  <c r="BF6" i="109"/>
  <c r="BE6" i="109"/>
  <c r="BD6" i="109"/>
  <c r="BC6" i="109"/>
  <c r="BB6" i="109"/>
  <c r="BA6" i="109"/>
  <c r="AZ6" i="109"/>
  <c r="AY6" i="109"/>
  <c r="AX6" i="109"/>
  <c r="AW6" i="109"/>
  <c r="AV6" i="109"/>
  <c r="BJ5" i="109"/>
  <c r="D17" i="108" s="1"/>
  <c r="BI5" i="109"/>
  <c r="D16" i="108" s="1"/>
  <c r="BH5" i="109"/>
  <c r="D15" i="108" s="1"/>
  <c r="BG5" i="109"/>
  <c r="D14" i="108" s="1"/>
  <c r="BF5" i="109"/>
  <c r="D13" i="108" s="1"/>
  <c r="BE5" i="109"/>
  <c r="D12" i="108" s="1"/>
  <c r="BD5" i="109"/>
  <c r="D11" i="108" s="1"/>
  <c r="BC5" i="109"/>
  <c r="D10" i="108" s="1"/>
  <c r="BB5" i="109"/>
  <c r="D9" i="108" s="1"/>
  <c r="BA5" i="109"/>
  <c r="D8" i="108" s="1"/>
  <c r="AZ5" i="109"/>
  <c r="D7" i="108" s="1"/>
  <c r="AY5" i="109"/>
  <c r="D6" i="108" s="1"/>
  <c r="AX5" i="109"/>
  <c r="D5" i="108" s="1"/>
  <c r="AW5" i="109"/>
  <c r="D4" i="108" s="1"/>
  <c r="AV5" i="109"/>
  <c r="D3" i="108" s="1"/>
  <c r="C58" i="1" l="1"/>
  <c r="S5" i="106"/>
  <c r="R5" i="106"/>
  <c r="L5" i="106"/>
  <c r="K5" i="106"/>
  <c r="D5" i="106"/>
  <c r="AS130" i="24" l="1"/>
  <c r="AP130" i="24"/>
  <c r="AM130" i="24"/>
  <c r="AJ130" i="24"/>
  <c r="AG130" i="24"/>
  <c r="AD130" i="24"/>
  <c r="AA130" i="24"/>
  <c r="X130" i="24"/>
  <c r="U130" i="24"/>
  <c r="R130" i="24"/>
  <c r="O130" i="24"/>
  <c r="I130" i="24"/>
  <c r="F130" i="24"/>
  <c r="AS129" i="24"/>
  <c r="AP129" i="24"/>
  <c r="AM129" i="24"/>
  <c r="AJ129" i="24"/>
  <c r="AG129" i="24"/>
  <c r="AD129" i="24"/>
  <c r="AA129" i="24"/>
  <c r="X129" i="24"/>
  <c r="U129" i="24"/>
  <c r="R129" i="24"/>
  <c r="O129" i="24"/>
  <c r="I129" i="24"/>
  <c r="F129" i="24"/>
  <c r="AS128" i="24"/>
  <c r="AP128" i="24"/>
  <c r="AM128" i="24"/>
  <c r="AJ128" i="24"/>
  <c r="AG128" i="24"/>
  <c r="AD128" i="24"/>
  <c r="AA128" i="24"/>
  <c r="X128" i="24"/>
  <c r="U128" i="24"/>
  <c r="R128" i="24"/>
  <c r="O128" i="24"/>
  <c r="I128" i="24"/>
  <c r="F128" i="24"/>
  <c r="AS127" i="24"/>
  <c r="AP127" i="24"/>
  <c r="AM127" i="24"/>
  <c r="AJ127" i="24"/>
  <c r="AG127" i="24"/>
  <c r="AD127" i="24"/>
  <c r="AA127" i="24"/>
  <c r="X127" i="24"/>
  <c r="U127" i="24"/>
  <c r="R127" i="24"/>
  <c r="O127" i="24"/>
  <c r="I127" i="24"/>
  <c r="F127" i="24"/>
  <c r="AS126" i="24"/>
  <c r="AP126" i="24"/>
  <c r="AM126" i="24"/>
  <c r="AJ126" i="24"/>
  <c r="AG126" i="24"/>
  <c r="AD126" i="24"/>
  <c r="AA126" i="24"/>
  <c r="X126" i="24"/>
  <c r="U126" i="24"/>
  <c r="R126" i="24"/>
  <c r="O126" i="24"/>
  <c r="I126" i="24"/>
  <c r="F126" i="24"/>
  <c r="AS124" i="24"/>
  <c r="AP124" i="24"/>
  <c r="AM124" i="24"/>
  <c r="AJ124" i="24"/>
  <c r="AG124" i="24"/>
  <c r="AD124" i="24"/>
  <c r="AA124" i="24"/>
  <c r="X124" i="24"/>
  <c r="U124" i="24"/>
  <c r="R124" i="24"/>
  <c r="O124" i="24"/>
  <c r="I124" i="24"/>
  <c r="F124" i="24"/>
  <c r="AS123" i="24"/>
  <c r="AP123" i="24"/>
  <c r="AM123" i="24"/>
  <c r="AJ123" i="24"/>
  <c r="AG123" i="24"/>
  <c r="AD123" i="24"/>
  <c r="AA123" i="24"/>
  <c r="X123" i="24"/>
  <c r="U123" i="24"/>
  <c r="R123" i="24"/>
  <c r="O123" i="24"/>
  <c r="I123" i="24"/>
  <c r="F123" i="24"/>
  <c r="AS122" i="24"/>
  <c r="AP122" i="24"/>
  <c r="AM122" i="24"/>
  <c r="AJ122" i="24"/>
  <c r="AG122" i="24"/>
  <c r="AD122" i="24"/>
  <c r="AA122" i="24"/>
  <c r="X122" i="24"/>
  <c r="U122" i="24"/>
  <c r="R122" i="24"/>
  <c r="O122" i="24"/>
  <c r="I122" i="24"/>
  <c r="F122" i="24"/>
  <c r="AS121" i="24"/>
  <c r="AP121" i="24"/>
  <c r="AM121" i="24"/>
  <c r="AJ121" i="24"/>
  <c r="AG121" i="24"/>
  <c r="AD121" i="24"/>
  <c r="AA121" i="24"/>
  <c r="X121" i="24"/>
  <c r="U121" i="24"/>
  <c r="R121" i="24"/>
  <c r="O121" i="24"/>
  <c r="I121" i="24"/>
  <c r="F121" i="24"/>
  <c r="AS120" i="24"/>
  <c r="AP120" i="24"/>
  <c r="AM120" i="24"/>
  <c r="AJ120" i="24"/>
  <c r="AG120" i="24"/>
  <c r="AD120" i="24"/>
  <c r="AA120" i="24"/>
  <c r="X120" i="24"/>
  <c r="U120" i="24"/>
  <c r="R120" i="24"/>
  <c r="O120" i="24"/>
  <c r="I120" i="24"/>
  <c r="F120" i="24"/>
  <c r="AS119" i="24"/>
  <c r="AP119" i="24"/>
  <c r="AM119" i="24"/>
  <c r="AJ119" i="24"/>
  <c r="AG119" i="24"/>
  <c r="AD119" i="24"/>
  <c r="AA119" i="24"/>
  <c r="X119" i="24"/>
  <c r="U119" i="24"/>
  <c r="R119" i="24"/>
  <c r="O119" i="24"/>
  <c r="I119" i="24"/>
  <c r="F119" i="24"/>
  <c r="AS118" i="24"/>
  <c r="AP118" i="24"/>
  <c r="AM118" i="24"/>
  <c r="AJ118" i="24"/>
  <c r="AG118" i="24"/>
  <c r="AD118" i="24"/>
  <c r="AA118" i="24"/>
  <c r="X118" i="24"/>
  <c r="U118" i="24"/>
  <c r="R118" i="24"/>
  <c r="O118" i="24"/>
  <c r="I118" i="24"/>
  <c r="F118" i="24"/>
  <c r="AS117" i="24"/>
  <c r="AP117" i="24"/>
  <c r="AM117" i="24"/>
  <c r="AJ117" i="24"/>
  <c r="AG117" i="24"/>
  <c r="AD117" i="24"/>
  <c r="AA117" i="24"/>
  <c r="X117" i="24"/>
  <c r="U117" i="24"/>
  <c r="R117" i="24"/>
  <c r="O117" i="24"/>
  <c r="I117" i="24"/>
  <c r="F117" i="24"/>
  <c r="AS116" i="24"/>
  <c r="AP116" i="24"/>
  <c r="AM116" i="24"/>
  <c r="AJ116" i="24"/>
  <c r="AG116" i="24"/>
  <c r="AD116" i="24"/>
  <c r="AA116" i="24"/>
  <c r="X116" i="24"/>
  <c r="U116" i="24"/>
  <c r="R116" i="24"/>
  <c r="O116" i="24"/>
  <c r="I116" i="24"/>
  <c r="F116" i="24"/>
  <c r="AS115" i="24"/>
  <c r="AP115" i="24"/>
  <c r="AM115" i="24"/>
  <c r="AJ115" i="24"/>
  <c r="AG115" i="24"/>
  <c r="AD115" i="24"/>
  <c r="AA115" i="24"/>
  <c r="X115" i="24"/>
  <c r="U115" i="24"/>
  <c r="R115" i="24"/>
  <c r="O115" i="24"/>
  <c r="I115" i="24"/>
  <c r="F115" i="24"/>
  <c r="AS114" i="24"/>
  <c r="AP114" i="24"/>
  <c r="AM114" i="24"/>
  <c r="AJ114" i="24"/>
  <c r="AG114" i="24"/>
  <c r="AD114" i="24"/>
  <c r="AA114" i="24"/>
  <c r="X114" i="24"/>
  <c r="U114" i="24"/>
  <c r="R114" i="24"/>
  <c r="O114" i="24"/>
  <c r="I114" i="24"/>
  <c r="F114" i="24"/>
  <c r="AS113" i="24"/>
  <c r="AP113" i="24"/>
  <c r="AM113" i="24"/>
  <c r="AJ113" i="24"/>
  <c r="AG113" i="24"/>
  <c r="AD113" i="24"/>
  <c r="AA113" i="24"/>
  <c r="X113" i="24"/>
  <c r="U113" i="24"/>
  <c r="R113" i="24"/>
  <c r="O113" i="24"/>
  <c r="I113" i="24"/>
  <c r="F113" i="24"/>
  <c r="AS112" i="24"/>
  <c r="AP112" i="24"/>
  <c r="AM112" i="24"/>
  <c r="AJ112" i="24"/>
  <c r="AG112" i="24"/>
  <c r="AD112" i="24"/>
  <c r="AA112" i="24"/>
  <c r="X112" i="24"/>
  <c r="U112" i="24"/>
  <c r="R112" i="24"/>
  <c r="O112" i="24"/>
  <c r="I112" i="24"/>
  <c r="F112" i="24"/>
  <c r="AS111" i="24"/>
  <c r="AP111" i="24"/>
  <c r="AM111" i="24"/>
  <c r="AJ111" i="24"/>
  <c r="AG111" i="24"/>
  <c r="AD111" i="24"/>
  <c r="AA111" i="24"/>
  <c r="X111" i="24"/>
  <c r="U111" i="24"/>
  <c r="R111" i="24"/>
  <c r="O111" i="24"/>
  <c r="I111" i="24"/>
  <c r="F111" i="24"/>
  <c r="AS110" i="24"/>
  <c r="AP110" i="24"/>
  <c r="AM110" i="24"/>
  <c r="AJ110" i="24"/>
  <c r="AG110" i="24"/>
  <c r="AD110" i="24"/>
  <c r="AA110" i="24"/>
  <c r="X110" i="24"/>
  <c r="U110" i="24"/>
  <c r="R110" i="24"/>
  <c r="O110" i="24"/>
  <c r="I110" i="24"/>
  <c r="F110" i="24"/>
  <c r="AS109" i="24"/>
  <c r="AP109" i="24"/>
  <c r="AM109" i="24"/>
  <c r="AJ109" i="24"/>
  <c r="AG109" i="24"/>
  <c r="AD109" i="24"/>
  <c r="AA109" i="24"/>
  <c r="X109" i="24"/>
  <c r="U109" i="24"/>
  <c r="R109" i="24"/>
  <c r="O109" i="24"/>
  <c r="I109" i="24"/>
  <c r="F109" i="24"/>
  <c r="AS108" i="24"/>
  <c r="AP108" i="24"/>
  <c r="AM108" i="24"/>
  <c r="AJ108" i="24"/>
  <c r="AG108" i="24"/>
  <c r="AD108" i="24"/>
  <c r="AA108" i="24"/>
  <c r="X108" i="24"/>
  <c r="U108" i="24"/>
  <c r="R108" i="24"/>
  <c r="O108" i="24"/>
  <c r="I108" i="24"/>
  <c r="F108" i="24"/>
  <c r="AS107" i="24"/>
  <c r="AP107" i="24"/>
  <c r="AM107" i="24"/>
  <c r="AJ107" i="24"/>
  <c r="AG107" i="24"/>
  <c r="AD107" i="24"/>
  <c r="AA107" i="24"/>
  <c r="X107" i="24"/>
  <c r="U107" i="24"/>
  <c r="R107" i="24"/>
  <c r="O107" i="24"/>
  <c r="I107" i="24"/>
  <c r="F107" i="24"/>
  <c r="AS106" i="24"/>
  <c r="AP106" i="24"/>
  <c r="AM106" i="24"/>
  <c r="AJ106" i="24"/>
  <c r="AG106" i="24"/>
  <c r="AD106" i="24"/>
  <c r="AA106" i="24"/>
  <c r="X106" i="24"/>
  <c r="U106" i="24"/>
  <c r="R106" i="24"/>
  <c r="O106" i="24"/>
  <c r="I106" i="24"/>
  <c r="F106" i="24"/>
  <c r="AS105" i="24"/>
  <c r="AP105" i="24"/>
  <c r="AM105" i="24"/>
  <c r="AJ105" i="24"/>
  <c r="AG105" i="24"/>
  <c r="AD105" i="24"/>
  <c r="AA105" i="24"/>
  <c r="X105" i="24"/>
  <c r="U105" i="24"/>
  <c r="R105" i="24"/>
  <c r="O105" i="24"/>
  <c r="I105" i="24"/>
  <c r="F105" i="24"/>
  <c r="AS104" i="24"/>
  <c r="AP104" i="24"/>
  <c r="AM104" i="24"/>
  <c r="AJ104" i="24"/>
  <c r="AG104" i="24"/>
  <c r="AD104" i="24"/>
  <c r="AA104" i="24"/>
  <c r="X104" i="24"/>
  <c r="U104" i="24"/>
  <c r="R104" i="24"/>
  <c r="O104" i="24"/>
  <c r="I104" i="24"/>
  <c r="F104" i="24"/>
  <c r="AS103" i="24"/>
  <c r="AP103" i="24"/>
  <c r="AM103" i="24"/>
  <c r="AJ103" i="24"/>
  <c r="AG103" i="24"/>
  <c r="AD103" i="24"/>
  <c r="AA103" i="24"/>
  <c r="X103" i="24"/>
  <c r="U103" i="24"/>
  <c r="R103" i="24"/>
  <c r="O103" i="24"/>
  <c r="I103" i="24"/>
  <c r="F103" i="24"/>
  <c r="AS102" i="24"/>
  <c r="AP102" i="24"/>
  <c r="AM102" i="24"/>
  <c r="AJ102" i="24"/>
  <c r="AG102" i="24"/>
  <c r="AD102" i="24"/>
  <c r="AA102" i="24"/>
  <c r="X102" i="24"/>
  <c r="U102" i="24"/>
  <c r="R102" i="24"/>
  <c r="O102" i="24"/>
  <c r="I102" i="24"/>
  <c r="F102" i="24"/>
  <c r="AS101" i="24"/>
  <c r="AP101" i="24"/>
  <c r="AM101" i="24"/>
  <c r="AJ101" i="24"/>
  <c r="AG101" i="24"/>
  <c r="AD101" i="24"/>
  <c r="AA101" i="24"/>
  <c r="X101" i="24"/>
  <c r="U101" i="24"/>
  <c r="R101" i="24"/>
  <c r="O101" i="24"/>
  <c r="I101" i="24"/>
  <c r="F101" i="24"/>
  <c r="AS100" i="24"/>
  <c r="AP100" i="24"/>
  <c r="AM100" i="24"/>
  <c r="AJ100" i="24"/>
  <c r="AG100" i="24"/>
  <c r="AD100" i="24"/>
  <c r="AA100" i="24"/>
  <c r="X100" i="24"/>
  <c r="U100" i="24"/>
  <c r="R100" i="24"/>
  <c r="O100" i="24"/>
  <c r="I100" i="24"/>
  <c r="F100" i="24"/>
  <c r="AS99" i="24"/>
  <c r="AP99" i="24"/>
  <c r="AM99" i="24"/>
  <c r="AJ99" i="24"/>
  <c r="AG99" i="24"/>
  <c r="AD99" i="24"/>
  <c r="AA99" i="24"/>
  <c r="X99" i="24"/>
  <c r="U99" i="24"/>
  <c r="R99" i="24"/>
  <c r="O99" i="24"/>
  <c r="I99" i="24"/>
  <c r="F99" i="24"/>
  <c r="AS98" i="24"/>
  <c r="AP98" i="24"/>
  <c r="AM98" i="24"/>
  <c r="AJ98" i="24"/>
  <c r="AG98" i="24"/>
  <c r="AD98" i="24"/>
  <c r="AA98" i="24"/>
  <c r="X98" i="24"/>
  <c r="U98" i="24"/>
  <c r="R98" i="24"/>
  <c r="O98" i="24"/>
  <c r="I98" i="24"/>
  <c r="F98" i="24"/>
  <c r="AS97" i="24"/>
  <c r="AP97" i="24"/>
  <c r="AM97" i="24"/>
  <c r="AJ97" i="24"/>
  <c r="AG97" i="24"/>
  <c r="AD97" i="24"/>
  <c r="AA97" i="24"/>
  <c r="X97" i="24"/>
  <c r="U97" i="24"/>
  <c r="R97" i="24"/>
  <c r="O97" i="24"/>
  <c r="I97" i="24"/>
  <c r="F97" i="24"/>
  <c r="AS96" i="24"/>
  <c r="AP96" i="24"/>
  <c r="AM96" i="24"/>
  <c r="AJ96" i="24"/>
  <c r="AG96" i="24"/>
  <c r="AD96" i="24"/>
  <c r="AA96" i="24"/>
  <c r="X96" i="24"/>
  <c r="U96" i="24"/>
  <c r="R96" i="24"/>
  <c r="O96" i="24"/>
  <c r="I96" i="24"/>
  <c r="F96" i="24"/>
  <c r="AS95" i="24"/>
  <c r="AP95" i="24"/>
  <c r="AM95" i="24"/>
  <c r="AJ95" i="24"/>
  <c r="AG95" i="24"/>
  <c r="AD95" i="24"/>
  <c r="AA95" i="24"/>
  <c r="X95" i="24"/>
  <c r="U95" i="24"/>
  <c r="R95" i="24"/>
  <c r="O95" i="24"/>
  <c r="I95" i="24"/>
  <c r="F95" i="24"/>
  <c r="AS94" i="24"/>
  <c r="AP94" i="24"/>
  <c r="AM94" i="24"/>
  <c r="AJ94" i="24"/>
  <c r="AG94" i="24"/>
  <c r="AD94" i="24"/>
  <c r="AA94" i="24"/>
  <c r="X94" i="24"/>
  <c r="U94" i="24"/>
  <c r="R94" i="24"/>
  <c r="O94" i="24"/>
  <c r="I94" i="24"/>
  <c r="F94" i="24"/>
  <c r="AS93" i="24"/>
  <c r="AP93" i="24"/>
  <c r="AM93" i="24"/>
  <c r="AJ93" i="24"/>
  <c r="AG93" i="24"/>
  <c r="AD93" i="24"/>
  <c r="AA93" i="24"/>
  <c r="X93" i="24"/>
  <c r="U93" i="24"/>
  <c r="R93" i="24"/>
  <c r="O93" i="24"/>
  <c r="I93" i="24"/>
  <c r="F93" i="24"/>
  <c r="AS92" i="24"/>
  <c r="AP92" i="24"/>
  <c r="AM92" i="24"/>
  <c r="AJ92" i="24"/>
  <c r="AG92" i="24"/>
  <c r="AD92" i="24"/>
  <c r="AA92" i="24"/>
  <c r="X92" i="24"/>
  <c r="U92" i="24"/>
  <c r="R92" i="24"/>
  <c r="O92" i="24"/>
  <c r="I92" i="24"/>
  <c r="F92" i="24"/>
  <c r="AS91" i="24"/>
  <c r="AP91" i="24"/>
  <c r="AM91" i="24"/>
  <c r="AJ91" i="24"/>
  <c r="AG91" i="24"/>
  <c r="AD91" i="24"/>
  <c r="AA91" i="24"/>
  <c r="X91" i="24"/>
  <c r="U91" i="24"/>
  <c r="R91" i="24"/>
  <c r="O91" i="24"/>
  <c r="I91" i="24"/>
  <c r="F91" i="24"/>
  <c r="AS90" i="24"/>
  <c r="AP90" i="24"/>
  <c r="AM90" i="24"/>
  <c r="AJ90" i="24"/>
  <c r="AG90" i="24"/>
  <c r="AD90" i="24"/>
  <c r="AA90" i="24"/>
  <c r="X90" i="24"/>
  <c r="U90" i="24"/>
  <c r="R90" i="24"/>
  <c r="O90" i="24"/>
  <c r="I90" i="24"/>
  <c r="F90" i="24"/>
  <c r="AS89" i="24"/>
  <c r="AP89" i="24"/>
  <c r="AM89" i="24"/>
  <c r="AJ89" i="24"/>
  <c r="AG89" i="24"/>
  <c r="AD89" i="24"/>
  <c r="AA89" i="24"/>
  <c r="X89" i="24"/>
  <c r="U89" i="24"/>
  <c r="R89" i="24"/>
  <c r="O89" i="24"/>
  <c r="I89" i="24"/>
  <c r="F89" i="24"/>
  <c r="AS88" i="24"/>
  <c r="AP88" i="24"/>
  <c r="AM88" i="24"/>
  <c r="AJ88" i="24"/>
  <c r="AG88" i="24"/>
  <c r="AD88" i="24"/>
  <c r="AA88" i="24"/>
  <c r="X88" i="24"/>
  <c r="U88" i="24"/>
  <c r="R88" i="24"/>
  <c r="O88" i="24"/>
  <c r="I88" i="24"/>
  <c r="F88" i="24"/>
  <c r="AS87" i="24"/>
  <c r="AP87" i="24"/>
  <c r="AM87" i="24"/>
  <c r="AJ87" i="24"/>
  <c r="AG87" i="24"/>
  <c r="AD87" i="24"/>
  <c r="AA87" i="24"/>
  <c r="X87" i="24"/>
  <c r="U87" i="24"/>
  <c r="R87" i="24"/>
  <c r="O87" i="24"/>
  <c r="I87" i="24"/>
  <c r="F87" i="24"/>
  <c r="AS86" i="24"/>
  <c r="AP86" i="24"/>
  <c r="AM86" i="24"/>
  <c r="AJ86" i="24"/>
  <c r="AG86" i="24"/>
  <c r="AD86" i="24"/>
  <c r="AA86" i="24"/>
  <c r="X86" i="24"/>
  <c r="U86" i="24"/>
  <c r="R86" i="24"/>
  <c r="O86" i="24"/>
  <c r="I86" i="24"/>
  <c r="F86" i="24"/>
  <c r="AS85" i="24"/>
  <c r="AP85" i="24"/>
  <c r="AM85" i="24"/>
  <c r="AJ85" i="24"/>
  <c r="AG85" i="24"/>
  <c r="AD85" i="24"/>
  <c r="AA85" i="24"/>
  <c r="X85" i="24"/>
  <c r="U85" i="24"/>
  <c r="R85" i="24"/>
  <c r="O85" i="24"/>
  <c r="I85" i="24"/>
  <c r="F85" i="24"/>
  <c r="AS84" i="24"/>
  <c r="AP84" i="24"/>
  <c r="AM84" i="24"/>
  <c r="AJ84" i="24"/>
  <c r="AG84" i="24"/>
  <c r="AD84" i="24"/>
  <c r="AA84" i="24"/>
  <c r="X84" i="24"/>
  <c r="U84" i="24"/>
  <c r="R84" i="24"/>
  <c r="O84" i="24"/>
  <c r="I84" i="24"/>
  <c r="F84" i="24"/>
  <c r="AS83" i="24"/>
  <c r="AP83" i="24"/>
  <c r="AM83" i="24"/>
  <c r="AJ83" i="24"/>
  <c r="AG83" i="24"/>
  <c r="AD83" i="24"/>
  <c r="AA83" i="24"/>
  <c r="X83" i="24"/>
  <c r="U83" i="24"/>
  <c r="R83" i="24"/>
  <c r="O83" i="24"/>
  <c r="I83" i="24"/>
  <c r="F83" i="24"/>
  <c r="AS82" i="24"/>
  <c r="AP82" i="24"/>
  <c r="AM82" i="24"/>
  <c r="AJ82" i="24"/>
  <c r="AG82" i="24"/>
  <c r="AD82" i="24"/>
  <c r="AA82" i="24"/>
  <c r="X82" i="24"/>
  <c r="U82" i="24"/>
  <c r="R82" i="24"/>
  <c r="O82" i="24"/>
  <c r="I82" i="24"/>
  <c r="F82" i="24"/>
  <c r="AS81" i="24"/>
  <c r="AP81" i="24"/>
  <c r="AM81" i="24"/>
  <c r="AJ81" i="24"/>
  <c r="AG81" i="24"/>
  <c r="AD81" i="24"/>
  <c r="AA81" i="24"/>
  <c r="X81" i="24"/>
  <c r="U81" i="24"/>
  <c r="R81" i="24"/>
  <c r="O81" i="24"/>
  <c r="I81" i="24"/>
  <c r="F81" i="24"/>
  <c r="AS80" i="24"/>
  <c r="AP80" i="24"/>
  <c r="AM80" i="24"/>
  <c r="AJ80" i="24"/>
  <c r="AG80" i="24"/>
  <c r="AD80" i="24"/>
  <c r="AA80" i="24"/>
  <c r="X80" i="24"/>
  <c r="U80" i="24"/>
  <c r="R80" i="24"/>
  <c r="O80" i="24"/>
  <c r="I80" i="24"/>
  <c r="F80" i="24"/>
  <c r="AS79" i="24"/>
  <c r="AP79" i="24"/>
  <c r="AM79" i="24"/>
  <c r="AJ79" i="24"/>
  <c r="AG79" i="24"/>
  <c r="AD79" i="24"/>
  <c r="AA79" i="24"/>
  <c r="X79" i="24"/>
  <c r="U79" i="24"/>
  <c r="R79" i="24"/>
  <c r="O79" i="24"/>
  <c r="I79" i="24"/>
  <c r="F79" i="24"/>
  <c r="AS78" i="24"/>
  <c r="AP78" i="24"/>
  <c r="AM78" i="24"/>
  <c r="AJ78" i="24"/>
  <c r="AG78" i="24"/>
  <c r="AD78" i="24"/>
  <c r="AA78" i="24"/>
  <c r="X78" i="24"/>
  <c r="U78" i="24"/>
  <c r="R78" i="24"/>
  <c r="O78" i="24"/>
  <c r="I78" i="24"/>
  <c r="F78" i="24"/>
  <c r="AS77" i="24"/>
  <c r="AP77" i="24"/>
  <c r="AM77" i="24"/>
  <c r="AJ77" i="24"/>
  <c r="AG77" i="24"/>
  <c r="AD77" i="24"/>
  <c r="AA77" i="24"/>
  <c r="X77" i="24"/>
  <c r="U77" i="24"/>
  <c r="R77" i="24"/>
  <c r="O77" i="24"/>
  <c r="I77" i="24"/>
  <c r="F77" i="24"/>
  <c r="AS76" i="24"/>
  <c r="AP76" i="24"/>
  <c r="AM76" i="24"/>
  <c r="AJ76" i="24"/>
  <c r="AG76" i="24"/>
  <c r="AD76" i="24"/>
  <c r="AA76" i="24"/>
  <c r="X76" i="24"/>
  <c r="U76" i="24"/>
  <c r="R76" i="24"/>
  <c r="O76" i="24"/>
  <c r="I76" i="24"/>
  <c r="F76" i="24"/>
  <c r="AS75" i="24"/>
  <c r="AP75" i="24"/>
  <c r="AM75" i="24"/>
  <c r="AJ75" i="24"/>
  <c r="AG75" i="24"/>
  <c r="AD75" i="24"/>
  <c r="AA75" i="24"/>
  <c r="X75" i="24"/>
  <c r="U75" i="24"/>
  <c r="R75" i="24"/>
  <c r="O75" i="24"/>
  <c r="I75" i="24"/>
  <c r="F75" i="24"/>
  <c r="AS74" i="24"/>
  <c r="AP74" i="24"/>
  <c r="AM74" i="24"/>
  <c r="AJ74" i="24"/>
  <c r="AG74" i="24"/>
  <c r="AD74" i="24"/>
  <c r="AA74" i="24"/>
  <c r="X74" i="24"/>
  <c r="U74" i="24"/>
  <c r="R74" i="24"/>
  <c r="O74" i="24"/>
  <c r="I74" i="24"/>
  <c r="F74" i="24"/>
  <c r="AS73" i="24"/>
  <c r="AP73" i="24"/>
  <c r="AM73" i="24"/>
  <c r="AJ73" i="24"/>
  <c r="AG73" i="24"/>
  <c r="AD73" i="24"/>
  <c r="AA73" i="24"/>
  <c r="X73" i="24"/>
  <c r="U73" i="24"/>
  <c r="R73" i="24"/>
  <c r="O73" i="24"/>
  <c r="I73" i="24"/>
  <c r="F73" i="24"/>
  <c r="AS72" i="24"/>
  <c r="AP72" i="24"/>
  <c r="AM72" i="24"/>
  <c r="AJ72" i="24"/>
  <c r="AG72" i="24"/>
  <c r="AD72" i="24"/>
  <c r="AA72" i="24"/>
  <c r="X72" i="24"/>
  <c r="U72" i="24"/>
  <c r="R72" i="24"/>
  <c r="O72" i="24"/>
  <c r="I72" i="24"/>
  <c r="F72" i="24"/>
  <c r="AS71" i="24"/>
  <c r="AP71" i="24"/>
  <c r="AM71" i="24"/>
  <c r="AJ71" i="24"/>
  <c r="AG71" i="24"/>
  <c r="AD71" i="24"/>
  <c r="AA71" i="24"/>
  <c r="X71" i="24"/>
  <c r="U71" i="24"/>
  <c r="R71" i="24"/>
  <c r="O71" i="24"/>
  <c r="I71" i="24"/>
  <c r="F71" i="24"/>
  <c r="AS70" i="24"/>
  <c r="AP70" i="24"/>
  <c r="AM70" i="24"/>
  <c r="AJ70" i="24"/>
  <c r="AG70" i="24"/>
  <c r="AD70" i="24"/>
  <c r="AA70" i="24"/>
  <c r="X70" i="24"/>
  <c r="U70" i="24"/>
  <c r="R70" i="24"/>
  <c r="O70" i="24"/>
  <c r="I70" i="24"/>
  <c r="F70" i="24"/>
  <c r="AS69" i="24"/>
  <c r="AP69" i="24"/>
  <c r="AM69" i="24"/>
  <c r="AJ69" i="24"/>
  <c r="AG69" i="24"/>
  <c r="AD69" i="24"/>
  <c r="AA69" i="24"/>
  <c r="X69" i="24"/>
  <c r="U69" i="24"/>
  <c r="R69" i="24"/>
  <c r="O69" i="24"/>
  <c r="I69" i="24"/>
  <c r="F69" i="24"/>
  <c r="AS68" i="24"/>
  <c r="AP68" i="24"/>
  <c r="AM68" i="24"/>
  <c r="AJ68" i="24"/>
  <c r="AG68" i="24"/>
  <c r="AD68" i="24"/>
  <c r="AA68" i="24"/>
  <c r="X68" i="24"/>
  <c r="U68" i="24"/>
  <c r="R68" i="24"/>
  <c r="O68" i="24"/>
  <c r="I68" i="24"/>
  <c r="F68" i="24"/>
  <c r="AS67" i="24"/>
  <c r="AP67" i="24"/>
  <c r="AM67" i="24"/>
  <c r="AJ67" i="24"/>
  <c r="AG67" i="24"/>
  <c r="AD67" i="24"/>
  <c r="AA67" i="24"/>
  <c r="X67" i="24"/>
  <c r="U67" i="24"/>
  <c r="R67" i="24"/>
  <c r="O67" i="24"/>
  <c r="I67" i="24"/>
  <c r="F67" i="24"/>
  <c r="AS66" i="24"/>
  <c r="AP66" i="24"/>
  <c r="AM66" i="24"/>
  <c r="AJ66" i="24"/>
  <c r="AG66" i="24"/>
  <c r="AD66" i="24"/>
  <c r="AA66" i="24"/>
  <c r="X66" i="24"/>
  <c r="U66" i="24"/>
  <c r="R66" i="24"/>
  <c r="O66" i="24"/>
  <c r="I66" i="24"/>
  <c r="F66" i="24"/>
  <c r="AS65" i="24"/>
  <c r="AP65" i="24"/>
  <c r="AM65" i="24"/>
  <c r="AJ65" i="24"/>
  <c r="AG65" i="24"/>
  <c r="AD65" i="24"/>
  <c r="AA65" i="24"/>
  <c r="X65" i="24"/>
  <c r="U65" i="24"/>
  <c r="R65" i="24"/>
  <c r="O65" i="24"/>
  <c r="I65" i="24"/>
  <c r="F65" i="24"/>
  <c r="AS64" i="24"/>
  <c r="AP64" i="24"/>
  <c r="AM64" i="24"/>
  <c r="AJ64" i="24"/>
  <c r="AG64" i="24"/>
  <c r="AD64" i="24"/>
  <c r="AA64" i="24"/>
  <c r="X64" i="24"/>
  <c r="U64" i="24"/>
  <c r="R64" i="24"/>
  <c r="O64" i="24"/>
  <c r="I64" i="24"/>
  <c r="F64" i="24"/>
  <c r="AS63" i="24"/>
  <c r="AP63" i="24"/>
  <c r="AM63" i="24"/>
  <c r="AJ63" i="24"/>
  <c r="AG63" i="24"/>
  <c r="AD63" i="24"/>
  <c r="AA63" i="24"/>
  <c r="X63" i="24"/>
  <c r="U63" i="24"/>
  <c r="R63" i="24"/>
  <c r="O63" i="24"/>
  <c r="I63" i="24"/>
  <c r="F63" i="24"/>
  <c r="AS62" i="24"/>
  <c r="AP62" i="24"/>
  <c r="AM62" i="24"/>
  <c r="AJ62" i="24"/>
  <c r="AG62" i="24"/>
  <c r="AD62" i="24"/>
  <c r="AA62" i="24"/>
  <c r="X62" i="24"/>
  <c r="U62" i="24"/>
  <c r="R62" i="24"/>
  <c r="O62" i="24"/>
  <c r="I62" i="24"/>
  <c r="F62" i="24"/>
  <c r="AS61" i="24"/>
  <c r="AP61" i="24"/>
  <c r="AM61" i="24"/>
  <c r="AJ61" i="24"/>
  <c r="AG61" i="24"/>
  <c r="AD61" i="24"/>
  <c r="AA61" i="24"/>
  <c r="X61" i="24"/>
  <c r="U61" i="24"/>
  <c r="R61" i="24"/>
  <c r="O61" i="24"/>
  <c r="I61" i="24"/>
  <c r="F61" i="24"/>
  <c r="AS60" i="24"/>
  <c r="AP60" i="24"/>
  <c r="AM60" i="24"/>
  <c r="AJ60" i="24"/>
  <c r="AG60" i="24"/>
  <c r="AD60" i="24"/>
  <c r="AA60" i="24"/>
  <c r="X60" i="24"/>
  <c r="U60" i="24"/>
  <c r="R60" i="24"/>
  <c r="O60" i="24"/>
  <c r="I60" i="24"/>
  <c r="F60" i="24"/>
  <c r="AS59" i="24"/>
  <c r="AP59" i="24"/>
  <c r="AM59" i="24"/>
  <c r="AJ59" i="24"/>
  <c r="AG59" i="24"/>
  <c r="AD59" i="24"/>
  <c r="AA59" i="24"/>
  <c r="X59" i="24"/>
  <c r="U59" i="24"/>
  <c r="R59" i="24"/>
  <c r="O59" i="24"/>
  <c r="I59" i="24"/>
  <c r="F59" i="24"/>
  <c r="AS58" i="24"/>
  <c r="AP58" i="24"/>
  <c r="AM58" i="24"/>
  <c r="AJ58" i="24"/>
  <c r="AG58" i="24"/>
  <c r="AD58" i="24"/>
  <c r="AA58" i="24"/>
  <c r="X58" i="24"/>
  <c r="U58" i="24"/>
  <c r="R58" i="24"/>
  <c r="O58" i="24"/>
  <c r="I58" i="24"/>
  <c r="F58" i="24"/>
  <c r="AS57" i="24"/>
  <c r="AP57" i="24"/>
  <c r="AM57" i="24"/>
  <c r="AJ57" i="24"/>
  <c r="AG57" i="24"/>
  <c r="AD57" i="24"/>
  <c r="AA57" i="24"/>
  <c r="X57" i="24"/>
  <c r="U57" i="24"/>
  <c r="R57" i="24"/>
  <c r="O57" i="24"/>
  <c r="I57" i="24"/>
  <c r="F57" i="24"/>
  <c r="AS56" i="24"/>
  <c r="AP56" i="24"/>
  <c r="AM56" i="24"/>
  <c r="AJ56" i="24"/>
  <c r="AG56" i="24"/>
  <c r="AD56" i="24"/>
  <c r="AA56" i="24"/>
  <c r="X56" i="24"/>
  <c r="U56" i="24"/>
  <c r="R56" i="24"/>
  <c r="O56" i="24"/>
  <c r="I56" i="24"/>
  <c r="F56" i="24"/>
  <c r="AS55" i="24"/>
  <c r="AP55" i="24"/>
  <c r="AM55" i="24"/>
  <c r="AJ55" i="24"/>
  <c r="AG55" i="24"/>
  <c r="AD55" i="24"/>
  <c r="AA55" i="24"/>
  <c r="X55" i="24"/>
  <c r="U55" i="24"/>
  <c r="R55" i="24"/>
  <c r="O55" i="24"/>
  <c r="I55" i="24"/>
  <c r="F55" i="24"/>
  <c r="AS54" i="24"/>
  <c r="AP54" i="24"/>
  <c r="AM54" i="24"/>
  <c r="AJ54" i="24"/>
  <c r="AG54" i="24"/>
  <c r="AD54" i="24"/>
  <c r="AA54" i="24"/>
  <c r="X54" i="24"/>
  <c r="U54" i="24"/>
  <c r="R54" i="24"/>
  <c r="O54" i="24"/>
  <c r="I54" i="24"/>
  <c r="F54" i="24"/>
  <c r="AS53" i="24"/>
  <c r="AP53" i="24"/>
  <c r="AM53" i="24"/>
  <c r="AJ53" i="24"/>
  <c r="AG53" i="24"/>
  <c r="AD53" i="24"/>
  <c r="AA53" i="24"/>
  <c r="X53" i="24"/>
  <c r="U53" i="24"/>
  <c r="R53" i="24"/>
  <c r="O53" i="24"/>
  <c r="I53" i="24"/>
  <c r="F53" i="24"/>
  <c r="AS52" i="24"/>
  <c r="AP52" i="24"/>
  <c r="AM52" i="24"/>
  <c r="AJ52" i="24"/>
  <c r="AG52" i="24"/>
  <c r="AD52" i="24"/>
  <c r="AA52" i="24"/>
  <c r="X52" i="24"/>
  <c r="U52" i="24"/>
  <c r="R52" i="24"/>
  <c r="O52" i="24"/>
  <c r="I52" i="24"/>
  <c r="F52" i="24"/>
  <c r="AS51" i="24"/>
  <c r="AP51" i="24"/>
  <c r="AM51" i="24"/>
  <c r="AJ51" i="24"/>
  <c r="AG51" i="24"/>
  <c r="AD51" i="24"/>
  <c r="AA51" i="24"/>
  <c r="X51" i="24"/>
  <c r="U51" i="24"/>
  <c r="R51" i="24"/>
  <c r="O51" i="24"/>
  <c r="I51" i="24"/>
  <c r="F51" i="24"/>
  <c r="AS50" i="24"/>
  <c r="AP50" i="24"/>
  <c r="AM50" i="24"/>
  <c r="AJ50" i="24"/>
  <c r="AG50" i="24"/>
  <c r="AD50" i="24"/>
  <c r="AA50" i="24"/>
  <c r="X50" i="24"/>
  <c r="U50" i="24"/>
  <c r="R50" i="24"/>
  <c r="O50" i="24"/>
  <c r="I50" i="24"/>
  <c r="F50" i="24"/>
  <c r="AS49" i="24"/>
  <c r="AP49" i="24"/>
  <c r="AM49" i="24"/>
  <c r="AJ49" i="24"/>
  <c r="AG49" i="24"/>
  <c r="AD49" i="24"/>
  <c r="AA49" i="24"/>
  <c r="X49" i="24"/>
  <c r="U49" i="24"/>
  <c r="R49" i="24"/>
  <c r="O49" i="24"/>
  <c r="I49" i="24"/>
  <c r="F49" i="24"/>
  <c r="AS48" i="24"/>
  <c r="AP48" i="24"/>
  <c r="AM48" i="24"/>
  <c r="AJ48" i="24"/>
  <c r="AG48" i="24"/>
  <c r="AD48" i="24"/>
  <c r="AA48" i="24"/>
  <c r="X48" i="24"/>
  <c r="U48" i="24"/>
  <c r="R48" i="24"/>
  <c r="O48" i="24"/>
  <c r="I48" i="24"/>
  <c r="F48" i="24"/>
  <c r="AS47" i="24"/>
  <c r="AP47" i="24"/>
  <c r="AM47" i="24"/>
  <c r="AJ47" i="24"/>
  <c r="AG47" i="24"/>
  <c r="AD47" i="24"/>
  <c r="AA47" i="24"/>
  <c r="X47" i="24"/>
  <c r="U47" i="24"/>
  <c r="R47" i="24"/>
  <c r="O47" i="24"/>
  <c r="I47" i="24"/>
  <c r="F47" i="24"/>
  <c r="AS46" i="24"/>
  <c r="AP46" i="24"/>
  <c r="AM46" i="24"/>
  <c r="AJ46" i="24"/>
  <c r="AG46" i="24"/>
  <c r="AD46" i="24"/>
  <c r="AA46" i="24"/>
  <c r="X46" i="24"/>
  <c r="U46" i="24"/>
  <c r="R46" i="24"/>
  <c r="O46" i="24"/>
  <c r="I46" i="24"/>
  <c r="F46" i="24"/>
  <c r="AS45" i="24"/>
  <c r="AP45" i="24"/>
  <c r="AM45" i="24"/>
  <c r="AJ45" i="24"/>
  <c r="AG45" i="24"/>
  <c r="AD45" i="24"/>
  <c r="AA45" i="24"/>
  <c r="X45" i="24"/>
  <c r="U45" i="24"/>
  <c r="R45" i="24"/>
  <c r="O45" i="24"/>
  <c r="I45" i="24"/>
  <c r="F45" i="24"/>
  <c r="AS44" i="24"/>
  <c r="AP44" i="24"/>
  <c r="AM44" i="24"/>
  <c r="AJ44" i="24"/>
  <c r="AG44" i="24"/>
  <c r="AD44" i="24"/>
  <c r="AA44" i="24"/>
  <c r="X44" i="24"/>
  <c r="U44" i="24"/>
  <c r="R44" i="24"/>
  <c r="O44" i="24"/>
  <c r="I44" i="24"/>
  <c r="F44" i="24"/>
  <c r="AS43" i="24"/>
  <c r="AP43" i="24"/>
  <c r="AM43" i="24"/>
  <c r="AJ43" i="24"/>
  <c r="AG43" i="24"/>
  <c r="AD43" i="24"/>
  <c r="AA43" i="24"/>
  <c r="X43" i="24"/>
  <c r="U43" i="24"/>
  <c r="R43" i="24"/>
  <c r="O43" i="24"/>
  <c r="I43" i="24"/>
  <c r="F43" i="24"/>
  <c r="AS42" i="24"/>
  <c r="AP42" i="24"/>
  <c r="AM42" i="24"/>
  <c r="AJ42" i="24"/>
  <c r="AG42" i="24"/>
  <c r="AD42" i="24"/>
  <c r="AA42" i="24"/>
  <c r="X42" i="24"/>
  <c r="U42" i="24"/>
  <c r="R42" i="24"/>
  <c r="O42" i="24"/>
  <c r="I42" i="24"/>
  <c r="F42" i="24"/>
  <c r="AS41" i="24"/>
  <c r="AP41" i="24"/>
  <c r="AM41" i="24"/>
  <c r="AJ41" i="24"/>
  <c r="AG41" i="24"/>
  <c r="AD41" i="24"/>
  <c r="AA41" i="24"/>
  <c r="X41" i="24"/>
  <c r="U41" i="24"/>
  <c r="R41" i="24"/>
  <c r="O41" i="24"/>
  <c r="I41" i="24"/>
  <c r="F41" i="24"/>
  <c r="AS40" i="24"/>
  <c r="AP40" i="24"/>
  <c r="AM40" i="24"/>
  <c r="AJ40" i="24"/>
  <c r="AG40" i="24"/>
  <c r="AD40" i="24"/>
  <c r="AA40" i="24"/>
  <c r="X40" i="24"/>
  <c r="U40" i="24"/>
  <c r="R40" i="24"/>
  <c r="O40" i="24"/>
  <c r="I40" i="24"/>
  <c r="F40" i="24"/>
  <c r="AS39" i="24"/>
  <c r="AP39" i="24"/>
  <c r="AM39" i="24"/>
  <c r="AJ39" i="24"/>
  <c r="AG39" i="24"/>
  <c r="AD39" i="24"/>
  <c r="AA39" i="24"/>
  <c r="X39" i="24"/>
  <c r="U39" i="24"/>
  <c r="R39" i="24"/>
  <c r="O39" i="24"/>
  <c r="I39" i="24"/>
  <c r="F39" i="24"/>
  <c r="AS38" i="24"/>
  <c r="AP38" i="24"/>
  <c r="AM38" i="24"/>
  <c r="AJ38" i="24"/>
  <c r="AG38" i="24"/>
  <c r="AD38" i="24"/>
  <c r="AA38" i="24"/>
  <c r="X38" i="24"/>
  <c r="U38" i="24"/>
  <c r="R38" i="24"/>
  <c r="O38" i="24"/>
  <c r="I38" i="24"/>
  <c r="F38" i="24"/>
  <c r="AS37" i="24"/>
  <c r="AP37" i="24"/>
  <c r="AM37" i="24"/>
  <c r="AJ37" i="24"/>
  <c r="AG37" i="24"/>
  <c r="AD37" i="24"/>
  <c r="AA37" i="24"/>
  <c r="X37" i="24"/>
  <c r="U37" i="24"/>
  <c r="R37" i="24"/>
  <c r="O37" i="24"/>
  <c r="I37" i="24"/>
  <c r="F37" i="24"/>
  <c r="AS36" i="24"/>
  <c r="AP36" i="24"/>
  <c r="AM36" i="24"/>
  <c r="AJ36" i="24"/>
  <c r="AG36" i="24"/>
  <c r="AD36" i="24"/>
  <c r="AA36" i="24"/>
  <c r="X36" i="24"/>
  <c r="U36" i="24"/>
  <c r="R36" i="24"/>
  <c r="O36" i="24"/>
  <c r="I36" i="24"/>
  <c r="F36" i="24"/>
  <c r="AS35" i="24"/>
  <c r="AP35" i="24"/>
  <c r="AM35" i="24"/>
  <c r="AJ35" i="24"/>
  <c r="AG35" i="24"/>
  <c r="AD35" i="24"/>
  <c r="AA35" i="24"/>
  <c r="X35" i="24"/>
  <c r="U35" i="24"/>
  <c r="R35" i="24"/>
  <c r="O35" i="24"/>
  <c r="I35" i="24"/>
  <c r="F35" i="24"/>
  <c r="AS34" i="24"/>
  <c r="AP34" i="24"/>
  <c r="AM34" i="24"/>
  <c r="AJ34" i="24"/>
  <c r="AG34" i="24"/>
  <c r="AD34" i="24"/>
  <c r="AA34" i="24"/>
  <c r="X34" i="24"/>
  <c r="U34" i="24"/>
  <c r="R34" i="24"/>
  <c r="O34" i="24"/>
  <c r="I34" i="24"/>
  <c r="F34" i="24"/>
  <c r="AS33" i="24"/>
  <c r="AP33" i="24"/>
  <c r="AM33" i="24"/>
  <c r="AJ33" i="24"/>
  <c r="AG33" i="24"/>
  <c r="AD33" i="24"/>
  <c r="AA33" i="24"/>
  <c r="X33" i="24"/>
  <c r="U33" i="24"/>
  <c r="R33" i="24"/>
  <c r="O33" i="24"/>
  <c r="I33" i="24"/>
  <c r="F33" i="24"/>
  <c r="AS32" i="24"/>
  <c r="AP32" i="24"/>
  <c r="AM32" i="24"/>
  <c r="AJ32" i="24"/>
  <c r="AG32" i="24"/>
  <c r="AD32" i="24"/>
  <c r="AA32" i="24"/>
  <c r="X32" i="24"/>
  <c r="U32" i="24"/>
  <c r="R32" i="24"/>
  <c r="O32" i="24"/>
  <c r="I32" i="24"/>
  <c r="F32" i="24"/>
  <c r="AS31" i="24"/>
  <c r="AP31" i="24"/>
  <c r="AM31" i="24"/>
  <c r="AJ31" i="24"/>
  <c r="AG31" i="24"/>
  <c r="AD31" i="24"/>
  <c r="AA31" i="24"/>
  <c r="X31" i="24"/>
  <c r="U31" i="24"/>
  <c r="R31" i="24"/>
  <c r="O31" i="24"/>
  <c r="I31" i="24"/>
  <c r="F31" i="24"/>
  <c r="AS30" i="24"/>
  <c r="AP30" i="24"/>
  <c r="AM30" i="24"/>
  <c r="AJ30" i="24"/>
  <c r="AG30" i="24"/>
  <c r="AD30" i="24"/>
  <c r="AA30" i="24"/>
  <c r="X30" i="24"/>
  <c r="U30" i="24"/>
  <c r="R30" i="24"/>
  <c r="O30" i="24"/>
  <c r="I30" i="24"/>
  <c r="F30" i="24"/>
  <c r="AS29" i="24"/>
  <c r="AP29" i="24"/>
  <c r="AM29" i="24"/>
  <c r="AJ29" i="24"/>
  <c r="AG29" i="24"/>
  <c r="AD29" i="24"/>
  <c r="AA29" i="24"/>
  <c r="X29" i="24"/>
  <c r="U29" i="24"/>
  <c r="R29" i="24"/>
  <c r="O29" i="24"/>
  <c r="I29" i="24"/>
  <c r="F29" i="24"/>
  <c r="AS28" i="24"/>
  <c r="AP28" i="24"/>
  <c r="AM28" i="24"/>
  <c r="AJ28" i="24"/>
  <c r="AG28" i="24"/>
  <c r="AD28" i="24"/>
  <c r="AA28" i="24"/>
  <c r="X28" i="24"/>
  <c r="U28" i="24"/>
  <c r="R28" i="24"/>
  <c r="O28" i="24"/>
  <c r="I28" i="24"/>
  <c r="F28" i="24"/>
  <c r="AS27" i="24"/>
  <c r="AP27" i="24"/>
  <c r="AM27" i="24"/>
  <c r="AJ27" i="24"/>
  <c r="AG27" i="24"/>
  <c r="AD27" i="24"/>
  <c r="AA27" i="24"/>
  <c r="X27" i="24"/>
  <c r="U27" i="24"/>
  <c r="R27" i="24"/>
  <c r="O27" i="24"/>
  <c r="I27" i="24"/>
  <c r="F27" i="24"/>
  <c r="AS26" i="24"/>
  <c r="AP26" i="24"/>
  <c r="AM26" i="24"/>
  <c r="AJ26" i="24"/>
  <c r="AG26" i="24"/>
  <c r="AD26" i="24"/>
  <c r="AA26" i="24"/>
  <c r="X26" i="24"/>
  <c r="U26" i="24"/>
  <c r="R26" i="24"/>
  <c r="O26" i="24"/>
  <c r="I26" i="24"/>
  <c r="F26" i="24"/>
  <c r="AS25" i="24"/>
  <c r="AP25" i="24"/>
  <c r="AM25" i="24"/>
  <c r="AJ25" i="24"/>
  <c r="AG25" i="24"/>
  <c r="AD25" i="24"/>
  <c r="AA25" i="24"/>
  <c r="X25" i="24"/>
  <c r="U25" i="24"/>
  <c r="R25" i="24"/>
  <c r="O25" i="24"/>
  <c r="I25" i="24"/>
  <c r="F25" i="24"/>
  <c r="AS24" i="24"/>
  <c r="AP24" i="24"/>
  <c r="AM24" i="24"/>
  <c r="AJ24" i="24"/>
  <c r="AG24" i="24"/>
  <c r="AD24" i="24"/>
  <c r="AA24" i="24"/>
  <c r="X24" i="24"/>
  <c r="U24" i="24"/>
  <c r="R24" i="24"/>
  <c r="O24" i="24"/>
  <c r="I24" i="24"/>
  <c r="F24" i="24"/>
  <c r="AS23" i="24"/>
  <c r="AP23" i="24"/>
  <c r="AM23" i="24"/>
  <c r="AJ23" i="24"/>
  <c r="AG23" i="24"/>
  <c r="AD23" i="24"/>
  <c r="AA23" i="24"/>
  <c r="X23" i="24"/>
  <c r="U23" i="24"/>
  <c r="R23" i="24"/>
  <c r="O23" i="24"/>
  <c r="I23" i="24"/>
  <c r="F23" i="24"/>
  <c r="AS22" i="24"/>
  <c r="AP22" i="24"/>
  <c r="AM22" i="24"/>
  <c r="AJ22" i="24"/>
  <c r="AG22" i="24"/>
  <c r="AD22" i="24"/>
  <c r="AA22" i="24"/>
  <c r="X22" i="24"/>
  <c r="U22" i="24"/>
  <c r="R22" i="24"/>
  <c r="O22" i="24"/>
  <c r="I22" i="24"/>
  <c r="F22" i="24"/>
  <c r="AS21" i="24"/>
  <c r="AP21" i="24"/>
  <c r="AM21" i="24"/>
  <c r="AJ21" i="24"/>
  <c r="AG21" i="24"/>
  <c r="AD21" i="24"/>
  <c r="AA21" i="24"/>
  <c r="X21" i="24"/>
  <c r="U21" i="24"/>
  <c r="R21" i="24"/>
  <c r="O21" i="24"/>
  <c r="I21" i="24"/>
  <c r="F21" i="24"/>
  <c r="AS20" i="24"/>
  <c r="AP20" i="24"/>
  <c r="AM20" i="24"/>
  <c r="AJ20" i="24"/>
  <c r="AG20" i="24"/>
  <c r="AD20" i="24"/>
  <c r="AA20" i="24"/>
  <c r="X20" i="24"/>
  <c r="U20" i="24"/>
  <c r="R20" i="24"/>
  <c r="O20" i="24"/>
  <c r="I20" i="24"/>
  <c r="F20" i="24"/>
  <c r="AS19" i="24"/>
  <c r="AP19" i="24"/>
  <c r="AM19" i="24"/>
  <c r="AJ19" i="24"/>
  <c r="AG19" i="24"/>
  <c r="AD19" i="24"/>
  <c r="AA19" i="24"/>
  <c r="X19" i="24"/>
  <c r="U19" i="24"/>
  <c r="R19" i="24"/>
  <c r="O19" i="24"/>
  <c r="I19" i="24"/>
  <c r="F19" i="24"/>
  <c r="AS18" i="24"/>
  <c r="AP18" i="24"/>
  <c r="AM18" i="24"/>
  <c r="AJ18" i="24"/>
  <c r="AG18" i="24"/>
  <c r="AD18" i="24"/>
  <c r="AA18" i="24"/>
  <c r="X18" i="24"/>
  <c r="U18" i="24"/>
  <c r="R18" i="24"/>
  <c r="O18" i="24"/>
  <c r="I18" i="24"/>
  <c r="F18" i="24"/>
  <c r="AS17" i="24"/>
  <c r="AP17" i="24"/>
  <c r="AM17" i="24"/>
  <c r="AJ17" i="24"/>
  <c r="AG17" i="24"/>
  <c r="AD17" i="24"/>
  <c r="AA17" i="24"/>
  <c r="X17" i="24"/>
  <c r="U17" i="24"/>
  <c r="R17" i="24"/>
  <c r="O17" i="24"/>
  <c r="I17" i="24"/>
  <c r="F17" i="24"/>
  <c r="AS16" i="24"/>
  <c r="AP16" i="24"/>
  <c r="AM16" i="24"/>
  <c r="AJ16" i="24"/>
  <c r="AG16" i="24"/>
  <c r="AD16" i="24"/>
  <c r="AA16" i="24"/>
  <c r="X16" i="24"/>
  <c r="U16" i="24"/>
  <c r="R16" i="24"/>
  <c r="O16" i="24"/>
  <c r="I16" i="24"/>
  <c r="F16" i="24"/>
  <c r="AS15" i="24"/>
  <c r="AP15" i="24"/>
  <c r="AM15" i="24"/>
  <c r="AJ15" i="24"/>
  <c r="AG15" i="24"/>
  <c r="AD15" i="24"/>
  <c r="AA15" i="24"/>
  <c r="X15" i="24"/>
  <c r="U15" i="24"/>
  <c r="R15" i="24"/>
  <c r="O15" i="24"/>
  <c r="I15" i="24"/>
  <c r="F15" i="24"/>
  <c r="AS14" i="24"/>
  <c r="AP14" i="24"/>
  <c r="AM14" i="24"/>
  <c r="AJ14" i="24"/>
  <c r="AG14" i="24"/>
  <c r="AD14" i="24"/>
  <c r="AA14" i="24"/>
  <c r="X14" i="24"/>
  <c r="U14" i="24"/>
  <c r="R14" i="24"/>
  <c r="O14" i="24"/>
  <c r="I14" i="24"/>
  <c r="F14" i="24"/>
  <c r="AS13" i="24"/>
  <c r="AP13" i="24"/>
  <c r="AM13" i="24"/>
  <c r="AJ13" i="24"/>
  <c r="AG13" i="24"/>
  <c r="AD13" i="24"/>
  <c r="AA13" i="24"/>
  <c r="X13" i="24"/>
  <c r="U13" i="24"/>
  <c r="R13" i="24"/>
  <c r="O13" i="24"/>
  <c r="I13" i="24"/>
  <c r="F13" i="24"/>
  <c r="AS12" i="24"/>
  <c r="AP12" i="24"/>
  <c r="AM12" i="24"/>
  <c r="AJ12" i="24"/>
  <c r="AG12" i="24"/>
  <c r="AD12" i="24"/>
  <c r="AA12" i="24"/>
  <c r="X12" i="24"/>
  <c r="U12" i="24"/>
  <c r="R12" i="24"/>
  <c r="O12" i="24"/>
  <c r="I12" i="24"/>
  <c r="F12" i="24"/>
  <c r="AS11" i="24"/>
  <c r="AP11" i="24"/>
  <c r="AM11" i="24"/>
  <c r="AJ11" i="24"/>
  <c r="AG11" i="24"/>
  <c r="AD11" i="24"/>
  <c r="AA11" i="24"/>
  <c r="X11" i="24"/>
  <c r="U11" i="24"/>
  <c r="R11" i="24"/>
  <c r="O11" i="24"/>
  <c r="I11" i="24"/>
  <c r="F11" i="24"/>
  <c r="AS10" i="24"/>
  <c r="AP10" i="24"/>
  <c r="AM10" i="24"/>
  <c r="AJ10" i="24"/>
  <c r="AG10" i="24"/>
  <c r="AD10" i="24"/>
  <c r="AA10" i="24"/>
  <c r="X10" i="24"/>
  <c r="U10" i="24"/>
  <c r="R10" i="24"/>
  <c r="O10" i="24"/>
  <c r="I10" i="24"/>
  <c r="F10" i="24"/>
  <c r="AS9" i="24"/>
  <c r="AP9" i="24"/>
  <c r="AM9" i="24"/>
  <c r="AJ9" i="24"/>
  <c r="AG9" i="24"/>
  <c r="AD9" i="24"/>
  <c r="AA9" i="24"/>
  <c r="X9" i="24"/>
  <c r="U9" i="24"/>
  <c r="R9" i="24"/>
  <c r="O9" i="24"/>
  <c r="I9" i="24"/>
  <c r="F9" i="24"/>
  <c r="AS8" i="24"/>
  <c r="AP8" i="24"/>
  <c r="AM8" i="24"/>
  <c r="AJ8" i="24"/>
  <c r="AG8" i="24"/>
  <c r="AD8" i="24"/>
  <c r="AA8" i="24"/>
  <c r="X8" i="24"/>
  <c r="U8" i="24"/>
  <c r="R8" i="24"/>
  <c r="O8" i="24"/>
  <c r="I8" i="24"/>
  <c r="F8" i="24"/>
  <c r="AS7" i="24"/>
  <c r="AP7" i="24"/>
  <c r="AM7" i="24"/>
  <c r="AJ7" i="24"/>
  <c r="AG7" i="24"/>
  <c r="AD7" i="24"/>
  <c r="AA7" i="24"/>
  <c r="X7" i="24"/>
  <c r="U7" i="24"/>
  <c r="R7" i="24"/>
  <c r="O7" i="24"/>
  <c r="I7" i="24"/>
  <c r="F7" i="24"/>
  <c r="AS6" i="24"/>
  <c r="AP6" i="24"/>
  <c r="AM6" i="24"/>
  <c r="AJ6" i="24"/>
  <c r="AG6" i="24"/>
  <c r="AD6" i="24"/>
  <c r="AA6" i="24"/>
  <c r="X6" i="24"/>
  <c r="U6" i="24"/>
  <c r="R6" i="24"/>
  <c r="O6" i="24"/>
  <c r="I6" i="24"/>
  <c r="F6" i="24"/>
  <c r="AS5" i="24"/>
  <c r="AP5" i="24"/>
  <c r="AM5" i="24"/>
  <c r="AJ5" i="24"/>
  <c r="AG5" i="24"/>
  <c r="AD5" i="24"/>
  <c r="AA5" i="24"/>
  <c r="X5" i="24"/>
  <c r="U5" i="24"/>
  <c r="R5" i="24"/>
  <c r="O5" i="24"/>
  <c r="I5" i="24"/>
  <c r="F5" i="24"/>
  <c r="AS4" i="24"/>
  <c r="F50" i="1" s="1"/>
  <c r="AP4" i="24"/>
  <c r="F49" i="1" s="1"/>
  <c r="F4" i="24"/>
  <c r="K4" i="96" l="1"/>
  <c r="J4" i="96"/>
  <c r="I4" i="96"/>
  <c r="H4" i="96"/>
  <c r="G4" i="96"/>
  <c r="D4" i="96"/>
  <c r="R99" i="92"/>
  <c r="Q99" i="92"/>
  <c r="R98" i="92"/>
  <c r="Q98" i="92"/>
  <c r="R97" i="92"/>
  <c r="Q97" i="92"/>
  <c r="R124" i="92"/>
  <c r="Q124" i="92"/>
  <c r="R123" i="92"/>
  <c r="Q123" i="92"/>
  <c r="R96" i="92"/>
  <c r="Q96" i="92"/>
  <c r="R95" i="92"/>
  <c r="Q95" i="92"/>
  <c r="R94" i="92"/>
  <c r="Q94" i="92"/>
  <c r="R122" i="92"/>
  <c r="Q122" i="92"/>
  <c r="R93" i="92"/>
  <c r="Q93" i="92"/>
  <c r="R92" i="92"/>
  <c r="Q92" i="92"/>
  <c r="R91" i="92"/>
  <c r="Q91" i="92"/>
  <c r="R121" i="92"/>
  <c r="Q121" i="92"/>
  <c r="R90" i="92"/>
  <c r="Q90" i="92"/>
  <c r="R89" i="92"/>
  <c r="Q89" i="92"/>
  <c r="R88" i="92"/>
  <c r="Q88" i="92"/>
  <c r="R87" i="92"/>
  <c r="Q87" i="92"/>
  <c r="R86" i="92"/>
  <c r="Q86" i="92"/>
  <c r="R85" i="92"/>
  <c r="Q85" i="92"/>
  <c r="R84" i="92"/>
  <c r="Q84" i="92"/>
  <c r="R83" i="92"/>
  <c r="Q83" i="92"/>
  <c r="R82" i="92"/>
  <c r="Q82" i="92"/>
  <c r="R81" i="92"/>
  <c r="Q81" i="92"/>
  <c r="R120" i="92"/>
  <c r="Q120" i="92"/>
  <c r="R80" i="92"/>
  <c r="Q80" i="92"/>
  <c r="R119" i="92"/>
  <c r="Q119" i="92"/>
  <c r="R79" i="92"/>
  <c r="Q79" i="92"/>
  <c r="R118" i="92"/>
  <c r="Q118" i="92"/>
  <c r="R78" i="92"/>
  <c r="Q78" i="92"/>
  <c r="R77" i="92"/>
  <c r="Q77" i="92"/>
  <c r="R76" i="92"/>
  <c r="Q76" i="92"/>
  <c r="R75" i="92"/>
  <c r="Q75" i="92"/>
  <c r="R74" i="92"/>
  <c r="Q74" i="92"/>
  <c r="R117" i="92"/>
  <c r="Q117" i="92"/>
  <c r="R73" i="92"/>
  <c r="Q73" i="92"/>
  <c r="R116" i="92"/>
  <c r="Q116" i="92"/>
  <c r="R72" i="92"/>
  <c r="Q72" i="92"/>
  <c r="R71" i="92"/>
  <c r="Q71" i="92"/>
  <c r="R70" i="92"/>
  <c r="Q70" i="92"/>
  <c r="R69" i="92"/>
  <c r="Q69" i="92"/>
  <c r="R115" i="92"/>
  <c r="Q115" i="92"/>
  <c r="R68" i="92"/>
  <c r="Q68" i="92"/>
  <c r="R67" i="92"/>
  <c r="Q67" i="92"/>
  <c r="R114" i="92"/>
  <c r="Q114" i="92"/>
  <c r="R113" i="92"/>
  <c r="Q113" i="92"/>
  <c r="R66" i="92"/>
  <c r="Q66" i="92"/>
  <c r="R65" i="92"/>
  <c r="Q65" i="92"/>
  <c r="R64" i="92"/>
  <c r="Q64" i="92"/>
  <c r="R63" i="92"/>
  <c r="Q63" i="92"/>
  <c r="R62" i="92"/>
  <c r="Q62" i="92"/>
  <c r="R61" i="92"/>
  <c r="Q61" i="92"/>
  <c r="R112" i="92"/>
  <c r="Q112" i="92"/>
  <c r="R111" i="92"/>
  <c r="Q111" i="92"/>
  <c r="R60" i="92"/>
  <c r="Q60" i="92"/>
  <c r="R110" i="92"/>
  <c r="Q110" i="92"/>
  <c r="R59" i="92"/>
  <c r="Q59" i="92"/>
  <c r="R58" i="92"/>
  <c r="Q58" i="92"/>
  <c r="R57" i="92"/>
  <c r="Q57" i="92"/>
  <c r="R56" i="92"/>
  <c r="Q56" i="92"/>
  <c r="R55" i="92"/>
  <c r="Q55" i="92"/>
  <c r="R54" i="92"/>
  <c r="Q54" i="92"/>
  <c r="R53" i="92"/>
  <c r="Q53" i="92"/>
  <c r="R52" i="92"/>
  <c r="Q52" i="92"/>
  <c r="R51" i="92"/>
  <c r="Q51" i="92"/>
  <c r="R50" i="92"/>
  <c r="Q50" i="92"/>
  <c r="R109" i="92"/>
  <c r="Q109" i="92"/>
  <c r="R49" i="92"/>
  <c r="Q49" i="92"/>
  <c r="R48" i="92"/>
  <c r="Q48" i="92"/>
  <c r="R47" i="92"/>
  <c r="Q47" i="92"/>
  <c r="R46" i="92"/>
  <c r="Q46" i="92"/>
  <c r="R108" i="92"/>
  <c r="Q108" i="92"/>
  <c r="R45" i="92"/>
  <c r="Q45" i="92"/>
  <c r="R44" i="92"/>
  <c r="Q44" i="92"/>
  <c r="R43" i="92"/>
  <c r="Q43" i="92"/>
  <c r="R42" i="92"/>
  <c r="Q42" i="92"/>
  <c r="R41" i="92"/>
  <c r="Q41" i="92"/>
  <c r="R40" i="92"/>
  <c r="Q40" i="92"/>
  <c r="R39" i="92"/>
  <c r="Q39" i="92"/>
  <c r="R107" i="92"/>
  <c r="Q107" i="92"/>
  <c r="R106" i="92"/>
  <c r="Q106" i="92"/>
  <c r="R38" i="92"/>
  <c r="Q38" i="92"/>
  <c r="R37" i="92"/>
  <c r="Q37" i="92"/>
  <c r="R105" i="92"/>
  <c r="Q105" i="92"/>
  <c r="R36" i="92"/>
  <c r="Q36" i="92"/>
  <c r="R35" i="92"/>
  <c r="Q35" i="92"/>
  <c r="R34" i="92"/>
  <c r="Q34" i="92"/>
  <c r="R33" i="92"/>
  <c r="Q33" i="92"/>
  <c r="R32" i="92"/>
  <c r="Q32" i="92"/>
  <c r="R31" i="92"/>
  <c r="Q31" i="92"/>
  <c r="R30" i="92"/>
  <c r="Q30" i="92"/>
  <c r="R104" i="92"/>
  <c r="Q104" i="92"/>
  <c r="R29" i="92"/>
  <c r="Q29" i="92"/>
  <c r="R28" i="92"/>
  <c r="Q28" i="92"/>
  <c r="R27" i="92"/>
  <c r="Q27" i="92"/>
  <c r="R26" i="92"/>
  <c r="Q26" i="92"/>
  <c r="R25" i="92"/>
  <c r="Q25" i="92"/>
  <c r="R103" i="92"/>
  <c r="Q103" i="92"/>
  <c r="R102" i="92"/>
  <c r="Q102" i="92"/>
  <c r="R24" i="92"/>
  <c r="Q24" i="92"/>
  <c r="R23" i="92"/>
  <c r="Q23" i="92"/>
  <c r="R22" i="92"/>
  <c r="Q22" i="92"/>
  <c r="R21" i="92"/>
  <c r="Q21" i="92"/>
  <c r="R20" i="92"/>
  <c r="Q20" i="92"/>
  <c r="R19" i="92"/>
  <c r="Q19" i="92"/>
  <c r="R18" i="92"/>
  <c r="Q18" i="92"/>
  <c r="R17" i="92"/>
  <c r="Q17" i="92"/>
  <c r="R101" i="92"/>
  <c r="Q101" i="92"/>
  <c r="R16" i="92"/>
  <c r="Q16" i="92"/>
  <c r="R15" i="92"/>
  <c r="Q15" i="92"/>
  <c r="R14" i="92"/>
  <c r="Q14" i="92"/>
  <c r="R13" i="92"/>
  <c r="Q13" i="92"/>
  <c r="R12" i="92"/>
  <c r="Q12" i="92"/>
  <c r="R11" i="92"/>
  <c r="Q11" i="92"/>
  <c r="R10" i="92"/>
  <c r="Q10" i="92"/>
  <c r="R9" i="92"/>
  <c r="Q9" i="92"/>
  <c r="R8" i="92"/>
  <c r="Q8" i="92"/>
  <c r="R7" i="92"/>
  <c r="Q7" i="92"/>
  <c r="R100" i="92"/>
  <c r="Q100" i="92"/>
  <c r="R6" i="92"/>
  <c r="Q6" i="92"/>
  <c r="R5" i="92"/>
  <c r="Q5" i="92"/>
  <c r="J4" i="92"/>
  <c r="I4" i="92"/>
  <c r="O4" i="92"/>
  <c r="K5" i="6"/>
  <c r="J5" i="6"/>
  <c r="L5" i="6"/>
  <c r="I5" i="6"/>
  <c r="G5" i="6"/>
  <c r="N4" i="92"/>
  <c r="M4" i="92"/>
  <c r="L4" i="92"/>
  <c r="K4" i="92"/>
  <c r="D4" i="92"/>
  <c r="S100" i="6"/>
  <c r="S99" i="6"/>
  <c r="S98" i="6"/>
  <c r="S125" i="6"/>
  <c r="S124" i="6"/>
  <c r="S97" i="6"/>
  <c r="S96" i="6"/>
  <c r="S95" i="6"/>
  <c r="S123" i="6"/>
  <c r="S94" i="6"/>
  <c r="S93" i="6"/>
  <c r="S92" i="6"/>
  <c r="S122" i="6"/>
  <c r="S91" i="6"/>
  <c r="S90" i="6"/>
  <c r="S89" i="6"/>
  <c r="S88" i="6"/>
  <c r="S87" i="6"/>
  <c r="S86" i="6"/>
  <c r="S85" i="6"/>
  <c r="S84" i="6"/>
  <c r="S83" i="6"/>
  <c r="S82" i="6"/>
  <c r="S121" i="6"/>
  <c r="S81" i="6"/>
  <c r="S120" i="6"/>
  <c r="S80" i="6"/>
  <c r="S119" i="6"/>
  <c r="S79" i="6"/>
  <c r="S78" i="6"/>
  <c r="S77" i="6"/>
  <c r="S76" i="6"/>
  <c r="S75" i="6"/>
  <c r="S118" i="6"/>
  <c r="S74" i="6"/>
  <c r="S117" i="6"/>
  <c r="S73" i="6"/>
  <c r="S72" i="6"/>
  <c r="S71" i="6"/>
  <c r="S70" i="6"/>
  <c r="S116" i="6"/>
  <c r="S69" i="6"/>
  <c r="S68" i="6"/>
  <c r="S115" i="6"/>
  <c r="S114" i="6"/>
  <c r="S67" i="6"/>
  <c r="S66" i="6"/>
  <c r="S65" i="6"/>
  <c r="S64" i="6"/>
  <c r="S63" i="6"/>
  <c r="S62" i="6"/>
  <c r="S113" i="6"/>
  <c r="S112" i="6"/>
  <c r="S61" i="6"/>
  <c r="S111" i="6"/>
  <c r="S60" i="6"/>
  <c r="S59" i="6"/>
  <c r="S58" i="6"/>
  <c r="S57" i="6"/>
  <c r="S56" i="6"/>
  <c r="S55" i="6"/>
  <c r="S54" i="6"/>
  <c r="S53" i="6"/>
  <c r="S52" i="6"/>
  <c r="S51" i="6"/>
  <c r="S110" i="6"/>
  <c r="S50" i="6"/>
  <c r="S49" i="6"/>
  <c r="S48" i="6"/>
  <c r="S47" i="6"/>
  <c r="S109" i="6"/>
  <c r="S46" i="6"/>
  <c r="S45" i="6"/>
  <c r="S44" i="6"/>
  <c r="S43" i="6"/>
  <c r="S42" i="6"/>
  <c r="S41" i="6"/>
  <c r="S40" i="6"/>
  <c r="S108" i="6"/>
  <c r="S107" i="6"/>
  <c r="S39" i="6"/>
  <c r="S38" i="6"/>
  <c r="S106" i="6"/>
  <c r="S37" i="6"/>
  <c r="S36" i="6"/>
  <c r="S35" i="6"/>
  <c r="S34" i="6"/>
  <c r="S33" i="6"/>
  <c r="S32" i="6"/>
  <c r="S31" i="6"/>
  <c r="S105" i="6"/>
  <c r="S30" i="6"/>
  <c r="S29" i="6"/>
  <c r="S28" i="6"/>
  <c r="S27" i="6"/>
  <c r="S26" i="6"/>
  <c r="S104" i="6"/>
  <c r="S103" i="6"/>
  <c r="S25" i="6"/>
  <c r="S24" i="6"/>
  <c r="S23" i="6"/>
  <c r="S22" i="6"/>
  <c r="S21" i="6"/>
  <c r="S20" i="6"/>
  <c r="S19" i="6"/>
  <c r="S18" i="6"/>
  <c r="S102" i="6"/>
  <c r="S17" i="6"/>
  <c r="S16" i="6"/>
  <c r="S15" i="6"/>
  <c r="S14" i="6"/>
  <c r="S13" i="6"/>
  <c r="S12" i="6"/>
  <c r="S11" i="6"/>
  <c r="S10" i="6"/>
  <c r="S9" i="6"/>
  <c r="S8" i="6"/>
  <c r="S101" i="6"/>
  <c r="S7" i="6"/>
  <c r="S6" i="6"/>
  <c r="R100" i="6"/>
  <c r="R99" i="6"/>
  <c r="R98" i="6"/>
  <c r="R125" i="6"/>
  <c r="R124" i="6"/>
  <c r="R97" i="6"/>
  <c r="R96" i="6"/>
  <c r="R95" i="6"/>
  <c r="R123" i="6"/>
  <c r="R94" i="6"/>
  <c r="R93" i="6"/>
  <c r="R92" i="6"/>
  <c r="R122" i="6"/>
  <c r="R91" i="6"/>
  <c r="R90" i="6"/>
  <c r="R89" i="6"/>
  <c r="R88" i="6"/>
  <c r="R87" i="6"/>
  <c r="R86" i="6"/>
  <c r="R85" i="6"/>
  <c r="R84" i="6"/>
  <c r="R83" i="6"/>
  <c r="R82" i="6"/>
  <c r="R121" i="6"/>
  <c r="R81" i="6"/>
  <c r="R120" i="6"/>
  <c r="R80" i="6"/>
  <c r="R119" i="6"/>
  <c r="R79" i="6"/>
  <c r="R78" i="6"/>
  <c r="R77" i="6"/>
  <c r="R76" i="6"/>
  <c r="R75" i="6"/>
  <c r="R118" i="6"/>
  <c r="R74" i="6"/>
  <c r="R117" i="6"/>
  <c r="R73" i="6"/>
  <c r="R72" i="6"/>
  <c r="R71" i="6"/>
  <c r="R70" i="6"/>
  <c r="R116" i="6"/>
  <c r="R69" i="6"/>
  <c r="R68" i="6"/>
  <c r="R115" i="6"/>
  <c r="R114" i="6"/>
  <c r="R67" i="6"/>
  <c r="R66" i="6"/>
  <c r="R65" i="6"/>
  <c r="R64" i="6"/>
  <c r="R63" i="6"/>
  <c r="R62" i="6"/>
  <c r="R113" i="6"/>
  <c r="R112" i="6"/>
  <c r="R61" i="6"/>
  <c r="R111" i="6"/>
  <c r="R60" i="6"/>
  <c r="R59" i="6"/>
  <c r="R58" i="6"/>
  <c r="R57" i="6"/>
  <c r="R56" i="6"/>
  <c r="R55" i="6"/>
  <c r="R54" i="6"/>
  <c r="R53" i="6"/>
  <c r="R52" i="6"/>
  <c r="R51" i="6"/>
  <c r="R110" i="6"/>
  <c r="R50" i="6"/>
  <c r="R49" i="6"/>
  <c r="R48" i="6"/>
  <c r="R47" i="6"/>
  <c r="R109" i="6"/>
  <c r="R46" i="6"/>
  <c r="R45" i="6"/>
  <c r="R44" i="6"/>
  <c r="R43" i="6"/>
  <c r="R42" i="6"/>
  <c r="R41" i="6"/>
  <c r="R40" i="6"/>
  <c r="R108" i="6"/>
  <c r="R107" i="6"/>
  <c r="R39" i="6"/>
  <c r="R38" i="6"/>
  <c r="R106" i="6"/>
  <c r="R37" i="6"/>
  <c r="R36" i="6"/>
  <c r="R35" i="6"/>
  <c r="R34" i="6"/>
  <c r="R33" i="6"/>
  <c r="R32" i="6"/>
  <c r="R31" i="6"/>
  <c r="R105" i="6"/>
  <c r="R30" i="6"/>
  <c r="R29" i="6"/>
  <c r="R28" i="6"/>
  <c r="R27" i="6"/>
  <c r="R26" i="6"/>
  <c r="R104" i="6"/>
  <c r="R103" i="6"/>
  <c r="R25" i="6"/>
  <c r="R24" i="6"/>
  <c r="R23" i="6"/>
  <c r="R22" i="6"/>
  <c r="R21" i="6"/>
  <c r="R20" i="6"/>
  <c r="R19" i="6"/>
  <c r="R18" i="6"/>
  <c r="R102" i="6"/>
  <c r="R17" i="6"/>
  <c r="R16" i="6"/>
  <c r="R15" i="6"/>
  <c r="R14" i="6"/>
  <c r="R13" i="6"/>
  <c r="R12" i="6"/>
  <c r="R11" i="6"/>
  <c r="R10" i="6"/>
  <c r="R9" i="6"/>
  <c r="R8" i="6"/>
  <c r="R101" i="6"/>
  <c r="R7" i="6"/>
  <c r="R6" i="6"/>
  <c r="F5" i="6"/>
  <c r="E5" i="6"/>
  <c r="D5" i="6"/>
  <c r="G4" i="55"/>
  <c r="G4" i="101"/>
  <c r="I2" i="101" s="1"/>
  <c r="F4" i="101"/>
  <c r="E4" i="101"/>
  <c r="D4" i="101"/>
  <c r="H4" i="62"/>
  <c r="J4" i="56"/>
  <c r="D4" i="60"/>
  <c r="E4" i="60"/>
  <c r="T5" i="79" s="1"/>
  <c r="J4" i="60"/>
  <c r="V5" i="79" s="1"/>
  <c r="O4" i="57"/>
  <c r="G98" i="40"/>
  <c r="C123" i="40"/>
  <c r="G122" i="40"/>
  <c r="G121" i="40"/>
  <c r="G120" i="40"/>
  <c r="G86" i="40"/>
  <c r="C83" i="40"/>
  <c r="G82" i="40"/>
  <c r="C119" i="40"/>
  <c r="G79" i="40"/>
  <c r="G118" i="40"/>
  <c r="C117" i="40"/>
  <c r="G77" i="40"/>
  <c r="G73" i="40"/>
  <c r="G116" i="40"/>
  <c r="C115" i="40"/>
  <c r="G71" i="40"/>
  <c r="C68" i="40"/>
  <c r="G114" i="40"/>
  <c r="G112" i="40"/>
  <c r="C63" i="40"/>
  <c r="G62" i="40"/>
  <c r="C111" i="40"/>
  <c r="G110" i="40"/>
  <c r="C58" i="40"/>
  <c r="G57" i="40"/>
  <c r="G53" i="40"/>
  <c r="C50" i="40"/>
  <c r="G49" i="40"/>
  <c r="C47" i="40"/>
  <c r="G46" i="40"/>
  <c r="C44" i="40"/>
  <c r="G43" i="40"/>
  <c r="G39" i="40"/>
  <c r="C105" i="40"/>
  <c r="G37" i="40"/>
  <c r="C35" i="40"/>
  <c r="G34" i="40"/>
  <c r="C31" i="40"/>
  <c r="G30" i="40"/>
  <c r="G27" i="40"/>
  <c r="C24" i="40"/>
  <c r="G102" i="40"/>
  <c r="C22" i="40"/>
  <c r="G21" i="40"/>
  <c r="C18" i="40"/>
  <c r="G17" i="40"/>
  <c r="C15" i="40"/>
  <c r="G14" i="40"/>
  <c r="G10" i="40"/>
  <c r="C7" i="40"/>
  <c r="G6" i="40"/>
  <c r="C4" i="40"/>
  <c r="S126" i="85"/>
  <c r="R126" i="85"/>
  <c r="Q126" i="85"/>
  <c r="S125" i="85"/>
  <c r="R125" i="85"/>
  <c r="Q125" i="85"/>
  <c r="S124" i="85"/>
  <c r="R124" i="85"/>
  <c r="Q124" i="85"/>
  <c r="S123" i="85"/>
  <c r="R123" i="85"/>
  <c r="Q123" i="85"/>
  <c r="S122" i="85"/>
  <c r="R122" i="85"/>
  <c r="Q122" i="85"/>
  <c r="S121" i="85"/>
  <c r="R121" i="85"/>
  <c r="Q121" i="85"/>
  <c r="S120" i="85"/>
  <c r="R120" i="85"/>
  <c r="Q120" i="85"/>
  <c r="S119" i="85"/>
  <c r="R119" i="85"/>
  <c r="Q119" i="85"/>
  <c r="S118" i="85"/>
  <c r="R118" i="85"/>
  <c r="Q118" i="85"/>
  <c r="S117" i="85"/>
  <c r="R117" i="85"/>
  <c r="Q117" i="85"/>
  <c r="S116" i="85"/>
  <c r="R116" i="85"/>
  <c r="Q116" i="85"/>
  <c r="S115" i="85"/>
  <c r="R115" i="85"/>
  <c r="Q115" i="85"/>
  <c r="S114" i="85"/>
  <c r="R114" i="85"/>
  <c r="Q114" i="85"/>
  <c r="S113" i="85"/>
  <c r="R113" i="85"/>
  <c r="Q113" i="85"/>
  <c r="S112" i="85"/>
  <c r="R112" i="85"/>
  <c r="Q112" i="85"/>
  <c r="S111" i="85"/>
  <c r="R111" i="85"/>
  <c r="Q111" i="85"/>
  <c r="S110" i="85"/>
  <c r="R110" i="85"/>
  <c r="Q110" i="85"/>
  <c r="S109" i="85"/>
  <c r="R109" i="85"/>
  <c r="Q109" i="85"/>
  <c r="S108" i="85"/>
  <c r="R108" i="85"/>
  <c r="Q108" i="85"/>
  <c r="S107" i="85"/>
  <c r="R107" i="85"/>
  <c r="Q107" i="85"/>
  <c r="S106" i="85"/>
  <c r="R106" i="85"/>
  <c r="Q106" i="85"/>
  <c r="S105" i="85"/>
  <c r="R105" i="85"/>
  <c r="Q105" i="85"/>
  <c r="S104" i="85"/>
  <c r="R104" i="85"/>
  <c r="Q104" i="85"/>
  <c r="S103" i="85"/>
  <c r="R103" i="85"/>
  <c r="Q103" i="85"/>
  <c r="S102" i="85"/>
  <c r="R102" i="85"/>
  <c r="Q102" i="85"/>
  <c r="S101" i="85"/>
  <c r="R101" i="85"/>
  <c r="Q101" i="85"/>
  <c r="S100" i="85"/>
  <c r="R100" i="85"/>
  <c r="Q100" i="85"/>
  <c r="S99" i="85"/>
  <c r="R99" i="85"/>
  <c r="Q99" i="85"/>
  <c r="S98" i="85"/>
  <c r="R98" i="85"/>
  <c r="Q98" i="85"/>
  <c r="S97" i="85"/>
  <c r="R97" i="85"/>
  <c r="Q97" i="85"/>
  <c r="S96" i="85"/>
  <c r="R96" i="85"/>
  <c r="Q96" i="85"/>
  <c r="S95" i="85"/>
  <c r="R95" i="85"/>
  <c r="Q95" i="85"/>
  <c r="S94" i="85"/>
  <c r="R94" i="85"/>
  <c r="Q94" i="85"/>
  <c r="S93" i="85"/>
  <c r="R93" i="85"/>
  <c r="Q93" i="85"/>
  <c r="S92" i="85"/>
  <c r="R92" i="85"/>
  <c r="Q92" i="85"/>
  <c r="S91" i="85"/>
  <c r="R91" i="85"/>
  <c r="Q91" i="85"/>
  <c r="S90" i="85"/>
  <c r="R90" i="85"/>
  <c r="Q90" i="85"/>
  <c r="S89" i="85"/>
  <c r="R89" i="85"/>
  <c r="Q89" i="85"/>
  <c r="S88" i="85"/>
  <c r="R88" i="85"/>
  <c r="Q88" i="85"/>
  <c r="S87" i="85"/>
  <c r="R87" i="85"/>
  <c r="Q87" i="85"/>
  <c r="S86" i="85"/>
  <c r="R86" i="85"/>
  <c r="Q86" i="85"/>
  <c r="S85" i="85"/>
  <c r="R85" i="85"/>
  <c r="Q85" i="85"/>
  <c r="S84" i="85"/>
  <c r="R84" i="85"/>
  <c r="Q84" i="85"/>
  <c r="S83" i="85"/>
  <c r="R83" i="85"/>
  <c r="Q83" i="85"/>
  <c r="S82" i="85"/>
  <c r="R82" i="85"/>
  <c r="Q82" i="85"/>
  <c r="S81" i="85"/>
  <c r="R81" i="85"/>
  <c r="Q81" i="85"/>
  <c r="S80" i="85"/>
  <c r="R80" i="85"/>
  <c r="Q80" i="85"/>
  <c r="S79" i="85"/>
  <c r="R79" i="85"/>
  <c r="Q79" i="85"/>
  <c r="S78" i="85"/>
  <c r="R78" i="85"/>
  <c r="Q78" i="85"/>
  <c r="S77" i="85"/>
  <c r="R77" i="85"/>
  <c r="Q77" i="85"/>
  <c r="S76" i="85"/>
  <c r="R76" i="85"/>
  <c r="Q76" i="85"/>
  <c r="S75" i="85"/>
  <c r="R75" i="85"/>
  <c r="Q75" i="85"/>
  <c r="S74" i="85"/>
  <c r="R74" i="85"/>
  <c r="Q74" i="85"/>
  <c r="S73" i="85"/>
  <c r="R73" i="85"/>
  <c r="Q73" i="85"/>
  <c r="S72" i="85"/>
  <c r="R72" i="85"/>
  <c r="Q72" i="85"/>
  <c r="S71" i="85"/>
  <c r="R71" i="85"/>
  <c r="Q71" i="85"/>
  <c r="S70" i="85"/>
  <c r="R70" i="85"/>
  <c r="Q70" i="85"/>
  <c r="S69" i="85"/>
  <c r="R69" i="85"/>
  <c r="Q69" i="85"/>
  <c r="S68" i="85"/>
  <c r="R68" i="85"/>
  <c r="Q68" i="85"/>
  <c r="S67" i="85"/>
  <c r="R67" i="85"/>
  <c r="Q67" i="85"/>
  <c r="S66" i="85"/>
  <c r="R66" i="85"/>
  <c r="Q66" i="85"/>
  <c r="S65" i="85"/>
  <c r="R65" i="85"/>
  <c r="Q65" i="85"/>
  <c r="S64" i="85"/>
  <c r="R64" i="85"/>
  <c r="Q64" i="85"/>
  <c r="S63" i="85"/>
  <c r="R63" i="85"/>
  <c r="Q63" i="85"/>
  <c r="S62" i="85"/>
  <c r="R62" i="85"/>
  <c r="Q62" i="85"/>
  <c r="S61" i="85"/>
  <c r="R61" i="85"/>
  <c r="Q61" i="85"/>
  <c r="S60" i="85"/>
  <c r="R60" i="85"/>
  <c r="Q60" i="85"/>
  <c r="S59" i="85"/>
  <c r="R59" i="85"/>
  <c r="Q59" i="85"/>
  <c r="S58" i="85"/>
  <c r="R58" i="85"/>
  <c r="Q58" i="85"/>
  <c r="S57" i="85"/>
  <c r="R57" i="85"/>
  <c r="Q57" i="85"/>
  <c r="S56" i="85"/>
  <c r="R56" i="85"/>
  <c r="Q56" i="85"/>
  <c r="S55" i="85"/>
  <c r="R55" i="85"/>
  <c r="Q55" i="85"/>
  <c r="S54" i="85"/>
  <c r="R54" i="85"/>
  <c r="Q54" i="85"/>
  <c r="S53" i="85"/>
  <c r="R53" i="85"/>
  <c r="Q53" i="85"/>
  <c r="S52" i="85"/>
  <c r="R52" i="85"/>
  <c r="Q52" i="85"/>
  <c r="S51" i="85"/>
  <c r="R51" i="85"/>
  <c r="Q51" i="85"/>
  <c r="S50" i="85"/>
  <c r="R50" i="85"/>
  <c r="Q50" i="85"/>
  <c r="S49" i="85"/>
  <c r="R49" i="85"/>
  <c r="Q49" i="85"/>
  <c r="S48" i="85"/>
  <c r="R48" i="85"/>
  <c r="Q48" i="85"/>
  <c r="S47" i="85"/>
  <c r="R47" i="85"/>
  <c r="Q47" i="85"/>
  <c r="S46" i="85"/>
  <c r="R46" i="85"/>
  <c r="Q46" i="85"/>
  <c r="S45" i="85"/>
  <c r="R45" i="85"/>
  <c r="Q45" i="85"/>
  <c r="S44" i="85"/>
  <c r="R44" i="85"/>
  <c r="Q44" i="85"/>
  <c r="S43" i="85"/>
  <c r="R43" i="85"/>
  <c r="Q43" i="85"/>
  <c r="S42" i="85"/>
  <c r="R42" i="85"/>
  <c r="Q42" i="85"/>
  <c r="S41" i="85"/>
  <c r="R41" i="85"/>
  <c r="Q41" i="85"/>
  <c r="S40" i="85"/>
  <c r="R40" i="85"/>
  <c r="Q40" i="85"/>
  <c r="S39" i="85"/>
  <c r="R39" i="85"/>
  <c r="Q39" i="85"/>
  <c r="S38" i="85"/>
  <c r="R38" i="85"/>
  <c r="Q38" i="85"/>
  <c r="S37" i="85"/>
  <c r="R37" i="85"/>
  <c r="Q37" i="85"/>
  <c r="S36" i="85"/>
  <c r="R36" i="85"/>
  <c r="Q36" i="85"/>
  <c r="S35" i="85"/>
  <c r="R35" i="85"/>
  <c r="Q35" i="85"/>
  <c r="S34" i="85"/>
  <c r="R34" i="85"/>
  <c r="Q34" i="85"/>
  <c r="S33" i="85"/>
  <c r="R33" i="85"/>
  <c r="Q33" i="85"/>
  <c r="S32" i="85"/>
  <c r="R32" i="85"/>
  <c r="Q32" i="85"/>
  <c r="S31" i="85"/>
  <c r="R31" i="85"/>
  <c r="Q31" i="85"/>
  <c r="S30" i="85"/>
  <c r="R30" i="85"/>
  <c r="Q30" i="85"/>
  <c r="S29" i="85"/>
  <c r="R29" i="85"/>
  <c r="Q29" i="85"/>
  <c r="S28" i="85"/>
  <c r="R28" i="85"/>
  <c r="Q28" i="85"/>
  <c r="S27" i="85"/>
  <c r="R27" i="85"/>
  <c r="Q27" i="85"/>
  <c r="S26" i="85"/>
  <c r="R26" i="85"/>
  <c r="Q26" i="85"/>
  <c r="S25" i="85"/>
  <c r="R25" i="85"/>
  <c r="Q25" i="85"/>
  <c r="S24" i="85"/>
  <c r="R24" i="85"/>
  <c r="Q24" i="85"/>
  <c r="S23" i="85"/>
  <c r="R23" i="85"/>
  <c r="Q23" i="85"/>
  <c r="S22" i="85"/>
  <c r="R22" i="85"/>
  <c r="Q22" i="85"/>
  <c r="S21" i="85"/>
  <c r="R21" i="85"/>
  <c r="Q21" i="85"/>
  <c r="S20" i="85"/>
  <c r="R20" i="85"/>
  <c r="Q20" i="85"/>
  <c r="S19" i="85"/>
  <c r="R19" i="85"/>
  <c r="Q19" i="85"/>
  <c r="S18" i="85"/>
  <c r="R18" i="85"/>
  <c r="Q18" i="85"/>
  <c r="S17" i="85"/>
  <c r="R17" i="85"/>
  <c r="Q17" i="85"/>
  <c r="S16" i="85"/>
  <c r="R16" i="85"/>
  <c r="Q16" i="85"/>
  <c r="S15" i="85"/>
  <c r="R15" i="85"/>
  <c r="Q15" i="85"/>
  <c r="S14" i="85"/>
  <c r="R14" i="85"/>
  <c r="Q14" i="85"/>
  <c r="S13" i="85"/>
  <c r="R13" i="85"/>
  <c r="Q13" i="85"/>
  <c r="S12" i="85"/>
  <c r="R12" i="85"/>
  <c r="Q12" i="85"/>
  <c r="S11" i="85"/>
  <c r="R11" i="85"/>
  <c r="Q11" i="85"/>
  <c r="S10" i="85"/>
  <c r="R10" i="85"/>
  <c r="Q10" i="85"/>
  <c r="S9" i="85"/>
  <c r="R9" i="85"/>
  <c r="Q9" i="85"/>
  <c r="S8" i="85"/>
  <c r="R8" i="85"/>
  <c r="Q8" i="85"/>
  <c r="S7" i="85"/>
  <c r="R7" i="85"/>
  <c r="Q7" i="85"/>
  <c r="W126" i="85"/>
  <c r="V126" i="85"/>
  <c r="U126" i="85"/>
  <c r="W125" i="85"/>
  <c r="V125" i="85"/>
  <c r="U125" i="85"/>
  <c r="W124" i="85"/>
  <c r="V124" i="85"/>
  <c r="U124" i="85"/>
  <c r="W123" i="85"/>
  <c r="V123" i="85"/>
  <c r="U123" i="85"/>
  <c r="W122" i="85"/>
  <c r="V122" i="85"/>
  <c r="U122" i="85"/>
  <c r="W121" i="85"/>
  <c r="V121" i="85"/>
  <c r="U121" i="85"/>
  <c r="W120" i="85"/>
  <c r="V120" i="85"/>
  <c r="U120" i="85"/>
  <c r="W119" i="85"/>
  <c r="V119" i="85"/>
  <c r="U119" i="85"/>
  <c r="W118" i="85"/>
  <c r="V118" i="85"/>
  <c r="U118" i="85"/>
  <c r="W117" i="85"/>
  <c r="V117" i="85"/>
  <c r="U117" i="85"/>
  <c r="W116" i="85"/>
  <c r="V116" i="85"/>
  <c r="U116" i="85"/>
  <c r="W115" i="85"/>
  <c r="V115" i="85"/>
  <c r="U115" i="85"/>
  <c r="W114" i="85"/>
  <c r="V114" i="85"/>
  <c r="U114" i="85"/>
  <c r="W113" i="85"/>
  <c r="V113" i="85"/>
  <c r="U113" i="85"/>
  <c r="W112" i="85"/>
  <c r="V112" i="85"/>
  <c r="U112" i="85"/>
  <c r="W111" i="85"/>
  <c r="V111" i="85"/>
  <c r="U111" i="85"/>
  <c r="W110" i="85"/>
  <c r="V110" i="85"/>
  <c r="U110" i="85"/>
  <c r="W109" i="85"/>
  <c r="V109" i="85"/>
  <c r="U109" i="85"/>
  <c r="W108" i="85"/>
  <c r="V108" i="85"/>
  <c r="U108" i="85"/>
  <c r="W107" i="85"/>
  <c r="V107" i="85"/>
  <c r="U107" i="85"/>
  <c r="W106" i="85"/>
  <c r="V106" i="85"/>
  <c r="U106" i="85"/>
  <c r="W105" i="85"/>
  <c r="V105" i="85"/>
  <c r="U105" i="85"/>
  <c r="W104" i="85"/>
  <c r="V104" i="85"/>
  <c r="U104" i="85"/>
  <c r="W103" i="85"/>
  <c r="V103" i="85"/>
  <c r="U103" i="85"/>
  <c r="W102" i="85"/>
  <c r="V102" i="85"/>
  <c r="U102" i="85"/>
  <c r="W101" i="85"/>
  <c r="V101" i="85"/>
  <c r="U101" i="85"/>
  <c r="W100" i="85"/>
  <c r="V100" i="85"/>
  <c r="U100" i="85"/>
  <c r="W99" i="85"/>
  <c r="V99" i="85"/>
  <c r="U99" i="85"/>
  <c r="W98" i="85"/>
  <c r="V98" i="85"/>
  <c r="U98" i="85"/>
  <c r="W97" i="85"/>
  <c r="V97" i="85"/>
  <c r="U97" i="85"/>
  <c r="W96" i="85"/>
  <c r="V96" i="85"/>
  <c r="U96" i="85"/>
  <c r="W95" i="85"/>
  <c r="V95" i="85"/>
  <c r="U95" i="85"/>
  <c r="W94" i="85"/>
  <c r="V94" i="85"/>
  <c r="U94" i="85"/>
  <c r="W93" i="85"/>
  <c r="V93" i="85"/>
  <c r="U93" i="85"/>
  <c r="W92" i="85"/>
  <c r="V92" i="85"/>
  <c r="U92" i="85"/>
  <c r="W91" i="85"/>
  <c r="V91" i="85"/>
  <c r="U91" i="85"/>
  <c r="W90" i="85"/>
  <c r="V90" i="85"/>
  <c r="U90" i="85"/>
  <c r="W89" i="85"/>
  <c r="V89" i="85"/>
  <c r="U89" i="85"/>
  <c r="W88" i="85"/>
  <c r="V88" i="85"/>
  <c r="U88" i="85"/>
  <c r="W87" i="85"/>
  <c r="V87" i="85"/>
  <c r="U87" i="85"/>
  <c r="W86" i="85"/>
  <c r="V86" i="85"/>
  <c r="U86" i="85"/>
  <c r="W85" i="85"/>
  <c r="V85" i="85"/>
  <c r="U85" i="85"/>
  <c r="W84" i="85"/>
  <c r="V84" i="85"/>
  <c r="U84" i="85"/>
  <c r="W83" i="85"/>
  <c r="V83" i="85"/>
  <c r="U83" i="85"/>
  <c r="W82" i="85"/>
  <c r="V82" i="85"/>
  <c r="U82" i="85"/>
  <c r="W81" i="85"/>
  <c r="V81" i="85"/>
  <c r="U81" i="85"/>
  <c r="W80" i="85"/>
  <c r="V80" i="85"/>
  <c r="U80" i="85"/>
  <c r="W79" i="85"/>
  <c r="V79" i="85"/>
  <c r="U79" i="85"/>
  <c r="W78" i="85"/>
  <c r="V78" i="85"/>
  <c r="U78" i="85"/>
  <c r="W77" i="85"/>
  <c r="V77" i="85"/>
  <c r="U77" i="85"/>
  <c r="W76" i="85"/>
  <c r="V76" i="85"/>
  <c r="U76" i="85"/>
  <c r="W75" i="85"/>
  <c r="V75" i="85"/>
  <c r="U75" i="85"/>
  <c r="W74" i="85"/>
  <c r="V74" i="85"/>
  <c r="U74" i="85"/>
  <c r="W73" i="85"/>
  <c r="V73" i="85"/>
  <c r="U73" i="85"/>
  <c r="W72" i="85"/>
  <c r="V72" i="85"/>
  <c r="U72" i="85"/>
  <c r="W71" i="85"/>
  <c r="V71" i="85"/>
  <c r="U71" i="85"/>
  <c r="W70" i="85"/>
  <c r="V70" i="85"/>
  <c r="U70" i="85"/>
  <c r="W69" i="85"/>
  <c r="V69" i="85"/>
  <c r="U69" i="85"/>
  <c r="W68" i="85"/>
  <c r="V68" i="85"/>
  <c r="U68" i="85"/>
  <c r="W67" i="85"/>
  <c r="V67" i="85"/>
  <c r="U67" i="85"/>
  <c r="W66" i="85"/>
  <c r="V66" i="85"/>
  <c r="U66" i="85"/>
  <c r="W65" i="85"/>
  <c r="V65" i="85"/>
  <c r="U65" i="85"/>
  <c r="W64" i="85"/>
  <c r="V64" i="85"/>
  <c r="U64" i="85"/>
  <c r="W63" i="85"/>
  <c r="V63" i="85"/>
  <c r="U63" i="85"/>
  <c r="W62" i="85"/>
  <c r="V62" i="85"/>
  <c r="U62" i="85"/>
  <c r="W61" i="85"/>
  <c r="V61" i="85"/>
  <c r="U61" i="85"/>
  <c r="W60" i="85"/>
  <c r="V60" i="85"/>
  <c r="U60" i="85"/>
  <c r="W59" i="85"/>
  <c r="V59" i="85"/>
  <c r="U59" i="85"/>
  <c r="W58" i="85"/>
  <c r="V58" i="85"/>
  <c r="U58" i="85"/>
  <c r="W57" i="85"/>
  <c r="V57" i="85"/>
  <c r="U57" i="85"/>
  <c r="W56" i="85"/>
  <c r="V56" i="85"/>
  <c r="U56" i="85"/>
  <c r="W55" i="85"/>
  <c r="V55" i="85"/>
  <c r="U55" i="85"/>
  <c r="W54" i="85"/>
  <c r="V54" i="85"/>
  <c r="U54" i="85"/>
  <c r="W53" i="85"/>
  <c r="V53" i="85"/>
  <c r="U53" i="85"/>
  <c r="W52" i="85"/>
  <c r="V52" i="85"/>
  <c r="U52" i="85"/>
  <c r="W51" i="85"/>
  <c r="V51" i="85"/>
  <c r="U51" i="85"/>
  <c r="W50" i="85"/>
  <c r="V50" i="85"/>
  <c r="U50" i="85"/>
  <c r="W49" i="85"/>
  <c r="V49" i="85"/>
  <c r="U49" i="85"/>
  <c r="W48" i="85"/>
  <c r="V48" i="85"/>
  <c r="U48" i="85"/>
  <c r="W47" i="85"/>
  <c r="V47" i="85"/>
  <c r="U47" i="85"/>
  <c r="W46" i="85"/>
  <c r="V46" i="85"/>
  <c r="U46" i="85"/>
  <c r="W45" i="85"/>
  <c r="V45" i="85"/>
  <c r="U45" i="85"/>
  <c r="W44" i="85"/>
  <c r="V44" i="85"/>
  <c r="U44" i="85"/>
  <c r="W43" i="85"/>
  <c r="V43" i="85"/>
  <c r="U43" i="85"/>
  <c r="W42" i="85"/>
  <c r="V42" i="85"/>
  <c r="U42" i="85"/>
  <c r="W41" i="85"/>
  <c r="V41" i="85"/>
  <c r="U41" i="85"/>
  <c r="W40" i="85"/>
  <c r="V40" i="85"/>
  <c r="U40" i="85"/>
  <c r="W39" i="85"/>
  <c r="V39" i="85"/>
  <c r="U39" i="85"/>
  <c r="W38" i="85"/>
  <c r="V38" i="85"/>
  <c r="U38" i="85"/>
  <c r="W37" i="85"/>
  <c r="V37" i="85"/>
  <c r="U37" i="85"/>
  <c r="W36" i="85"/>
  <c r="V36" i="85"/>
  <c r="U36" i="85"/>
  <c r="W35" i="85"/>
  <c r="V35" i="85"/>
  <c r="U35" i="85"/>
  <c r="W34" i="85"/>
  <c r="V34" i="85"/>
  <c r="U34" i="85"/>
  <c r="W33" i="85"/>
  <c r="V33" i="85"/>
  <c r="U33" i="85"/>
  <c r="W32" i="85"/>
  <c r="V32" i="85"/>
  <c r="U32" i="85"/>
  <c r="W31" i="85"/>
  <c r="V31" i="85"/>
  <c r="U31" i="85"/>
  <c r="W30" i="85"/>
  <c r="V30" i="85"/>
  <c r="U30" i="85"/>
  <c r="W29" i="85"/>
  <c r="V29" i="85"/>
  <c r="U29" i="85"/>
  <c r="W28" i="85"/>
  <c r="V28" i="85"/>
  <c r="U28" i="85"/>
  <c r="W27" i="85"/>
  <c r="V27" i="85"/>
  <c r="U27" i="85"/>
  <c r="W26" i="85"/>
  <c r="V26" i="85"/>
  <c r="U26" i="85"/>
  <c r="W25" i="85"/>
  <c r="V25" i="85"/>
  <c r="U25" i="85"/>
  <c r="W24" i="85"/>
  <c r="V24" i="85"/>
  <c r="U24" i="85"/>
  <c r="W23" i="85"/>
  <c r="V23" i="85"/>
  <c r="U23" i="85"/>
  <c r="W22" i="85"/>
  <c r="V22" i="85"/>
  <c r="U22" i="85"/>
  <c r="W21" i="85"/>
  <c r="V21" i="85"/>
  <c r="U21" i="85"/>
  <c r="W20" i="85"/>
  <c r="V20" i="85"/>
  <c r="U20" i="85"/>
  <c r="W19" i="85"/>
  <c r="V19" i="85"/>
  <c r="U19" i="85"/>
  <c r="W18" i="85"/>
  <c r="V18" i="85"/>
  <c r="U18" i="85"/>
  <c r="W17" i="85"/>
  <c r="V17" i="85"/>
  <c r="U17" i="85"/>
  <c r="W16" i="85"/>
  <c r="V16" i="85"/>
  <c r="U16" i="85"/>
  <c r="W15" i="85"/>
  <c r="V15" i="85"/>
  <c r="U15" i="85"/>
  <c r="W14" i="85"/>
  <c r="V14" i="85"/>
  <c r="U14" i="85"/>
  <c r="W13" i="85"/>
  <c r="V13" i="85"/>
  <c r="U13" i="85"/>
  <c r="W12" i="85"/>
  <c r="V12" i="85"/>
  <c r="U12" i="85"/>
  <c r="W11" i="85"/>
  <c r="V11" i="85"/>
  <c r="U11" i="85"/>
  <c r="W10" i="85"/>
  <c r="V10" i="85"/>
  <c r="U10" i="85"/>
  <c r="W9" i="85"/>
  <c r="V9" i="85"/>
  <c r="U9" i="85"/>
  <c r="W8" i="85"/>
  <c r="V8" i="85"/>
  <c r="U8" i="85"/>
  <c r="W7" i="85"/>
  <c r="V7" i="85"/>
  <c r="U7" i="85"/>
  <c r="H4" i="89"/>
  <c r="G4" i="89"/>
  <c r="F4" i="89"/>
  <c r="E4" i="89"/>
  <c r="D4" i="89"/>
  <c r="L4" i="32"/>
  <c r="I4" i="32"/>
  <c r="L4" i="31"/>
  <c r="K4" i="31"/>
  <c r="J4" i="31"/>
  <c r="I4" i="31"/>
  <c r="H4" i="31"/>
  <c r="AM101" i="97"/>
  <c r="AL101" i="97"/>
  <c r="AP101" i="97"/>
  <c r="AO101" i="97"/>
  <c r="AN101" i="97"/>
  <c r="AK101" i="97"/>
  <c r="AI101" i="97"/>
  <c r="AH101" i="97"/>
  <c r="AJ101" i="97"/>
  <c r="AJ100" i="97"/>
  <c r="AI100" i="97"/>
  <c r="AP100" i="97"/>
  <c r="AN100" i="97"/>
  <c r="AM100" i="97"/>
  <c r="AL100" i="97"/>
  <c r="AN99" i="97"/>
  <c r="AK99" i="97"/>
  <c r="AH99" i="97"/>
  <c r="AO126" i="97"/>
  <c r="AN126" i="97"/>
  <c r="AL126" i="97"/>
  <c r="AK126" i="97"/>
  <c r="AH126" i="97"/>
  <c r="AI126" i="97"/>
  <c r="AP125" i="97"/>
  <c r="AO125" i="97"/>
  <c r="AM125" i="97"/>
  <c r="AI125" i="97"/>
  <c r="AH125" i="97"/>
  <c r="AJ125" i="97"/>
  <c r="AP98" i="97"/>
  <c r="AN98" i="97"/>
  <c r="AM98" i="97"/>
  <c r="AJ98" i="97"/>
  <c r="AI98" i="97"/>
  <c r="AH98" i="97"/>
  <c r="AP97" i="97"/>
  <c r="AK97" i="97"/>
  <c r="AO97" i="97"/>
  <c r="AN97" i="97"/>
  <c r="AM97" i="97"/>
  <c r="AL97" i="97"/>
  <c r="AH97" i="97"/>
  <c r="AJ97" i="97"/>
  <c r="AI97" i="97"/>
  <c r="AM96" i="97"/>
  <c r="AL96" i="97"/>
  <c r="AP96" i="97"/>
  <c r="AO96" i="97"/>
  <c r="AN96" i="97"/>
  <c r="AK96" i="97"/>
  <c r="AI96" i="97"/>
  <c r="AH96" i="97"/>
  <c r="AJ96" i="97"/>
  <c r="AJ124" i="97"/>
  <c r="AP124" i="97"/>
  <c r="AO124" i="97"/>
  <c r="AN124" i="97"/>
  <c r="AM124" i="97"/>
  <c r="AI124" i="97"/>
  <c r="AK95" i="97"/>
  <c r="AO95" i="97"/>
  <c r="AN95" i="97"/>
  <c r="AJ95" i="97"/>
  <c r="AH95" i="97"/>
  <c r="AO94" i="97"/>
  <c r="AL94" i="97"/>
  <c r="AP94" i="97"/>
  <c r="AN94" i="97"/>
  <c r="AK94" i="97"/>
  <c r="AH94" i="97"/>
  <c r="AI94" i="97"/>
  <c r="AP93" i="97"/>
  <c r="AO93" i="97"/>
  <c r="AM93" i="97"/>
  <c r="AI93" i="97"/>
  <c r="AH93" i="97"/>
  <c r="AJ93" i="97"/>
  <c r="AN123" i="97"/>
  <c r="AM123" i="97"/>
  <c r="AP123" i="97"/>
  <c r="AO123" i="97"/>
  <c r="AK123" i="97"/>
  <c r="AJ123" i="97"/>
  <c r="AI123" i="97"/>
  <c r="AH123" i="97"/>
  <c r="AP92" i="97"/>
  <c r="AO92" i="97"/>
  <c r="AN92" i="97"/>
  <c r="AK92" i="97"/>
  <c r="AL92" i="97"/>
  <c r="AH92" i="97"/>
  <c r="AJ92" i="97"/>
  <c r="AI92" i="97"/>
  <c r="AM91" i="97"/>
  <c r="AL91" i="97"/>
  <c r="AP91" i="97"/>
  <c r="AO91" i="97"/>
  <c r="AN91" i="97"/>
  <c r="AK91" i="97"/>
  <c r="AI91" i="97"/>
  <c r="AH91" i="97"/>
  <c r="AJ91" i="97"/>
  <c r="AJ90" i="97"/>
  <c r="AI90" i="97"/>
  <c r="AP90" i="97"/>
  <c r="AN90" i="97"/>
  <c r="AM90" i="97"/>
  <c r="AL90" i="97"/>
  <c r="AN89" i="97"/>
  <c r="AK89" i="97"/>
  <c r="AH89" i="97"/>
  <c r="AO88" i="97"/>
  <c r="AN88" i="97"/>
  <c r="AL88" i="97"/>
  <c r="AK88" i="97"/>
  <c r="AH88" i="97"/>
  <c r="AI88" i="97"/>
  <c r="AP87" i="97"/>
  <c r="AO87" i="97"/>
  <c r="AM87" i="97"/>
  <c r="AI87" i="97"/>
  <c r="AH87" i="97"/>
  <c r="AJ87" i="97"/>
  <c r="AJ86" i="97"/>
  <c r="AP86" i="97"/>
  <c r="AO86" i="97"/>
  <c r="AN86" i="97"/>
  <c r="AL86" i="97"/>
  <c r="AK86" i="97"/>
  <c r="AI86" i="97"/>
  <c r="AH86" i="97"/>
  <c r="AP85" i="97"/>
  <c r="AK85" i="97"/>
  <c r="AO85" i="97"/>
  <c r="AN85" i="97"/>
  <c r="AM85" i="97"/>
  <c r="AL85" i="97"/>
  <c r="AH85" i="97"/>
  <c r="AJ85" i="97"/>
  <c r="AI85" i="97"/>
  <c r="AM84" i="97"/>
  <c r="AL84" i="97"/>
  <c r="AP84" i="97"/>
  <c r="AO84" i="97"/>
  <c r="AN84" i="97"/>
  <c r="AK84" i="97"/>
  <c r="AI84" i="97"/>
  <c r="AH84" i="97"/>
  <c r="AJ84" i="97"/>
  <c r="AJ83" i="97"/>
  <c r="AP83" i="97"/>
  <c r="AN83" i="97"/>
  <c r="AM83" i="97"/>
  <c r="AI83" i="97"/>
  <c r="AK122" i="97"/>
  <c r="AO122" i="97"/>
  <c r="AN122" i="97"/>
  <c r="AJ122" i="97"/>
  <c r="AH122" i="97"/>
  <c r="AO82" i="97"/>
  <c r="AL82" i="97"/>
  <c r="AP82" i="97"/>
  <c r="AN82" i="97"/>
  <c r="AK82" i="97"/>
  <c r="AH82" i="97"/>
  <c r="AI82" i="97"/>
  <c r="AP121" i="97"/>
  <c r="AO121" i="97"/>
  <c r="AM121" i="97"/>
  <c r="AI121" i="97"/>
  <c r="AH121" i="97"/>
  <c r="AJ121" i="97"/>
  <c r="AN81" i="97"/>
  <c r="AM81" i="97"/>
  <c r="AP81" i="97"/>
  <c r="AO81" i="97"/>
  <c r="AK81" i="97"/>
  <c r="AJ81" i="97"/>
  <c r="AI81" i="97"/>
  <c r="AH81" i="97"/>
  <c r="AO120" i="97"/>
  <c r="AJ120" i="97"/>
  <c r="AP120" i="97"/>
  <c r="AN120" i="97"/>
  <c r="AL120" i="97"/>
  <c r="AK120" i="97"/>
  <c r="AI120" i="97"/>
  <c r="AH120" i="97"/>
  <c r="AP80" i="97"/>
  <c r="AO80" i="97"/>
  <c r="AN80" i="97"/>
  <c r="AK80" i="97"/>
  <c r="AL80" i="97"/>
  <c r="AH80" i="97"/>
  <c r="AJ80" i="97"/>
  <c r="AI80" i="97"/>
  <c r="AM79" i="97"/>
  <c r="AL79" i="97"/>
  <c r="AP79" i="97"/>
  <c r="AO79" i="97"/>
  <c r="AN79" i="97"/>
  <c r="AK79" i="97"/>
  <c r="AI79" i="97"/>
  <c r="AH79" i="97"/>
  <c r="AJ79" i="97"/>
  <c r="AJ78" i="97"/>
  <c r="AI78" i="97"/>
  <c r="AP78" i="97"/>
  <c r="AN78" i="97"/>
  <c r="AM78" i="97"/>
  <c r="AL78" i="97"/>
  <c r="AN77" i="97"/>
  <c r="AK77" i="97"/>
  <c r="AM77" i="97"/>
  <c r="AH77" i="97"/>
  <c r="AO76" i="97"/>
  <c r="AN76" i="97"/>
  <c r="AL76" i="97"/>
  <c r="AK76" i="97"/>
  <c r="AH76" i="97"/>
  <c r="AI76" i="97"/>
  <c r="AP119" i="97"/>
  <c r="AO119" i="97"/>
  <c r="AL119" i="97"/>
  <c r="AI119" i="97"/>
  <c r="AH119" i="97"/>
  <c r="AJ119" i="97"/>
  <c r="AO75" i="97"/>
  <c r="AN75" i="97"/>
  <c r="AK75" i="97"/>
  <c r="AJ75" i="97"/>
  <c r="AI75" i="97"/>
  <c r="AH75" i="97"/>
  <c r="AP118" i="97"/>
  <c r="AK118" i="97"/>
  <c r="AO118" i="97"/>
  <c r="AN118" i="97"/>
  <c r="AM118" i="97"/>
  <c r="AL118" i="97"/>
  <c r="AH118" i="97"/>
  <c r="AJ118" i="97"/>
  <c r="AI118" i="97"/>
  <c r="AM74" i="97"/>
  <c r="AL74" i="97"/>
  <c r="AP74" i="97"/>
  <c r="AO74" i="97"/>
  <c r="AN74" i="97"/>
  <c r="AK74" i="97"/>
  <c r="AI74" i="97"/>
  <c r="AH74" i="97"/>
  <c r="AJ74" i="97"/>
  <c r="AJ73" i="97"/>
  <c r="AP73" i="97"/>
  <c r="AM73" i="97"/>
  <c r="AI73" i="97"/>
  <c r="AK72" i="97"/>
  <c r="AO72" i="97"/>
  <c r="AN72" i="97"/>
  <c r="AJ72" i="97"/>
  <c r="AH72" i="97"/>
  <c r="AO71" i="97"/>
  <c r="AL71" i="97"/>
  <c r="AP71" i="97"/>
  <c r="AN71" i="97"/>
  <c r="AK71" i="97"/>
  <c r="AH71" i="97"/>
  <c r="AI71" i="97"/>
  <c r="AP117" i="97"/>
  <c r="AO117" i="97"/>
  <c r="AM117" i="97"/>
  <c r="AI117" i="97"/>
  <c r="AH117" i="97"/>
  <c r="AJ117" i="97"/>
  <c r="AN70" i="97"/>
  <c r="AM70" i="97"/>
  <c r="AP70" i="97"/>
  <c r="AO70" i="97"/>
  <c r="AK70" i="97"/>
  <c r="AJ70" i="97"/>
  <c r="AI70" i="97"/>
  <c r="AH70" i="97"/>
  <c r="AO69" i="97"/>
  <c r="AJ69" i="97"/>
  <c r="AP69" i="97"/>
  <c r="AN69" i="97"/>
  <c r="AL69" i="97"/>
  <c r="AK69" i="97"/>
  <c r="AI69" i="97"/>
  <c r="AH69" i="97"/>
  <c r="AP116" i="97"/>
  <c r="AO116" i="97"/>
  <c r="AN116" i="97"/>
  <c r="AK116" i="97"/>
  <c r="AL116" i="97"/>
  <c r="AH116" i="97"/>
  <c r="AJ116" i="97"/>
  <c r="AI116" i="97"/>
  <c r="AM115" i="97"/>
  <c r="AL115" i="97"/>
  <c r="AP115" i="97"/>
  <c r="AO115" i="97"/>
  <c r="AN115" i="97"/>
  <c r="AK115" i="97"/>
  <c r="AI115" i="97"/>
  <c r="AH115" i="97"/>
  <c r="AJ115" i="97"/>
  <c r="AJ68" i="97"/>
  <c r="AI68" i="97"/>
  <c r="AP68" i="97"/>
  <c r="AN68" i="97"/>
  <c r="AM68" i="97"/>
  <c r="AL68" i="97"/>
  <c r="AN67" i="97"/>
  <c r="AK67" i="97"/>
  <c r="AM67" i="97"/>
  <c r="AH67" i="97"/>
  <c r="AO66" i="97"/>
  <c r="AN66" i="97"/>
  <c r="AL66" i="97"/>
  <c r="AK66" i="97"/>
  <c r="AH66" i="97"/>
  <c r="AI66" i="97"/>
  <c r="AP65" i="97"/>
  <c r="AO65" i="97"/>
  <c r="AM65" i="97"/>
  <c r="AL65" i="97"/>
  <c r="AI65" i="97"/>
  <c r="AH65" i="97"/>
  <c r="AJ65" i="97"/>
  <c r="AP64" i="97"/>
  <c r="AO64" i="97"/>
  <c r="AN64" i="97"/>
  <c r="AM64" i="97"/>
  <c r="AK64" i="97"/>
  <c r="AJ64" i="97"/>
  <c r="AI64" i="97"/>
  <c r="AH64" i="97"/>
  <c r="AP63" i="97"/>
  <c r="AO63" i="97"/>
  <c r="AN63" i="97"/>
  <c r="AK63" i="97"/>
  <c r="AJ63" i="97"/>
  <c r="AI63" i="97"/>
  <c r="AH63" i="97"/>
  <c r="AM114" i="97"/>
  <c r="AL114" i="97"/>
  <c r="AP114" i="97"/>
  <c r="AO114" i="97"/>
  <c r="AN114" i="97"/>
  <c r="AK114" i="97"/>
  <c r="AI114" i="97"/>
  <c r="AH114" i="97"/>
  <c r="AJ114" i="97"/>
  <c r="AJ113" i="97"/>
  <c r="AP113" i="97"/>
  <c r="AN113" i="97"/>
  <c r="AM113" i="97"/>
  <c r="AI113" i="97"/>
  <c r="AK62" i="97"/>
  <c r="AO62" i="97"/>
  <c r="AN62" i="97"/>
  <c r="AJ62" i="97"/>
  <c r="AH62" i="97"/>
  <c r="AO112" i="97"/>
  <c r="AL112" i="97"/>
  <c r="AP112" i="97"/>
  <c r="AN112" i="97"/>
  <c r="AK112" i="97"/>
  <c r="AH112" i="97"/>
  <c r="AI112" i="97"/>
  <c r="AP61" i="97"/>
  <c r="AO61" i="97"/>
  <c r="AM61" i="97"/>
  <c r="AI61" i="97"/>
  <c r="AH61" i="97"/>
  <c r="AJ61" i="97"/>
  <c r="AN60" i="97"/>
  <c r="AM60" i="97"/>
  <c r="AP60" i="97"/>
  <c r="AO60" i="97"/>
  <c r="AK60" i="97"/>
  <c r="AJ60" i="97"/>
  <c r="AI60" i="97"/>
  <c r="AH60" i="97"/>
  <c r="AO59" i="97"/>
  <c r="AJ59" i="97"/>
  <c r="AP59" i="97"/>
  <c r="AN59" i="97"/>
  <c r="AL59" i="97"/>
  <c r="AK59" i="97"/>
  <c r="AI59" i="97"/>
  <c r="AH59" i="97"/>
  <c r="AM58" i="97"/>
  <c r="AL58" i="97"/>
  <c r="AP58" i="97"/>
  <c r="AO58" i="97"/>
  <c r="AN58" i="97"/>
  <c r="AK58" i="97"/>
  <c r="AI58" i="97"/>
  <c r="AH58" i="97"/>
  <c r="AJ58" i="97"/>
  <c r="AJ57" i="97"/>
  <c r="AI57" i="97"/>
  <c r="AP57" i="97"/>
  <c r="AN57" i="97"/>
  <c r="AM57" i="97"/>
  <c r="AL57" i="97"/>
  <c r="AN56" i="97"/>
  <c r="AK56" i="97"/>
  <c r="AH56" i="97"/>
  <c r="AN55" i="97"/>
  <c r="AH55" i="97"/>
  <c r="AO54" i="97"/>
  <c r="AN54" i="97"/>
  <c r="AJ54" i="97"/>
  <c r="AI54" i="97"/>
  <c r="AH54" i="97"/>
  <c r="AP53" i="97"/>
  <c r="AO53" i="97"/>
  <c r="AN53" i="97"/>
  <c r="AK53" i="97"/>
  <c r="AH53" i="97"/>
  <c r="AI53" i="97"/>
  <c r="AI52" i="97"/>
  <c r="AP52" i="97"/>
  <c r="AO52" i="97"/>
  <c r="AL52" i="97"/>
  <c r="AM52" i="97"/>
  <c r="AH52" i="97"/>
  <c r="AJ52" i="97"/>
  <c r="AN111" i="97"/>
  <c r="AI111" i="97"/>
  <c r="AP111" i="97"/>
  <c r="AO111" i="97"/>
  <c r="AM111" i="97"/>
  <c r="AL111" i="97"/>
  <c r="AK111" i="97"/>
  <c r="AJ111" i="97"/>
  <c r="AH111" i="97"/>
  <c r="AK51" i="97"/>
  <c r="AJ51" i="97"/>
  <c r="AP51" i="97"/>
  <c r="AO51" i="97"/>
  <c r="AN51" i="97"/>
  <c r="AM51" i="97"/>
  <c r="AL51" i="97"/>
  <c r="AI51" i="97"/>
  <c r="AH51" i="97"/>
  <c r="AL50" i="97"/>
  <c r="AK50" i="97"/>
  <c r="AP50" i="97"/>
  <c r="AO50" i="97"/>
  <c r="AN50" i="97"/>
  <c r="AM50" i="97"/>
  <c r="AH50" i="97"/>
  <c r="AJ50" i="97"/>
  <c r="AI50" i="97"/>
  <c r="AP49" i="97"/>
  <c r="AO49" i="97"/>
  <c r="AN49" i="97"/>
  <c r="AM49" i="97"/>
  <c r="AL49" i="97"/>
  <c r="AI49" i="97"/>
  <c r="AH49" i="97"/>
  <c r="AJ49" i="97"/>
  <c r="AO48" i="97"/>
  <c r="AN48" i="97"/>
  <c r="AK48" i="97"/>
  <c r="AJ48" i="97"/>
  <c r="AI48" i="97"/>
  <c r="AH48" i="97"/>
  <c r="AP110" i="97"/>
  <c r="AO110" i="97"/>
  <c r="AN110" i="97"/>
  <c r="AL110" i="97"/>
  <c r="AH110" i="97"/>
  <c r="AJ110" i="97"/>
  <c r="AI110" i="97"/>
  <c r="AP47" i="97"/>
  <c r="AO47" i="97"/>
  <c r="AN47" i="97"/>
  <c r="AL47" i="97"/>
  <c r="AM47" i="97"/>
  <c r="AI47" i="97"/>
  <c r="AH47" i="97"/>
  <c r="AJ47" i="97"/>
  <c r="AN46" i="97"/>
  <c r="AI46" i="97"/>
  <c r="AP46" i="97"/>
  <c r="AO46" i="97"/>
  <c r="AM46" i="97"/>
  <c r="AL46" i="97"/>
  <c r="AK46" i="97"/>
  <c r="AJ46" i="97"/>
  <c r="AH46" i="97"/>
  <c r="AK45" i="97"/>
  <c r="AJ45" i="97"/>
  <c r="AP45" i="97"/>
  <c r="AO45" i="97"/>
  <c r="AN45" i="97"/>
  <c r="AM45" i="97"/>
  <c r="AL45" i="97"/>
  <c r="AI45" i="97"/>
  <c r="AH45" i="97"/>
  <c r="AL44" i="97"/>
  <c r="AK44" i="97"/>
  <c r="AP44" i="97"/>
  <c r="AO44" i="97"/>
  <c r="AN44" i="97"/>
  <c r="AM44" i="97"/>
  <c r="AH44" i="97"/>
  <c r="AJ44" i="97"/>
  <c r="AI44" i="97"/>
  <c r="AP43" i="97"/>
  <c r="AM43" i="97"/>
  <c r="AO43" i="97"/>
  <c r="AN43" i="97"/>
  <c r="AL43" i="97"/>
  <c r="AK43" i="97"/>
  <c r="AS43" i="97" s="1"/>
  <c r="BA43" i="97" s="1"/>
  <c r="AI43" i="97"/>
  <c r="AH43" i="97"/>
  <c r="AJ43" i="97"/>
  <c r="AJ42" i="97"/>
  <c r="AP42" i="97"/>
  <c r="AM42" i="97"/>
  <c r="AH42" i="97"/>
  <c r="AO41" i="97"/>
  <c r="AN41" i="97"/>
  <c r="AJ41" i="97"/>
  <c r="AI41" i="97"/>
  <c r="AH41" i="97"/>
  <c r="AP109" i="97"/>
  <c r="AO109" i="97"/>
  <c r="AN109" i="97"/>
  <c r="AL109" i="97"/>
  <c r="AK109" i="97"/>
  <c r="AH109" i="97"/>
  <c r="AI109" i="97"/>
  <c r="AP108" i="97"/>
  <c r="AO108" i="97"/>
  <c r="AM108" i="97"/>
  <c r="AL108" i="97"/>
  <c r="AI108" i="97"/>
  <c r="AH108" i="97"/>
  <c r="AJ108" i="97"/>
  <c r="AP40" i="97"/>
  <c r="AN40" i="97"/>
  <c r="AM40" i="97"/>
  <c r="AJ40" i="97"/>
  <c r="AI40" i="97"/>
  <c r="AH40" i="97"/>
  <c r="AO39" i="97"/>
  <c r="AN39" i="97"/>
  <c r="AK39" i="97"/>
  <c r="AJ39" i="97"/>
  <c r="AI39" i="97"/>
  <c r="AH39" i="97"/>
  <c r="AP107" i="97"/>
  <c r="AO107" i="97"/>
  <c r="AN107" i="97"/>
  <c r="AL107" i="97"/>
  <c r="AK107" i="97"/>
  <c r="AH107" i="97"/>
  <c r="AJ107" i="97"/>
  <c r="AI107" i="97"/>
  <c r="AL38" i="97"/>
  <c r="AP38" i="97"/>
  <c r="AO38" i="97"/>
  <c r="AN38" i="97"/>
  <c r="AM38" i="97"/>
  <c r="AI38" i="97"/>
  <c r="AH38" i="97"/>
  <c r="AJ38" i="97"/>
  <c r="AN37" i="97"/>
  <c r="AI37" i="97"/>
  <c r="AP37" i="97"/>
  <c r="AO37" i="97"/>
  <c r="AM37" i="97"/>
  <c r="AL37" i="97"/>
  <c r="AK37" i="97"/>
  <c r="AJ37" i="97"/>
  <c r="AK36" i="97"/>
  <c r="AJ36" i="97"/>
  <c r="AP36" i="97"/>
  <c r="AO36" i="97"/>
  <c r="AN36" i="97"/>
  <c r="AM36" i="97"/>
  <c r="AL36" i="97"/>
  <c r="AH36" i="97"/>
  <c r="AP35" i="97"/>
  <c r="AO35" i="97"/>
  <c r="AM35" i="97"/>
  <c r="AL35" i="97"/>
  <c r="AI35" i="97"/>
  <c r="AH35" i="97"/>
  <c r="AJ35" i="97"/>
  <c r="AR35" i="97" s="1"/>
  <c r="AZ35" i="97" s="1"/>
  <c r="AO34" i="97"/>
  <c r="AN34" i="97"/>
  <c r="AK34" i="97"/>
  <c r="AJ34" i="97"/>
  <c r="AI34" i="97"/>
  <c r="AH34" i="97"/>
  <c r="AL33" i="97"/>
  <c r="AP33" i="97"/>
  <c r="AO33" i="97"/>
  <c r="AN33" i="97"/>
  <c r="AM33" i="97"/>
  <c r="AI33" i="97"/>
  <c r="AH33" i="97"/>
  <c r="AJ33" i="97"/>
  <c r="AN32" i="97"/>
  <c r="AJ32" i="97"/>
  <c r="AI32" i="97"/>
  <c r="AP32" i="97"/>
  <c r="AO32" i="97"/>
  <c r="AM32" i="97"/>
  <c r="AL32" i="97"/>
  <c r="AK32" i="97"/>
  <c r="AK106" i="97"/>
  <c r="AJ106" i="97"/>
  <c r="AP106" i="97"/>
  <c r="AO106" i="97"/>
  <c r="AN106" i="97"/>
  <c r="AM106" i="97"/>
  <c r="AL106" i="97"/>
  <c r="AH106" i="97"/>
  <c r="AL31" i="97"/>
  <c r="AK31" i="97"/>
  <c r="AP31" i="97"/>
  <c r="AO31" i="97"/>
  <c r="AN31" i="97"/>
  <c r="AM31" i="97"/>
  <c r="AH31" i="97"/>
  <c r="AI31" i="97"/>
  <c r="AP30" i="97"/>
  <c r="AO30" i="97"/>
  <c r="AM30" i="97"/>
  <c r="AL30" i="97"/>
  <c r="AI30" i="97"/>
  <c r="AH30" i="97"/>
  <c r="AJ30" i="97"/>
  <c r="AP29" i="97"/>
  <c r="AN29" i="97"/>
  <c r="AM29" i="97"/>
  <c r="AJ29" i="97"/>
  <c r="AI29" i="97"/>
  <c r="AH29" i="97"/>
  <c r="AL28" i="97"/>
  <c r="AP28" i="97"/>
  <c r="AO28" i="97"/>
  <c r="AN28" i="97"/>
  <c r="AM28" i="97"/>
  <c r="AI28" i="97"/>
  <c r="AH28" i="97"/>
  <c r="AJ28" i="97"/>
  <c r="AN27" i="97"/>
  <c r="AJ27" i="97"/>
  <c r="AI27" i="97"/>
  <c r="AP27" i="97"/>
  <c r="AO27" i="97"/>
  <c r="AM27" i="97"/>
  <c r="AL27" i="97"/>
  <c r="AK27" i="97"/>
  <c r="AK105" i="97"/>
  <c r="AJ105" i="97"/>
  <c r="AP105" i="97"/>
  <c r="AO105" i="97"/>
  <c r="AN105" i="97"/>
  <c r="AM105" i="97"/>
  <c r="AL105" i="97"/>
  <c r="AH105" i="97"/>
  <c r="AL104" i="97"/>
  <c r="AK104" i="97"/>
  <c r="AP104" i="97"/>
  <c r="AO104" i="97"/>
  <c r="AN104" i="97"/>
  <c r="AM104" i="97"/>
  <c r="AH104" i="97"/>
  <c r="AI104" i="97"/>
  <c r="AP26" i="97"/>
  <c r="AO26" i="97"/>
  <c r="AM26" i="97"/>
  <c r="AL26" i="97"/>
  <c r="AI26" i="97"/>
  <c r="AH26" i="97"/>
  <c r="AJ26" i="97"/>
  <c r="AP25" i="97"/>
  <c r="AN25" i="97"/>
  <c r="AM25" i="97"/>
  <c r="AJ25" i="97"/>
  <c r="AI25" i="97"/>
  <c r="AH25" i="97"/>
  <c r="AO24" i="97"/>
  <c r="AN24" i="97"/>
  <c r="AK24" i="97"/>
  <c r="AJ24" i="97"/>
  <c r="AI24" i="97"/>
  <c r="AH24" i="97"/>
  <c r="AP23" i="97"/>
  <c r="AO23" i="97"/>
  <c r="AN23" i="97"/>
  <c r="AL23" i="97"/>
  <c r="AK23" i="97"/>
  <c r="AH23" i="97"/>
  <c r="AJ23" i="97"/>
  <c r="AI23" i="97"/>
  <c r="AL22" i="97"/>
  <c r="AP22" i="97"/>
  <c r="AO22" i="97"/>
  <c r="AN22" i="97"/>
  <c r="AM22" i="97"/>
  <c r="AI22" i="97"/>
  <c r="AH22" i="97"/>
  <c r="AJ22" i="97"/>
  <c r="AK21" i="97"/>
  <c r="AJ21" i="97"/>
  <c r="AP21" i="97"/>
  <c r="AO21" i="97"/>
  <c r="AN21" i="97"/>
  <c r="AM21" i="97"/>
  <c r="AL21" i="97"/>
  <c r="AH21" i="97"/>
  <c r="AL20" i="97"/>
  <c r="AK20" i="97"/>
  <c r="AP20" i="97"/>
  <c r="AO20" i="97"/>
  <c r="AN20" i="97"/>
  <c r="AM20" i="97"/>
  <c r="AH20" i="97"/>
  <c r="AI20" i="97"/>
  <c r="AP19" i="97"/>
  <c r="AO19" i="97"/>
  <c r="AM19" i="97"/>
  <c r="AL19" i="97"/>
  <c r="AI19" i="97"/>
  <c r="AH19" i="97"/>
  <c r="AJ19" i="97"/>
  <c r="AP103" i="97"/>
  <c r="AN103" i="97"/>
  <c r="AM103" i="97"/>
  <c r="AJ103" i="97"/>
  <c r="AI103" i="97"/>
  <c r="AH103" i="97"/>
  <c r="AO18" i="97"/>
  <c r="AN18" i="97"/>
  <c r="AK18" i="97"/>
  <c r="AJ18" i="97"/>
  <c r="AI18" i="97"/>
  <c r="AH18" i="97"/>
  <c r="AP17" i="97"/>
  <c r="AO17" i="97"/>
  <c r="AJ17" i="97"/>
  <c r="AN17" i="97"/>
  <c r="AK17" i="97"/>
  <c r="AM17" i="97"/>
  <c r="AL17" i="97"/>
  <c r="AH17" i="97"/>
  <c r="AP16" i="97"/>
  <c r="AO16" i="97"/>
  <c r="AK16" i="97"/>
  <c r="AN16" i="97"/>
  <c r="AL16" i="97"/>
  <c r="AM16" i="97"/>
  <c r="AI16" i="97"/>
  <c r="AH16" i="97"/>
  <c r="AO15" i="97"/>
  <c r="AJ15" i="97"/>
  <c r="AN15" i="97"/>
  <c r="AP15" i="97"/>
  <c r="AK15" i="97"/>
  <c r="AM15" i="97"/>
  <c r="AI15" i="97"/>
  <c r="AP14" i="97"/>
  <c r="AO14" i="97"/>
  <c r="AN14" i="97"/>
  <c r="AL14" i="97"/>
  <c r="AK14" i="97"/>
  <c r="AJ14" i="97"/>
  <c r="AH14" i="97"/>
  <c r="AP13" i="97"/>
  <c r="AO13" i="97"/>
  <c r="AN13" i="97"/>
  <c r="AM13" i="97"/>
  <c r="AL13" i="97"/>
  <c r="AK13" i="97"/>
  <c r="AH13" i="97"/>
  <c r="AI13" i="97"/>
  <c r="AN12" i="97"/>
  <c r="AP12" i="97"/>
  <c r="AM12" i="97"/>
  <c r="AL12" i="97"/>
  <c r="AI12" i="97"/>
  <c r="AH12" i="97"/>
  <c r="AJ12" i="97"/>
  <c r="AO11" i="97"/>
  <c r="AN11" i="97"/>
  <c r="AK11" i="97"/>
  <c r="AM11" i="97"/>
  <c r="AJ11" i="97"/>
  <c r="AI11" i="97"/>
  <c r="AH11" i="97"/>
  <c r="AP10" i="97"/>
  <c r="AO10" i="97"/>
  <c r="AN10" i="97"/>
  <c r="AL10" i="97"/>
  <c r="AK10" i="97"/>
  <c r="AJ10" i="97"/>
  <c r="AI10" i="97"/>
  <c r="AH10" i="97"/>
  <c r="AP9" i="97"/>
  <c r="AO9" i="97"/>
  <c r="AN9" i="97"/>
  <c r="AM9" i="97"/>
  <c r="AL9" i="97"/>
  <c r="AK9" i="97"/>
  <c r="AH9" i="97"/>
  <c r="AJ9" i="97"/>
  <c r="AI9" i="97"/>
  <c r="AP102" i="97"/>
  <c r="AO102" i="97"/>
  <c r="AN102" i="97"/>
  <c r="AM102" i="97"/>
  <c r="AL102" i="97"/>
  <c r="AK102" i="97"/>
  <c r="AI102" i="97"/>
  <c r="AH102" i="97"/>
  <c r="AJ102" i="97"/>
  <c r="AP8" i="97"/>
  <c r="AO8" i="97"/>
  <c r="AN8" i="97"/>
  <c r="AM8" i="97"/>
  <c r="AL8" i="97"/>
  <c r="AK8" i="97"/>
  <c r="AJ8" i="97"/>
  <c r="AI8" i="97"/>
  <c r="AH8" i="97"/>
  <c r="AP7" i="97"/>
  <c r="AO7" i="97"/>
  <c r="AN7" i="97"/>
  <c r="AM7" i="97"/>
  <c r="AL7" i="97"/>
  <c r="AK7" i="97"/>
  <c r="AJ7" i="97"/>
  <c r="AI7" i="97"/>
  <c r="AH7" i="97"/>
  <c r="AP6" i="97"/>
  <c r="AO6" i="97"/>
  <c r="AN6" i="97"/>
  <c r="AM6" i="97"/>
  <c r="AL6" i="97"/>
  <c r="AK6" i="97"/>
  <c r="AH6" i="97"/>
  <c r="AJ6" i="97"/>
  <c r="AI6" i="97"/>
  <c r="AM14" i="97"/>
  <c r="AK30" i="97"/>
  <c r="AK35" i="97"/>
  <c r="AK49" i="97"/>
  <c r="AM56" i="97"/>
  <c r="AL87" i="97"/>
  <c r="AM89" i="97"/>
  <c r="AM10" i="97"/>
  <c r="AL11" i="97"/>
  <c r="AP11" i="97"/>
  <c r="AK12" i="97"/>
  <c r="AO12" i="97"/>
  <c r="AJ16" i="97"/>
  <c r="AI17" i="97"/>
  <c r="AM18" i="97"/>
  <c r="AL103" i="97"/>
  <c r="AN19" i="97"/>
  <c r="AJ20" i="97"/>
  <c r="AI21" i="97"/>
  <c r="AM24" i="97"/>
  <c r="AL25" i="97"/>
  <c r="AN26" i="97"/>
  <c r="AJ104" i="97"/>
  <c r="AI105" i="97"/>
  <c r="AH27" i="97"/>
  <c r="AL29" i="97"/>
  <c r="AN30" i="97"/>
  <c r="AJ31" i="97"/>
  <c r="AI106" i="97"/>
  <c r="AH32" i="97"/>
  <c r="AM34" i="97"/>
  <c r="AN35" i="97"/>
  <c r="AI36" i="97"/>
  <c r="AH37" i="97"/>
  <c r="AM39" i="97"/>
  <c r="AL40" i="97"/>
  <c r="AN108" i="97"/>
  <c r="AJ109" i="97"/>
  <c r="AK41" i="97"/>
  <c r="AI42" i="97"/>
  <c r="AN42" i="97"/>
  <c r="AN52" i="97"/>
  <c r="AJ53" i="97"/>
  <c r="AL53" i="97"/>
  <c r="AK54" i="97"/>
  <c r="AI55" i="97"/>
  <c r="AK55" i="97"/>
  <c r="AL55" i="97"/>
  <c r="AO55" i="97"/>
  <c r="AL63" i="97"/>
  <c r="AL125" i="97"/>
  <c r="AM99" i="97"/>
  <c r="AL15" i="97"/>
  <c r="AK19" i="97"/>
  <c r="AK26" i="97"/>
  <c r="AK108" i="97"/>
  <c r="AK110" i="97"/>
  <c r="AJ13" i="97"/>
  <c r="AI14" i="97"/>
  <c r="AH15" i="97"/>
  <c r="AL18" i="97"/>
  <c r="AP18" i="97"/>
  <c r="AK103" i="97"/>
  <c r="AO103" i="97"/>
  <c r="AK22" i="97"/>
  <c r="AM23" i="97"/>
  <c r="AL24" i="97"/>
  <c r="AP24" i="97"/>
  <c r="AK25" i="97"/>
  <c r="AO25" i="97"/>
  <c r="AK28" i="97"/>
  <c r="AK29" i="97"/>
  <c r="AO29" i="97"/>
  <c r="AK33" i="97"/>
  <c r="AL34" i="97"/>
  <c r="AP34" i="97"/>
  <c r="AK38" i="97"/>
  <c r="AM107" i="97"/>
  <c r="AL39" i="97"/>
  <c r="AP39" i="97"/>
  <c r="AK40" i="97"/>
  <c r="AO40" i="97"/>
  <c r="AN73" i="97"/>
  <c r="AL75" i="97"/>
  <c r="AP75" i="97"/>
  <c r="AM119" i="97"/>
  <c r="AK98" i="97"/>
  <c r="AO98" i="97"/>
  <c r="AM109" i="97"/>
  <c r="AL41" i="97"/>
  <c r="AP41" i="97"/>
  <c r="AK42" i="97"/>
  <c r="AO42" i="97"/>
  <c r="AK47" i="97"/>
  <c r="AM110" i="97"/>
  <c r="AL48" i="97"/>
  <c r="AP48" i="97"/>
  <c r="AK52" i="97"/>
  <c r="AM53" i="97"/>
  <c r="AL54" i="97"/>
  <c r="AP54" i="97"/>
  <c r="AP55" i="97"/>
  <c r="AJ56" i="97"/>
  <c r="AO56" i="97"/>
  <c r="AL61" i="97"/>
  <c r="AM62" i="97"/>
  <c r="AP66" i="97"/>
  <c r="AJ67" i="97"/>
  <c r="AO67" i="97"/>
  <c r="AM116" i="97"/>
  <c r="AL117" i="97"/>
  <c r="AM72" i="97"/>
  <c r="AP76" i="97"/>
  <c r="AJ77" i="97"/>
  <c r="AO77" i="97"/>
  <c r="AM80" i="97"/>
  <c r="AL121" i="97"/>
  <c r="AM122" i="97"/>
  <c r="AP88" i="97"/>
  <c r="AJ89" i="97"/>
  <c r="AO89" i="97"/>
  <c r="AM92" i="97"/>
  <c r="AL93" i="97"/>
  <c r="AM95" i="97"/>
  <c r="AP126" i="97"/>
  <c r="AJ99" i="97"/>
  <c r="AO99" i="97"/>
  <c r="AM41" i="97"/>
  <c r="AL42" i="97"/>
  <c r="AM48" i="97"/>
  <c r="AM54" i="97"/>
  <c r="AL113" i="97"/>
  <c r="AL73" i="97"/>
  <c r="AL83" i="97"/>
  <c r="AL124" i="97"/>
  <c r="AM55" i="97"/>
  <c r="AL56" i="97"/>
  <c r="AP56" i="97"/>
  <c r="AK57" i="97"/>
  <c r="AO57" i="97"/>
  <c r="AK61" i="97"/>
  <c r="AM112" i="97"/>
  <c r="AL62" i="97"/>
  <c r="AP62" i="97"/>
  <c r="AK113" i="97"/>
  <c r="AS113" i="97" s="1"/>
  <c r="BA113" i="97" s="1"/>
  <c r="AO113" i="97"/>
  <c r="AK65" i="97"/>
  <c r="AM66" i="97"/>
  <c r="AL67" i="97"/>
  <c r="AP67" i="97"/>
  <c r="AK68" i="97"/>
  <c r="AO68" i="97"/>
  <c r="AR69" i="97"/>
  <c r="AZ69" i="97" s="1"/>
  <c r="AK117" i="97"/>
  <c r="AM71" i="97"/>
  <c r="AL72" i="97"/>
  <c r="AP72" i="97"/>
  <c r="AK73" i="97"/>
  <c r="AO73" i="97"/>
  <c r="AK119" i="97"/>
  <c r="AM76" i="97"/>
  <c r="AL77" i="97"/>
  <c r="AP77" i="97"/>
  <c r="AK78" i="97"/>
  <c r="AS78" i="97" s="1"/>
  <c r="BA78" i="97" s="1"/>
  <c r="AO78" i="97"/>
  <c r="AK121" i="97"/>
  <c r="AM82" i="97"/>
  <c r="AL122" i="97"/>
  <c r="AP122" i="97"/>
  <c r="AK83" i="97"/>
  <c r="AO83" i="97"/>
  <c r="AK87" i="97"/>
  <c r="AM88" i="97"/>
  <c r="AL89" i="97"/>
  <c r="AP89" i="97"/>
  <c r="AK90" i="97"/>
  <c r="AS90" i="97" s="1"/>
  <c r="BA90" i="97" s="1"/>
  <c r="AO90" i="97"/>
  <c r="AK93" i="97"/>
  <c r="AM94" i="97"/>
  <c r="AL95" i="97"/>
  <c r="AP95" i="97"/>
  <c r="AK124" i="97"/>
  <c r="AK125" i="97"/>
  <c r="AM126" i="97"/>
  <c r="AL99" i="97"/>
  <c r="AP99" i="97"/>
  <c r="AK100" i="97"/>
  <c r="AS100" i="97" s="1"/>
  <c r="BA100" i="97" s="1"/>
  <c r="AO100" i="97"/>
  <c r="AJ55" i="97"/>
  <c r="AI56" i="97"/>
  <c r="AH57" i="97"/>
  <c r="AM59" i="97"/>
  <c r="AL60" i="97"/>
  <c r="AN61" i="97"/>
  <c r="AJ112" i="97"/>
  <c r="AI62" i="97"/>
  <c r="AH113" i="97"/>
  <c r="AM63" i="97"/>
  <c r="AL64" i="97"/>
  <c r="AN65" i="97"/>
  <c r="AT65" i="97" s="1"/>
  <c r="BB65" i="97" s="1"/>
  <c r="AJ66" i="97"/>
  <c r="AR66" i="97" s="1"/>
  <c r="AZ66" i="97" s="1"/>
  <c r="AI67" i="97"/>
  <c r="AH68" i="97"/>
  <c r="AM69" i="97"/>
  <c r="AS69" i="97" s="1"/>
  <c r="BA69" i="97" s="1"/>
  <c r="AL70" i="97"/>
  <c r="AN117" i="97"/>
  <c r="AJ71" i="97"/>
  <c r="AI72" i="97"/>
  <c r="AH73" i="97"/>
  <c r="AM75" i="97"/>
  <c r="AN119" i="97"/>
  <c r="AJ76" i="97"/>
  <c r="AI77" i="97"/>
  <c r="AH78" i="97"/>
  <c r="AM120" i="97"/>
  <c r="AL81" i="97"/>
  <c r="AN121" i="97"/>
  <c r="AJ82" i="97"/>
  <c r="AI122" i="97"/>
  <c r="AH83" i="97"/>
  <c r="AM86" i="97"/>
  <c r="AN87" i="97"/>
  <c r="AJ88" i="97"/>
  <c r="AI89" i="97"/>
  <c r="AH90" i="97"/>
  <c r="AL123" i="97"/>
  <c r="AN93" i="97"/>
  <c r="AJ94" i="97"/>
  <c r="AR94" i="97" s="1"/>
  <c r="AZ94" i="97" s="1"/>
  <c r="AI95" i="97"/>
  <c r="AH124" i="97"/>
  <c r="AL98" i="97"/>
  <c r="AN125" i="97"/>
  <c r="AJ126" i="97"/>
  <c r="AI99" i="97"/>
  <c r="AH100" i="97"/>
  <c r="F4" i="96"/>
  <c r="E4" i="96"/>
  <c r="N82" i="95"/>
  <c r="X82" i="95" s="1"/>
  <c r="J82" i="95"/>
  <c r="U82" i="95" s="1"/>
  <c r="F82" i="95"/>
  <c r="N12" i="95"/>
  <c r="X12" i="95" s="1"/>
  <c r="J12" i="95"/>
  <c r="U12" i="95" s="1"/>
  <c r="F12" i="95"/>
  <c r="R12" i="95" s="1"/>
  <c r="N81" i="95"/>
  <c r="X81" i="95" s="1"/>
  <c r="J81" i="95"/>
  <c r="U81" i="95" s="1"/>
  <c r="F81" i="95"/>
  <c r="R81" i="95" s="1"/>
  <c r="N99" i="95"/>
  <c r="X99" i="95" s="1"/>
  <c r="J99" i="95"/>
  <c r="U99" i="95" s="1"/>
  <c r="F99" i="95"/>
  <c r="R99" i="95" s="1"/>
  <c r="N83" i="95"/>
  <c r="X83" i="95" s="1"/>
  <c r="J83" i="95"/>
  <c r="U83" i="95" s="1"/>
  <c r="F83" i="95"/>
  <c r="R83" i="95" s="1"/>
  <c r="N33" i="95"/>
  <c r="X33" i="95" s="1"/>
  <c r="J33" i="95"/>
  <c r="U33" i="95" s="1"/>
  <c r="F33" i="95"/>
  <c r="R33" i="95" s="1"/>
  <c r="N14" i="95"/>
  <c r="X14" i="95" s="1"/>
  <c r="J14" i="95"/>
  <c r="U14" i="95" s="1"/>
  <c r="F14" i="95"/>
  <c r="R14" i="95" s="1"/>
  <c r="N44" i="95"/>
  <c r="X44" i="95" s="1"/>
  <c r="J44" i="95"/>
  <c r="U44" i="95" s="1"/>
  <c r="F44" i="95"/>
  <c r="R44" i="95" s="1"/>
  <c r="N25" i="95"/>
  <c r="X25" i="95" s="1"/>
  <c r="J25" i="95"/>
  <c r="U25" i="95" s="1"/>
  <c r="F25" i="95"/>
  <c r="R25" i="95" s="1"/>
  <c r="N7" i="95"/>
  <c r="J7" i="95"/>
  <c r="F7" i="95"/>
  <c r="R7" i="95" s="1"/>
  <c r="W125" i="95"/>
  <c r="V125" i="95"/>
  <c r="W124" i="95"/>
  <c r="V124" i="95"/>
  <c r="W123" i="95"/>
  <c r="V123" i="95"/>
  <c r="W122" i="95"/>
  <c r="V122" i="95"/>
  <c r="W121" i="95"/>
  <c r="V121" i="95"/>
  <c r="W120" i="95"/>
  <c r="V120" i="95"/>
  <c r="W119" i="95"/>
  <c r="V119" i="95"/>
  <c r="W118" i="95"/>
  <c r="V118" i="95"/>
  <c r="W117" i="95"/>
  <c r="V117" i="95"/>
  <c r="W116" i="95"/>
  <c r="V116" i="95"/>
  <c r="W115" i="95"/>
  <c r="V115" i="95"/>
  <c r="W114" i="95"/>
  <c r="V114" i="95"/>
  <c r="W113" i="95"/>
  <c r="V113" i="95"/>
  <c r="W112" i="95"/>
  <c r="V112" i="95"/>
  <c r="W111" i="95"/>
  <c r="V111" i="95"/>
  <c r="W110" i="95"/>
  <c r="V110" i="95"/>
  <c r="W109" i="95"/>
  <c r="V109" i="95"/>
  <c r="W108" i="95"/>
  <c r="V108" i="95"/>
  <c r="W107" i="95"/>
  <c r="V107" i="95"/>
  <c r="W106" i="95"/>
  <c r="V106" i="95"/>
  <c r="W105" i="95"/>
  <c r="V105" i="95"/>
  <c r="W104" i="95"/>
  <c r="V104" i="95"/>
  <c r="W103" i="95"/>
  <c r="V103" i="95"/>
  <c r="W102" i="95"/>
  <c r="V102" i="95"/>
  <c r="W101" i="95"/>
  <c r="V101" i="95"/>
  <c r="W100" i="95"/>
  <c r="V100" i="95"/>
  <c r="W99" i="95"/>
  <c r="V99" i="95"/>
  <c r="W98" i="95"/>
  <c r="V98" i="95"/>
  <c r="W97" i="95"/>
  <c r="V97" i="95"/>
  <c r="W96" i="95"/>
  <c r="V96" i="95"/>
  <c r="W95" i="95"/>
  <c r="V95" i="95"/>
  <c r="W94" i="95"/>
  <c r="V94" i="95"/>
  <c r="W93" i="95"/>
  <c r="V93" i="95"/>
  <c r="W92" i="95"/>
  <c r="V92" i="95"/>
  <c r="W91" i="95"/>
  <c r="V91" i="95"/>
  <c r="W90" i="95"/>
  <c r="V90" i="95"/>
  <c r="W89" i="95"/>
  <c r="V89" i="95"/>
  <c r="W88" i="95"/>
  <c r="V88" i="95"/>
  <c r="W87" i="95"/>
  <c r="V87" i="95"/>
  <c r="W86" i="95"/>
  <c r="V86" i="95"/>
  <c r="W85" i="95"/>
  <c r="V85" i="95"/>
  <c r="W84" i="95"/>
  <c r="V84" i="95"/>
  <c r="W83" i="95"/>
  <c r="V83" i="95"/>
  <c r="W82" i="95"/>
  <c r="V82" i="95"/>
  <c r="W81" i="95"/>
  <c r="V81" i="95"/>
  <c r="W80" i="95"/>
  <c r="V80" i="95"/>
  <c r="W79" i="95"/>
  <c r="V79" i="95"/>
  <c r="W78" i="95"/>
  <c r="V78" i="95"/>
  <c r="W77" i="95"/>
  <c r="V77" i="95"/>
  <c r="W76" i="95"/>
  <c r="V76" i="95"/>
  <c r="W75" i="95"/>
  <c r="V75" i="95"/>
  <c r="W74" i="95"/>
  <c r="V74" i="95"/>
  <c r="W73" i="95"/>
  <c r="V73" i="95"/>
  <c r="W72" i="95"/>
  <c r="V72" i="95"/>
  <c r="W71" i="95"/>
  <c r="V71" i="95"/>
  <c r="W70" i="95"/>
  <c r="V70" i="95"/>
  <c r="W69" i="95"/>
  <c r="V69" i="95"/>
  <c r="W68" i="95"/>
  <c r="V68" i="95"/>
  <c r="W67" i="95"/>
  <c r="V67" i="95"/>
  <c r="W66" i="95"/>
  <c r="V66" i="95"/>
  <c r="W65" i="95"/>
  <c r="V65" i="95"/>
  <c r="W64" i="95"/>
  <c r="V64" i="95"/>
  <c r="W63" i="95"/>
  <c r="V63" i="95"/>
  <c r="W62" i="95"/>
  <c r="V62" i="95"/>
  <c r="W61" i="95"/>
  <c r="V61" i="95"/>
  <c r="W60" i="95"/>
  <c r="V60" i="95"/>
  <c r="W59" i="95"/>
  <c r="V59" i="95"/>
  <c r="W58" i="95"/>
  <c r="V58" i="95"/>
  <c r="W57" i="95"/>
  <c r="V57" i="95"/>
  <c r="W56" i="95"/>
  <c r="V56" i="95"/>
  <c r="W55" i="95"/>
  <c r="V55" i="95"/>
  <c r="W54" i="95"/>
  <c r="V54" i="95"/>
  <c r="W53" i="95"/>
  <c r="V53" i="95"/>
  <c r="W52" i="95"/>
  <c r="V52" i="95"/>
  <c r="W51" i="95"/>
  <c r="V51" i="95"/>
  <c r="W50" i="95"/>
  <c r="V50" i="95"/>
  <c r="W49" i="95"/>
  <c r="V49" i="95"/>
  <c r="W48" i="95"/>
  <c r="V48" i="95"/>
  <c r="W47" i="95"/>
  <c r="V47" i="95"/>
  <c r="W46" i="95"/>
  <c r="V46" i="95"/>
  <c r="W45" i="95"/>
  <c r="V45" i="95"/>
  <c r="W44" i="95"/>
  <c r="V44" i="95"/>
  <c r="W43" i="95"/>
  <c r="V43" i="95"/>
  <c r="W42" i="95"/>
  <c r="V42" i="95"/>
  <c r="W41" i="95"/>
  <c r="V41" i="95"/>
  <c r="W40" i="95"/>
  <c r="V40" i="95"/>
  <c r="W39" i="95"/>
  <c r="V39" i="95"/>
  <c r="W38" i="95"/>
  <c r="V38" i="95"/>
  <c r="W37" i="95"/>
  <c r="V37" i="95"/>
  <c r="W36" i="95"/>
  <c r="V36" i="95"/>
  <c r="W35" i="95"/>
  <c r="V35" i="95"/>
  <c r="W34" i="95"/>
  <c r="V34" i="95"/>
  <c r="W33" i="95"/>
  <c r="V33" i="95"/>
  <c r="W32" i="95"/>
  <c r="V32" i="95"/>
  <c r="W31" i="95"/>
  <c r="V31" i="95"/>
  <c r="W30" i="95"/>
  <c r="V30" i="95"/>
  <c r="W29" i="95"/>
  <c r="V29" i="95"/>
  <c r="W28" i="95"/>
  <c r="V28" i="95"/>
  <c r="W27" i="95"/>
  <c r="V27" i="95"/>
  <c r="W26" i="95"/>
  <c r="V26" i="95"/>
  <c r="W25" i="95"/>
  <c r="V25" i="95"/>
  <c r="W24" i="95"/>
  <c r="V24" i="95"/>
  <c r="W23" i="95"/>
  <c r="V23" i="95"/>
  <c r="W22" i="95"/>
  <c r="V22" i="95"/>
  <c r="W21" i="95"/>
  <c r="V21" i="95"/>
  <c r="W20" i="95"/>
  <c r="V20" i="95"/>
  <c r="W19" i="95"/>
  <c r="V19" i="95"/>
  <c r="W18" i="95"/>
  <c r="V18" i="95"/>
  <c r="W17" i="95"/>
  <c r="V17" i="95"/>
  <c r="W16" i="95"/>
  <c r="V16" i="95"/>
  <c r="W15" i="95"/>
  <c r="V15" i="95"/>
  <c r="W14" i="95"/>
  <c r="V14" i="95"/>
  <c r="W13" i="95"/>
  <c r="V13" i="95"/>
  <c r="W12" i="95"/>
  <c r="V12" i="95"/>
  <c r="W11" i="95"/>
  <c r="V11" i="95"/>
  <c r="W10" i="95"/>
  <c r="V10" i="95"/>
  <c r="W9" i="95"/>
  <c r="V9" i="95"/>
  <c r="W8" i="95"/>
  <c r="V8" i="95"/>
  <c r="W7" i="95"/>
  <c r="V7" i="95"/>
  <c r="W6" i="95"/>
  <c r="V6" i="95"/>
  <c r="W5" i="95"/>
  <c r="V5" i="95"/>
  <c r="T125" i="95"/>
  <c r="S125" i="95"/>
  <c r="T124" i="95"/>
  <c r="S124" i="95"/>
  <c r="T123" i="95"/>
  <c r="S123" i="95"/>
  <c r="T122" i="95"/>
  <c r="S122" i="95"/>
  <c r="T121" i="95"/>
  <c r="S121" i="95"/>
  <c r="T120" i="95"/>
  <c r="S120" i="95"/>
  <c r="T119" i="95"/>
  <c r="S119" i="95"/>
  <c r="T118" i="95"/>
  <c r="S118" i="95"/>
  <c r="T117" i="95"/>
  <c r="S117" i="95"/>
  <c r="T116" i="95"/>
  <c r="S116" i="95"/>
  <c r="T115" i="95"/>
  <c r="S115" i="95"/>
  <c r="T114" i="95"/>
  <c r="S114" i="95"/>
  <c r="T113" i="95"/>
  <c r="S113" i="95"/>
  <c r="T112" i="95"/>
  <c r="S112" i="95"/>
  <c r="T111" i="95"/>
  <c r="S111" i="95"/>
  <c r="T110" i="95"/>
  <c r="S110" i="95"/>
  <c r="T109" i="95"/>
  <c r="S109" i="95"/>
  <c r="T108" i="95"/>
  <c r="S108" i="95"/>
  <c r="T107" i="95"/>
  <c r="S107" i="95"/>
  <c r="T106" i="95"/>
  <c r="S106" i="95"/>
  <c r="T105" i="95"/>
  <c r="S105" i="95"/>
  <c r="T104" i="95"/>
  <c r="S104" i="95"/>
  <c r="T103" i="95"/>
  <c r="S103" i="95"/>
  <c r="T102" i="95"/>
  <c r="S102" i="95"/>
  <c r="T101" i="95"/>
  <c r="S101" i="95"/>
  <c r="T100" i="95"/>
  <c r="S100" i="95"/>
  <c r="T99" i="95"/>
  <c r="S99" i="95"/>
  <c r="T98" i="95"/>
  <c r="S98" i="95"/>
  <c r="T97" i="95"/>
  <c r="S97" i="95"/>
  <c r="T96" i="95"/>
  <c r="S96" i="95"/>
  <c r="T95" i="95"/>
  <c r="S95" i="95"/>
  <c r="T94" i="95"/>
  <c r="S94" i="95"/>
  <c r="T93" i="95"/>
  <c r="S93" i="95"/>
  <c r="T92" i="95"/>
  <c r="S92" i="95"/>
  <c r="T91" i="95"/>
  <c r="S91" i="95"/>
  <c r="T90" i="95"/>
  <c r="S90" i="95"/>
  <c r="T89" i="95"/>
  <c r="S89" i="95"/>
  <c r="T88" i="95"/>
  <c r="S88" i="95"/>
  <c r="T87" i="95"/>
  <c r="S87" i="95"/>
  <c r="T86" i="95"/>
  <c r="S86" i="95"/>
  <c r="T85" i="95"/>
  <c r="S85" i="95"/>
  <c r="T84" i="95"/>
  <c r="S84" i="95"/>
  <c r="T83" i="95"/>
  <c r="S83" i="95"/>
  <c r="T82" i="95"/>
  <c r="S82" i="95"/>
  <c r="T81" i="95"/>
  <c r="S81" i="95"/>
  <c r="T80" i="95"/>
  <c r="S80" i="95"/>
  <c r="T79" i="95"/>
  <c r="S79" i="95"/>
  <c r="T78" i="95"/>
  <c r="S78" i="95"/>
  <c r="T77" i="95"/>
  <c r="S77" i="95"/>
  <c r="T76" i="95"/>
  <c r="S76" i="95"/>
  <c r="T75" i="95"/>
  <c r="S75" i="95"/>
  <c r="T74" i="95"/>
  <c r="S74" i="95"/>
  <c r="T73" i="95"/>
  <c r="S73" i="95"/>
  <c r="T72" i="95"/>
  <c r="S72" i="95"/>
  <c r="T71" i="95"/>
  <c r="S71" i="95"/>
  <c r="T70" i="95"/>
  <c r="S70" i="95"/>
  <c r="T69" i="95"/>
  <c r="S69" i="95"/>
  <c r="T68" i="95"/>
  <c r="S68" i="95"/>
  <c r="T67" i="95"/>
  <c r="S67" i="95"/>
  <c r="T66" i="95"/>
  <c r="S66" i="95"/>
  <c r="T65" i="95"/>
  <c r="S65" i="95"/>
  <c r="T64" i="95"/>
  <c r="S64" i="95"/>
  <c r="T63" i="95"/>
  <c r="S63" i="95"/>
  <c r="T62" i="95"/>
  <c r="S62" i="95"/>
  <c r="T61" i="95"/>
  <c r="S61" i="95"/>
  <c r="T60" i="95"/>
  <c r="S60" i="95"/>
  <c r="T59" i="95"/>
  <c r="S59" i="95"/>
  <c r="T58" i="95"/>
  <c r="S58" i="95"/>
  <c r="T57" i="95"/>
  <c r="S57" i="95"/>
  <c r="T56" i="95"/>
  <c r="S56" i="95"/>
  <c r="T55" i="95"/>
  <c r="S55" i="95"/>
  <c r="T54" i="95"/>
  <c r="S54" i="95"/>
  <c r="T53" i="95"/>
  <c r="S53" i="95"/>
  <c r="T52" i="95"/>
  <c r="S52" i="95"/>
  <c r="T51" i="95"/>
  <c r="S51" i="95"/>
  <c r="T50" i="95"/>
  <c r="S50" i="95"/>
  <c r="T49" i="95"/>
  <c r="S49" i="95"/>
  <c r="T48" i="95"/>
  <c r="S48" i="95"/>
  <c r="T47" i="95"/>
  <c r="S47" i="95"/>
  <c r="T46" i="95"/>
  <c r="S46" i="95"/>
  <c r="T45" i="95"/>
  <c r="S45" i="95"/>
  <c r="T44" i="95"/>
  <c r="S44" i="95"/>
  <c r="T43" i="95"/>
  <c r="S43" i="95"/>
  <c r="T42" i="95"/>
  <c r="S42" i="95"/>
  <c r="T41" i="95"/>
  <c r="S41" i="95"/>
  <c r="T40" i="95"/>
  <c r="S40" i="95"/>
  <c r="T39" i="95"/>
  <c r="S39" i="95"/>
  <c r="T38" i="95"/>
  <c r="S38" i="95"/>
  <c r="T37" i="95"/>
  <c r="S37" i="95"/>
  <c r="T36" i="95"/>
  <c r="S36" i="95"/>
  <c r="T35" i="95"/>
  <c r="S35" i="95"/>
  <c r="T34" i="95"/>
  <c r="S34" i="95"/>
  <c r="T33" i="95"/>
  <c r="S33" i="95"/>
  <c r="T32" i="95"/>
  <c r="S32" i="95"/>
  <c r="T31" i="95"/>
  <c r="S31" i="95"/>
  <c r="T30" i="95"/>
  <c r="S30" i="95"/>
  <c r="T29" i="95"/>
  <c r="S29" i="95"/>
  <c r="T28" i="95"/>
  <c r="S28" i="95"/>
  <c r="T27" i="95"/>
  <c r="S27" i="95"/>
  <c r="T26" i="95"/>
  <c r="S26" i="95"/>
  <c r="T25" i="95"/>
  <c r="S25" i="95"/>
  <c r="T24" i="95"/>
  <c r="S24" i="95"/>
  <c r="T23" i="95"/>
  <c r="S23" i="95"/>
  <c r="T22" i="95"/>
  <c r="S22" i="95"/>
  <c r="T21" i="95"/>
  <c r="S21" i="95"/>
  <c r="T20" i="95"/>
  <c r="S20" i="95"/>
  <c r="T19" i="95"/>
  <c r="S19" i="95"/>
  <c r="T18" i="95"/>
  <c r="S18" i="95"/>
  <c r="T17" i="95"/>
  <c r="S17" i="95"/>
  <c r="T16" i="95"/>
  <c r="S16" i="95"/>
  <c r="T15" i="95"/>
  <c r="S15" i="95"/>
  <c r="T14" i="95"/>
  <c r="S14" i="95"/>
  <c r="T13" i="95"/>
  <c r="S13" i="95"/>
  <c r="T12" i="95"/>
  <c r="S12" i="95"/>
  <c r="T11" i="95"/>
  <c r="S11" i="95"/>
  <c r="T10" i="95"/>
  <c r="S10" i="95"/>
  <c r="T9" i="95"/>
  <c r="S9" i="95"/>
  <c r="T8" i="95"/>
  <c r="S8" i="95"/>
  <c r="U7" i="95"/>
  <c r="T7" i="95"/>
  <c r="S7" i="95"/>
  <c r="T6" i="95"/>
  <c r="S6" i="95"/>
  <c r="T5" i="95"/>
  <c r="S5" i="95"/>
  <c r="Q125" i="95"/>
  <c r="P125" i="95"/>
  <c r="Q124" i="95"/>
  <c r="P124" i="95"/>
  <c r="Q123" i="95"/>
  <c r="P123" i="95"/>
  <c r="Q122" i="95"/>
  <c r="P122" i="95"/>
  <c r="Q121" i="95"/>
  <c r="P121" i="95"/>
  <c r="Q120" i="95"/>
  <c r="P120" i="95"/>
  <c r="Q119" i="95"/>
  <c r="P119" i="95"/>
  <c r="Q118" i="95"/>
  <c r="P118" i="95"/>
  <c r="Q117" i="95"/>
  <c r="P117" i="95"/>
  <c r="Q116" i="95"/>
  <c r="P116" i="95"/>
  <c r="Q115" i="95"/>
  <c r="P115" i="95"/>
  <c r="Q114" i="95"/>
  <c r="P114" i="95"/>
  <c r="Q113" i="95"/>
  <c r="P113" i="95"/>
  <c r="Q112" i="95"/>
  <c r="P112" i="95"/>
  <c r="Q111" i="95"/>
  <c r="P111" i="95"/>
  <c r="Q110" i="95"/>
  <c r="P110" i="95"/>
  <c r="Q109" i="95"/>
  <c r="P109" i="95"/>
  <c r="Q108" i="95"/>
  <c r="P108" i="95"/>
  <c r="Q107" i="95"/>
  <c r="P107" i="95"/>
  <c r="Q106" i="95"/>
  <c r="P106" i="95"/>
  <c r="Q105" i="95"/>
  <c r="P105" i="95"/>
  <c r="Q104" i="95"/>
  <c r="P104" i="95"/>
  <c r="Q103" i="95"/>
  <c r="P103" i="95"/>
  <c r="Q102" i="95"/>
  <c r="P102" i="95"/>
  <c r="Q101" i="95"/>
  <c r="P101" i="95"/>
  <c r="Q100" i="95"/>
  <c r="P100" i="95"/>
  <c r="Q99" i="95"/>
  <c r="P99" i="95"/>
  <c r="Q98" i="95"/>
  <c r="P98" i="95"/>
  <c r="Q97" i="95"/>
  <c r="P97" i="95"/>
  <c r="Q96" i="95"/>
  <c r="P96" i="95"/>
  <c r="Q95" i="95"/>
  <c r="P95" i="95"/>
  <c r="Q94" i="95"/>
  <c r="P94" i="95"/>
  <c r="Q93" i="95"/>
  <c r="P93" i="95"/>
  <c r="Q92" i="95"/>
  <c r="P92" i="95"/>
  <c r="Q91" i="95"/>
  <c r="P91" i="95"/>
  <c r="Q90" i="95"/>
  <c r="P90" i="95"/>
  <c r="Q89" i="95"/>
  <c r="P89" i="95"/>
  <c r="Q88" i="95"/>
  <c r="P88" i="95"/>
  <c r="Q87" i="95"/>
  <c r="P87" i="95"/>
  <c r="Q86" i="95"/>
  <c r="P86" i="95"/>
  <c r="Q85" i="95"/>
  <c r="P85" i="95"/>
  <c r="Q84" i="95"/>
  <c r="P84" i="95"/>
  <c r="Q83" i="95"/>
  <c r="P83" i="95"/>
  <c r="Q82" i="95"/>
  <c r="P82" i="95"/>
  <c r="Q81" i="95"/>
  <c r="P81" i="95"/>
  <c r="Q80" i="95"/>
  <c r="P80" i="95"/>
  <c r="Q79" i="95"/>
  <c r="P79" i="95"/>
  <c r="Q78" i="95"/>
  <c r="P78" i="95"/>
  <c r="Q77" i="95"/>
  <c r="P77" i="95"/>
  <c r="Q76" i="95"/>
  <c r="P76" i="95"/>
  <c r="Q75" i="95"/>
  <c r="P75" i="95"/>
  <c r="Q74" i="95"/>
  <c r="P74" i="95"/>
  <c r="Q73" i="95"/>
  <c r="P73" i="95"/>
  <c r="Q72" i="95"/>
  <c r="P72" i="95"/>
  <c r="Q71" i="95"/>
  <c r="P71" i="95"/>
  <c r="Q70" i="95"/>
  <c r="P70" i="95"/>
  <c r="Q69" i="95"/>
  <c r="P69" i="95"/>
  <c r="Q68" i="95"/>
  <c r="P68" i="95"/>
  <c r="Q67" i="95"/>
  <c r="P67" i="95"/>
  <c r="Q66" i="95"/>
  <c r="P66" i="95"/>
  <c r="Q65" i="95"/>
  <c r="P65" i="95"/>
  <c r="Q64" i="95"/>
  <c r="P64" i="95"/>
  <c r="Q63" i="95"/>
  <c r="P63" i="95"/>
  <c r="Q62" i="95"/>
  <c r="P62" i="95"/>
  <c r="Q61" i="95"/>
  <c r="P61" i="95"/>
  <c r="Q60" i="95"/>
  <c r="P60" i="95"/>
  <c r="Q59" i="95"/>
  <c r="P59" i="95"/>
  <c r="Q58" i="95"/>
  <c r="P58" i="95"/>
  <c r="Q57" i="95"/>
  <c r="P57" i="95"/>
  <c r="Q56" i="95"/>
  <c r="P56" i="95"/>
  <c r="Q55" i="95"/>
  <c r="P55" i="95"/>
  <c r="Q54" i="95"/>
  <c r="P54" i="95"/>
  <c r="Q53" i="95"/>
  <c r="P53" i="95"/>
  <c r="Q52" i="95"/>
  <c r="P52" i="95"/>
  <c r="Q51" i="95"/>
  <c r="P51" i="95"/>
  <c r="Q50" i="95"/>
  <c r="P50" i="95"/>
  <c r="Q49" i="95"/>
  <c r="P49" i="95"/>
  <c r="Q48" i="95"/>
  <c r="P48" i="95"/>
  <c r="Q47" i="95"/>
  <c r="P47" i="95"/>
  <c r="Q46" i="95"/>
  <c r="P46" i="95"/>
  <c r="Q45" i="95"/>
  <c r="P45" i="95"/>
  <c r="Q44" i="95"/>
  <c r="P44" i="95"/>
  <c r="Q43" i="95"/>
  <c r="P43" i="95"/>
  <c r="Q42" i="95"/>
  <c r="P42" i="95"/>
  <c r="Q41" i="95"/>
  <c r="P41" i="95"/>
  <c r="Q40" i="95"/>
  <c r="P40" i="95"/>
  <c r="Q39" i="95"/>
  <c r="P39" i="95"/>
  <c r="Q38" i="95"/>
  <c r="P38" i="95"/>
  <c r="Q37" i="95"/>
  <c r="P37" i="95"/>
  <c r="Q36" i="95"/>
  <c r="P36" i="95"/>
  <c r="Q35" i="95"/>
  <c r="P35" i="95"/>
  <c r="Q34" i="95"/>
  <c r="P34" i="95"/>
  <c r="Q33" i="95"/>
  <c r="P33" i="95"/>
  <c r="Q32" i="95"/>
  <c r="P32" i="95"/>
  <c r="Q31" i="95"/>
  <c r="P31" i="95"/>
  <c r="Q30" i="95"/>
  <c r="P30" i="95"/>
  <c r="Q29" i="95"/>
  <c r="P29" i="95"/>
  <c r="Q28" i="95"/>
  <c r="P28" i="95"/>
  <c r="Q27" i="95"/>
  <c r="P27" i="95"/>
  <c r="Q26" i="95"/>
  <c r="P26" i="95"/>
  <c r="Q25" i="95"/>
  <c r="P25" i="95"/>
  <c r="Q24" i="95"/>
  <c r="P24" i="95"/>
  <c r="Q23" i="95"/>
  <c r="P23" i="95"/>
  <c r="Q22" i="95"/>
  <c r="P22" i="95"/>
  <c r="Q21" i="95"/>
  <c r="P21" i="95"/>
  <c r="Q20" i="95"/>
  <c r="P20" i="95"/>
  <c r="Q19" i="95"/>
  <c r="P19" i="95"/>
  <c r="Q18" i="95"/>
  <c r="P18" i="95"/>
  <c r="Q17" i="95"/>
  <c r="P17" i="95"/>
  <c r="Q16" i="95"/>
  <c r="P16" i="95"/>
  <c r="Q15" i="95"/>
  <c r="P15" i="95"/>
  <c r="Q14" i="95"/>
  <c r="P14" i="95"/>
  <c r="Q13" i="95"/>
  <c r="P13" i="95"/>
  <c r="Q12" i="95"/>
  <c r="P12" i="95"/>
  <c r="Q11" i="95"/>
  <c r="P11" i="95"/>
  <c r="Q10" i="95"/>
  <c r="P10" i="95"/>
  <c r="Q9" i="95"/>
  <c r="P9" i="95"/>
  <c r="Q8" i="95"/>
  <c r="P8" i="95"/>
  <c r="Q7" i="95"/>
  <c r="P7" i="95"/>
  <c r="Q6" i="95"/>
  <c r="P6" i="95"/>
  <c r="Q5" i="95"/>
  <c r="P5" i="95"/>
  <c r="M4" i="95"/>
  <c r="L4" i="95"/>
  <c r="K4" i="95"/>
  <c r="I4" i="95"/>
  <c r="H4" i="95"/>
  <c r="G4" i="95"/>
  <c r="E4" i="95"/>
  <c r="D4" i="95"/>
  <c r="C4" i="95"/>
  <c r="N125" i="95"/>
  <c r="X125" i="95" s="1"/>
  <c r="N124" i="95"/>
  <c r="X124" i="95" s="1"/>
  <c r="N123" i="95"/>
  <c r="X123" i="95" s="1"/>
  <c r="N122" i="95"/>
  <c r="X122" i="95" s="1"/>
  <c r="N121" i="95"/>
  <c r="X121" i="95" s="1"/>
  <c r="N120" i="95"/>
  <c r="X120" i="95" s="1"/>
  <c r="N119" i="95"/>
  <c r="X119" i="95" s="1"/>
  <c r="N118" i="95"/>
  <c r="X118" i="95" s="1"/>
  <c r="N117" i="95"/>
  <c r="X117" i="95" s="1"/>
  <c r="N116" i="95"/>
  <c r="X116" i="95" s="1"/>
  <c r="N115" i="95"/>
  <c r="X115" i="95" s="1"/>
  <c r="N114" i="95"/>
  <c r="X114" i="95" s="1"/>
  <c r="N113" i="95"/>
  <c r="X113" i="95" s="1"/>
  <c r="N112" i="95"/>
  <c r="X112" i="95" s="1"/>
  <c r="N111" i="95"/>
  <c r="X111" i="95" s="1"/>
  <c r="N110" i="95"/>
  <c r="X110" i="95" s="1"/>
  <c r="N109" i="95"/>
  <c r="X109" i="95" s="1"/>
  <c r="N108" i="95"/>
  <c r="X108" i="95" s="1"/>
  <c r="N107" i="95"/>
  <c r="X107" i="95" s="1"/>
  <c r="N106" i="95"/>
  <c r="X106" i="95" s="1"/>
  <c r="N105" i="95"/>
  <c r="X105" i="95" s="1"/>
  <c r="N104" i="95"/>
  <c r="X104" i="95" s="1"/>
  <c r="N103" i="95"/>
  <c r="X103" i="95" s="1"/>
  <c r="N102" i="95"/>
  <c r="X102" i="95" s="1"/>
  <c r="N101" i="95"/>
  <c r="X101" i="95" s="1"/>
  <c r="N100" i="95"/>
  <c r="X100" i="95" s="1"/>
  <c r="N98" i="95"/>
  <c r="X98" i="95" s="1"/>
  <c r="N97" i="95"/>
  <c r="X97" i="95" s="1"/>
  <c r="N96" i="95"/>
  <c r="X96" i="95" s="1"/>
  <c r="N95" i="95"/>
  <c r="X95" i="95" s="1"/>
  <c r="N94" i="95"/>
  <c r="X94" i="95" s="1"/>
  <c r="N93" i="95"/>
  <c r="X93" i="95" s="1"/>
  <c r="N92" i="95"/>
  <c r="X92" i="95" s="1"/>
  <c r="N91" i="95"/>
  <c r="X91" i="95" s="1"/>
  <c r="N90" i="95"/>
  <c r="X90" i="95" s="1"/>
  <c r="N89" i="95"/>
  <c r="X89" i="95" s="1"/>
  <c r="N88" i="95"/>
  <c r="X88" i="95" s="1"/>
  <c r="N87" i="95"/>
  <c r="X87" i="95" s="1"/>
  <c r="N86" i="95"/>
  <c r="X86" i="95" s="1"/>
  <c r="N85" i="95"/>
  <c r="X85" i="95" s="1"/>
  <c r="N84" i="95"/>
  <c r="X84" i="95" s="1"/>
  <c r="N80" i="95"/>
  <c r="X80" i="95" s="1"/>
  <c r="N79" i="95"/>
  <c r="X79" i="95" s="1"/>
  <c r="N78" i="95"/>
  <c r="X78" i="95" s="1"/>
  <c r="N77" i="95"/>
  <c r="X77" i="95" s="1"/>
  <c r="N76" i="95"/>
  <c r="X76" i="95" s="1"/>
  <c r="N75" i="95"/>
  <c r="X75" i="95" s="1"/>
  <c r="N74" i="95"/>
  <c r="X74" i="95" s="1"/>
  <c r="N73" i="95"/>
  <c r="X73" i="95" s="1"/>
  <c r="N72" i="95"/>
  <c r="X72" i="95" s="1"/>
  <c r="N71" i="95"/>
  <c r="X71" i="95" s="1"/>
  <c r="N70" i="95"/>
  <c r="X70" i="95" s="1"/>
  <c r="N69" i="95"/>
  <c r="X69" i="95" s="1"/>
  <c r="N68" i="95"/>
  <c r="X68" i="95" s="1"/>
  <c r="N67" i="95"/>
  <c r="X67" i="95" s="1"/>
  <c r="N66" i="95"/>
  <c r="X66" i="95" s="1"/>
  <c r="N65" i="95"/>
  <c r="X65" i="95" s="1"/>
  <c r="N64" i="95"/>
  <c r="X64" i="95" s="1"/>
  <c r="N63" i="95"/>
  <c r="X63" i="95" s="1"/>
  <c r="N62" i="95"/>
  <c r="X62" i="95" s="1"/>
  <c r="N61" i="95"/>
  <c r="X61" i="95" s="1"/>
  <c r="N60" i="95"/>
  <c r="X60" i="95" s="1"/>
  <c r="N59" i="95"/>
  <c r="X59" i="95" s="1"/>
  <c r="N58" i="95"/>
  <c r="X58" i="95" s="1"/>
  <c r="N57" i="95"/>
  <c r="X57" i="95" s="1"/>
  <c r="N56" i="95"/>
  <c r="X56" i="95" s="1"/>
  <c r="N55" i="95"/>
  <c r="X55" i="95" s="1"/>
  <c r="N54" i="95"/>
  <c r="X54" i="95" s="1"/>
  <c r="N53" i="95"/>
  <c r="X53" i="95" s="1"/>
  <c r="N52" i="95"/>
  <c r="X52" i="95" s="1"/>
  <c r="N51" i="95"/>
  <c r="X51" i="95" s="1"/>
  <c r="N50" i="95"/>
  <c r="X50" i="95" s="1"/>
  <c r="N49" i="95"/>
  <c r="X49" i="95" s="1"/>
  <c r="N48" i="95"/>
  <c r="X48" i="95" s="1"/>
  <c r="N47" i="95"/>
  <c r="X47" i="95" s="1"/>
  <c r="N46" i="95"/>
  <c r="X46" i="95" s="1"/>
  <c r="N45" i="95"/>
  <c r="X45" i="95" s="1"/>
  <c r="N43" i="95"/>
  <c r="X43" i="95" s="1"/>
  <c r="N42" i="95"/>
  <c r="X42" i="95" s="1"/>
  <c r="N41" i="95"/>
  <c r="X41" i="95" s="1"/>
  <c r="N40" i="95"/>
  <c r="X40" i="95" s="1"/>
  <c r="N39" i="95"/>
  <c r="X39" i="95" s="1"/>
  <c r="N38" i="95"/>
  <c r="X38" i="95" s="1"/>
  <c r="N37" i="95"/>
  <c r="X37" i="95" s="1"/>
  <c r="N36" i="95"/>
  <c r="X36" i="95" s="1"/>
  <c r="N35" i="95"/>
  <c r="X35" i="95" s="1"/>
  <c r="N34" i="95"/>
  <c r="X34" i="95" s="1"/>
  <c r="N32" i="95"/>
  <c r="X32" i="95" s="1"/>
  <c r="N31" i="95"/>
  <c r="X31" i="95" s="1"/>
  <c r="N30" i="95"/>
  <c r="X30" i="95" s="1"/>
  <c r="N29" i="95"/>
  <c r="X29" i="95" s="1"/>
  <c r="N28" i="95"/>
  <c r="X28" i="95" s="1"/>
  <c r="N27" i="95"/>
  <c r="X27" i="95" s="1"/>
  <c r="N26" i="95"/>
  <c r="X26" i="95" s="1"/>
  <c r="N24" i="95"/>
  <c r="X24" i="95" s="1"/>
  <c r="N23" i="95"/>
  <c r="X23" i="95" s="1"/>
  <c r="N22" i="95"/>
  <c r="X22" i="95" s="1"/>
  <c r="N21" i="95"/>
  <c r="X21" i="95" s="1"/>
  <c r="N20" i="95"/>
  <c r="X20" i="95" s="1"/>
  <c r="N19" i="95"/>
  <c r="X19" i="95" s="1"/>
  <c r="N18" i="95"/>
  <c r="X18" i="95" s="1"/>
  <c r="N17" i="95"/>
  <c r="X17" i="95" s="1"/>
  <c r="N16" i="95"/>
  <c r="X16" i="95" s="1"/>
  <c r="N15" i="95"/>
  <c r="X15" i="95" s="1"/>
  <c r="N13" i="95"/>
  <c r="X13" i="95" s="1"/>
  <c r="N11" i="95"/>
  <c r="X11" i="95" s="1"/>
  <c r="N10" i="95"/>
  <c r="X10" i="95" s="1"/>
  <c r="N9" i="95"/>
  <c r="X9" i="95" s="1"/>
  <c r="N8" i="95"/>
  <c r="X8" i="95" s="1"/>
  <c r="N6" i="95"/>
  <c r="X6" i="95" s="1"/>
  <c r="N5" i="95"/>
  <c r="X5" i="95" s="1"/>
  <c r="J125" i="95"/>
  <c r="U125" i="95" s="1"/>
  <c r="J124" i="95"/>
  <c r="U124" i="95" s="1"/>
  <c r="J123" i="95"/>
  <c r="U123" i="95" s="1"/>
  <c r="J122" i="95"/>
  <c r="U122" i="95" s="1"/>
  <c r="J121" i="95"/>
  <c r="U121" i="95" s="1"/>
  <c r="J120" i="95"/>
  <c r="U120" i="95" s="1"/>
  <c r="J119" i="95"/>
  <c r="U119" i="95" s="1"/>
  <c r="J118" i="95"/>
  <c r="U118" i="95" s="1"/>
  <c r="J117" i="95"/>
  <c r="U117" i="95" s="1"/>
  <c r="J116" i="95"/>
  <c r="U116" i="95" s="1"/>
  <c r="J115" i="95"/>
  <c r="U115" i="95" s="1"/>
  <c r="J114" i="95"/>
  <c r="U114" i="95" s="1"/>
  <c r="J113" i="95"/>
  <c r="U113" i="95" s="1"/>
  <c r="J112" i="95"/>
  <c r="U112" i="95" s="1"/>
  <c r="J111" i="95"/>
  <c r="U111" i="95" s="1"/>
  <c r="J110" i="95"/>
  <c r="U110" i="95" s="1"/>
  <c r="J109" i="95"/>
  <c r="U109" i="95" s="1"/>
  <c r="J108" i="95"/>
  <c r="U108" i="95" s="1"/>
  <c r="J107" i="95"/>
  <c r="U107" i="95" s="1"/>
  <c r="J106" i="95"/>
  <c r="U106" i="95" s="1"/>
  <c r="J105" i="95"/>
  <c r="U105" i="95" s="1"/>
  <c r="J104" i="95"/>
  <c r="U104" i="95" s="1"/>
  <c r="J103" i="95"/>
  <c r="U103" i="95" s="1"/>
  <c r="J102" i="95"/>
  <c r="U102" i="95" s="1"/>
  <c r="J101" i="95"/>
  <c r="U101" i="95" s="1"/>
  <c r="J100" i="95"/>
  <c r="U100" i="95" s="1"/>
  <c r="J98" i="95"/>
  <c r="U98" i="95" s="1"/>
  <c r="J97" i="95"/>
  <c r="U97" i="95" s="1"/>
  <c r="J96" i="95"/>
  <c r="U96" i="95" s="1"/>
  <c r="J95" i="95"/>
  <c r="U95" i="95" s="1"/>
  <c r="J94" i="95"/>
  <c r="U94" i="95" s="1"/>
  <c r="J93" i="95"/>
  <c r="U93" i="95" s="1"/>
  <c r="J92" i="95"/>
  <c r="U92" i="95" s="1"/>
  <c r="J91" i="95"/>
  <c r="U91" i="95" s="1"/>
  <c r="J90" i="95"/>
  <c r="U90" i="95" s="1"/>
  <c r="J89" i="95"/>
  <c r="U89" i="95" s="1"/>
  <c r="J88" i="95"/>
  <c r="U88" i="95" s="1"/>
  <c r="J87" i="95"/>
  <c r="U87" i="95" s="1"/>
  <c r="J86" i="95"/>
  <c r="U86" i="95" s="1"/>
  <c r="J85" i="95"/>
  <c r="U85" i="95" s="1"/>
  <c r="J84" i="95"/>
  <c r="U84" i="95" s="1"/>
  <c r="J80" i="95"/>
  <c r="U80" i="95" s="1"/>
  <c r="J79" i="95"/>
  <c r="U79" i="95" s="1"/>
  <c r="J78" i="95"/>
  <c r="U78" i="95" s="1"/>
  <c r="J77" i="95"/>
  <c r="U77" i="95" s="1"/>
  <c r="J76" i="95"/>
  <c r="U76" i="95" s="1"/>
  <c r="J75" i="95"/>
  <c r="U75" i="95" s="1"/>
  <c r="J74" i="95"/>
  <c r="U74" i="95" s="1"/>
  <c r="J73" i="95"/>
  <c r="U73" i="95" s="1"/>
  <c r="J72" i="95"/>
  <c r="U72" i="95" s="1"/>
  <c r="J71" i="95"/>
  <c r="U71" i="95" s="1"/>
  <c r="J70" i="95"/>
  <c r="U70" i="95" s="1"/>
  <c r="J69" i="95"/>
  <c r="U69" i="95" s="1"/>
  <c r="J68" i="95"/>
  <c r="U68" i="95" s="1"/>
  <c r="J67" i="95"/>
  <c r="U67" i="95" s="1"/>
  <c r="J66" i="95"/>
  <c r="U66" i="95" s="1"/>
  <c r="J65" i="95"/>
  <c r="U65" i="95" s="1"/>
  <c r="J64" i="95"/>
  <c r="U64" i="95" s="1"/>
  <c r="J63" i="95"/>
  <c r="U63" i="95" s="1"/>
  <c r="J62" i="95"/>
  <c r="U62" i="95" s="1"/>
  <c r="J61" i="95"/>
  <c r="U61" i="95" s="1"/>
  <c r="J60" i="95"/>
  <c r="U60" i="95" s="1"/>
  <c r="J59" i="95"/>
  <c r="U59" i="95" s="1"/>
  <c r="J58" i="95"/>
  <c r="U58" i="95" s="1"/>
  <c r="J57" i="95"/>
  <c r="U57" i="95" s="1"/>
  <c r="J56" i="95"/>
  <c r="U56" i="95" s="1"/>
  <c r="J55" i="95"/>
  <c r="U55" i="95" s="1"/>
  <c r="J54" i="95"/>
  <c r="U54" i="95" s="1"/>
  <c r="J53" i="95"/>
  <c r="U53" i="95" s="1"/>
  <c r="J52" i="95"/>
  <c r="U52" i="95" s="1"/>
  <c r="J51" i="95"/>
  <c r="U51" i="95" s="1"/>
  <c r="J50" i="95"/>
  <c r="U50" i="95" s="1"/>
  <c r="J49" i="95"/>
  <c r="U49" i="95" s="1"/>
  <c r="J48" i="95"/>
  <c r="U48" i="95" s="1"/>
  <c r="J47" i="95"/>
  <c r="U47" i="95" s="1"/>
  <c r="J46" i="95"/>
  <c r="U46" i="95" s="1"/>
  <c r="J45" i="95"/>
  <c r="U45" i="95" s="1"/>
  <c r="J43" i="95"/>
  <c r="U43" i="95" s="1"/>
  <c r="J42" i="95"/>
  <c r="U42" i="95" s="1"/>
  <c r="J41" i="95"/>
  <c r="U41" i="95" s="1"/>
  <c r="J40" i="95"/>
  <c r="U40" i="95" s="1"/>
  <c r="J39" i="95"/>
  <c r="U39" i="95" s="1"/>
  <c r="J38" i="95"/>
  <c r="U38" i="95" s="1"/>
  <c r="J37" i="95"/>
  <c r="U37" i="95" s="1"/>
  <c r="J36" i="95"/>
  <c r="U36" i="95" s="1"/>
  <c r="J35" i="95"/>
  <c r="U35" i="95" s="1"/>
  <c r="J34" i="95"/>
  <c r="U34" i="95" s="1"/>
  <c r="J32" i="95"/>
  <c r="U32" i="95" s="1"/>
  <c r="J31" i="95"/>
  <c r="U31" i="95" s="1"/>
  <c r="J30" i="95"/>
  <c r="U30" i="95" s="1"/>
  <c r="J29" i="95"/>
  <c r="U29" i="95" s="1"/>
  <c r="J28" i="95"/>
  <c r="U28" i="95" s="1"/>
  <c r="J27" i="95"/>
  <c r="U27" i="95" s="1"/>
  <c r="J26" i="95"/>
  <c r="U26" i="95" s="1"/>
  <c r="J24" i="95"/>
  <c r="U24" i="95" s="1"/>
  <c r="J23" i="95"/>
  <c r="U23" i="95" s="1"/>
  <c r="J22" i="95"/>
  <c r="U22" i="95" s="1"/>
  <c r="J21" i="95"/>
  <c r="U21" i="95" s="1"/>
  <c r="J20" i="95"/>
  <c r="U20" i="95" s="1"/>
  <c r="J19" i="95"/>
  <c r="U19" i="95" s="1"/>
  <c r="J18" i="95"/>
  <c r="U18" i="95" s="1"/>
  <c r="J17" i="95"/>
  <c r="U17" i="95" s="1"/>
  <c r="J16" i="95"/>
  <c r="U16" i="95" s="1"/>
  <c r="J15" i="95"/>
  <c r="U15" i="95" s="1"/>
  <c r="J13" i="95"/>
  <c r="U13" i="95" s="1"/>
  <c r="J11" i="95"/>
  <c r="U11" i="95" s="1"/>
  <c r="J10" i="95"/>
  <c r="U10" i="95" s="1"/>
  <c r="J9" i="95"/>
  <c r="U9" i="95" s="1"/>
  <c r="J8" i="95"/>
  <c r="U8" i="95" s="1"/>
  <c r="J6" i="95"/>
  <c r="U6" i="95" s="1"/>
  <c r="J5" i="95"/>
  <c r="U5" i="95" s="1"/>
  <c r="F125" i="95"/>
  <c r="R125" i="95" s="1"/>
  <c r="F124" i="95"/>
  <c r="R124" i="95" s="1"/>
  <c r="F123" i="95"/>
  <c r="R123" i="95" s="1"/>
  <c r="F122" i="95"/>
  <c r="R122" i="95" s="1"/>
  <c r="F121" i="95"/>
  <c r="R121" i="95" s="1"/>
  <c r="F120" i="95"/>
  <c r="R120" i="95" s="1"/>
  <c r="F119" i="95"/>
  <c r="R119" i="95" s="1"/>
  <c r="F118" i="95"/>
  <c r="R118" i="95" s="1"/>
  <c r="F117" i="95"/>
  <c r="R117" i="95" s="1"/>
  <c r="F116" i="95"/>
  <c r="R116" i="95" s="1"/>
  <c r="F115" i="95"/>
  <c r="R115" i="95" s="1"/>
  <c r="F114" i="95"/>
  <c r="R114" i="95" s="1"/>
  <c r="F113" i="95"/>
  <c r="R113" i="95" s="1"/>
  <c r="F112" i="95"/>
  <c r="R112" i="95" s="1"/>
  <c r="F111" i="95"/>
  <c r="R111" i="95" s="1"/>
  <c r="F110" i="95"/>
  <c r="R110" i="95" s="1"/>
  <c r="F109" i="95"/>
  <c r="R109" i="95" s="1"/>
  <c r="F108" i="95"/>
  <c r="R108" i="95" s="1"/>
  <c r="F107" i="95"/>
  <c r="R107" i="95" s="1"/>
  <c r="F106" i="95"/>
  <c r="R106" i="95" s="1"/>
  <c r="F105" i="95"/>
  <c r="R105" i="95" s="1"/>
  <c r="F104" i="95"/>
  <c r="R104" i="95" s="1"/>
  <c r="F103" i="95"/>
  <c r="R103" i="95" s="1"/>
  <c r="F102" i="95"/>
  <c r="R102" i="95" s="1"/>
  <c r="F101" i="95"/>
  <c r="R101" i="95" s="1"/>
  <c r="F100" i="95"/>
  <c r="R100" i="95" s="1"/>
  <c r="F98" i="95"/>
  <c r="R98" i="95" s="1"/>
  <c r="F97" i="95"/>
  <c r="R97" i="95" s="1"/>
  <c r="F96" i="95"/>
  <c r="R96" i="95" s="1"/>
  <c r="F95" i="95"/>
  <c r="R95" i="95" s="1"/>
  <c r="F94" i="95"/>
  <c r="R94" i="95" s="1"/>
  <c r="F93" i="95"/>
  <c r="R93" i="95" s="1"/>
  <c r="F92" i="95"/>
  <c r="R92" i="95" s="1"/>
  <c r="F91" i="95"/>
  <c r="R91" i="95" s="1"/>
  <c r="F90" i="95"/>
  <c r="R90" i="95" s="1"/>
  <c r="F89" i="95"/>
  <c r="R89" i="95" s="1"/>
  <c r="F88" i="95"/>
  <c r="R88" i="95" s="1"/>
  <c r="F87" i="95"/>
  <c r="R87" i="95" s="1"/>
  <c r="F86" i="95"/>
  <c r="R86" i="95" s="1"/>
  <c r="F85" i="95"/>
  <c r="R85" i="95" s="1"/>
  <c r="F84" i="95"/>
  <c r="R84" i="95" s="1"/>
  <c r="R82" i="95"/>
  <c r="F80" i="95"/>
  <c r="R80" i="95" s="1"/>
  <c r="F79" i="95"/>
  <c r="R79" i="95" s="1"/>
  <c r="F78" i="95"/>
  <c r="R78" i="95" s="1"/>
  <c r="F77" i="95"/>
  <c r="R77" i="95" s="1"/>
  <c r="F76" i="95"/>
  <c r="R76" i="95" s="1"/>
  <c r="F75" i="95"/>
  <c r="R75" i="95" s="1"/>
  <c r="F74" i="95"/>
  <c r="R74" i="95" s="1"/>
  <c r="F73" i="95"/>
  <c r="R73" i="95" s="1"/>
  <c r="F72" i="95"/>
  <c r="R72" i="95" s="1"/>
  <c r="F71" i="95"/>
  <c r="R71" i="95" s="1"/>
  <c r="F70" i="95"/>
  <c r="R70" i="95" s="1"/>
  <c r="F69" i="95"/>
  <c r="R69" i="95" s="1"/>
  <c r="F68" i="95"/>
  <c r="R68" i="95" s="1"/>
  <c r="F67" i="95"/>
  <c r="R67" i="95" s="1"/>
  <c r="F66" i="95"/>
  <c r="R66" i="95" s="1"/>
  <c r="F65" i="95"/>
  <c r="R65" i="95" s="1"/>
  <c r="F64" i="95"/>
  <c r="R64" i="95" s="1"/>
  <c r="F63" i="95"/>
  <c r="R63" i="95" s="1"/>
  <c r="F62" i="95"/>
  <c r="R62" i="95" s="1"/>
  <c r="F61" i="95"/>
  <c r="R61" i="95" s="1"/>
  <c r="F60" i="95"/>
  <c r="R60" i="95" s="1"/>
  <c r="F59" i="95"/>
  <c r="R59" i="95" s="1"/>
  <c r="F58" i="95"/>
  <c r="R58" i="95" s="1"/>
  <c r="F57" i="95"/>
  <c r="R57" i="95" s="1"/>
  <c r="F56" i="95"/>
  <c r="R56" i="95" s="1"/>
  <c r="F55" i="95"/>
  <c r="R55" i="95" s="1"/>
  <c r="F54" i="95"/>
  <c r="R54" i="95" s="1"/>
  <c r="F53" i="95"/>
  <c r="R53" i="95" s="1"/>
  <c r="F52" i="95"/>
  <c r="R52" i="95" s="1"/>
  <c r="F51" i="95"/>
  <c r="R51" i="95" s="1"/>
  <c r="F50" i="95"/>
  <c r="R50" i="95" s="1"/>
  <c r="F49" i="95"/>
  <c r="R49" i="95" s="1"/>
  <c r="F48" i="95"/>
  <c r="R48" i="95" s="1"/>
  <c r="F47" i="95"/>
  <c r="R47" i="95" s="1"/>
  <c r="F46" i="95"/>
  <c r="R46" i="95" s="1"/>
  <c r="F45" i="95"/>
  <c r="R45" i="95" s="1"/>
  <c r="F43" i="95"/>
  <c r="R43" i="95" s="1"/>
  <c r="F42" i="95"/>
  <c r="R42" i="95" s="1"/>
  <c r="F41" i="95"/>
  <c r="R41" i="95" s="1"/>
  <c r="F40" i="95"/>
  <c r="R40" i="95" s="1"/>
  <c r="F39" i="95"/>
  <c r="R39" i="95" s="1"/>
  <c r="F38" i="95"/>
  <c r="R38" i="95" s="1"/>
  <c r="F37" i="95"/>
  <c r="R37" i="95" s="1"/>
  <c r="F36" i="95"/>
  <c r="R36" i="95" s="1"/>
  <c r="F35" i="95"/>
  <c r="R35" i="95" s="1"/>
  <c r="F34" i="95"/>
  <c r="R34" i="95" s="1"/>
  <c r="F32" i="95"/>
  <c r="R32" i="95" s="1"/>
  <c r="F31" i="95"/>
  <c r="R31" i="95" s="1"/>
  <c r="F30" i="95"/>
  <c r="R30" i="95" s="1"/>
  <c r="F29" i="95"/>
  <c r="R29" i="95" s="1"/>
  <c r="F28" i="95"/>
  <c r="R28" i="95" s="1"/>
  <c r="F27" i="95"/>
  <c r="R27" i="95" s="1"/>
  <c r="F26" i="95"/>
  <c r="R26" i="95" s="1"/>
  <c r="F24" i="95"/>
  <c r="R24" i="95" s="1"/>
  <c r="F23" i="95"/>
  <c r="R23" i="95" s="1"/>
  <c r="F22" i="95"/>
  <c r="R22" i="95" s="1"/>
  <c r="F21" i="95"/>
  <c r="R21" i="95" s="1"/>
  <c r="F20" i="95"/>
  <c r="F19" i="95"/>
  <c r="R19" i="95" s="1"/>
  <c r="F18" i="95"/>
  <c r="R18" i="95" s="1"/>
  <c r="F17" i="95"/>
  <c r="R17" i="95" s="1"/>
  <c r="F16" i="95"/>
  <c r="R16" i="95" s="1"/>
  <c r="F15" i="95"/>
  <c r="R15" i="95" s="1"/>
  <c r="F13" i="95"/>
  <c r="R13" i="95" s="1"/>
  <c r="F11" i="95"/>
  <c r="R11" i="95" s="1"/>
  <c r="F10" i="95"/>
  <c r="R10" i="95" s="1"/>
  <c r="F9" i="95"/>
  <c r="R9" i="95" s="1"/>
  <c r="F8" i="95"/>
  <c r="R8" i="95" s="1"/>
  <c r="F6" i="95"/>
  <c r="R6" i="95" s="1"/>
  <c r="F5" i="95"/>
  <c r="R5" i="95" s="1"/>
  <c r="H5" i="90"/>
  <c r="I5" i="90"/>
  <c r="J5" i="90"/>
  <c r="G5" i="90"/>
  <c r="F5" i="90"/>
  <c r="E5" i="90"/>
  <c r="D5" i="90"/>
  <c r="J5" i="91"/>
  <c r="I5" i="91"/>
  <c r="F5" i="91"/>
  <c r="E5" i="91"/>
  <c r="D5" i="91"/>
  <c r="G4" i="63"/>
  <c r="F4" i="63"/>
  <c r="E4" i="63"/>
  <c r="D4" i="63"/>
  <c r="N133" i="72"/>
  <c r="M133" i="72"/>
  <c r="N132" i="72"/>
  <c r="M132" i="72"/>
  <c r="N131" i="72"/>
  <c r="M131" i="72"/>
  <c r="N130" i="72"/>
  <c r="M130" i="72"/>
  <c r="N129" i="72"/>
  <c r="M129" i="72"/>
  <c r="K133" i="72"/>
  <c r="J133" i="72"/>
  <c r="K132" i="72"/>
  <c r="J132" i="72"/>
  <c r="K131" i="72"/>
  <c r="J131" i="72"/>
  <c r="K130" i="72"/>
  <c r="J130" i="72"/>
  <c r="K129" i="72"/>
  <c r="J129" i="72"/>
  <c r="H133" i="72"/>
  <c r="G133" i="72"/>
  <c r="H132" i="72"/>
  <c r="G132" i="72"/>
  <c r="H131" i="72"/>
  <c r="Q131" i="72" s="1"/>
  <c r="G131" i="72"/>
  <c r="H130" i="72"/>
  <c r="G130" i="72"/>
  <c r="H129" i="72"/>
  <c r="G129" i="72"/>
  <c r="E133" i="72"/>
  <c r="E132" i="72"/>
  <c r="E131" i="72"/>
  <c r="E130" i="72"/>
  <c r="E129" i="72"/>
  <c r="D133" i="72"/>
  <c r="D132" i="72"/>
  <c r="D131" i="72"/>
  <c r="D130" i="72"/>
  <c r="D129" i="72"/>
  <c r="F124" i="57"/>
  <c r="E124" i="57"/>
  <c r="F123" i="57"/>
  <c r="E123" i="57"/>
  <c r="F122" i="57"/>
  <c r="E122" i="57"/>
  <c r="F121" i="57"/>
  <c r="E121" i="57"/>
  <c r="F120" i="57"/>
  <c r="E120" i="57"/>
  <c r="F119" i="57"/>
  <c r="E119" i="57"/>
  <c r="F118" i="57"/>
  <c r="E118" i="57"/>
  <c r="F117" i="57"/>
  <c r="E117" i="57"/>
  <c r="F116" i="57"/>
  <c r="E117" i="118" s="1"/>
  <c r="E116" i="57"/>
  <c r="D117" i="118" s="1"/>
  <c r="F115" i="57"/>
  <c r="E115" i="57"/>
  <c r="F114" i="57"/>
  <c r="E114" i="57"/>
  <c r="F113" i="57"/>
  <c r="E113" i="57"/>
  <c r="F112" i="57"/>
  <c r="E112" i="57"/>
  <c r="F111" i="57"/>
  <c r="E111" i="57"/>
  <c r="F110" i="57"/>
  <c r="E110" i="57"/>
  <c r="F109" i="57"/>
  <c r="E109" i="57"/>
  <c r="F108" i="57"/>
  <c r="E108" i="57"/>
  <c r="F107" i="57"/>
  <c r="E107" i="57"/>
  <c r="F106" i="57"/>
  <c r="E106" i="57"/>
  <c r="F105" i="57"/>
  <c r="E105" i="57"/>
  <c r="F104" i="57"/>
  <c r="E104" i="57"/>
  <c r="F103" i="57"/>
  <c r="E103" i="57"/>
  <c r="F102" i="57"/>
  <c r="E102" i="57"/>
  <c r="F101" i="57"/>
  <c r="E101" i="57"/>
  <c r="F100" i="57"/>
  <c r="E100" i="57"/>
  <c r="F99" i="57"/>
  <c r="E100" i="118" s="1"/>
  <c r="E99" i="57"/>
  <c r="F98" i="57"/>
  <c r="E98" i="57"/>
  <c r="F97" i="57"/>
  <c r="E97" i="57"/>
  <c r="F96" i="57"/>
  <c r="E96" i="57"/>
  <c r="F95" i="57"/>
  <c r="E95" i="57"/>
  <c r="F94" i="57"/>
  <c r="E94" i="57"/>
  <c r="F93" i="57"/>
  <c r="E93" i="57"/>
  <c r="F92" i="57"/>
  <c r="E92" i="57"/>
  <c r="F91" i="57"/>
  <c r="E92" i="118" s="1"/>
  <c r="E91" i="57"/>
  <c r="D92" i="118" s="1"/>
  <c r="F90" i="57"/>
  <c r="E90" i="57"/>
  <c r="F89" i="57"/>
  <c r="E89" i="57"/>
  <c r="F88" i="57"/>
  <c r="E88" i="57"/>
  <c r="F87" i="57"/>
  <c r="E87" i="57"/>
  <c r="F86" i="57"/>
  <c r="E86" i="57"/>
  <c r="F85" i="57"/>
  <c r="E85" i="57"/>
  <c r="F84" i="57"/>
  <c r="E84" i="57"/>
  <c r="F83" i="57"/>
  <c r="E83" i="57"/>
  <c r="F82" i="57"/>
  <c r="E82" i="57"/>
  <c r="F81" i="57"/>
  <c r="E81" i="57"/>
  <c r="F80" i="57"/>
  <c r="E80" i="57"/>
  <c r="F79" i="57"/>
  <c r="E79" i="57"/>
  <c r="F78" i="57"/>
  <c r="E78" i="57"/>
  <c r="F77" i="57"/>
  <c r="E77" i="57"/>
  <c r="F76" i="57"/>
  <c r="E76" i="57"/>
  <c r="F75" i="57"/>
  <c r="E75" i="57"/>
  <c r="F74" i="57"/>
  <c r="E74" i="57"/>
  <c r="F73" i="57"/>
  <c r="E73" i="57"/>
  <c r="F72" i="57"/>
  <c r="E72" i="57"/>
  <c r="F71" i="57"/>
  <c r="E71" i="57"/>
  <c r="F70" i="57"/>
  <c r="E71" i="118" s="1"/>
  <c r="E70" i="57"/>
  <c r="D71" i="118" s="1"/>
  <c r="F69" i="57"/>
  <c r="E69" i="57"/>
  <c r="F68" i="57"/>
  <c r="E68" i="57"/>
  <c r="F67" i="57"/>
  <c r="E67" i="57"/>
  <c r="F66" i="57"/>
  <c r="E66" i="57"/>
  <c r="F65" i="57"/>
  <c r="E65" i="57"/>
  <c r="F64" i="57"/>
  <c r="E64" i="57"/>
  <c r="F63" i="57"/>
  <c r="E63" i="57"/>
  <c r="F62" i="57"/>
  <c r="E62" i="57"/>
  <c r="F61" i="57"/>
  <c r="E61" i="57"/>
  <c r="F60" i="57"/>
  <c r="E60" i="57"/>
  <c r="F59" i="57"/>
  <c r="E60" i="118" s="1"/>
  <c r="E59" i="57"/>
  <c r="D60" i="118" s="1"/>
  <c r="F58" i="57"/>
  <c r="E58" i="57"/>
  <c r="F57" i="57"/>
  <c r="E57" i="57"/>
  <c r="F56" i="57"/>
  <c r="E56" i="57"/>
  <c r="F55" i="57"/>
  <c r="E55" i="57"/>
  <c r="F54" i="57"/>
  <c r="E55" i="118" s="1"/>
  <c r="E54" i="57"/>
  <c r="D55" i="118" s="1"/>
  <c r="F53" i="57"/>
  <c r="E53" i="57"/>
  <c r="F52" i="57"/>
  <c r="E52" i="57"/>
  <c r="F51" i="57"/>
  <c r="E51" i="57"/>
  <c r="F50" i="57"/>
  <c r="E50" i="57"/>
  <c r="F49" i="57"/>
  <c r="E49" i="57"/>
  <c r="F48" i="57"/>
  <c r="E48" i="57"/>
  <c r="F47" i="57"/>
  <c r="E47" i="57"/>
  <c r="F46" i="57"/>
  <c r="E46" i="57"/>
  <c r="F45" i="57"/>
  <c r="E45" i="57"/>
  <c r="F44" i="57"/>
  <c r="E44" i="57"/>
  <c r="F43" i="57"/>
  <c r="E43" i="57"/>
  <c r="F42" i="57"/>
  <c r="E42" i="57"/>
  <c r="F41" i="57"/>
  <c r="E41" i="57"/>
  <c r="F40" i="57"/>
  <c r="E40" i="57"/>
  <c r="F39" i="57"/>
  <c r="E39" i="57"/>
  <c r="F38" i="57"/>
  <c r="E38" i="57"/>
  <c r="F37" i="57"/>
  <c r="E37" i="57"/>
  <c r="F36" i="57"/>
  <c r="E36" i="57"/>
  <c r="F35" i="57"/>
  <c r="E35" i="57"/>
  <c r="F34" i="57"/>
  <c r="E35" i="118" s="1"/>
  <c r="E34" i="57"/>
  <c r="D35" i="118" s="1"/>
  <c r="F33" i="57"/>
  <c r="E33" i="57"/>
  <c r="F32" i="57"/>
  <c r="E32" i="57"/>
  <c r="F31" i="57"/>
  <c r="E31" i="57"/>
  <c r="F30" i="57"/>
  <c r="E30" i="57"/>
  <c r="F29" i="57"/>
  <c r="E29" i="57"/>
  <c r="F28" i="57"/>
  <c r="E28" i="57"/>
  <c r="F27" i="57"/>
  <c r="E27" i="57"/>
  <c r="F26" i="57"/>
  <c r="E26" i="57"/>
  <c r="F25" i="57"/>
  <c r="E25" i="57"/>
  <c r="F24" i="57"/>
  <c r="E24" i="57"/>
  <c r="F23" i="57"/>
  <c r="E23" i="57"/>
  <c r="F22" i="57"/>
  <c r="E22" i="57"/>
  <c r="F21" i="57"/>
  <c r="E21" i="57"/>
  <c r="F20" i="57"/>
  <c r="E20" i="57"/>
  <c r="F19" i="57"/>
  <c r="E19" i="57"/>
  <c r="F18" i="57"/>
  <c r="E18" i="57"/>
  <c r="F17" i="57"/>
  <c r="E17" i="57"/>
  <c r="F16" i="57"/>
  <c r="E16" i="57"/>
  <c r="F15" i="57"/>
  <c r="E15" i="57"/>
  <c r="F14" i="57"/>
  <c r="E14" i="57"/>
  <c r="F13" i="57"/>
  <c r="E13" i="57"/>
  <c r="F12" i="57"/>
  <c r="E12" i="57"/>
  <c r="F11" i="57"/>
  <c r="E11" i="57"/>
  <c r="F10" i="57"/>
  <c r="E10" i="57"/>
  <c r="F9" i="57"/>
  <c r="E9" i="57"/>
  <c r="F8" i="57"/>
  <c r="E8" i="57"/>
  <c r="F7" i="57"/>
  <c r="E7" i="57"/>
  <c r="F6" i="57"/>
  <c r="E7" i="118" s="1"/>
  <c r="E6" i="57"/>
  <c r="D7" i="118" s="1"/>
  <c r="F5" i="57"/>
  <c r="E5" i="57"/>
  <c r="D2" i="4"/>
  <c r="E2" i="4" s="1"/>
  <c r="N133" i="75"/>
  <c r="M133" i="75"/>
  <c r="L133" i="75"/>
  <c r="G133" i="75"/>
  <c r="F133" i="75"/>
  <c r="E133" i="75"/>
  <c r="N132" i="75"/>
  <c r="M132" i="75"/>
  <c r="L132" i="75"/>
  <c r="G132" i="75"/>
  <c r="F132" i="75"/>
  <c r="E132" i="75"/>
  <c r="N131" i="75"/>
  <c r="M131" i="75"/>
  <c r="L131" i="75"/>
  <c r="G131" i="75"/>
  <c r="F131" i="75"/>
  <c r="E131" i="75"/>
  <c r="N130" i="75"/>
  <c r="M130" i="75"/>
  <c r="L130" i="75"/>
  <c r="G130" i="75"/>
  <c r="F130" i="75"/>
  <c r="E130" i="75"/>
  <c r="N129" i="75"/>
  <c r="M129" i="75"/>
  <c r="L129" i="75"/>
  <c r="G129" i="75"/>
  <c r="F129" i="75"/>
  <c r="E129" i="75"/>
  <c r="Q126" i="75"/>
  <c r="P126" i="75"/>
  <c r="J126" i="75"/>
  <c r="I126" i="75"/>
  <c r="Q125" i="75"/>
  <c r="P125" i="75"/>
  <c r="J125" i="75"/>
  <c r="I125" i="75"/>
  <c r="Q124" i="75"/>
  <c r="P124" i="75"/>
  <c r="J124" i="75"/>
  <c r="I124" i="75"/>
  <c r="Q123" i="75"/>
  <c r="P123" i="75"/>
  <c r="J123" i="75"/>
  <c r="I123" i="75"/>
  <c r="Q122" i="75"/>
  <c r="P122" i="75"/>
  <c r="J122" i="75"/>
  <c r="I122" i="75"/>
  <c r="Q121" i="75"/>
  <c r="P121" i="75"/>
  <c r="J121" i="75"/>
  <c r="I121" i="75"/>
  <c r="Q120" i="75"/>
  <c r="P120" i="75"/>
  <c r="J120" i="75"/>
  <c r="I120" i="75"/>
  <c r="Q119" i="75"/>
  <c r="P119" i="75"/>
  <c r="J119" i="75"/>
  <c r="I119" i="75"/>
  <c r="Q118" i="75"/>
  <c r="P118" i="75"/>
  <c r="J118" i="75"/>
  <c r="I118" i="75"/>
  <c r="Q117" i="75"/>
  <c r="P117" i="75"/>
  <c r="J117" i="75"/>
  <c r="I117" i="75"/>
  <c r="Q116" i="75"/>
  <c r="P116" i="75"/>
  <c r="J116" i="75"/>
  <c r="I116" i="75"/>
  <c r="Q115" i="75"/>
  <c r="P115" i="75"/>
  <c r="J115" i="75"/>
  <c r="I115" i="75"/>
  <c r="Q114" i="75"/>
  <c r="P114" i="75"/>
  <c r="J114" i="75"/>
  <c r="I114" i="75"/>
  <c r="Q113" i="75"/>
  <c r="P113" i="75"/>
  <c r="J113" i="75"/>
  <c r="I113" i="75"/>
  <c r="Q112" i="75"/>
  <c r="P112" i="75"/>
  <c r="J112" i="75"/>
  <c r="I112" i="75"/>
  <c r="Q111" i="75"/>
  <c r="P111" i="75"/>
  <c r="J111" i="75"/>
  <c r="I111" i="75"/>
  <c r="Q110" i="75"/>
  <c r="P110" i="75"/>
  <c r="J110" i="75"/>
  <c r="I110" i="75"/>
  <c r="Q109" i="75"/>
  <c r="P109" i="75"/>
  <c r="J109" i="75"/>
  <c r="I109" i="75"/>
  <c r="Q108" i="75"/>
  <c r="P108" i="75"/>
  <c r="J108" i="75"/>
  <c r="I108" i="75"/>
  <c r="Q107" i="75"/>
  <c r="P107" i="75"/>
  <c r="J107" i="75"/>
  <c r="I107" i="75"/>
  <c r="Q106" i="75"/>
  <c r="P106" i="75"/>
  <c r="J106" i="75"/>
  <c r="I106" i="75"/>
  <c r="Q105" i="75"/>
  <c r="P105" i="75"/>
  <c r="J105" i="75"/>
  <c r="I105" i="75"/>
  <c r="Q104" i="75"/>
  <c r="P104" i="75"/>
  <c r="J104" i="75"/>
  <c r="I104" i="75"/>
  <c r="Q103" i="75"/>
  <c r="P103" i="75"/>
  <c r="J103" i="75"/>
  <c r="I103" i="75"/>
  <c r="Q102" i="75"/>
  <c r="P102" i="75"/>
  <c r="J102" i="75"/>
  <c r="I102" i="75"/>
  <c r="Q101" i="75"/>
  <c r="P101" i="75"/>
  <c r="J101" i="75"/>
  <c r="I101" i="75"/>
  <c r="Q100" i="75"/>
  <c r="P100" i="75"/>
  <c r="J100" i="75"/>
  <c r="I100" i="75"/>
  <c r="Q99" i="75"/>
  <c r="P99" i="75"/>
  <c r="J99" i="75"/>
  <c r="I99" i="75"/>
  <c r="Q98" i="75"/>
  <c r="P98" i="75"/>
  <c r="J98" i="75"/>
  <c r="I98" i="75"/>
  <c r="Q97" i="75"/>
  <c r="P97" i="75"/>
  <c r="J97" i="75"/>
  <c r="I97" i="75"/>
  <c r="Q96" i="75"/>
  <c r="P96" i="75"/>
  <c r="J96" i="75"/>
  <c r="I96" i="75"/>
  <c r="Q95" i="75"/>
  <c r="P95" i="75"/>
  <c r="J95" i="75"/>
  <c r="I95" i="75"/>
  <c r="Q94" i="75"/>
  <c r="P94" i="75"/>
  <c r="J94" i="75"/>
  <c r="I94" i="75"/>
  <c r="Q93" i="75"/>
  <c r="P93" i="75"/>
  <c r="J93" i="75"/>
  <c r="I93" i="75"/>
  <c r="Q92" i="75"/>
  <c r="P92" i="75"/>
  <c r="J92" i="75"/>
  <c r="I92" i="75"/>
  <c r="Q91" i="75"/>
  <c r="P91" i="75"/>
  <c r="J91" i="75"/>
  <c r="I91" i="75"/>
  <c r="Q90" i="75"/>
  <c r="P90" i="75"/>
  <c r="J90" i="75"/>
  <c r="I90" i="75"/>
  <c r="Q89" i="75"/>
  <c r="P89" i="75"/>
  <c r="J89" i="75"/>
  <c r="I89" i="75"/>
  <c r="Q88" i="75"/>
  <c r="P88" i="75"/>
  <c r="J88" i="75"/>
  <c r="I88" i="75"/>
  <c r="Q87" i="75"/>
  <c r="P87" i="75"/>
  <c r="J87" i="75"/>
  <c r="I87" i="75"/>
  <c r="Q86" i="75"/>
  <c r="P86" i="75"/>
  <c r="J86" i="75"/>
  <c r="I86" i="75"/>
  <c r="Q85" i="75"/>
  <c r="P85" i="75"/>
  <c r="J85" i="75"/>
  <c r="I85" i="75"/>
  <c r="Q84" i="75"/>
  <c r="P84" i="75"/>
  <c r="J84" i="75"/>
  <c r="I84" i="75"/>
  <c r="Q83" i="75"/>
  <c r="P83" i="75"/>
  <c r="J83" i="75"/>
  <c r="I83" i="75"/>
  <c r="Q82" i="75"/>
  <c r="P82" i="75"/>
  <c r="J82" i="75"/>
  <c r="I82" i="75"/>
  <c r="Q81" i="75"/>
  <c r="P81" i="75"/>
  <c r="J81" i="75"/>
  <c r="I81" i="75"/>
  <c r="Q80" i="75"/>
  <c r="P80" i="75"/>
  <c r="J80" i="75"/>
  <c r="I80" i="75"/>
  <c r="Q79" i="75"/>
  <c r="P79" i="75"/>
  <c r="J79" i="75"/>
  <c r="I79" i="75"/>
  <c r="Q78" i="75"/>
  <c r="P78" i="75"/>
  <c r="J78" i="75"/>
  <c r="I78" i="75"/>
  <c r="Q77" i="75"/>
  <c r="P77" i="75"/>
  <c r="J77" i="75"/>
  <c r="I77" i="75"/>
  <c r="Q76" i="75"/>
  <c r="P76" i="75"/>
  <c r="J76" i="75"/>
  <c r="I76" i="75"/>
  <c r="Q75" i="75"/>
  <c r="P75" i="75"/>
  <c r="J75" i="75"/>
  <c r="I75" i="75"/>
  <c r="Q74" i="75"/>
  <c r="P74" i="75"/>
  <c r="J74" i="75"/>
  <c r="I74" i="75"/>
  <c r="Q73" i="75"/>
  <c r="P73" i="75"/>
  <c r="J73" i="75"/>
  <c r="I73" i="75"/>
  <c r="Q72" i="75"/>
  <c r="P72" i="75"/>
  <c r="J72" i="75"/>
  <c r="I72" i="75"/>
  <c r="Q71" i="75"/>
  <c r="P71" i="75"/>
  <c r="J71" i="75"/>
  <c r="I71" i="75"/>
  <c r="Q70" i="75"/>
  <c r="P70" i="75"/>
  <c r="J70" i="75"/>
  <c r="I70" i="75"/>
  <c r="Q69" i="75"/>
  <c r="P69" i="75"/>
  <c r="J69" i="75"/>
  <c r="I69" i="75"/>
  <c r="Q68" i="75"/>
  <c r="P68" i="75"/>
  <c r="J68" i="75"/>
  <c r="I68" i="75"/>
  <c r="Q67" i="75"/>
  <c r="P67" i="75"/>
  <c r="J67" i="75"/>
  <c r="I67" i="75"/>
  <c r="Q66" i="75"/>
  <c r="P66" i="75"/>
  <c r="J66" i="75"/>
  <c r="I66" i="75"/>
  <c r="Q65" i="75"/>
  <c r="P65" i="75"/>
  <c r="J65" i="75"/>
  <c r="I65" i="75"/>
  <c r="Q64" i="75"/>
  <c r="P64" i="75"/>
  <c r="J64" i="75"/>
  <c r="I64" i="75"/>
  <c r="Q63" i="75"/>
  <c r="P63" i="75"/>
  <c r="J63" i="75"/>
  <c r="I63" i="75"/>
  <c r="Q62" i="75"/>
  <c r="P62" i="75"/>
  <c r="J62" i="75"/>
  <c r="I62" i="75"/>
  <c r="Q61" i="75"/>
  <c r="P61" i="75"/>
  <c r="J61" i="75"/>
  <c r="I61" i="75"/>
  <c r="Q60" i="75"/>
  <c r="P60" i="75"/>
  <c r="J60" i="75"/>
  <c r="I60" i="75"/>
  <c r="Q59" i="75"/>
  <c r="P59" i="75"/>
  <c r="J59" i="75"/>
  <c r="I59" i="75"/>
  <c r="Q58" i="75"/>
  <c r="P58" i="75"/>
  <c r="J58" i="75"/>
  <c r="I58" i="75"/>
  <c r="Q57" i="75"/>
  <c r="P57" i="75"/>
  <c r="J57" i="75"/>
  <c r="I57" i="75"/>
  <c r="Q56" i="75"/>
  <c r="P56" i="75"/>
  <c r="J56" i="75"/>
  <c r="I56" i="75"/>
  <c r="Q55" i="75"/>
  <c r="P55" i="75"/>
  <c r="J55" i="75"/>
  <c r="I55" i="75"/>
  <c r="Q54" i="75"/>
  <c r="P54" i="75"/>
  <c r="J54" i="75"/>
  <c r="I54" i="75"/>
  <c r="Q53" i="75"/>
  <c r="P53" i="75"/>
  <c r="J53" i="75"/>
  <c r="I53" i="75"/>
  <c r="Q52" i="75"/>
  <c r="P52" i="75"/>
  <c r="J52" i="75"/>
  <c r="I52" i="75"/>
  <c r="Q51" i="75"/>
  <c r="P51" i="75"/>
  <c r="J51" i="75"/>
  <c r="I51" i="75"/>
  <c r="Q50" i="75"/>
  <c r="P50" i="75"/>
  <c r="J50" i="75"/>
  <c r="I50" i="75"/>
  <c r="Q49" i="75"/>
  <c r="P49" i="75"/>
  <c r="J49" i="75"/>
  <c r="I49" i="75"/>
  <c r="Q48" i="75"/>
  <c r="P48" i="75"/>
  <c r="J48" i="75"/>
  <c r="I48" i="75"/>
  <c r="Q47" i="75"/>
  <c r="P47" i="75"/>
  <c r="J47" i="75"/>
  <c r="I47" i="75"/>
  <c r="Q46" i="75"/>
  <c r="P46" i="75"/>
  <c r="J46" i="75"/>
  <c r="I46" i="75"/>
  <c r="Q45" i="75"/>
  <c r="P45" i="75"/>
  <c r="J45" i="75"/>
  <c r="I45" i="75"/>
  <c r="Q44" i="75"/>
  <c r="P44" i="75"/>
  <c r="J44" i="75"/>
  <c r="I44" i="75"/>
  <c r="Q43" i="75"/>
  <c r="P43" i="75"/>
  <c r="J43" i="75"/>
  <c r="I43" i="75"/>
  <c r="Q42" i="75"/>
  <c r="P42" i="75"/>
  <c r="J42" i="75"/>
  <c r="I42" i="75"/>
  <c r="Q41" i="75"/>
  <c r="P41" i="75"/>
  <c r="J41" i="75"/>
  <c r="I41" i="75"/>
  <c r="Q40" i="75"/>
  <c r="P40" i="75"/>
  <c r="J40" i="75"/>
  <c r="I40" i="75"/>
  <c r="Q39" i="75"/>
  <c r="P39" i="75"/>
  <c r="J39" i="75"/>
  <c r="I39" i="75"/>
  <c r="Q38" i="75"/>
  <c r="P38" i="75"/>
  <c r="J38" i="75"/>
  <c r="I38" i="75"/>
  <c r="Q37" i="75"/>
  <c r="P37" i="75"/>
  <c r="J37" i="75"/>
  <c r="I37" i="75"/>
  <c r="Q36" i="75"/>
  <c r="P36" i="75"/>
  <c r="J36" i="75"/>
  <c r="I36" i="75"/>
  <c r="Q35" i="75"/>
  <c r="P35" i="75"/>
  <c r="J35" i="75"/>
  <c r="I35" i="75"/>
  <c r="Q34" i="75"/>
  <c r="P34" i="75"/>
  <c r="J34" i="75"/>
  <c r="I34" i="75"/>
  <c r="Q33" i="75"/>
  <c r="P33" i="75"/>
  <c r="J33" i="75"/>
  <c r="I33" i="75"/>
  <c r="Q32" i="75"/>
  <c r="P32" i="75"/>
  <c r="J32" i="75"/>
  <c r="I32" i="75"/>
  <c r="Q31" i="75"/>
  <c r="P31" i="75"/>
  <c r="J31" i="75"/>
  <c r="I31" i="75"/>
  <c r="Q30" i="75"/>
  <c r="P30" i="75"/>
  <c r="J30" i="75"/>
  <c r="I30" i="75"/>
  <c r="Q29" i="75"/>
  <c r="P29" i="75"/>
  <c r="J29" i="75"/>
  <c r="I29" i="75"/>
  <c r="Q28" i="75"/>
  <c r="P28" i="75"/>
  <c r="J28" i="75"/>
  <c r="I28" i="75"/>
  <c r="Q27" i="75"/>
  <c r="P27" i="75"/>
  <c r="J27" i="75"/>
  <c r="I27" i="75"/>
  <c r="Q26" i="75"/>
  <c r="P26" i="75"/>
  <c r="J26" i="75"/>
  <c r="I26" i="75"/>
  <c r="Q25" i="75"/>
  <c r="P25" i="75"/>
  <c r="J25" i="75"/>
  <c r="I25" i="75"/>
  <c r="Q24" i="75"/>
  <c r="P24" i="75"/>
  <c r="J24" i="75"/>
  <c r="I24" i="75"/>
  <c r="Q23" i="75"/>
  <c r="P23" i="75"/>
  <c r="J23" i="75"/>
  <c r="I23" i="75"/>
  <c r="Q22" i="75"/>
  <c r="P22" i="75"/>
  <c r="J22" i="75"/>
  <c r="I22" i="75"/>
  <c r="Q21" i="75"/>
  <c r="P21" i="75"/>
  <c r="J21" i="75"/>
  <c r="I21" i="75"/>
  <c r="Q20" i="75"/>
  <c r="P20" i="75"/>
  <c r="J20" i="75"/>
  <c r="I20" i="75"/>
  <c r="Q19" i="75"/>
  <c r="P19" i="75"/>
  <c r="J19" i="75"/>
  <c r="I19" i="75"/>
  <c r="Q18" i="75"/>
  <c r="P18" i="75"/>
  <c r="J18" i="75"/>
  <c r="I18" i="75"/>
  <c r="Q17" i="75"/>
  <c r="P17" i="75"/>
  <c r="J17" i="75"/>
  <c r="I17" i="75"/>
  <c r="Q16" i="75"/>
  <c r="P16" i="75"/>
  <c r="J16" i="75"/>
  <c r="I16" i="75"/>
  <c r="Q15" i="75"/>
  <c r="P15" i="75"/>
  <c r="J15" i="75"/>
  <c r="I15" i="75"/>
  <c r="Q14" i="75"/>
  <c r="P14" i="75"/>
  <c r="J14" i="75"/>
  <c r="I14" i="75"/>
  <c r="Q13" i="75"/>
  <c r="P13" i="75"/>
  <c r="J13" i="75"/>
  <c r="I13" i="75"/>
  <c r="Q12" i="75"/>
  <c r="P12" i="75"/>
  <c r="J12" i="75"/>
  <c r="I12" i="75"/>
  <c r="Q11" i="75"/>
  <c r="P11" i="75"/>
  <c r="J11" i="75"/>
  <c r="I11" i="75"/>
  <c r="Q10" i="75"/>
  <c r="P10" i="75"/>
  <c r="J10" i="75"/>
  <c r="I10" i="75"/>
  <c r="Q9" i="75"/>
  <c r="P9" i="75"/>
  <c r="J9" i="75"/>
  <c r="I9" i="75"/>
  <c r="Q8" i="75"/>
  <c r="P8" i="75"/>
  <c r="J8" i="75"/>
  <c r="I8" i="75"/>
  <c r="Q7" i="75"/>
  <c r="P7" i="75"/>
  <c r="J7" i="75"/>
  <c r="I7" i="75"/>
  <c r="Q6" i="75"/>
  <c r="P6" i="75"/>
  <c r="J6" i="75"/>
  <c r="I6" i="75"/>
  <c r="L132" i="73"/>
  <c r="BK131" i="109" s="1"/>
  <c r="M131" i="73"/>
  <c r="L131" i="73"/>
  <c r="BK130" i="109" s="1"/>
  <c r="M130" i="73"/>
  <c r="L130" i="73"/>
  <c r="BK129" i="109" s="1"/>
  <c r="M129" i="73"/>
  <c r="L129" i="73"/>
  <c r="BK128" i="109" s="1"/>
  <c r="M128" i="73"/>
  <c r="L128" i="73"/>
  <c r="BK127" i="109" s="1"/>
  <c r="O126" i="73"/>
  <c r="N126" i="73"/>
  <c r="M126" i="73"/>
  <c r="L126" i="73"/>
  <c r="O125" i="73"/>
  <c r="N125" i="73"/>
  <c r="M125" i="73"/>
  <c r="L125" i="73"/>
  <c r="O124" i="73"/>
  <c r="N124" i="73"/>
  <c r="M124" i="73"/>
  <c r="L124" i="73"/>
  <c r="O123" i="73"/>
  <c r="N123" i="73"/>
  <c r="M123" i="73"/>
  <c r="L123" i="73"/>
  <c r="BK122" i="109" s="1"/>
  <c r="O122" i="73"/>
  <c r="N122" i="73"/>
  <c r="M122" i="73"/>
  <c r="L122" i="73"/>
  <c r="BK121" i="109" s="1"/>
  <c r="O121" i="73"/>
  <c r="N121" i="73"/>
  <c r="M121" i="73"/>
  <c r="L121" i="73"/>
  <c r="O120" i="73"/>
  <c r="N120" i="73"/>
  <c r="M120" i="73"/>
  <c r="L120" i="73"/>
  <c r="O119" i="73"/>
  <c r="N119" i="73"/>
  <c r="M119" i="73"/>
  <c r="L119" i="73"/>
  <c r="O118" i="73"/>
  <c r="N118" i="73"/>
  <c r="M118" i="73"/>
  <c r="L118" i="73"/>
  <c r="BK117" i="109" s="1"/>
  <c r="O117" i="73"/>
  <c r="N117" i="73"/>
  <c r="M117" i="73"/>
  <c r="L117" i="73"/>
  <c r="O116" i="73"/>
  <c r="N116" i="73"/>
  <c r="M116" i="73"/>
  <c r="L116" i="73"/>
  <c r="O115" i="73"/>
  <c r="N115" i="73"/>
  <c r="M115" i="73"/>
  <c r="L115" i="73"/>
  <c r="O114" i="73"/>
  <c r="N114" i="73"/>
  <c r="M114" i="73"/>
  <c r="L114" i="73"/>
  <c r="BK113" i="109" s="1"/>
  <c r="O113" i="73"/>
  <c r="N113" i="73"/>
  <c r="M113" i="73"/>
  <c r="L113" i="73"/>
  <c r="O112" i="73"/>
  <c r="N112" i="73"/>
  <c r="M112" i="73"/>
  <c r="L112" i="73"/>
  <c r="O111" i="73"/>
  <c r="N111" i="73"/>
  <c r="M111" i="73"/>
  <c r="L111" i="73"/>
  <c r="O110" i="73"/>
  <c r="N110" i="73"/>
  <c r="M110" i="73"/>
  <c r="L110" i="73"/>
  <c r="O109" i="73"/>
  <c r="N109" i="73"/>
  <c r="M109" i="73"/>
  <c r="L109" i="73"/>
  <c r="O108" i="73"/>
  <c r="N108" i="73"/>
  <c r="M108" i="73"/>
  <c r="L108" i="73"/>
  <c r="O107" i="73"/>
  <c r="N107" i="73"/>
  <c r="M107" i="73"/>
  <c r="L107" i="73"/>
  <c r="O106" i="73"/>
  <c r="N106" i="73"/>
  <c r="M106" i="73"/>
  <c r="L106" i="73"/>
  <c r="O105" i="73"/>
  <c r="N105" i="73"/>
  <c r="M105" i="73"/>
  <c r="L105" i="73"/>
  <c r="O104" i="73"/>
  <c r="N104" i="73"/>
  <c r="M104" i="73"/>
  <c r="L104" i="73"/>
  <c r="O103" i="73"/>
  <c r="N103" i="73"/>
  <c r="M103" i="73"/>
  <c r="L103" i="73"/>
  <c r="BK102" i="109" s="1"/>
  <c r="O102" i="73"/>
  <c r="N102" i="73"/>
  <c r="M102" i="73"/>
  <c r="L102" i="73"/>
  <c r="O101" i="73"/>
  <c r="N101" i="73"/>
  <c r="M101" i="73"/>
  <c r="L101" i="73"/>
  <c r="BK100" i="109" s="1"/>
  <c r="O100" i="73"/>
  <c r="N100" i="73"/>
  <c r="M100" i="73"/>
  <c r="L100" i="73"/>
  <c r="O99" i="73"/>
  <c r="N99" i="73"/>
  <c r="M99" i="73"/>
  <c r="L99" i="73"/>
  <c r="BK98" i="109" s="1"/>
  <c r="O98" i="73"/>
  <c r="N98" i="73"/>
  <c r="M98" i="73"/>
  <c r="L98" i="73"/>
  <c r="O97" i="73"/>
  <c r="N97" i="73"/>
  <c r="M97" i="73"/>
  <c r="L97" i="73"/>
  <c r="O96" i="73"/>
  <c r="N96" i="73"/>
  <c r="M96" i="73"/>
  <c r="L96" i="73"/>
  <c r="O95" i="73"/>
  <c r="N95" i="73"/>
  <c r="M95" i="73"/>
  <c r="L95" i="73"/>
  <c r="O94" i="73"/>
  <c r="N94" i="73"/>
  <c r="M94" i="73"/>
  <c r="L94" i="73"/>
  <c r="O93" i="73"/>
  <c r="N93" i="73"/>
  <c r="M93" i="73"/>
  <c r="L93" i="73"/>
  <c r="BK92" i="109" s="1"/>
  <c r="O92" i="73"/>
  <c r="N92" i="73"/>
  <c r="M92" i="73"/>
  <c r="L92" i="73"/>
  <c r="O91" i="73"/>
  <c r="N91" i="73"/>
  <c r="M91" i="73"/>
  <c r="L91" i="73"/>
  <c r="BK90" i="109" s="1"/>
  <c r="O90" i="73"/>
  <c r="N90" i="73"/>
  <c r="M90" i="73"/>
  <c r="L90" i="73"/>
  <c r="O89" i="73"/>
  <c r="N89" i="73"/>
  <c r="M89" i="73"/>
  <c r="L89" i="73"/>
  <c r="O88" i="73"/>
  <c r="N88" i="73"/>
  <c r="M88" i="73"/>
  <c r="L88" i="73"/>
  <c r="O87" i="73"/>
  <c r="N87" i="73"/>
  <c r="M87" i="73"/>
  <c r="L87" i="73"/>
  <c r="O86" i="73"/>
  <c r="N86" i="73"/>
  <c r="M86" i="73"/>
  <c r="L86" i="73"/>
  <c r="BK85" i="109" s="1"/>
  <c r="O85" i="73"/>
  <c r="N85" i="73"/>
  <c r="M85" i="73"/>
  <c r="L85" i="73"/>
  <c r="O84" i="73"/>
  <c r="N84" i="73"/>
  <c r="M84" i="73"/>
  <c r="L84" i="73"/>
  <c r="O83" i="73"/>
  <c r="N83" i="73"/>
  <c r="M83" i="73"/>
  <c r="L83" i="73"/>
  <c r="BK82" i="109" s="1"/>
  <c r="O82" i="73"/>
  <c r="N82" i="73"/>
  <c r="M82" i="73"/>
  <c r="L82" i="73"/>
  <c r="BK81" i="109" s="1"/>
  <c r="O81" i="73"/>
  <c r="N81" i="73"/>
  <c r="M81" i="73"/>
  <c r="L81" i="73"/>
  <c r="O80" i="73"/>
  <c r="N80" i="73"/>
  <c r="M80" i="73"/>
  <c r="L80" i="73"/>
  <c r="O79" i="73"/>
  <c r="N79" i="73"/>
  <c r="M79" i="73"/>
  <c r="L79" i="73"/>
  <c r="O78" i="73"/>
  <c r="N78" i="73"/>
  <c r="M78" i="73"/>
  <c r="L78" i="73"/>
  <c r="O77" i="73"/>
  <c r="N77" i="73"/>
  <c r="M77" i="73"/>
  <c r="L77" i="73"/>
  <c r="O76" i="73"/>
  <c r="N76" i="73"/>
  <c r="M76" i="73"/>
  <c r="L76" i="73"/>
  <c r="O75" i="73"/>
  <c r="N75" i="73"/>
  <c r="M75" i="73"/>
  <c r="L75" i="73"/>
  <c r="BK74" i="109" s="1"/>
  <c r="O74" i="73"/>
  <c r="N74" i="73"/>
  <c r="M74" i="73"/>
  <c r="L74" i="73"/>
  <c r="BK73" i="109" s="1"/>
  <c r="O73" i="73"/>
  <c r="N73" i="73"/>
  <c r="M73" i="73"/>
  <c r="L73" i="73"/>
  <c r="O72" i="73"/>
  <c r="N72" i="73"/>
  <c r="M72" i="73"/>
  <c r="L72" i="73"/>
  <c r="BK71" i="109" s="1"/>
  <c r="O71" i="73"/>
  <c r="N71" i="73"/>
  <c r="M71" i="73"/>
  <c r="L71" i="73"/>
  <c r="O70" i="73"/>
  <c r="N70" i="73"/>
  <c r="M70" i="73"/>
  <c r="L70" i="73"/>
  <c r="O69" i="73"/>
  <c r="N69" i="73"/>
  <c r="M69" i="73"/>
  <c r="L69" i="73"/>
  <c r="O68" i="73"/>
  <c r="N68" i="73"/>
  <c r="M68" i="73"/>
  <c r="L68" i="73"/>
  <c r="O67" i="73"/>
  <c r="N67" i="73"/>
  <c r="M67" i="73"/>
  <c r="L67" i="73"/>
  <c r="O66" i="73"/>
  <c r="N66" i="73"/>
  <c r="M66" i="73"/>
  <c r="L66" i="73"/>
  <c r="O65" i="73"/>
  <c r="N65" i="73"/>
  <c r="M65" i="73"/>
  <c r="L65" i="73"/>
  <c r="O64" i="73"/>
  <c r="N64" i="73"/>
  <c r="M64" i="73"/>
  <c r="L64" i="73"/>
  <c r="O63" i="73"/>
  <c r="N63" i="73"/>
  <c r="M63" i="73"/>
  <c r="L63" i="73"/>
  <c r="O62" i="73"/>
  <c r="N62" i="73"/>
  <c r="M62" i="73"/>
  <c r="L62" i="73"/>
  <c r="O61" i="73"/>
  <c r="N61" i="73"/>
  <c r="M61" i="73"/>
  <c r="L61" i="73"/>
  <c r="BK60" i="109" s="1"/>
  <c r="O60" i="73"/>
  <c r="N60" i="73"/>
  <c r="M60" i="73"/>
  <c r="L60" i="73"/>
  <c r="O59" i="73"/>
  <c r="N59" i="73"/>
  <c r="M59" i="73"/>
  <c r="L59" i="73"/>
  <c r="O58" i="73"/>
  <c r="N58" i="73"/>
  <c r="M58" i="73"/>
  <c r="L58" i="73"/>
  <c r="O57" i="73"/>
  <c r="N57" i="73"/>
  <c r="M57" i="73"/>
  <c r="L57" i="73"/>
  <c r="O56" i="73"/>
  <c r="N56" i="73"/>
  <c r="M56" i="73"/>
  <c r="L56" i="73"/>
  <c r="BK55" i="109" s="1"/>
  <c r="O55" i="73"/>
  <c r="N55" i="73"/>
  <c r="M55" i="73"/>
  <c r="L55" i="73"/>
  <c r="O54" i="73"/>
  <c r="N54" i="73"/>
  <c r="M54" i="73"/>
  <c r="L54" i="73"/>
  <c r="O53" i="73"/>
  <c r="N53" i="73"/>
  <c r="M53" i="73"/>
  <c r="L53" i="73"/>
  <c r="O52" i="73"/>
  <c r="N52" i="73"/>
  <c r="M52" i="73"/>
  <c r="L52" i="73"/>
  <c r="O51" i="73"/>
  <c r="N51" i="73"/>
  <c r="M51" i="73"/>
  <c r="L51" i="73"/>
  <c r="O50" i="73"/>
  <c r="N50" i="73"/>
  <c r="M50" i="73"/>
  <c r="L50" i="73"/>
  <c r="O49" i="73"/>
  <c r="N49" i="73"/>
  <c r="M49" i="73"/>
  <c r="L49" i="73"/>
  <c r="O48" i="73"/>
  <c r="N48" i="73"/>
  <c r="M48" i="73"/>
  <c r="L48" i="73"/>
  <c r="BK47" i="109" s="1"/>
  <c r="O47" i="73"/>
  <c r="N47" i="73"/>
  <c r="M47" i="73"/>
  <c r="L47" i="73"/>
  <c r="BK46" i="109" s="1"/>
  <c r="O46" i="73"/>
  <c r="N46" i="73"/>
  <c r="M46" i="73"/>
  <c r="L46" i="73"/>
  <c r="O45" i="73"/>
  <c r="N45" i="73"/>
  <c r="M45" i="73"/>
  <c r="L45" i="73"/>
  <c r="O44" i="73"/>
  <c r="N44" i="73"/>
  <c r="M44" i="73"/>
  <c r="L44" i="73"/>
  <c r="BK43" i="109" s="1"/>
  <c r="O43" i="73"/>
  <c r="N43" i="73"/>
  <c r="M43" i="73"/>
  <c r="L43" i="73"/>
  <c r="O42" i="73"/>
  <c r="N42" i="73"/>
  <c r="M42" i="73"/>
  <c r="L42" i="73"/>
  <c r="O41" i="73"/>
  <c r="N41" i="73"/>
  <c r="M41" i="73"/>
  <c r="L41" i="73"/>
  <c r="O40" i="73"/>
  <c r="N40" i="73"/>
  <c r="M40" i="73"/>
  <c r="L40" i="73"/>
  <c r="O39" i="73"/>
  <c r="N39" i="73"/>
  <c r="M39" i="73"/>
  <c r="L39" i="73"/>
  <c r="O38" i="73"/>
  <c r="N38" i="73"/>
  <c r="M38" i="73"/>
  <c r="L38" i="73"/>
  <c r="O37" i="73"/>
  <c r="N37" i="73"/>
  <c r="M37" i="73"/>
  <c r="L37" i="73"/>
  <c r="O36" i="73"/>
  <c r="N36" i="73"/>
  <c r="M36" i="73"/>
  <c r="L36" i="73"/>
  <c r="BK35" i="109" s="1"/>
  <c r="O35" i="73"/>
  <c r="N35" i="73"/>
  <c r="M35" i="73"/>
  <c r="L35" i="73"/>
  <c r="O34" i="73"/>
  <c r="N34" i="73"/>
  <c r="M34" i="73"/>
  <c r="L34" i="73"/>
  <c r="O33" i="73"/>
  <c r="N33" i="73"/>
  <c r="M33" i="73"/>
  <c r="L33" i="73"/>
  <c r="O32" i="73"/>
  <c r="N32" i="73"/>
  <c r="M32" i="73"/>
  <c r="L32" i="73"/>
  <c r="O31" i="73"/>
  <c r="N31" i="73"/>
  <c r="M31" i="73"/>
  <c r="L31" i="73"/>
  <c r="O30" i="73"/>
  <c r="N30" i="73"/>
  <c r="M30" i="73"/>
  <c r="L30" i="73"/>
  <c r="BK29" i="109" s="1"/>
  <c r="O29" i="73"/>
  <c r="N29" i="73"/>
  <c r="M29" i="73"/>
  <c r="L29" i="73"/>
  <c r="BK28" i="109" s="1"/>
  <c r="O28" i="73"/>
  <c r="N28" i="73"/>
  <c r="M28" i="73"/>
  <c r="L28" i="73"/>
  <c r="O27" i="73"/>
  <c r="N27" i="73"/>
  <c r="M27" i="73"/>
  <c r="L27" i="73"/>
  <c r="O26" i="73"/>
  <c r="N26" i="73"/>
  <c r="M26" i="73"/>
  <c r="L26" i="73"/>
  <c r="O25" i="73"/>
  <c r="N25" i="73"/>
  <c r="M25" i="73"/>
  <c r="L25" i="73"/>
  <c r="O24" i="73"/>
  <c r="N24" i="73"/>
  <c r="M24" i="73"/>
  <c r="L24" i="73"/>
  <c r="O23" i="73"/>
  <c r="N23" i="73"/>
  <c r="M23" i="73"/>
  <c r="L23" i="73"/>
  <c r="O22" i="73"/>
  <c r="N22" i="73"/>
  <c r="M22" i="73"/>
  <c r="L22" i="73"/>
  <c r="O21" i="73"/>
  <c r="N21" i="73"/>
  <c r="M21" i="73"/>
  <c r="L21" i="73"/>
  <c r="O20" i="73"/>
  <c r="N20" i="73"/>
  <c r="M20" i="73"/>
  <c r="L20" i="73"/>
  <c r="BK19" i="109" s="1"/>
  <c r="O19" i="73"/>
  <c r="N19" i="73"/>
  <c r="M19" i="73"/>
  <c r="L19" i="73"/>
  <c r="O18" i="73"/>
  <c r="N18" i="73"/>
  <c r="M18" i="73"/>
  <c r="L18" i="73"/>
  <c r="O17" i="73"/>
  <c r="N17" i="73"/>
  <c r="M17" i="73"/>
  <c r="L17" i="73"/>
  <c r="O16" i="73"/>
  <c r="N16" i="73"/>
  <c r="M16" i="73"/>
  <c r="L16" i="73"/>
  <c r="O15" i="73"/>
  <c r="N15" i="73"/>
  <c r="M15" i="73"/>
  <c r="L15" i="73"/>
  <c r="O14" i="73"/>
  <c r="N14" i="73"/>
  <c r="M14" i="73"/>
  <c r="L14" i="73"/>
  <c r="O13" i="73"/>
  <c r="N13" i="73"/>
  <c r="M13" i="73"/>
  <c r="L13" i="73"/>
  <c r="O12" i="73"/>
  <c r="N12" i="73"/>
  <c r="M12" i="73"/>
  <c r="L12" i="73"/>
  <c r="O11" i="73"/>
  <c r="N11" i="73"/>
  <c r="M11" i="73"/>
  <c r="L11" i="73"/>
  <c r="O10" i="73"/>
  <c r="N10" i="73"/>
  <c r="M10" i="73"/>
  <c r="L10" i="73"/>
  <c r="O9" i="73"/>
  <c r="N9" i="73"/>
  <c r="M9" i="73"/>
  <c r="L9" i="73"/>
  <c r="BK8" i="109" s="1"/>
  <c r="O8" i="73"/>
  <c r="N8" i="73"/>
  <c r="M8" i="73"/>
  <c r="L8" i="73"/>
  <c r="BK7" i="109" s="1"/>
  <c r="O7" i="73"/>
  <c r="N7" i="73"/>
  <c r="M7" i="73"/>
  <c r="L7" i="73"/>
  <c r="BK6" i="109" s="1"/>
  <c r="O6" i="73"/>
  <c r="F63" i="1" s="1"/>
  <c r="N6" i="73"/>
  <c r="F62" i="1" s="1"/>
  <c r="M6" i="73"/>
  <c r="F61" i="1" s="1"/>
  <c r="L6" i="73"/>
  <c r="S126" i="72"/>
  <c r="R126" i="72"/>
  <c r="Q126" i="72"/>
  <c r="P126" i="72"/>
  <c r="S125" i="72"/>
  <c r="R125" i="72"/>
  <c r="Q125" i="72"/>
  <c r="P125" i="72"/>
  <c r="S124" i="72"/>
  <c r="R124" i="72"/>
  <c r="Q124" i="72"/>
  <c r="P124" i="72"/>
  <c r="S123" i="72"/>
  <c r="R123" i="72"/>
  <c r="Q123" i="72"/>
  <c r="P123" i="72"/>
  <c r="S122" i="72"/>
  <c r="R122" i="72"/>
  <c r="Q122" i="72"/>
  <c r="P122" i="72"/>
  <c r="S121" i="72"/>
  <c r="R121" i="72"/>
  <c r="Q121" i="72"/>
  <c r="P121" i="72"/>
  <c r="S120" i="72"/>
  <c r="R120" i="72"/>
  <c r="Q120" i="72"/>
  <c r="P120" i="72"/>
  <c r="S119" i="72"/>
  <c r="R119" i="72"/>
  <c r="Q119" i="72"/>
  <c r="P119" i="72"/>
  <c r="S118" i="72"/>
  <c r="R118" i="72"/>
  <c r="Q118" i="72"/>
  <c r="P118" i="72"/>
  <c r="S117" i="72"/>
  <c r="R117" i="72"/>
  <c r="Q117" i="72"/>
  <c r="P117" i="72"/>
  <c r="S116" i="72"/>
  <c r="R116" i="72"/>
  <c r="Q116" i="72"/>
  <c r="P116" i="72"/>
  <c r="S115" i="72"/>
  <c r="R115" i="72"/>
  <c r="Q115" i="72"/>
  <c r="P115" i="72"/>
  <c r="S114" i="72"/>
  <c r="R114" i="72"/>
  <c r="Q114" i="72"/>
  <c r="P114" i="72"/>
  <c r="S113" i="72"/>
  <c r="R113" i="72"/>
  <c r="Q113" i="72"/>
  <c r="P113" i="72"/>
  <c r="S112" i="72"/>
  <c r="R112" i="72"/>
  <c r="Q112" i="72"/>
  <c r="P112" i="72"/>
  <c r="S111" i="72"/>
  <c r="R111" i="72"/>
  <c r="Q111" i="72"/>
  <c r="P111" i="72"/>
  <c r="S110" i="72"/>
  <c r="R110" i="72"/>
  <c r="Q110" i="72"/>
  <c r="P110" i="72"/>
  <c r="S109" i="72"/>
  <c r="R109" i="72"/>
  <c r="Q109" i="72"/>
  <c r="P109" i="72"/>
  <c r="S108" i="72"/>
  <c r="R108" i="72"/>
  <c r="Q108" i="72"/>
  <c r="P108" i="72"/>
  <c r="S107" i="72"/>
  <c r="R107" i="72"/>
  <c r="Q107" i="72"/>
  <c r="P107" i="72"/>
  <c r="S106" i="72"/>
  <c r="R106" i="72"/>
  <c r="Q106" i="72"/>
  <c r="P106" i="72"/>
  <c r="S105" i="72"/>
  <c r="R105" i="72"/>
  <c r="Q105" i="72"/>
  <c r="P105" i="72"/>
  <c r="S104" i="72"/>
  <c r="R104" i="72"/>
  <c r="Q104" i="72"/>
  <c r="P104" i="72"/>
  <c r="S103" i="72"/>
  <c r="R103" i="72"/>
  <c r="Q103" i="72"/>
  <c r="P103" i="72"/>
  <c r="S102" i="72"/>
  <c r="R102" i="72"/>
  <c r="Q102" i="72"/>
  <c r="P102" i="72"/>
  <c r="S101" i="72"/>
  <c r="R101" i="72"/>
  <c r="Q101" i="72"/>
  <c r="P101" i="72"/>
  <c r="S100" i="72"/>
  <c r="R100" i="72"/>
  <c r="Q100" i="72"/>
  <c r="P100" i="72"/>
  <c r="S99" i="72"/>
  <c r="R99" i="72"/>
  <c r="Q99" i="72"/>
  <c r="P99" i="72"/>
  <c r="S98" i="72"/>
  <c r="R98" i="72"/>
  <c r="Q98" i="72"/>
  <c r="P98" i="72"/>
  <c r="S97" i="72"/>
  <c r="R97" i="72"/>
  <c r="Q97" i="72"/>
  <c r="P97" i="72"/>
  <c r="S96" i="72"/>
  <c r="R96" i="72"/>
  <c r="Q96" i="72"/>
  <c r="P96" i="72"/>
  <c r="S95" i="72"/>
  <c r="R95" i="72"/>
  <c r="Q95" i="72"/>
  <c r="P95" i="72"/>
  <c r="S94" i="72"/>
  <c r="R94" i="72"/>
  <c r="Q94" i="72"/>
  <c r="P94" i="72"/>
  <c r="S93" i="72"/>
  <c r="R93" i="72"/>
  <c r="Q93" i="72"/>
  <c r="P93" i="72"/>
  <c r="S92" i="72"/>
  <c r="R92" i="72"/>
  <c r="Q92" i="72"/>
  <c r="P92" i="72"/>
  <c r="S91" i="72"/>
  <c r="R91" i="72"/>
  <c r="Q91" i="72"/>
  <c r="P91" i="72"/>
  <c r="S90" i="72"/>
  <c r="R90" i="72"/>
  <c r="Q90" i="72"/>
  <c r="P90" i="72"/>
  <c r="S89" i="72"/>
  <c r="R89" i="72"/>
  <c r="Q89" i="72"/>
  <c r="P89" i="72"/>
  <c r="S88" i="72"/>
  <c r="R88" i="72"/>
  <c r="Q88" i="72"/>
  <c r="P88" i="72"/>
  <c r="S87" i="72"/>
  <c r="R87" i="72"/>
  <c r="Q87" i="72"/>
  <c r="P87" i="72"/>
  <c r="S86" i="72"/>
  <c r="R86" i="72"/>
  <c r="Q86" i="72"/>
  <c r="P86" i="72"/>
  <c r="S85" i="72"/>
  <c r="R85" i="72"/>
  <c r="Q85" i="72"/>
  <c r="P85" i="72"/>
  <c r="S84" i="72"/>
  <c r="R84" i="72"/>
  <c r="Q84" i="72"/>
  <c r="P84" i="72"/>
  <c r="S83" i="72"/>
  <c r="R83" i="72"/>
  <c r="Q83" i="72"/>
  <c r="P83" i="72"/>
  <c r="S82" i="72"/>
  <c r="R82" i="72"/>
  <c r="Q82" i="72"/>
  <c r="P82" i="72"/>
  <c r="S81" i="72"/>
  <c r="R81" i="72"/>
  <c r="Q81" i="72"/>
  <c r="P81" i="72"/>
  <c r="S80" i="72"/>
  <c r="R80" i="72"/>
  <c r="Q80" i="72"/>
  <c r="P80" i="72"/>
  <c r="S79" i="72"/>
  <c r="R79" i="72"/>
  <c r="Q79" i="72"/>
  <c r="P79" i="72"/>
  <c r="S78" i="72"/>
  <c r="R78" i="72"/>
  <c r="Q78" i="72"/>
  <c r="P78" i="72"/>
  <c r="S77" i="72"/>
  <c r="R77" i="72"/>
  <c r="Q77" i="72"/>
  <c r="P77" i="72"/>
  <c r="S76" i="72"/>
  <c r="R76" i="72"/>
  <c r="Q76" i="72"/>
  <c r="P76" i="72"/>
  <c r="S75" i="72"/>
  <c r="R75" i="72"/>
  <c r="Q75" i="72"/>
  <c r="P75" i="72"/>
  <c r="S74" i="72"/>
  <c r="R74" i="72"/>
  <c r="Q74" i="72"/>
  <c r="P74" i="72"/>
  <c r="S73" i="72"/>
  <c r="R73" i="72"/>
  <c r="Q73" i="72"/>
  <c r="P73" i="72"/>
  <c r="S72" i="72"/>
  <c r="R72" i="72"/>
  <c r="Q72" i="72"/>
  <c r="P72" i="72"/>
  <c r="S71" i="72"/>
  <c r="R71" i="72"/>
  <c r="Q71" i="72"/>
  <c r="P71" i="72"/>
  <c r="S70" i="72"/>
  <c r="R70" i="72"/>
  <c r="Q70" i="72"/>
  <c r="P70" i="72"/>
  <c r="S69" i="72"/>
  <c r="R69" i="72"/>
  <c r="Q69" i="72"/>
  <c r="P69" i="72"/>
  <c r="S68" i="72"/>
  <c r="R68" i="72"/>
  <c r="Q68" i="72"/>
  <c r="P68" i="72"/>
  <c r="S67" i="72"/>
  <c r="R67" i="72"/>
  <c r="Q67" i="72"/>
  <c r="P67" i="72"/>
  <c r="S66" i="72"/>
  <c r="R66" i="72"/>
  <c r="Q66" i="72"/>
  <c r="P66" i="72"/>
  <c r="S65" i="72"/>
  <c r="R65" i="72"/>
  <c r="Q65" i="72"/>
  <c r="P65" i="72"/>
  <c r="S64" i="72"/>
  <c r="R64" i="72"/>
  <c r="Q64" i="72"/>
  <c r="P64" i="72"/>
  <c r="S63" i="72"/>
  <c r="R63" i="72"/>
  <c r="Q63" i="72"/>
  <c r="P63" i="72"/>
  <c r="S62" i="72"/>
  <c r="R62" i="72"/>
  <c r="Q62" i="72"/>
  <c r="P62" i="72"/>
  <c r="S61" i="72"/>
  <c r="R61" i="72"/>
  <c r="Q61" i="72"/>
  <c r="P61" i="72"/>
  <c r="S60" i="72"/>
  <c r="R60" i="72"/>
  <c r="Q60" i="72"/>
  <c r="P60" i="72"/>
  <c r="S59" i="72"/>
  <c r="R59" i="72"/>
  <c r="Q59" i="72"/>
  <c r="P59" i="72"/>
  <c r="S58" i="72"/>
  <c r="R58" i="72"/>
  <c r="Q58" i="72"/>
  <c r="P58" i="72"/>
  <c r="S57" i="72"/>
  <c r="R57" i="72"/>
  <c r="Q57" i="72"/>
  <c r="P57" i="72"/>
  <c r="S56" i="72"/>
  <c r="R56" i="72"/>
  <c r="Q56" i="72"/>
  <c r="P56" i="72"/>
  <c r="S55" i="72"/>
  <c r="R55" i="72"/>
  <c r="Q55" i="72"/>
  <c r="P55" i="72"/>
  <c r="S54" i="72"/>
  <c r="R54" i="72"/>
  <c r="Q54" i="72"/>
  <c r="P54" i="72"/>
  <c r="S53" i="72"/>
  <c r="R53" i="72"/>
  <c r="Q53" i="72"/>
  <c r="P53" i="72"/>
  <c r="S52" i="72"/>
  <c r="R52" i="72"/>
  <c r="Q52" i="72"/>
  <c r="P52" i="72"/>
  <c r="S51" i="72"/>
  <c r="R51" i="72"/>
  <c r="Q51" i="72"/>
  <c r="P51" i="72"/>
  <c r="S50" i="72"/>
  <c r="R50" i="72"/>
  <c r="Q50" i="72"/>
  <c r="P50" i="72"/>
  <c r="S49" i="72"/>
  <c r="R49" i="72"/>
  <c r="Q49" i="72"/>
  <c r="P49" i="72"/>
  <c r="S48" i="72"/>
  <c r="R48" i="72"/>
  <c r="Q48" i="72"/>
  <c r="P48" i="72"/>
  <c r="S47" i="72"/>
  <c r="R47" i="72"/>
  <c r="Q47" i="72"/>
  <c r="P47" i="72"/>
  <c r="S46" i="72"/>
  <c r="R46" i="72"/>
  <c r="Q46" i="72"/>
  <c r="P46" i="72"/>
  <c r="S45" i="72"/>
  <c r="R45" i="72"/>
  <c r="Q45" i="72"/>
  <c r="P45" i="72"/>
  <c r="S44" i="72"/>
  <c r="R44" i="72"/>
  <c r="Q44" i="72"/>
  <c r="P44" i="72"/>
  <c r="S43" i="72"/>
  <c r="R43" i="72"/>
  <c r="Q43" i="72"/>
  <c r="P43" i="72"/>
  <c r="S42" i="72"/>
  <c r="R42" i="72"/>
  <c r="Q42" i="72"/>
  <c r="P42" i="72"/>
  <c r="S41" i="72"/>
  <c r="R41" i="72"/>
  <c r="Q41" i="72"/>
  <c r="P41" i="72"/>
  <c r="S40" i="72"/>
  <c r="R40" i="72"/>
  <c r="Q40" i="72"/>
  <c r="P40" i="72"/>
  <c r="S39" i="72"/>
  <c r="R39" i="72"/>
  <c r="Q39" i="72"/>
  <c r="P39" i="72"/>
  <c r="S38" i="72"/>
  <c r="R38" i="72"/>
  <c r="Q38" i="72"/>
  <c r="P38" i="72"/>
  <c r="S37" i="72"/>
  <c r="R37" i="72"/>
  <c r="Q37" i="72"/>
  <c r="P37" i="72"/>
  <c r="S36" i="72"/>
  <c r="R36" i="72"/>
  <c r="Q36" i="72"/>
  <c r="P36" i="72"/>
  <c r="S35" i="72"/>
  <c r="R35" i="72"/>
  <c r="Q35" i="72"/>
  <c r="P35" i="72"/>
  <c r="S34" i="72"/>
  <c r="R34" i="72"/>
  <c r="Q34" i="72"/>
  <c r="P34" i="72"/>
  <c r="S33" i="72"/>
  <c r="R33" i="72"/>
  <c r="Q33" i="72"/>
  <c r="P33" i="72"/>
  <c r="S32" i="72"/>
  <c r="R32" i="72"/>
  <c r="Q32" i="72"/>
  <c r="P32" i="72"/>
  <c r="S31" i="72"/>
  <c r="R31" i="72"/>
  <c r="Q31" i="72"/>
  <c r="P31" i="72"/>
  <c r="S30" i="72"/>
  <c r="R30" i="72"/>
  <c r="Q30" i="72"/>
  <c r="P30" i="72"/>
  <c r="S29" i="72"/>
  <c r="R29" i="72"/>
  <c r="Q29" i="72"/>
  <c r="P29" i="72"/>
  <c r="S28" i="72"/>
  <c r="R28" i="72"/>
  <c r="Q28" i="72"/>
  <c r="P28" i="72"/>
  <c r="S27" i="72"/>
  <c r="R27" i="72"/>
  <c r="Q27" i="72"/>
  <c r="P27" i="72"/>
  <c r="S26" i="72"/>
  <c r="R26" i="72"/>
  <c r="Q26" i="72"/>
  <c r="P26" i="72"/>
  <c r="S25" i="72"/>
  <c r="R25" i="72"/>
  <c r="Q25" i="72"/>
  <c r="P25" i="72"/>
  <c r="S24" i="72"/>
  <c r="R24" i="72"/>
  <c r="Q24" i="72"/>
  <c r="P24" i="72"/>
  <c r="S23" i="72"/>
  <c r="R23" i="72"/>
  <c r="Q23" i="72"/>
  <c r="P23" i="72"/>
  <c r="S22" i="72"/>
  <c r="R22" i="72"/>
  <c r="Q22" i="72"/>
  <c r="P22" i="72"/>
  <c r="S21" i="72"/>
  <c r="R21" i="72"/>
  <c r="Q21" i="72"/>
  <c r="P21" i="72"/>
  <c r="S20" i="72"/>
  <c r="R20" i="72"/>
  <c r="Q20" i="72"/>
  <c r="P20" i="72"/>
  <c r="S19" i="72"/>
  <c r="R19" i="72"/>
  <c r="Q19" i="72"/>
  <c r="P19" i="72"/>
  <c r="S18" i="72"/>
  <c r="R18" i="72"/>
  <c r="Q18" i="72"/>
  <c r="P18" i="72"/>
  <c r="S17" i="72"/>
  <c r="R17" i="72"/>
  <c r="Q17" i="72"/>
  <c r="P17" i="72"/>
  <c r="S16" i="72"/>
  <c r="R16" i="72"/>
  <c r="Q16" i="72"/>
  <c r="P16" i="72"/>
  <c r="S15" i="72"/>
  <c r="R15" i="72"/>
  <c r="Q15" i="72"/>
  <c r="P15" i="72"/>
  <c r="S14" i="72"/>
  <c r="R14" i="72"/>
  <c r="Q14" i="72"/>
  <c r="P14" i="72"/>
  <c r="S13" i="72"/>
  <c r="R13" i="72"/>
  <c r="Q13" i="72"/>
  <c r="P13" i="72"/>
  <c r="S12" i="72"/>
  <c r="R12" i="72"/>
  <c r="Q12" i="72"/>
  <c r="P12" i="72"/>
  <c r="S11" i="72"/>
  <c r="R11" i="72"/>
  <c r="Q11" i="72"/>
  <c r="P11" i="72"/>
  <c r="S10" i="72"/>
  <c r="R10" i="72"/>
  <c r="Q10" i="72"/>
  <c r="P10" i="72"/>
  <c r="S9" i="72"/>
  <c r="R9" i="72"/>
  <c r="Q9" i="72"/>
  <c r="P9" i="72"/>
  <c r="S8" i="72"/>
  <c r="R8" i="72"/>
  <c r="Q8" i="72"/>
  <c r="P8" i="72"/>
  <c r="S7" i="72"/>
  <c r="R7" i="72"/>
  <c r="Q7" i="72"/>
  <c r="P7" i="72"/>
  <c r="S6" i="72"/>
  <c r="R6" i="72"/>
  <c r="Q6" i="72"/>
  <c r="P6" i="72"/>
  <c r="O126" i="85"/>
  <c r="K126" i="85"/>
  <c r="G126" i="85"/>
  <c r="O125" i="85"/>
  <c r="K125" i="85"/>
  <c r="G125" i="85"/>
  <c r="O124" i="85"/>
  <c r="K124" i="85"/>
  <c r="G124" i="85"/>
  <c r="O123" i="85"/>
  <c r="K123" i="85"/>
  <c r="G123" i="85"/>
  <c r="O122" i="85"/>
  <c r="K122" i="85"/>
  <c r="G122" i="85"/>
  <c r="O121" i="85"/>
  <c r="K121" i="85"/>
  <c r="G121" i="85"/>
  <c r="O120" i="85"/>
  <c r="K120" i="85"/>
  <c r="G120" i="85"/>
  <c r="O119" i="85"/>
  <c r="K119" i="85"/>
  <c r="G119" i="85"/>
  <c r="O118" i="85"/>
  <c r="K118" i="85"/>
  <c r="G118" i="85"/>
  <c r="O117" i="85"/>
  <c r="K117" i="85"/>
  <c r="G117" i="85"/>
  <c r="O116" i="85"/>
  <c r="K116" i="85"/>
  <c r="G116" i="85"/>
  <c r="O115" i="85"/>
  <c r="K115" i="85"/>
  <c r="G115" i="85"/>
  <c r="O114" i="85"/>
  <c r="K114" i="85"/>
  <c r="G114" i="85"/>
  <c r="O113" i="85"/>
  <c r="K113" i="85"/>
  <c r="G113" i="85"/>
  <c r="O112" i="85"/>
  <c r="K112" i="85"/>
  <c r="G112" i="85"/>
  <c r="O111" i="85"/>
  <c r="K111" i="85"/>
  <c r="G111" i="85"/>
  <c r="O110" i="85"/>
  <c r="K110" i="85"/>
  <c r="G110" i="85"/>
  <c r="O109" i="85"/>
  <c r="K109" i="85"/>
  <c r="G109" i="85"/>
  <c r="O108" i="85"/>
  <c r="K108" i="85"/>
  <c r="G108" i="85"/>
  <c r="O107" i="85"/>
  <c r="K107" i="85"/>
  <c r="G107" i="85"/>
  <c r="O106" i="85"/>
  <c r="K106" i="85"/>
  <c r="G106" i="85"/>
  <c r="O105" i="85"/>
  <c r="K105" i="85"/>
  <c r="G105" i="85"/>
  <c r="O104" i="85"/>
  <c r="K104" i="85"/>
  <c r="G104" i="85"/>
  <c r="O103" i="85"/>
  <c r="K103" i="85"/>
  <c r="G103" i="85"/>
  <c r="O102" i="85"/>
  <c r="K102" i="85"/>
  <c r="G102" i="85"/>
  <c r="O101" i="85"/>
  <c r="K101" i="85"/>
  <c r="G101" i="85"/>
  <c r="O100" i="85"/>
  <c r="K100" i="85"/>
  <c r="G100" i="85"/>
  <c r="O99" i="85"/>
  <c r="K99" i="85"/>
  <c r="G99" i="85"/>
  <c r="O98" i="85"/>
  <c r="K98" i="85"/>
  <c r="G98" i="85"/>
  <c r="O97" i="85"/>
  <c r="K97" i="85"/>
  <c r="G97" i="85"/>
  <c r="O96" i="85"/>
  <c r="K96" i="85"/>
  <c r="G96" i="85"/>
  <c r="O95" i="85"/>
  <c r="K95" i="85"/>
  <c r="G95" i="85"/>
  <c r="O94" i="85"/>
  <c r="K94" i="85"/>
  <c r="G94" i="85"/>
  <c r="O93" i="85"/>
  <c r="K93" i="85"/>
  <c r="G93" i="85"/>
  <c r="O92" i="85"/>
  <c r="K92" i="85"/>
  <c r="G92" i="85"/>
  <c r="O91" i="85"/>
  <c r="K91" i="85"/>
  <c r="G91" i="85"/>
  <c r="O90" i="85"/>
  <c r="K90" i="85"/>
  <c r="G90" i="85"/>
  <c r="O89" i="85"/>
  <c r="K89" i="85"/>
  <c r="G89" i="85"/>
  <c r="O88" i="85"/>
  <c r="K88" i="85"/>
  <c r="G88" i="85"/>
  <c r="O87" i="85"/>
  <c r="K87" i="85"/>
  <c r="G87" i="85"/>
  <c r="O86" i="85"/>
  <c r="K86" i="85"/>
  <c r="G86" i="85"/>
  <c r="O85" i="85"/>
  <c r="K85" i="85"/>
  <c r="G85" i="85"/>
  <c r="O84" i="85"/>
  <c r="K84" i="85"/>
  <c r="G84" i="85"/>
  <c r="O83" i="85"/>
  <c r="K83" i="85"/>
  <c r="G83" i="85"/>
  <c r="O82" i="85"/>
  <c r="K82" i="85"/>
  <c r="G82" i="85"/>
  <c r="O81" i="85"/>
  <c r="K81" i="85"/>
  <c r="G81" i="85"/>
  <c r="O80" i="85"/>
  <c r="K80" i="85"/>
  <c r="G80" i="85"/>
  <c r="O79" i="85"/>
  <c r="K79" i="85"/>
  <c r="G79" i="85"/>
  <c r="O78" i="85"/>
  <c r="K78" i="85"/>
  <c r="G78" i="85"/>
  <c r="O77" i="85"/>
  <c r="K77" i="85"/>
  <c r="G77" i="85"/>
  <c r="O76" i="85"/>
  <c r="K76" i="85"/>
  <c r="G76" i="85"/>
  <c r="O75" i="85"/>
  <c r="K75" i="85"/>
  <c r="G75" i="85"/>
  <c r="O74" i="85"/>
  <c r="K74" i="85"/>
  <c r="G74" i="85"/>
  <c r="O73" i="85"/>
  <c r="K73" i="85"/>
  <c r="G73" i="85"/>
  <c r="O72" i="85"/>
  <c r="K72" i="85"/>
  <c r="G72" i="85"/>
  <c r="O71" i="85"/>
  <c r="K71" i="85"/>
  <c r="G71" i="85"/>
  <c r="O70" i="85"/>
  <c r="K70" i="85"/>
  <c r="G70" i="85"/>
  <c r="O69" i="85"/>
  <c r="K69" i="85"/>
  <c r="G69" i="85"/>
  <c r="O68" i="85"/>
  <c r="K68" i="85"/>
  <c r="G68" i="85"/>
  <c r="O67" i="85"/>
  <c r="K67" i="85"/>
  <c r="G67" i="85"/>
  <c r="O66" i="85"/>
  <c r="K66" i="85"/>
  <c r="G66" i="85"/>
  <c r="O65" i="85"/>
  <c r="K65" i="85"/>
  <c r="G65" i="85"/>
  <c r="O64" i="85"/>
  <c r="K64" i="85"/>
  <c r="G64" i="85"/>
  <c r="O63" i="85"/>
  <c r="K63" i="85"/>
  <c r="G63" i="85"/>
  <c r="O62" i="85"/>
  <c r="K62" i="85"/>
  <c r="G62" i="85"/>
  <c r="O61" i="85"/>
  <c r="K61" i="85"/>
  <c r="G61" i="85"/>
  <c r="O60" i="85"/>
  <c r="K60" i="85"/>
  <c r="G60" i="85"/>
  <c r="O59" i="85"/>
  <c r="K59" i="85"/>
  <c r="G59" i="85"/>
  <c r="O58" i="85"/>
  <c r="K58" i="85"/>
  <c r="G58" i="85"/>
  <c r="O57" i="85"/>
  <c r="K57" i="85"/>
  <c r="G57" i="85"/>
  <c r="O56" i="85"/>
  <c r="K56" i="85"/>
  <c r="G56" i="85"/>
  <c r="O55" i="85"/>
  <c r="K55" i="85"/>
  <c r="G55" i="85"/>
  <c r="O54" i="85"/>
  <c r="K54" i="85"/>
  <c r="G54" i="85"/>
  <c r="O53" i="85"/>
  <c r="K53" i="85"/>
  <c r="G53" i="85"/>
  <c r="O52" i="85"/>
  <c r="K52" i="85"/>
  <c r="G52" i="85"/>
  <c r="O51" i="85"/>
  <c r="K51" i="85"/>
  <c r="G51" i="85"/>
  <c r="O50" i="85"/>
  <c r="K50" i="85"/>
  <c r="G50" i="85"/>
  <c r="O49" i="85"/>
  <c r="K49" i="85"/>
  <c r="G49" i="85"/>
  <c r="O48" i="85"/>
  <c r="K48" i="85"/>
  <c r="G48" i="85"/>
  <c r="O47" i="85"/>
  <c r="K47" i="85"/>
  <c r="G47" i="85"/>
  <c r="O46" i="85"/>
  <c r="K46" i="85"/>
  <c r="G46" i="85"/>
  <c r="O45" i="85"/>
  <c r="K45" i="85"/>
  <c r="G45" i="85"/>
  <c r="O44" i="85"/>
  <c r="K44" i="85"/>
  <c r="G44" i="85"/>
  <c r="O43" i="85"/>
  <c r="K43" i="85"/>
  <c r="G43" i="85"/>
  <c r="O42" i="85"/>
  <c r="K42" i="85"/>
  <c r="G42" i="85"/>
  <c r="O41" i="85"/>
  <c r="K41" i="85"/>
  <c r="G41" i="85"/>
  <c r="O40" i="85"/>
  <c r="K40" i="85"/>
  <c r="G40" i="85"/>
  <c r="O39" i="85"/>
  <c r="K39" i="85"/>
  <c r="G39" i="85"/>
  <c r="O38" i="85"/>
  <c r="K38" i="85"/>
  <c r="G38" i="85"/>
  <c r="O37" i="85"/>
  <c r="K37" i="85"/>
  <c r="G37" i="85"/>
  <c r="O36" i="85"/>
  <c r="K36" i="85"/>
  <c r="G36" i="85"/>
  <c r="O35" i="85"/>
  <c r="K35" i="85"/>
  <c r="G35" i="85"/>
  <c r="O34" i="85"/>
  <c r="K34" i="85"/>
  <c r="G34" i="85"/>
  <c r="O33" i="85"/>
  <c r="K33" i="85"/>
  <c r="G33" i="85"/>
  <c r="O32" i="85"/>
  <c r="K32" i="85"/>
  <c r="G32" i="85"/>
  <c r="O31" i="85"/>
  <c r="K31" i="85"/>
  <c r="G31" i="85"/>
  <c r="O30" i="85"/>
  <c r="K30" i="85"/>
  <c r="G30" i="85"/>
  <c r="O29" i="85"/>
  <c r="K29" i="85"/>
  <c r="G29" i="85"/>
  <c r="O28" i="85"/>
  <c r="K28" i="85"/>
  <c r="G28" i="85"/>
  <c r="O27" i="85"/>
  <c r="K27" i="85"/>
  <c r="G27" i="85"/>
  <c r="O26" i="85"/>
  <c r="K26" i="85"/>
  <c r="G26" i="85"/>
  <c r="O25" i="85"/>
  <c r="K25" i="85"/>
  <c r="G25" i="85"/>
  <c r="O24" i="85"/>
  <c r="K24" i="85"/>
  <c r="G24" i="85"/>
  <c r="O23" i="85"/>
  <c r="K23" i="85"/>
  <c r="G23" i="85"/>
  <c r="O22" i="85"/>
  <c r="K22" i="85"/>
  <c r="G22" i="85"/>
  <c r="O21" i="85"/>
  <c r="K21" i="85"/>
  <c r="G21" i="85"/>
  <c r="O20" i="85"/>
  <c r="K20" i="85"/>
  <c r="G20" i="85"/>
  <c r="O19" i="85"/>
  <c r="K19" i="85"/>
  <c r="G19" i="85"/>
  <c r="O18" i="85"/>
  <c r="K18" i="85"/>
  <c r="G18" i="85"/>
  <c r="O17" i="85"/>
  <c r="K17" i="85"/>
  <c r="G17" i="85"/>
  <c r="O16" i="85"/>
  <c r="K16" i="85"/>
  <c r="G16" i="85"/>
  <c r="O15" i="85"/>
  <c r="K15" i="85"/>
  <c r="G15" i="85"/>
  <c r="O14" i="85"/>
  <c r="K14" i="85"/>
  <c r="G14" i="85"/>
  <c r="O13" i="85"/>
  <c r="K13" i="85"/>
  <c r="G13" i="85"/>
  <c r="O12" i="85"/>
  <c r="K12" i="85"/>
  <c r="G12" i="85"/>
  <c r="O11" i="85"/>
  <c r="K11" i="85"/>
  <c r="G11" i="85"/>
  <c r="O10" i="85"/>
  <c r="K10" i="85"/>
  <c r="G10" i="85"/>
  <c r="O9" i="85"/>
  <c r="K9" i="85"/>
  <c r="G9" i="85"/>
  <c r="O8" i="85"/>
  <c r="K8" i="85"/>
  <c r="G8" i="85"/>
  <c r="O7" i="85"/>
  <c r="K7" i="85"/>
  <c r="G7" i="85"/>
  <c r="N6" i="85"/>
  <c r="M6" i="85"/>
  <c r="L6" i="85"/>
  <c r="J6" i="85"/>
  <c r="I6" i="85"/>
  <c r="H6" i="85"/>
  <c r="F6" i="85"/>
  <c r="E6" i="85"/>
  <c r="D6" i="85"/>
  <c r="D125" i="46"/>
  <c r="C123" i="46"/>
  <c r="F122" i="46"/>
  <c r="E122" i="46"/>
  <c r="D122" i="46"/>
  <c r="F121" i="46"/>
  <c r="E121" i="46"/>
  <c r="D121" i="46"/>
  <c r="F120" i="46"/>
  <c r="E120" i="46"/>
  <c r="D120" i="46"/>
  <c r="F119" i="46"/>
  <c r="E119" i="46"/>
  <c r="D119" i="46"/>
  <c r="F118" i="46"/>
  <c r="E118" i="46"/>
  <c r="D118" i="46"/>
  <c r="F117" i="46"/>
  <c r="E117" i="46"/>
  <c r="D117" i="46"/>
  <c r="F116" i="46"/>
  <c r="E116" i="46"/>
  <c r="D116" i="46"/>
  <c r="F115" i="46"/>
  <c r="E115" i="46"/>
  <c r="D115" i="46"/>
  <c r="F114" i="46"/>
  <c r="E114" i="46"/>
  <c r="D114" i="46"/>
  <c r="F113" i="46"/>
  <c r="E113" i="46"/>
  <c r="D113" i="46"/>
  <c r="F112" i="46"/>
  <c r="E112" i="46"/>
  <c r="D112" i="46"/>
  <c r="F111" i="46"/>
  <c r="E111" i="46"/>
  <c r="D111" i="46"/>
  <c r="F110" i="46"/>
  <c r="E110" i="46"/>
  <c r="D110" i="46"/>
  <c r="F109" i="46"/>
  <c r="E109" i="46"/>
  <c r="D109" i="46"/>
  <c r="F108" i="46"/>
  <c r="E108" i="46"/>
  <c r="D108" i="46"/>
  <c r="F107" i="46"/>
  <c r="E107" i="46"/>
  <c r="D107" i="46"/>
  <c r="F106" i="46"/>
  <c r="E106" i="46"/>
  <c r="D106" i="46"/>
  <c r="F105" i="46"/>
  <c r="E105" i="46"/>
  <c r="D105" i="46"/>
  <c r="F104" i="46"/>
  <c r="E104" i="46"/>
  <c r="D104" i="46"/>
  <c r="F103" i="46"/>
  <c r="E103" i="46"/>
  <c r="D103" i="46"/>
  <c r="F102" i="46"/>
  <c r="E102" i="46"/>
  <c r="D102" i="46"/>
  <c r="F101" i="46"/>
  <c r="E101" i="46"/>
  <c r="D101" i="46"/>
  <c r="F100" i="46"/>
  <c r="E100" i="46"/>
  <c r="D100" i="46"/>
  <c r="F99" i="46"/>
  <c r="E99" i="46"/>
  <c r="D99" i="46"/>
  <c r="F98" i="46"/>
  <c r="E98" i="46"/>
  <c r="D98" i="46"/>
  <c r="F97" i="46"/>
  <c r="E97" i="46"/>
  <c r="D97" i="46"/>
  <c r="F96" i="46"/>
  <c r="E96" i="46"/>
  <c r="D96" i="46"/>
  <c r="F95" i="46"/>
  <c r="E95" i="46"/>
  <c r="D95" i="46"/>
  <c r="F94" i="46"/>
  <c r="E94" i="46"/>
  <c r="D94" i="46"/>
  <c r="F93" i="46"/>
  <c r="E93" i="46"/>
  <c r="D93" i="46"/>
  <c r="F92" i="46"/>
  <c r="E92" i="46"/>
  <c r="D92" i="46"/>
  <c r="F91" i="46"/>
  <c r="E91" i="46"/>
  <c r="D91" i="46"/>
  <c r="F90" i="46"/>
  <c r="E90" i="46"/>
  <c r="D90" i="46"/>
  <c r="F89" i="46"/>
  <c r="E89" i="46"/>
  <c r="D89" i="46"/>
  <c r="F88" i="46"/>
  <c r="E88" i="46"/>
  <c r="D88" i="46"/>
  <c r="F87" i="46"/>
  <c r="E87" i="46"/>
  <c r="D87" i="46"/>
  <c r="F86" i="46"/>
  <c r="E86" i="46"/>
  <c r="D86" i="46"/>
  <c r="F85" i="46"/>
  <c r="E85" i="46"/>
  <c r="D85" i="46"/>
  <c r="F84" i="46"/>
  <c r="E84" i="46"/>
  <c r="D84" i="46"/>
  <c r="F83" i="46"/>
  <c r="E83" i="46"/>
  <c r="D83" i="46"/>
  <c r="F82" i="46"/>
  <c r="E82" i="46"/>
  <c r="D82" i="46"/>
  <c r="F81" i="46"/>
  <c r="E81" i="46"/>
  <c r="D81" i="46"/>
  <c r="F80" i="46"/>
  <c r="E80" i="46"/>
  <c r="D80" i="46"/>
  <c r="F79" i="46"/>
  <c r="E79" i="46"/>
  <c r="D79" i="46"/>
  <c r="F78" i="46"/>
  <c r="E78" i="46"/>
  <c r="D78" i="46"/>
  <c r="F77" i="46"/>
  <c r="E77" i="46"/>
  <c r="D77" i="46"/>
  <c r="F76" i="46"/>
  <c r="E76" i="46"/>
  <c r="D76" i="46"/>
  <c r="F75" i="46"/>
  <c r="E75" i="46"/>
  <c r="D75" i="46"/>
  <c r="F74" i="46"/>
  <c r="E74" i="46"/>
  <c r="D74" i="46"/>
  <c r="F73" i="46"/>
  <c r="E73" i="46"/>
  <c r="D73" i="46"/>
  <c r="F72" i="46"/>
  <c r="E72" i="46"/>
  <c r="D72" i="46"/>
  <c r="F71" i="46"/>
  <c r="E71" i="46"/>
  <c r="D71" i="46"/>
  <c r="F70" i="46"/>
  <c r="E70" i="46"/>
  <c r="D70" i="46"/>
  <c r="F69" i="46"/>
  <c r="E69" i="46"/>
  <c r="D69" i="46"/>
  <c r="F68" i="46"/>
  <c r="E68" i="46"/>
  <c r="D68" i="46"/>
  <c r="F67" i="46"/>
  <c r="E67" i="46"/>
  <c r="D67" i="46"/>
  <c r="F66" i="46"/>
  <c r="E66" i="46"/>
  <c r="D66" i="46"/>
  <c r="F65" i="46"/>
  <c r="E65" i="46"/>
  <c r="D65" i="46"/>
  <c r="F64" i="46"/>
  <c r="E64" i="46"/>
  <c r="D64" i="46"/>
  <c r="F63" i="46"/>
  <c r="E63" i="46"/>
  <c r="D63" i="46"/>
  <c r="F62" i="46"/>
  <c r="E62" i="46"/>
  <c r="D62" i="46"/>
  <c r="F61" i="46"/>
  <c r="E61" i="46"/>
  <c r="D61" i="46"/>
  <c r="F60" i="46"/>
  <c r="E60" i="46"/>
  <c r="D60" i="46"/>
  <c r="F59" i="46"/>
  <c r="E59" i="46"/>
  <c r="D59" i="46"/>
  <c r="F58" i="46"/>
  <c r="E58" i="46"/>
  <c r="D58" i="46"/>
  <c r="F57" i="46"/>
  <c r="E57" i="46"/>
  <c r="D57" i="46"/>
  <c r="F56" i="46"/>
  <c r="E56" i="46"/>
  <c r="D56" i="46"/>
  <c r="F55" i="46"/>
  <c r="E55" i="46"/>
  <c r="D55" i="46"/>
  <c r="F54" i="46"/>
  <c r="E54" i="46"/>
  <c r="D54" i="46"/>
  <c r="F53" i="46"/>
  <c r="E53" i="46"/>
  <c r="D53" i="46"/>
  <c r="F52" i="46"/>
  <c r="E52" i="46"/>
  <c r="D52" i="46"/>
  <c r="F51" i="46"/>
  <c r="E51" i="46"/>
  <c r="D51" i="46"/>
  <c r="F50" i="46"/>
  <c r="E50" i="46"/>
  <c r="D50" i="46"/>
  <c r="F49" i="46"/>
  <c r="E49" i="46"/>
  <c r="D49" i="46"/>
  <c r="F48" i="46"/>
  <c r="E48" i="46"/>
  <c r="D48" i="46"/>
  <c r="F47" i="46"/>
  <c r="E47" i="46"/>
  <c r="D47" i="46"/>
  <c r="F46" i="46"/>
  <c r="E46" i="46"/>
  <c r="D46" i="46"/>
  <c r="F45" i="46"/>
  <c r="E45" i="46"/>
  <c r="D45" i="46"/>
  <c r="F44" i="46"/>
  <c r="E44" i="46"/>
  <c r="D44" i="46"/>
  <c r="F43" i="46"/>
  <c r="E43" i="46"/>
  <c r="D43" i="46"/>
  <c r="F42" i="46"/>
  <c r="E42" i="46"/>
  <c r="D42" i="46"/>
  <c r="F41" i="46"/>
  <c r="E41" i="46"/>
  <c r="D41" i="46"/>
  <c r="F40" i="46"/>
  <c r="E40" i="46"/>
  <c r="D40" i="46"/>
  <c r="F39" i="46"/>
  <c r="E39" i="46"/>
  <c r="D39" i="46"/>
  <c r="F38" i="46"/>
  <c r="E38" i="46"/>
  <c r="D38" i="46"/>
  <c r="F37" i="46"/>
  <c r="E37" i="46"/>
  <c r="D37" i="46"/>
  <c r="F36" i="46"/>
  <c r="E36" i="46"/>
  <c r="D36" i="46"/>
  <c r="F35" i="46"/>
  <c r="E35" i="46"/>
  <c r="D35" i="46"/>
  <c r="F34" i="46"/>
  <c r="E34" i="46"/>
  <c r="D34" i="46"/>
  <c r="F33" i="46"/>
  <c r="E33" i="46"/>
  <c r="D33" i="46"/>
  <c r="F32" i="46"/>
  <c r="E32" i="46"/>
  <c r="D32" i="46"/>
  <c r="F31" i="46"/>
  <c r="E31" i="46"/>
  <c r="D31" i="46"/>
  <c r="F30" i="46"/>
  <c r="E30" i="46"/>
  <c r="D30" i="46"/>
  <c r="F29" i="46"/>
  <c r="E29" i="46"/>
  <c r="D29" i="46"/>
  <c r="F28" i="46"/>
  <c r="E28" i="46"/>
  <c r="D28" i="46"/>
  <c r="F27" i="46"/>
  <c r="E27" i="46"/>
  <c r="D27" i="46"/>
  <c r="F26" i="46"/>
  <c r="E26" i="46"/>
  <c r="D26" i="46"/>
  <c r="F25" i="46"/>
  <c r="E25" i="46"/>
  <c r="D25" i="46"/>
  <c r="F24" i="46"/>
  <c r="E24" i="46"/>
  <c r="D24" i="46"/>
  <c r="F23" i="46"/>
  <c r="E23" i="46"/>
  <c r="D23" i="46"/>
  <c r="F22" i="46"/>
  <c r="E22" i="46"/>
  <c r="D22" i="46"/>
  <c r="F21" i="46"/>
  <c r="E21" i="46"/>
  <c r="D21" i="46"/>
  <c r="F20" i="46"/>
  <c r="E20" i="46"/>
  <c r="D20" i="46"/>
  <c r="F19" i="46"/>
  <c r="E19" i="46"/>
  <c r="D19" i="46"/>
  <c r="F18" i="46"/>
  <c r="E18" i="46"/>
  <c r="D18" i="46"/>
  <c r="F17" i="46"/>
  <c r="E17" i="46"/>
  <c r="D17" i="46"/>
  <c r="F16" i="46"/>
  <c r="E16" i="46"/>
  <c r="D16" i="46"/>
  <c r="F15" i="46"/>
  <c r="E15" i="46"/>
  <c r="D15" i="46"/>
  <c r="F14" i="46"/>
  <c r="E14" i="46"/>
  <c r="D14" i="46"/>
  <c r="F13" i="46"/>
  <c r="E13" i="46"/>
  <c r="D13" i="46"/>
  <c r="F12" i="46"/>
  <c r="E12" i="46"/>
  <c r="D12" i="46"/>
  <c r="F11" i="46"/>
  <c r="E11" i="46"/>
  <c r="D11" i="46"/>
  <c r="F10" i="46"/>
  <c r="E10" i="46"/>
  <c r="D10" i="46"/>
  <c r="F9" i="46"/>
  <c r="E9" i="46"/>
  <c r="D9" i="46"/>
  <c r="F8" i="46"/>
  <c r="E8" i="46"/>
  <c r="D8" i="46"/>
  <c r="F7" i="46"/>
  <c r="E7" i="46"/>
  <c r="D7" i="46"/>
  <c r="F6" i="46"/>
  <c r="E6" i="46"/>
  <c r="D6" i="46"/>
  <c r="F5" i="46"/>
  <c r="E5" i="46"/>
  <c r="D5" i="46"/>
  <c r="F4" i="46"/>
  <c r="E4" i="46"/>
  <c r="D4" i="46"/>
  <c r="F3" i="46"/>
  <c r="F123" i="46" s="1"/>
  <c r="E3" i="46"/>
  <c r="E123" i="46" s="1"/>
  <c r="D3" i="46"/>
  <c r="D123" i="46" s="1"/>
  <c r="E4" i="59"/>
  <c r="D4" i="59"/>
  <c r="D18" i="123"/>
  <c r="E4" i="58"/>
  <c r="D4" i="58"/>
  <c r="H15" i="123" s="1"/>
  <c r="N4" i="57"/>
  <c r="M4" i="57"/>
  <c r="L4" i="57"/>
  <c r="J4" i="57"/>
  <c r="I4" i="57"/>
  <c r="H4" i="57"/>
  <c r="X125" i="36"/>
  <c r="W125" i="36"/>
  <c r="V125" i="36"/>
  <c r="U125" i="36"/>
  <c r="T125" i="36"/>
  <c r="S125" i="36"/>
  <c r="R125" i="36"/>
  <c r="Q125" i="36"/>
  <c r="N125" i="36"/>
  <c r="M125" i="36"/>
  <c r="L125" i="36"/>
  <c r="K125" i="36"/>
  <c r="J125" i="36"/>
  <c r="I125" i="36"/>
  <c r="H125" i="36"/>
  <c r="G125" i="36"/>
  <c r="F125" i="36"/>
  <c r="E125" i="36"/>
  <c r="O124" i="36"/>
  <c r="O123" i="36"/>
  <c r="O122" i="36"/>
  <c r="O121" i="36"/>
  <c r="O120" i="36"/>
  <c r="O119" i="36"/>
  <c r="O118" i="36"/>
  <c r="O117" i="36"/>
  <c r="O116" i="36"/>
  <c r="O115" i="36"/>
  <c r="O114" i="36"/>
  <c r="O113" i="36"/>
  <c r="O112" i="36"/>
  <c r="O111" i="36"/>
  <c r="O110" i="36"/>
  <c r="O109" i="36"/>
  <c r="O108" i="36"/>
  <c r="O107" i="36"/>
  <c r="O106" i="36"/>
  <c r="O105" i="36"/>
  <c r="O104" i="36"/>
  <c r="O103" i="36"/>
  <c r="O102" i="36"/>
  <c r="O101" i="36"/>
  <c r="O100" i="36"/>
  <c r="O99" i="36"/>
  <c r="O98" i="36"/>
  <c r="O97" i="36"/>
  <c r="O96" i="36"/>
  <c r="O95" i="36"/>
  <c r="O94" i="36"/>
  <c r="O93" i="36"/>
  <c r="O92" i="36"/>
  <c r="O91" i="36"/>
  <c r="O90" i="36"/>
  <c r="O89" i="36"/>
  <c r="O88" i="36"/>
  <c r="O87" i="36"/>
  <c r="O86" i="36"/>
  <c r="O85" i="36"/>
  <c r="O84" i="36"/>
  <c r="O83" i="36"/>
  <c r="O82" i="36"/>
  <c r="O81" i="36"/>
  <c r="O80" i="36"/>
  <c r="O79"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5" i="36"/>
  <c r="O24" i="36"/>
  <c r="O23" i="36"/>
  <c r="O22" i="36"/>
  <c r="O21" i="36"/>
  <c r="O20" i="36"/>
  <c r="O19" i="36"/>
  <c r="O18" i="36"/>
  <c r="O17" i="36"/>
  <c r="O16" i="36"/>
  <c r="O15" i="36"/>
  <c r="O14" i="36"/>
  <c r="O13" i="36"/>
  <c r="O12" i="36"/>
  <c r="O11" i="36"/>
  <c r="O10" i="36"/>
  <c r="O9" i="36"/>
  <c r="O8" i="36"/>
  <c r="O7" i="36"/>
  <c r="O6" i="36"/>
  <c r="O5" i="36"/>
  <c r="C1" i="36"/>
  <c r="D1" i="36" s="1"/>
  <c r="E1" i="36" s="1"/>
  <c r="F1" i="36" s="1"/>
  <c r="G1" i="36" s="1"/>
  <c r="H1" i="36" s="1"/>
  <c r="I1" i="36" s="1"/>
  <c r="J1" i="36" s="1"/>
  <c r="K1" i="36" s="1"/>
  <c r="L1" i="36" s="1"/>
  <c r="M1" i="36" s="1"/>
  <c r="N1" i="36" s="1"/>
  <c r="O1" i="36" s="1"/>
  <c r="E122" i="38"/>
  <c r="E123" i="38" s="1"/>
  <c r="D122" i="38"/>
  <c r="D123" i="38" s="1"/>
  <c r="C122" i="38"/>
  <c r="C123" i="38" s="1"/>
  <c r="F121" i="38"/>
  <c r="F120" i="38"/>
  <c r="F119" i="38"/>
  <c r="F118" i="38"/>
  <c r="F117" i="38"/>
  <c r="F116" i="38"/>
  <c r="F115" i="38"/>
  <c r="F114" i="38"/>
  <c r="F113" i="38"/>
  <c r="F112" i="38"/>
  <c r="F111" i="38"/>
  <c r="F110" i="38"/>
  <c r="F109" i="38"/>
  <c r="F108" i="38"/>
  <c r="F107" i="38"/>
  <c r="F106" i="38"/>
  <c r="F105" i="38"/>
  <c r="F104" i="38"/>
  <c r="F103" i="38"/>
  <c r="F102" i="38"/>
  <c r="F101"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F5" i="38"/>
  <c r="F4" i="38"/>
  <c r="F3" i="38"/>
  <c r="F2" i="38"/>
  <c r="X123" i="41"/>
  <c r="W123" i="41"/>
  <c r="T123" i="41"/>
  <c r="S123" i="41"/>
  <c r="P123" i="41"/>
  <c r="L123" i="41"/>
  <c r="K123" i="41"/>
  <c r="H123" i="41"/>
  <c r="G123" i="41"/>
  <c r="D123" i="41"/>
  <c r="C123" i="41"/>
  <c r="X122" i="41"/>
  <c r="W122" i="41"/>
  <c r="T122" i="41"/>
  <c r="S122" i="41"/>
  <c r="P122" i="41"/>
  <c r="L122" i="41"/>
  <c r="K122" i="41"/>
  <c r="H122" i="41"/>
  <c r="G122" i="41"/>
  <c r="D122" i="41"/>
  <c r="C122" i="41"/>
  <c r="X121" i="41"/>
  <c r="W121" i="41"/>
  <c r="T121" i="41"/>
  <c r="S121" i="41"/>
  <c r="P121" i="41"/>
  <c r="L121" i="41"/>
  <c r="K121" i="41"/>
  <c r="H121" i="41"/>
  <c r="G121" i="41"/>
  <c r="D121" i="41"/>
  <c r="C121" i="41"/>
  <c r="X120" i="41"/>
  <c r="W120" i="41"/>
  <c r="T120" i="41"/>
  <c r="S120" i="41"/>
  <c r="P120" i="41"/>
  <c r="L120" i="41"/>
  <c r="K120" i="41"/>
  <c r="H120" i="41"/>
  <c r="G120" i="41"/>
  <c r="D120" i="41"/>
  <c r="C120" i="41"/>
  <c r="X119" i="41"/>
  <c r="W119" i="41"/>
  <c r="T119" i="41"/>
  <c r="S119" i="41"/>
  <c r="P119" i="41"/>
  <c r="L119" i="41"/>
  <c r="K119" i="41"/>
  <c r="H119" i="41"/>
  <c r="G119" i="41"/>
  <c r="D119" i="41"/>
  <c r="C119" i="41"/>
  <c r="X118" i="41"/>
  <c r="W118" i="41"/>
  <c r="T118" i="41"/>
  <c r="S118" i="41"/>
  <c r="P118" i="41"/>
  <c r="L118" i="41"/>
  <c r="K118" i="41"/>
  <c r="H118" i="41"/>
  <c r="G118" i="41"/>
  <c r="D118" i="41"/>
  <c r="C118" i="41"/>
  <c r="X117" i="41"/>
  <c r="W117" i="41"/>
  <c r="T117" i="41"/>
  <c r="S117" i="41"/>
  <c r="P117" i="41"/>
  <c r="L117" i="41"/>
  <c r="K117" i="41"/>
  <c r="H117" i="41"/>
  <c r="G117" i="41"/>
  <c r="D117" i="41"/>
  <c r="C117" i="41"/>
  <c r="X116" i="41"/>
  <c r="W116" i="41"/>
  <c r="T116" i="41"/>
  <c r="S116" i="41"/>
  <c r="P116" i="41"/>
  <c r="L116" i="41"/>
  <c r="K116" i="41"/>
  <c r="H116" i="41"/>
  <c r="G116" i="41"/>
  <c r="D116" i="41"/>
  <c r="C116" i="41"/>
  <c r="X115" i="41"/>
  <c r="W115" i="41"/>
  <c r="T115" i="41"/>
  <c r="S115" i="41"/>
  <c r="P115" i="41"/>
  <c r="L115" i="41"/>
  <c r="K115" i="41"/>
  <c r="H115" i="41"/>
  <c r="G115" i="41"/>
  <c r="D115" i="41"/>
  <c r="C115" i="41"/>
  <c r="X114" i="41"/>
  <c r="W114" i="41"/>
  <c r="T114" i="41"/>
  <c r="S114" i="41"/>
  <c r="P114" i="41"/>
  <c r="L114" i="41"/>
  <c r="K114" i="41"/>
  <c r="H114" i="41"/>
  <c r="G114" i="41"/>
  <c r="D114" i="41"/>
  <c r="C114" i="41"/>
  <c r="X113" i="41"/>
  <c r="W113" i="41"/>
  <c r="T113" i="41"/>
  <c r="S113" i="41"/>
  <c r="P113" i="41"/>
  <c r="L113" i="41"/>
  <c r="K113" i="41"/>
  <c r="H113" i="41"/>
  <c r="G113" i="41"/>
  <c r="D113" i="41"/>
  <c r="C113" i="41"/>
  <c r="X112" i="41"/>
  <c r="W112" i="41"/>
  <c r="T112" i="41"/>
  <c r="S112" i="41"/>
  <c r="P112" i="41"/>
  <c r="L112" i="41"/>
  <c r="K112" i="41"/>
  <c r="H112" i="41"/>
  <c r="G112" i="41"/>
  <c r="D112" i="41"/>
  <c r="C112" i="41"/>
  <c r="X111" i="41"/>
  <c r="W111" i="41"/>
  <c r="T111" i="41"/>
  <c r="S111" i="41"/>
  <c r="P111" i="41"/>
  <c r="L111" i="41"/>
  <c r="K111" i="41"/>
  <c r="H111" i="41"/>
  <c r="G111" i="41"/>
  <c r="D111" i="41"/>
  <c r="C111" i="41"/>
  <c r="X110" i="41"/>
  <c r="W110" i="41"/>
  <c r="T110" i="41"/>
  <c r="S110" i="41"/>
  <c r="P110" i="41"/>
  <c r="L110" i="41"/>
  <c r="K110" i="41"/>
  <c r="H110" i="41"/>
  <c r="G110" i="41"/>
  <c r="D110" i="41"/>
  <c r="C110" i="41"/>
  <c r="X109" i="41"/>
  <c r="W109" i="41"/>
  <c r="T109" i="41"/>
  <c r="S109" i="41"/>
  <c r="P109" i="41"/>
  <c r="L109" i="41"/>
  <c r="K109" i="41"/>
  <c r="H109" i="41"/>
  <c r="G109" i="41"/>
  <c r="D109" i="41"/>
  <c r="C109" i="41"/>
  <c r="X108" i="41"/>
  <c r="W108" i="41"/>
  <c r="T108" i="41"/>
  <c r="S108" i="41"/>
  <c r="P108" i="41"/>
  <c r="L108" i="41"/>
  <c r="K108" i="41"/>
  <c r="H108" i="41"/>
  <c r="G108" i="41"/>
  <c r="D108" i="41"/>
  <c r="C108" i="41"/>
  <c r="X107" i="41"/>
  <c r="W107" i="41"/>
  <c r="T107" i="41"/>
  <c r="S107" i="41"/>
  <c r="P107" i="41"/>
  <c r="L107" i="41"/>
  <c r="K107" i="41"/>
  <c r="H107" i="41"/>
  <c r="G107" i="41"/>
  <c r="D107" i="41"/>
  <c r="C107" i="41"/>
  <c r="X106" i="41"/>
  <c r="W106" i="41"/>
  <c r="T106" i="41"/>
  <c r="S106" i="41"/>
  <c r="P106" i="41"/>
  <c r="L106" i="41"/>
  <c r="K106" i="41"/>
  <c r="H106" i="41"/>
  <c r="G106" i="41"/>
  <c r="D106" i="41"/>
  <c r="C106" i="41"/>
  <c r="X105" i="41"/>
  <c r="W105" i="41"/>
  <c r="T105" i="41"/>
  <c r="S105" i="41"/>
  <c r="P105" i="41"/>
  <c r="L105" i="41"/>
  <c r="K105" i="41"/>
  <c r="H105" i="41"/>
  <c r="G105" i="41"/>
  <c r="D105" i="41"/>
  <c r="C105" i="41"/>
  <c r="X104" i="41"/>
  <c r="W104" i="41"/>
  <c r="T104" i="41"/>
  <c r="S104" i="41"/>
  <c r="P104" i="41"/>
  <c r="L104" i="41"/>
  <c r="K104" i="41"/>
  <c r="H104" i="41"/>
  <c r="G104" i="41"/>
  <c r="D104" i="41"/>
  <c r="C104" i="41"/>
  <c r="X103" i="41"/>
  <c r="W103" i="41"/>
  <c r="T103" i="41"/>
  <c r="S103" i="41"/>
  <c r="P103" i="41"/>
  <c r="L103" i="41"/>
  <c r="K103" i="41"/>
  <c r="H103" i="41"/>
  <c r="G103" i="41"/>
  <c r="D103" i="41"/>
  <c r="C103" i="41"/>
  <c r="X102" i="41"/>
  <c r="W102" i="41"/>
  <c r="T102" i="41"/>
  <c r="S102" i="41"/>
  <c r="P102" i="41"/>
  <c r="L102" i="41"/>
  <c r="K102" i="41"/>
  <c r="H102" i="41"/>
  <c r="G102" i="41"/>
  <c r="D102" i="41"/>
  <c r="C102" i="41"/>
  <c r="X101" i="41"/>
  <c r="W101" i="41"/>
  <c r="T101" i="41"/>
  <c r="S101" i="41"/>
  <c r="P101" i="41"/>
  <c r="L101" i="41"/>
  <c r="K101" i="41"/>
  <c r="H101" i="41"/>
  <c r="G101" i="41"/>
  <c r="D101" i="41"/>
  <c r="C101" i="41"/>
  <c r="X100" i="41"/>
  <c r="W100" i="41"/>
  <c r="T100" i="41"/>
  <c r="S100" i="41"/>
  <c r="P100" i="41"/>
  <c r="L100" i="41"/>
  <c r="K100" i="41"/>
  <c r="H100" i="41"/>
  <c r="G100" i="41"/>
  <c r="D100" i="41"/>
  <c r="C100" i="41"/>
  <c r="X99" i="41"/>
  <c r="W99" i="41"/>
  <c r="T99" i="41"/>
  <c r="S99" i="41"/>
  <c r="P99" i="41"/>
  <c r="L99" i="41"/>
  <c r="K99" i="41"/>
  <c r="H99" i="41"/>
  <c r="G99" i="41"/>
  <c r="D99" i="41"/>
  <c r="C99" i="41"/>
  <c r="X98" i="41"/>
  <c r="W98" i="41"/>
  <c r="T98" i="41"/>
  <c r="S98" i="41"/>
  <c r="P98" i="41"/>
  <c r="L98" i="41"/>
  <c r="K98" i="41"/>
  <c r="H98" i="41"/>
  <c r="G98" i="41"/>
  <c r="D98" i="41"/>
  <c r="C98" i="41"/>
  <c r="X97" i="41"/>
  <c r="W97" i="41"/>
  <c r="T97" i="41"/>
  <c r="S97" i="41"/>
  <c r="P97" i="41"/>
  <c r="L97" i="41"/>
  <c r="K97" i="41"/>
  <c r="H97" i="41"/>
  <c r="G97" i="41"/>
  <c r="D97" i="41"/>
  <c r="C97" i="41"/>
  <c r="X96" i="41"/>
  <c r="W96" i="41"/>
  <c r="T96" i="41"/>
  <c r="S96" i="41"/>
  <c r="P96" i="41"/>
  <c r="L96" i="41"/>
  <c r="K96" i="41"/>
  <c r="H96" i="41"/>
  <c r="G96" i="41"/>
  <c r="D96" i="41"/>
  <c r="C96" i="41"/>
  <c r="X95" i="41"/>
  <c r="W95" i="41"/>
  <c r="T95" i="41"/>
  <c r="S95" i="41"/>
  <c r="P95" i="41"/>
  <c r="L95" i="41"/>
  <c r="K95" i="41"/>
  <c r="H95" i="41"/>
  <c r="G95" i="41"/>
  <c r="D95" i="41"/>
  <c r="C95" i="41"/>
  <c r="X94" i="41"/>
  <c r="W94" i="41"/>
  <c r="T94" i="41"/>
  <c r="S94" i="41"/>
  <c r="P94" i="41"/>
  <c r="L94" i="41"/>
  <c r="K94" i="41"/>
  <c r="H94" i="41"/>
  <c r="G94" i="41"/>
  <c r="D94" i="41"/>
  <c r="C94" i="41"/>
  <c r="X93" i="41"/>
  <c r="W93" i="41"/>
  <c r="T93" i="41"/>
  <c r="S93" i="41"/>
  <c r="P93" i="41"/>
  <c r="L93" i="41"/>
  <c r="K93" i="41"/>
  <c r="H93" i="41"/>
  <c r="G93" i="41"/>
  <c r="D93" i="41"/>
  <c r="C93" i="41"/>
  <c r="X92" i="41"/>
  <c r="W92" i="41"/>
  <c r="T92" i="41"/>
  <c r="S92" i="41"/>
  <c r="P92" i="41"/>
  <c r="L92" i="41"/>
  <c r="K92" i="41"/>
  <c r="H92" i="41"/>
  <c r="G92" i="41"/>
  <c r="D92" i="41"/>
  <c r="C92" i="41"/>
  <c r="X91" i="41"/>
  <c r="W91" i="41"/>
  <c r="T91" i="41"/>
  <c r="S91" i="41"/>
  <c r="P91" i="41"/>
  <c r="L91" i="41"/>
  <c r="K91" i="41"/>
  <c r="H91" i="41"/>
  <c r="G91" i="41"/>
  <c r="D91" i="41"/>
  <c r="C91" i="41"/>
  <c r="X90" i="41"/>
  <c r="W90" i="41"/>
  <c r="T90" i="41"/>
  <c r="S90" i="41"/>
  <c r="P90" i="41"/>
  <c r="L90" i="41"/>
  <c r="K90" i="41"/>
  <c r="H90" i="41"/>
  <c r="G90" i="41"/>
  <c r="D90" i="41"/>
  <c r="C90" i="41"/>
  <c r="X89" i="41"/>
  <c r="W89" i="41"/>
  <c r="T89" i="41"/>
  <c r="S89" i="41"/>
  <c r="P89" i="41"/>
  <c r="L89" i="41"/>
  <c r="K89" i="41"/>
  <c r="H89" i="41"/>
  <c r="G89" i="41"/>
  <c r="D89" i="41"/>
  <c r="C89" i="41"/>
  <c r="X88" i="41"/>
  <c r="W88" i="41"/>
  <c r="T88" i="41"/>
  <c r="S88" i="41"/>
  <c r="P88" i="41"/>
  <c r="L88" i="41"/>
  <c r="K88" i="41"/>
  <c r="H88" i="41"/>
  <c r="G88" i="41"/>
  <c r="D88" i="41"/>
  <c r="C88" i="41"/>
  <c r="X87" i="41"/>
  <c r="W87" i="41"/>
  <c r="T87" i="41"/>
  <c r="S87" i="41"/>
  <c r="P87" i="41"/>
  <c r="L87" i="41"/>
  <c r="K87" i="41"/>
  <c r="H87" i="41"/>
  <c r="G87" i="41"/>
  <c r="D87" i="41"/>
  <c r="C87" i="41"/>
  <c r="X86" i="41"/>
  <c r="W86" i="41"/>
  <c r="T86" i="41"/>
  <c r="S86" i="41"/>
  <c r="P86" i="41"/>
  <c r="L86" i="41"/>
  <c r="K86" i="41"/>
  <c r="H86" i="41"/>
  <c r="G86" i="41"/>
  <c r="D86" i="41"/>
  <c r="C86" i="41"/>
  <c r="X85" i="41"/>
  <c r="W85" i="41"/>
  <c r="T85" i="41"/>
  <c r="S85" i="41"/>
  <c r="P85" i="41"/>
  <c r="L85" i="41"/>
  <c r="K85" i="41"/>
  <c r="H85" i="41"/>
  <c r="G85" i="41"/>
  <c r="D85" i="41"/>
  <c r="C85" i="41"/>
  <c r="X84" i="41"/>
  <c r="W84" i="41"/>
  <c r="T84" i="41"/>
  <c r="S84" i="41"/>
  <c r="P84" i="41"/>
  <c r="L84" i="41"/>
  <c r="K84" i="41"/>
  <c r="H84" i="41"/>
  <c r="G84" i="41"/>
  <c r="D84" i="41"/>
  <c r="C84" i="41"/>
  <c r="X83" i="41"/>
  <c r="W83" i="41"/>
  <c r="T83" i="41"/>
  <c r="S83" i="41"/>
  <c r="P83" i="41"/>
  <c r="L83" i="41"/>
  <c r="K83" i="41"/>
  <c r="H83" i="41"/>
  <c r="G83" i="41"/>
  <c r="D83" i="41"/>
  <c r="C83" i="41"/>
  <c r="X82" i="41"/>
  <c r="W82" i="41"/>
  <c r="T82" i="41"/>
  <c r="S82" i="41"/>
  <c r="P82" i="41"/>
  <c r="L82" i="41"/>
  <c r="K82" i="41"/>
  <c r="H82" i="41"/>
  <c r="G82" i="41"/>
  <c r="D82" i="41"/>
  <c r="C82" i="41"/>
  <c r="X81" i="41"/>
  <c r="W81" i="41"/>
  <c r="T81" i="41"/>
  <c r="S81" i="41"/>
  <c r="P81" i="41"/>
  <c r="L81" i="41"/>
  <c r="K81" i="41"/>
  <c r="H81" i="41"/>
  <c r="G81" i="41"/>
  <c r="D81" i="41"/>
  <c r="C81" i="41"/>
  <c r="X80" i="41"/>
  <c r="W80" i="41"/>
  <c r="T80" i="41"/>
  <c r="S80" i="41"/>
  <c r="P80" i="41"/>
  <c r="L80" i="41"/>
  <c r="K80" i="41"/>
  <c r="H80" i="41"/>
  <c r="G80" i="41"/>
  <c r="D80" i="41"/>
  <c r="C80" i="41"/>
  <c r="X79" i="41"/>
  <c r="W79" i="41"/>
  <c r="T79" i="41"/>
  <c r="S79" i="41"/>
  <c r="P79" i="41"/>
  <c r="L79" i="41"/>
  <c r="K79" i="41"/>
  <c r="H79" i="41"/>
  <c r="G79" i="41"/>
  <c r="D79" i="41"/>
  <c r="C79" i="41"/>
  <c r="X78" i="41"/>
  <c r="W78" i="41"/>
  <c r="T78" i="41"/>
  <c r="S78" i="41"/>
  <c r="P78" i="41"/>
  <c r="L78" i="41"/>
  <c r="K78" i="41"/>
  <c r="H78" i="41"/>
  <c r="G78" i="41"/>
  <c r="D78" i="41"/>
  <c r="C78" i="41"/>
  <c r="X77" i="41"/>
  <c r="W77" i="41"/>
  <c r="T77" i="41"/>
  <c r="S77" i="41"/>
  <c r="P77" i="41"/>
  <c r="L77" i="41"/>
  <c r="K77" i="41"/>
  <c r="H77" i="41"/>
  <c r="G77" i="41"/>
  <c r="D77" i="41"/>
  <c r="C77" i="41"/>
  <c r="X76" i="41"/>
  <c r="W76" i="41"/>
  <c r="T76" i="41"/>
  <c r="S76" i="41"/>
  <c r="P76" i="41"/>
  <c r="L76" i="41"/>
  <c r="K76" i="41"/>
  <c r="H76" i="41"/>
  <c r="G76" i="41"/>
  <c r="D76" i="41"/>
  <c r="C76" i="41"/>
  <c r="X75" i="41"/>
  <c r="W75" i="41"/>
  <c r="T75" i="41"/>
  <c r="S75" i="41"/>
  <c r="P75" i="41"/>
  <c r="L75" i="41"/>
  <c r="K75" i="41"/>
  <c r="H75" i="41"/>
  <c r="G75" i="41"/>
  <c r="D75" i="41"/>
  <c r="C75" i="41"/>
  <c r="X74" i="41"/>
  <c r="W74" i="41"/>
  <c r="T74" i="41"/>
  <c r="S74" i="41"/>
  <c r="P74" i="41"/>
  <c r="L74" i="41"/>
  <c r="K74" i="41"/>
  <c r="H74" i="41"/>
  <c r="G74" i="41"/>
  <c r="D74" i="41"/>
  <c r="C74" i="41"/>
  <c r="X73" i="41"/>
  <c r="W73" i="41"/>
  <c r="T73" i="41"/>
  <c r="S73" i="41"/>
  <c r="P73" i="41"/>
  <c r="L73" i="41"/>
  <c r="K73" i="41"/>
  <c r="H73" i="41"/>
  <c r="G73" i="41"/>
  <c r="D73" i="41"/>
  <c r="C73" i="41"/>
  <c r="X72" i="41"/>
  <c r="W72" i="41"/>
  <c r="T72" i="41"/>
  <c r="S72" i="41"/>
  <c r="P72" i="41"/>
  <c r="L72" i="41"/>
  <c r="K72" i="41"/>
  <c r="H72" i="41"/>
  <c r="G72" i="41"/>
  <c r="D72" i="41"/>
  <c r="C72" i="41"/>
  <c r="X71" i="41"/>
  <c r="W71" i="41"/>
  <c r="T71" i="41"/>
  <c r="S71" i="41"/>
  <c r="P71" i="41"/>
  <c r="L71" i="41"/>
  <c r="K71" i="41"/>
  <c r="H71" i="41"/>
  <c r="G71" i="41"/>
  <c r="D71" i="41"/>
  <c r="C71" i="41"/>
  <c r="X70" i="41"/>
  <c r="W70" i="41"/>
  <c r="T70" i="41"/>
  <c r="S70" i="41"/>
  <c r="P70" i="41"/>
  <c r="L70" i="41"/>
  <c r="K70" i="41"/>
  <c r="H70" i="41"/>
  <c r="G70" i="41"/>
  <c r="D70" i="41"/>
  <c r="C70" i="41"/>
  <c r="X69" i="41"/>
  <c r="W69" i="41"/>
  <c r="T69" i="41"/>
  <c r="S69" i="41"/>
  <c r="P69" i="41"/>
  <c r="L69" i="41"/>
  <c r="K69" i="41"/>
  <c r="H69" i="41"/>
  <c r="G69" i="41"/>
  <c r="D69" i="41"/>
  <c r="C69" i="41"/>
  <c r="X68" i="41"/>
  <c r="W68" i="41"/>
  <c r="T68" i="41"/>
  <c r="S68" i="41"/>
  <c r="P68" i="41"/>
  <c r="L68" i="41"/>
  <c r="K68" i="41"/>
  <c r="H68" i="41"/>
  <c r="G68" i="41"/>
  <c r="D68" i="41"/>
  <c r="C68" i="41"/>
  <c r="X67" i="41"/>
  <c r="W67" i="41"/>
  <c r="T67" i="41"/>
  <c r="S67" i="41"/>
  <c r="P67" i="41"/>
  <c r="L67" i="41"/>
  <c r="K67" i="41"/>
  <c r="H67" i="41"/>
  <c r="G67" i="41"/>
  <c r="D67" i="41"/>
  <c r="C67" i="41"/>
  <c r="X66" i="41"/>
  <c r="W66" i="41"/>
  <c r="T66" i="41"/>
  <c r="S66" i="41"/>
  <c r="P66" i="41"/>
  <c r="L66" i="41"/>
  <c r="K66" i="41"/>
  <c r="H66" i="41"/>
  <c r="G66" i="41"/>
  <c r="D66" i="41"/>
  <c r="C66" i="41"/>
  <c r="X65" i="41"/>
  <c r="W65" i="41"/>
  <c r="T65" i="41"/>
  <c r="S65" i="41"/>
  <c r="P65" i="41"/>
  <c r="L65" i="41"/>
  <c r="K65" i="41"/>
  <c r="H65" i="41"/>
  <c r="G65" i="41"/>
  <c r="D65" i="41"/>
  <c r="C65" i="41"/>
  <c r="X64" i="41"/>
  <c r="W64" i="41"/>
  <c r="T64" i="41"/>
  <c r="S64" i="41"/>
  <c r="P64" i="41"/>
  <c r="L64" i="41"/>
  <c r="K64" i="41"/>
  <c r="H64" i="41"/>
  <c r="G64" i="41"/>
  <c r="D64" i="41"/>
  <c r="C64" i="41"/>
  <c r="X63" i="41"/>
  <c r="W63" i="41"/>
  <c r="T63" i="41"/>
  <c r="S63" i="41"/>
  <c r="P63" i="41"/>
  <c r="L63" i="41"/>
  <c r="K63" i="41"/>
  <c r="H63" i="41"/>
  <c r="G63" i="41"/>
  <c r="D63" i="41"/>
  <c r="C63" i="41"/>
  <c r="X62" i="41"/>
  <c r="W62" i="41"/>
  <c r="T62" i="41"/>
  <c r="S62" i="41"/>
  <c r="P62" i="41"/>
  <c r="L62" i="41"/>
  <c r="K62" i="41"/>
  <c r="H62" i="41"/>
  <c r="G62" i="41"/>
  <c r="D62" i="41"/>
  <c r="C62" i="41"/>
  <c r="X61" i="41"/>
  <c r="W61" i="41"/>
  <c r="T61" i="41"/>
  <c r="S61" i="41"/>
  <c r="P61" i="41"/>
  <c r="L61" i="41"/>
  <c r="K61" i="41"/>
  <c r="H61" i="41"/>
  <c r="G61" i="41"/>
  <c r="D61" i="41"/>
  <c r="C61" i="41"/>
  <c r="X60" i="41"/>
  <c r="W60" i="41"/>
  <c r="T60" i="41"/>
  <c r="S60" i="41"/>
  <c r="P60" i="41"/>
  <c r="L60" i="41"/>
  <c r="K60" i="41"/>
  <c r="H60" i="41"/>
  <c r="G60" i="41"/>
  <c r="D60" i="41"/>
  <c r="C60" i="41"/>
  <c r="X59" i="41"/>
  <c r="W59" i="41"/>
  <c r="T59" i="41"/>
  <c r="S59" i="41"/>
  <c r="P59" i="41"/>
  <c r="L59" i="41"/>
  <c r="K59" i="41"/>
  <c r="H59" i="41"/>
  <c r="G59" i="41"/>
  <c r="D59" i="41"/>
  <c r="C59" i="41"/>
  <c r="X58" i="41"/>
  <c r="W58" i="41"/>
  <c r="T58" i="41"/>
  <c r="S58" i="41"/>
  <c r="P58" i="41"/>
  <c r="L58" i="41"/>
  <c r="K58" i="41"/>
  <c r="H58" i="41"/>
  <c r="G58" i="41"/>
  <c r="D58" i="41"/>
  <c r="C58" i="41"/>
  <c r="X57" i="41"/>
  <c r="W57" i="41"/>
  <c r="T57" i="41"/>
  <c r="S57" i="41"/>
  <c r="P57" i="41"/>
  <c r="L57" i="41"/>
  <c r="K57" i="41"/>
  <c r="H57" i="41"/>
  <c r="G57" i="41"/>
  <c r="D57" i="41"/>
  <c r="C57" i="41"/>
  <c r="X56" i="41"/>
  <c r="W56" i="41"/>
  <c r="T56" i="41"/>
  <c r="S56" i="41"/>
  <c r="P56" i="41"/>
  <c r="L56" i="41"/>
  <c r="K56" i="41"/>
  <c r="H56" i="41"/>
  <c r="G56" i="41"/>
  <c r="D56" i="41"/>
  <c r="C56" i="41"/>
  <c r="X55" i="41"/>
  <c r="W55" i="41"/>
  <c r="T55" i="41"/>
  <c r="S55" i="41"/>
  <c r="P55" i="41"/>
  <c r="L55" i="41"/>
  <c r="K55" i="41"/>
  <c r="H55" i="41"/>
  <c r="G55" i="41"/>
  <c r="D55" i="41"/>
  <c r="C55" i="41"/>
  <c r="X54" i="41"/>
  <c r="W54" i="41"/>
  <c r="T54" i="41"/>
  <c r="S54" i="41"/>
  <c r="P54" i="41"/>
  <c r="L54" i="41"/>
  <c r="K54" i="41"/>
  <c r="H54" i="41"/>
  <c r="G54" i="41"/>
  <c r="D54" i="41"/>
  <c r="C54" i="41"/>
  <c r="X53" i="41"/>
  <c r="W53" i="41"/>
  <c r="T53" i="41"/>
  <c r="S53" i="41"/>
  <c r="P53" i="41"/>
  <c r="L53" i="41"/>
  <c r="K53" i="41"/>
  <c r="H53" i="41"/>
  <c r="G53" i="41"/>
  <c r="D53" i="41"/>
  <c r="C53" i="41"/>
  <c r="X52" i="41"/>
  <c r="W52" i="41"/>
  <c r="T52" i="41"/>
  <c r="S52" i="41"/>
  <c r="P52" i="41"/>
  <c r="L52" i="41"/>
  <c r="K52" i="41"/>
  <c r="H52" i="41"/>
  <c r="G52" i="41"/>
  <c r="D52" i="41"/>
  <c r="C52" i="41"/>
  <c r="X51" i="41"/>
  <c r="W51" i="41"/>
  <c r="T51" i="41"/>
  <c r="S51" i="41"/>
  <c r="P51" i="41"/>
  <c r="L51" i="41"/>
  <c r="K51" i="41"/>
  <c r="H51" i="41"/>
  <c r="G51" i="41"/>
  <c r="D51" i="41"/>
  <c r="C51" i="41"/>
  <c r="X50" i="41"/>
  <c r="W50" i="41"/>
  <c r="T50" i="41"/>
  <c r="S50" i="41"/>
  <c r="P50" i="41"/>
  <c r="L50" i="41"/>
  <c r="K50" i="41"/>
  <c r="H50" i="41"/>
  <c r="G50" i="41"/>
  <c r="D50" i="41"/>
  <c r="C50" i="41"/>
  <c r="X49" i="41"/>
  <c r="W49" i="41"/>
  <c r="T49" i="41"/>
  <c r="S49" i="41"/>
  <c r="P49" i="41"/>
  <c r="L49" i="41"/>
  <c r="K49" i="41"/>
  <c r="H49" i="41"/>
  <c r="G49" i="41"/>
  <c r="D49" i="41"/>
  <c r="C49" i="41"/>
  <c r="X48" i="41"/>
  <c r="W48" i="41"/>
  <c r="T48" i="41"/>
  <c r="S48" i="41"/>
  <c r="P48" i="41"/>
  <c r="L48" i="41"/>
  <c r="K48" i="41"/>
  <c r="H48" i="41"/>
  <c r="G48" i="41"/>
  <c r="D48" i="41"/>
  <c r="C48" i="41"/>
  <c r="X47" i="41"/>
  <c r="W47" i="41"/>
  <c r="T47" i="41"/>
  <c r="S47" i="41"/>
  <c r="P47" i="41"/>
  <c r="L47" i="41"/>
  <c r="K47" i="41"/>
  <c r="H47" i="41"/>
  <c r="G47" i="41"/>
  <c r="D47" i="41"/>
  <c r="C47" i="41"/>
  <c r="X46" i="41"/>
  <c r="W46" i="41"/>
  <c r="T46" i="41"/>
  <c r="S46" i="41"/>
  <c r="P46" i="41"/>
  <c r="L46" i="41"/>
  <c r="K46" i="41"/>
  <c r="H46" i="41"/>
  <c r="G46" i="41"/>
  <c r="D46" i="41"/>
  <c r="C46" i="41"/>
  <c r="X45" i="41"/>
  <c r="W45" i="41"/>
  <c r="T45" i="41"/>
  <c r="S45" i="41"/>
  <c r="P45" i="41"/>
  <c r="L45" i="41"/>
  <c r="K45" i="41"/>
  <c r="H45" i="41"/>
  <c r="G45" i="41"/>
  <c r="D45" i="41"/>
  <c r="C45" i="41"/>
  <c r="X44" i="41"/>
  <c r="W44" i="41"/>
  <c r="T44" i="41"/>
  <c r="S44" i="41"/>
  <c r="P44" i="41"/>
  <c r="L44" i="41"/>
  <c r="K44" i="41"/>
  <c r="H44" i="41"/>
  <c r="G44" i="41"/>
  <c r="D44" i="41"/>
  <c r="C44" i="41"/>
  <c r="X43" i="41"/>
  <c r="W43" i="41"/>
  <c r="T43" i="41"/>
  <c r="S43" i="41"/>
  <c r="P43" i="41"/>
  <c r="L43" i="41"/>
  <c r="K43" i="41"/>
  <c r="H43" i="41"/>
  <c r="G43" i="41"/>
  <c r="D43" i="41"/>
  <c r="C43" i="41"/>
  <c r="X42" i="41"/>
  <c r="W42" i="41"/>
  <c r="T42" i="41"/>
  <c r="S42" i="41"/>
  <c r="P42" i="41"/>
  <c r="L42" i="41"/>
  <c r="K42" i="41"/>
  <c r="H42" i="41"/>
  <c r="G42" i="41"/>
  <c r="D42" i="41"/>
  <c r="C42" i="41"/>
  <c r="X41" i="41"/>
  <c r="W41" i="41"/>
  <c r="T41" i="41"/>
  <c r="S41" i="41"/>
  <c r="P41" i="41"/>
  <c r="L41" i="41"/>
  <c r="K41" i="41"/>
  <c r="H41" i="41"/>
  <c r="G41" i="41"/>
  <c r="D41" i="41"/>
  <c r="C41" i="41"/>
  <c r="X40" i="41"/>
  <c r="W40" i="41"/>
  <c r="T40" i="41"/>
  <c r="S40" i="41"/>
  <c r="P40" i="41"/>
  <c r="L40" i="41"/>
  <c r="K40" i="41"/>
  <c r="H40" i="41"/>
  <c r="G40" i="41"/>
  <c r="D40" i="41"/>
  <c r="C40" i="41"/>
  <c r="X39" i="41"/>
  <c r="W39" i="41"/>
  <c r="T39" i="41"/>
  <c r="S39" i="41"/>
  <c r="P39" i="41"/>
  <c r="L39" i="41"/>
  <c r="K39" i="41"/>
  <c r="H39" i="41"/>
  <c r="G39" i="41"/>
  <c r="D39" i="41"/>
  <c r="C39" i="41"/>
  <c r="X38" i="41"/>
  <c r="W38" i="41"/>
  <c r="T38" i="41"/>
  <c r="S38" i="41"/>
  <c r="P38" i="41"/>
  <c r="L38" i="41"/>
  <c r="K38" i="41"/>
  <c r="H38" i="41"/>
  <c r="G38" i="41"/>
  <c r="D38" i="41"/>
  <c r="C38" i="41"/>
  <c r="X37" i="41"/>
  <c r="W37" i="41"/>
  <c r="T37" i="41"/>
  <c r="S37" i="41"/>
  <c r="P37" i="41"/>
  <c r="L37" i="41"/>
  <c r="K37" i="41"/>
  <c r="H37" i="41"/>
  <c r="G37" i="41"/>
  <c r="D37" i="41"/>
  <c r="C37" i="41"/>
  <c r="X36" i="41"/>
  <c r="W36" i="41"/>
  <c r="T36" i="41"/>
  <c r="S36" i="41"/>
  <c r="P36" i="41"/>
  <c r="L36" i="41"/>
  <c r="K36" i="41"/>
  <c r="H36" i="41"/>
  <c r="G36" i="41"/>
  <c r="D36" i="41"/>
  <c r="C36" i="41"/>
  <c r="X35" i="41"/>
  <c r="W35" i="41"/>
  <c r="T35" i="41"/>
  <c r="S35" i="41"/>
  <c r="P35" i="41"/>
  <c r="L35" i="41"/>
  <c r="K35" i="41"/>
  <c r="H35" i="41"/>
  <c r="G35" i="41"/>
  <c r="D35" i="41"/>
  <c r="C35" i="41"/>
  <c r="X34" i="41"/>
  <c r="W34" i="41"/>
  <c r="T34" i="41"/>
  <c r="S34" i="41"/>
  <c r="P34" i="41"/>
  <c r="L34" i="41"/>
  <c r="K34" i="41"/>
  <c r="H34" i="41"/>
  <c r="G34" i="41"/>
  <c r="D34" i="41"/>
  <c r="C34" i="41"/>
  <c r="X33" i="41"/>
  <c r="W33" i="41"/>
  <c r="T33" i="41"/>
  <c r="S33" i="41"/>
  <c r="P33" i="41"/>
  <c r="L33" i="41"/>
  <c r="K33" i="41"/>
  <c r="H33" i="41"/>
  <c r="G33" i="41"/>
  <c r="D33" i="41"/>
  <c r="C33" i="41"/>
  <c r="X32" i="41"/>
  <c r="W32" i="41"/>
  <c r="T32" i="41"/>
  <c r="S32" i="41"/>
  <c r="P32" i="41"/>
  <c r="L32" i="41"/>
  <c r="K32" i="41"/>
  <c r="H32" i="41"/>
  <c r="G32" i="41"/>
  <c r="D32" i="41"/>
  <c r="C32" i="41"/>
  <c r="X31" i="41"/>
  <c r="W31" i="41"/>
  <c r="T31" i="41"/>
  <c r="S31" i="41"/>
  <c r="P31" i="41"/>
  <c r="L31" i="41"/>
  <c r="K31" i="41"/>
  <c r="H31" i="41"/>
  <c r="G31" i="41"/>
  <c r="D31" i="41"/>
  <c r="C31" i="41"/>
  <c r="X30" i="41"/>
  <c r="W30" i="41"/>
  <c r="T30" i="41"/>
  <c r="S30" i="41"/>
  <c r="P30" i="41"/>
  <c r="L30" i="41"/>
  <c r="K30" i="41"/>
  <c r="H30" i="41"/>
  <c r="G30" i="41"/>
  <c r="D30" i="41"/>
  <c r="C30" i="41"/>
  <c r="X29" i="41"/>
  <c r="W29" i="41"/>
  <c r="T29" i="41"/>
  <c r="S29" i="41"/>
  <c r="P29" i="41"/>
  <c r="L29" i="41"/>
  <c r="K29" i="41"/>
  <c r="H29" i="41"/>
  <c r="G29" i="41"/>
  <c r="D29" i="41"/>
  <c r="C29" i="41"/>
  <c r="X28" i="41"/>
  <c r="W28" i="41"/>
  <c r="T28" i="41"/>
  <c r="S28" i="41"/>
  <c r="P28" i="41"/>
  <c r="L28" i="41"/>
  <c r="K28" i="41"/>
  <c r="H28" i="41"/>
  <c r="G28" i="41"/>
  <c r="D28" i="41"/>
  <c r="C28" i="41"/>
  <c r="X27" i="41"/>
  <c r="W27" i="41"/>
  <c r="T27" i="41"/>
  <c r="S27" i="41"/>
  <c r="P27" i="41"/>
  <c r="L27" i="41"/>
  <c r="K27" i="41"/>
  <c r="H27" i="41"/>
  <c r="G27" i="41"/>
  <c r="D27" i="41"/>
  <c r="C27" i="41"/>
  <c r="X26" i="41"/>
  <c r="W26" i="41"/>
  <c r="T26" i="41"/>
  <c r="S26" i="41"/>
  <c r="P26" i="41"/>
  <c r="L26" i="41"/>
  <c r="K26" i="41"/>
  <c r="H26" i="41"/>
  <c r="G26" i="41"/>
  <c r="D26" i="41"/>
  <c r="C26" i="41"/>
  <c r="X25" i="41"/>
  <c r="W25" i="41"/>
  <c r="T25" i="41"/>
  <c r="S25" i="41"/>
  <c r="P25" i="41"/>
  <c r="L25" i="41"/>
  <c r="K25" i="41"/>
  <c r="H25" i="41"/>
  <c r="G25" i="41"/>
  <c r="D25" i="41"/>
  <c r="C25" i="41"/>
  <c r="X24" i="41"/>
  <c r="W24" i="41"/>
  <c r="T24" i="41"/>
  <c r="S24" i="41"/>
  <c r="P24" i="41"/>
  <c r="L24" i="41"/>
  <c r="K24" i="41"/>
  <c r="H24" i="41"/>
  <c r="G24" i="41"/>
  <c r="D24" i="41"/>
  <c r="C24" i="41"/>
  <c r="X23" i="41"/>
  <c r="W23" i="41"/>
  <c r="T23" i="41"/>
  <c r="S23" i="41"/>
  <c r="P23" i="41"/>
  <c r="L23" i="41"/>
  <c r="K23" i="41"/>
  <c r="H23" i="41"/>
  <c r="G23" i="41"/>
  <c r="D23" i="41"/>
  <c r="C23" i="41"/>
  <c r="X22" i="41"/>
  <c r="W22" i="41"/>
  <c r="T22" i="41"/>
  <c r="S22" i="41"/>
  <c r="P22" i="41"/>
  <c r="L22" i="41"/>
  <c r="K22" i="41"/>
  <c r="H22" i="41"/>
  <c r="G22" i="41"/>
  <c r="D22" i="41"/>
  <c r="C22" i="41"/>
  <c r="X21" i="41"/>
  <c r="W21" i="41"/>
  <c r="T21" i="41"/>
  <c r="S21" i="41"/>
  <c r="P21" i="41"/>
  <c r="L21" i="41"/>
  <c r="K21" i="41"/>
  <c r="H21" i="41"/>
  <c r="G21" i="41"/>
  <c r="D21" i="41"/>
  <c r="C21" i="41"/>
  <c r="X20" i="41"/>
  <c r="W20" i="41"/>
  <c r="T20" i="41"/>
  <c r="S20" i="41"/>
  <c r="P20" i="41"/>
  <c r="L20" i="41"/>
  <c r="K20" i="41"/>
  <c r="H20" i="41"/>
  <c r="G20" i="41"/>
  <c r="D20" i="41"/>
  <c r="C20" i="41"/>
  <c r="X19" i="41"/>
  <c r="W19" i="41"/>
  <c r="T19" i="41"/>
  <c r="S19" i="41"/>
  <c r="P19" i="41"/>
  <c r="L19" i="41"/>
  <c r="K19" i="41"/>
  <c r="H19" i="41"/>
  <c r="G19" i="41"/>
  <c r="D19" i="41"/>
  <c r="C19" i="41"/>
  <c r="X18" i="41"/>
  <c r="W18" i="41"/>
  <c r="T18" i="41"/>
  <c r="S18" i="41"/>
  <c r="P18" i="41"/>
  <c r="L18" i="41"/>
  <c r="K18" i="41"/>
  <c r="H18" i="41"/>
  <c r="G18" i="41"/>
  <c r="D18" i="41"/>
  <c r="C18" i="41"/>
  <c r="X17" i="41"/>
  <c r="W17" i="41"/>
  <c r="T17" i="41"/>
  <c r="S17" i="41"/>
  <c r="P17" i="41"/>
  <c r="L17" i="41"/>
  <c r="K17" i="41"/>
  <c r="H17" i="41"/>
  <c r="G17" i="41"/>
  <c r="D17" i="41"/>
  <c r="C17" i="41"/>
  <c r="X16" i="41"/>
  <c r="W16" i="41"/>
  <c r="T16" i="41"/>
  <c r="S16" i="41"/>
  <c r="P16" i="41"/>
  <c r="L16" i="41"/>
  <c r="K16" i="41"/>
  <c r="H16" i="41"/>
  <c r="G16" i="41"/>
  <c r="D16" i="41"/>
  <c r="C16" i="41"/>
  <c r="X15" i="41"/>
  <c r="W15" i="41"/>
  <c r="T15" i="41"/>
  <c r="S15" i="41"/>
  <c r="P15" i="41"/>
  <c r="L15" i="41"/>
  <c r="K15" i="41"/>
  <c r="H15" i="41"/>
  <c r="G15" i="41"/>
  <c r="D15" i="41"/>
  <c r="C15" i="41"/>
  <c r="X14" i="41"/>
  <c r="W14" i="41"/>
  <c r="T14" i="41"/>
  <c r="S14" i="41"/>
  <c r="P14" i="41"/>
  <c r="L14" i="41"/>
  <c r="K14" i="41"/>
  <c r="H14" i="41"/>
  <c r="G14" i="41"/>
  <c r="D14" i="41"/>
  <c r="C14" i="41"/>
  <c r="X13" i="41"/>
  <c r="W13" i="41"/>
  <c r="T13" i="41"/>
  <c r="S13" i="41"/>
  <c r="P13" i="41"/>
  <c r="L13" i="41"/>
  <c r="K13" i="41"/>
  <c r="H13" i="41"/>
  <c r="G13" i="41"/>
  <c r="D13" i="41"/>
  <c r="C13" i="41"/>
  <c r="X12" i="41"/>
  <c r="W12" i="41"/>
  <c r="T12" i="41"/>
  <c r="S12" i="41"/>
  <c r="P12" i="41"/>
  <c r="L12" i="41"/>
  <c r="K12" i="41"/>
  <c r="H12" i="41"/>
  <c r="G12" i="41"/>
  <c r="D12" i="41"/>
  <c r="C12" i="41"/>
  <c r="X11" i="41"/>
  <c r="W11" i="41"/>
  <c r="T11" i="41"/>
  <c r="S11" i="41"/>
  <c r="P11" i="41"/>
  <c r="L11" i="41"/>
  <c r="K11" i="41"/>
  <c r="H11" i="41"/>
  <c r="G11" i="41"/>
  <c r="D11" i="41"/>
  <c r="C11" i="41"/>
  <c r="X10" i="41"/>
  <c r="W10" i="41"/>
  <c r="T10" i="41"/>
  <c r="S10" i="41"/>
  <c r="P10" i="41"/>
  <c r="L10" i="41"/>
  <c r="K10" i="41"/>
  <c r="H10" i="41"/>
  <c r="G10" i="41"/>
  <c r="D10" i="41"/>
  <c r="C10" i="41"/>
  <c r="X9" i="41"/>
  <c r="W9" i="41"/>
  <c r="T9" i="41"/>
  <c r="S9" i="41"/>
  <c r="P9" i="41"/>
  <c r="L9" i="41"/>
  <c r="K9" i="41"/>
  <c r="H9" i="41"/>
  <c r="G9" i="41"/>
  <c r="D9" i="41"/>
  <c r="C9" i="41"/>
  <c r="X8" i="41"/>
  <c r="W8" i="41"/>
  <c r="T8" i="41"/>
  <c r="S8" i="41"/>
  <c r="P8" i="41"/>
  <c r="L8" i="41"/>
  <c r="K8" i="41"/>
  <c r="H8" i="41"/>
  <c r="G8" i="41"/>
  <c r="D8" i="41"/>
  <c r="C8" i="41"/>
  <c r="X7" i="41"/>
  <c r="W7" i="41"/>
  <c r="T7" i="41"/>
  <c r="S7" i="41"/>
  <c r="P7" i="41"/>
  <c r="L7" i="41"/>
  <c r="K7" i="41"/>
  <c r="H7" i="41"/>
  <c r="G7" i="41"/>
  <c r="D7" i="41"/>
  <c r="C7" i="41"/>
  <c r="X6" i="41"/>
  <c r="W6" i="41"/>
  <c r="T6" i="41"/>
  <c r="S6" i="41"/>
  <c r="P6" i="41"/>
  <c r="L6" i="41"/>
  <c r="K6" i="41"/>
  <c r="H6" i="41"/>
  <c r="G6" i="41"/>
  <c r="D6" i="41"/>
  <c r="C6" i="41"/>
  <c r="X5" i="41"/>
  <c r="W5" i="41"/>
  <c r="T5" i="41"/>
  <c r="S5" i="41"/>
  <c r="P5" i="41"/>
  <c r="L5" i="41"/>
  <c r="K5" i="41"/>
  <c r="H5" i="41"/>
  <c r="G5" i="41"/>
  <c r="D5" i="41"/>
  <c r="C5" i="41"/>
  <c r="X4" i="41"/>
  <c r="W4" i="41"/>
  <c r="T4" i="41"/>
  <c r="S4" i="41"/>
  <c r="P4" i="41"/>
  <c r="L4" i="41"/>
  <c r="K4" i="41"/>
  <c r="H4" i="41"/>
  <c r="G4" i="41"/>
  <c r="D4" i="41"/>
  <c r="C4" i="41"/>
  <c r="X123" i="40"/>
  <c r="W123" i="40"/>
  <c r="T123" i="40"/>
  <c r="S123" i="40"/>
  <c r="P123" i="40"/>
  <c r="O123" i="40"/>
  <c r="L123" i="40"/>
  <c r="K123" i="40"/>
  <c r="H123" i="40"/>
  <c r="G123" i="40"/>
  <c r="D123" i="40"/>
  <c r="X122" i="40"/>
  <c r="W122" i="40"/>
  <c r="T122" i="40"/>
  <c r="S122" i="40"/>
  <c r="P122" i="40"/>
  <c r="O122" i="40"/>
  <c r="L122" i="40"/>
  <c r="K122" i="40"/>
  <c r="H122" i="40"/>
  <c r="D122" i="40"/>
  <c r="C122" i="40"/>
  <c r="X121" i="40"/>
  <c r="W121" i="40"/>
  <c r="T121" i="40"/>
  <c r="S121" i="40"/>
  <c r="P121" i="40"/>
  <c r="O121" i="40"/>
  <c r="L121" i="40"/>
  <c r="K121" i="40"/>
  <c r="H121" i="40"/>
  <c r="D121" i="40"/>
  <c r="C121" i="40"/>
  <c r="X120" i="40"/>
  <c r="W120" i="40"/>
  <c r="T120" i="40"/>
  <c r="S120" i="40"/>
  <c r="P120" i="40"/>
  <c r="O120" i="40"/>
  <c r="L120" i="40"/>
  <c r="K120" i="40"/>
  <c r="H120" i="40"/>
  <c r="D120" i="40"/>
  <c r="C120" i="40"/>
  <c r="X119" i="40"/>
  <c r="W119" i="40"/>
  <c r="T119" i="40"/>
  <c r="S119" i="40"/>
  <c r="P119" i="40"/>
  <c r="O119" i="40"/>
  <c r="L119" i="40"/>
  <c r="K119" i="40"/>
  <c r="H119" i="40"/>
  <c r="G119" i="40"/>
  <c r="D119" i="40"/>
  <c r="X118" i="40"/>
  <c r="W118" i="40"/>
  <c r="T118" i="40"/>
  <c r="S118" i="40"/>
  <c r="P118" i="40"/>
  <c r="O118" i="40"/>
  <c r="L118" i="40"/>
  <c r="K118" i="40"/>
  <c r="H118" i="40"/>
  <c r="D118" i="40"/>
  <c r="C118" i="40"/>
  <c r="X117" i="40"/>
  <c r="W117" i="40"/>
  <c r="T117" i="40"/>
  <c r="S117" i="40"/>
  <c r="P117" i="40"/>
  <c r="O117" i="40"/>
  <c r="L117" i="40"/>
  <c r="K117" i="40"/>
  <c r="H117" i="40"/>
  <c r="G117" i="40"/>
  <c r="D117" i="40"/>
  <c r="X116" i="40"/>
  <c r="W116" i="40"/>
  <c r="T116" i="40"/>
  <c r="S116" i="40"/>
  <c r="P116" i="40"/>
  <c r="O116" i="40"/>
  <c r="L116" i="40"/>
  <c r="K116" i="40"/>
  <c r="H116" i="40"/>
  <c r="D116" i="40"/>
  <c r="C116" i="40"/>
  <c r="X115" i="40"/>
  <c r="W115" i="40"/>
  <c r="T115" i="40"/>
  <c r="S115" i="40"/>
  <c r="P115" i="40"/>
  <c r="O115" i="40"/>
  <c r="L115" i="40"/>
  <c r="K115" i="40"/>
  <c r="H115" i="40"/>
  <c r="G115" i="40"/>
  <c r="D115" i="40"/>
  <c r="X114" i="40"/>
  <c r="W114" i="40"/>
  <c r="T114" i="40"/>
  <c r="S114" i="40"/>
  <c r="P114" i="40"/>
  <c r="O114" i="40"/>
  <c r="L114" i="40"/>
  <c r="K114" i="40"/>
  <c r="H114" i="40"/>
  <c r="D114" i="40"/>
  <c r="C114" i="40"/>
  <c r="X113" i="40"/>
  <c r="W113" i="40"/>
  <c r="T113" i="40"/>
  <c r="S113" i="40"/>
  <c r="P113" i="40"/>
  <c r="O113" i="40"/>
  <c r="L113" i="40"/>
  <c r="K113" i="40"/>
  <c r="H113" i="40"/>
  <c r="G113" i="40"/>
  <c r="D113" i="40"/>
  <c r="C113" i="40"/>
  <c r="X112" i="40"/>
  <c r="W112" i="40"/>
  <c r="T112" i="40"/>
  <c r="S112" i="40"/>
  <c r="P112" i="40"/>
  <c r="O112" i="40"/>
  <c r="L112" i="40"/>
  <c r="K112" i="40"/>
  <c r="H112" i="40"/>
  <c r="D112" i="40"/>
  <c r="C112" i="40"/>
  <c r="X111" i="40"/>
  <c r="W111" i="40"/>
  <c r="T111" i="40"/>
  <c r="S111" i="40"/>
  <c r="P111" i="40"/>
  <c r="O111" i="40"/>
  <c r="L111" i="40"/>
  <c r="K111" i="40"/>
  <c r="H111" i="40"/>
  <c r="G111" i="40"/>
  <c r="D111" i="40"/>
  <c r="X110" i="40"/>
  <c r="W110" i="40"/>
  <c r="T110" i="40"/>
  <c r="S110" i="40"/>
  <c r="P110" i="40"/>
  <c r="O110" i="40"/>
  <c r="L110" i="40"/>
  <c r="K110" i="40"/>
  <c r="H110" i="40"/>
  <c r="D110" i="40"/>
  <c r="C110" i="40"/>
  <c r="X109" i="40"/>
  <c r="W109" i="40"/>
  <c r="T109" i="40"/>
  <c r="S109" i="40"/>
  <c r="P109" i="40"/>
  <c r="O109" i="40"/>
  <c r="L109" i="40"/>
  <c r="K109" i="40"/>
  <c r="H109" i="40"/>
  <c r="G109" i="40"/>
  <c r="D109" i="40"/>
  <c r="C109" i="40"/>
  <c r="X108" i="40"/>
  <c r="W108" i="40"/>
  <c r="T108" i="40"/>
  <c r="S108" i="40"/>
  <c r="P108" i="40"/>
  <c r="O108" i="40"/>
  <c r="L108" i="40"/>
  <c r="K108" i="40"/>
  <c r="H108" i="40"/>
  <c r="G108" i="40"/>
  <c r="D108" i="40"/>
  <c r="C108" i="40"/>
  <c r="X107" i="40"/>
  <c r="W107" i="40"/>
  <c r="T107" i="40"/>
  <c r="S107" i="40"/>
  <c r="P107" i="40"/>
  <c r="O107" i="40"/>
  <c r="L107" i="40"/>
  <c r="K107" i="40"/>
  <c r="H107" i="40"/>
  <c r="G107" i="40"/>
  <c r="D107" i="40"/>
  <c r="C107" i="40"/>
  <c r="X106" i="40"/>
  <c r="W106" i="40"/>
  <c r="T106" i="40"/>
  <c r="S106" i="40"/>
  <c r="P106" i="40"/>
  <c r="O106" i="40"/>
  <c r="L106" i="40"/>
  <c r="K106" i="40"/>
  <c r="H106" i="40"/>
  <c r="G106" i="40"/>
  <c r="D106" i="40"/>
  <c r="C106" i="40"/>
  <c r="X105" i="40"/>
  <c r="W105" i="40"/>
  <c r="T105" i="40"/>
  <c r="S105" i="40"/>
  <c r="P105" i="40"/>
  <c r="O105" i="40"/>
  <c r="L105" i="40"/>
  <c r="K105" i="40"/>
  <c r="H105" i="40"/>
  <c r="G105" i="40"/>
  <c r="D105" i="40"/>
  <c r="X104" i="40"/>
  <c r="W104" i="40"/>
  <c r="T104" i="40"/>
  <c r="S104" i="40"/>
  <c r="P104" i="40"/>
  <c r="O104" i="40"/>
  <c r="L104" i="40"/>
  <c r="K104" i="40"/>
  <c r="H104" i="40"/>
  <c r="G104" i="40"/>
  <c r="D104" i="40"/>
  <c r="C104" i="40"/>
  <c r="X103" i="40"/>
  <c r="W103" i="40"/>
  <c r="T103" i="40"/>
  <c r="S103" i="40"/>
  <c r="P103" i="40"/>
  <c r="O103" i="40"/>
  <c r="L103" i="40"/>
  <c r="K103" i="40"/>
  <c r="H103" i="40"/>
  <c r="G103" i="40"/>
  <c r="D103" i="40"/>
  <c r="C103" i="40"/>
  <c r="X102" i="40"/>
  <c r="W102" i="40"/>
  <c r="T102" i="40"/>
  <c r="S102" i="40"/>
  <c r="P102" i="40"/>
  <c r="O102" i="40"/>
  <c r="L102" i="40"/>
  <c r="K102" i="40"/>
  <c r="H102" i="40"/>
  <c r="D102" i="40"/>
  <c r="C102" i="40"/>
  <c r="X101" i="40"/>
  <c r="W101" i="40"/>
  <c r="T101" i="40"/>
  <c r="S101" i="40"/>
  <c r="P101" i="40"/>
  <c r="O101" i="40"/>
  <c r="L101" i="40"/>
  <c r="K101" i="40"/>
  <c r="H101" i="40"/>
  <c r="G101" i="40"/>
  <c r="D101" i="40"/>
  <c r="C101" i="40"/>
  <c r="X100" i="40"/>
  <c r="W100" i="40"/>
  <c r="T100" i="40"/>
  <c r="S100" i="40"/>
  <c r="P100" i="40"/>
  <c r="O100" i="40"/>
  <c r="L100" i="40"/>
  <c r="K100" i="40"/>
  <c r="H100" i="40"/>
  <c r="G100" i="40"/>
  <c r="D100" i="40"/>
  <c r="C100" i="40"/>
  <c r="X99" i="40"/>
  <c r="W99" i="40"/>
  <c r="T99" i="40"/>
  <c r="S99" i="40"/>
  <c r="P99" i="40"/>
  <c r="O99" i="40"/>
  <c r="L99" i="40"/>
  <c r="K99" i="40"/>
  <c r="H99" i="40"/>
  <c r="G99" i="40"/>
  <c r="D99" i="40"/>
  <c r="C99" i="40"/>
  <c r="X98" i="40"/>
  <c r="W98" i="40"/>
  <c r="T98" i="40"/>
  <c r="S98" i="40"/>
  <c r="P98" i="40"/>
  <c r="O98" i="40"/>
  <c r="L98" i="40"/>
  <c r="K98" i="40"/>
  <c r="H98" i="40"/>
  <c r="D98" i="40"/>
  <c r="C98" i="40"/>
  <c r="X97" i="40"/>
  <c r="W97" i="40"/>
  <c r="T97" i="40"/>
  <c r="S97" i="40"/>
  <c r="P97" i="40"/>
  <c r="O97" i="40"/>
  <c r="L97" i="40"/>
  <c r="K97" i="40"/>
  <c r="H97" i="40"/>
  <c r="G97" i="40"/>
  <c r="D97" i="40"/>
  <c r="C97" i="40"/>
  <c r="X96" i="40"/>
  <c r="W96" i="40"/>
  <c r="T96" i="40"/>
  <c r="S96" i="40"/>
  <c r="P96" i="40"/>
  <c r="O96" i="40"/>
  <c r="L96" i="40"/>
  <c r="K96" i="40"/>
  <c r="H96" i="40"/>
  <c r="G96" i="40"/>
  <c r="D96" i="40"/>
  <c r="C96" i="40"/>
  <c r="X95" i="40"/>
  <c r="W95" i="40"/>
  <c r="T95" i="40"/>
  <c r="S95" i="40"/>
  <c r="P95" i="40"/>
  <c r="O95" i="40"/>
  <c r="L95" i="40"/>
  <c r="K95" i="40"/>
  <c r="H95" i="40"/>
  <c r="G95" i="40"/>
  <c r="D95" i="40"/>
  <c r="C95" i="40"/>
  <c r="X94" i="40"/>
  <c r="W94" i="40"/>
  <c r="T94" i="40"/>
  <c r="S94" i="40"/>
  <c r="P94" i="40"/>
  <c r="O94" i="40"/>
  <c r="L94" i="40"/>
  <c r="K94" i="40"/>
  <c r="H94" i="40"/>
  <c r="G94" i="40"/>
  <c r="D94" i="40"/>
  <c r="C94" i="40"/>
  <c r="X93" i="40"/>
  <c r="W93" i="40"/>
  <c r="T93" i="40"/>
  <c r="S93" i="40"/>
  <c r="P93" i="40"/>
  <c r="O93" i="40"/>
  <c r="L93" i="40"/>
  <c r="K93" i="40"/>
  <c r="H93" i="40"/>
  <c r="G93" i="40"/>
  <c r="D93" i="40"/>
  <c r="C93" i="40"/>
  <c r="X92" i="40"/>
  <c r="W92" i="40"/>
  <c r="T92" i="40"/>
  <c r="S92" i="40"/>
  <c r="P92" i="40"/>
  <c r="O92" i="40"/>
  <c r="L92" i="40"/>
  <c r="K92" i="40"/>
  <c r="H92" i="40"/>
  <c r="G92" i="40"/>
  <c r="D92" i="40"/>
  <c r="C92" i="40"/>
  <c r="X91" i="40"/>
  <c r="W91" i="40"/>
  <c r="T91" i="40"/>
  <c r="S91" i="40"/>
  <c r="P91" i="40"/>
  <c r="O91" i="40"/>
  <c r="L91" i="40"/>
  <c r="K91" i="40"/>
  <c r="H91" i="40"/>
  <c r="G91" i="40"/>
  <c r="D91" i="40"/>
  <c r="C91" i="40"/>
  <c r="X90" i="40"/>
  <c r="W90" i="40"/>
  <c r="T90" i="40"/>
  <c r="S90" i="40"/>
  <c r="P90" i="40"/>
  <c r="O90" i="40"/>
  <c r="L90" i="40"/>
  <c r="K90" i="40"/>
  <c r="H90" i="40"/>
  <c r="G90" i="40"/>
  <c r="D90" i="40"/>
  <c r="C90" i="40"/>
  <c r="X89" i="40"/>
  <c r="W89" i="40"/>
  <c r="T89" i="40"/>
  <c r="S89" i="40"/>
  <c r="P89" i="40"/>
  <c r="O89" i="40"/>
  <c r="L89" i="40"/>
  <c r="K89" i="40"/>
  <c r="H89" i="40"/>
  <c r="G89" i="40"/>
  <c r="D89" i="40"/>
  <c r="C89" i="40"/>
  <c r="X88" i="40"/>
  <c r="W88" i="40"/>
  <c r="T88" i="40"/>
  <c r="S88" i="40"/>
  <c r="P88" i="40"/>
  <c r="O88" i="40"/>
  <c r="L88" i="40"/>
  <c r="K88" i="40"/>
  <c r="H88" i="40"/>
  <c r="G88" i="40"/>
  <c r="D88" i="40"/>
  <c r="C88" i="40"/>
  <c r="X87" i="40"/>
  <c r="W87" i="40"/>
  <c r="T87" i="40"/>
  <c r="S87" i="40"/>
  <c r="P87" i="40"/>
  <c r="O87" i="40"/>
  <c r="L87" i="40"/>
  <c r="K87" i="40"/>
  <c r="H87" i="40"/>
  <c r="G87" i="40"/>
  <c r="D87" i="40"/>
  <c r="C87" i="40"/>
  <c r="X86" i="40"/>
  <c r="W86" i="40"/>
  <c r="T86" i="40"/>
  <c r="S86" i="40"/>
  <c r="P86" i="40"/>
  <c r="O86" i="40"/>
  <c r="L86" i="40"/>
  <c r="K86" i="40"/>
  <c r="H86" i="40"/>
  <c r="D86" i="40"/>
  <c r="C86" i="40"/>
  <c r="X85" i="40"/>
  <c r="W85" i="40"/>
  <c r="T85" i="40"/>
  <c r="S85" i="40"/>
  <c r="P85" i="40"/>
  <c r="O85" i="40"/>
  <c r="L85" i="40"/>
  <c r="K85" i="40"/>
  <c r="H85" i="40"/>
  <c r="G85" i="40"/>
  <c r="D85" i="40"/>
  <c r="C85" i="40"/>
  <c r="X84" i="40"/>
  <c r="W84" i="40"/>
  <c r="T84" i="40"/>
  <c r="S84" i="40"/>
  <c r="P84" i="40"/>
  <c r="O84" i="40"/>
  <c r="L84" i="40"/>
  <c r="K84" i="40"/>
  <c r="H84" i="40"/>
  <c r="G84" i="40"/>
  <c r="D84" i="40"/>
  <c r="C84" i="40"/>
  <c r="X83" i="40"/>
  <c r="W83" i="40"/>
  <c r="T83" i="40"/>
  <c r="S83" i="40"/>
  <c r="P83" i="40"/>
  <c r="O83" i="40"/>
  <c r="L83" i="40"/>
  <c r="K83" i="40"/>
  <c r="H83" i="40"/>
  <c r="G83" i="40"/>
  <c r="D83" i="40"/>
  <c r="X82" i="40"/>
  <c r="W82" i="40"/>
  <c r="T82" i="40"/>
  <c r="S82" i="40"/>
  <c r="P82" i="40"/>
  <c r="O82" i="40"/>
  <c r="L82" i="40"/>
  <c r="K82" i="40"/>
  <c r="H82" i="40"/>
  <c r="D82" i="40"/>
  <c r="C82" i="40"/>
  <c r="X81" i="40"/>
  <c r="W81" i="40"/>
  <c r="T81" i="40"/>
  <c r="S81" i="40"/>
  <c r="P81" i="40"/>
  <c r="O81" i="40"/>
  <c r="L81" i="40"/>
  <c r="K81" i="40"/>
  <c r="H81" i="40"/>
  <c r="G81" i="40"/>
  <c r="D81" i="40"/>
  <c r="C81" i="40"/>
  <c r="X80" i="40"/>
  <c r="W80" i="40"/>
  <c r="T80" i="40"/>
  <c r="S80" i="40"/>
  <c r="P80" i="40"/>
  <c r="O80" i="40"/>
  <c r="L80" i="40"/>
  <c r="K80" i="40"/>
  <c r="H80" i="40"/>
  <c r="G80" i="40"/>
  <c r="D80" i="40"/>
  <c r="C80" i="40"/>
  <c r="X79" i="40"/>
  <c r="W79" i="40"/>
  <c r="T79" i="40"/>
  <c r="S79" i="40"/>
  <c r="P79" i="40"/>
  <c r="O79" i="40"/>
  <c r="L79" i="40"/>
  <c r="K79" i="40"/>
  <c r="H79" i="40"/>
  <c r="D79" i="40"/>
  <c r="C79" i="40"/>
  <c r="X78" i="40"/>
  <c r="W78" i="40"/>
  <c r="T78" i="40"/>
  <c r="S78" i="40"/>
  <c r="P78" i="40"/>
  <c r="O78" i="40"/>
  <c r="L78" i="40"/>
  <c r="K78" i="40"/>
  <c r="H78" i="40"/>
  <c r="G78" i="40"/>
  <c r="D78" i="40"/>
  <c r="C78" i="40"/>
  <c r="X77" i="40"/>
  <c r="W77" i="40"/>
  <c r="T77" i="40"/>
  <c r="S77" i="40"/>
  <c r="P77" i="40"/>
  <c r="O77" i="40"/>
  <c r="L77" i="40"/>
  <c r="K77" i="40"/>
  <c r="H77" i="40"/>
  <c r="D77" i="40"/>
  <c r="C77" i="40"/>
  <c r="X76" i="40"/>
  <c r="W76" i="40"/>
  <c r="T76" i="40"/>
  <c r="S76" i="40"/>
  <c r="P76" i="40"/>
  <c r="O76" i="40"/>
  <c r="L76" i="40"/>
  <c r="K76" i="40"/>
  <c r="H76" i="40"/>
  <c r="G76" i="40"/>
  <c r="D76" i="40"/>
  <c r="C76" i="40"/>
  <c r="X75" i="40"/>
  <c r="W75" i="40"/>
  <c r="T75" i="40"/>
  <c r="S75" i="40"/>
  <c r="P75" i="40"/>
  <c r="O75" i="40"/>
  <c r="L75" i="40"/>
  <c r="K75" i="40"/>
  <c r="H75" i="40"/>
  <c r="G75" i="40"/>
  <c r="D75" i="40"/>
  <c r="C75" i="40"/>
  <c r="X74" i="40"/>
  <c r="W74" i="40"/>
  <c r="T74" i="40"/>
  <c r="S74" i="40"/>
  <c r="P74" i="40"/>
  <c r="O74" i="40"/>
  <c r="L74" i="40"/>
  <c r="K74" i="40"/>
  <c r="H74" i="40"/>
  <c r="G74" i="40"/>
  <c r="D74" i="40"/>
  <c r="C74" i="40"/>
  <c r="X73" i="40"/>
  <c r="W73" i="40"/>
  <c r="T73" i="40"/>
  <c r="S73" i="40"/>
  <c r="P73" i="40"/>
  <c r="O73" i="40"/>
  <c r="L73" i="40"/>
  <c r="K73" i="40"/>
  <c r="H73" i="40"/>
  <c r="D73" i="40"/>
  <c r="C73" i="40"/>
  <c r="X72" i="40"/>
  <c r="W72" i="40"/>
  <c r="T72" i="40"/>
  <c r="S72" i="40"/>
  <c r="P72" i="40"/>
  <c r="O72" i="40"/>
  <c r="L72" i="40"/>
  <c r="K72" i="40"/>
  <c r="H72" i="40"/>
  <c r="G72" i="40"/>
  <c r="D72" i="40"/>
  <c r="C72" i="40"/>
  <c r="X71" i="40"/>
  <c r="W71" i="40"/>
  <c r="T71" i="40"/>
  <c r="S71" i="40"/>
  <c r="P71" i="40"/>
  <c r="O71" i="40"/>
  <c r="L71" i="40"/>
  <c r="K71" i="40"/>
  <c r="H71" i="40"/>
  <c r="D71" i="40"/>
  <c r="C71" i="40"/>
  <c r="X70" i="40"/>
  <c r="W70" i="40"/>
  <c r="T70" i="40"/>
  <c r="S70" i="40"/>
  <c r="P70" i="40"/>
  <c r="O70" i="40"/>
  <c r="L70" i="40"/>
  <c r="K70" i="40"/>
  <c r="H70" i="40"/>
  <c r="G70" i="40"/>
  <c r="D70" i="40"/>
  <c r="C70" i="40"/>
  <c r="X69" i="40"/>
  <c r="W69" i="40"/>
  <c r="T69" i="40"/>
  <c r="S69" i="40"/>
  <c r="P69" i="40"/>
  <c r="O69" i="40"/>
  <c r="L69" i="40"/>
  <c r="K69" i="40"/>
  <c r="H69" i="40"/>
  <c r="G69" i="40"/>
  <c r="D69" i="40"/>
  <c r="C69" i="40"/>
  <c r="X68" i="40"/>
  <c r="W68" i="40"/>
  <c r="T68" i="40"/>
  <c r="S68" i="40"/>
  <c r="P68" i="40"/>
  <c r="O68" i="40"/>
  <c r="L68" i="40"/>
  <c r="K68" i="40"/>
  <c r="H68" i="40"/>
  <c r="G68" i="40"/>
  <c r="D68" i="40"/>
  <c r="X67" i="40"/>
  <c r="W67" i="40"/>
  <c r="T67" i="40"/>
  <c r="S67" i="40"/>
  <c r="P67" i="40"/>
  <c r="O67" i="40"/>
  <c r="L67" i="40"/>
  <c r="K67" i="40"/>
  <c r="H67" i="40"/>
  <c r="G67" i="40"/>
  <c r="D67" i="40"/>
  <c r="C67" i="40"/>
  <c r="X66" i="40"/>
  <c r="W66" i="40"/>
  <c r="T66" i="40"/>
  <c r="S66" i="40"/>
  <c r="P66" i="40"/>
  <c r="O66" i="40"/>
  <c r="L66" i="40"/>
  <c r="K66" i="40"/>
  <c r="H66" i="40"/>
  <c r="G66" i="40"/>
  <c r="D66" i="40"/>
  <c r="C66" i="40"/>
  <c r="X65" i="40"/>
  <c r="W65" i="40"/>
  <c r="T65" i="40"/>
  <c r="S65" i="40"/>
  <c r="P65" i="40"/>
  <c r="O65" i="40"/>
  <c r="L65" i="40"/>
  <c r="K65" i="40"/>
  <c r="H65" i="40"/>
  <c r="G65" i="40"/>
  <c r="D65" i="40"/>
  <c r="C65" i="40"/>
  <c r="X64" i="40"/>
  <c r="W64" i="40"/>
  <c r="T64" i="40"/>
  <c r="S64" i="40"/>
  <c r="P64" i="40"/>
  <c r="O64" i="40"/>
  <c r="L64" i="40"/>
  <c r="K64" i="40"/>
  <c r="H64" i="40"/>
  <c r="G64" i="40"/>
  <c r="D64" i="40"/>
  <c r="C64" i="40"/>
  <c r="X63" i="40"/>
  <c r="W63" i="40"/>
  <c r="T63" i="40"/>
  <c r="S63" i="40"/>
  <c r="P63" i="40"/>
  <c r="O63" i="40"/>
  <c r="L63" i="40"/>
  <c r="K63" i="40"/>
  <c r="H63" i="40"/>
  <c r="G63" i="40"/>
  <c r="D63" i="40"/>
  <c r="X62" i="40"/>
  <c r="W62" i="40"/>
  <c r="T62" i="40"/>
  <c r="S62" i="40"/>
  <c r="P62" i="40"/>
  <c r="O62" i="40"/>
  <c r="L62" i="40"/>
  <c r="K62" i="40"/>
  <c r="H62" i="40"/>
  <c r="D62" i="40"/>
  <c r="C62" i="40"/>
  <c r="X61" i="40"/>
  <c r="W61" i="40"/>
  <c r="T61" i="40"/>
  <c r="S61" i="40"/>
  <c r="P61" i="40"/>
  <c r="O61" i="40"/>
  <c r="L61" i="40"/>
  <c r="K61" i="40"/>
  <c r="H61" i="40"/>
  <c r="G61" i="40"/>
  <c r="D61" i="40"/>
  <c r="C61" i="40"/>
  <c r="X60" i="40"/>
  <c r="W60" i="40"/>
  <c r="T60" i="40"/>
  <c r="S60" i="40"/>
  <c r="P60" i="40"/>
  <c r="O60" i="40"/>
  <c r="L60" i="40"/>
  <c r="K60" i="40"/>
  <c r="H60" i="40"/>
  <c r="G60" i="40"/>
  <c r="D60" i="40"/>
  <c r="C60" i="40"/>
  <c r="X59" i="40"/>
  <c r="W59" i="40"/>
  <c r="T59" i="40"/>
  <c r="S59" i="40"/>
  <c r="P59" i="40"/>
  <c r="O59" i="40"/>
  <c r="L59" i="40"/>
  <c r="K59" i="40"/>
  <c r="H59" i="40"/>
  <c r="G59" i="40"/>
  <c r="D59" i="40"/>
  <c r="C59" i="40"/>
  <c r="X58" i="40"/>
  <c r="W58" i="40"/>
  <c r="T58" i="40"/>
  <c r="S58" i="40"/>
  <c r="P58" i="40"/>
  <c r="O58" i="40"/>
  <c r="L58" i="40"/>
  <c r="K58" i="40"/>
  <c r="H58" i="40"/>
  <c r="G58" i="40"/>
  <c r="D58" i="40"/>
  <c r="X57" i="40"/>
  <c r="W57" i="40"/>
  <c r="T57" i="40"/>
  <c r="S57" i="40"/>
  <c r="P57" i="40"/>
  <c r="O57" i="40"/>
  <c r="L57" i="40"/>
  <c r="K57" i="40"/>
  <c r="H57" i="40"/>
  <c r="D57" i="40"/>
  <c r="C57" i="40"/>
  <c r="X56" i="40"/>
  <c r="W56" i="40"/>
  <c r="T56" i="40"/>
  <c r="S56" i="40"/>
  <c r="P56" i="40"/>
  <c r="O56" i="40"/>
  <c r="L56" i="40"/>
  <c r="K56" i="40"/>
  <c r="H56" i="40"/>
  <c r="G56" i="40"/>
  <c r="D56" i="40"/>
  <c r="C56" i="40"/>
  <c r="X55" i="40"/>
  <c r="W55" i="40"/>
  <c r="T55" i="40"/>
  <c r="S55" i="40"/>
  <c r="P55" i="40"/>
  <c r="O55" i="40"/>
  <c r="L55" i="40"/>
  <c r="K55" i="40"/>
  <c r="H55" i="40"/>
  <c r="G55" i="40"/>
  <c r="D55" i="40"/>
  <c r="C55" i="40"/>
  <c r="X54" i="40"/>
  <c r="W54" i="40"/>
  <c r="T54" i="40"/>
  <c r="S54" i="40"/>
  <c r="P54" i="40"/>
  <c r="O54" i="40"/>
  <c r="L54" i="40"/>
  <c r="K54" i="40"/>
  <c r="H54" i="40"/>
  <c r="G54" i="40"/>
  <c r="D54" i="40"/>
  <c r="C54" i="40"/>
  <c r="X53" i="40"/>
  <c r="W53" i="40"/>
  <c r="T53" i="40"/>
  <c r="S53" i="40"/>
  <c r="P53" i="40"/>
  <c r="O53" i="40"/>
  <c r="L53" i="40"/>
  <c r="K53" i="40"/>
  <c r="H53" i="40"/>
  <c r="D53" i="40"/>
  <c r="C53" i="40"/>
  <c r="X52" i="40"/>
  <c r="W52" i="40"/>
  <c r="T52" i="40"/>
  <c r="S52" i="40"/>
  <c r="P52" i="40"/>
  <c r="O52" i="40"/>
  <c r="L52" i="40"/>
  <c r="K52" i="40"/>
  <c r="H52" i="40"/>
  <c r="G52" i="40"/>
  <c r="D52" i="40"/>
  <c r="C52" i="40"/>
  <c r="X51" i="40"/>
  <c r="W51" i="40"/>
  <c r="T51" i="40"/>
  <c r="S51" i="40"/>
  <c r="P51" i="40"/>
  <c r="O51" i="40"/>
  <c r="L51" i="40"/>
  <c r="K51" i="40"/>
  <c r="H51" i="40"/>
  <c r="G51" i="40"/>
  <c r="D51" i="40"/>
  <c r="C51" i="40"/>
  <c r="X50" i="40"/>
  <c r="W50" i="40"/>
  <c r="T50" i="40"/>
  <c r="S50" i="40"/>
  <c r="P50" i="40"/>
  <c r="O50" i="40"/>
  <c r="L50" i="40"/>
  <c r="K50" i="40"/>
  <c r="H50" i="40"/>
  <c r="G50" i="40"/>
  <c r="D50" i="40"/>
  <c r="X49" i="40"/>
  <c r="W49" i="40"/>
  <c r="T49" i="40"/>
  <c r="S49" i="40"/>
  <c r="P49" i="40"/>
  <c r="O49" i="40"/>
  <c r="L49" i="40"/>
  <c r="K49" i="40"/>
  <c r="H49" i="40"/>
  <c r="D49" i="40"/>
  <c r="C49" i="40"/>
  <c r="X48" i="40"/>
  <c r="W48" i="40"/>
  <c r="T48" i="40"/>
  <c r="S48" i="40"/>
  <c r="P48" i="40"/>
  <c r="O48" i="40"/>
  <c r="L48" i="40"/>
  <c r="K48" i="40"/>
  <c r="H48" i="40"/>
  <c r="G48" i="40"/>
  <c r="D48" i="40"/>
  <c r="C48" i="40"/>
  <c r="X47" i="40"/>
  <c r="W47" i="40"/>
  <c r="T47" i="40"/>
  <c r="S47" i="40"/>
  <c r="P47" i="40"/>
  <c r="O47" i="40"/>
  <c r="L47" i="40"/>
  <c r="K47" i="40"/>
  <c r="H47" i="40"/>
  <c r="G47" i="40"/>
  <c r="D47" i="40"/>
  <c r="X46" i="40"/>
  <c r="W46" i="40"/>
  <c r="T46" i="40"/>
  <c r="S46" i="40"/>
  <c r="P46" i="40"/>
  <c r="O46" i="40"/>
  <c r="L46" i="40"/>
  <c r="K46" i="40"/>
  <c r="H46" i="40"/>
  <c r="D46" i="40"/>
  <c r="C46" i="40"/>
  <c r="X45" i="40"/>
  <c r="W45" i="40"/>
  <c r="T45" i="40"/>
  <c r="S45" i="40"/>
  <c r="P45" i="40"/>
  <c r="O45" i="40"/>
  <c r="L45" i="40"/>
  <c r="K45" i="40"/>
  <c r="H45" i="40"/>
  <c r="G45" i="40"/>
  <c r="D45" i="40"/>
  <c r="C45" i="40"/>
  <c r="X44" i="40"/>
  <c r="W44" i="40"/>
  <c r="T44" i="40"/>
  <c r="S44" i="40"/>
  <c r="P44" i="40"/>
  <c r="O44" i="40"/>
  <c r="L44" i="40"/>
  <c r="K44" i="40"/>
  <c r="H44" i="40"/>
  <c r="G44" i="40"/>
  <c r="D44" i="40"/>
  <c r="X43" i="40"/>
  <c r="W43" i="40"/>
  <c r="T43" i="40"/>
  <c r="S43" i="40"/>
  <c r="P43" i="40"/>
  <c r="O43" i="40"/>
  <c r="L43" i="40"/>
  <c r="K43" i="40"/>
  <c r="H43" i="40"/>
  <c r="D43" i="40"/>
  <c r="C43" i="40"/>
  <c r="X42" i="40"/>
  <c r="W42" i="40"/>
  <c r="T42" i="40"/>
  <c r="S42" i="40"/>
  <c r="P42" i="40"/>
  <c r="O42" i="40"/>
  <c r="L42" i="40"/>
  <c r="K42" i="40"/>
  <c r="H42" i="40"/>
  <c r="G42" i="40"/>
  <c r="D42" i="40"/>
  <c r="C42" i="40"/>
  <c r="X41" i="40"/>
  <c r="W41" i="40"/>
  <c r="T41" i="40"/>
  <c r="S41" i="40"/>
  <c r="P41" i="40"/>
  <c r="O41" i="40"/>
  <c r="L41" i="40"/>
  <c r="K41" i="40"/>
  <c r="H41" i="40"/>
  <c r="G41" i="40"/>
  <c r="D41" i="40"/>
  <c r="C41" i="40"/>
  <c r="X40" i="40"/>
  <c r="W40" i="40"/>
  <c r="T40" i="40"/>
  <c r="S40" i="40"/>
  <c r="P40" i="40"/>
  <c r="O40" i="40"/>
  <c r="L40" i="40"/>
  <c r="K40" i="40"/>
  <c r="H40" i="40"/>
  <c r="G40" i="40"/>
  <c r="D40" i="40"/>
  <c r="C40" i="40"/>
  <c r="X39" i="40"/>
  <c r="W39" i="40"/>
  <c r="T39" i="40"/>
  <c r="S39" i="40"/>
  <c r="P39" i="40"/>
  <c r="O39" i="40"/>
  <c r="L39" i="40"/>
  <c r="K39" i="40"/>
  <c r="H39" i="40"/>
  <c r="D39" i="40"/>
  <c r="C39" i="40"/>
  <c r="X38" i="40"/>
  <c r="W38" i="40"/>
  <c r="T38" i="40"/>
  <c r="S38" i="40"/>
  <c r="P38" i="40"/>
  <c r="O38" i="40"/>
  <c r="L38" i="40"/>
  <c r="K38" i="40"/>
  <c r="H38" i="40"/>
  <c r="G38" i="40"/>
  <c r="D38" i="40"/>
  <c r="C38" i="40"/>
  <c r="X37" i="40"/>
  <c r="W37" i="40"/>
  <c r="T37" i="40"/>
  <c r="S37" i="40"/>
  <c r="P37" i="40"/>
  <c r="O37" i="40"/>
  <c r="L37" i="40"/>
  <c r="K37" i="40"/>
  <c r="H37" i="40"/>
  <c r="D37" i="40"/>
  <c r="C37" i="40"/>
  <c r="X36" i="40"/>
  <c r="W36" i="40"/>
  <c r="T36" i="40"/>
  <c r="S36" i="40"/>
  <c r="P36" i="40"/>
  <c r="O36" i="40"/>
  <c r="L36" i="40"/>
  <c r="K36" i="40"/>
  <c r="H36" i="40"/>
  <c r="G36" i="40"/>
  <c r="D36" i="40"/>
  <c r="C36" i="40"/>
  <c r="X35" i="40"/>
  <c r="W35" i="40"/>
  <c r="T35" i="40"/>
  <c r="S35" i="40"/>
  <c r="P35" i="40"/>
  <c r="O35" i="40"/>
  <c r="L35" i="40"/>
  <c r="K35" i="40"/>
  <c r="H35" i="40"/>
  <c r="G35" i="40"/>
  <c r="D35" i="40"/>
  <c r="X34" i="40"/>
  <c r="W34" i="40"/>
  <c r="T34" i="40"/>
  <c r="S34" i="40"/>
  <c r="P34" i="40"/>
  <c r="O34" i="40"/>
  <c r="L34" i="40"/>
  <c r="K34" i="40"/>
  <c r="H34" i="40"/>
  <c r="D34" i="40"/>
  <c r="C34" i="40"/>
  <c r="X33" i="40"/>
  <c r="W33" i="40"/>
  <c r="T33" i="40"/>
  <c r="S33" i="40"/>
  <c r="P33" i="40"/>
  <c r="O33" i="40"/>
  <c r="L33" i="40"/>
  <c r="K33" i="40"/>
  <c r="H33" i="40"/>
  <c r="G33" i="40"/>
  <c r="D33" i="40"/>
  <c r="C33" i="40"/>
  <c r="X32" i="40"/>
  <c r="W32" i="40"/>
  <c r="T32" i="40"/>
  <c r="S32" i="40"/>
  <c r="P32" i="40"/>
  <c r="O32" i="40"/>
  <c r="L32" i="40"/>
  <c r="K32" i="40"/>
  <c r="H32" i="40"/>
  <c r="G32" i="40"/>
  <c r="D32" i="40"/>
  <c r="C32" i="40"/>
  <c r="X31" i="40"/>
  <c r="W31" i="40"/>
  <c r="T31" i="40"/>
  <c r="S31" i="40"/>
  <c r="P31" i="40"/>
  <c r="O31" i="40"/>
  <c r="L31" i="40"/>
  <c r="K31" i="40"/>
  <c r="H31" i="40"/>
  <c r="G31" i="40"/>
  <c r="D31" i="40"/>
  <c r="X30" i="40"/>
  <c r="W30" i="40"/>
  <c r="T30" i="40"/>
  <c r="S30" i="40"/>
  <c r="P30" i="40"/>
  <c r="O30" i="40"/>
  <c r="L30" i="40"/>
  <c r="K30" i="40"/>
  <c r="H30" i="40"/>
  <c r="D30" i="40"/>
  <c r="C30" i="40"/>
  <c r="X29" i="40"/>
  <c r="W29" i="40"/>
  <c r="T29" i="40"/>
  <c r="S29" i="40"/>
  <c r="P29" i="40"/>
  <c r="O29" i="40"/>
  <c r="L29" i="40"/>
  <c r="K29" i="40"/>
  <c r="H29" i="40"/>
  <c r="G29" i="40"/>
  <c r="D29" i="40"/>
  <c r="C29" i="40"/>
  <c r="X28" i="40"/>
  <c r="W28" i="40"/>
  <c r="T28" i="40"/>
  <c r="S28" i="40"/>
  <c r="P28" i="40"/>
  <c r="O28" i="40"/>
  <c r="L28" i="40"/>
  <c r="K28" i="40"/>
  <c r="H28" i="40"/>
  <c r="G28" i="40"/>
  <c r="D28" i="40"/>
  <c r="C28" i="40"/>
  <c r="X27" i="40"/>
  <c r="W27" i="40"/>
  <c r="T27" i="40"/>
  <c r="S27" i="40"/>
  <c r="P27" i="40"/>
  <c r="O27" i="40"/>
  <c r="L27" i="40"/>
  <c r="K27" i="40"/>
  <c r="H27" i="40"/>
  <c r="D27" i="40"/>
  <c r="C27" i="40"/>
  <c r="X26" i="40"/>
  <c r="W26" i="40"/>
  <c r="T26" i="40"/>
  <c r="S26" i="40"/>
  <c r="P26" i="40"/>
  <c r="O26" i="40"/>
  <c r="L26" i="40"/>
  <c r="K26" i="40"/>
  <c r="H26" i="40"/>
  <c r="G26" i="40"/>
  <c r="D26" i="40"/>
  <c r="C26" i="40"/>
  <c r="X25" i="40"/>
  <c r="W25" i="40"/>
  <c r="T25" i="40"/>
  <c r="S25" i="40"/>
  <c r="P25" i="40"/>
  <c r="O25" i="40"/>
  <c r="L25" i="40"/>
  <c r="K25" i="40"/>
  <c r="H25" i="40"/>
  <c r="G25" i="40"/>
  <c r="D25" i="40"/>
  <c r="C25" i="40"/>
  <c r="X24" i="40"/>
  <c r="W24" i="40"/>
  <c r="T24" i="40"/>
  <c r="S24" i="40"/>
  <c r="P24" i="40"/>
  <c r="O24" i="40"/>
  <c r="L24" i="40"/>
  <c r="K24" i="40"/>
  <c r="H24" i="40"/>
  <c r="G24" i="40"/>
  <c r="D24" i="40"/>
  <c r="X23" i="40"/>
  <c r="W23" i="40"/>
  <c r="T23" i="40"/>
  <c r="S23" i="40"/>
  <c r="P23" i="40"/>
  <c r="O23" i="40"/>
  <c r="L23" i="40"/>
  <c r="K23" i="40"/>
  <c r="H23" i="40"/>
  <c r="G23" i="40"/>
  <c r="D23" i="40"/>
  <c r="C23" i="40"/>
  <c r="X22" i="40"/>
  <c r="W22" i="40"/>
  <c r="T22" i="40"/>
  <c r="S22" i="40"/>
  <c r="P22" i="40"/>
  <c r="O22" i="40"/>
  <c r="L22" i="40"/>
  <c r="K22" i="40"/>
  <c r="H22" i="40"/>
  <c r="G22" i="40"/>
  <c r="D22" i="40"/>
  <c r="X21" i="40"/>
  <c r="W21" i="40"/>
  <c r="T21" i="40"/>
  <c r="S21" i="40"/>
  <c r="P21" i="40"/>
  <c r="O21" i="40"/>
  <c r="L21" i="40"/>
  <c r="K21" i="40"/>
  <c r="H21" i="40"/>
  <c r="D21" i="40"/>
  <c r="C21" i="40"/>
  <c r="X20" i="40"/>
  <c r="W20" i="40"/>
  <c r="T20" i="40"/>
  <c r="S20" i="40"/>
  <c r="P20" i="40"/>
  <c r="O20" i="40"/>
  <c r="L20" i="40"/>
  <c r="K20" i="40"/>
  <c r="H20" i="40"/>
  <c r="G20" i="40"/>
  <c r="D20" i="40"/>
  <c r="C20" i="40"/>
  <c r="X19" i="40"/>
  <c r="W19" i="40"/>
  <c r="T19" i="40"/>
  <c r="S19" i="40"/>
  <c r="P19" i="40"/>
  <c r="O19" i="40"/>
  <c r="L19" i="40"/>
  <c r="K19" i="40"/>
  <c r="H19" i="40"/>
  <c r="G19" i="40"/>
  <c r="D19" i="40"/>
  <c r="C19" i="40"/>
  <c r="X18" i="40"/>
  <c r="W18" i="40"/>
  <c r="T18" i="40"/>
  <c r="S18" i="40"/>
  <c r="P18" i="40"/>
  <c r="O18" i="40"/>
  <c r="L18" i="40"/>
  <c r="K18" i="40"/>
  <c r="H18" i="40"/>
  <c r="G18" i="40"/>
  <c r="D18" i="40"/>
  <c r="X17" i="40"/>
  <c r="W17" i="40"/>
  <c r="T17" i="40"/>
  <c r="S17" i="40"/>
  <c r="P17" i="40"/>
  <c r="O17" i="40"/>
  <c r="L17" i="40"/>
  <c r="K17" i="40"/>
  <c r="H17" i="40"/>
  <c r="D17" i="40"/>
  <c r="C17" i="40"/>
  <c r="X16" i="40"/>
  <c r="W16" i="40"/>
  <c r="T16" i="40"/>
  <c r="S16" i="40"/>
  <c r="P16" i="40"/>
  <c r="O16" i="40"/>
  <c r="L16" i="40"/>
  <c r="K16" i="40"/>
  <c r="H16" i="40"/>
  <c r="G16" i="40"/>
  <c r="D16" i="40"/>
  <c r="C16" i="40"/>
  <c r="X15" i="40"/>
  <c r="W15" i="40"/>
  <c r="T15" i="40"/>
  <c r="S15" i="40"/>
  <c r="P15" i="40"/>
  <c r="O15" i="40"/>
  <c r="L15" i="40"/>
  <c r="K15" i="40"/>
  <c r="H15" i="40"/>
  <c r="G15" i="40"/>
  <c r="D15" i="40"/>
  <c r="X14" i="40"/>
  <c r="W14" i="40"/>
  <c r="T14" i="40"/>
  <c r="S14" i="40"/>
  <c r="P14" i="40"/>
  <c r="O14" i="40"/>
  <c r="L14" i="40"/>
  <c r="K14" i="40"/>
  <c r="H14" i="40"/>
  <c r="D14" i="40"/>
  <c r="C14" i="40"/>
  <c r="X13" i="40"/>
  <c r="W13" i="40"/>
  <c r="T13" i="40"/>
  <c r="S13" i="40"/>
  <c r="P13" i="40"/>
  <c r="O13" i="40"/>
  <c r="L13" i="40"/>
  <c r="K13" i="40"/>
  <c r="H13" i="40"/>
  <c r="G13" i="40"/>
  <c r="D13" i="40"/>
  <c r="C13" i="40"/>
  <c r="X12" i="40"/>
  <c r="W12" i="40"/>
  <c r="T12" i="40"/>
  <c r="S12" i="40"/>
  <c r="P12" i="40"/>
  <c r="O12" i="40"/>
  <c r="L12" i="40"/>
  <c r="K12" i="40"/>
  <c r="H12" i="40"/>
  <c r="G12" i="40"/>
  <c r="D12" i="40"/>
  <c r="C12" i="40"/>
  <c r="X11" i="40"/>
  <c r="W11" i="40"/>
  <c r="T11" i="40"/>
  <c r="S11" i="40"/>
  <c r="P11" i="40"/>
  <c r="O11" i="40"/>
  <c r="L11" i="40"/>
  <c r="K11" i="40"/>
  <c r="H11" i="40"/>
  <c r="G11" i="40"/>
  <c r="D11" i="40"/>
  <c r="C11" i="40"/>
  <c r="X10" i="40"/>
  <c r="W10" i="40"/>
  <c r="T10" i="40"/>
  <c r="S10" i="40"/>
  <c r="P10" i="40"/>
  <c r="O10" i="40"/>
  <c r="L10" i="40"/>
  <c r="K10" i="40"/>
  <c r="H10" i="40"/>
  <c r="D10" i="40"/>
  <c r="C10" i="40"/>
  <c r="X9" i="40"/>
  <c r="W9" i="40"/>
  <c r="T9" i="40"/>
  <c r="S9" i="40"/>
  <c r="P9" i="40"/>
  <c r="O9" i="40"/>
  <c r="L9" i="40"/>
  <c r="K9" i="40"/>
  <c r="H9" i="40"/>
  <c r="G9" i="40"/>
  <c r="D9" i="40"/>
  <c r="C9" i="40"/>
  <c r="X8" i="40"/>
  <c r="W8" i="40"/>
  <c r="T8" i="40"/>
  <c r="S8" i="40"/>
  <c r="P8" i="40"/>
  <c r="O8" i="40"/>
  <c r="L8" i="40"/>
  <c r="K8" i="40"/>
  <c r="H8" i="40"/>
  <c r="G8" i="40"/>
  <c r="D8" i="40"/>
  <c r="C8" i="40"/>
  <c r="X7" i="40"/>
  <c r="W7" i="40"/>
  <c r="T7" i="40"/>
  <c r="S7" i="40"/>
  <c r="P7" i="40"/>
  <c r="O7" i="40"/>
  <c r="L7" i="40"/>
  <c r="K7" i="40"/>
  <c r="H7" i="40"/>
  <c r="G7" i="40"/>
  <c r="D7" i="40"/>
  <c r="X6" i="40"/>
  <c r="W6" i="40"/>
  <c r="T6" i="40"/>
  <c r="S6" i="40"/>
  <c r="P6" i="40"/>
  <c r="O6" i="40"/>
  <c r="L6" i="40"/>
  <c r="K6" i="40"/>
  <c r="H6" i="40"/>
  <c r="D6" i="40"/>
  <c r="C6" i="40"/>
  <c r="X5" i="40"/>
  <c r="W5" i="40"/>
  <c r="T5" i="40"/>
  <c r="S5" i="40"/>
  <c r="P5" i="40"/>
  <c r="O5" i="40"/>
  <c r="L5" i="40"/>
  <c r="K5" i="40"/>
  <c r="H5" i="40"/>
  <c r="G5" i="40"/>
  <c r="D5" i="40"/>
  <c r="C5" i="40"/>
  <c r="X4" i="40"/>
  <c r="W4" i="40"/>
  <c r="T4" i="40"/>
  <c r="S4" i="40"/>
  <c r="P4" i="40"/>
  <c r="O4" i="40"/>
  <c r="L4" i="40"/>
  <c r="K4" i="40"/>
  <c r="H4" i="40"/>
  <c r="G4" i="40"/>
  <c r="D4" i="40"/>
  <c r="X123" i="39"/>
  <c r="W123" i="39"/>
  <c r="T123" i="39"/>
  <c r="S123" i="39"/>
  <c r="P123" i="39"/>
  <c r="O123" i="39"/>
  <c r="L123" i="39"/>
  <c r="K123" i="39"/>
  <c r="H123" i="39"/>
  <c r="G123" i="39"/>
  <c r="D123" i="39"/>
  <c r="C123" i="39"/>
  <c r="X122" i="39"/>
  <c r="W122" i="39"/>
  <c r="T122" i="39"/>
  <c r="S122" i="39"/>
  <c r="P122" i="39"/>
  <c r="O122" i="39"/>
  <c r="L122" i="39"/>
  <c r="K122" i="39"/>
  <c r="H122" i="39"/>
  <c r="G122" i="39"/>
  <c r="D122" i="39"/>
  <c r="C122" i="39"/>
  <c r="X121" i="39"/>
  <c r="W121" i="39"/>
  <c r="T121" i="39"/>
  <c r="S121" i="39"/>
  <c r="P121" i="39"/>
  <c r="O121" i="39"/>
  <c r="L121" i="39"/>
  <c r="K121" i="39"/>
  <c r="H121" i="39"/>
  <c r="G121" i="39"/>
  <c r="D121" i="39"/>
  <c r="C121" i="39"/>
  <c r="X120" i="39"/>
  <c r="W120" i="39"/>
  <c r="T120" i="39"/>
  <c r="S120" i="39"/>
  <c r="P120" i="39"/>
  <c r="O120" i="39"/>
  <c r="L120" i="39"/>
  <c r="K120" i="39"/>
  <c r="H120" i="39"/>
  <c r="G120" i="39"/>
  <c r="D120" i="39"/>
  <c r="C120" i="39"/>
  <c r="X119" i="39"/>
  <c r="W119" i="39"/>
  <c r="T119" i="39"/>
  <c r="S119" i="39"/>
  <c r="P119" i="39"/>
  <c r="O119" i="39"/>
  <c r="L119" i="39"/>
  <c r="K119" i="39"/>
  <c r="H119" i="39"/>
  <c r="G119" i="39"/>
  <c r="D119" i="39"/>
  <c r="C119" i="39"/>
  <c r="X118" i="39"/>
  <c r="W118" i="39"/>
  <c r="T118" i="39"/>
  <c r="S118" i="39"/>
  <c r="P118" i="39"/>
  <c r="O118" i="39"/>
  <c r="L118" i="39"/>
  <c r="K118" i="39"/>
  <c r="H118" i="39"/>
  <c r="G118" i="39"/>
  <c r="D118" i="39"/>
  <c r="C118" i="39"/>
  <c r="X117" i="39"/>
  <c r="W117" i="39"/>
  <c r="T117" i="39"/>
  <c r="S117" i="39"/>
  <c r="P117" i="39"/>
  <c r="O117" i="39"/>
  <c r="L117" i="39"/>
  <c r="K117" i="39"/>
  <c r="H117" i="39"/>
  <c r="G117" i="39"/>
  <c r="D117" i="39"/>
  <c r="C117" i="39"/>
  <c r="X116" i="39"/>
  <c r="W116" i="39"/>
  <c r="T116" i="39"/>
  <c r="S116" i="39"/>
  <c r="P116" i="39"/>
  <c r="O116" i="39"/>
  <c r="L116" i="39"/>
  <c r="K116" i="39"/>
  <c r="H116" i="39"/>
  <c r="G116" i="39"/>
  <c r="D116" i="39"/>
  <c r="C116" i="39"/>
  <c r="X115" i="39"/>
  <c r="W115" i="39"/>
  <c r="T115" i="39"/>
  <c r="S115" i="39"/>
  <c r="P115" i="39"/>
  <c r="O115" i="39"/>
  <c r="L115" i="39"/>
  <c r="K115" i="39"/>
  <c r="H115" i="39"/>
  <c r="G115" i="39"/>
  <c r="D115" i="39"/>
  <c r="C115" i="39"/>
  <c r="X114" i="39"/>
  <c r="W114" i="39"/>
  <c r="T114" i="39"/>
  <c r="S114" i="39"/>
  <c r="P114" i="39"/>
  <c r="O114" i="39"/>
  <c r="L114" i="39"/>
  <c r="K114" i="39"/>
  <c r="H114" i="39"/>
  <c r="G114" i="39"/>
  <c r="D114" i="39"/>
  <c r="C114" i="39"/>
  <c r="X113" i="39"/>
  <c r="W113" i="39"/>
  <c r="T113" i="39"/>
  <c r="S113" i="39"/>
  <c r="P113" i="39"/>
  <c r="O113" i="39"/>
  <c r="L113" i="39"/>
  <c r="K113" i="39"/>
  <c r="H113" i="39"/>
  <c r="G113" i="39"/>
  <c r="D113" i="39"/>
  <c r="C113" i="39"/>
  <c r="X112" i="39"/>
  <c r="W112" i="39"/>
  <c r="T112" i="39"/>
  <c r="S112" i="39"/>
  <c r="P112" i="39"/>
  <c r="O112" i="39"/>
  <c r="L112" i="39"/>
  <c r="K112" i="39"/>
  <c r="H112" i="39"/>
  <c r="G112" i="39"/>
  <c r="D112" i="39"/>
  <c r="C112" i="39"/>
  <c r="X111" i="39"/>
  <c r="W111" i="39"/>
  <c r="T111" i="39"/>
  <c r="S111" i="39"/>
  <c r="P111" i="39"/>
  <c r="O111" i="39"/>
  <c r="L111" i="39"/>
  <c r="K111" i="39"/>
  <c r="H111" i="39"/>
  <c r="G111" i="39"/>
  <c r="D111" i="39"/>
  <c r="C111" i="39"/>
  <c r="X110" i="39"/>
  <c r="W110" i="39"/>
  <c r="T110" i="39"/>
  <c r="S110" i="39"/>
  <c r="P110" i="39"/>
  <c r="O110" i="39"/>
  <c r="L110" i="39"/>
  <c r="K110" i="39"/>
  <c r="H110" i="39"/>
  <c r="G110" i="39"/>
  <c r="D110" i="39"/>
  <c r="C110" i="39"/>
  <c r="X109" i="39"/>
  <c r="W109" i="39"/>
  <c r="T109" i="39"/>
  <c r="S109" i="39"/>
  <c r="P109" i="39"/>
  <c r="O109" i="39"/>
  <c r="L109" i="39"/>
  <c r="K109" i="39"/>
  <c r="H109" i="39"/>
  <c r="G109" i="39"/>
  <c r="D109" i="39"/>
  <c r="C109" i="39"/>
  <c r="X108" i="39"/>
  <c r="W108" i="39"/>
  <c r="T108" i="39"/>
  <c r="S108" i="39"/>
  <c r="P108" i="39"/>
  <c r="O108" i="39"/>
  <c r="L108" i="39"/>
  <c r="K108" i="39"/>
  <c r="H108" i="39"/>
  <c r="G108" i="39"/>
  <c r="D108" i="39"/>
  <c r="C108" i="39"/>
  <c r="X107" i="39"/>
  <c r="W107" i="39"/>
  <c r="T107" i="39"/>
  <c r="S107" i="39"/>
  <c r="P107" i="39"/>
  <c r="O107" i="39"/>
  <c r="L107" i="39"/>
  <c r="K107" i="39"/>
  <c r="H107" i="39"/>
  <c r="G107" i="39"/>
  <c r="D107" i="39"/>
  <c r="C107" i="39"/>
  <c r="X106" i="39"/>
  <c r="W106" i="39"/>
  <c r="T106" i="39"/>
  <c r="S106" i="39"/>
  <c r="P106" i="39"/>
  <c r="O106" i="39"/>
  <c r="L106" i="39"/>
  <c r="K106" i="39"/>
  <c r="H106" i="39"/>
  <c r="G106" i="39"/>
  <c r="D106" i="39"/>
  <c r="C106" i="39"/>
  <c r="X105" i="39"/>
  <c r="W105" i="39"/>
  <c r="T105" i="39"/>
  <c r="S105" i="39"/>
  <c r="P105" i="39"/>
  <c r="O105" i="39"/>
  <c r="L105" i="39"/>
  <c r="K105" i="39"/>
  <c r="H105" i="39"/>
  <c r="G105" i="39"/>
  <c r="D105" i="39"/>
  <c r="C105" i="39"/>
  <c r="X104" i="39"/>
  <c r="W104" i="39"/>
  <c r="T104" i="39"/>
  <c r="S104" i="39"/>
  <c r="P104" i="39"/>
  <c r="O104" i="39"/>
  <c r="L104" i="39"/>
  <c r="K104" i="39"/>
  <c r="H104" i="39"/>
  <c r="G104" i="39"/>
  <c r="D104" i="39"/>
  <c r="C104" i="39"/>
  <c r="X103" i="39"/>
  <c r="W103" i="39"/>
  <c r="T103" i="39"/>
  <c r="S103" i="39"/>
  <c r="P103" i="39"/>
  <c r="O103" i="39"/>
  <c r="L103" i="39"/>
  <c r="K103" i="39"/>
  <c r="H103" i="39"/>
  <c r="G103" i="39"/>
  <c r="D103" i="39"/>
  <c r="C103" i="39"/>
  <c r="X102" i="39"/>
  <c r="W102" i="39"/>
  <c r="T102" i="39"/>
  <c r="S102" i="39"/>
  <c r="P102" i="39"/>
  <c r="O102" i="39"/>
  <c r="L102" i="39"/>
  <c r="K102" i="39"/>
  <c r="H102" i="39"/>
  <c r="G102" i="39"/>
  <c r="D102" i="39"/>
  <c r="C102" i="39"/>
  <c r="X101" i="39"/>
  <c r="W101" i="39"/>
  <c r="T101" i="39"/>
  <c r="S101" i="39"/>
  <c r="P101" i="39"/>
  <c r="O101" i="39"/>
  <c r="L101" i="39"/>
  <c r="K101" i="39"/>
  <c r="H101" i="39"/>
  <c r="G101" i="39"/>
  <c r="D101" i="39"/>
  <c r="C101" i="39"/>
  <c r="X100" i="39"/>
  <c r="W100" i="39"/>
  <c r="T100" i="39"/>
  <c r="S100" i="39"/>
  <c r="P100" i="39"/>
  <c r="O100" i="39"/>
  <c r="L100" i="39"/>
  <c r="K100" i="39"/>
  <c r="H100" i="39"/>
  <c r="G100" i="39"/>
  <c r="D100" i="39"/>
  <c r="C100" i="39"/>
  <c r="X99" i="39"/>
  <c r="W99" i="39"/>
  <c r="T99" i="39"/>
  <c r="S99" i="39"/>
  <c r="P99" i="39"/>
  <c r="O99" i="39"/>
  <c r="L99" i="39"/>
  <c r="K99" i="39"/>
  <c r="H99" i="39"/>
  <c r="G99" i="39"/>
  <c r="D99" i="39"/>
  <c r="C99" i="39"/>
  <c r="X98" i="39"/>
  <c r="W98" i="39"/>
  <c r="T98" i="39"/>
  <c r="S98" i="39"/>
  <c r="P98" i="39"/>
  <c r="O98" i="39"/>
  <c r="L98" i="39"/>
  <c r="K98" i="39"/>
  <c r="H98" i="39"/>
  <c r="G98" i="39"/>
  <c r="D98" i="39"/>
  <c r="C98" i="39"/>
  <c r="X97" i="39"/>
  <c r="W97" i="39"/>
  <c r="T97" i="39"/>
  <c r="S97" i="39"/>
  <c r="P97" i="39"/>
  <c r="O97" i="39"/>
  <c r="L97" i="39"/>
  <c r="K97" i="39"/>
  <c r="H97" i="39"/>
  <c r="G97" i="39"/>
  <c r="D97" i="39"/>
  <c r="C97" i="39"/>
  <c r="X96" i="39"/>
  <c r="W96" i="39"/>
  <c r="T96" i="39"/>
  <c r="S96" i="39"/>
  <c r="P96" i="39"/>
  <c r="O96" i="39"/>
  <c r="L96" i="39"/>
  <c r="K96" i="39"/>
  <c r="H96" i="39"/>
  <c r="G96" i="39"/>
  <c r="D96" i="39"/>
  <c r="C96" i="39"/>
  <c r="X95" i="39"/>
  <c r="W95" i="39"/>
  <c r="T95" i="39"/>
  <c r="S95" i="39"/>
  <c r="P95" i="39"/>
  <c r="O95" i="39"/>
  <c r="L95" i="39"/>
  <c r="K95" i="39"/>
  <c r="H95" i="39"/>
  <c r="G95" i="39"/>
  <c r="D95" i="39"/>
  <c r="C95" i="39"/>
  <c r="X94" i="39"/>
  <c r="W94" i="39"/>
  <c r="T94" i="39"/>
  <c r="S94" i="39"/>
  <c r="P94" i="39"/>
  <c r="O94" i="39"/>
  <c r="L94" i="39"/>
  <c r="K94" i="39"/>
  <c r="H94" i="39"/>
  <c r="G94" i="39"/>
  <c r="D94" i="39"/>
  <c r="C94" i="39"/>
  <c r="X93" i="39"/>
  <c r="W93" i="39"/>
  <c r="T93" i="39"/>
  <c r="S93" i="39"/>
  <c r="P93" i="39"/>
  <c r="O93" i="39"/>
  <c r="L93" i="39"/>
  <c r="K93" i="39"/>
  <c r="H93" i="39"/>
  <c r="G93" i="39"/>
  <c r="D93" i="39"/>
  <c r="C93" i="39"/>
  <c r="X92" i="39"/>
  <c r="W92" i="39"/>
  <c r="T92" i="39"/>
  <c r="S92" i="39"/>
  <c r="P92" i="39"/>
  <c r="O92" i="39"/>
  <c r="L92" i="39"/>
  <c r="K92" i="39"/>
  <c r="H92" i="39"/>
  <c r="G92" i="39"/>
  <c r="D92" i="39"/>
  <c r="C92" i="39"/>
  <c r="X91" i="39"/>
  <c r="W91" i="39"/>
  <c r="T91" i="39"/>
  <c r="S91" i="39"/>
  <c r="P91" i="39"/>
  <c r="O91" i="39"/>
  <c r="L91" i="39"/>
  <c r="K91" i="39"/>
  <c r="H91" i="39"/>
  <c r="G91" i="39"/>
  <c r="D91" i="39"/>
  <c r="C91" i="39"/>
  <c r="X90" i="39"/>
  <c r="W90" i="39"/>
  <c r="T90" i="39"/>
  <c r="S90" i="39"/>
  <c r="P90" i="39"/>
  <c r="O90" i="39"/>
  <c r="L90" i="39"/>
  <c r="K90" i="39"/>
  <c r="H90" i="39"/>
  <c r="G90" i="39"/>
  <c r="D90" i="39"/>
  <c r="C90" i="39"/>
  <c r="X89" i="39"/>
  <c r="W89" i="39"/>
  <c r="T89" i="39"/>
  <c r="S89" i="39"/>
  <c r="P89" i="39"/>
  <c r="O89" i="39"/>
  <c r="L89" i="39"/>
  <c r="K89" i="39"/>
  <c r="H89" i="39"/>
  <c r="G89" i="39"/>
  <c r="D89" i="39"/>
  <c r="C89" i="39"/>
  <c r="X88" i="39"/>
  <c r="W88" i="39"/>
  <c r="T88" i="39"/>
  <c r="S88" i="39"/>
  <c r="P88" i="39"/>
  <c r="O88" i="39"/>
  <c r="L88" i="39"/>
  <c r="K88" i="39"/>
  <c r="H88" i="39"/>
  <c r="G88" i="39"/>
  <c r="D88" i="39"/>
  <c r="C88" i="39"/>
  <c r="X87" i="39"/>
  <c r="W87" i="39"/>
  <c r="T87" i="39"/>
  <c r="S87" i="39"/>
  <c r="P87" i="39"/>
  <c r="O87" i="39"/>
  <c r="L87" i="39"/>
  <c r="K87" i="39"/>
  <c r="H87" i="39"/>
  <c r="G87" i="39"/>
  <c r="D87" i="39"/>
  <c r="C87" i="39"/>
  <c r="X86" i="39"/>
  <c r="W86" i="39"/>
  <c r="T86" i="39"/>
  <c r="S86" i="39"/>
  <c r="P86" i="39"/>
  <c r="O86" i="39"/>
  <c r="L86" i="39"/>
  <c r="K86" i="39"/>
  <c r="H86" i="39"/>
  <c r="G86" i="39"/>
  <c r="D86" i="39"/>
  <c r="C86" i="39"/>
  <c r="X85" i="39"/>
  <c r="W85" i="39"/>
  <c r="T85" i="39"/>
  <c r="S85" i="39"/>
  <c r="P85" i="39"/>
  <c r="O85" i="39"/>
  <c r="L85" i="39"/>
  <c r="K85" i="39"/>
  <c r="H85" i="39"/>
  <c r="G85" i="39"/>
  <c r="D85" i="39"/>
  <c r="C85" i="39"/>
  <c r="X84" i="39"/>
  <c r="W84" i="39"/>
  <c r="T84" i="39"/>
  <c r="S84" i="39"/>
  <c r="P84" i="39"/>
  <c r="O84" i="39"/>
  <c r="L84" i="39"/>
  <c r="K84" i="39"/>
  <c r="H84" i="39"/>
  <c r="G84" i="39"/>
  <c r="D84" i="39"/>
  <c r="C84" i="39"/>
  <c r="X83" i="39"/>
  <c r="W83" i="39"/>
  <c r="T83" i="39"/>
  <c r="S83" i="39"/>
  <c r="P83" i="39"/>
  <c r="O83" i="39"/>
  <c r="L83" i="39"/>
  <c r="K83" i="39"/>
  <c r="H83" i="39"/>
  <c r="G83" i="39"/>
  <c r="D83" i="39"/>
  <c r="C83" i="39"/>
  <c r="X82" i="39"/>
  <c r="W82" i="39"/>
  <c r="T82" i="39"/>
  <c r="S82" i="39"/>
  <c r="P82" i="39"/>
  <c r="O82" i="39"/>
  <c r="L82" i="39"/>
  <c r="K82" i="39"/>
  <c r="H82" i="39"/>
  <c r="G82" i="39"/>
  <c r="D82" i="39"/>
  <c r="C82" i="39"/>
  <c r="X81" i="39"/>
  <c r="W81" i="39"/>
  <c r="T81" i="39"/>
  <c r="S81" i="39"/>
  <c r="P81" i="39"/>
  <c r="O81" i="39"/>
  <c r="L81" i="39"/>
  <c r="K81" i="39"/>
  <c r="H81" i="39"/>
  <c r="G81" i="39"/>
  <c r="D81" i="39"/>
  <c r="C81" i="39"/>
  <c r="X80" i="39"/>
  <c r="W80" i="39"/>
  <c r="T80" i="39"/>
  <c r="S80" i="39"/>
  <c r="P80" i="39"/>
  <c r="O80" i="39"/>
  <c r="L80" i="39"/>
  <c r="K80" i="39"/>
  <c r="H80" i="39"/>
  <c r="G80" i="39"/>
  <c r="D80" i="39"/>
  <c r="C80" i="39"/>
  <c r="X79" i="39"/>
  <c r="W79" i="39"/>
  <c r="T79" i="39"/>
  <c r="S79" i="39"/>
  <c r="P79" i="39"/>
  <c r="O79" i="39"/>
  <c r="L79" i="39"/>
  <c r="K79" i="39"/>
  <c r="H79" i="39"/>
  <c r="G79" i="39"/>
  <c r="D79" i="39"/>
  <c r="C79" i="39"/>
  <c r="X78" i="39"/>
  <c r="W78" i="39"/>
  <c r="T78" i="39"/>
  <c r="S78" i="39"/>
  <c r="P78" i="39"/>
  <c r="O78" i="39"/>
  <c r="L78" i="39"/>
  <c r="K78" i="39"/>
  <c r="H78" i="39"/>
  <c r="G78" i="39"/>
  <c r="D78" i="39"/>
  <c r="C78" i="39"/>
  <c r="X77" i="39"/>
  <c r="W77" i="39"/>
  <c r="T77" i="39"/>
  <c r="S77" i="39"/>
  <c r="P77" i="39"/>
  <c r="O77" i="39"/>
  <c r="L77" i="39"/>
  <c r="K77" i="39"/>
  <c r="H77" i="39"/>
  <c r="G77" i="39"/>
  <c r="D77" i="39"/>
  <c r="C77" i="39"/>
  <c r="X76" i="39"/>
  <c r="W76" i="39"/>
  <c r="T76" i="39"/>
  <c r="S76" i="39"/>
  <c r="P76" i="39"/>
  <c r="O76" i="39"/>
  <c r="L76" i="39"/>
  <c r="K76" i="39"/>
  <c r="H76" i="39"/>
  <c r="G76" i="39"/>
  <c r="D76" i="39"/>
  <c r="C76" i="39"/>
  <c r="X75" i="39"/>
  <c r="W75" i="39"/>
  <c r="T75" i="39"/>
  <c r="S75" i="39"/>
  <c r="P75" i="39"/>
  <c r="O75" i="39"/>
  <c r="L75" i="39"/>
  <c r="K75" i="39"/>
  <c r="H75" i="39"/>
  <c r="G75" i="39"/>
  <c r="D75" i="39"/>
  <c r="C75" i="39"/>
  <c r="X74" i="39"/>
  <c r="W74" i="39"/>
  <c r="T74" i="39"/>
  <c r="S74" i="39"/>
  <c r="P74" i="39"/>
  <c r="O74" i="39"/>
  <c r="L74" i="39"/>
  <c r="K74" i="39"/>
  <c r="H74" i="39"/>
  <c r="G74" i="39"/>
  <c r="D74" i="39"/>
  <c r="C74" i="39"/>
  <c r="X73" i="39"/>
  <c r="W73" i="39"/>
  <c r="T73" i="39"/>
  <c r="S73" i="39"/>
  <c r="P73" i="39"/>
  <c r="O73" i="39"/>
  <c r="L73" i="39"/>
  <c r="K73" i="39"/>
  <c r="H73" i="39"/>
  <c r="G73" i="39"/>
  <c r="D73" i="39"/>
  <c r="C73" i="39"/>
  <c r="X72" i="39"/>
  <c r="W72" i="39"/>
  <c r="T72" i="39"/>
  <c r="S72" i="39"/>
  <c r="P72" i="39"/>
  <c r="O72" i="39"/>
  <c r="L72" i="39"/>
  <c r="K72" i="39"/>
  <c r="H72" i="39"/>
  <c r="G72" i="39"/>
  <c r="D72" i="39"/>
  <c r="C72" i="39"/>
  <c r="X71" i="39"/>
  <c r="W71" i="39"/>
  <c r="T71" i="39"/>
  <c r="S71" i="39"/>
  <c r="P71" i="39"/>
  <c r="O71" i="39"/>
  <c r="L71" i="39"/>
  <c r="K71" i="39"/>
  <c r="H71" i="39"/>
  <c r="G71" i="39"/>
  <c r="D71" i="39"/>
  <c r="C71" i="39"/>
  <c r="X70" i="39"/>
  <c r="W70" i="39"/>
  <c r="T70" i="39"/>
  <c r="S70" i="39"/>
  <c r="P70" i="39"/>
  <c r="O70" i="39"/>
  <c r="L70" i="39"/>
  <c r="K70" i="39"/>
  <c r="H70" i="39"/>
  <c r="G70" i="39"/>
  <c r="D70" i="39"/>
  <c r="C70" i="39"/>
  <c r="X69" i="39"/>
  <c r="W69" i="39"/>
  <c r="T69" i="39"/>
  <c r="S69" i="39"/>
  <c r="P69" i="39"/>
  <c r="O69" i="39"/>
  <c r="L69" i="39"/>
  <c r="K69" i="39"/>
  <c r="H69" i="39"/>
  <c r="G69" i="39"/>
  <c r="D69" i="39"/>
  <c r="C69" i="39"/>
  <c r="X68" i="39"/>
  <c r="W68" i="39"/>
  <c r="T68" i="39"/>
  <c r="S68" i="39"/>
  <c r="P68" i="39"/>
  <c r="O68" i="39"/>
  <c r="L68" i="39"/>
  <c r="K68" i="39"/>
  <c r="H68" i="39"/>
  <c r="G68" i="39"/>
  <c r="D68" i="39"/>
  <c r="C68" i="39"/>
  <c r="X67" i="39"/>
  <c r="W67" i="39"/>
  <c r="T67" i="39"/>
  <c r="S67" i="39"/>
  <c r="P67" i="39"/>
  <c r="O67" i="39"/>
  <c r="L67" i="39"/>
  <c r="K67" i="39"/>
  <c r="H67" i="39"/>
  <c r="G67" i="39"/>
  <c r="D67" i="39"/>
  <c r="C67" i="39"/>
  <c r="X66" i="39"/>
  <c r="W66" i="39"/>
  <c r="T66" i="39"/>
  <c r="S66" i="39"/>
  <c r="P66" i="39"/>
  <c r="O66" i="39"/>
  <c r="L66" i="39"/>
  <c r="K66" i="39"/>
  <c r="H66" i="39"/>
  <c r="G66" i="39"/>
  <c r="D66" i="39"/>
  <c r="C66" i="39"/>
  <c r="X65" i="39"/>
  <c r="W65" i="39"/>
  <c r="T65" i="39"/>
  <c r="S65" i="39"/>
  <c r="P65" i="39"/>
  <c r="O65" i="39"/>
  <c r="L65" i="39"/>
  <c r="K65" i="39"/>
  <c r="H65" i="39"/>
  <c r="G65" i="39"/>
  <c r="D65" i="39"/>
  <c r="C65" i="39"/>
  <c r="X64" i="39"/>
  <c r="W64" i="39"/>
  <c r="T64" i="39"/>
  <c r="S64" i="39"/>
  <c r="P64" i="39"/>
  <c r="O64" i="39"/>
  <c r="L64" i="39"/>
  <c r="K64" i="39"/>
  <c r="H64" i="39"/>
  <c r="G64" i="39"/>
  <c r="D64" i="39"/>
  <c r="C64" i="39"/>
  <c r="X63" i="39"/>
  <c r="W63" i="39"/>
  <c r="T63" i="39"/>
  <c r="S63" i="39"/>
  <c r="P63" i="39"/>
  <c r="O63" i="39"/>
  <c r="L63" i="39"/>
  <c r="K63" i="39"/>
  <c r="H63" i="39"/>
  <c r="G63" i="39"/>
  <c r="D63" i="39"/>
  <c r="C63" i="39"/>
  <c r="X62" i="39"/>
  <c r="W62" i="39"/>
  <c r="T62" i="39"/>
  <c r="S62" i="39"/>
  <c r="P62" i="39"/>
  <c r="O62" i="39"/>
  <c r="L62" i="39"/>
  <c r="K62" i="39"/>
  <c r="H62" i="39"/>
  <c r="G62" i="39"/>
  <c r="D62" i="39"/>
  <c r="C62" i="39"/>
  <c r="X61" i="39"/>
  <c r="W61" i="39"/>
  <c r="T61" i="39"/>
  <c r="S61" i="39"/>
  <c r="P61" i="39"/>
  <c r="O61" i="39"/>
  <c r="L61" i="39"/>
  <c r="K61" i="39"/>
  <c r="H61" i="39"/>
  <c r="G61" i="39"/>
  <c r="D61" i="39"/>
  <c r="C61" i="39"/>
  <c r="X60" i="39"/>
  <c r="W60" i="39"/>
  <c r="T60" i="39"/>
  <c r="S60" i="39"/>
  <c r="P60" i="39"/>
  <c r="O60" i="39"/>
  <c r="L60" i="39"/>
  <c r="K60" i="39"/>
  <c r="H60" i="39"/>
  <c r="G60" i="39"/>
  <c r="D60" i="39"/>
  <c r="C60" i="39"/>
  <c r="X59" i="39"/>
  <c r="W59" i="39"/>
  <c r="T59" i="39"/>
  <c r="S59" i="39"/>
  <c r="P59" i="39"/>
  <c r="O59" i="39"/>
  <c r="L59" i="39"/>
  <c r="K59" i="39"/>
  <c r="H59" i="39"/>
  <c r="G59" i="39"/>
  <c r="D59" i="39"/>
  <c r="C59" i="39"/>
  <c r="X58" i="39"/>
  <c r="W58" i="39"/>
  <c r="T58" i="39"/>
  <c r="S58" i="39"/>
  <c r="P58" i="39"/>
  <c r="O58" i="39"/>
  <c r="L58" i="39"/>
  <c r="K58" i="39"/>
  <c r="H58" i="39"/>
  <c r="G58" i="39"/>
  <c r="D58" i="39"/>
  <c r="C58" i="39"/>
  <c r="X57" i="39"/>
  <c r="W57" i="39"/>
  <c r="T57" i="39"/>
  <c r="S57" i="39"/>
  <c r="P57" i="39"/>
  <c r="O57" i="39"/>
  <c r="L57" i="39"/>
  <c r="K57" i="39"/>
  <c r="H57" i="39"/>
  <c r="G57" i="39"/>
  <c r="D57" i="39"/>
  <c r="C57" i="39"/>
  <c r="X56" i="39"/>
  <c r="W56" i="39"/>
  <c r="T56" i="39"/>
  <c r="S56" i="39"/>
  <c r="P56" i="39"/>
  <c r="O56" i="39"/>
  <c r="L56" i="39"/>
  <c r="K56" i="39"/>
  <c r="H56" i="39"/>
  <c r="G56" i="39"/>
  <c r="D56" i="39"/>
  <c r="C56" i="39"/>
  <c r="X55" i="39"/>
  <c r="W55" i="39"/>
  <c r="T55" i="39"/>
  <c r="S55" i="39"/>
  <c r="P55" i="39"/>
  <c r="O55" i="39"/>
  <c r="L55" i="39"/>
  <c r="K55" i="39"/>
  <c r="H55" i="39"/>
  <c r="G55" i="39"/>
  <c r="D55" i="39"/>
  <c r="C55" i="39"/>
  <c r="X54" i="39"/>
  <c r="W54" i="39"/>
  <c r="T54" i="39"/>
  <c r="S54" i="39"/>
  <c r="P54" i="39"/>
  <c r="O54" i="39"/>
  <c r="L54" i="39"/>
  <c r="K54" i="39"/>
  <c r="H54" i="39"/>
  <c r="G54" i="39"/>
  <c r="D54" i="39"/>
  <c r="C54" i="39"/>
  <c r="X53" i="39"/>
  <c r="W53" i="39"/>
  <c r="T53" i="39"/>
  <c r="S53" i="39"/>
  <c r="P53" i="39"/>
  <c r="O53" i="39"/>
  <c r="L53" i="39"/>
  <c r="K53" i="39"/>
  <c r="H53" i="39"/>
  <c r="G53" i="39"/>
  <c r="D53" i="39"/>
  <c r="C53" i="39"/>
  <c r="X52" i="39"/>
  <c r="W52" i="39"/>
  <c r="T52" i="39"/>
  <c r="S52" i="39"/>
  <c r="P52" i="39"/>
  <c r="O52" i="39"/>
  <c r="L52" i="39"/>
  <c r="K52" i="39"/>
  <c r="H52" i="39"/>
  <c r="G52" i="39"/>
  <c r="D52" i="39"/>
  <c r="C52" i="39"/>
  <c r="X51" i="39"/>
  <c r="W51" i="39"/>
  <c r="T51" i="39"/>
  <c r="S51" i="39"/>
  <c r="P51" i="39"/>
  <c r="O51" i="39"/>
  <c r="L51" i="39"/>
  <c r="K51" i="39"/>
  <c r="H51" i="39"/>
  <c r="G51" i="39"/>
  <c r="D51" i="39"/>
  <c r="C51" i="39"/>
  <c r="X50" i="39"/>
  <c r="W50" i="39"/>
  <c r="T50" i="39"/>
  <c r="S50" i="39"/>
  <c r="P50" i="39"/>
  <c r="O50" i="39"/>
  <c r="L50" i="39"/>
  <c r="K50" i="39"/>
  <c r="H50" i="39"/>
  <c r="G50" i="39"/>
  <c r="D50" i="39"/>
  <c r="C50" i="39"/>
  <c r="X49" i="39"/>
  <c r="W49" i="39"/>
  <c r="T49" i="39"/>
  <c r="S49" i="39"/>
  <c r="P49" i="39"/>
  <c r="O49" i="39"/>
  <c r="L49" i="39"/>
  <c r="K49" i="39"/>
  <c r="H49" i="39"/>
  <c r="G49" i="39"/>
  <c r="D49" i="39"/>
  <c r="C49" i="39"/>
  <c r="X48" i="39"/>
  <c r="W48" i="39"/>
  <c r="T48" i="39"/>
  <c r="S48" i="39"/>
  <c r="P48" i="39"/>
  <c r="O48" i="39"/>
  <c r="L48" i="39"/>
  <c r="K48" i="39"/>
  <c r="H48" i="39"/>
  <c r="G48" i="39"/>
  <c r="D48" i="39"/>
  <c r="C48" i="39"/>
  <c r="X47" i="39"/>
  <c r="W47" i="39"/>
  <c r="T47" i="39"/>
  <c r="S47" i="39"/>
  <c r="P47" i="39"/>
  <c r="O47" i="39"/>
  <c r="L47" i="39"/>
  <c r="K47" i="39"/>
  <c r="H47" i="39"/>
  <c r="G47" i="39"/>
  <c r="D47" i="39"/>
  <c r="C47" i="39"/>
  <c r="X46" i="39"/>
  <c r="W46" i="39"/>
  <c r="T46" i="39"/>
  <c r="S46" i="39"/>
  <c r="P46" i="39"/>
  <c r="O46" i="39"/>
  <c r="L46" i="39"/>
  <c r="K46" i="39"/>
  <c r="H46" i="39"/>
  <c r="G46" i="39"/>
  <c r="D46" i="39"/>
  <c r="C46" i="39"/>
  <c r="X45" i="39"/>
  <c r="W45" i="39"/>
  <c r="T45" i="39"/>
  <c r="S45" i="39"/>
  <c r="P45" i="39"/>
  <c r="O45" i="39"/>
  <c r="L45" i="39"/>
  <c r="K45" i="39"/>
  <c r="H45" i="39"/>
  <c r="G45" i="39"/>
  <c r="D45" i="39"/>
  <c r="C45" i="39"/>
  <c r="X44" i="39"/>
  <c r="W44" i="39"/>
  <c r="T44" i="39"/>
  <c r="S44" i="39"/>
  <c r="P44" i="39"/>
  <c r="O44" i="39"/>
  <c r="L44" i="39"/>
  <c r="K44" i="39"/>
  <c r="H44" i="39"/>
  <c r="G44" i="39"/>
  <c r="D44" i="39"/>
  <c r="C44" i="39"/>
  <c r="X43" i="39"/>
  <c r="W43" i="39"/>
  <c r="T43" i="39"/>
  <c r="S43" i="39"/>
  <c r="P43" i="39"/>
  <c r="O43" i="39"/>
  <c r="L43" i="39"/>
  <c r="K43" i="39"/>
  <c r="H43" i="39"/>
  <c r="G43" i="39"/>
  <c r="D43" i="39"/>
  <c r="C43" i="39"/>
  <c r="X42" i="39"/>
  <c r="W42" i="39"/>
  <c r="T42" i="39"/>
  <c r="S42" i="39"/>
  <c r="P42" i="39"/>
  <c r="O42" i="39"/>
  <c r="L42" i="39"/>
  <c r="K42" i="39"/>
  <c r="H42" i="39"/>
  <c r="G42" i="39"/>
  <c r="D42" i="39"/>
  <c r="C42" i="39"/>
  <c r="X41" i="39"/>
  <c r="W41" i="39"/>
  <c r="T41" i="39"/>
  <c r="S41" i="39"/>
  <c r="P41" i="39"/>
  <c r="O41" i="39"/>
  <c r="L41" i="39"/>
  <c r="K41" i="39"/>
  <c r="H41" i="39"/>
  <c r="G41" i="39"/>
  <c r="D41" i="39"/>
  <c r="C41" i="39"/>
  <c r="X40" i="39"/>
  <c r="W40" i="39"/>
  <c r="T40" i="39"/>
  <c r="S40" i="39"/>
  <c r="P40" i="39"/>
  <c r="O40" i="39"/>
  <c r="L40" i="39"/>
  <c r="K40" i="39"/>
  <c r="H40" i="39"/>
  <c r="G40" i="39"/>
  <c r="D40" i="39"/>
  <c r="C40" i="39"/>
  <c r="X39" i="39"/>
  <c r="W39" i="39"/>
  <c r="T39" i="39"/>
  <c r="S39" i="39"/>
  <c r="P39" i="39"/>
  <c r="O39" i="39"/>
  <c r="L39" i="39"/>
  <c r="K39" i="39"/>
  <c r="H39" i="39"/>
  <c r="G39" i="39"/>
  <c r="D39" i="39"/>
  <c r="C39" i="39"/>
  <c r="X38" i="39"/>
  <c r="W38" i="39"/>
  <c r="T38" i="39"/>
  <c r="S38" i="39"/>
  <c r="P38" i="39"/>
  <c r="O38" i="39"/>
  <c r="L38" i="39"/>
  <c r="K38" i="39"/>
  <c r="H38" i="39"/>
  <c r="G38" i="39"/>
  <c r="D38" i="39"/>
  <c r="C38" i="39"/>
  <c r="X37" i="39"/>
  <c r="W37" i="39"/>
  <c r="T37" i="39"/>
  <c r="S37" i="39"/>
  <c r="P37" i="39"/>
  <c r="O37" i="39"/>
  <c r="L37" i="39"/>
  <c r="K37" i="39"/>
  <c r="H37" i="39"/>
  <c r="G37" i="39"/>
  <c r="D37" i="39"/>
  <c r="C37" i="39"/>
  <c r="X36" i="39"/>
  <c r="W36" i="39"/>
  <c r="T36" i="39"/>
  <c r="S36" i="39"/>
  <c r="P36" i="39"/>
  <c r="O36" i="39"/>
  <c r="L36" i="39"/>
  <c r="K36" i="39"/>
  <c r="H36" i="39"/>
  <c r="G36" i="39"/>
  <c r="D36" i="39"/>
  <c r="C36" i="39"/>
  <c r="X35" i="39"/>
  <c r="W35" i="39"/>
  <c r="T35" i="39"/>
  <c r="S35" i="39"/>
  <c r="P35" i="39"/>
  <c r="O35" i="39"/>
  <c r="L35" i="39"/>
  <c r="K35" i="39"/>
  <c r="H35" i="39"/>
  <c r="G35" i="39"/>
  <c r="D35" i="39"/>
  <c r="C35" i="39"/>
  <c r="X34" i="39"/>
  <c r="W34" i="39"/>
  <c r="T34" i="39"/>
  <c r="S34" i="39"/>
  <c r="P34" i="39"/>
  <c r="O34" i="39"/>
  <c r="L34" i="39"/>
  <c r="K34" i="39"/>
  <c r="H34" i="39"/>
  <c r="G34" i="39"/>
  <c r="D34" i="39"/>
  <c r="C34" i="39"/>
  <c r="X33" i="39"/>
  <c r="W33" i="39"/>
  <c r="T33" i="39"/>
  <c r="S33" i="39"/>
  <c r="P33" i="39"/>
  <c r="O33" i="39"/>
  <c r="L33" i="39"/>
  <c r="K33" i="39"/>
  <c r="H33" i="39"/>
  <c r="G33" i="39"/>
  <c r="D33" i="39"/>
  <c r="C33" i="39"/>
  <c r="X32" i="39"/>
  <c r="W32" i="39"/>
  <c r="T32" i="39"/>
  <c r="S32" i="39"/>
  <c r="P32" i="39"/>
  <c r="O32" i="39"/>
  <c r="L32" i="39"/>
  <c r="K32" i="39"/>
  <c r="H32" i="39"/>
  <c r="G32" i="39"/>
  <c r="D32" i="39"/>
  <c r="C32" i="39"/>
  <c r="X31" i="39"/>
  <c r="W31" i="39"/>
  <c r="T31" i="39"/>
  <c r="S31" i="39"/>
  <c r="P31" i="39"/>
  <c r="O31" i="39"/>
  <c r="L31" i="39"/>
  <c r="K31" i="39"/>
  <c r="H31" i="39"/>
  <c r="G31" i="39"/>
  <c r="D31" i="39"/>
  <c r="C31" i="39"/>
  <c r="X30" i="39"/>
  <c r="W30" i="39"/>
  <c r="T30" i="39"/>
  <c r="S30" i="39"/>
  <c r="P30" i="39"/>
  <c r="O30" i="39"/>
  <c r="L30" i="39"/>
  <c r="K30" i="39"/>
  <c r="H30" i="39"/>
  <c r="G30" i="39"/>
  <c r="D30" i="39"/>
  <c r="C30" i="39"/>
  <c r="X29" i="39"/>
  <c r="W29" i="39"/>
  <c r="T29" i="39"/>
  <c r="S29" i="39"/>
  <c r="P29" i="39"/>
  <c r="O29" i="39"/>
  <c r="L29" i="39"/>
  <c r="K29" i="39"/>
  <c r="H29" i="39"/>
  <c r="G29" i="39"/>
  <c r="D29" i="39"/>
  <c r="C29" i="39"/>
  <c r="X28" i="39"/>
  <c r="W28" i="39"/>
  <c r="T28" i="39"/>
  <c r="S28" i="39"/>
  <c r="P28" i="39"/>
  <c r="O28" i="39"/>
  <c r="L28" i="39"/>
  <c r="K28" i="39"/>
  <c r="H28" i="39"/>
  <c r="G28" i="39"/>
  <c r="D28" i="39"/>
  <c r="C28" i="39"/>
  <c r="X27" i="39"/>
  <c r="W27" i="39"/>
  <c r="T27" i="39"/>
  <c r="S27" i="39"/>
  <c r="P27" i="39"/>
  <c r="O27" i="39"/>
  <c r="L27" i="39"/>
  <c r="K27" i="39"/>
  <c r="H27" i="39"/>
  <c r="G27" i="39"/>
  <c r="D27" i="39"/>
  <c r="C27" i="39"/>
  <c r="X26" i="39"/>
  <c r="W26" i="39"/>
  <c r="T26" i="39"/>
  <c r="S26" i="39"/>
  <c r="P26" i="39"/>
  <c r="O26" i="39"/>
  <c r="L26" i="39"/>
  <c r="K26" i="39"/>
  <c r="H26" i="39"/>
  <c r="G26" i="39"/>
  <c r="D26" i="39"/>
  <c r="C26" i="39"/>
  <c r="X25" i="39"/>
  <c r="W25" i="39"/>
  <c r="T25" i="39"/>
  <c r="S25" i="39"/>
  <c r="P25" i="39"/>
  <c r="O25" i="39"/>
  <c r="L25" i="39"/>
  <c r="K25" i="39"/>
  <c r="H25" i="39"/>
  <c r="G25" i="39"/>
  <c r="D25" i="39"/>
  <c r="C25" i="39"/>
  <c r="X24" i="39"/>
  <c r="W24" i="39"/>
  <c r="T24" i="39"/>
  <c r="S24" i="39"/>
  <c r="P24" i="39"/>
  <c r="O24" i="39"/>
  <c r="L24" i="39"/>
  <c r="K24" i="39"/>
  <c r="H24" i="39"/>
  <c r="G24" i="39"/>
  <c r="D24" i="39"/>
  <c r="C24" i="39"/>
  <c r="X23" i="39"/>
  <c r="W23" i="39"/>
  <c r="T23" i="39"/>
  <c r="S23" i="39"/>
  <c r="P23" i="39"/>
  <c r="O23" i="39"/>
  <c r="L23" i="39"/>
  <c r="K23" i="39"/>
  <c r="H23" i="39"/>
  <c r="G23" i="39"/>
  <c r="D23" i="39"/>
  <c r="C23" i="39"/>
  <c r="X22" i="39"/>
  <c r="W22" i="39"/>
  <c r="T22" i="39"/>
  <c r="S22" i="39"/>
  <c r="P22" i="39"/>
  <c r="O22" i="39"/>
  <c r="L22" i="39"/>
  <c r="K22" i="39"/>
  <c r="H22" i="39"/>
  <c r="G22" i="39"/>
  <c r="D22" i="39"/>
  <c r="C22" i="39"/>
  <c r="X21" i="39"/>
  <c r="W21" i="39"/>
  <c r="T21" i="39"/>
  <c r="S21" i="39"/>
  <c r="P21" i="39"/>
  <c r="O21" i="39"/>
  <c r="L21" i="39"/>
  <c r="K21" i="39"/>
  <c r="H21" i="39"/>
  <c r="G21" i="39"/>
  <c r="D21" i="39"/>
  <c r="C21" i="39"/>
  <c r="X20" i="39"/>
  <c r="W20" i="39"/>
  <c r="T20" i="39"/>
  <c r="S20" i="39"/>
  <c r="P20" i="39"/>
  <c r="O20" i="39"/>
  <c r="L20" i="39"/>
  <c r="K20" i="39"/>
  <c r="H20" i="39"/>
  <c r="G20" i="39"/>
  <c r="D20" i="39"/>
  <c r="C20" i="39"/>
  <c r="X19" i="39"/>
  <c r="W19" i="39"/>
  <c r="T19" i="39"/>
  <c r="S19" i="39"/>
  <c r="P19" i="39"/>
  <c r="O19" i="39"/>
  <c r="L19" i="39"/>
  <c r="K19" i="39"/>
  <c r="H19" i="39"/>
  <c r="G19" i="39"/>
  <c r="D19" i="39"/>
  <c r="C19" i="39"/>
  <c r="X18" i="39"/>
  <c r="W18" i="39"/>
  <c r="T18" i="39"/>
  <c r="S18" i="39"/>
  <c r="P18" i="39"/>
  <c r="O18" i="39"/>
  <c r="L18" i="39"/>
  <c r="K18" i="39"/>
  <c r="H18" i="39"/>
  <c r="G18" i="39"/>
  <c r="D18" i="39"/>
  <c r="C18" i="39"/>
  <c r="X17" i="39"/>
  <c r="W17" i="39"/>
  <c r="T17" i="39"/>
  <c r="S17" i="39"/>
  <c r="P17" i="39"/>
  <c r="O17" i="39"/>
  <c r="L17" i="39"/>
  <c r="K17" i="39"/>
  <c r="H17" i="39"/>
  <c r="G17" i="39"/>
  <c r="D17" i="39"/>
  <c r="C17" i="39"/>
  <c r="X16" i="39"/>
  <c r="W16" i="39"/>
  <c r="T16" i="39"/>
  <c r="S16" i="39"/>
  <c r="P16" i="39"/>
  <c r="O16" i="39"/>
  <c r="L16" i="39"/>
  <c r="K16" i="39"/>
  <c r="H16" i="39"/>
  <c r="G16" i="39"/>
  <c r="D16" i="39"/>
  <c r="C16" i="39"/>
  <c r="X15" i="39"/>
  <c r="W15" i="39"/>
  <c r="T15" i="39"/>
  <c r="S15" i="39"/>
  <c r="P15" i="39"/>
  <c r="O15" i="39"/>
  <c r="L15" i="39"/>
  <c r="K15" i="39"/>
  <c r="H15" i="39"/>
  <c r="G15" i="39"/>
  <c r="D15" i="39"/>
  <c r="C15" i="39"/>
  <c r="X14" i="39"/>
  <c r="W14" i="39"/>
  <c r="T14" i="39"/>
  <c r="S14" i="39"/>
  <c r="P14" i="39"/>
  <c r="O14" i="39"/>
  <c r="L14" i="39"/>
  <c r="K14" i="39"/>
  <c r="H14" i="39"/>
  <c r="G14" i="39"/>
  <c r="D14" i="39"/>
  <c r="C14" i="39"/>
  <c r="X13" i="39"/>
  <c r="W13" i="39"/>
  <c r="T13" i="39"/>
  <c r="S13" i="39"/>
  <c r="P13" i="39"/>
  <c r="O13" i="39"/>
  <c r="L13" i="39"/>
  <c r="K13" i="39"/>
  <c r="H13" i="39"/>
  <c r="G13" i="39"/>
  <c r="D13" i="39"/>
  <c r="C13" i="39"/>
  <c r="X12" i="39"/>
  <c r="W12" i="39"/>
  <c r="T12" i="39"/>
  <c r="S12" i="39"/>
  <c r="P12" i="39"/>
  <c r="O12" i="39"/>
  <c r="L12" i="39"/>
  <c r="K12" i="39"/>
  <c r="H12" i="39"/>
  <c r="G12" i="39"/>
  <c r="D12" i="39"/>
  <c r="C12" i="39"/>
  <c r="X11" i="39"/>
  <c r="W11" i="39"/>
  <c r="T11" i="39"/>
  <c r="S11" i="39"/>
  <c r="P11" i="39"/>
  <c r="O11" i="39"/>
  <c r="L11" i="39"/>
  <c r="K11" i="39"/>
  <c r="H11" i="39"/>
  <c r="G11" i="39"/>
  <c r="D11" i="39"/>
  <c r="C11" i="39"/>
  <c r="X10" i="39"/>
  <c r="W10" i="39"/>
  <c r="T10" i="39"/>
  <c r="S10" i="39"/>
  <c r="P10" i="39"/>
  <c r="O10" i="39"/>
  <c r="L10" i="39"/>
  <c r="K10" i="39"/>
  <c r="H10" i="39"/>
  <c r="G10" i="39"/>
  <c r="D10" i="39"/>
  <c r="C10" i="39"/>
  <c r="X9" i="39"/>
  <c r="W9" i="39"/>
  <c r="T9" i="39"/>
  <c r="S9" i="39"/>
  <c r="P9" i="39"/>
  <c r="O9" i="39"/>
  <c r="L9" i="39"/>
  <c r="K9" i="39"/>
  <c r="H9" i="39"/>
  <c r="G9" i="39"/>
  <c r="D9" i="39"/>
  <c r="C9" i="39"/>
  <c r="X8" i="39"/>
  <c r="W8" i="39"/>
  <c r="T8" i="39"/>
  <c r="S8" i="39"/>
  <c r="P8" i="39"/>
  <c r="O8" i="39"/>
  <c r="L8" i="39"/>
  <c r="K8" i="39"/>
  <c r="H8" i="39"/>
  <c r="G8" i="39"/>
  <c r="D8" i="39"/>
  <c r="C8" i="39"/>
  <c r="X7" i="39"/>
  <c r="W7" i="39"/>
  <c r="T7" i="39"/>
  <c r="S7" i="39"/>
  <c r="P7" i="39"/>
  <c r="O7" i="39"/>
  <c r="L7" i="39"/>
  <c r="K7" i="39"/>
  <c r="H7" i="39"/>
  <c r="G7" i="39"/>
  <c r="D7" i="39"/>
  <c r="C7" i="39"/>
  <c r="X6" i="39"/>
  <c r="W6" i="39"/>
  <c r="T6" i="39"/>
  <c r="S6" i="39"/>
  <c r="P6" i="39"/>
  <c r="O6" i="39"/>
  <c r="L6" i="39"/>
  <c r="K6" i="39"/>
  <c r="H6" i="39"/>
  <c r="G6" i="39"/>
  <c r="D6" i="39"/>
  <c r="C6" i="39"/>
  <c r="X5" i="39"/>
  <c r="W5" i="39"/>
  <c r="T5" i="39"/>
  <c r="S5" i="39"/>
  <c r="P5" i="39"/>
  <c r="O5" i="39"/>
  <c r="L5" i="39"/>
  <c r="K5" i="39"/>
  <c r="H5" i="39"/>
  <c r="G5" i="39"/>
  <c r="D5" i="39"/>
  <c r="C5" i="39"/>
  <c r="X4" i="39"/>
  <c r="W4" i="39"/>
  <c r="T4" i="39"/>
  <c r="S4" i="39"/>
  <c r="P4" i="39"/>
  <c r="O4" i="39"/>
  <c r="L4" i="39"/>
  <c r="K4" i="39"/>
  <c r="H4" i="39"/>
  <c r="G4" i="39"/>
  <c r="D4" i="39"/>
  <c r="C4" i="39"/>
  <c r="C124" i="39" s="1"/>
  <c r="C125" i="39" s="1"/>
  <c r="K4" i="32"/>
  <c r="J4" i="32"/>
  <c r="H4" i="32"/>
  <c r="G4" i="32"/>
  <c r="F4" i="32"/>
  <c r="E4" i="32"/>
  <c r="D4" i="32"/>
  <c r="G4" i="31"/>
  <c r="F4" i="31"/>
  <c r="E4" i="31"/>
  <c r="D4" i="31"/>
  <c r="O122" i="41"/>
  <c r="O120" i="41"/>
  <c r="O118" i="41"/>
  <c r="O116" i="41"/>
  <c r="O114" i="41"/>
  <c r="O112" i="41"/>
  <c r="O110" i="41"/>
  <c r="O108" i="41"/>
  <c r="O106" i="41"/>
  <c r="O104" i="41"/>
  <c r="O102" i="41"/>
  <c r="O100" i="41"/>
  <c r="Q100" i="41" s="1"/>
  <c r="O98" i="41"/>
  <c r="O96" i="41"/>
  <c r="O94" i="41"/>
  <c r="O92" i="41"/>
  <c r="O90" i="41"/>
  <c r="O88" i="41"/>
  <c r="O86" i="41"/>
  <c r="O84" i="41"/>
  <c r="O82" i="41"/>
  <c r="O80" i="41"/>
  <c r="O78" i="41"/>
  <c r="O76" i="41"/>
  <c r="O74" i="41"/>
  <c r="O72" i="41"/>
  <c r="O70" i="41"/>
  <c r="O68" i="41"/>
  <c r="Q68" i="41" s="1"/>
  <c r="O66" i="41"/>
  <c r="O64" i="41"/>
  <c r="O62" i="41"/>
  <c r="O60" i="41"/>
  <c r="O58" i="41"/>
  <c r="O56" i="41"/>
  <c r="O54" i="41"/>
  <c r="O52" i="41"/>
  <c r="O50" i="41"/>
  <c r="O48" i="41"/>
  <c r="O46" i="41"/>
  <c r="O44" i="41"/>
  <c r="O42" i="41"/>
  <c r="O40" i="41"/>
  <c r="O38" i="41"/>
  <c r="O36" i="41"/>
  <c r="O34" i="41"/>
  <c r="O32" i="41"/>
  <c r="O30" i="41"/>
  <c r="O28" i="41"/>
  <c r="O26" i="41"/>
  <c r="O24" i="41"/>
  <c r="O22" i="41"/>
  <c r="O20" i="41"/>
  <c r="O18" i="41"/>
  <c r="O16" i="41"/>
  <c r="O14" i="41"/>
  <c r="O12" i="41"/>
  <c r="Q12" i="41" s="1"/>
  <c r="O10" i="41"/>
  <c r="O8" i="41"/>
  <c r="O6" i="41"/>
  <c r="AH4" i="86"/>
  <c r="D126" i="68"/>
  <c r="D125" i="68"/>
  <c r="C41" i="1"/>
  <c r="C25" i="1"/>
  <c r="D7" i="1"/>
  <c r="O5" i="41"/>
  <c r="O7" i="41"/>
  <c r="O9" i="41"/>
  <c r="O11" i="41"/>
  <c r="O57" i="41"/>
  <c r="O59" i="41"/>
  <c r="O83" i="41"/>
  <c r="O85" i="41"/>
  <c r="O87" i="41"/>
  <c r="O89" i="41"/>
  <c r="O91" i="41"/>
  <c r="O93" i="41"/>
  <c r="O95" i="41"/>
  <c r="O97" i="41"/>
  <c r="O99" i="41"/>
  <c r="O101" i="41"/>
  <c r="O103" i="41"/>
  <c r="O105" i="41"/>
  <c r="O107" i="41"/>
  <c r="O109" i="41"/>
  <c r="O111" i="41"/>
  <c r="O113" i="41"/>
  <c r="O115" i="41"/>
  <c r="O117" i="41"/>
  <c r="O119" i="41"/>
  <c r="O121" i="41"/>
  <c r="O123" i="41"/>
  <c r="O4" i="41"/>
  <c r="O13" i="41"/>
  <c r="O15" i="41"/>
  <c r="O17" i="41"/>
  <c r="O19" i="41"/>
  <c r="O21" i="41"/>
  <c r="O23" i="41"/>
  <c r="O25" i="41"/>
  <c r="O27" i="41"/>
  <c r="O29" i="41"/>
  <c r="O31" i="41"/>
  <c r="O33" i="41"/>
  <c r="O35" i="41"/>
  <c r="O37" i="41"/>
  <c r="O39" i="41"/>
  <c r="O41" i="41"/>
  <c r="O43" i="41"/>
  <c r="O45" i="41"/>
  <c r="O47" i="41"/>
  <c r="O49" i="41"/>
  <c r="O51" i="41"/>
  <c r="O53" i="41"/>
  <c r="O55" i="41"/>
  <c r="O61" i="41"/>
  <c r="O63" i="41"/>
  <c r="O65" i="41"/>
  <c r="O67" i="41"/>
  <c r="O69" i="41"/>
  <c r="O71" i="41"/>
  <c r="O73" i="41"/>
  <c r="O75" i="41"/>
  <c r="O77" i="41"/>
  <c r="O79" i="41"/>
  <c r="O81" i="41"/>
  <c r="Q132" i="75"/>
  <c r="H4" i="60"/>
  <c r="J4" i="55"/>
  <c r="I131" i="75"/>
  <c r="D8" i="118" l="1"/>
  <c r="N8" i="79" s="1"/>
  <c r="X8" i="79" s="1"/>
  <c r="D10" i="118"/>
  <c r="D12" i="118"/>
  <c r="N12" i="79" s="1"/>
  <c r="X12" i="79" s="1"/>
  <c r="D14" i="118"/>
  <c r="D16" i="118"/>
  <c r="N16" i="79" s="1"/>
  <c r="X16" i="79" s="1"/>
  <c r="D18" i="118"/>
  <c r="D28" i="118"/>
  <c r="D36" i="118"/>
  <c r="N36" i="79" s="1"/>
  <c r="X36" i="79" s="1"/>
  <c r="D38" i="118"/>
  <c r="N38" i="79" s="1"/>
  <c r="X38" i="79" s="1"/>
  <c r="D40" i="118"/>
  <c r="D42" i="118"/>
  <c r="D46" i="118"/>
  <c r="N46" i="79" s="1"/>
  <c r="X46" i="79" s="1"/>
  <c r="D56" i="118"/>
  <c r="N56" i="79" s="1"/>
  <c r="X56" i="79" s="1"/>
  <c r="D58" i="118"/>
  <c r="D72" i="118"/>
  <c r="D74" i="118"/>
  <c r="D76" i="118"/>
  <c r="D78" i="118"/>
  <c r="D80" i="118"/>
  <c r="D82" i="118"/>
  <c r="D84" i="118"/>
  <c r="D90" i="118"/>
  <c r="N90" i="79" s="1"/>
  <c r="X90" i="79" s="1"/>
  <c r="D98" i="118"/>
  <c r="N98" i="79" s="1"/>
  <c r="X98" i="79" s="1"/>
  <c r="D102" i="118"/>
  <c r="N102" i="79" s="1"/>
  <c r="X102" i="79" s="1"/>
  <c r="D122" i="118"/>
  <c r="D6" i="118"/>
  <c r="J198" i="1"/>
  <c r="J197" i="1" s="1"/>
  <c r="E6" i="118"/>
  <c r="O6" i="79" s="1"/>
  <c r="Y6" i="79" s="1"/>
  <c r="K198" i="1"/>
  <c r="E8" i="118"/>
  <c r="E28" i="118"/>
  <c r="E46" i="118"/>
  <c r="E74" i="118"/>
  <c r="E82" i="118"/>
  <c r="E90" i="118"/>
  <c r="O90" i="79" s="1"/>
  <c r="Y90" i="79" s="1"/>
  <c r="E98" i="118"/>
  <c r="O98" i="79" s="1"/>
  <c r="Y98" i="79" s="1"/>
  <c r="E102" i="118"/>
  <c r="O102" i="79" s="1"/>
  <c r="Y102" i="79" s="1"/>
  <c r="E122" i="118"/>
  <c r="O122" i="79" s="1"/>
  <c r="Y122" i="79" s="1"/>
  <c r="E9" i="118"/>
  <c r="O9" i="79" s="1"/>
  <c r="Y9" i="79" s="1"/>
  <c r="E11" i="118"/>
  <c r="O11" i="79" s="1"/>
  <c r="Y11" i="79" s="1"/>
  <c r="E13" i="118"/>
  <c r="O13" i="79" s="1"/>
  <c r="Y13" i="79" s="1"/>
  <c r="E15" i="118"/>
  <c r="O15" i="79" s="1"/>
  <c r="Y15" i="79" s="1"/>
  <c r="E17" i="118"/>
  <c r="O17" i="79" s="1"/>
  <c r="Y17" i="79" s="1"/>
  <c r="E19" i="118"/>
  <c r="O19" i="79" s="1"/>
  <c r="Y19" i="79" s="1"/>
  <c r="E29" i="118"/>
  <c r="O29" i="79" s="1"/>
  <c r="Y29" i="79" s="1"/>
  <c r="E43" i="118"/>
  <c r="E47" i="118"/>
  <c r="O47" i="79" s="1"/>
  <c r="Y47" i="79" s="1"/>
  <c r="E73" i="118"/>
  <c r="O73" i="79" s="1"/>
  <c r="Y73" i="79" s="1"/>
  <c r="E81" i="118"/>
  <c r="O81" i="79" s="1"/>
  <c r="Y81" i="79" s="1"/>
  <c r="E85" i="118"/>
  <c r="O85" i="79" s="1"/>
  <c r="Y85" i="79" s="1"/>
  <c r="E113" i="118"/>
  <c r="O113" i="79" s="1"/>
  <c r="Y113" i="79" s="1"/>
  <c r="E121" i="118"/>
  <c r="O121" i="79" s="1"/>
  <c r="Y121" i="79" s="1"/>
  <c r="D30" i="118"/>
  <c r="N30" i="79" s="1"/>
  <c r="X30" i="79" s="1"/>
  <c r="D104" i="118"/>
  <c r="D106" i="118"/>
  <c r="D108" i="118"/>
  <c r="D110" i="118"/>
  <c r="D112" i="118"/>
  <c r="D118" i="118"/>
  <c r="N118" i="79" s="1"/>
  <c r="X118" i="79" s="1"/>
  <c r="D120" i="118"/>
  <c r="N120" i="79" s="1"/>
  <c r="X120" i="79" s="1"/>
  <c r="D124" i="118"/>
  <c r="D100" i="118"/>
  <c r="H100" i="118" s="1"/>
  <c r="D48" i="118"/>
  <c r="N48" i="79" s="1"/>
  <c r="X48" i="79" s="1"/>
  <c r="D54" i="118"/>
  <c r="D68" i="118"/>
  <c r="N68" i="79" s="1"/>
  <c r="X68" i="79" s="1"/>
  <c r="D86" i="118"/>
  <c r="D114" i="118"/>
  <c r="N114" i="79" s="1"/>
  <c r="X114" i="79" s="1"/>
  <c r="E21" i="118"/>
  <c r="O21" i="79" s="1"/>
  <c r="Y21" i="79" s="1"/>
  <c r="E23" i="118"/>
  <c r="O23" i="79" s="1"/>
  <c r="Y23" i="79" s="1"/>
  <c r="E25" i="118"/>
  <c r="O25" i="79" s="1"/>
  <c r="Y25" i="79" s="1"/>
  <c r="E27" i="118"/>
  <c r="O27" i="79" s="1"/>
  <c r="Y27" i="79" s="1"/>
  <c r="E31" i="118"/>
  <c r="O31" i="79" s="1"/>
  <c r="Y31" i="79" s="1"/>
  <c r="E33" i="118"/>
  <c r="O33" i="79" s="1"/>
  <c r="Y33" i="79" s="1"/>
  <c r="E37" i="118"/>
  <c r="O37" i="79" s="1"/>
  <c r="Y37" i="79" s="1"/>
  <c r="E39" i="118"/>
  <c r="O39" i="79" s="1"/>
  <c r="Y39" i="79" s="1"/>
  <c r="E41" i="118"/>
  <c r="O41" i="79" s="1"/>
  <c r="Y41" i="79" s="1"/>
  <c r="E45" i="118"/>
  <c r="O45" i="79" s="1"/>
  <c r="Y45" i="79" s="1"/>
  <c r="E49" i="118"/>
  <c r="O49" i="79" s="1"/>
  <c r="Y49" i="79" s="1"/>
  <c r="E51" i="118"/>
  <c r="O51" i="79" s="1"/>
  <c r="Y51" i="79" s="1"/>
  <c r="E53" i="118"/>
  <c r="O53" i="79" s="1"/>
  <c r="Y53" i="79" s="1"/>
  <c r="E57" i="118"/>
  <c r="O57" i="79" s="1"/>
  <c r="Y57" i="79" s="1"/>
  <c r="E59" i="118"/>
  <c r="O59" i="79" s="1"/>
  <c r="Y59" i="79" s="1"/>
  <c r="E61" i="118"/>
  <c r="O61" i="79" s="1"/>
  <c r="Y61" i="79" s="1"/>
  <c r="E63" i="118"/>
  <c r="O63" i="79" s="1"/>
  <c r="Y63" i="79" s="1"/>
  <c r="E65" i="118"/>
  <c r="O65" i="79" s="1"/>
  <c r="Y65" i="79" s="1"/>
  <c r="E67" i="118"/>
  <c r="O67" i="79" s="1"/>
  <c r="Y67" i="79" s="1"/>
  <c r="E69" i="118"/>
  <c r="O69" i="79" s="1"/>
  <c r="Y69" i="79" s="1"/>
  <c r="E75" i="118"/>
  <c r="O75" i="79" s="1"/>
  <c r="Y75" i="79" s="1"/>
  <c r="E77" i="118"/>
  <c r="O77" i="79" s="1"/>
  <c r="Y77" i="79" s="1"/>
  <c r="E79" i="118"/>
  <c r="O79" i="79" s="1"/>
  <c r="Y79" i="79" s="1"/>
  <c r="E83" i="118"/>
  <c r="O83" i="79" s="1"/>
  <c r="Y83" i="79" s="1"/>
  <c r="E87" i="118"/>
  <c r="O87" i="79" s="1"/>
  <c r="Y87" i="79" s="1"/>
  <c r="E89" i="118"/>
  <c r="O89" i="79" s="1"/>
  <c r="Y89" i="79" s="1"/>
  <c r="E91" i="118"/>
  <c r="O91" i="79" s="1"/>
  <c r="Y91" i="79" s="1"/>
  <c r="E93" i="118"/>
  <c r="O93" i="79" s="1"/>
  <c r="Y93" i="79" s="1"/>
  <c r="E95" i="118"/>
  <c r="O95" i="79" s="1"/>
  <c r="Y95" i="79" s="1"/>
  <c r="E97" i="118"/>
  <c r="O97" i="79" s="1"/>
  <c r="Y97" i="79" s="1"/>
  <c r="E99" i="118"/>
  <c r="O99" i="79" s="1"/>
  <c r="Y99" i="79" s="1"/>
  <c r="E101" i="118"/>
  <c r="O101" i="79" s="1"/>
  <c r="Y101" i="79" s="1"/>
  <c r="E103" i="118"/>
  <c r="O103" i="79" s="1"/>
  <c r="Y103" i="79" s="1"/>
  <c r="E105" i="118"/>
  <c r="O105" i="79" s="1"/>
  <c r="Y105" i="79" s="1"/>
  <c r="E107" i="118"/>
  <c r="O107" i="79" s="1"/>
  <c r="Y107" i="79" s="1"/>
  <c r="E109" i="118"/>
  <c r="O109" i="79" s="1"/>
  <c r="Y109" i="79" s="1"/>
  <c r="E111" i="118"/>
  <c r="O111" i="79" s="1"/>
  <c r="Y111" i="79" s="1"/>
  <c r="E115" i="118"/>
  <c r="O115" i="79" s="1"/>
  <c r="Y115" i="79" s="1"/>
  <c r="E119" i="118"/>
  <c r="O119" i="79" s="1"/>
  <c r="Y119" i="79" s="1"/>
  <c r="E123" i="118"/>
  <c r="O123" i="79" s="1"/>
  <c r="Y123" i="79" s="1"/>
  <c r="E125" i="118"/>
  <c r="D52" i="118"/>
  <c r="N52" i="79" s="1"/>
  <c r="X52" i="79" s="1"/>
  <c r="D62" i="118"/>
  <c r="N62" i="79" s="1"/>
  <c r="X62" i="79" s="1"/>
  <c r="D88" i="118"/>
  <c r="N88" i="79" s="1"/>
  <c r="X88" i="79" s="1"/>
  <c r="D94" i="118"/>
  <c r="E10" i="118"/>
  <c r="E12" i="118"/>
  <c r="E14" i="118"/>
  <c r="E16" i="118"/>
  <c r="E18" i="118"/>
  <c r="E20" i="118"/>
  <c r="E22" i="118"/>
  <c r="E24" i="118"/>
  <c r="E26" i="118"/>
  <c r="E30" i="118"/>
  <c r="E32" i="118"/>
  <c r="E34" i="118"/>
  <c r="E36" i="118"/>
  <c r="E38" i="118"/>
  <c r="E40" i="118"/>
  <c r="E42" i="118"/>
  <c r="E44" i="118"/>
  <c r="E48" i="118"/>
  <c r="E50" i="118"/>
  <c r="O50" i="79" s="1"/>
  <c r="Y50" i="79" s="1"/>
  <c r="E52" i="118"/>
  <c r="O52" i="79" s="1"/>
  <c r="Y52" i="79" s="1"/>
  <c r="E54" i="118"/>
  <c r="O54" i="79" s="1"/>
  <c r="Y54" i="79" s="1"/>
  <c r="E56" i="118"/>
  <c r="O56" i="79" s="1"/>
  <c r="Y56" i="79" s="1"/>
  <c r="E58" i="118"/>
  <c r="O58" i="79" s="1"/>
  <c r="Y58" i="79" s="1"/>
  <c r="E62" i="118"/>
  <c r="O62" i="79" s="1"/>
  <c r="Y62" i="79" s="1"/>
  <c r="E64" i="118"/>
  <c r="O64" i="79" s="1"/>
  <c r="Y64" i="79" s="1"/>
  <c r="E66" i="118"/>
  <c r="O66" i="79" s="1"/>
  <c r="Y66" i="79" s="1"/>
  <c r="E68" i="118"/>
  <c r="E70" i="118"/>
  <c r="O70" i="79" s="1"/>
  <c r="Y70" i="79" s="1"/>
  <c r="E72" i="118"/>
  <c r="E76" i="118"/>
  <c r="E78" i="118"/>
  <c r="H78" i="118" s="1"/>
  <c r="E80" i="118"/>
  <c r="E84" i="118"/>
  <c r="H84" i="118" s="1"/>
  <c r="E86" i="118"/>
  <c r="O86" i="79" s="1"/>
  <c r="Y86" i="79" s="1"/>
  <c r="E88" i="118"/>
  <c r="O88" i="79" s="1"/>
  <c r="Y88" i="79" s="1"/>
  <c r="E94" i="118"/>
  <c r="E96" i="118"/>
  <c r="O96" i="79" s="1"/>
  <c r="Y96" i="79" s="1"/>
  <c r="E104" i="118"/>
  <c r="H104" i="118" s="1"/>
  <c r="E106" i="118"/>
  <c r="O106" i="79" s="1"/>
  <c r="Y106" i="79" s="1"/>
  <c r="E108" i="118"/>
  <c r="E110" i="118"/>
  <c r="O110" i="79" s="1"/>
  <c r="Y110" i="79" s="1"/>
  <c r="E112" i="118"/>
  <c r="H112" i="118" s="1"/>
  <c r="E114" i="118"/>
  <c r="E116" i="118"/>
  <c r="O116" i="79" s="1"/>
  <c r="Y116" i="79" s="1"/>
  <c r="E118" i="118"/>
  <c r="E120" i="118"/>
  <c r="E124" i="118"/>
  <c r="O124" i="79" s="1"/>
  <c r="Y124" i="79" s="1"/>
  <c r="D20" i="118"/>
  <c r="D22" i="118"/>
  <c r="N22" i="79" s="1"/>
  <c r="X22" i="79" s="1"/>
  <c r="D24" i="118"/>
  <c r="N24" i="79" s="1"/>
  <c r="X24" i="79" s="1"/>
  <c r="D26" i="118"/>
  <c r="N26" i="79" s="1"/>
  <c r="X26" i="79" s="1"/>
  <c r="D32" i="118"/>
  <c r="N32" i="79" s="1"/>
  <c r="X32" i="79" s="1"/>
  <c r="D34" i="118"/>
  <c r="D44" i="118"/>
  <c r="N44" i="79" s="1"/>
  <c r="X44" i="79" s="1"/>
  <c r="D50" i="118"/>
  <c r="D64" i="118"/>
  <c r="N64" i="79" s="1"/>
  <c r="X64" i="79" s="1"/>
  <c r="D66" i="118"/>
  <c r="D70" i="118"/>
  <c r="D96" i="118"/>
  <c r="D116" i="118"/>
  <c r="N116" i="79" s="1"/>
  <c r="X116" i="79" s="1"/>
  <c r="D9" i="118"/>
  <c r="D11" i="118"/>
  <c r="N11" i="79" s="1"/>
  <c r="X11" i="79" s="1"/>
  <c r="D13" i="118"/>
  <c r="N13" i="79" s="1"/>
  <c r="X13" i="79" s="1"/>
  <c r="D15" i="118"/>
  <c r="N15" i="79" s="1"/>
  <c r="X15" i="79" s="1"/>
  <c r="D17" i="118"/>
  <c r="D19" i="118"/>
  <c r="N19" i="79" s="1"/>
  <c r="X19" i="79" s="1"/>
  <c r="D21" i="118"/>
  <c r="N21" i="79" s="1"/>
  <c r="X21" i="79" s="1"/>
  <c r="D23" i="118"/>
  <c r="N23" i="79" s="1"/>
  <c r="X23" i="79" s="1"/>
  <c r="D25" i="118"/>
  <c r="D27" i="118"/>
  <c r="N27" i="79" s="1"/>
  <c r="X27" i="79" s="1"/>
  <c r="D29" i="118"/>
  <c r="N29" i="79" s="1"/>
  <c r="X29" i="79" s="1"/>
  <c r="D31" i="118"/>
  <c r="N31" i="79" s="1"/>
  <c r="X31" i="79" s="1"/>
  <c r="D33" i="118"/>
  <c r="D37" i="118"/>
  <c r="N37" i="79" s="1"/>
  <c r="X37" i="79" s="1"/>
  <c r="D39" i="118"/>
  <c r="N39" i="79" s="1"/>
  <c r="X39" i="79" s="1"/>
  <c r="D41" i="118"/>
  <c r="D43" i="118"/>
  <c r="N43" i="79" s="1"/>
  <c r="X43" i="79" s="1"/>
  <c r="D45" i="118"/>
  <c r="N45" i="79" s="1"/>
  <c r="X45" i="79" s="1"/>
  <c r="D47" i="118"/>
  <c r="N47" i="79" s="1"/>
  <c r="X47" i="79" s="1"/>
  <c r="D49" i="118"/>
  <c r="D51" i="118"/>
  <c r="N51" i="79" s="1"/>
  <c r="X51" i="79" s="1"/>
  <c r="D53" i="118"/>
  <c r="N53" i="79" s="1"/>
  <c r="X53" i="79" s="1"/>
  <c r="D57" i="118"/>
  <c r="D59" i="118"/>
  <c r="N59" i="79" s="1"/>
  <c r="X59" i="79" s="1"/>
  <c r="D61" i="118"/>
  <c r="N61" i="79" s="1"/>
  <c r="X61" i="79" s="1"/>
  <c r="D63" i="118"/>
  <c r="N63" i="79" s="1"/>
  <c r="X63" i="79" s="1"/>
  <c r="D65" i="118"/>
  <c r="D67" i="118"/>
  <c r="N67" i="79" s="1"/>
  <c r="X67" i="79" s="1"/>
  <c r="D69" i="118"/>
  <c r="N69" i="79" s="1"/>
  <c r="X69" i="79" s="1"/>
  <c r="D73" i="118"/>
  <c r="D75" i="118"/>
  <c r="N75" i="79" s="1"/>
  <c r="X75" i="79" s="1"/>
  <c r="D77" i="118"/>
  <c r="N77" i="79" s="1"/>
  <c r="X77" i="79" s="1"/>
  <c r="D79" i="118"/>
  <c r="N79" i="79" s="1"/>
  <c r="X79" i="79" s="1"/>
  <c r="D81" i="118"/>
  <c r="D83" i="118"/>
  <c r="N83" i="79" s="1"/>
  <c r="X83" i="79" s="1"/>
  <c r="D85" i="118"/>
  <c r="N85" i="79" s="1"/>
  <c r="X85" i="79" s="1"/>
  <c r="D87" i="118"/>
  <c r="N87" i="79" s="1"/>
  <c r="X87" i="79" s="1"/>
  <c r="D89" i="118"/>
  <c r="D91" i="118"/>
  <c r="N91" i="79" s="1"/>
  <c r="X91" i="79" s="1"/>
  <c r="D93" i="118"/>
  <c r="N93" i="79" s="1"/>
  <c r="X93" i="79" s="1"/>
  <c r="D95" i="118"/>
  <c r="N95" i="79" s="1"/>
  <c r="X95" i="79" s="1"/>
  <c r="D97" i="118"/>
  <c r="D99" i="118"/>
  <c r="N99" i="79" s="1"/>
  <c r="X99" i="79" s="1"/>
  <c r="D101" i="118"/>
  <c r="N101" i="79" s="1"/>
  <c r="X101" i="79" s="1"/>
  <c r="D103" i="118"/>
  <c r="N103" i="79" s="1"/>
  <c r="X103" i="79" s="1"/>
  <c r="D105" i="118"/>
  <c r="D107" i="118"/>
  <c r="N107" i="79" s="1"/>
  <c r="X107" i="79" s="1"/>
  <c r="D109" i="118"/>
  <c r="N109" i="79" s="1"/>
  <c r="X109" i="79" s="1"/>
  <c r="D111" i="118"/>
  <c r="N111" i="79" s="1"/>
  <c r="X111" i="79" s="1"/>
  <c r="D113" i="118"/>
  <c r="D115" i="118"/>
  <c r="N115" i="79" s="1"/>
  <c r="X115" i="79" s="1"/>
  <c r="D119" i="118"/>
  <c r="N119" i="79" s="1"/>
  <c r="X119" i="79" s="1"/>
  <c r="D121" i="118"/>
  <c r="D123" i="118"/>
  <c r="N123" i="79" s="1"/>
  <c r="X123" i="79" s="1"/>
  <c r="D125" i="118"/>
  <c r="L15" i="108"/>
  <c r="P15" i="108"/>
  <c r="Q15" i="108"/>
  <c r="O15" i="108"/>
  <c r="S15" i="108"/>
  <c r="M15" i="108"/>
  <c r="N15" i="108"/>
  <c r="R15" i="108"/>
  <c r="D52" i="1"/>
  <c r="C51" i="1"/>
  <c r="D48" i="1"/>
  <c r="C47" i="1"/>
  <c r="D44" i="1"/>
  <c r="D53" i="1"/>
  <c r="D49" i="1"/>
  <c r="C53" i="1"/>
  <c r="C49" i="1"/>
  <c r="D46" i="1"/>
  <c r="D51" i="1"/>
  <c r="C50" i="1"/>
  <c r="D47" i="1"/>
  <c r="C46" i="1"/>
  <c r="C52" i="1"/>
  <c r="C48" i="1"/>
  <c r="D45" i="1"/>
  <c r="C44" i="1"/>
  <c r="D50" i="1"/>
  <c r="C45" i="1"/>
  <c r="I123" i="1"/>
  <c r="I121" i="1"/>
  <c r="I119" i="1"/>
  <c r="H123" i="1"/>
  <c r="H121" i="1"/>
  <c r="H119" i="1"/>
  <c r="I122" i="1"/>
  <c r="I120" i="1"/>
  <c r="I118" i="1"/>
  <c r="H122" i="1"/>
  <c r="H120" i="1"/>
  <c r="H118" i="1"/>
  <c r="G123" i="1"/>
  <c r="F123" i="1"/>
  <c r="D123" i="1"/>
  <c r="E123" i="1"/>
  <c r="K200" i="1"/>
  <c r="K144" i="1"/>
  <c r="G144" i="1"/>
  <c r="F144" i="1"/>
  <c r="M144" i="1"/>
  <c r="I144" i="1"/>
  <c r="E144" i="1"/>
  <c r="L144" i="1"/>
  <c r="H144" i="1"/>
  <c r="D144" i="1"/>
  <c r="G122" i="1"/>
  <c r="M145" i="1"/>
  <c r="I145" i="1"/>
  <c r="E145" i="1"/>
  <c r="F122" i="1"/>
  <c r="D145" i="1"/>
  <c r="K145" i="1"/>
  <c r="G145" i="1"/>
  <c r="D122" i="1"/>
  <c r="F145" i="1"/>
  <c r="L145" i="1"/>
  <c r="H145" i="1"/>
  <c r="E122" i="1"/>
  <c r="M146" i="1"/>
  <c r="I146" i="1"/>
  <c r="E146" i="1"/>
  <c r="K149" i="1"/>
  <c r="G149" i="1"/>
  <c r="M147" i="1"/>
  <c r="I147" i="1"/>
  <c r="L147" i="1"/>
  <c r="K146" i="1"/>
  <c r="M149" i="1"/>
  <c r="E149" i="1"/>
  <c r="L149" i="1"/>
  <c r="D149" i="1"/>
  <c r="L146" i="1"/>
  <c r="H146" i="1"/>
  <c r="D146" i="1"/>
  <c r="F149" i="1"/>
  <c r="H147" i="1"/>
  <c r="G146" i="1"/>
  <c r="I149" i="1"/>
  <c r="K147" i="1"/>
  <c r="F146" i="1"/>
  <c r="H149" i="1"/>
  <c r="F147" i="1"/>
  <c r="E147" i="1"/>
  <c r="D147" i="1"/>
  <c r="G147" i="1"/>
  <c r="AS40" i="97"/>
  <c r="BA40" i="97" s="1"/>
  <c r="AR75" i="97"/>
  <c r="AZ75" i="97" s="1"/>
  <c r="AS123" i="97"/>
  <c r="BA123" i="97" s="1"/>
  <c r="M5" i="1"/>
  <c r="N185" i="1"/>
  <c r="I11" i="1"/>
  <c r="K5" i="91"/>
  <c r="I13" i="1"/>
  <c r="E21" i="1"/>
  <c r="M181" i="1"/>
  <c r="F181" i="1"/>
  <c r="N174" i="1"/>
  <c r="L181" i="1"/>
  <c r="K181" i="1"/>
  <c r="H181" i="1"/>
  <c r="L174" i="1"/>
  <c r="H174" i="1"/>
  <c r="M174" i="1"/>
  <c r="I174" i="1"/>
  <c r="N181" i="1"/>
  <c r="G181" i="1"/>
  <c r="K174" i="1"/>
  <c r="I181" i="1"/>
  <c r="F161" i="1"/>
  <c r="E161" i="1"/>
  <c r="D161" i="1"/>
  <c r="E121" i="1"/>
  <c r="D121" i="1"/>
  <c r="G121" i="1"/>
  <c r="F121" i="1"/>
  <c r="D36" i="1"/>
  <c r="D32" i="1"/>
  <c r="D28" i="1"/>
  <c r="C35" i="1"/>
  <c r="C31" i="1"/>
  <c r="D35" i="1"/>
  <c r="D31" i="1"/>
  <c r="C34" i="1"/>
  <c r="C30" i="1"/>
  <c r="D34" i="1"/>
  <c r="D30" i="1"/>
  <c r="C33" i="1"/>
  <c r="C29" i="1"/>
  <c r="D33" i="1"/>
  <c r="D29" i="1"/>
  <c r="C36" i="1"/>
  <c r="C32" i="1"/>
  <c r="C28" i="1"/>
  <c r="N10" i="79"/>
  <c r="X10" i="79" s="1"/>
  <c r="N14" i="79"/>
  <c r="X14" i="79" s="1"/>
  <c r="N18" i="79"/>
  <c r="X18" i="79" s="1"/>
  <c r="N40" i="79"/>
  <c r="X40" i="79" s="1"/>
  <c r="N58" i="79"/>
  <c r="X58" i="79" s="1"/>
  <c r="N74" i="79"/>
  <c r="X74" i="79" s="1"/>
  <c r="H7" i="118"/>
  <c r="H35" i="118"/>
  <c r="H55" i="118"/>
  <c r="H71" i="118"/>
  <c r="H117" i="118"/>
  <c r="O43" i="79"/>
  <c r="Y43" i="79" s="1"/>
  <c r="H60" i="118"/>
  <c r="H92" i="118"/>
  <c r="D168" i="1"/>
  <c r="G168" i="1"/>
  <c r="S13" i="108"/>
  <c r="S9" i="108"/>
  <c r="S5" i="108"/>
  <c r="R13" i="108"/>
  <c r="R9" i="108"/>
  <c r="R5" i="108"/>
  <c r="Q11" i="108"/>
  <c r="Q7" i="108"/>
  <c r="P11" i="108"/>
  <c r="P7" i="108"/>
  <c r="O11" i="108"/>
  <c r="O7" i="108"/>
  <c r="N11" i="108"/>
  <c r="N7" i="108"/>
  <c r="M12" i="108"/>
  <c r="M8" i="108"/>
  <c r="M4" i="108"/>
  <c r="L12" i="108"/>
  <c r="L8" i="108"/>
  <c r="L4" i="108"/>
  <c r="S11" i="108"/>
  <c r="S7" i="108"/>
  <c r="R7" i="108"/>
  <c r="Q13" i="108"/>
  <c r="Q9" i="108"/>
  <c r="Q5" i="108"/>
  <c r="P13" i="108"/>
  <c r="P9" i="108"/>
  <c r="O13" i="108"/>
  <c r="O5" i="108"/>
  <c r="N13" i="108"/>
  <c r="M14" i="108"/>
  <c r="M6" i="108"/>
  <c r="L10" i="108"/>
  <c r="S14" i="108"/>
  <c r="S10" i="108"/>
  <c r="S6" i="108"/>
  <c r="R14" i="108"/>
  <c r="R10" i="108"/>
  <c r="R6" i="108"/>
  <c r="Q12" i="108"/>
  <c r="Q8" i="108"/>
  <c r="Q4" i="108"/>
  <c r="P12" i="108"/>
  <c r="P8" i="108"/>
  <c r="P4" i="108"/>
  <c r="O12" i="108"/>
  <c r="O8" i="108"/>
  <c r="O4" i="108"/>
  <c r="N12" i="108"/>
  <c r="N8" i="108"/>
  <c r="M13" i="108"/>
  <c r="M9" i="108"/>
  <c r="M5" i="108"/>
  <c r="L9" i="108"/>
  <c r="S12" i="108"/>
  <c r="S8" i="108"/>
  <c r="S4" i="108"/>
  <c r="R12" i="108"/>
  <c r="R8" i="108"/>
  <c r="R4" i="108"/>
  <c r="Q14" i="108"/>
  <c r="Q10" i="108"/>
  <c r="Q6" i="108"/>
  <c r="P14" i="108"/>
  <c r="P10" i="108"/>
  <c r="P6" i="108"/>
  <c r="O14" i="108"/>
  <c r="O10" i="108"/>
  <c r="O6" i="108"/>
  <c r="N14" i="108"/>
  <c r="N10" i="108"/>
  <c r="N6" i="108"/>
  <c r="M11" i="108"/>
  <c r="M7" i="108"/>
  <c r="L11" i="108"/>
  <c r="L7" i="108"/>
  <c r="R11" i="108"/>
  <c r="P5" i="108"/>
  <c r="O9" i="108"/>
  <c r="N9" i="108"/>
  <c r="N5" i="108"/>
  <c r="M10" i="108"/>
  <c r="L14" i="108"/>
  <c r="L6" i="108"/>
  <c r="N4" i="108"/>
  <c r="L13" i="108"/>
  <c r="L5" i="108"/>
  <c r="N175" i="1"/>
  <c r="L175" i="1"/>
  <c r="K175" i="1"/>
  <c r="M175" i="1"/>
  <c r="L176" i="1"/>
  <c r="I176" i="1"/>
  <c r="I175" i="1"/>
  <c r="BK9" i="109"/>
  <c r="BK10" i="109"/>
  <c r="BK11" i="109"/>
  <c r="BK12" i="109"/>
  <c r="BK13" i="109"/>
  <c r="BK14" i="109"/>
  <c r="BK15" i="109"/>
  <c r="BK16" i="109"/>
  <c r="BK17" i="109"/>
  <c r="BK18" i="109"/>
  <c r="BK20" i="109"/>
  <c r="BK21" i="109"/>
  <c r="BK22" i="109"/>
  <c r="BK23" i="109"/>
  <c r="BK24" i="109"/>
  <c r="BK25" i="109"/>
  <c r="BK26" i="109"/>
  <c r="BK27" i="109"/>
  <c r="BK30" i="109"/>
  <c r="BK31" i="109"/>
  <c r="BK32" i="109"/>
  <c r="BK33" i="109"/>
  <c r="BK34" i="109"/>
  <c r="BK36" i="109"/>
  <c r="BK37" i="109"/>
  <c r="BK38" i="109"/>
  <c r="BK39" i="109"/>
  <c r="BK40" i="109"/>
  <c r="BK41" i="109"/>
  <c r="BK42" i="109"/>
  <c r="BK44" i="109"/>
  <c r="BK45" i="109"/>
  <c r="BK48" i="109"/>
  <c r="BK49" i="109"/>
  <c r="BK50" i="109"/>
  <c r="BK51" i="109"/>
  <c r="BK52" i="109"/>
  <c r="BK53" i="109"/>
  <c r="BK54" i="109"/>
  <c r="BK56" i="109"/>
  <c r="BK57" i="109"/>
  <c r="BK58" i="109"/>
  <c r="BK59" i="109"/>
  <c r="BK61" i="109"/>
  <c r="BK62" i="109"/>
  <c r="BK63" i="109"/>
  <c r="BK64" i="109"/>
  <c r="BK65" i="109"/>
  <c r="BK66" i="109"/>
  <c r="BK67" i="109"/>
  <c r="BK68" i="109"/>
  <c r="BK69" i="109"/>
  <c r="BK70" i="109"/>
  <c r="BK72" i="109"/>
  <c r="BK75" i="109"/>
  <c r="BK76" i="109"/>
  <c r="BK77" i="109"/>
  <c r="BK78" i="109"/>
  <c r="BK79" i="109"/>
  <c r="BK80" i="109"/>
  <c r="BK83" i="109"/>
  <c r="BK84" i="109"/>
  <c r="BK86" i="109"/>
  <c r="BK87" i="109"/>
  <c r="BK88" i="109"/>
  <c r="BK89" i="109"/>
  <c r="BK91" i="109"/>
  <c r="BK93" i="109"/>
  <c r="BK94" i="109"/>
  <c r="BK95" i="109"/>
  <c r="BK96" i="109"/>
  <c r="BK97" i="109"/>
  <c r="BK99" i="109"/>
  <c r="BK101" i="109"/>
  <c r="BK103" i="109"/>
  <c r="BK104" i="109"/>
  <c r="BK105" i="109"/>
  <c r="BK106" i="109"/>
  <c r="BK107" i="109"/>
  <c r="BK108" i="109"/>
  <c r="BK109" i="109"/>
  <c r="BK110" i="109"/>
  <c r="BK111" i="109"/>
  <c r="BK112" i="109"/>
  <c r="BK114" i="109"/>
  <c r="BK115" i="109"/>
  <c r="BK116" i="109"/>
  <c r="BK118" i="109"/>
  <c r="BK119" i="109"/>
  <c r="BK120" i="109"/>
  <c r="BK123" i="109"/>
  <c r="BK124" i="109"/>
  <c r="BK125" i="109"/>
  <c r="N194" i="1"/>
  <c r="J195" i="1" s="1"/>
  <c r="G118" i="1"/>
  <c r="F119" i="1"/>
  <c r="E120" i="1"/>
  <c r="D117" i="1"/>
  <c r="G117" i="1"/>
  <c r="F118" i="1"/>
  <c r="E119" i="1"/>
  <c r="D120" i="1"/>
  <c r="F120" i="1"/>
  <c r="E117" i="1"/>
  <c r="G120" i="1"/>
  <c r="F117" i="1"/>
  <c r="E118" i="1"/>
  <c r="D119" i="1"/>
  <c r="G119" i="1"/>
  <c r="D118" i="1"/>
  <c r="H29" i="79"/>
  <c r="H42" i="79"/>
  <c r="H41" i="79"/>
  <c r="H67" i="79"/>
  <c r="H73" i="79"/>
  <c r="H95" i="79"/>
  <c r="H81" i="79"/>
  <c r="H106" i="79"/>
  <c r="H35" i="79"/>
  <c r="H109" i="79"/>
  <c r="H113" i="79"/>
  <c r="H121" i="79"/>
  <c r="H47" i="79"/>
  <c r="H87" i="79"/>
  <c r="H21" i="79"/>
  <c r="H25" i="79"/>
  <c r="H45" i="79"/>
  <c r="H61" i="79"/>
  <c r="H65" i="79"/>
  <c r="H69" i="79"/>
  <c r="H93" i="79"/>
  <c r="H97" i="79"/>
  <c r="H117" i="79"/>
  <c r="H22" i="79"/>
  <c r="H26" i="79"/>
  <c r="H46" i="79"/>
  <c r="H62" i="79"/>
  <c r="H66" i="79"/>
  <c r="H70" i="79"/>
  <c r="H94" i="79"/>
  <c r="H98" i="79"/>
  <c r="H114" i="79"/>
  <c r="H36" i="79"/>
  <c r="H40" i="79"/>
  <c r="H76" i="79"/>
  <c r="H80" i="79"/>
  <c r="H108" i="79"/>
  <c r="H112" i="79"/>
  <c r="H124" i="79"/>
  <c r="H118" i="79"/>
  <c r="H104" i="79"/>
  <c r="H56" i="79"/>
  <c r="H28" i="79"/>
  <c r="H82" i="79"/>
  <c r="H49" i="79"/>
  <c r="H89" i="79"/>
  <c r="H18" i="79"/>
  <c r="H34" i="79"/>
  <c r="H38" i="79"/>
  <c r="H54" i="79"/>
  <c r="H78" i="79"/>
  <c r="H86" i="79"/>
  <c r="H122" i="79"/>
  <c r="H11" i="79"/>
  <c r="H15" i="79"/>
  <c r="H19" i="79"/>
  <c r="H23" i="79"/>
  <c r="H27" i="79"/>
  <c r="H31" i="79"/>
  <c r="H39" i="79"/>
  <c r="H43" i="79"/>
  <c r="H51" i="79"/>
  <c r="H59" i="79"/>
  <c r="H63" i="79"/>
  <c r="H75" i="79"/>
  <c r="H79" i="79"/>
  <c r="H83" i="79"/>
  <c r="H91" i="79"/>
  <c r="H99" i="79"/>
  <c r="H103" i="79"/>
  <c r="H107" i="79"/>
  <c r="H111" i="79"/>
  <c r="H115" i="79"/>
  <c r="H119" i="79"/>
  <c r="H123" i="79"/>
  <c r="H53" i="79"/>
  <c r="H101" i="79"/>
  <c r="H14" i="79"/>
  <c r="H30" i="79"/>
  <c r="H50" i="79"/>
  <c r="H58" i="79"/>
  <c r="H74" i="79"/>
  <c r="H90" i="79"/>
  <c r="H110" i="79"/>
  <c r="H8" i="79"/>
  <c r="H20" i="79"/>
  <c r="H24" i="79"/>
  <c r="H32" i="79"/>
  <c r="H44" i="79"/>
  <c r="H48" i="79"/>
  <c r="H52" i="79"/>
  <c r="H60" i="79"/>
  <c r="H64" i="79"/>
  <c r="H68" i="79"/>
  <c r="H72" i="79"/>
  <c r="H84" i="79"/>
  <c r="H88" i="79"/>
  <c r="H92" i="79"/>
  <c r="H96" i="79"/>
  <c r="H116" i="79"/>
  <c r="H120" i="79"/>
  <c r="O82" i="79"/>
  <c r="Y82" i="79" s="1"/>
  <c r="L5" i="1"/>
  <c r="F5" i="1"/>
  <c r="E181" i="1"/>
  <c r="AT93" i="97"/>
  <c r="BB93" i="97" s="1"/>
  <c r="AR88" i="97"/>
  <c r="AZ88" i="97" s="1"/>
  <c r="AT100" i="97"/>
  <c r="BB100" i="97" s="1"/>
  <c r="AR55" i="97"/>
  <c r="AZ55" i="97" s="1"/>
  <c r="AS48" i="97"/>
  <c r="BA48" i="97" s="1"/>
  <c r="L4" i="96"/>
  <c r="AR77" i="97"/>
  <c r="AZ77" i="97" s="1"/>
  <c r="BC77" i="97" s="1"/>
  <c r="AS33" i="97"/>
  <c r="BA33" i="97" s="1"/>
  <c r="AS34" i="97"/>
  <c r="BA34" i="97" s="1"/>
  <c r="AR62" i="97"/>
  <c r="AZ62" i="97" s="1"/>
  <c r="AS115" i="97"/>
  <c r="BA115" i="97" s="1"/>
  <c r="AS70" i="97"/>
  <c r="BA70" i="97" s="1"/>
  <c r="AR87" i="97"/>
  <c r="AZ87" i="97" s="1"/>
  <c r="BC87" i="97" s="1"/>
  <c r="AR97" i="97"/>
  <c r="AZ97" i="97" s="1"/>
  <c r="T18" i="85"/>
  <c r="AR90" i="97"/>
  <c r="AZ90" i="97" s="1"/>
  <c r="AT121" i="97"/>
  <c r="BB121" i="97" s="1"/>
  <c r="AS88" i="97"/>
  <c r="BA88" i="97" s="1"/>
  <c r="AR89" i="97"/>
  <c r="AZ89" i="97" s="1"/>
  <c r="AS22" i="97"/>
  <c r="BA22" i="97" s="1"/>
  <c r="AT108" i="97"/>
  <c r="BB108" i="97" s="1"/>
  <c r="AT19" i="97"/>
  <c r="BB19" i="97" s="1"/>
  <c r="AT27" i="97"/>
  <c r="BB27" i="97" s="1"/>
  <c r="AT113" i="97"/>
  <c r="BB113" i="97" s="1"/>
  <c r="AR86" i="97"/>
  <c r="AZ86" i="97" s="1"/>
  <c r="AT94" i="97"/>
  <c r="BB94" i="97" s="1"/>
  <c r="AR95" i="97"/>
  <c r="AZ95" i="97" s="1"/>
  <c r="AR68" i="97"/>
  <c r="AZ68" i="97" s="1"/>
  <c r="AS122" i="97"/>
  <c r="BA122" i="97" s="1"/>
  <c r="AS47" i="97"/>
  <c r="BA47" i="97" s="1"/>
  <c r="AS15" i="97"/>
  <c r="BA15" i="97" s="1"/>
  <c r="AT32" i="97"/>
  <c r="BB32" i="97" s="1"/>
  <c r="AT40" i="97"/>
  <c r="BB40" i="97" s="1"/>
  <c r="AS67" i="97"/>
  <c r="BA67" i="97" s="1"/>
  <c r="AR119" i="97"/>
  <c r="AZ119" i="97" s="1"/>
  <c r="AR122" i="97"/>
  <c r="AZ122" i="97" s="1"/>
  <c r="AR85" i="97"/>
  <c r="AZ85" i="97" s="1"/>
  <c r="AS91" i="97"/>
  <c r="BA91" i="97" s="1"/>
  <c r="R131" i="72"/>
  <c r="S130" i="72"/>
  <c r="AT99" i="97"/>
  <c r="BB99" i="97" s="1"/>
  <c r="AS93" i="97"/>
  <c r="BA93" i="97" s="1"/>
  <c r="AT126" i="97"/>
  <c r="BB126" i="97" s="1"/>
  <c r="AT48" i="97"/>
  <c r="BB48" i="97" s="1"/>
  <c r="AS38" i="97"/>
  <c r="BA38" i="97" s="1"/>
  <c r="AS8" i="97"/>
  <c r="BA8" i="97" s="1"/>
  <c r="AT102" i="97"/>
  <c r="BB102" i="97" s="1"/>
  <c r="AR11" i="97"/>
  <c r="AZ11" i="97" s="1"/>
  <c r="AR103" i="97"/>
  <c r="AZ103" i="97" s="1"/>
  <c r="AR105" i="97"/>
  <c r="AZ105" i="97" s="1"/>
  <c r="AT31" i="97"/>
  <c r="BB31" i="97" s="1"/>
  <c r="AR36" i="97"/>
  <c r="AZ36" i="97" s="1"/>
  <c r="AT38" i="97"/>
  <c r="BB38" i="97" s="1"/>
  <c r="AR39" i="97"/>
  <c r="AZ39" i="97" s="1"/>
  <c r="AT44" i="97"/>
  <c r="BB44" i="97" s="1"/>
  <c r="AT46" i="97"/>
  <c r="BB46" i="97" s="1"/>
  <c r="AR48" i="97"/>
  <c r="AZ48" i="97" s="1"/>
  <c r="AS111" i="97"/>
  <c r="BA111" i="97" s="1"/>
  <c r="AT60" i="97"/>
  <c r="BB60" i="97" s="1"/>
  <c r="AT114" i="97"/>
  <c r="BB114" i="97" s="1"/>
  <c r="AT80" i="97"/>
  <c r="BB80" i="97" s="1"/>
  <c r="AT84" i="97"/>
  <c r="BB84" i="97" s="1"/>
  <c r="AT86" i="97"/>
  <c r="BB86" i="97" s="1"/>
  <c r="AR123" i="97"/>
  <c r="AZ123" i="97" s="1"/>
  <c r="AT124" i="97"/>
  <c r="BB124" i="97" s="1"/>
  <c r="AT96" i="97"/>
  <c r="BB96" i="97" s="1"/>
  <c r="O60" i="79"/>
  <c r="Y60" i="79" s="1"/>
  <c r="O100" i="79"/>
  <c r="Y100" i="79" s="1"/>
  <c r="O7" i="79"/>
  <c r="Y7" i="79" s="1"/>
  <c r="O35" i="79"/>
  <c r="Y35" i="79" s="1"/>
  <c r="O55" i="79"/>
  <c r="Y55" i="79" s="1"/>
  <c r="O71" i="79"/>
  <c r="Y71" i="79" s="1"/>
  <c r="O117" i="79"/>
  <c r="Y117" i="79" s="1"/>
  <c r="O92" i="79"/>
  <c r="Y92" i="79" s="1"/>
  <c r="E18" i="123"/>
  <c r="F160" i="1"/>
  <c r="D160" i="1"/>
  <c r="E160" i="1"/>
  <c r="R130" i="72"/>
  <c r="AR71" i="97"/>
  <c r="AZ71" i="97" s="1"/>
  <c r="AS75" i="97"/>
  <c r="BA75" i="97" s="1"/>
  <c r="F60" i="1"/>
  <c r="BK5" i="109"/>
  <c r="D18" i="108" s="1"/>
  <c r="E20" i="123"/>
  <c r="G160" i="1"/>
  <c r="H13" i="79"/>
  <c r="H17" i="79"/>
  <c r="H10" i="79"/>
  <c r="H6" i="79"/>
  <c r="AS31" i="97"/>
  <c r="BA31" i="97" s="1"/>
  <c r="T60" i="85"/>
  <c r="P63" i="85"/>
  <c r="T111" i="85"/>
  <c r="Q132" i="72"/>
  <c r="P4" i="95"/>
  <c r="T4" i="95"/>
  <c r="AS59" i="97"/>
  <c r="BA59" i="97" s="1"/>
  <c r="AS87" i="97"/>
  <c r="BA87" i="97" s="1"/>
  <c r="AS112" i="97"/>
  <c r="BA112" i="97" s="1"/>
  <c r="AT56" i="97"/>
  <c r="BB56" i="97" s="1"/>
  <c r="AS80" i="97"/>
  <c r="BA80" i="97" s="1"/>
  <c r="AS72" i="97"/>
  <c r="BA72" i="97" s="1"/>
  <c r="AR67" i="97"/>
  <c r="AZ67" i="97" s="1"/>
  <c r="AS95" i="97"/>
  <c r="BA95" i="97" s="1"/>
  <c r="AS98" i="97"/>
  <c r="BA98" i="97" s="1"/>
  <c r="AT6" i="97"/>
  <c r="BB6" i="97" s="1"/>
  <c r="AS7" i="97"/>
  <c r="BA7" i="97" s="1"/>
  <c r="AT9" i="97"/>
  <c r="BB9" i="97" s="1"/>
  <c r="AT13" i="97"/>
  <c r="BB13" i="97" s="1"/>
  <c r="AR21" i="97"/>
  <c r="AZ21" i="97" s="1"/>
  <c r="AT22" i="97"/>
  <c r="BB22" i="97" s="1"/>
  <c r="AR24" i="97"/>
  <c r="AZ24" i="97" s="1"/>
  <c r="AR25" i="97"/>
  <c r="AZ25" i="97" s="1"/>
  <c r="AR106" i="97"/>
  <c r="AZ106" i="97" s="1"/>
  <c r="AR34" i="97"/>
  <c r="AZ34" i="97" s="1"/>
  <c r="AT36" i="97"/>
  <c r="BB36" i="97" s="1"/>
  <c r="AT37" i="97"/>
  <c r="BB37" i="97" s="1"/>
  <c r="AT107" i="97"/>
  <c r="BB107" i="97" s="1"/>
  <c r="AT49" i="97"/>
  <c r="BB49" i="97" s="1"/>
  <c r="AT53" i="97"/>
  <c r="BB53" i="97" s="1"/>
  <c r="AR59" i="97"/>
  <c r="AZ59" i="97" s="1"/>
  <c r="AR63" i="97"/>
  <c r="AZ63" i="97" s="1"/>
  <c r="AT63" i="97"/>
  <c r="BB63" i="97" s="1"/>
  <c r="AT116" i="97"/>
  <c r="BB116" i="97" s="1"/>
  <c r="AR120" i="97"/>
  <c r="AZ120" i="97" s="1"/>
  <c r="AT92" i="97"/>
  <c r="BB92" i="97" s="1"/>
  <c r="G219" i="1"/>
  <c r="F218" i="1"/>
  <c r="F219" i="1"/>
  <c r="E218" i="1"/>
  <c r="E219" i="1"/>
  <c r="G218" i="1"/>
  <c r="P130" i="72"/>
  <c r="AT125" i="97"/>
  <c r="BB125" i="97" s="1"/>
  <c r="AR76" i="97"/>
  <c r="AZ76" i="97" s="1"/>
  <c r="AR73" i="97"/>
  <c r="AZ73" i="97" s="1"/>
  <c r="AT117" i="97"/>
  <c r="BB117" i="97" s="1"/>
  <c r="AS82" i="97"/>
  <c r="BA82" i="97" s="1"/>
  <c r="AT77" i="97"/>
  <c r="BB77" i="97" s="1"/>
  <c r="AS66" i="97"/>
  <c r="BA66" i="97" s="1"/>
  <c r="AS103" i="97"/>
  <c r="BA103" i="97" s="1"/>
  <c r="AS99" i="97"/>
  <c r="BA99" i="97" s="1"/>
  <c r="AR6" i="97"/>
  <c r="AZ6" i="97" s="1"/>
  <c r="AR9" i="97"/>
  <c r="AZ9" i="97" s="1"/>
  <c r="AT12" i="97"/>
  <c r="BB12" i="97" s="1"/>
  <c r="AR38" i="97"/>
  <c r="AZ38" i="97" s="1"/>
  <c r="AR45" i="97"/>
  <c r="AZ45" i="97" s="1"/>
  <c r="AR58" i="97"/>
  <c r="AZ58" i="97" s="1"/>
  <c r="AR114" i="97"/>
  <c r="AZ114" i="97" s="1"/>
  <c r="AR65" i="97"/>
  <c r="AZ65" i="97" s="1"/>
  <c r="AT69" i="97"/>
  <c r="BB69" i="97" s="1"/>
  <c r="BC69" i="97" s="1"/>
  <c r="AS71" i="97"/>
  <c r="BA71" i="97" s="1"/>
  <c r="AT78" i="97"/>
  <c r="BB78" i="97" s="1"/>
  <c r="AS92" i="97"/>
  <c r="BA92" i="97" s="1"/>
  <c r="AR93" i="97"/>
  <c r="AZ93" i="97" s="1"/>
  <c r="AS97" i="97"/>
  <c r="BA97" i="97" s="1"/>
  <c r="AS101" i="97"/>
  <c r="BA101" i="97" s="1"/>
  <c r="T28" i="85"/>
  <c r="T68" i="85"/>
  <c r="T72" i="85"/>
  <c r="T76" i="85"/>
  <c r="T88" i="85"/>
  <c r="AR100" i="97"/>
  <c r="AZ100" i="97" s="1"/>
  <c r="AT67" i="97"/>
  <c r="BB67" i="97" s="1"/>
  <c r="BC67" i="97" s="1"/>
  <c r="AS41" i="97"/>
  <c r="BA41" i="97" s="1"/>
  <c r="AT88" i="97"/>
  <c r="BB88" i="97" s="1"/>
  <c r="BC88" i="97" s="1"/>
  <c r="AS79" i="97"/>
  <c r="BA79" i="97" s="1"/>
  <c r="AS120" i="97"/>
  <c r="BA120" i="97" s="1"/>
  <c r="AR126" i="97"/>
  <c r="AZ126" i="97" s="1"/>
  <c r="AT101" i="97"/>
  <c r="BB101" i="97" s="1"/>
  <c r="P131" i="75"/>
  <c r="AR99" i="97"/>
  <c r="AZ99" i="97" s="1"/>
  <c r="AT73" i="97"/>
  <c r="BB73" i="97" s="1"/>
  <c r="AT39" i="97"/>
  <c r="BB39" i="97" s="1"/>
  <c r="O6" i="85"/>
  <c r="P30" i="85"/>
  <c r="T61" i="85"/>
  <c r="T73" i="85"/>
  <c r="T85" i="85"/>
  <c r="X93" i="85"/>
  <c r="P94" i="85"/>
  <c r="X97" i="85"/>
  <c r="T98" i="85"/>
  <c r="X101" i="85"/>
  <c r="T102" i="85"/>
  <c r="P106" i="85"/>
  <c r="X109" i="85"/>
  <c r="P110" i="85"/>
  <c r="X113" i="85"/>
  <c r="T117" i="85"/>
  <c r="P118" i="85"/>
  <c r="P122" i="85"/>
  <c r="T125" i="85"/>
  <c r="T126" i="85"/>
  <c r="Q129" i="75"/>
  <c r="Q130" i="75"/>
  <c r="Q131" i="75"/>
  <c r="N7" i="79"/>
  <c r="X7" i="79" s="1"/>
  <c r="N35" i="79"/>
  <c r="X35" i="79" s="1"/>
  <c r="S4" i="95"/>
  <c r="AR112" i="97"/>
  <c r="AZ112" i="97" s="1"/>
  <c r="AT122" i="97"/>
  <c r="BB122" i="97" s="1"/>
  <c r="AT76" i="97"/>
  <c r="BB76" i="97" s="1"/>
  <c r="AS116" i="97"/>
  <c r="BA116" i="97" s="1"/>
  <c r="AS52" i="97"/>
  <c r="BA52" i="97" s="1"/>
  <c r="AS119" i="97"/>
  <c r="BA119" i="97" s="1"/>
  <c r="AS28" i="97"/>
  <c r="BA28" i="97" s="1"/>
  <c r="AS54" i="97"/>
  <c r="BA54" i="97" s="1"/>
  <c r="AT42" i="97"/>
  <c r="BB42" i="97" s="1"/>
  <c r="AR32" i="97"/>
  <c r="AZ32" i="97" s="1"/>
  <c r="AT26" i="97"/>
  <c r="BB26" i="97" s="1"/>
  <c r="AR50" i="97"/>
  <c r="AZ50" i="97" s="1"/>
  <c r="AT112" i="97"/>
  <c r="BB112" i="97" s="1"/>
  <c r="AR72" i="97"/>
  <c r="AZ72" i="97" s="1"/>
  <c r="BC72" i="97" s="1"/>
  <c r="AT120" i="97"/>
  <c r="BB120" i="97" s="1"/>
  <c r="AT82" i="97"/>
  <c r="BB82" i="97" s="1"/>
  <c r="AT97" i="97"/>
  <c r="BB97" i="97" s="1"/>
  <c r="AT98" i="97"/>
  <c r="BB98" i="97" s="1"/>
  <c r="T106" i="85"/>
  <c r="U6" i="85"/>
  <c r="E222" i="1" s="1"/>
  <c r="P21" i="85"/>
  <c r="T49" i="85"/>
  <c r="T53" i="85"/>
  <c r="P65" i="85"/>
  <c r="P69" i="85"/>
  <c r="T77" i="85"/>
  <c r="P81" i="85"/>
  <c r="P85" i="85"/>
  <c r="P89" i="85"/>
  <c r="P132" i="72"/>
  <c r="AR83" i="97"/>
  <c r="AZ83" i="97" s="1"/>
  <c r="AR57" i="97"/>
  <c r="AZ57" i="97" s="1"/>
  <c r="AR56" i="97"/>
  <c r="AZ56" i="97" s="1"/>
  <c r="AT34" i="97"/>
  <c r="BB34" i="97" s="1"/>
  <c r="AR53" i="97"/>
  <c r="AZ53" i="97" s="1"/>
  <c r="AR12" i="97"/>
  <c r="AZ12" i="97" s="1"/>
  <c r="AS14" i="97"/>
  <c r="BA14" i="97" s="1"/>
  <c r="AR16" i="97"/>
  <c r="AZ16" i="97" s="1"/>
  <c r="AR26" i="97"/>
  <c r="AZ26" i="97" s="1"/>
  <c r="AT43" i="97"/>
  <c r="BB43" i="97" s="1"/>
  <c r="AR52" i="97"/>
  <c r="AZ52" i="97" s="1"/>
  <c r="AS58" i="97"/>
  <c r="BA58" i="97" s="1"/>
  <c r="AS60" i="97"/>
  <c r="BA60" i="97" s="1"/>
  <c r="AR115" i="97"/>
  <c r="AZ115" i="97" s="1"/>
  <c r="AS77" i="97"/>
  <c r="BA77" i="97" s="1"/>
  <c r="AS81" i="97"/>
  <c r="BA81" i="97" s="1"/>
  <c r="AR98" i="97"/>
  <c r="AZ98" i="97" s="1"/>
  <c r="N6" i="79"/>
  <c r="X6" i="79" s="1"/>
  <c r="T92" i="85"/>
  <c r="T95" i="85"/>
  <c r="T103" i="85"/>
  <c r="T107" i="85"/>
  <c r="T115" i="85"/>
  <c r="T119" i="85"/>
  <c r="I132" i="75"/>
  <c r="N55" i="79"/>
  <c r="X55" i="79" s="1"/>
  <c r="N71" i="79"/>
  <c r="X71" i="79" s="1"/>
  <c r="N117" i="79"/>
  <c r="X117" i="79" s="1"/>
  <c r="AR124" i="97"/>
  <c r="AZ124" i="97" s="1"/>
  <c r="AT61" i="97"/>
  <c r="BB61" i="97" s="1"/>
  <c r="AS125" i="97"/>
  <c r="BA125" i="97" s="1"/>
  <c r="AS83" i="97"/>
  <c r="BA83" i="97" s="1"/>
  <c r="AS76" i="97"/>
  <c r="BA76" i="97" s="1"/>
  <c r="AS73" i="97"/>
  <c r="BA73" i="97" s="1"/>
  <c r="AS65" i="97"/>
  <c r="BA65" i="97" s="1"/>
  <c r="AT55" i="97"/>
  <c r="BB55" i="97" s="1"/>
  <c r="AT30" i="97"/>
  <c r="BB30" i="97" s="1"/>
  <c r="P51" i="85"/>
  <c r="T58" i="85"/>
  <c r="X74" i="85"/>
  <c r="T78" i="85"/>
  <c r="T82" i="85"/>
  <c r="T86" i="85"/>
  <c r="T90" i="85"/>
  <c r="I129" i="75"/>
  <c r="J130" i="75"/>
  <c r="Q133" i="75"/>
  <c r="P131" i="72"/>
  <c r="Q129" i="72"/>
  <c r="AT87" i="97"/>
  <c r="BB87" i="97" s="1"/>
  <c r="AR113" i="97"/>
  <c r="AZ113" i="97" s="1"/>
  <c r="AS107" i="97"/>
  <c r="BA107" i="97" s="1"/>
  <c r="R5" i="6"/>
  <c r="H175" i="1"/>
  <c r="E175" i="1"/>
  <c r="F175" i="1"/>
  <c r="G175" i="1"/>
  <c r="M176" i="1"/>
  <c r="K176" i="1"/>
  <c r="N176" i="1"/>
  <c r="E174" i="1"/>
  <c r="F174" i="1"/>
  <c r="G174" i="1"/>
  <c r="G5" i="91"/>
  <c r="H5" i="91" s="1"/>
  <c r="H4" i="56"/>
  <c r="L5" i="79" s="1"/>
  <c r="E4" i="56"/>
  <c r="J5" i="79" s="1"/>
  <c r="D4" i="62"/>
  <c r="S5" i="79" s="1"/>
  <c r="I4" i="101"/>
  <c r="J4" i="101"/>
  <c r="H4" i="101"/>
  <c r="E4" i="57"/>
  <c r="U4" i="39"/>
  <c r="M7" i="39"/>
  <c r="U13" i="39"/>
  <c r="E15" i="39"/>
  <c r="M15" i="39"/>
  <c r="E18" i="39"/>
  <c r="E19" i="39"/>
  <c r="M19" i="39"/>
  <c r="U21" i="39"/>
  <c r="U24" i="39"/>
  <c r="U26" i="39"/>
  <c r="E29" i="39"/>
  <c r="U31" i="39"/>
  <c r="U33" i="39"/>
  <c r="E34" i="39"/>
  <c r="M34" i="39"/>
  <c r="E35" i="39"/>
  <c r="U36" i="39"/>
  <c r="E38" i="39"/>
  <c r="U38" i="39"/>
  <c r="U40" i="39"/>
  <c r="M41" i="39"/>
  <c r="U41" i="39"/>
  <c r="E42" i="39"/>
  <c r="U42" i="39"/>
  <c r="U47" i="39"/>
  <c r="E48" i="39"/>
  <c r="M48" i="39"/>
  <c r="E50" i="39"/>
  <c r="U50" i="39"/>
  <c r="E51" i="39"/>
  <c r="E52" i="39"/>
  <c r="U52" i="39"/>
  <c r="E55" i="39"/>
  <c r="M55" i="39"/>
  <c r="U55" i="39"/>
  <c r="M57" i="39"/>
  <c r="U57" i="39"/>
  <c r="E58" i="39"/>
  <c r="U58" i="39"/>
  <c r="M59" i="39"/>
  <c r="U59" i="39"/>
  <c r="E60" i="39"/>
  <c r="J129" i="75"/>
  <c r="P130" i="75"/>
  <c r="J131" i="75"/>
  <c r="J132" i="75"/>
  <c r="Q133" i="72"/>
  <c r="R133" i="72"/>
  <c r="M61" i="39"/>
  <c r="E62" i="39"/>
  <c r="U62" i="39"/>
  <c r="E64" i="39"/>
  <c r="M64" i="39"/>
  <c r="U64" i="39"/>
  <c r="U66" i="39"/>
  <c r="E67" i="39"/>
  <c r="U67" i="39"/>
  <c r="M69" i="39"/>
  <c r="E70" i="39"/>
  <c r="E71" i="39"/>
  <c r="U72" i="39"/>
  <c r="E73" i="39"/>
  <c r="M73" i="39"/>
  <c r="U73" i="39"/>
  <c r="E75" i="39"/>
  <c r="U75" i="39"/>
  <c r="E77" i="39"/>
  <c r="M77" i="39"/>
  <c r="U78" i="39"/>
  <c r="M79" i="39"/>
  <c r="U80" i="39"/>
  <c r="E81" i="39"/>
  <c r="E82" i="39"/>
  <c r="M82" i="39"/>
  <c r="U82" i="39"/>
  <c r="E85" i="39"/>
  <c r="M86" i="39"/>
  <c r="U86" i="39"/>
  <c r="E89" i="39"/>
  <c r="U90" i="39"/>
  <c r="E91" i="39"/>
  <c r="U92" i="39"/>
  <c r="E94" i="39"/>
  <c r="M99" i="39"/>
  <c r="M100" i="39"/>
  <c r="U100" i="39"/>
  <c r="U101" i="39"/>
  <c r="E104" i="39"/>
  <c r="U104" i="39"/>
  <c r="E105" i="39"/>
  <c r="M105" i="39"/>
  <c r="E108" i="39"/>
  <c r="U108" i="39"/>
  <c r="U109" i="39"/>
  <c r="P129" i="75"/>
  <c r="S129" i="72"/>
  <c r="D4" i="53"/>
  <c r="D5" i="123" s="1"/>
  <c r="B27" i="108" s="1"/>
  <c r="P46" i="85"/>
  <c r="P74" i="85"/>
  <c r="P82" i="85"/>
  <c r="P95" i="85"/>
  <c r="P115" i="85"/>
  <c r="S133" i="72"/>
  <c r="AS11" i="97"/>
  <c r="BA11" i="97" s="1"/>
  <c r="AT16" i="97"/>
  <c r="BB16" i="97" s="1"/>
  <c r="AT17" i="97"/>
  <c r="BB17" i="97" s="1"/>
  <c r="AS18" i="97"/>
  <c r="BA18" i="97" s="1"/>
  <c r="AR22" i="97"/>
  <c r="AZ22" i="97" s="1"/>
  <c r="AR104" i="97"/>
  <c r="AZ104" i="97" s="1"/>
  <c r="AS39" i="97"/>
  <c r="BA39" i="97" s="1"/>
  <c r="AT72" i="97"/>
  <c r="BB72" i="97" s="1"/>
  <c r="AT119" i="97"/>
  <c r="BB119" i="97" s="1"/>
  <c r="AS89" i="97"/>
  <c r="BA89" i="97" s="1"/>
  <c r="E4" i="55"/>
  <c r="D4" i="55"/>
  <c r="S5" i="6"/>
  <c r="AR20" i="97"/>
  <c r="AZ20" i="97" s="1"/>
  <c r="AS42" i="97"/>
  <c r="BA42" i="97" s="1"/>
  <c r="AS53" i="97"/>
  <c r="BA53" i="97" s="1"/>
  <c r="AT62" i="97"/>
  <c r="BB62" i="97" s="1"/>
  <c r="AT89" i="97"/>
  <c r="BB89" i="97" s="1"/>
  <c r="AS94" i="97"/>
  <c r="BA94" i="97" s="1"/>
  <c r="BC94" i="97" s="1"/>
  <c r="Q4" i="95"/>
  <c r="AS26" i="97"/>
  <c r="BA26" i="97" s="1"/>
  <c r="AS24" i="97"/>
  <c r="BA24" i="97" s="1"/>
  <c r="AS106" i="97"/>
  <c r="BA106" i="97" s="1"/>
  <c r="AR44" i="97"/>
  <c r="AZ44" i="97" s="1"/>
  <c r="Q4" i="92"/>
  <c r="I16" i="1"/>
  <c r="I19" i="1"/>
  <c r="G158" i="1"/>
  <c r="G159" i="1"/>
  <c r="M57" i="1"/>
  <c r="I4" i="41"/>
  <c r="I52" i="41"/>
  <c r="E58" i="41"/>
  <c r="M62" i="41"/>
  <c r="Y63" i="41"/>
  <c r="Y87" i="41"/>
  <c r="I88" i="41"/>
  <c r="U93" i="41"/>
  <c r="E94" i="41"/>
  <c r="M94" i="41"/>
  <c r="I100" i="41"/>
  <c r="E102" i="41"/>
  <c r="U105" i="41"/>
  <c r="E110" i="41"/>
  <c r="M110" i="41"/>
  <c r="Y111" i="41"/>
  <c r="U117" i="41"/>
  <c r="M118" i="41"/>
  <c r="I120" i="41"/>
  <c r="U121" i="41"/>
  <c r="U17" i="41"/>
  <c r="M18" i="41"/>
  <c r="Y19" i="41"/>
  <c r="E62" i="41"/>
  <c r="I80" i="41"/>
  <c r="U85" i="41"/>
  <c r="M98" i="41"/>
  <c r="E106" i="41"/>
  <c r="M114" i="41"/>
  <c r="E113" i="39"/>
  <c r="M114" i="39"/>
  <c r="U114" i="39"/>
  <c r="M115" i="39"/>
  <c r="U116" i="39"/>
  <c r="M118" i="39"/>
  <c r="U121" i="39"/>
  <c r="M122" i="39"/>
  <c r="U122" i="39"/>
  <c r="E123" i="39"/>
  <c r="U123" i="39"/>
  <c r="Q6" i="40"/>
  <c r="Y6" i="40"/>
  <c r="U12" i="40"/>
  <c r="E13" i="40"/>
  <c r="I15" i="40"/>
  <c r="Q15" i="40"/>
  <c r="Y15" i="40"/>
  <c r="I16" i="40"/>
  <c r="Q16" i="40"/>
  <c r="Y16" i="40"/>
  <c r="M18" i="40"/>
  <c r="I22" i="40"/>
  <c r="Q22" i="40"/>
  <c r="Y22" i="40"/>
  <c r="I23" i="40"/>
  <c r="Q23" i="40"/>
  <c r="Y23" i="40"/>
  <c r="U29" i="40"/>
  <c r="E30" i="40"/>
  <c r="I31" i="40"/>
  <c r="Q31" i="40"/>
  <c r="Y31" i="40"/>
  <c r="I32" i="40"/>
  <c r="Q32" i="40"/>
  <c r="Y32" i="40"/>
  <c r="I33" i="40"/>
  <c r="Q33" i="40"/>
  <c r="Y33" i="40"/>
  <c r="M35" i="40"/>
  <c r="Q39" i="40"/>
  <c r="Y39" i="40"/>
  <c r="I40" i="40"/>
  <c r="Q40" i="40"/>
  <c r="Y40" i="40"/>
  <c r="I41" i="40"/>
  <c r="Q41" i="40"/>
  <c r="Y41" i="40"/>
  <c r="I42" i="40"/>
  <c r="Q42" i="40"/>
  <c r="Y42" i="40"/>
  <c r="M45" i="40"/>
  <c r="I47" i="40"/>
  <c r="Q47" i="40"/>
  <c r="Y47" i="40"/>
  <c r="I48" i="40"/>
  <c r="Q48" i="40"/>
  <c r="Y48" i="40"/>
  <c r="U50" i="40"/>
  <c r="E51" i="40"/>
  <c r="U52" i="40"/>
  <c r="Q57" i="40"/>
  <c r="Y57" i="40"/>
  <c r="I68" i="40"/>
  <c r="Q68" i="40"/>
  <c r="I5" i="41"/>
  <c r="E7" i="41"/>
  <c r="I9" i="41"/>
  <c r="U10" i="41"/>
  <c r="M11" i="41"/>
  <c r="Y12" i="41"/>
  <c r="I13" i="41"/>
  <c r="U14" i="41"/>
  <c r="M15" i="41"/>
  <c r="Y16" i="41"/>
  <c r="I17" i="41"/>
  <c r="M19" i="41"/>
  <c r="Y20" i="41"/>
  <c r="M23" i="41"/>
  <c r="Y24" i="41"/>
  <c r="I29" i="41"/>
  <c r="M35" i="41"/>
  <c r="Y40" i="41"/>
  <c r="I41" i="41"/>
  <c r="I69" i="41"/>
  <c r="P40" i="85"/>
  <c r="P56" i="85"/>
  <c r="P80" i="85"/>
  <c r="P84" i="85"/>
  <c r="P105" i="85"/>
  <c r="T118" i="85"/>
  <c r="P11" i="85"/>
  <c r="P19" i="85"/>
  <c r="T23" i="85"/>
  <c r="P31" i="85"/>
  <c r="P33" i="85"/>
  <c r="P35" i="85"/>
  <c r="T39" i="85"/>
  <c r="P43" i="85"/>
  <c r="P47" i="85"/>
  <c r="P59" i="85"/>
  <c r="P79" i="85"/>
  <c r="P92" i="85"/>
  <c r="T96" i="85"/>
  <c r="P112" i="85"/>
  <c r="P124" i="85"/>
  <c r="T21" i="85"/>
  <c r="P25" i="85"/>
  <c r="T29" i="85"/>
  <c r="T37" i="85"/>
  <c r="T45" i="85"/>
  <c r="P61" i="85"/>
  <c r="T65" i="85"/>
  <c r="T101" i="85"/>
  <c r="P17" i="85"/>
  <c r="P86" i="85"/>
  <c r="P22" i="85"/>
  <c r="T97" i="85"/>
  <c r="P76" i="85"/>
  <c r="G6" i="85"/>
  <c r="T12" i="85"/>
  <c r="T105" i="85"/>
  <c r="T43" i="85"/>
  <c r="T51" i="85"/>
  <c r="T55" i="85"/>
  <c r="T59" i="85"/>
  <c r="T67" i="85"/>
  <c r="T71" i="85"/>
  <c r="T79" i="85"/>
  <c r="P83" i="85"/>
  <c r="P87" i="85"/>
  <c r="T91" i="85"/>
  <c r="P96" i="85"/>
  <c r="T100" i="85"/>
  <c r="P104" i="85"/>
  <c r="P108" i="85"/>
  <c r="T112" i="85"/>
  <c r="P116" i="85"/>
  <c r="T120" i="85"/>
  <c r="T124" i="85"/>
  <c r="P72" i="85"/>
  <c r="P119" i="85"/>
  <c r="T108" i="85"/>
  <c r="P98" i="85"/>
  <c r="T35" i="85"/>
  <c r="P78" i="85"/>
  <c r="T109" i="85"/>
  <c r="T113" i="85"/>
  <c r="V6" i="85"/>
  <c r="F222" i="1" s="1"/>
  <c r="S6" i="85"/>
  <c r="P16" i="85"/>
  <c r="P18" i="85"/>
  <c r="T19" i="85"/>
  <c r="T22" i="85"/>
  <c r="P23" i="85"/>
  <c r="P24" i="85"/>
  <c r="T26" i="85"/>
  <c r="T27" i="85"/>
  <c r="P28" i="85"/>
  <c r="T30" i="85"/>
  <c r="T31" i="85"/>
  <c r="P39" i="85"/>
  <c r="P41" i="85"/>
  <c r="P49" i="85"/>
  <c r="P53" i="85"/>
  <c r="P57" i="85"/>
  <c r="T63" i="85"/>
  <c r="P102" i="85"/>
  <c r="P114" i="85"/>
  <c r="P27" i="85"/>
  <c r="P68" i="85"/>
  <c r="P113" i="85"/>
  <c r="P117" i="85"/>
  <c r="T93" i="85"/>
  <c r="T74" i="85"/>
  <c r="P100" i="85"/>
  <c r="T89" i="85"/>
  <c r="T87" i="85"/>
  <c r="T80" i="85"/>
  <c r="P126" i="85"/>
  <c r="K6" i="85"/>
  <c r="T17" i="85"/>
  <c r="X24" i="85"/>
  <c r="T32" i="85"/>
  <c r="X49" i="85"/>
  <c r="X53" i="85"/>
  <c r="P90" i="85"/>
  <c r="P99" i="85"/>
  <c r="P111" i="85"/>
  <c r="P8" i="85"/>
  <c r="P9" i="85"/>
  <c r="P13" i="85"/>
  <c r="P20" i="85"/>
  <c r="P29" i="85"/>
  <c r="P38" i="85"/>
  <c r="P42" i="85"/>
  <c r="P45" i="85"/>
  <c r="P50" i="85"/>
  <c r="P54" i="85"/>
  <c r="P62" i="85"/>
  <c r="T104" i="85"/>
  <c r="T13" i="85"/>
  <c r="T81" i="85"/>
  <c r="P120" i="85"/>
  <c r="T38" i="85"/>
  <c r="T42" i="85"/>
  <c r="T50" i="85"/>
  <c r="P58" i="85"/>
  <c r="T62" i="85"/>
  <c r="P75" i="85"/>
  <c r="X79" i="85"/>
  <c r="T94" i="85"/>
  <c r="T9" i="85"/>
  <c r="X19" i="85"/>
  <c r="T40" i="85"/>
  <c r="P44" i="85"/>
  <c r="T48" i="85"/>
  <c r="T52" i="85"/>
  <c r="T56" i="85"/>
  <c r="P60" i="85"/>
  <c r="P64" i="85"/>
  <c r="X69" i="85"/>
  <c r="X118" i="85"/>
  <c r="P48" i="85"/>
  <c r="P93" i="85"/>
  <c r="T24" i="85"/>
  <c r="T8" i="85"/>
  <c r="P26" i="85"/>
  <c r="P52" i="85"/>
  <c r="W6" i="85"/>
  <c r="G222" i="1" s="1"/>
  <c r="P109" i="85"/>
  <c r="T46" i="85"/>
  <c r="T75" i="85"/>
  <c r="T121" i="85"/>
  <c r="P12" i="85"/>
  <c r="P32" i="85"/>
  <c r="P37" i="85"/>
  <c r="P121" i="85"/>
  <c r="P125" i="85"/>
  <c r="P97" i="85"/>
  <c r="P88" i="85"/>
  <c r="T44" i="85"/>
  <c r="H60" i="1"/>
  <c r="G60" i="1"/>
  <c r="H63" i="1"/>
  <c r="G63" i="1"/>
  <c r="H62" i="1"/>
  <c r="G62" i="1"/>
  <c r="H61" i="1"/>
  <c r="G61" i="1"/>
  <c r="F159" i="1"/>
  <c r="F155" i="1"/>
  <c r="E156" i="1"/>
  <c r="D157" i="1"/>
  <c r="D156" i="1"/>
  <c r="D159" i="1"/>
  <c r="F158" i="1"/>
  <c r="E159" i="1"/>
  <c r="E155" i="1"/>
  <c r="F157" i="1"/>
  <c r="D155" i="1"/>
  <c r="F156" i="1"/>
  <c r="E157" i="1"/>
  <c r="D158" i="1"/>
  <c r="E158" i="1"/>
  <c r="U34" i="41"/>
  <c r="D63" i="1"/>
  <c r="C63" i="1"/>
  <c r="D62" i="1"/>
  <c r="C62" i="1"/>
  <c r="D61" i="1"/>
  <c r="C61" i="1"/>
  <c r="D60" i="1"/>
  <c r="C60" i="1"/>
  <c r="Q100" i="40"/>
  <c r="U30" i="41"/>
  <c r="O132" i="73"/>
  <c r="O131" i="73"/>
  <c r="N129" i="73"/>
  <c r="N131" i="73"/>
  <c r="O128" i="73"/>
  <c r="O129" i="73"/>
  <c r="N128" i="73"/>
  <c r="N130" i="73"/>
  <c r="M132" i="73"/>
  <c r="O130" i="73"/>
  <c r="N132" i="73"/>
  <c r="Q91" i="41"/>
  <c r="U38" i="41"/>
  <c r="Q123" i="41"/>
  <c r="F4" i="56"/>
  <c r="K5" i="79" s="1"/>
  <c r="D4" i="56"/>
  <c r="I5" i="79" s="1"/>
  <c r="P7" i="85"/>
  <c r="T7" i="85"/>
  <c r="X10" i="85"/>
  <c r="P10" i="85"/>
  <c r="T10" i="85"/>
  <c r="X14" i="85"/>
  <c r="P14" i="85"/>
  <c r="T14" i="85"/>
  <c r="P15" i="85"/>
  <c r="T15" i="85"/>
  <c r="X34" i="85"/>
  <c r="T34" i="85"/>
  <c r="P34" i="85"/>
  <c r="T36" i="85"/>
  <c r="P36" i="85"/>
  <c r="T66" i="85"/>
  <c r="P66" i="85"/>
  <c r="T70" i="85"/>
  <c r="P70" i="85"/>
  <c r="P123" i="85"/>
  <c r="T123" i="85"/>
  <c r="F4" i="57"/>
  <c r="R20" i="95"/>
  <c r="F4" i="95"/>
  <c r="R4" i="95" s="1"/>
  <c r="G4" i="53"/>
  <c r="E4" i="53"/>
  <c r="I4" i="24"/>
  <c r="O4" i="24"/>
  <c r="U4" i="24"/>
  <c r="AA4" i="24"/>
  <c r="F44" i="1" s="1"/>
  <c r="AG4" i="24"/>
  <c r="F46" i="1" s="1"/>
  <c r="AM4" i="24"/>
  <c r="F48" i="1" s="1"/>
  <c r="F122" i="38"/>
  <c r="X114" i="85"/>
  <c r="T114" i="85"/>
  <c r="I133" i="75"/>
  <c r="J133" i="75"/>
  <c r="T16" i="85"/>
  <c r="X20" i="85"/>
  <c r="T20" i="85"/>
  <c r="X54" i="85"/>
  <c r="T54" i="85"/>
  <c r="AT75" i="97"/>
  <c r="BB75" i="97" s="1"/>
  <c r="Q88" i="39"/>
  <c r="U6" i="40"/>
  <c r="E23" i="40"/>
  <c r="Q27" i="40"/>
  <c r="U48" i="40"/>
  <c r="M70" i="40"/>
  <c r="M79" i="40"/>
  <c r="U79" i="40"/>
  <c r="I84" i="40"/>
  <c r="Y107" i="40"/>
  <c r="M111" i="40"/>
  <c r="M116" i="40"/>
  <c r="U116" i="40"/>
  <c r="E21" i="41"/>
  <c r="M21" i="41"/>
  <c r="Q22" i="41"/>
  <c r="Y22" i="41"/>
  <c r="I23" i="41"/>
  <c r="U24" i="41"/>
  <c r="E25" i="41"/>
  <c r="M25" i="41"/>
  <c r="Y26" i="41"/>
  <c r="I27" i="41"/>
  <c r="U28" i="41"/>
  <c r="E29" i="41"/>
  <c r="M29" i="41"/>
  <c r="Q30" i="41"/>
  <c r="Y30" i="41"/>
  <c r="I31" i="41"/>
  <c r="U32" i="41"/>
  <c r="E33" i="41"/>
  <c r="M33" i="41"/>
  <c r="Y34" i="41"/>
  <c r="I35" i="41"/>
  <c r="U36" i="41"/>
  <c r="E37" i="41"/>
  <c r="M37" i="41"/>
  <c r="Q38" i="41"/>
  <c r="Y38" i="41"/>
  <c r="I39" i="41"/>
  <c r="U40" i="41"/>
  <c r="E41" i="41"/>
  <c r="Y42" i="41"/>
  <c r="U44" i="41"/>
  <c r="E45" i="41"/>
  <c r="M45" i="41"/>
  <c r="Q46" i="41"/>
  <c r="I47" i="41"/>
  <c r="U48" i="41"/>
  <c r="M49" i="41"/>
  <c r="Y50" i="41"/>
  <c r="I51" i="41"/>
  <c r="E53" i="41"/>
  <c r="M53" i="41"/>
  <c r="Y54" i="41"/>
  <c r="I55" i="41"/>
  <c r="U56" i="41"/>
  <c r="M57" i="41"/>
  <c r="Y58" i="41"/>
  <c r="U60" i="41"/>
  <c r="E61" i="41"/>
  <c r="M61" i="41"/>
  <c r="Y62" i="41"/>
  <c r="I63" i="41"/>
  <c r="U64" i="41"/>
  <c r="E65" i="41"/>
  <c r="M65" i="41"/>
  <c r="Y66" i="41"/>
  <c r="I67" i="41"/>
  <c r="U68" i="41"/>
  <c r="E69" i="41"/>
  <c r="M69" i="41"/>
  <c r="Y70" i="41"/>
  <c r="I71" i="41"/>
  <c r="U72" i="41"/>
  <c r="M73" i="41"/>
  <c r="I75" i="41"/>
  <c r="U76" i="41"/>
  <c r="E77" i="41"/>
  <c r="M77" i="41"/>
  <c r="Q78" i="41"/>
  <c r="Y78" i="41"/>
  <c r="I79" i="41"/>
  <c r="E81" i="41"/>
  <c r="M81" i="41"/>
  <c r="Y82" i="41"/>
  <c r="I83" i="41"/>
  <c r="U84" i="41"/>
  <c r="E85" i="41"/>
  <c r="M85" i="41"/>
  <c r="Y86" i="41"/>
  <c r="I87" i="41"/>
  <c r="U88" i="41"/>
  <c r="E89" i="41"/>
  <c r="M89" i="41"/>
  <c r="Y90" i="41"/>
  <c r="U92" i="41"/>
  <c r="E93" i="41"/>
  <c r="M93" i="41"/>
  <c r="Y94" i="41"/>
  <c r="I95" i="41"/>
  <c r="U96" i="41"/>
  <c r="E97" i="41"/>
  <c r="M97" i="41"/>
  <c r="Y98" i="41"/>
  <c r="I99" i="41"/>
  <c r="U100" i="41"/>
  <c r="E101" i="41"/>
  <c r="M101" i="41"/>
  <c r="Y102" i="41"/>
  <c r="I103" i="41"/>
  <c r="U104" i="41"/>
  <c r="E105" i="41"/>
  <c r="M105" i="41"/>
  <c r="Y106" i="41"/>
  <c r="I107" i="41"/>
  <c r="U108" i="41"/>
  <c r="E109" i="41"/>
  <c r="M109" i="41"/>
  <c r="Q110" i="41"/>
  <c r="Y110" i="41"/>
  <c r="I111" i="41"/>
  <c r="U112" i="41"/>
  <c r="M113" i="41"/>
  <c r="Y114" i="41"/>
  <c r="U116" i="41"/>
  <c r="M117" i="41"/>
  <c r="Q118" i="41"/>
  <c r="Y118" i="41"/>
  <c r="I119" i="41"/>
  <c r="U120" i="41"/>
  <c r="M121" i="41"/>
  <c r="Y122" i="41"/>
  <c r="I123" i="41"/>
  <c r="X9" i="85"/>
  <c r="X27" i="85"/>
  <c r="X39" i="85"/>
  <c r="X40" i="85"/>
  <c r="X48" i="85"/>
  <c r="X52" i="85"/>
  <c r="X58" i="85"/>
  <c r="X62" i="85"/>
  <c r="X68" i="85"/>
  <c r="X78" i="85"/>
  <c r="T84" i="85"/>
  <c r="X87" i="85"/>
  <c r="X92" i="85"/>
  <c r="X96" i="85"/>
  <c r="X100" i="85"/>
  <c r="X104" i="85"/>
  <c r="X108" i="85"/>
  <c r="X112" i="85"/>
  <c r="X126" i="85"/>
  <c r="I130" i="75"/>
  <c r="P132" i="75"/>
  <c r="P133" i="75"/>
  <c r="R129" i="72"/>
  <c r="AS104" i="97"/>
  <c r="BA104" i="97" s="1"/>
  <c r="AS63" i="97"/>
  <c r="BA63" i="97" s="1"/>
  <c r="AR82" i="97"/>
  <c r="AZ82" i="97" s="1"/>
  <c r="AS86" i="97"/>
  <c r="BA86" i="97" s="1"/>
  <c r="AS126" i="97"/>
  <c r="BA126" i="97" s="1"/>
  <c r="X12" i="85"/>
  <c r="X17" i="85"/>
  <c r="X22" i="85"/>
  <c r="X26" i="85"/>
  <c r="X31" i="85"/>
  <c r="X32" i="85"/>
  <c r="X37" i="85"/>
  <c r="X38" i="85"/>
  <c r="T47" i="85"/>
  <c r="X61" i="85"/>
  <c r="P67" i="85"/>
  <c r="X72" i="85"/>
  <c r="P77" i="85"/>
  <c r="X86" i="85"/>
  <c r="X90" i="85"/>
  <c r="X95" i="85"/>
  <c r="T99" i="85"/>
  <c r="X107" i="85"/>
  <c r="X120" i="85"/>
  <c r="X125" i="85"/>
  <c r="AS25" i="97"/>
  <c r="BA25" i="97" s="1"/>
  <c r="X15" i="85"/>
  <c r="X16" i="85"/>
  <c r="X21" i="85"/>
  <c r="X25" i="85"/>
  <c r="X29" i="85"/>
  <c r="X30" i="85"/>
  <c r="X42" i="85"/>
  <c r="X50" i="85"/>
  <c r="X56" i="85"/>
  <c r="X60" i="85"/>
  <c r="X70" i="85"/>
  <c r="X80" i="85"/>
  <c r="X85" i="85"/>
  <c r="X89" i="85"/>
  <c r="X102" i="85"/>
  <c r="X106" i="85"/>
  <c r="X115" i="85"/>
  <c r="X119" i="85"/>
  <c r="P129" i="72"/>
  <c r="P133" i="72"/>
  <c r="Q130" i="72"/>
  <c r="S131" i="72"/>
  <c r="AS61" i="97"/>
  <c r="BA61" i="97" s="1"/>
  <c r="AS55" i="97"/>
  <c r="BA55" i="97" s="1"/>
  <c r="AS49" i="97"/>
  <c r="BA49" i="97" s="1"/>
  <c r="AR33" i="97"/>
  <c r="AZ33" i="97" s="1"/>
  <c r="AR43" i="97"/>
  <c r="AZ43" i="97" s="1"/>
  <c r="AS44" i="97"/>
  <c r="BA44" i="97" s="1"/>
  <c r="AR47" i="97"/>
  <c r="AZ47" i="97" s="1"/>
  <c r="AS50" i="97"/>
  <c r="BA50" i="97" s="1"/>
  <c r="AT54" i="97"/>
  <c r="BB54" i="97" s="1"/>
  <c r="AS114" i="97"/>
  <c r="BA114" i="97" s="1"/>
  <c r="AS64" i="97"/>
  <c r="BA64" i="97" s="1"/>
  <c r="AT68" i="97"/>
  <c r="BB68" i="97" s="1"/>
  <c r="AT118" i="97"/>
  <c r="BB118" i="97" s="1"/>
  <c r="AS84" i="97"/>
  <c r="BA84" i="97" s="1"/>
  <c r="AT90" i="97"/>
  <c r="BB90" i="97" s="1"/>
  <c r="BC90" i="97" s="1"/>
  <c r="AR91" i="97"/>
  <c r="AZ91" i="97" s="1"/>
  <c r="AT95" i="97"/>
  <c r="BB95" i="97" s="1"/>
  <c r="AS96" i="97"/>
  <c r="BA96" i="97" s="1"/>
  <c r="V4" i="95"/>
  <c r="AR78" i="97"/>
  <c r="AZ78" i="97" s="1"/>
  <c r="BC78" i="97" s="1"/>
  <c r="AS57" i="97"/>
  <c r="BA57" i="97" s="1"/>
  <c r="AT66" i="97"/>
  <c r="BB66" i="97" s="1"/>
  <c r="AS19" i="97"/>
  <c r="BA19" i="97" s="1"/>
  <c r="AS117" i="97"/>
  <c r="BA117" i="97" s="1"/>
  <c r="AS108" i="97"/>
  <c r="BA108" i="97" s="1"/>
  <c r="AT52" i="97"/>
  <c r="BB52" i="97" s="1"/>
  <c r="AR37" i="97"/>
  <c r="AZ37" i="97" s="1"/>
  <c r="AR31" i="97"/>
  <c r="AZ31" i="97" s="1"/>
  <c r="AS12" i="97"/>
  <c r="BA12" i="97" s="1"/>
  <c r="BC12" i="97" s="1"/>
  <c r="AT18" i="97"/>
  <c r="BB18" i="97" s="1"/>
  <c r="AR27" i="97"/>
  <c r="AZ27" i="97" s="1"/>
  <c r="AS6" i="97"/>
  <c r="BA6" i="97" s="1"/>
  <c r="AR7" i="97"/>
  <c r="AZ7" i="97" s="1"/>
  <c r="AT7" i="97"/>
  <c r="BB7" i="97" s="1"/>
  <c r="AS9" i="97"/>
  <c r="BA9" i="97" s="1"/>
  <c r="AR10" i="97"/>
  <c r="AZ10" i="97" s="1"/>
  <c r="AS13" i="97"/>
  <c r="BA13" i="97" s="1"/>
  <c r="AR14" i="97"/>
  <c r="AZ14" i="97" s="1"/>
  <c r="AT14" i="97"/>
  <c r="BB14" i="97" s="1"/>
  <c r="AR18" i="97"/>
  <c r="AZ18" i="97" s="1"/>
  <c r="AT103" i="97"/>
  <c r="BB103" i="97" s="1"/>
  <c r="AT20" i="97"/>
  <c r="BB20" i="97" s="1"/>
  <c r="AT21" i="97"/>
  <c r="BB21" i="97" s="1"/>
  <c r="AT23" i="97"/>
  <c r="BB23" i="97" s="1"/>
  <c r="AS27" i="97"/>
  <c r="BA27" i="97" s="1"/>
  <c r="AR28" i="97"/>
  <c r="AZ28" i="97" s="1"/>
  <c r="AT28" i="97"/>
  <c r="BB28" i="97" s="1"/>
  <c r="AR29" i="97"/>
  <c r="AZ29" i="97" s="1"/>
  <c r="AT29" i="97"/>
  <c r="BB29" i="97" s="1"/>
  <c r="AT106" i="97"/>
  <c r="BB106" i="97" s="1"/>
  <c r="AR40" i="97"/>
  <c r="AZ40" i="97" s="1"/>
  <c r="AR41" i="97"/>
  <c r="AZ41" i="97" s="1"/>
  <c r="AR42" i="97"/>
  <c r="AZ42" i="97" s="1"/>
  <c r="AR46" i="97"/>
  <c r="AZ46" i="97" s="1"/>
  <c r="AS46" i="97"/>
  <c r="BA46" i="97" s="1"/>
  <c r="AT47" i="97"/>
  <c r="BB47" i="97" s="1"/>
  <c r="AT50" i="97"/>
  <c r="BB50" i="97" s="1"/>
  <c r="AR111" i="97"/>
  <c r="AZ111" i="97" s="1"/>
  <c r="AT111" i="97"/>
  <c r="BB111" i="97" s="1"/>
  <c r="AR54" i="97"/>
  <c r="AZ54" i="97" s="1"/>
  <c r="AT58" i="97"/>
  <c r="BB58" i="97" s="1"/>
  <c r="AS62" i="97"/>
  <c r="BA62" i="97" s="1"/>
  <c r="AR64" i="97"/>
  <c r="AZ64" i="97" s="1"/>
  <c r="AR70" i="97"/>
  <c r="AZ70" i="97" s="1"/>
  <c r="AT74" i="97"/>
  <c r="BB74" i="97" s="1"/>
  <c r="AS118" i="97"/>
  <c r="BA118" i="97" s="1"/>
  <c r="AT79" i="97"/>
  <c r="BB79" i="97" s="1"/>
  <c r="AT81" i="97"/>
  <c r="BB81" i="97" s="1"/>
  <c r="AS124" i="97"/>
  <c r="BA124" i="97" s="1"/>
  <c r="AS121" i="97"/>
  <c r="BA121" i="97" s="1"/>
  <c r="AS68" i="97"/>
  <c r="BA68" i="97" s="1"/>
  <c r="AS110" i="97"/>
  <c r="BA110" i="97" s="1"/>
  <c r="AR15" i="97"/>
  <c r="AZ15" i="97" s="1"/>
  <c r="AR109" i="97"/>
  <c r="AZ109" i="97" s="1"/>
  <c r="AT35" i="97"/>
  <c r="BB35" i="97" s="1"/>
  <c r="AS56" i="97"/>
  <c r="BA56" i="97" s="1"/>
  <c r="AS30" i="97"/>
  <c r="BA30" i="97" s="1"/>
  <c r="AR8" i="97"/>
  <c r="AZ8" i="97" s="1"/>
  <c r="AS102" i="97"/>
  <c r="BA102" i="97" s="1"/>
  <c r="AT10" i="97"/>
  <c r="BB10" i="97" s="1"/>
  <c r="AT15" i="97"/>
  <c r="BB15" i="97" s="1"/>
  <c r="AS16" i="97"/>
  <c r="BA16" i="97" s="1"/>
  <c r="AR17" i="97"/>
  <c r="AZ17" i="97" s="1"/>
  <c r="AR19" i="97"/>
  <c r="AZ19" i="97" s="1"/>
  <c r="AR23" i="97"/>
  <c r="AZ23" i="97" s="1"/>
  <c r="AT25" i="97"/>
  <c r="BB25" i="97" s="1"/>
  <c r="AT104" i="97"/>
  <c r="BB104" i="97" s="1"/>
  <c r="AT105" i="97"/>
  <c r="BB105" i="97" s="1"/>
  <c r="AS105" i="97"/>
  <c r="BA105" i="97" s="1"/>
  <c r="AR30" i="97"/>
  <c r="AZ30" i="97" s="1"/>
  <c r="AS32" i="97"/>
  <c r="BA32" i="97" s="1"/>
  <c r="AS35" i="97"/>
  <c r="BA35" i="97" s="1"/>
  <c r="AS37" i="97"/>
  <c r="BA37" i="97" s="1"/>
  <c r="AR108" i="97"/>
  <c r="AZ108" i="97" s="1"/>
  <c r="AS109" i="97"/>
  <c r="BA109" i="97" s="1"/>
  <c r="AT41" i="97"/>
  <c r="BB41" i="97" s="1"/>
  <c r="AT45" i="97"/>
  <c r="BB45" i="97" s="1"/>
  <c r="AS45" i="97"/>
  <c r="BA45" i="97" s="1"/>
  <c r="AR110" i="97"/>
  <c r="AZ110" i="97" s="1"/>
  <c r="AT110" i="97"/>
  <c r="BB110" i="97" s="1"/>
  <c r="AR49" i="97"/>
  <c r="AZ49" i="97" s="1"/>
  <c r="AR51" i="97"/>
  <c r="AZ51" i="97" s="1"/>
  <c r="AT51" i="97"/>
  <c r="BB51" i="97" s="1"/>
  <c r="AS51" i="97"/>
  <c r="BA51" i="97" s="1"/>
  <c r="AT57" i="97"/>
  <c r="BB57" i="97" s="1"/>
  <c r="AT59" i="97"/>
  <c r="BB59" i="97" s="1"/>
  <c r="AR60" i="97"/>
  <c r="AZ60" i="97" s="1"/>
  <c r="AT64" i="97"/>
  <c r="BB64" i="97" s="1"/>
  <c r="AR117" i="97"/>
  <c r="AZ117" i="97" s="1"/>
  <c r="AT71" i="97"/>
  <c r="BB71" i="97" s="1"/>
  <c r="AS74" i="97"/>
  <c r="BA74" i="97" s="1"/>
  <c r="AR118" i="97"/>
  <c r="AZ118" i="97" s="1"/>
  <c r="AR79" i="97"/>
  <c r="AZ79" i="97" s="1"/>
  <c r="AR81" i="97"/>
  <c r="AZ81" i="97" s="1"/>
  <c r="AR121" i="97"/>
  <c r="AZ121" i="97" s="1"/>
  <c r="AT83" i="97"/>
  <c r="BB83" i="97" s="1"/>
  <c r="AR84" i="97"/>
  <c r="AZ84" i="97" s="1"/>
  <c r="AS85" i="97"/>
  <c r="BA85" i="97" s="1"/>
  <c r="AT85" i="97"/>
  <c r="BB85" i="97" s="1"/>
  <c r="AR92" i="97"/>
  <c r="AZ92" i="97" s="1"/>
  <c r="AR96" i="97"/>
  <c r="AZ96" i="97" s="1"/>
  <c r="AR125" i="97"/>
  <c r="AZ125" i="97" s="1"/>
  <c r="AR101" i="97"/>
  <c r="AZ101" i="97" s="1"/>
  <c r="R4" i="92"/>
  <c r="S4" i="92"/>
  <c r="O5" i="6"/>
  <c r="Q55" i="41"/>
  <c r="Q15" i="41"/>
  <c r="Q59" i="41"/>
  <c r="Q50" i="41"/>
  <c r="Q58" i="41"/>
  <c r="Q82" i="41"/>
  <c r="Q98" i="41"/>
  <c r="Q106" i="41"/>
  <c r="Q114" i="41"/>
  <c r="Q122" i="41"/>
  <c r="U78" i="41"/>
  <c r="I120" i="40"/>
  <c r="I98" i="40"/>
  <c r="M41" i="41"/>
  <c r="U80" i="41"/>
  <c r="M4" i="41"/>
  <c r="Y5" i="41"/>
  <c r="I6" i="41"/>
  <c r="U7" i="41"/>
  <c r="E8" i="41"/>
  <c r="Q9" i="41"/>
  <c r="I10" i="41"/>
  <c r="U11" i="41"/>
  <c r="E12" i="41"/>
  <c r="M12" i="41"/>
  <c r="Y13" i="41"/>
  <c r="I14" i="41"/>
  <c r="U15" i="41"/>
  <c r="Q17" i="41"/>
  <c r="Y17" i="41"/>
  <c r="E20" i="41"/>
  <c r="Y21" i="41"/>
  <c r="I22" i="41"/>
  <c r="M24" i="41"/>
  <c r="Q25" i="41"/>
  <c r="U27" i="41"/>
  <c r="E28" i="41"/>
  <c r="M28" i="41"/>
  <c r="Q29" i="41"/>
  <c r="I30" i="41"/>
  <c r="U31" i="41"/>
  <c r="M32" i="41"/>
  <c r="Q33" i="41"/>
  <c r="Y33" i="41"/>
  <c r="I34" i="41"/>
  <c r="U35" i="41"/>
  <c r="Q37" i="41"/>
  <c r="Y37" i="41"/>
  <c r="U39" i="41"/>
  <c r="M40" i="41"/>
  <c r="Q41" i="41"/>
  <c r="Y41" i="41"/>
  <c r="I42" i="41"/>
  <c r="U43" i="41"/>
  <c r="I46" i="41"/>
  <c r="U47" i="41"/>
  <c r="E48" i="41"/>
  <c r="M48" i="41"/>
  <c r="Y49" i="41"/>
  <c r="I50" i="41"/>
  <c r="E52" i="41"/>
  <c r="Q53" i="41"/>
  <c r="Y53" i="41"/>
  <c r="I54" i="41"/>
  <c r="U55" i="41"/>
  <c r="E56" i="41"/>
  <c r="Q57" i="41"/>
  <c r="Y57" i="41"/>
  <c r="I58" i="41"/>
  <c r="U59" i="41"/>
  <c r="M60" i="41"/>
  <c r="Q61" i="41"/>
  <c r="Y61" i="41"/>
  <c r="I62" i="41"/>
  <c r="U63" i="41"/>
  <c r="E64" i="41"/>
  <c r="Y65" i="41"/>
  <c r="U67" i="41"/>
  <c r="E68" i="41"/>
  <c r="M68" i="41"/>
  <c r="Q69" i="41"/>
  <c r="Y69" i="41"/>
  <c r="I70" i="41"/>
  <c r="U71" i="41"/>
  <c r="E72" i="41"/>
  <c r="Y73" i="41"/>
  <c r="I74" i="41"/>
  <c r="U75" i="41"/>
  <c r="E76" i="41"/>
  <c r="Q77" i="41"/>
  <c r="I78" i="41"/>
  <c r="U79" i="41"/>
  <c r="E80" i="41"/>
  <c r="M80" i="41"/>
  <c r="Q81" i="41"/>
  <c r="I82" i="41"/>
  <c r="U83" i="41"/>
  <c r="E84" i="41"/>
  <c r="M84" i="41"/>
  <c r="Q85" i="41"/>
  <c r="Y85" i="41"/>
  <c r="I86" i="41"/>
  <c r="U87" i="41"/>
  <c r="M88" i="41"/>
  <c r="I90" i="41"/>
  <c r="U91" i="41"/>
  <c r="E92" i="41"/>
  <c r="M92" i="41"/>
  <c r="Q93" i="41"/>
  <c r="Y93" i="41"/>
  <c r="I94" i="41"/>
  <c r="U95" i="41"/>
  <c r="E96" i="41"/>
  <c r="M96" i="41"/>
  <c r="Y97" i="41"/>
  <c r="I98" i="41"/>
  <c r="U99" i="41"/>
  <c r="E100" i="41"/>
  <c r="M100" i="41"/>
  <c r="Q101" i="41"/>
  <c r="U103" i="41"/>
  <c r="E104" i="41"/>
  <c r="M104" i="41"/>
  <c r="Y105" i="41"/>
  <c r="I106" i="41"/>
  <c r="U107" i="41"/>
  <c r="E108" i="41"/>
  <c r="M108" i="41"/>
  <c r="Q109" i="41"/>
  <c r="Y109" i="41"/>
  <c r="I110" i="41"/>
  <c r="U111" i="41"/>
  <c r="E112" i="41"/>
  <c r="M112" i="41"/>
  <c r="Y113" i="41"/>
  <c r="I114" i="41"/>
  <c r="U115" i="41"/>
  <c r="M116" i="41"/>
  <c r="Q117" i="41"/>
  <c r="Y117" i="41"/>
  <c r="U119" i="41"/>
  <c r="E120" i="41"/>
  <c r="M120" i="41"/>
  <c r="I122" i="41"/>
  <c r="U123" i="41"/>
  <c r="U4" i="40"/>
  <c r="U5" i="40"/>
  <c r="M37" i="40"/>
  <c r="U37" i="40"/>
  <c r="E38" i="40"/>
  <c r="U110" i="40"/>
  <c r="U119" i="40"/>
  <c r="E120" i="40"/>
  <c r="M123" i="40"/>
  <c r="U123" i="40"/>
  <c r="Y95" i="41"/>
  <c r="Y123" i="41"/>
  <c r="Y27" i="41"/>
  <c r="E118" i="41"/>
  <c r="U23" i="41"/>
  <c r="Q54" i="41"/>
  <c r="Y29" i="39"/>
  <c r="Y46" i="41"/>
  <c r="U52" i="41"/>
  <c r="E57" i="41"/>
  <c r="I59" i="41"/>
  <c r="Y74" i="41"/>
  <c r="I91" i="41"/>
  <c r="E113" i="41"/>
  <c r="I115" i="41"/>
  <c r="E121" i="41"/>
  <c r="M16" i="41"/>
  <c r="I27" i="39"/>
  <c r="Q62" i="41"/>
  <c r="I11" i="39"/>
  <c r="Y22" i="39"/>
  <c r="Y25" i="39"/>
  <c r="I29" i="39"/>
  <c r="Y89" i="39"/>
  <c r="Y95" i="39"/>
  <c r="Y119" i="39"/>
  <c r="Q73" i="41"/>
  <c r="Q119" i="41"/>
  <c r="Q87" i="41"/>
  <c r="Q4" i="41"/>
  <c r="Y4" i="41"/>
  <c r="U5" i="41"/>
  <c r="M6" i="41"/>
  <c r="U6" i="41"/>
  <c r="M7" i="41"/>
  <c r="Q8" i="41"/>
  <c r="Y8" i="41"/>
  <c r="U9" i="41"/>
  <c r="E10" i="41"/>
  <c r="E11" i="41"/>
  <c r="Y11" i="41"/>
  <c r="E14" i="41"/>
  <c r="E15" i="41"/>
  <c r="Q16" i="41"/>
  <c r="U18" i="41"/>
  <c r="E19" i="41"/>
  <c r="Q24" i="41"/>
  <c r="Q32" i="41"/>
  <c r="Q40" i="41"/>
  <c r="Y43" i="41"/>
  <c r="Q48" i="41"/>
  <c r="Q56" i="41"/>
  <c r="Q64" i="41"/>
  <c r="Y67" i="41"/>
  <c r="Q72" i="41"/>
  <c r="U73" i="41"/>
  <c r="Q80" i="41"/>
  <c r="I84" i="41"/>
  <c r="Q88" i="41"/>
  <c r="Q96" i="41"/>
  <c r="E98" i="41"/>
  <c r="Y103" i="41"/>
  <c r="I104" i="41"/>
  <c r="Q112" i="41"/>
  <c r="E114" i="41"/>
  <c r="Q120" i="41"/>
  <c r="E122" i="41"/>
  <c r="M122" i="41"/>
  <c r="Q89" i="41"/>
  <c r="Q121" i="41"/>
  <c r="M20" i="41"/>
  <c r="I26" i="41"/>
  <c r="E36" i="41"/>
  <c r="E40" i="41"/>
  <c r="E44" i="41"/>
  <c r="M76" i="41"/>
  <c r="Y101" i="41"/>
  <c r="Q45" i="41"/>
  <c r="Q21" i="41"/>
  <c r="Y68" i="40"/>
  <c r="I69" i="40"/>
  <c r="Q69" i="40"/>
  <c r="Y69" i="40"/>
  <c r="I70" i="40"/>
  <c r="Q70" i="40"/>
  <c r="Y70" i="40"/>
  <c r="E75" i="40"/>
  <c r="U75" i="40"/>
  <c r="E76" i="40"/>
  <c r="Q79" i="40"/>
  <c r="Y79" i="40"/>
  <c r="I80" i="40"/>
  <c r="Q80" i="40"/>
  <c r="Y80" i="40"/>
  <c r="I81" i="40"/>
  <c r="Q81" i="40"/>
  <c r="Y81" i="40"/>
  <c r="E86" i="40"/>
  <c r="Q98" i="40"/>
  <c r="Y98" i="40"/>
  <c r="I99" i="40"/>
  <c r="Q99" i="40"/>
  <c r="Y99" i="40"/>
  <c r="I100" i="40"/>
  <c r="Y100" i="40"/>
  <c r="I101" i="40"/>
  <c r="Q101" i="40"/>
  <c r="Y101" i="40"/>
  <c r="M106" i="40"/>
  <c r="M107" i="40"/>
  <c r="I111" i="40"/>
  <c r="Q111" i="40"/>
  <c r="Y111" i="40"/>
  <c r="Q116" i="40"/>
  <c r="Y116" i="40"/>
  <c r="U118" i="40"/>
  <c r="Q120" i="40"/>
  <c r="Y120" i="40"/>
  <c r="M122" i="40"/>
  <c r="U122" i="40"/>
  <c r="Q5" i="41"/>
  <c r="Q13" i="41"/>
  <c r="E24" i="41"/>
  <c r="Y25" i="41"/>
  <c r="Q26" i="41"/>
  <c r="Q66" i="41"/>
  <c r="Q70" i="41"/>
  <c r="Q74" i="41"/>
  <c r="Q86" i="41"/>
  <c r="Q90" i="41"/>
  <c r="Q94" i="41"/>
  <c r="Q102" i="41"/>
  <c r="Q5" i="39"/>
  <c r="Q6" i="39"/>
  <c r="I20" i="39"/>
  <c r="Y20" i="39"/>
  <c r="I30" i="39"/>
  <c r="Q37" i="39"/>
  <c r="Y52" i="39"/>
  <c r="Y55" i="39"/>
  <c r="Y69" i="39"/>
  <c r="I85" i="39"/>
  <c r="Q89" i="39"/>
  <c r="I92" i="39"/>
  <c r="I93" i="39"/>
  <c r="Q98" i="39"/>
  <c r="Y100" i="39"/>
  <c r="I105" i="39"/>
  <c r="Y107" i="39"/>
  <c r="I108" i="39"/>
  <c r="I109" i="39"/>
  <c r="I111" i="39"/>
  <c r="Q113" i="39"/>
  <c r="I114" i="39"/>
  <c r="I115" i="39"/>
  <c r="Y118" i="39"/>
  <c r="U4" i="41"/>
  <c r="E5" i="41"/>
  <c r="M5" i="41"/>
  <c r="Q6" i="41"/>
  <c r="I7" i="41"/>
  <c r="U8" i="41"/>
  <c r="E9" i="41"/>
  <c r="M9" i="41"/>
  <c r="Y10" i="41"/>
  <c r="I11" i="41"/>
  <c r="U12" i="41"/>
  <c r="M13" i="41"/>
  <c r="Q14" i="41"/>
  <c r="Y14" i="41"/>
  <c r="I15" i="41"/>
  <c r="U16" i="41"/>
  <c r="E17" i="41"/>
  <c r="M17" i="41"/>
  <c r="Q18" i="41"/>
  <c r="Y18" i="41"/>
  <c r="I19" i="41"/>
  <c r="U21" i="41"/>
  <c r="E22" i="41"/>
  <c r="M22" i="41"/>
  <c r="Q23" i="41"/>
  <c r="Y23" i="41"/>
  <c r="I24" i="41"/>
  <c r="U25" i="41"/>
  <c r="E26" i="41"/>
  <c r="M26" i="41"/>
  <c r="I28" i="41"/>
  <c r="U29" i="41"/>
  <c r="E30" i="41"/>
  <c r="M30" i="41"/>
  <c r="Q31" i="41"/>
  <c r="Y31" i="41"/>
  <c r="I32" i="41"/>
  <c r="U33" i="41"/>
  <c r="E34" i="41"/>
  <c r="M34" i="41"/>
  <c r="Q35" i="41"/>
  <c r="Y35" i="41"/>
  <c r="I36" i="41"/>
  <c r="U37" i="41"/>
  <c r="E38" i="41"/>
  <c r="M38" i="41"/>
  <c r="Q39" i="41"/>
  <c r="Y39" i="41"/>
  <c r="I40" i="41"/>
  <c r="U41" i="41"/>
  <c r="E42" i="41"/>
  <c r="M42" i="41"/>
  <c r="Q43" i="41"/>
  <c r="I44" i="41"/>
  <c r="U45" i="41"/>
  <c r="E46" i="41"/>
  <c r="M46" i="41"/>
  <c r="Q47" i="41"/>
  <c r="Y47" i="41"/>
  <c r="I48" i="41"/>
  <c r="U49" i="41"/>
  <c r="E50" i="41"/>
  <c r="M50" i="41"/>
  <c r="Q51" i="41"/>
  <c r="Y51" i="41"/>
  <c r="U53" i="41"/>
  <c r="E54" i="41"/>
  <c r="M54" i="41"/>
  <c r="Y55" i="41"/>
  <c r="I56" i="41"/>
  <c r="U57" i="41"/>
  <c r="M58" i="41"/>
  <c r="Y59" i="41"/>
  <c r="I60" i="41"/>
  <c r="U61" i="41"/>
  <c r="Q63" i="41"/>
  <c r="I64" i="41"/>
  <c r="U65" i="41"/>
  <c r="E66" i="41"/>
  <c r="M66" i="41"/>
  <c r="Q67" i="41"/>
  <c r="I68" i="41"/>
  <c r="U69" i="41"/>
  <c r="E70" i="41"/>
  <c r="M70" i="41"/>
  <c r="Q71" i="41"/>
  <c r="Y71" i="41"/>
  <c r="I72" i="41"/>
  <c r="E74" i="41"/>
  <c r="M74" i="41"/>
  <c r="Q75" i="41"/>
  <c r="Y75" i="41"/>
  <c r="I76" i="41"/>
  <c r="U77" i="41"/>
  <c r="E78" i="41"/>
  <c r="M78" i="41"/>
  <c r="Y79" i="41"/>
  <c r="U81" i="41"/>
  <c r="E82" i="41"/>
  <c r="M82" i="41"/>
  <c r="Q83" i="41"/>
  <c r="Y83" i="41"/>
  <c r="E86" i="41"/>
  <c r="M86" i="41"/>
  <c r="U89" i="41"/>
  <c r="E90" i="41"/>
  <c r="M90" i="41"/>
  <c r="Y91" i="41"/>
  <c r="I92" i="41"/>
  <c r="Q95" i="41"/>
  <c r="I96" i="41"/>
  <c r="U97" i="41"/>
  <c r="Q99" i="41"/>
  <c r="Y99" i="41"/>
  <c r="U101" i="41"/>
  <c r="M102" i="41"/>
  <c r="Q103" i="41"/>
  <c r="M106" i="41"/>
  <c r="Q107" i="41"/>
  <c r="Y107" i="41"/>
  <c r="I108" i="41"/>
  <c r="U109" i="41"/>
  <c r="Q111" i="41"/>
  <c r="I112" i="41"/>
  <c r="U113" i="41"/>
  <c r="Q115" i="41"/>
  <c r="Y115" i="41"/>
  <c r="I116" i="41"/>
  <c r="Y119" i="41"/>
  <c r="E6" i="41"/>
  <c r="Y7" i="41"/>
  <c r="I8" i="41"/>
  <c r="M10" i="41"/>
  <c r="Q11" i="41"/>
  <c r="I12" i="41"/>
  <c r="U13" i="41"/>
  <c r="M14" i="41"/>
  <c r="Y15" i="41"/>
  <c r="I16" i="41"/>
  <c r="E18" i="41"/>
  <c r="I20" i="41"/>
  <c r="Q20" i="41"/>
  <c r="I21" i="41"/>
  <c r="U22" i="41"/>
  <c r="E23" i="41"/>
  <c r="I25" i="41"/>
  <c r="U26" i="41"/>
  <c r="E27" i="41"/>
  <c r="M27" i="41"/>
  <c r="Q28" i="41"/>
  <c r="Y28" i="41"/>
  <c r="E31" i="41"/>
  <c r="M31" i="41"/>
  <c r="Y32" i="41"/>
  <c r="I33" i="41"/>
  <c r="E35" i="41"/>
  <c r="Q36" i="41"/>
  <c r="Y36" i="41"/>
  <c r="I37" i="41"/>
  <c r="E39" i="41"/>
  <c r="M39" i="41"/>
  <c r="U42" i="41"/>
  <c r="E43" i="41"/>
  <c r="M43" i="41"/>
  <c r="Y44" i="41"/>
  <c r="I45" i="41"/>
  <c r="U46" i="41"/>
  <c r="E47" i="41"/>
  <c r="M47" i="41"/>
  <c r="Y48" i="41"/>
  <c r="I49" i="41"/>
  <c r="U50" i="41"/>
  <c r="E51" i="41"/>
  <c r="M51" i="41"/>
  <c r="Q52" i="41"/>
  <c r="Y52" i="41"/>
  <c r="I53" i="41"/>
  <c r="U54" i="41"/>
  <c r="E55" i="41"/>
  <c r="M55" i="41"/>
  <c r="Y56" i="41"/>
  <c r="I57" i="41"/>
  <c r="U58" i="41"/>
  <c r="E59" i="41"/>
  <c r="M59" i="41"/>
  <c r="Q60" i="41"/>
  <c r="Y60" i="41"/>
  <c r="I61" i="41"/>
  <c r="U62" i="41"/>
  <c r="E63" i="41"/>
  <c r="M63" i="41"/>
  <c r="Y64" i="41"/>
  <c r="U66" i="41"/>
  <c r="E67" i="41"/>
  <c r="M67" i="41"/>
  <c r="Y68" i="41"/>
  <c r="U70" i="41"/>
  <c r="E71" i="41"/>
  <c r="M71" i="41"/>
  <c r="Y72" i="41"/>
  <c r="I73" i="41"/>
  <c r="U74" i="41"/>
  <c r="E75" i="41"/>
  <c r="M75" i="41"/>
  <c r="Y76" i="41"/>
  <c r="I77" i="41"/>
  <c r="E79" i="41"/>
  <c r="M79" i="41"/>
  <c r="Y80" i="41"/>
  <c r="I81" i="41"/>
  <c r="U82" i="41"/>
  <c r="E83" i="41"/>
  <c r="M83" i="41"/>
  <c r="Y84" i="41"/>
  <c r="I85" i="41"/>
  <c r="U86" i="41"/>
  <c r="E87" i="41"/>
  <c r="M87" i="41"/>
  <c r="Y88" i="41"/>
  <c r="I89" i="41"/>
  <c r="U90" i="41"/>
  <c r="E91" i="41"/>
  <c r="M91" i="41"/>
  <c r="Q92" i="41"/>
  <c r="Y92" i="41"/>
  <c r="I93" i="41"/>
  <c r="U94" i="41"/>
  <c r="E95" i="41"/>
  <c r="M95" i="41"/>
  <c r="Y96" i="41"/>
  <c r="I97" i="41"/>
  <c r="U98" i="41"/>
  <c r="E99" i="41"/>
  <c r="M99" i="41"/>
  <c r="Y100" i="41"/>
  <c r="I101" i="41"/>
  <c r="U102" i="41"/>
  <c r="E103" i="41"/>
  <c r="M103" i="41"/>
  <c r="Y104" i="41"/>
  <c r="I105" i="41"/>
  <c r="U106" i="41"/>
  <c r="E107" i="41"/>
  <c r="M107" i="41"/>
  <c r="Y108" i="41"/>
  <c r="I109" i="41"/>
  <c r="U110" i="41"/>
  <c r="E111" i="41"/>
  <c r="M111" i="41"/>
  <c r="Y112" i="41"/>
  <c r="I113" i="41"/>
  <c r="U114" i="41"/>
  <c r="E115" i="41"/>
  <c r="M115" i="41"/>
  <c r="Q116" i="41"/>
  <c r="Y116" i="41"/>
  <c r="I117" i="41"/>
  <c r="U118" i="41"/>
  <c r="E119" i="41"/>
  <c r="M119" i="41"/>
  <c r="Y120" i="41"/>
  <c r="I121" i="41"/>
  <c r="U122" i="41"/>
  <c r="E123" i="41"/>
  <c r="M123" i="41"/>
  <c r="I30" i="40"/>
  <c r="I37" i="40"/>
  <c r="I110" i="40"/>
  <c r="I14" i="40"/>
  <c r="I21" i="40"/>
  <c r="I77" i="40"/>
  <c r="I4" i="40"/>
  <c r="Q4" i="40"/>
  <c r="Y4" i="40"/>
  <c r="I5" i="40"/>
  <c r="Q5" i="40"/>
  <c r="Y5" i="40"/>
  <c r="M8" i="40"/>
  <c r="Q14" i="40"/>
  <c r="Y14" i="40"/>
  <c r="Q21" i="40"/>
  <c r="Y21" i="40"/>
  <c r="E25" i="40"/>
  <c r="U26" i="40"/>
  <c r="Q30" i="40"/>
  <c r="Y30" i="40"/>
  <c r="Q37" i="40"/>
  <c r="Y37" i="40"/>
  <c r="I38" i="40"/>
  <c r="Q38" i="40"/>
  <c r="Y38" i="40"/>
  <c r="Q46" i="40"/>
  <c r="Y46" i="40"/>
  <c r="Q53" i="40"/>
  <c r="Y53" i="40"/>
  <c r="I54" i="40"/>
  <c r="Q54" i="40"/>
  <c r="Y54" i="40"/>
  <c r="I55" i="40"/>
  <c r="Q55" i="40"/>
  <c r="Y55" i="40"/>
  <c r="I56" i="40"/>
  <c r="Q56" i="40"/>
  <c r="Y56" i="40"/>
  <c r="E59" i="40"/>
  <c r="M59" i="40"/>
  <c r="I63" i="40"/>
  <c r="Q63" i="40"/>
  <c r="Y63" i="40"/>
  <c r="I64" i="40"/>
  <c r="Q64" i="40"/>
  <c r="Y64" i="40"/>
  <c r="I65" i="40"/>
  <c r="Q65" i="40"/>
  <c r="Y65" i="40"/>
  <c r="I66" i="40"/>
  <c r="Q66" i="40"/>
  <c r="Y66" i="40"/>
  <c r="I67" i="40"/>
  <c r="Q67" i="40"/>
  <c r="Y67" i="40"/>
  <c r="U72" i="40"/>
  <c r="Q77" i="40"/>
  <c r="Y77" i="40"/>
  <c r="I78" i="40"/>
  <c r="Q78" i="40"/>
  <c r="Y78" i="40"/>
  <c r="Q86" i="40"/>
  <c r="Y86" i="40"/>
  <c r="I87" i="40"/>
  <c r="Q87" i="40"/>
  <c r="Y87" i="40"/>
  <c r="I88" i="40"/>
  <c r="Q88" i="40"/>
  <c r="Y88" i="40"/>
  <c r="I89" i="40"/>
  <c r="Q89" i="40"/>
  <c r="Y89" i="40"/>
  <c r="I90" i="40"/>
  <c r="Q90" i="40"/>
  <c r="Y90" i="40"/>
  <c r="I91" i="40"/>
  <c r="Q91" i="40"/>
  <c r="Y91" i="40"/>
  <c r="I92" i="40"/>
  <c r="Q92" i="40"/>
  <c r="Y92" i="40"/>
  <c r="I93" i="40"/>
  <c r="Q93" i="40"/>
  <c r="Y93" i="40"/>
  <c r="I94" i="40"/>
  <c r="Q94" i="40"/>
  <c r="Y94" i="40"/>
  <c r="I95" i="40"/>
  <c r="Q95" i="40"/>
  <c r="Y95" i="40"/>
  <c r="I96" i="40"/>
  <c r="Q96" i="40"/>
  <c r="Y96" i="40"/>
  <c r="I97" i="40"/>
  <c r="Q97" i="40"/>
  <c r="Y97" i="40"/>
  <c r="U102" i="40"/>
  <c r="E103" i="40"/>
  <c r="E104" i="40"/>
  <c r="M104" i="40"/>
  <c r="Q110" i="40"/>
  <c r="Y110" i="40"/>
  <c r="I115" i="40"/>
  <c r="Q115" i="40"/>
  <c r="Y115" i="40"/>
  <c r="I119" i="40"/>
  <c r="Q119" i="40"/>
  <c r="Y119" i="40"/>
  <c r="I123" i="40"/>
  <c r="Q123" i="40"/>
  <c r="Y123" i="40"/>
  <c r="E15" i="40"/>
  <c r="Q7" i="41"/>
  <c r="E4" i="39"/>
  <c r="E16" i="41"/>
  <c r="I18" i="41"/>
  <c r="U19" i="41"/>
  <c r="U20" i="41"/>
  <c r="I27" i="40"/>
  <c r="I43" i="40"/>
  <c r="I49" i="40"/>
  <c r="I71" i="40"/>
  <c r="I4" i="39"/>
  <c r="Q4" i="39"/>
  <c r="Y4" i="39"/>
  <c r="I5" i="39"/>
  <c r="Y5" i="39"/>
  <c r="I6" i="39"/>
  <c r="Y6" i="39"/>
  <c r="I7" i="39"/>
  <c r="Q7" i="39"/>
  <c r="Y7" i="39"/>
  <c r="I8" i="39"/>
  <c r="Q8" i="39"/>
  <c r="Y8" i="39"/>
  <c r="I9" i="39"/>
  <c r="Q9" i="39"/>
  <c r="Y9" i="39"/>
  <c r="I10" i="39"/>
  <c r="Q10" i="39"/>
  <c r="Y10" i="39"/>
  <c r="Q11" i="39"/>
  <c r="Y11" i="39"/>
  <c r="I12" i="39"/>
  <c r="Q12" i="39"/>
  <c r="Y12" i="39"/>
  <c r="I13" i="39"/>
  <c r="Q13" i="39"/>
  <c r="Y13" i="39"/>
  <c r="I14" i="39"/>
  <c r="Q14" i="39"/>
  <c r="Y14" i="39"/>
  <c r="I15" i="39"/>
  <c r="Q15" i="39"/>
  <c r="Y15" i="39"/>
  <c r="I16" i="39"/>
  <c r="Q16" i="39"/>
  <c r="Y16" i="39"/>
  <c r="I17" i="39"/>
  <c r="Q17" i="39"/>
  <c r="Y17" i="39"/>
  <c r="I18" i="39"/>
  <c r="Q18" i="39"/>
  <c r="Y18" i="39"/>
  <c r="I19" i="39"/>
  <c r="Q19" i="39"/>
  <c r="Y19" i="39"/>
  <c r="Q20" i="39"/>
  <c r="I21" i="39"/>
  <c r="Q21" i="39"/>
  <c r="Y21" i="39"/>
  <c r="I22" i="39"/>
  <c r="Q22" i="39"/>
  <c r="I23" i="39"/>
  <c r="Q23" i="39"/>
  <c r="Y23" i="39"/>
  <c r="I24" i="39"/>
  <c r="Q24" i="39"/>
  <c r="Y24" i="39"/>
  <c r="I25" i="39"/>
  <c r="Q25" i="39"/>
  <c r="I26" i="39"/>
  <c r="Q26" i="39"/>
  <c r="Y26" i="39"/>
  <c r="Q27" i="39"/>
  <c r="Y27" i="39"/>
  <c r="I28" i="39"/>
  <c r="Q28" i="39"/>
  <c r="Y28" i="39"/>
  <c r="Q29" i="39"/>
  <c r="Q30" i="39"/>
  <c r="Y30" i="39"/>
  <c r="I31" i="39"/>
  <c r="Y31" i="39"/>
  <c r="I32" i="39"/>
  <c r="I34" i="39"/>
  <c r="Q35" i="39"/>
  <c r="I39" i="39"/>
  <c r="I41" i="39"/>
  <c r="Q41" i="39"/>
  <c r="Y42" i="39"/>
  <c r="Q43" i="39"/>
  <c r="I45" i="39"/>
  <c r="Y47" i="39"/>
  <c r="I48" i="39"/>
  <c r="Y48" i="39"/>
  <c r="Q51" i="39"/>
  <c r="I52" i="39"/>
  <c r="Y53" i="39"/>
  <c r="I54" i="39"/>
  <c r="Y54" i="39"/>
  <c r="Q55" i="39"/>
  <c r="Q56" i="39"/>
  <c r="I58" i="39"/>
  <c r="Q59" i="39"/>
  <c r="Q60" i="39"/>
  <c r="Y62" i="39"/>
  <c r="I65" i="39"/>
  <c r="Q68" i="39"/>
  <c r="Q69" i="39"/>
  <c r="Q74" i="39"/>
  <c r="Y74" i="39"/>
  <c r="Y76" i="39"/>
  <c r="Q79" i="39"/>
  <c r="I83" i="39"/>
  <c r="Y83" i="39"/>
  <c r="Y87" i="39"/>
  <c r="I88" i="39"/>
  <c r="Y88" i="39"/>
  <c r="I89" i="39"/>
  <c r="I90" i="39"/>
  <c r="Q90" i="39"/>
  <c r="Y90" i="39"/>
  <c r="I91" i="39"/>
  <c r="Q91" i="39"/>
  <c r="Y91" i="39"/>
  <c r="Q92" i="39"/>
  <c r="Y92" i="39"/>
  <c r="Q93" i="39"/>
  <c r="Y93" i="39"/>
  <c r="I94" i="39"/>
  <c r="Q94" i="39"/>
  <c r="Y94" i="39"/>
  <c r="I95" i="39"/>
  <c r="Q95" i="39"/>
  <c r="I96" i="39"/>
  <c r="Q96" i="39"/>
  <c r="Y96" i="39"/>
  <c r="I97" i="39"/>
  <c r="Q97" i="39"/>
  <c r="Y97" i="39"/>
  <c r="I98" i="39"/>
  <c r="Y98" i="39"/>
  <c r="I99" i="39"/>
  <c r="Q99" i="39"/>
  <c r="Y99" i="39"/>
  <c r="I100" i="39"/>
  <c r="Q100" i="39"/>
  <c r="I101" i="39"/>
  <c r="Q101" i="39"/>
  <c r="Y101" i="39"/>
  <c r="I102" i="39"/>
  <c r="Q102" i="39"/>
  <c r="Y102" i="39"/>
  <c r="I103" i="39"/>
  <c r="Q103" i="39"/>
  <c r="Y103" i="39"/>
  <c r="I104" i="39"/>
  <c r="Q104" i="39"/>
  <c r="Y104" i="39"/>
  <c r="I118" i="41"/>
  <c r="Q104" i="41"/>
  <c r="Q113" i="41"/>
  <c r="Q76" i="41"/>
  <c r="Q84" i="41"/>
  <c r="Q108" i="41"/>
  <c r="E8" i="39"/>
  <c r="M8" i="39"/>
  <c r="M9" i="39"/>
  <c r="E11" i="39"/>
  <c r="M12" i="39"/>
  <c r="U12" i="39"/>
  <c r="E13" i="39"/>
  <c r="U14" i="39"/>
  <c r="U18" i="39"/>
  <c r="E20" i="39"/>
  <c r="U23" i="39"/>
  <c r="E26" i="39"/>
  <c r="M28" i="39"/>
  <c r="U28" i="39"/>
  <c r="M30" i="39"/>
  <c r="M31" i="39"/>
  <c r="M32" i="39"/>
  <c r="M33" i="39"/>
  <c r="U34" i="39"/>
  <c r="M35" i="39"/>
  <c r="U35" i="39"/>
  <c r="E36" i="39"/>
  <c r="U37" i="39"/>
  <c r="E41" i="39"/>
  <c r="M42" i="39"/>
  <c r="E43" i="39"/>
  <c r="U43" i="39"/>
  <c r="E44" i="39"/>
  <c r="E45" i="39"/>
  <c r="M45" i="39"/>
  <c r="U45" i="39"/>
  <c r="E46" i="39"/>
  <c r="U48" i="39"/>
  <c r="E49" i="39"/>
  <c r="M49" i="39"/>
  <c r="U49" i="39"/>
  <c r="M50" i="39"/>
  <c r="M51" i="39"/>
  <c r="U51" i="39"/>
  <c r="M52" i="39"/>
  <c r="E53" i="39"/>
  <c r="M53" i="39"/>
  <c r="U54" i="39"/>
  <c r="E56" i="39"/>
  <c r="E57" i="39"/>
  <c r="E59" i="39"/>
  <c r="M60" i="39"/>
  <c r="U61" i="39"/>
  <c r="E63" i="39"/>
  <c r="M63" i="39"/>
  <c r="U63" i="39"/>
  <c r="M65" i="39"/>
  <c r="U65" i="39"/>
  <c r="E66" i="39"/>
  <c r="M66" i="39"/>
  <c r="M68" i="39"/>
  <c r="U68" i="39"/>
  <c r="U69" i="39"/>
  <c r="M70" i="39"/>
  <c r="U71" i="39"/>
  <c r="M72" i="39"/>
  <c r="E74" i="39"/>
  <c r="M75" i="39"/>
  <c r="M76" i="39"/>
  <c r="M78" i="39"/>
  <c r="E79" i="39"/>
  <c r="U79" i="39"/>
  <c r="E80" i="39"/>
  <c r="M81" i="39"/>
  <c r="U81" i="39"/>
  <c r="E83" i="39"/>
  <c r="M85" i="39"/>
  <c r="U85" i="39"/>
  <c r="E86" i="39"/>
  <c r="M87" i="39"/>
  <c r="E88" i="39"/>
  <c r="I65" i="41"/>
  <c r="U5" i="39"/>
  <c r="M6" i="39"/>
  <c r="U9" i="39"/>
  <c r="M11" i="39"/>
  <c r="E12" i="39"/>
  <c r="M14" i="39"/>
  <c r="M18" i="39"/>
  <c r="E21" i="39"/>
  <c r="E23" i="39"/>
  <c r="U29" i="39"/>
  <c r="E32" i="39"/>
  <c r="U32" i="39"/>
  <c r="E33" i="39"/>
  <c r="M36" i="39"/>
  <c r="E37" i="39"/>
  <c r="M37" i="39"/>
  <c r="M38" i="39"/>
  <c r="E39" i="39"/>
  <c r="M39" i="39"/>
  <c r="U39" i="39"/>
  <c r="E40" i="39"/>
  <c r="M40" i="39"/>
  <c r="M43" i="39"/>
  <c r="M44" i="39"/>
  <c r="U44" i="39"/>
  <c r="M46" i="39"/>
  <c r="U46" i="39"/>
  <c r="E47" i="39"/>
  <c r="M47" i="39"/>
  <c r="U53" i="39"/>
  <c r="E54" i="39"/>
  <c r="M54" i="39"/>
  <c r="M56" i="39"/>
  <c r="U56" i="39"/>
  <c r="M58" i="39"/>
  <c r="U60" i="39"/>
  <c r="E61" i="39"/>
  <c r="M62" i="39"/>
  <c r="E65" i="39"/>
  <c r="M67" i="39"/>
  <c r="E68" i="39"/>
  <c r="E69" i="39"/>
  <c r="U70" i="39"/>
  <c r="M71" i="39"/>
  <c r="E72" i="39"/>
  <c r="M74" i="39"/>
  <c r="U74" i="39"/>
  <c r="E76" i="39"/>
  <c r="U76" i="39"/>
  <c r="U77" i="39"/>
  <c r="E78" i="39"/>
  <c r="M80" i="39"/>
  <c r="M83" i="39"/>
  <c r="U83" i="39"/>
  <c r="E84" i="39"/>
  <c r="M84" i="39"/>
  <c r="U84" i="39"/>
  <c r="E87" i="39"/>
  <c r="U87" i="39"/>
  <c r="I6" i="40"/>
  <c r="I112" i="40"/>
  <c r="I82" i="40"/>
  <c r="I121" i="40"/>
  <c r="Q49" i="41"/>
  <c r="Q44" i="41"/>
  <c r="U88" i="39"/>
  <c r="M89" i="39"/>
  <c r="E90" i="39"/>
  <c r="U91" i="39"/>
  <c r="M93" i="39"/>
  <c r="U93" i="39"/>
  <c r="M94" i="39"/>
  <c r="E95" i="39"/>
  <c r="E96" i="39"/>
  <c r="M96" i="39"/>
  <c r="U96" i="39"/>
  <c r="M97" i="39"/>
  <c r="U97" i="39"/>
  <c r="E98" i="39"/>
  <c r="U98" i="39"/>
  <c r="U99" i="39"/>
  <c r="M101" i="39"/>
  <c r="E102" i="39"/>
  <c r="M102" i="39"/>
  <c r="U102" i="39"/>
  <c r="U103" i="39"/>
  <c r="U105" i="39"/>
  <c r="E106" i="39"/>
  <c r="U106" i="39"/>
  <c r="E107" i="39"/>
  <c r="M108" i="39"/>
  <c r="E109" i="39"/>
  <c r="M110" i="39"/>
  <c r="E111" i="39"/>
  <c r="M111" i="39"/>
  <c r="U111" i="39"/>
  <c r="M113" i="39"/>
  <c r="U113" i="39"/>
  <c r="E114" i="39"/>
  <c r="E117" i="39"/>
  <c r="M117" i="39"/>
  <c r="E118" i="39"/>
  <c r="E119" i="39"/>
  <c r="U119" i="39"/>
  <c r="M120" i="39"/>
  <c r="U120" i="39"/>
  <c r="M123" i="39"/>
  <c r="M72" i="41"/>
  <c r="E5" i="40"/>
  <c r="M5" i="40"/>
  <c r="E6" i="40"/>
  <c r="I7" i="40"/>
  <c r="Q7" i="40"/>
  <c r="Y7" i="40"/>
  <c r="I8" i="40"/>
  <c r="Q8" i="40"/>
  <c r="Y8" i="40"/>
  <c r="I9" i="40"/>
  <c r="Q9" i="40"/>
  <c r="Y9" i="40"/>
  <c r="M14" i="40"/>
  <c r="Q17" i="40"/>
  <c r="Y17" i="40"/>
  <c r="M21" i="40"/>
  <c r="U21" i="40"/>
  <c r="I24" i="40"/>
  <c r="Q24" i="40"/>
  <c r="Y24" i="40"/>
  <c r="I25" i="40"/>
  <c r="Q25" i="40"/>
  <c r="Y25" i="40"/>
  <c r="I26" i="40"/>
  <c r="Q26" i="40"/>
  <c r="Y26" i="40"/>
  <c r="U30" i="40"/>
  <c r="Q34" i="40"/>
  <c r="Y34" i="40"/>
  <c r="U38" i="40"/>
  <c r="E39" i="40"/>
  <c r="Q43" i="40"/>
  <c r="Y43" i="40"/>
  <c r="Q49" i="40"/>
  <c r="Y49" i="40"/>
  <c r="U54" i="40"/>
  <c r="I58" i="40"/>
  <c r="Q58" i="40"/>
  <c r="Y58" i="40"/>
  <c r="I59" i="40"/>
  <c r="Q59" i="40"/>
  <c r="Y59" i="40"/>
  <c r="I60" i="40"/>
  <c r="Q60" i="40"/>
  <c r="Y60" i="40"/>
  <c r="I61" i="40"/>
  <c r="Q61" i="40"/>
  <c r="Y61" i="40"/>
  <c r="M63" i="40"/>
  <c r="U65" i="40"/>
  <c r="E66" i="40"/>
  <c r="U67" i="40"/>
  <c r="Q71" i="40"/>
  <c r="Y71" i="40"/>
  <c r="I72" i="40"/>
  <c r="Q72" i="40"/>
  <c r="Y72" i="40"/>
  <c r="M77" i="40"/>
  <c r="E78" i="40"/>
  <c r="Q82" i="40"/>
  <c r="Y82" i="40"/>
  <c r="E91" i="40"/>
  <c r="U91" i="40"/>
  <c r="U94" i="40"/>
  <c r="M95" i="40"/>
  <c r="U97" i="40"/>
  <c r="Q102" i="40"/>
  <c r="Y102" i="40"/>
  <c r="I103" i="40"/>
  <c r="Q103" i="40"/>
  <c r="Y103" i="40"/>
  <c r="I104" i="40"/>
  <c r="Q104" i="40"/>
  <c r="Y104" i="40"/>
  <c r="Q112" i="40"/>
  <c r="Y112" i="40"/>
  <c r="I113" i="40"/>
  <c r="Q113" i="40"/>
  <c r="Y113" i="40"/>
  <c r="M115" i="40"/>
  <c r="U115" i="40"/>
  <c r="I117" i="40"/>
  <c r="Q117" i="40"/>
  <c r="Y117" i="40"/>
  <c r="M119" i="40"/>
  <c r="Q121" i="40"/>
  <c r="Y121" i="40"/>
  <c r="U51" i="41"/>
  <c r="M52" i="41"/>
  <c r="Y121" i="41"/>
  <c r="I10" i="40"/>
  <c r="E24" i="40"/>
  <c r="I34" i="40"/>
  <c r="I39" i="40"/>
  <c r="E47" i="40"/>
  <c r="I57" i="40"/>
  <c r="I62" i="40"/>
  <c r="I73" i="40"/>
  <c r="I79" i="40"/>
  <c r="I86" i="40"/>
  <c r="Q105" i="39"/>
  <c r="Y105" i="39"/>
  <c r="I106" i="39"/>
  <c r="Q106" i="39"/>
  <c r="Y106" i="39"/>
  <c r="I107" i="39"/>
  <c r="Q107" i="39"/>
  <c r="Q108" i="39"/>
  <c r="Y108" i="39"/>
  <c r="Q109" i="39"/>
  <c r="Y109" i="39"/>
  <c r="I110" i="39"/>
  <c r="Q110" i="39"/>
  <c r="Y110" i="39"/>
  <c r="Q111" i="39"/>
  <c r="Y111" i="39"/>
  <c r="I112" i="39"/>
  <c r="Q112" i="39"/>
  <c r="Y112" i="39"/>
  <c r="I113" i="39"/>
  <c r="Y113" i="39"/>
  <c r="Q114" i="39"/>
  <c r="Y114" i="39"/>
  <c r="Q115" i="39"/>
  <c r="Y115" i="39"/>
  <c r="I116" i="39"/>
  <c r="Q116" i="39"/>
  <c r="Y116" i="39"/>
  <c r="I117" i="39"/>
  <c r="Q117" i="39"/>
  <c r="Y117" i="39"/>
  <c r="I118" i="39"/>
  <c r="Q118" i="39"/>
  <c r="I119" i="39"/>
  <c r="Q119" i="39"/>
  <c r="I120" i="39"/>
  <c r="Q120" i="39"/>
  <c r="Y120" i="39"/>
  <c r="I121" i="39"/>
  <c r="Q121" i="39"/>
  <c r="Y121" i="39"/>
  <c r="I122" i="39"/>
  <c r="Q122" i="39"/>
  <c r="Y122" i="39"/>
  <c r="I123" i="39"/>
  <c r="Q123" i="39"/>
  <c r="Y123" i="39"/>
  <c r="Q10" i="40"/>
  <c r="Y10" i="40"/>
  <c r="I11" i="40"/>
  <c r="Q11" i="40"/>
  <c r="Y11" i="40"/>
  <c r="I12" i="40"/>
  <c r="Q12" i="40"/>
  <c r="Y12" i="40"/>
  <c r="I13" i="40"/>
  <c r="Q13" i="40"/>
  <c r="Y13" i="40"/>
  <c r="M16" i="40"/>
  <c r="I18" i="40"/>
  <c r="Q18" i="40"/>
  <c r="Y18" i="40"/>
  <c r="I19" i="40"/>
  <c r="Q19" i="40"/>
  <c r="Y19" i="40"/>
  <c r="I20" i="40"/>
  <c r="Q20" i="40"/>
  <c r="Y20" i="40"/>
  <c r="U23" i="40"/>
  <c r="Y27" i="40"/>
  <c r="I28" i="40"/>
  <c r="Q28" i="40"/>
  <c r="Y28" i="40"/>
  <c r="I29" i="40"/>
  <c r="Q29" i="40"/>
  <c r="Y29" i="40"/>
  <c r="M31" i="40"/>
  <c r="E32" i="40"/>
  <c r="E33" i="40"/>
  <c r="E34" i="40"/>
  <c r="I35" i="40"/>
  <c r="Q35" i="40"/>
  <c r="Y35" i="40"/>
  <c r="I36" i="40"/>
  <c r="Q36" i="40"/>
  <c r="Y36" i="40"/>
  <c r="M42" i="40"/>
  <c r="I44" i="40"/>
  <c r="Q44" i="40"/>
  <c r="Y44" i="40"/>
  <c r="I45" i="40"/>
  <c r="Q45" i="40"/>
  <c r="Y45" i="40"/>
  <c r="M47" i="40"/>
  <c r="E48" i="40"/>
  <c r="I50" i="40"/>
  <c r="Q50" i="40"/>
  <c r="Y50" i="40"/>
  <c r="I51" i="40"/>
  <c r="Q51" i="40"/>
  <c r="Y51" i="40"/>
  <c r="I52" i="40"/>
  <c r="Q52" i="40"/>
  <c r="Y52" i="40"/>
  <c r="M57" i="40"/>
  <c r="Q62" i="40"/>
  <c r="Y62" i="40"/>
  <c r="U70" i="40"/>
  <c r="Q73" i="40"/>
  <c r="Y73" i="40"/>
  <c r="I74" i="40"/>
  <c r="Q74" i="40"/>
  <c r="Y74" i="40"/>
  <c r="I75" i="40"/>
  <c r="Q75" i="40"/>
  <c r="Y75" i="40"/>
  <c r="I76" i="40"/>
  <c r="Q76" i="40"/>
  <c r="Y76" i="40"/>
  <c r="E81" i="40"/>
  <c r="I83" i="40"/>
  <c r="Q83" i="40"/>
  <c r="Y83" i="40"/>
  <c r="Q84" i="40"/>
  <c r="Y84" i="40"/>
  <c r="I85" i="40"/>
  <c r="Q85" i="40"/>
  <c r="Y85" i="40"/>
  <c r="U99" i="40"/>
  <c r="I105" i="40"/>
  <c r="Q105" i="40"/>
  <c r="Y105" i="40"/>
  <c r="I106" i="40"/>
  <c r="Q106" i="40"/>
  <c r="Y106" i="40"/>
  <c r="I107" i="40"/>
  <c r="Q107" i="40"/>
  <c r="I108" i="40"/>
  <c r="Q108" i="40"/>
  <c r="Y108" i="40"/>
  <c r="I109" i="40"/>
  <c r="Q109" i="40"/>
  <c r="Y109" i="40"/>
  <c r="U111" i="40"/>
  <c r="Q114" i="40"/>
  <c r="Y114" i="40"/>
  <c r="Q118" i="40"/>
  <c r="Y118" i="40"/>
  <c r="Q122" i="40"/>
  <c r="Y122" i="40"/>
  <c r="M44" i="41"/>
  <c r="Y45" i="41"/>
  <c r="E49" i="41"/>
  <c r="I17" i="40"/>
  <c r="I102" i="40"/>
  <c r="E105" i="40"/>
  <c r="I46" i="40"/>
  <c r="I53" i="40"/>
  <c r="I114" i="40"/>
  <c r="I116" i="40"/>
  <c r="I118" i="40"/>
  <c r="I122" i="40"/>
  <c r="U18" i="40"/>
  <c r="E19" i="40"/>
  <c r="M19" i="40"/>
  <c r="U19" i="40"/>
  <c r="M20" i="40"/>
  <c r="U20" i="40"/>
  <c r="E21" i="40"/>
  <c r="U35" i="40"/>
  <c r="M36" i="40"/>
  <c r="E37" i="40"/>
  <c r="M50" i="40"/>
  <c r="U51" i="40"/>
  <c r="E52" i="40"/>
  <c r="M52" i="40"/>
  <c r="U84" i="40"/>
  <c r="M85" i="40"/>
  <c r="U85" i="40"/>
  <c r="U105" i="40"/>
  <c r="E106" i="40"/>
  <c r="E107" i="40"/>
  <c r="E108" i="40"/>
  <c r="M108" i="40"/>
  <c r="U108" i="40"/>
  <c r="M109" i="40"/>
  <c r="U109" i="40"/>
  <c r="M118" i="40"/>
  <c r="U7" i="40"/>
  <c r="E8" i="40"/>
  <c r="U8" i="40"/>
  <c r="E9" i="40"/>
  <c r="M17" i="40"/>
  <c r="M24" i="40"/>
  <c r="E26" i="40"/>
  <c r="U34" i="40"/>
  <c r="U49" i="40"/>
  <c r="M71" i="40"/>
  <c r="U71" i="40"/>
  <c r="E72" i="40"/>
  <c r="M82" i="40"/>
  <c r="U82" i="40"/>
  <c r="U103" i="40"/>
  <c r="U104" i="40"/>
  <c r="M117" i="40"/>
  <c r="U117" i="40"/>
  <c r="E118" i="40"/>
  <c r="U62" i="40"/>
  <c r="U63" i="40"/>
  <c r="M64" i="40"/>
  <c r="U64" i="40"/>
  <c r="M66" i="40"/>
  <c r="E67" i="40"/>
  <c r="E68" i="40"/>
  <c r="U68" i="40"/>
  <c r="E69" i="40"/>
  <c r="U69" i="40"/>
  <c r="M81" i="40"/>
  <c r="U81" i="40"/>
  <c r="E117" i="40"/>
  <c r="E123" i="40"/>
  <c r="E4" i="40"/>
  <c r="E35" i="40"/>
  <c r="E22" i="40"/>
  <c r="E50" i="40"/>
  <c r="E111" i="40"/>
  <c r="E119" i="40"/>
  <c r="E7" i="40"/>
  <c r="E83" i="40"/>
  <c r="U14" i="40"/>
  <c r="U16" i="40"/>
  <c r="E17" i="40"/>
  <c r="M30" i="40"/>
  <c r="E31" i="40"/>
  <c r="U31" i="40"/>
  <c r="E44" i="40"/>
  <c r="U44" i="40"/>
  <c r="E45" i="40"/>
  <c r="U45" i="40"/>
  <c r="E58" i="40"/>
  <c r="M58" i="40"/>
  <c r="E60" i="40"/>
  <c r="E61" i="40"/>
  <c r="M61" i="40"/>
  <c r="U61" i="40"/>
  <c r="E62" i="40"/>
  <c r="E79" i="40"/>
  <c r="U98" i="40"/>
  <c r="E99" i="40"/>
  <c r="M100" i="40"/>
  <c r="U100" i="40"/>
  <c r="E101" i="40"/>
  <c r="U101" i="40"/>
  <c r="E102" i="40"/>
  <c r="M114" i="40"/>
  <c r="U114" i="40"/>
  <c r="E115" i="40"/>
  <c r="E116" i="40"/>
  <c r="M121" i="40"/>
  <c r="U121" i="40"/>
  <c r="E122" i="40"/>
  <c r="C124" i="40"/>
  <c r="C125" i="40" s="1"/>
  <c r="U10" i="40"/>
  <c r="E11" i="40"/>
  <c r="M11" i="40"/>
  <c r="U11" i="40"/>
  <c r="M12" i="40"/>
  <c r="U13" i="40"/>
  <c r="M27" i="40"/>
  <c r="U27" i="40"/>
  <c r="E28" i="40"/>
  <c r="U28" i="40"/>
  <c r="E29" i="40"/>
  <c r="M39" i="40"/>
  <c r="E40" i="40"/>
  <c r="U40" i="40"/>
  <c r="U41" i="40"/>
  <c r="U42" i="40"/>
  <c r="E43" i="40"/>
  <c r="U53" i="40"/>
  <c r="E54" i="40"/>
  <c r="E55" i="40"/>
  <c r="M55" i="40"/>
  <c r="E56" i="40"/>
  <c r="U56" i="40"/>
  <c r="E57" i="40"/>
  <c r="M73" i="40"/>
  <c r="M74" i="40"/>
  <c r="M75" i="40"/>
  <c r="M76" i="40"/>
  <c r="U76" i="40"/>
  <c r="E77" i="40"/>
  <c r="U86" i="40"/>
  <c r="M87" i="40"/>
  <c r="E88" i="40"/>
  <c r="M88" i="40"/>
  <c r="U88" i="40"/>
  <c r="U89" i="40"/>
  <c r="U90" i="40"/>
  <c r="E92" i="40"/>
  <c r="U92" i="40"/>
  <c r="E93" i="40"/>
  <c r="M93" i="40"/>
  <c r="E95" i="40"/>
  <c r="U95" i="40"/>
  <c r="E96" i="40"/>
  <c r="M96" i="40"/>
  <c r="U96" i="40"/>
  <c r="M97" i="40"/>
  <c r="E98" i="40"/>
  <c r="M112" i="40"/>
  <c r="U112" i="40"/>
  <c r="E113" i="40"/>
  <c r="M113" i="40"/>
  <c r="U113" i="40"/>
  <c r="E114" i="40"/>
  <c r="M120" i="40"/>
  <c r="U120" i="40"/>
  <c r="E121" i="40"/>
  <c r="M88" i="39"/>
  <c r="M90" i="39"/>
  <c r="M91" i="39"/>
  <c r="E92" i="39"/>
  <c r="M92" i="39"/>
  <c r="M95" i="39"/>
  <c r="U95" i="39"/>
  <c r="E97" i="39"/>
  <c r="E99" i="39"/>
  <c r="M103" i="39"/>
  <c r="M106" i="39"/>
  <c r="M107" i="39"/>
  <c r="M109" i="39"/>
  <c r="E110" i="39"/>
  <c r="E112" i="39"/>
  <c r="M112" i="39"/>
  <c r="E115" i="39"/>
  <c r="E116" i="39"/>
  <c r="M116" i="39"/>
  <c r="U118" i="39"/>
  <c r="E121" i="39"/>
  <c r="M121" i="39"/>
  <c r="M4" i="40"/>
  <c r="M6" i="40"/>
  <c r="U9" i="40"/>
  <c r="E10" i="40"/>
  <c r="M10" i="40"/>
  <c r="E14" i="40"/>
  <c r="U15" i="40"/>
  <c r="E16" i="40"/>
  <c r="U17" i="40"/>
  <c r="E18" i="40"/>
  <c r="M22" i="40"/>
  <c r="M23" i="40"/>
  <c r="M25" i="40"/>
  <c r="U25" i="40"/>
  <c r="E27" i="40"/>
  <c r="M28" i="40"/>
  <c r="M29" i="40"/>
  <c r="M33" i="40"/>
  <c r="U33" i="40"/>
  <c r="M34" i="40"/>
  <c r="E36" i="40"/>
  <c r="U36" i="40"/>
  <c r="U39" i="40"/>
  <c r="E41" i="40"/>
  <c r="M41" i="40"/>
  <c r="M44" i="40"/>
  <c r="E46" i="40"/>
  <c r="M46" i="40"/>
  <c r="E49" i="40"/>
  <c r="M51" i="40"/>
  <c r="U55" i="40"/>
  <c r="M56" i="40"/>
  <c r="U59" i="40"/>
  <c r="M60" i="40"/>
  <c r="U60" i="40"/>
  <c r="E63" i="40"/>
  <c r="U66" i="40"/>
  <c r="M67" i="40"/>
  <c r="M68" i="40"/>
  <c r="E71" i="40"/>
  <c r="M72" i="40"/>
  <c r="E74" i="40"/>
  <c r="M78" i="40"/>
  <c r="U78" i="40"/>
  <c r="U80" i="40"/>
  <c r="E82" i="40"/>
  <c r="M83" i="40"/>
  <c r="M84" i="40"/>
  <c r="M86" i="40"/>
  <c r="E87" i="40"/>
  <c r="E90" i="40"/>
  <c r="M90" i="40"/>
  <c r="M92" i="40"/>
  <c r="U93" i="40"/>
  <c r="E94" i="40"/>
  <c r="E97" i="40"/>
  <c r="E100" i="40"/>
  <c r="M101" i="40"/>
  <c r="M102" i="40"/>
  <c r="M105" i="40"/>
  <c r="U106" i="40"/>
  <c r="E109" i="40"/>
  <c r="E110" i="40"/>
  <c r="Q32" i="39"/>
  <c r="Y32" i="39"/>
  <c r="I33" i="39"/>
  <c r="Q33" i="39"/>
  <c r="Y33" i="39"/>
  <c r="Q34" i="39"/>
  <c r="Y34" i="39"/>
  <c r="I35" i="39"/>
  <c r="Y35" i="39"/>
  <c r="I36" i="39"/>
  <c r="Q36" i="39"/>
  <c r="Y36" i="39"/>
  <c r="I37" i="39"/>
  <c r="Y37" i="39"/>
  <c r="I38" i="39"/>
  <c r="Q38" i="39"/>
  <c r="Y38" i="39"/>
  <c r="Q39" i="39"/>
  <c r="Y39" i="39"/>
  <c r="I40" i="39"/>
  <c r="Q40" i="39"/>
  <c r="Y40" i="39"/>
  <c r="Y41" i="39"/>
  <c r="I42" i="39"/>
  <c r="Q42" i="39"/>
  <c r="I43" i="39"/>
  <c r="Y43" i="39"/>
  <c r="I44" i="39"/>
  <c r="Q44" i="39"/>
  <c r="Y44" i="39"/>
  <c r="Q45" i="39"/>
  <c r="Y45" i="39"/>
  <c r="I46" i="39"/>
  <c r="Q46" i="39"/>
  <c r="Y46" i="39"/>
  <c r="I47" i="39"/>
  <c r="Q47" i="39"/>
  <c r="Q48" i="39"/>
  <c r="I49" i="39"/>
  <c r="Q49" i="39"/>
  <c r="Y49" i="39"/>
  <c r="I50" i="39"/>
  <c r="Q50" i="39"/>
  <c r="Y50" i="39"/>
  <c r="I51" i="39"/>
  <c r="Y51" i="39"/>
  <c r="Q52" i="39"/>
  <c r="I53" i="39"/>
  <c r="Q53" i="39"/>
  <c r="Q54" i="39"/>
  <c r="I55" i="39"/>
  <c r="I56" i="39"/>
  <c r="Y56" i="39"/>
  <c r="I57" i="39"/>
  <c r="Q57" i="39"/>
  <c r="Y57" i="39"/>
  <c r="Q58" i="39"/>
  <c r="Y58" i="39"/>
  <c r="I59" i="39"/>
  <c r="Y59" i="39"/>
  <c r="I60" i="39"/>
  <c r="Y60" i="39"/>
  <c r="I61" i="39"/>
  <c r="Q61" i="39"/>
  <c r="Y61" i="39"/>
  <c r="I62" i="39"/>
  <c r="Q62" i="39"/>
  <c r="I63" i="39"/>
  <c r="Q63" i="39"/>
  <c r="Y63" i="39"/>
  <c r="I64" i="39"/>
  <c r="Q64" i="39"/>
  <c r="Y64" i="39"/>
  <c r="Q65" i="39"/>
  <c r="Y65" i="39"/>
  <c r="I66" i="39"/>
  <c r="Q66" i="39"/>
  <c r="Y66" i="39"/>
  <c r="I67" i="39"/>
  <c r="Q67" i="39"/>
  <c r="Y67" i="39"/>
  <c r="I68" i="39"/>
  <c r="Y68" i="39"/>
  <c r="I69" i="39"/>
  <c r="I70" i="39"/>
  <c r="Q70" i="39"/>
  <c r="Y70" i="39"/>
  <c r="I71" i="39"/>
  <c r="Q71" i="39"/>
  <c r="Y71" i="39"/>
  <c r="I72" i="39"/>
  <c r="Q72" i="39"/>
  <c r="Y72" i="39"/>
  <c r="I73" i="39"/>
  <c r="Q73" i="39"/>
  <c r="Y73" i="39"/>
  <c r="I74" i="39"/>
  <c r="I75" i="39"/>
  <c r="Q75" i="39"/>
  <c r="Y75" i="39"/>
  <c r="I76" i="39"/>
  <c r="Q76" i="39"/>
  <c r="I77" i="39"/>
  <c r="Q77" i="39"/>
  <c r="I78" i="39"/>
  <c r="Q78" i="39"/>
  <c r="Y78" i="39"/>
  <c r="I79" i="39"/>
  <c r="Y79" i="39"/>
  <c r="I80" i="39"/>
  <c r="Q80" i="39"/>
  <c r="Y80" i="39"/>
  <c r="I81" i="39"/>
  <c r="Q81" i="39"/>
  <c r="Y81" i="39"/>
  <c r="I82" i="39"/>
  <c r="Q82" i="39"/>
  <c r="Y82" i="39"/>
  <c r="Q83" i="39"/>
  <c r="I84" i="39"/>
  <c r="Q84" i="39"/>
  <c r="Y84" i="39"/>
  <c r="Q85" i="39"/>
  <c r="Y85" i="39"/>
  <c r="I86" i="39"/>
  <c r="Q86" i="39"/>
  <c r="Y86" i="39"/>
  <c r="I87" i="39"/>
  <c r="Q87" i="39"/>
  <c r="I38" i="41"/>
  <c r="I43" i="41"/>
  <c r="E117" i="41"/>
  <c r="U89" i="39"/>
  <c r="E93" i="39"/>
  <c r="U94" i="39"/>
  <c r="M98" i="39"/>
  <c r="E100" i="39"/>
  <c r="E101" i="39"/>
  <c r="E103" i="39"/>
  <c r="M104" i="39"/>
  <c r="U107" i="39"/>
  <c r="U110" i="39"/>
  <c r="U112" i="39"/>
  <c r="U115" i="39"/>
  <c r="U117" i="39"/>
  <c r="M119" i="39"/>
  <c r="E120" i="39"/>
  <c r="E122" i="39"/>
  <c r="M7" i="40"/>
  <c r="M9" i="40"/>
  <c r="E12" i="40"/>
  <c r="M13" i="40"/>
  <c r="M15" i="40"/>
  <c r="E20" i="40"/>
  <c r="U22" i="40"/>
  <c r="U24" i="40"/>
  <c r="M26" i="40"/>
  <c r="M32" i="40"/>
  <c r="U32" i="40"/>
  <c r="M38" i="40"/>
  <c r="M40" i="40"/>
  <c r="E42" i="40"/>
  <c r="M43" i="40"/>
  <c r="U43" i="40"/>
  <c r="U46" i="40"/>
  <c r="U47" i="40"/>
  <c r="M48" i="40"/>
  <c r="M49" i="40"/>
  <c r="E53" i="40"/>
  <c r="M53" i="40"/>
  <c r="M54" i="40"/>
  <c r="U57" i="40"/>
  <c r="U58" i="40"/>
  <c r="M62" i="40"/>
  <c r="E64" i="40"/>
  <c r="E65" i="40"/>
  <c r="M65" i="40"/>
  <c r="M69" i="40"/>
  <c r="E70" i="40"/>
  <c r="E73" i="40"/>
  <c r="U73" i="40"/>
  <c r="U74" i="40"/>
  <c r="U77" i="40"/>
  <c r="E80" i="40"/>
  <c r="M80" i="40"/>
  <c r="U83" i="40"/>
  <c r="E84" i="40"/>
  <c r="E85" i="40"/>
  <c r="U87" i="40"/>
  <c r="E89" i="40"/>
  <c r="M89" i="40"/>
  <c r="M91" i="40"/>
  <c r="M94" i="40"/>
  <c r="M98" i="40"/>
  <c r="M99" i="40"/>
  <c r="M103" i="40"/>
  <c r="U107" i="40"/>
  <c r="M110" i="40"/>
  <c r="E112" i="40"/>
  <c r="Y9" i="41"/>
  <c r="E13" i="41"/>
  <c r="I66" i="41"/>
  <c r="E4" i="41"/>
  <c r="Y6" i="41"/>
  <c r="E32" i="41"/>
  <c r="E60" i="41"/>
  <c r="E88" i="41"/>
  <c r="Y89" i="41"/>
  <c r="Q79" i="41"/>
  <c r="Q27" i="41"/>
  <c r="Q19" i="41"/>
  <c r="Q105" i="41"/>
  <c r="Q97" i="41"/>
  <c r="Q10" i="41"/>
  <c r="Q34" i="41"/>
  <c r="Q42" i="41"/>
  <c r="M4" i="39"/>
  <c r="E5" i="39"/>
  <c r="M5" i="39"/>
  <c r="E6" i="39"/>
  <c r="U6" i="39"/>
  <c r="E7" i="39"/>
  <c r="U7" i="39"/>
  <c r="U8" i="39"/>
  <c r="E9" i="39"/>
  <c r="E10" i="39"/>
  <c r="M10" i="39"/>
  <c r="U10" i="39"/>
  <c r="U11" i="39"/>
  <c r="M13" i="39"/>
  <c r="E14" i="39"/>
  <c r="U15" i="39"/>
  <c r="E16" i="39"/>
  <c r="M16" i="39"/>
  <c r="U16" i="39"/>
  <c r="E17" i="39"/>
  <c r="M17" i="39"/>
  <c r="U17" i="39"/>
  <c r="U19" i="39"/>
  <c r="M20" i="39"/>
  <c r="U20" i="39"/>
  <c r="M21" i="39"/>
  <c r="E22" i="39"/>
  <c r="M22" i="39"/>
  <c r="U22" i="39"/>
  <c r="M23" i="39"/>
  <c r="E24" i="39"/>
  <c r="M24" i="39"/>
  <c r="E25" i="39"/>
  <c r="M25" i="39"/>
  <c r="U25" i="39"/>
  <c r="M26" i="39"/>
  <c r="E27" i="39"/>
  <c r="M27" i="39"/>
  <c r="U27" i="39"/>
  <c r="E28" i="39"/>
  <c r="M29" i="39"/>
  <c r="E30" i="39"/>
  <c r="U30" i="39"/>
  <c r="E31" i="39"/>
  <c r="Y77" i="41"/>
  <c r="Y81" i="41"/>
  <c r="R4" i="24"/>
  <c r="X4" i="24"/>
  <c r="AD4" i="24"/>
  <c r="F45" i="1" s="1"/>
  <c r="AJ4" i="24"/>
  <c r="F47" i="1" s="1"/>
  <c r="D10" i="1"/>
  <c r="G176" i="1"/>
  <c r="F185" i="1"/>
  <c r="I5" i="1"/>
  <c r="E185" i="1"/>
  <c r="E176" i="1"/>
  <c r="G185" i="1"/>
  <c r="H176" i="1"/>
  <c r="H185" i="1"/>
  <c r="K3" i="1"/>
  <c r="F176" i="1"/>
  <c r="D5" i="1"/>
  <c r="X41" i="85"/>
  <c r="T41" i="85"/>
  <c r="X64" i="85"/>
  <c r="T64" i="85"/>
  <c r="Q31" i="39"/>
  <c r="Y77" i="39"/>
  <c r="M8" i="41"/>
  <c r="M36" i="41"/>
  <c r="M64" i="41"/>
  <c r="E73" i="41"/>
  <c r="I102" i="41"/>
  <c r="Q65" i="41"/>
  <c r="Y29" i="41"/>
  <c r="M56" i="41"/>
  <c r="X11" i="85"/>
  <c r="T11" i="85"/>
  <c r="X55" i="85"/>
  <c r="P55" i="85"/>
  <c r="X110" i="85"/>
  <c r="T110" i="85"/>
  <c r="X33" i="85"/>
  <c r="T33" i="85"/>
  <c r="X73" i="85"/>
  <c r="P73" i="85"/>
  <c r="T83" i="85"/>
  <c r="X91" i="85"/>
  <c r="P91" i="85"/>
  <c r="X122" i="85"/>
  <c r="T122" i="85"/>
  <c r="E116" i="41"/>
  <c r="O125" i="36"/>
  <c r="X57" i="85"/>
  <c r="T57" i="85"/>
  <c r="X71" i="85"/>
  <c r="P71" i="85"/>
  <c r="X103" i="85"/>
  <c r="P103" i="85"/>
  <c r="X116" i="85"/>
  <c r="T116" i="85"/>
  <c r="X7" i="95"/>
  <c r="N4" i="95"/>
  <c r="X4" i="95" s="1"/>
  <c r="R6" i="85"/>
  <c r="X7" i="85"/>
  <c r="X8" i="85"/>
  <c r="X13" i="85"/>
  <c r="X18" i="85"/>
  <c r="X23" i="85"/>
  <c r="X28" i="85"/>
  <c r="X35" i="85"/>
  <c r="X36" i="85"/>
  <c r="X43" i="85"/>
  <c r="X44" i="85"/>
  <c r="X46" i="85"/>
  <c r="X51" i="85"/>
  <c r="X59" i="85"/>
  <c r="X63" i="85"/>
  <c r="X65" i="85"/>
  <c r="X66" i="85"/>
  <c r="X75" i="85"/>
  <c r="X76" i="85"/>
  <c r="X81" i="85"/>
  <c r="X82" i="85"/>
  <c r="X84" i="85"/>
  <c r="X88" i="85"/>
  <c r="X94" i="85"/>
  <c r="X98" i="85"/>
  <c r="X105" i="85"/>
  <c r="X111" i="85"/>
  <c r="X117" i="85"/>
  <c r="X121" i="85"/>
  <c r="X123" i="85"/>
  <c r="X124" i="85"/>
  <c r="R132" i="72"/>
  <c r="J4" i="95"/>
  <c r="U4" i="95" s="1"/>
  <c r="BC126" i="97"/>
  <c r="BC89" i="97"/>
  <c r="Q6" i="85"/>
  <c r="T25" i="85"/>
  <c r="X45" i="85"/>
  <c r="X47" i="85"/>
  <c r="X67" i="85"/>
  <c r="T69" i="85"/>
  <c r="X77" i="85"/>
  <c r="X83" i="85"/>
  <c r="X99" i="85"/>
  <c r="P101" i="85"/>
  <c r="P107" i="85"/>
  <c r="S132" i="72"/>
  <c r="W4" i="95"/>
  <c r="AS29" i="97"/>
  <c r="BA29" i="97" s="1"/>
  <c r="AT8" i="97"/>
  <c r="BB8" i="97" s="1"/>
  <c r="AR102" i="97"/>
  <c r="AZ102" i="97" s="1"/>
  <c r="AS10" i="97"/>
  <c r="BA10" i="97" s="1"/>
  <c r="AR13" i="97"/>
  <c r="AZ13" i="97" s="1"/>
  <c r="AS17" i="97"/>
  <c r="BA17" i="97" s="1"/>
  <c r="AT24" i="97"/>
  <c r="BB24" i="97" s="1"/>
  <c r="AT33" i="97"/>
  <c r="BB33" i="97" s="1"/>
  <c r="AS36" i="97"/>
  <c r="BA36" i="97" s="1"/>
  <c r="AT109" i="97"/>
  <c r="BB109" i="97" s="1"/>
  <c r="AT115" i="97"/>
  <c r="BB115" i="97" s="1"/>
  <c r="BC115" i="97" s="1"/>
  <c r="AT70" i="97"/>
  <c r="BB70" i="97" s="1"/>
  <c r="AR74" i="97"/>
  <c r="AZ74" i="97" s="1"/>
  <c r="AR80" i="97"/>
  <c r="AZ80" i="97" s="1"/>
  <c r="AT91" i="97"/>
  <c r="BB91" i="97" s="1"/>
  <c r="BC91" i="97" s="1"/>
  <c r="AT123" i="97"/>
  <c r="BB123" i="97" s="1"/>
  <c r="AT11" i="97"/>
  <c r="BB11" i="97" s="1"/>
  <c r="AS20" i="97"/>
  <c r="BA20" i="97" s="1"/>
  <c r="AS21" i="97"/>
  <c r="BA21" i="97" s="1"/>
  <c r="AS23" i="97"/>
  <c r="BA23" i="97" s="1"/>
  <c r="AR107" i="97"/>
  <c r="AZ107" i="97" s="1"/>
  <c r="AR61" i="97"/>
  <c r="AZ61" i="97" s="1"/>
  <c r="AR116" i="97"/>
  <c r="AZ116" i="97" s="1"/>
  <c r="BC116" i="97" s="1"/>
  <c r="F39" i="1" l="1"/>
  <c r="E39" i="1"/>
  <c r="H23" i="108"/>
  <c r="H21" i="108"/>
  <c r="H17" i="108"/>
  <c r="H13" i="108"/>
  <c r="H9" i="108"/>
  <c r="H5" i="108"/>
  <c r="H20" i="108"/>
  <c r="H16" i="108"/>
  <c r="H12" i="108"/>
  <c r="H8" i="108"/>
  <c r="H4" i="108"/>
  <c r="H19" i="108"/>
  <c r="H15" i="108"/>
  <c r="H11" i="108"/>
  <c r="H7" i="108"/>
  <c r="H3" i="108"/>
  <c r="H22" i="108"/>
  <c r="H18" i="108"/>
  <c r="H14" i="108"/>
  <c r="H10" i="108"/>
  <c r="H6" i="108"/>
  <c r="C20" i="108"/>
  <c r="C16" i="108"/>
  <c r="C12" i="108"/>
  <c r="C8" i="108"/>
  <c r="C4" i="108"/>
  <c r="C23" i="108"/>
  <c r="C19" i="108"/>
  <c r="C15" i="108"/>
  <c r="C11" i="108"/>
  <c r="C7" i="108"/>
  <c r="C3" i="108"/>
  <c r="C22" i="108"/>
  <c r="C18" i="108"/>
  <c r="C14" i="108"/>
  <c r="C10" i="108"/>
  <c r="C6" i="108"/>
  <c r="C21" i="108"/>
  <c r="C17" i="108"/>
  <c r="C13" i="108"/>
  <c r="C9" i="108"/>
  <c r="C5" i="108"/>
  <c r="F19" i="1"/>
  <c r="F15" i="1"/>
  <c r="F18" i="1"/>
  <c r="F14" i="1"/>
  <c r="F12" i="1"/>
  <c r="F21" i="1"/>
  <c r="F17" i="1"/>
  <c r="F13" i="1"/>
  <c r="F11" i="1"/>
  <c r="F20" i="1"/>
  <c r="F16" i="1"/>
  <c r="H14" i="118"/>
  <c r="H82" i="118"/>
  <c r="H76" i="118"/>
  <c r="H80" i="118"/>
  <c r="H42" i="118"/>
  <c r="H12" i="118"/>
  <c r="H28" i="118"/>
  <c r="H72" i="118"/>
  <c r="H122" i="118"/>
  <c r="J208" i="1"/>
  <c r="J207" i="1" s="1"/>
  <c r="AG72" i="79"/>
  <c r="AF72" i="79"/>
  <c r="AE72" i="79"/>
  <c r="AD72" i="79"/>
  <c r="AG24" i="79"/>
  <c r="AF24" i="79"/>
  <c r="AD24" i="79"/>
  <c r="AE24" i="79"/>
  <c r="AG30" i="79"/>
  <c r="AF30" i="79"/>
  <c r="AE30" i="79"/>
  <c r="AD30" i="79"/>
  <c r="AG107" i="79"/>
  <c r="AF107" i="79"/>
  <c r="AE107" i="79"/>
  <c r="AD107" i="79"/>
  <c r="AG59" i="79"/>
  <c r="AF59" i="79"/>
  <c r="AE59" i="79"/>
  <c r="AD59" i="79"/>
  <c r="AG78" i="79"/>
  <c r="AF78" i="79"/>
  <c r="AE78" i="79"/>
  <c r="AD78" i="79"/>
  <c r="AG28" i="79"/>
  <c r="AF28" i="79"/>
  <c r="AD28" i="79"/>
  <c r="AE28" i="79"/>
  <c r="AG76" i="79"/>
  <c r="AF76" i="79"/>
  <c r="AD76" i="79"/>
  <c r="AE76" i="79"/>
  <c r="AG62" i="79"/>
  <c r="AF62" i="79"/>
  <c r="AD62" i="79"/>
  <c r="AE62" i="79"/>
  <c r="AG65" i="79"/>
  <c r="AF65" i="79"/>
  <c r="AE65" i="79"/>
  <c r="AD65" i="79"/>
  <c r="AG113" i="79"/>
  <c r="AF113" i="79"/>
  <c r="AE113" i="79"/>
  <c r="AD113" i="79"/>
  <c r="AG81" i="79"/>
  <c r="AF81" i="79"/>
  <c r="AE81" i="79"/>
  <c r="AD81" i="79"/>
  <c r="AG10" i="79"/>
  <c r="AF10" i="79"/>
  <c r="AE10" i="79"/>
  <c r="AD10" i="79"/>
  <c r="AG92" i="79"/>
  <c r="AF92" i="79"/>
  <c r="AD92" i="79"/>
  <c r="AE92" i="79"/>
  <c r="AG48" i="79"/>
  <c r="AF48" i="79"/>
  <c r="AE48" i="79"/>
  <c r="AD48" i="79"/>
  <c r="AG74" i="79"/>
  <c r="AF74" i="79"/>
  <c r="AD74" i="79"/>
  <c r="AE74" i="79"/>
  <c r="AG119" i="79"/>
  <c r="AF119" i="79"/>
  <c r="AE119" i="79"/>
  <c r="AD119" i="79"/>
  <c r="AG79" i="79"/>
  <c r="AF79" i="79"/>
  <c r="AE79" i="79"/>
  <c r="AD79" i="79"/>
  <c r="AG27" i="79"/>
  <c r="AF27" i="79"/>
  <c r="AD27" i="79"/>
  <c r="AE27" i="79"/>
  <c r="AG54" i="79"/>
  <c r="AF54" i="79"/>
  <c r="AE54" i="79"/>
  <c r="AD54" i="79"/>
  <c r="AG56" i="79"/>
  <c r="AF56" i="79"/>
  <c r="AE56" i="79"/>
  <c r="AD56" i="79"/>
  <c r="AG40" i="79"/>
  <c r="AF40" i="79"/>
  <c r="AD40" i="79"/>
  <c r="AE40" i="79"/>
  <c r="AG46" i="79"/>
  <c r="AF46" i="79"/>
  <c r="AD46" i="79"/>
  <c r="AE46" i="79"/>
  <c r="AG97" i="79"/>
  <c r="AF97" i="79"/>
  <c r="AD97" i="79"/>
  <c r="AE97" i="79"/>
  <c r="AG87" i="79"/>
  <c r="AF87" i="79"/>
  <c r="AE87" i="79"/>
  <c r="AD87" i="79"/>
  <c r="AG95" i="79"/>
  <c r="AF95" i="79"/>
  <c r="AD95" i="79"/>
  <c r="AE95" i="79"/>
  <c r="AG13" i="79"/>
  <c r="AF13" i="79"/>
  <c r="AE13" i="79"/>
  <c r="AD13" i="79"/>
  <c r="AG116" i="79"/>
  <c r="AF116" i="79"/>
  <c r="AE116" i="79"/>
  <c r="AD116" i="79"/>
  <c r="AG84" i="79"/>
  <c r="AF84" i="79"/>
  <c r="AE84" i="79"/>
  <c r="AD84" i="79"/>
  <c r="AG60" i="79"/>
  <c r="AF60" i="79"/>
  <c r="AE60" i="79"/>
  <c r="AD60" i="79"/>
  <c r="AG32" i="79"/>
  <c r="AF32" i="79"/>
  <c r="AE32" i="79"/>
  <c r="AD32" i="79"/>
  <c r="AG110" i="79"/>
  <c r="AF110" i="79"/>
  <c r="AE110" i="79"/>
  <c r="AD110" i="79"/>
  <c r="AG50" i="79"/>
  <c r="AF50" i="79"/>
  <c r="AE50" i="79"/>
  <c r="AD50" i="79"/>
  <c r="AG53" i="79"/>
  <c r="AF53" i="79"/>
  <c r="AD53" i="79"/>
  <c r="AE53" i="79"/>
  <c r="AG111" i="79"/>
  <c r="AF111" i="79"/>
  <c r="AE111" i="79"/>
  <c r="AD111" i="79"/>
  <c r="AG91" i="79"/>
  <c r="AF91" i="79"/>
  <c r="AD91" i="79"/>
  <c r="AE91" i="79"/>
  <c r="AG63" i="79"/>
  <c r="AF63" i="79"/>
  <c r="AE63" i="79"/>
  <c r="AD63" i="79"/>
  <c r="AG39" i="79"/>
  <c r="AF39" i="79"/>
  <c r="AD39" i="79"/>
  <c r="AE39" i="79"/>
  <c r="AG19" i="79"/>
  <c r="AF19" i="79"/>
  <c r="AD19" i="79"/>
  <c r="AE19" i="79"/>
  <c r="AG86" i="79"/>
  <c r="AF86" i="79"/>
  <c r="AD86" i="79"/>
  <c r="AE86" i="79"/>
  <c r="AG34" i="79"/>
  <c r="AF34" i="79"/>
  <c r="AE34" i="79"/>
  <c r="AD34" i="79"/>
  <c r="AG82" i="79"/>
  <c r="AF82" i="79"/>
  <c r="AE82" i="79"/>
  <c r="AD82" i="79"/>
  <c r="AG118" i="79"/>
  <c r="AF118" i="79"/>
  <c r="AD118" i="79"/>
  <c r="AE118" i="79"/>
  <c r="AG80" i="79"/>
  <c r="AF80" i="79"/>
  <c r="AE80" i="79"/>
  <c r="AD80" i="79"/>
  <c r="AG114" i="79"/>
  <c r="AF114" i="79"/>
  <c r="AD114" i="79"/>
  <c r="AE114" i="79"/>
  <c r="AG66" i="79"/>
  <c r="AF66" i="79"/>
  <c r="AD66" i="79"/>
  <c r="AE66" i="79"/>
  <c r="AG22" i="79"/>
  <c r="AF22" i="79"/>
  <c r="AE22" i="79"/>
  <c r="AD22" i="79"/>
  <c r="AG69" i="79"/>
  <c r="AF69" i="79"/>
  <c r="AE69" i="79"/>
  <c r="AD69" i="79"/>
  <c r="AG25" i="79"/>
  <c r="AF25" i="79"/>
  <c r="AD25" i="79"/>
  <c r="AE25" i="79"/>
  <c r="AG121" i="79"/>
  <c r="AF121" i="79"/>
  <c r="AD121" i="79"/>
  <c r="AE121" i="79"/>
  <c r="AG106" i="79"/>
  <c r="AF106" i="79"/>
  <c r="AD106" i="79"/>
  <c r="AE106" i="79"/>
  <c r="AG67" i="79"/>
  <c r="AF67" i="79"/>
  <c r="AE67" i="79"/>
  <c r="AD67" i="79"/>
  <c r="AG6" i="79"/>
  <c r="AF6" i="79"/>
  <c r="AD6" i="79"/>
  <c r="AE6" i="79"/>
  <c r="AG96" i="79"/>
  <c r="AF96" i="79"/>
  <c r="AD96" i="79"/>
  <c r="AE96" i="79"/>
  <c r="AG52" i="79"/>
  <c r="AF52" i="79"/>
  <c r="AE52" i="79"/>
  <c r="AD52" i="79"/>
  <c r="AG90" i="79"/>
  <c r="AF90" i="79"/>
  <c r="AD90" i="79"/>
  <c r="AE90" i="79"/>
  <c r="AG123" i="79"/>
  <c r="AF123" i="79"/>
  <c r="AD123" i="79"/>
  <c r="AE123" i="79"/>
  <c r="AG83" i="79"/>
  <c r="AF83" i="79"/>
  <c r="AD83" i="79"/>
  <c r="AE83" i="79"/>
  <c r="AG31" i="79"/>
  <c r="AF31" i="79"/>
  <c r="AD31" i="79"/>
  <c r="AE31" i="79"/>
  <c r="AG15" i="79"/>
  <c r="AF15" i="79"/>
  <c r="AD15" i="79"/>
  <c r="AE15" i="79"/>
  <c r="AG18" i="79"/>
  <c r="AF18" i="79"/>
  <c r="AE18" i="79"/>
  <c r="AD18" i="79"/>
  <c r="AG124" i="79"/>
  <c r="AF124" i="79"/>
  <c r="AD124" i="79"/>
  <c r="AE124" i="79"/>
  <c r="AG98" i="79"/>
  <c r="AF98" i="79"/>
  <c r="AD98" i="79"/>
  <c r="AE98" i="79"/>
  <c r="AG117" i="79"/>
  <c r="AF117" i="79"/>
  <c r="AE117" i="79"/>
  <c r="AD117" i="79"/>
  <c r="AG21" i="79"/>
  <c r="AF21" i="79"/>
  <c r="AD21" i="79"/>
  <c r="AE21" i="79"/>
  <c r="AG41" i="79"/>
  <c r="AF41" i="79"/>
  <c r="AD41" i="79"/>
  <c r="AE41" i="79"/>
  <c r="AG68" i="79"/>
  <c r="AF68" i="79"/>
  <c r="AD68" i="79"/>
  <c r="AE68" i="79"/>
  <c r="AG20" i="79"/>
  <c r="AF20" i="79"/>
  <c r="AE20" i="79"/>
  <c r="AD20" i="79"/>
  <c r="AG14" i="79"/>
  <c r="AF14" i="79"/>
  <c r="AE14" i="79"/>
  <c r="AD14" i="79"/>
  <c r="AG103" i="79"/>
  <c r="AF103" i="79"/>
  <c r="AD103" i="79"/>
  <c r="AE103" i="79"/>
  <c r="AG51" i="79"/>
  <c r="AF51" i="79"/>
  <c r="AD51" i="79"/>
  <c r="AE51" i="79"/>
  <c r="AG11" i="79"/>
  <c r="AF11" i="79"/>
  <c r="AE11" i="79"/>
  <c r="AD11" i="79"/>
  <c r="AG89" i="79"/>
  <c r="AF89" i="79"/>
  <c r="AE89" i="79"/>
  <c r="AD89" i="79"/>
  <c r="AG112" i="79"/>
  <c r="AF112" i="79"/>
  <c r="AE112" i="79"/>
  <c r="AD112" i="79"/>
  <c r="AG94" i="79"/>
  <c r="AF94" i="79"/>
  <c r="AD94" i="79"/>
  <c r="AE94" i="79"/>
  <c r="AG61" i="79"/>
  <c r="AF61" i="79"/>
  <c r="AD61" i="79"/>
  <c r="AE61" i="79"/>
  <c r="AG109" i="79"/>
  <c r="AF109" i="79"/>
  <c r="AE109" i="79"/>
  <c r="AD109" i="79"/>
  <c r="AG42" i="79"/>
  <c r="AF42" i="79"/>
  <c r="AD42" i="79"/>
  <c r="AE42" i="79"/>
  <c r="AG17" i="79"/>
  <c r="AF17" i="79"/>
  <c r="AD17" i="79"/>
  <c r="AE17" i="79"/>
  <c r="AG120" i="79"/>
  <c r="AF120" i="79"/>
  <c r="AD120" i="79"/>
  <c r="AE120" i="79"/>
  <c r="AG88" i="79"/>
  <c r="AF88" i="79"/>
  <c r="AE88" i="79"/>
  <c r="AD88" i="79"/>
  <c r="AG64" i="79"/>
  <c r="AF64" i="79"/>
  <c r="AD64" i="79"/>
  <c r="AE64" i="79"/>
  <c r="AG44" i="79"/>
  <c r="AF44" i="79"/>
  <c r="AE44" i="79"/>
  <c r="AD44" i="79"/>
  <c r="AG8" i="79"/>
  <c r="AF8" i="79"/>
  <c r="AE8" i="79"/>
  <c r="AD8" i="79"/>
  <c r="AG58" i="79"/>
  <c r="AF58" i="79"/>
  <c r="AE58" i="79"/>
  <c r="AD58" i="79"/>
  <c r="AG101" i="79"/>
  <c r="AF101" i="79"/>
  <c r="AE101" i="79"/>
  <c r="AD101" i="79"/>
  <c r="AG115" i="79"/>
  <c r="AF115" i="79"/>
  <c r="AD115" i="79"/>
  <c r="AE115" i="79"/>
  <c r="AG99" i="79"/>
  <c r="AF99" i="79"/>
  <c r="AE99" i="79"/>
  <c r="AD99" i="79"/>
  <c r="AG75" i="79"/>
  <c r="AF75" i="79"/>
  <c r="AD75" i="79"/>
  <c r="AE75" i="79"/>
  <c r="AG43" i="79"/>
  <c r="AF43" i="79"/>
  <c r="AE43" i="79"/>
  <c r="AD43" i="79"/>
  <c r="AG23" i="79"/>
  <c r="AF23" i="79"/>
  <c r="AD23" i="79"/>
  <c r="AE23" i="79"/>
  <c r="AG122" i="79"/>
  <c r="AF122" i="79"/>
  <c r="AD122" i="79"/>
  <c r="AE122" i="79"/>
  <c r="AG38" i="79"/>
  <c r="AF38" i="79"/>
  <c r="AD38" i="79"/>
  <c r="AE38" i="79"/>
  <c r="AG49" i="79"/>
  <c r="AF49" i="79"/>
  <c r="AD49" i="79"/>
  <c r="AE49" i="79"/>
  <c r="AG104" i="79"/>
  <c r="AF104" i="79"/>
  <c r="AE104" i="79"/>
  <c r="AD104" i="79"/>
  <c r="AG108" i="79"/>
  <c r="AF108" i="79"/>
  <c r="AD108" i="79"/>
  <c r="AE108" i="79"/>
  <c r="AG36" i="79"/>
  <c r="AF36" i="79"/>
  <c r="AE36" i="79"/>
  <c r="AD36" i="79"/>
  <c r="AG70" i="79"/>
  <c r="AF70" i="79"/>
  <c r="AE70" i="79"/>
  <c r="AD70" i="79"/>
  <c r="AG26" i="79"/>
  <c r="AF26" i="79"/>
  <c r="AE26" i="79"/>
  <c r="AD26" i="79"/>
  <c r="AG93" i="79"/>
  <c r="AF93" i="79"/>
  <c r="AE93" i="79"/>
  <c r="AD93" i="79"/>
  <c r="AG45" i="79"/>
  <c r="AF45" i="79"/>
  <c r="AE45" i="79"/>
  <c r="AD45" i="79"/>
  <c r="AG47" i="79"/>
  <c r="AF47" i="79"/>
  <c r="AD47" i="79"/>
  <c r="AE47" i="79"/>
  <c r="AG35" i="79"/>
  <c r="AF35" i="79"/>
  <c r="AD35" i="79"/>
  <c r="AE35" i="79"/>
  <c r="AG73" i="79"/>
  <c r="AF73" i="79"/>
  <c r="AD73" i="79"/>
  <c r="AE73" i="79"/>
  <c r="AG29" i="79"/>
  <c r="AF29" i="79"/>
  <c r="AD29" i="79"/>
  <c r="AE29" i="79"/>
  <c r="E54" i="1"/>
  <c r="E55" i="1"/>
  <c r="M195" i="1"/>
  <c r="F37" i="1"/>
  <c r="F38" i="1"/>
  <c r="E38" i="1"/>
  <c r="E37" i="1"/>
  <c r="O78" i="79"/>
  <c r="Y78" i="79" s="1"/>
  <c r="H106" i="118"/>
  <c r="N125" i="79"/>
  <c r="X125" i="79" s="1"/>
  <c r="H34" i="118"/>
  <c r="H124" i="118"/>
  <c r="H108" i="118"/>
  <c r="O125" i="79"/>
  <c r="Y125" i="79" s="1"/>
  <c r="H110" i="118"/>
  <c r="H22" i="118"/>
  <c r="O84" i="79"/>
  <c r="Y84" i="79" s="1"/>
  <c r="O76" i="79"/>
  <c r="Y76" i="79" s="1"/>
  <c r="O104" i="79"/>
  <c r="Y104" i="79" s="1"/>
  <c r="O80" i="79"/>
  <c r="Y80" i="79" s="1"/>
  <c r="H20" i="118"/>
  <c r="O112" i="79"/>
  <c r="Y112" i="79" s="1"/>
  <c r="E53" i="1"/>
  <c r="E49" i="1"/>
  <c r="E45" i="1"/>
  <c r="E46" i="1"/>
  <c r="E52" i="1"/>
  <c r="E48" i="1"/>
  <c r="E44" i="1"/>
  <c r="E50" i="1"/>
  <c r="E51" i="1"/>
  <c r="E47" i="1"/>
  <c r="BC19" i="97"/>
  <c r="BC31" i="97"/>
  <c r="BC95" i="97"/>
  <c r="BC43" i="97"/>
  <c r="BC100" i="97"/>
  <c r="BC93" i="97"/>
  <c r="BC13" i="97"/>
  <c r="BC9" i="97"/>
  <c r="BC39" i="97"/>
  <c r="BC38" i="97"/>
  <c r="BC63" i="97"/>
  <c r="BC47" i="97"/>
  <c r="F35" i="1"/>
  <c r="F34" i="1"/>
  <c r="F30" i="1"/>
  <c r="E28" i="1"/>
  <c r="E34" i="1"/>
  <c r="E30" i="1"/>
  <c r="F33" i="1"/>
  <c r="F29" i="1"/>
  <c r="E33" i="1"/>
  <c r="E29" i="1"/>
  <c r="F36" i="1"/>
  <c r="F32" i="1"/>
  <c r="F28" i="1"/>
  <c r="E36" i="1"/>
  <c r="E32" i="1"/>
  <c r="F31" i="1"/>
  <c r="E35" i="1"/>
  <c r="E31" i="1"/>
  <c r="H50" i="118"/>
  <c r="H36" i="118"/>
  <c r="H18" i="118"/>
  <c r="H10" i="118"/>
  <c r="H96" i="118"/>
  <c r="H16" i="118"/>
  <c r="H8" i="118"/>
  <c r="H94" i="118"/>
  <c r="H102" i="79"/>
  <c r="H55" i="79"/>
  <c r="H33" i="79"/>
  <c r="H105" i="79"/>
  <c r="H125" i="79"/>
  <c r="N108" i="79"/>
  <c r="X108" i="79" s="1"/>
  <c r="N110" i="79"/>
  <c r="X110" i="79" s="1"/>
  <c r="N80" i="79"/>
  <c r="X80" i="79" s="1"/>
  <c r="N42" i="79"/>
  <c r="X42" i="79" s="1"/>
  <c r="H120" i="118"/>
  <c r="H46" i="118"/>
  <c r="H54" i="118"/>
  <c r="N54" i="79"/>
  <c r="X54" i="79" s="1"/>
  <c r="N82" i="79"/>
  <c r="X82" i="79" s="1"/>
  <c r="N122" i="79"/>
  <c r="X122" i="79" s="1"/>
  <c r="H102" i="118"/>
  <c r="H74" i="118"/>
  <c r="H56" i="118"/>
  <c r="H86" i="118"/>
  <c r="N20" i="79"/>
  <c r="X20" i="79" s="1"/>
  <c r="H58" i="118"/>
  <c r="N50" i="79"/>
  <c r="X50" i="79" s="1"/>
  <c r="H98" i="118"/>
  <c r="H70" i="118"/>
  <c r="H114" i="118"/>
  <c r="N86" i="79"/>
  <c r="X86" i="79" s="1"/>
  <c r="N72" i="79"/>
  <c r="X72" i="79" s="1"/>
  <c r="N28" i="79"/>
  <c r="X28" i="79" s="1"/>
  <c r="H32" i="118"/>
  <c r="H118" i="118"/>
  <c r="H40" i="118"/>
  <c r="N70" i="79"/>
  <c r="X70" i="79" s="1"/>
  <c r="H90" i="118"/>
  <c r="H30" i="118"/>
  <c r="N124" i="79"/>
  <c r="X124" i="79" s="1"/>
  <c r="H48" i="118"/>
  <c r="H38" i="118"/>
  <c r="N96" i="79"/>
  <c r="X96" i="79" s="1"/>
  <c r="N106" i="79"/>
  <c r="X106" i="79" s="1"/>
  <c r="N78" i="79"/>
  <c r="X78" i="79" s="1"/>
  <c r="O114" i="79"/>
  <c r="Y114" i="79" s="1"/>
  <c r="N94" i="79"/>
  <c r="X94" i="79" s="1"/>
  <c r="N112" i="79"/>
  <c r="X112" i="79" s="1"/>
  <c r="N104" i="79"/>
  <c r="X104" i="79" s="1"/>
  <c r="N84" i="79"/>
  <c r="X84" i="79" s="1"/>
  <c r="N76" i="79"/>
  <c r="X76" i="79" s="1"/>
  <c r="H62" i="118"/>
  <c r="H44" i="118"/>
  <c r="H66" i="118"/>
  <c r="H26" i="118"/>
  <c r="H121" i="118"/>
  <c r="H65" i="118"/>
  <c r="H57" i="118"/>
  <c r="H49" i="118"/>
  <c r="H41" i="118"/>
  <c r="H33" i="118"/>
  <c r="H25" i="118"/>
  <c r="H17" i="118"/>
  <c r="H9" i="118"/>
  <c r="H68" i="118"/>
  <c r="H64" i="118"/>
  <c r="N49" i="79"/>
  <c r="X49" i="79" s="1"/>
  <c r="N41" i="79"/>
  <c r="X41" i="79" s="1"/>
  <c r="N33" i="79"/>
  <c r="X33" i="79" s="1"/>
  <c r="N25" i="79"/>
  <c r="X25" i="79" s="1"/>
  <c r="N17" i="79"/>
  <c r="X17" i="79" s="1"/>
  <c r="N9" i="79"/>
  <c r="X9" i="79" s="1"/>
  <c r="H88" i="118"/>
  <c r="H24" i="118"/>
  <c r="H123" i="118"/>
  <c r="H115" i="118"/>
  <c r="H107" i="118"/>
  <c r="H99" i="118"/>
  <c r="H91" i="118"/>
  <c r="H83" i="118"/>
  <c r="H75" i="118"/>
  <c r="H67" i="118"/>
  <c r="H59" i="118"/>
  <c r="H51" i="118"/>
  <c r="H43" i="118"/>
  <c r="H27" i="118"/>
  <c r="H19" i="118"/>
  <c r="H11" i="118"/>
  <c r="H113" i="118"/>
  <c r="H97" i="118"/>
  <c r="H73" i="118"/>
  <c r="H116" i="118"/>
  <c r="H52" i="118"/>
  <c r="H119" i="118"/>
  <c r="H111" i="118"/>
  <c r="H103" i="118"/>
  <c r="H95" i="118"/>
  <c r="H87" i="118"/>
  <c r="H79" i="118"/>
  <c r="H63" i="118"/>
  <c r="H47" i="118"/>
  <c r="H39" i="118"/>
  <c r="H31" i="118"/>
  <c r="H23" i="118"/>
  <c r="H15" i="118"/>
  <c r="H105" i="118"/>
  <c r="H89" i="118"/>
  <c r="H81" i="118"/>
  <c r="N121" i="79"/>
  <c r="X121" i="79" s="1"/>
  <c r="N113" i="79"/>
  <c r="X113" i="79" s="1"/>
  <c r="N105" i="79"/>
  <c r="X105" i="79" s="1"/>
  <c r="N97" i="79"/>
  <c r="X97" i="79" s="1"/>
  <c r="N89" i="79"/>
  <c r="X89" i="79" s="1"/>
  <c r="N81" i="79"/>
  <c r="X81" i="79" s="1"/>
  <c r="N73" i="79"/>
  <c r="X73" i="79" s="1"/>
  <c r="N65" i="79"/>
  <c r="X65" i="79" s="1"/>
  <c r="N57" i="79"/>
  <c r="X57" i="79" s="1"/>
  <c r="N66" i="79"/>
  <c r="X66" i="79" s="1"/>
  <c r="N34" i="79"/>
  <c r="X34" i="79" s="1"/>
  <c r="H125" i="118"/>
  <c r="H109" i="118"/>
  <c r="H101" i="118"/>
  <c r="H93" i="118"/>
  <c r="H85" i="118"/>
  <c r="H77" i="118"/>
  <c r="H69" i="118"/>
  <c r="H61" i="118"/>
  <c r="H53" i="118"/>
  <c r="H45" i="118"/>
  <c r="H37" i="118"/>
  <c r="H29" i="118"/>
  <c r="H21" i="118"/>
  <c r="H13" i="118"/>
  <c r="N92" i="79"/>
  <c r="X92" i="79" s="1"/>
  <c r="N60" i="79"/>
  <c r="X60" i="79" s="1"/>
  <c r="N100" i="79"/>
  <c r="X100" i="79" s="1"/>
  <c r="H85" i="79"/>
  <c r="H57" i="79"/>
  <c r="H71" i="79"/>
  <c r="H100" i="79"/>
  <c r="H77" i="79"/>
  <c r="H37" i="79"/>
  <c r="O72" i="79"/>
  <c r="Y72" i="79" s="1"/>
  <c r="O120" i="79"/>
  <c r="Y120" i="79" s="1"/>
  <c r="O118" i="79"/>
  <c r="Y118" i="79" s="1"/>
  <c r="O74" i="79"/>
  <c r="Y74" i="79" s="1"/>
  <c r="O68" i="79"/>
  <c r="Y68" i="79" s="1"/>
  <c r="O108" i="79"/>
  <c r="Y108" i="79" s="1"/>
  <c r="O94" i="79"/>
  <c r="Y94" i="79" s="1"/>
  <c r="BC82" i="97"/>
  <c r="BC113" i="97"/>
  <c r="BC106" i="97"/>
  <c r="BC92" i="97"/>
  <c r="BC18" i="97"/>
  <c r="BC6" i="97"/>
  <c r="BC8" i="97"/>
  <c r="BC123" i="97"/>
  <c r="BC70" i="97"/>
  <c r="BC33" i="97"/>
  <c r="BC101" i="97"/>
  <c r="BC32" i="97"/>
  <c r="BC98" i="97"/>
  <c r="BC76" i="97"/>
  <c r="BC48" i="97"/>
  <c r="BC103" i="97"/>
  <c r="BC122" i="97"/>
  <c r="BC40" i="97"/>
  <c r="BC34" i="97"/>
  <c r="BC20" i="97"/>
  <c r="BC80" i="97"/>
  <c r="BC109" i="97"/>
  <c r="BC17" i="97"/>
  <c r="BC125" i="97"/>
  <c r="BC59" i="97"/>
  <c r="BC119" i="97"/>
  <c r="BC22" i="97"/>
  <c r="BC65" i="97"/>
  <c r="BC97" i="97"/>
  <c r="H6" i="118"/>
  <c r="BC49" i="97"/>
  <c r="BC124" i="97"/>
  <c r="BC114" i="97"/>
  <c r="BC86" i="97"/>
  <c r="BC75" i="97"/>
  <c r="BC99" i="97"/>
  <c r="O42" i="79"/>
  <c r="Y42" i="79" s="1"/>
  <c r="O34" i="79"/>
  <c r="Y34" i="79" s="1"/>
  <c r="O18" i="79"/>
  <c r="Y18" i="79" s="1"/>
  <c r="O44" i="79"/>
  <c r="Y44" i="79" s="1"/>
  <c r="O28" i="79"/>
  <c r="Y28" i="79" s="1"/>
  <c r="O20" i="79"/>
  <c r="Y20" i="79" s="1"/>
  <c r="O46" i="79"/>
  <c r="Y46" i="79" s="1"/>
  <c r="O38" i="79"/>
  <c r="Y38" i="79" s="1"/>
  <c r="O30" i="79"/>
  <c r="Y30" i="79" s="1"/>
  <c r="O22" i="79"/>
  <c r="Y22" i="79" s="1"/>
  <c r="O14" i="79"/>
  <c r="Y14" i="79" s="1"/>
  <c r="O26" i="79"/>
  <c r="Y26" i="79" s="1"/>
  <c r="O10" i="79"/>
  <c r="Y10" i="79" s="1"/>
  <c r="O36" i="79"/>
  <c r="Y36" i="79" s="1"/>
  <c r="O12" i="79"/>
  <c r="Y12" i="79" s="1"/>
  <c r="O48" i="79"/>
  <c r="Y48" i="79" s="1"/>
  <c r="O40" i="79"/>
  <c r="Y40" i="79" s="1"/>
  <c r="O32" i="79"/>
  <c r="Y32" i="79" s="1"/>
  <c r="O24" i="79"/>
  <c r="Y24" i="79" s="1"/>
  <c r="O16" i="79"/>
  <c r="Y16" i="79" s="1"/>
  <c r="O8" i="79"/>
  <c r="Y8" i="79" s="1"/>
  <c r="E13" i="123"/>
  <c r="D28" i="108" s="1"/>
  <c r="F13" i="123"/>
  <c r="D29" i="108" s="1"/>
  <c r="D32" i="108" s="1"/>
  <c r="H18" i="123"/>
  <c r="H20" i="123"/>
  <c r="D20" i="123"/>
  <c r="D13" i="123" s="1"/>
  <c r="D27" i="108" s="1"/>
  <c r="BC79" i="97"/>
  <c r="BC42" i="97"/>
  <c r="BC120" i="97"/>
  <c r="BC73" i="97"/>
  <c r="BC53" i="97"/>
  <c r="BC83" i="97"/>
  <c r="N197" i="1"/>
  <c r="J206" i="1" s="1"/>
  <c r="N195" i="1"/>
  <c r="L197" i="1"/>
  <c r="K197" i="1"/>
  <c r="I4" i="53"/>
  <c r="H5" i="79" s="1"/>
  <c r="H9" i="79"/>
  <c r="H12" i="79"/>
  <c r="H16" i="79"/>
  <c r="H7" i="79"/>
  <c r="E5" i="79"/>
  <c r="E5" i="123"/>
  <c r="B28" i="108" s="1"/>
  <c r="J4" i="53"/>
  <c r="G5" i="79" s="1"/>
  <c r="AA5" i="79" s="1"/>
  <c r="BC21" i="97"/>
  <c r="BC102" i="97"/>
  <c r="BC44" i="97"/>
  <c r="BC55" i="97"/>
  <c r="BC25" i="97"/>
  <c r="BC60" i="97"/>
  <c r="BC74" i="97"/>
  <c r="BC71" i="97"/>
  <c r="BC62" i="97"/>
  <c r="BC26" i="97"/>
  <c r="BC112" i="97"/>
  <c r="BC36" i="97"/>
  <c r="BC117" i="97"/>
  <c r="BC58" i="97"/>
  <c r="BC50" i="97"/>
  <c r="BC66" i="97"/>
  <c r="E5" i="118"/>
  <c r="O5" i="79" s="1"/>
  <c r="BC107" i="97"/>
  <c r="BC24" i="97"/>
  <c r="P6" i="85"/>
  <c r="D5" i="79"/>
  <c r="BC96" i="97"/>
  <c r="BC84" i="97"/>
  <c r="BC45" i="97"/>
  <c r="BC105" i="97"/>
  <c r="BC11" i="97"/>
  <c r="BC10" i="97"/>
  <c r="BC56" i="97"/>
  <c r="BC14" i="97"/>
  <c r="BC52" i="97"/>
  <c r="D5" i="118"/>
  <c r="N5" i="79" s="1"/>
  <c r="BC61" i="97"/>
  <c r="BC85" i="97"/>
  <c r="BC121" i="97"/>
  <c r="BC104" i="97"/>
  <c r="BC7" i="97"/>
  <c r="BC23" i="97"/>
  <c r="BC16" i="97"/>
  <c r="L189" i="1"/>
  <c r="K189" i="1"/>
  <c r="N189" i="1"/>
  <c r="J192" i="1" s="1"/>
  <c r="K4" i="101"/>
  <c r="R116" i="79"/>
  <c r="AB116" i="79" s="1"/>
  <c r="R43" i="79"/>
  <c r="R47" i="79"/>
  <c r="AB47" i="79" s="1"/>
  <c r="R107" i="79"/>
  <c r="AB107" i="79" s="1"/>
  <c r="R115" i="79"/>
  <c r="AB115" i="79" s="1"/>
  <c r="R56" i="79"/>
  <c r="R117" i="79"/>
  <c r="R69" i="79"/>
  <c r="R99" i="79"/>
  <c r="R111" i="79"/>
  <c r="R31" i="79"/>
  <c r="AB31" i="79" s="1"/>
  <c r="R109" i="79"/>
  <c r="AB109" i="79" s="1"/>
  <c r="R58" i="79"/>
  <c r="R67" i="79"/>
  <c r="R53" i="79"/>
  <c r="AB53" i="79" s="1"/>
  <c r="R90" i="79"/>
  <c r="R77" i="79"/>
  <c r="R51" i="79"/>
  <c r="R123" i="79"/>
  <c r="AB123" i="79" s="1"/>
  <c r="AH95" i="79"/>
  <c r="AH64" i="79"/>
  <c r="AH62" i="79"/>
  <c r="AH32" i="79"/>
  <c r="R7" i="79"/>
  <c r="BC35" i="97"/>
  <c r="X6" i="85"/>
  <c r="K222" i="1" s="1"/>
  <c r="R35" i="79"/>
  <c r="AB35" i="79" s="1"/>
  <c r="BC41" i="97"/>
  <c r="BC57" i="97"/>
  <c r="AH97" i="79"/>
  <c r="BC30" i="97"/>
  <c r="BC15" i="97"/>
  <c r="BC111" i="97"/>
  <c r="BC27" i="97"/>
  <c r="R13" i="79"/>
  <c r="R29" i="79"/>
  <c r="R79" i="79"/>
  <c r="AB79" i="79" s="1"/>
  <c r="R19" i="79"/>
  <c r="R39" i="79"/>
  <c r="AB39" i="79" s="1"/>
  <c r="AH109" i="79"/>
  <c r="T6" i="85"/>
  <c r="I62" i="1"/>
  <c r="I61" i="1"/>
  <c r="I60" i="1"/>
  <c r="I63" i="1"/>
  <c r="I58" i="1"/>
  <c r="H2" i="108"/>
  <c r="C2" i="108"/>
  <c r="E61" i="1"/>
  <c r="E60" i="1"/>
  <c r="E63" i="1"/>
  <c r="E58" i="1"/>
  <c r="E62" i="1"/>
  <c r="AH92" i="79"/>
  <c r="R85" i="79"/>
  <c r="R52" i="79"/>
  <c r="AB52" i="79" s="1"/>
  <c r="AH89" i="79"/>
  <c r="AH20" i="79"/>
  <c r="R98" i="79"/>
  <c r="AB98" i="79" s="1"/>
  <c r="R15" i="79"/>
  <c r="AB15" i="79" s="1"/>
  <c r="R88" i="79"/>
  <c r="AB88" i="79" s="1"/>
  <c r="BC118" i="97"/>
  <c r="BC46" i="97"/>
  <c r="R119" i="79"/>
  <c r="AB119" i="79" s="1"/>
  <c r="R93" i="79"/>
  <c r="AB93" i="79" s="1"/>
  <c r="R61" i="79"/>
  <c r="AB61" i="79" s="1"/>
  <c r="R37" i="79"/>
  <c r="R23" i="79"/>
  <c r="AB23" i="79" s="1"/>
  <c r="AH87" i="79"/>
  <c r="R87" i="79"/>
  <c r="R83" i="79"/>
  <c r="AH93" i="79"/>
  <c r="R55" i="79"/>
  <c r="BC110" i="97"/>
  <c r="BC68" i="97"/>
  <c r="BC54" i="97"/>
  <c r="BC28" i="97"/>
  <c r="BC37" i="97"/>
  <c r="R103" i="79"/>
  <c r="AB103" i="79" s="1"/>
  <c r="R91" i="79"/>
  <c r="R62" i="79"/>
  <c r="R75" i="79"/>
  <c r="R101" i="79"/>
  <c r="AB101" i="79" s="1"/>
  <c r="BC29" i="97"/>
  <c r="F4" i="60"/>
  <c r="U5" i="79" s="1"/>
  <c r="BC81" i="97"/>
  <c r="BC51" i="97"/>
  <c r="BC108" i="97"/>
  <c r="BC64" i="97"/>
  <c r="R63" i="79"/>
  <c r="AB63" i="79" s="1"/>
  <c r="R27" i="79"/>
  <c r="R64" i="79"/>
  <c r="R45" i="79"/>
  <c r="R95" i="79"/>
  <c r="AB95" i="79" s="1"/>
  <c r="R59" i="79"/>
  <c r="AB59" i="79" s="1"/>
  <c r="R71" i="79"/>
  <c r="G220" i="1"/>
  <c r="G221" i="1" s="1"/>
  <c r="F7" i="1"/>
  <c r="AH22" i="79"/>
  <c r="K218" i="1"/>
  <c r="F220" i="1"/>
  <c r="F221" i="1" s="1"/>
  <c r="AH40" i="79"/>
  <c r="AH28" i="79"/>
  <c r="AH8" i="79"/>
  <c r="AH39" i="79"/>
  <c r="AH27" i="79"/>
  <c r="AH18" i="79"/>
  <c r="AH99" i="79"/>
  <c r="R6" i="79"/>
  <c r="AH107" i="79"/>
  <c r="E220" i="1"/>
  <c r="E221" i="1" s="1"/>
  <c r="K219" i="1"/>
  <c r="AH78" i="79"/>
  <c r="F4" i="55"/>
  <c r="F4" i="53"/>
  <c r="AH51" i="79"/>
  <c r="D4" i="57"/>
  <c r="AH58" i="79"/>
  <c r="E41" i="1"/>
  <c r="E25" i="1"/>
  <c r="F5" i="79" l="1"/>
  <c r="Z5" i="79" s="1"/>
  <c r="AP5" i="79" s="1"/>
  <c r="AG5" i="79"/>
  <c r="J196" i="1"/>
  <c r="J193" i="1"/>
  <c r="AG55" i="79"/>
  <c r="AF55" i="79"/>
  <c r="AE55" i="79"/>
  <c r="AD55" i="79"/>
  <c r="AG7" i="79"/>
  <c r="AF7" i="79"/>
  <c r="AD7" i="79"/>
  <c r="AE7" i="79"/>
  <c r="AG37" i="79"/>
  <c r="AF37" i="79"/>
  <c r="AD37" i="79"/>
  <c r="AE37" i="79"/>
  <c r="AG125" i="79"/>
  <c r="AF125" i="79"/>
  <c r="AE125" i="79"/>
  <c r="AD125" i="79"/>
  <c r="AF5" i="79"/>
  <c r="AG12" i="79"/>
  <c r="AF12" i="79"/>
  <c r="AE12" i="79"/>
  <c r="AD12" i="79"/>
  <c r="AG100" i="79"/>
  <c r="AF100" i="79"/>
  <c r="AE100" i="79"/>
  <c r="AD100" i="79"/>
  <c r="AG33" i="79"/>
  <c r="AF33" i="79"/>
  <c r="AE33" i="79"/>
  <c r="AD33" i="79"/>
  <c r="AG9" i="79"/>
  <c r="AF9" i="79"/>
  <c r="AD9" i="79"/>
  <c r="AE9" i="79"/>
  <c r="AG71" i="79"/>
  <c r="AF71" i="79"/>
  <c r="AD71" i="79"/>
  <c r="AE71" i="79"/>
  <c r="AG57" i="79"/>
  <c r="AF57" i="79"/>
  <c r="AD57" i="79"/>
  <c r="AE57" i="79"/>
  <c r="AH102" i="79"/>
  <c r="AG102" i="79"/>
  <c r="AF102" i="79"/>
  <c r="AD102" i="79"/>
  <c r="AE102" i="79"/>
  <c r="AG16" i="79"/>
  <c r="AF16" i="79"/>
  <c r="AD16" i="79"/>
  <c r="AE16" i="79"/>
  <c r="AG77" i="79"/>
  <c r="AF77" i="79"/>
  <c r="AE77" i="79"/>
  <c r="AD77" i="79"/>
  <c r="AG85" i="79"/>
  <c r="AF85" i="79"/>
  <c r="AE85" i="79"/>
  <c r="AD85" i="79"/>
  <c r="AG105" i="79"/>
  <c r="AF105" i="79"/>
  <c r="AD105" i="79"/>
  <c r="AE105" i="79"/>
  <c r="M192" i="1"/>
  <c r="M206" i="1"/>
  <c r="D24" i="123"/>
  <c r="K206" i="1"/>
  <c r="L206" i="1"/>
  <c r="R125" i="79"/>
  <c r="AB125" i="79" s="1"/>
  <c r="AL125" i="79" s="1"/>
  <c r="R80" i="79"/>
  <c r="AB80" i="79" s="1"/>
  <c r="AL80" i="79" s="1"/>
  <c r="AB85" i="79"/>
  <c r="AL85" i="79" s="1"/>
  <c r="AB77" i="79"/>
  <c r="AL77" i="79" s="1"/>
  <c r="AL98" i="79"/>
  <c r="AB37" i="79"/>
  <c r="AL37" i="79" s="1"/>
  <c r="AH105" i="79"/>
  <c r="AB99" i="79"/>
  <c r="AL99" i="79" s="1"/>
  <c r="AB62" i="79"/>
  <c r="AL62" i="79" s="1"/>
  <c r="AL95" i="79"/>
  <c r="AL93" i="79"/>
  <c r="AL79" i="79"/>
  <c r="AL53" i="79"/>
  <c r="AL31" i="79"/>
  <c r="AL107" i="79"/>
  <c r="AB55" i="79"/>
  <c r="AL55" i="79" s="1"/>
  <c r="AB43" i="79"/>
  <c r="AL43" i="79" s="1"/>
  <c r="AB64" i="79"/>
  <c r="AL64" i="79" s="1"/>
  <c r="AB13" i="79"/>
  <c r="AL13" i="79" s="1"/>
  <c r="AB56" i="79"/>
  <c r="AL56" i="79" s="1"/>
  <c r="AB27" i="79"/>
  <c r="AL27" i="79" s="1"/>
  <c r="AB91" i="79"/>
  <c r="AL91" i="79" s="1"/>
  <c r="AL59" i="79"/>
  <c r="AL101" i="79"/>
  <c r="AL61" i="79"/>
  <c r="AL35" i="79"/>
  <c r="AL123" i="79"/>
  <c r="AL109" i="79"/>
  <c r="AL115" i="79"/>
  <c r="AL116" i="79"/>
  <c r="AH12" i="79"/>
  <c r="AL63" i="79"/>
  <c r="AL103" i="79"/>
  <c r="AL88" i="79"/>
  <c r="AL23" i="79"/>
  <c r="AL119" i="79"/>
  <c r="AL15" i="79"/>
  <c r="AL52" i="79"/>
  <c r="AL39" i="79"/>
  <c r="AL47" i="79"/>
  <c r="AH7" i="79"/>
  <c r="AB7" i="79"/>
  <c r="AL7" i="79" s="1"/>
  <c r="AB71" i="79"/>
  <c r="AL71" i="79" s="1"/>
  <c r="AB29" i="79"/>
  <c r="AL29" i="79" s="1"/>
  <c r="AB45" i="79"/>
  <c r="AL45" i="79" s="1"/>
  <c r="AB75" i="79"/>
  <c r="AL75" i="79" s="1"/>
  <c r="AB58" i="79"/>
  <c r="AL58" i="79" s="1"/>
  <c r="AB87" i="79"/>
  <c r="AL87" i="79" s="1"/>
  <c r="AB51" i="79"/>
  <c r="AL51" i="79" s="1"/>
  <c r="AB117" i="79"/>
  <c r="AL117" i="79" s="1"/>
  <c r="AB83" i="79"/>
  <c r="AL83" i="79" s="1"/>
  <c r="AB90" i="79"/>
  <c r="AL90" i="79" s="1"/>
  <c r="AB67" i="79"/>
  <c r="AL67" i="79" s="1"/>
  <c r="AB69" i="79"/>
  <c r="AL69" i="79" s="1"/>
  <c r="AB19" i="79"/>
  <c r="AL19" i="79" s="1"/>
  <c r="AB111" i="79"/>
  <c r="AL111" i="79" s="1"/>
  <c r="AB6" i="79"/>
  <c r="AL6" i="79" s="1"/>
  <c r="R110" i="79"/>
  <c r="R54" i="79"/>
  <c r="R73" i="79"/>
  <c r="R96" i="79"/>
  <c r="R82" i="79"/>
  <c r="R122" i="79"/>
  <c r="R76" i="79"/>
  <c r="R50" i="79"/>
  <c r="R49" i="79"/>
  <c r="R86" i="79"/>
  <c r="R105" i="79"/>
  <c r="R17" i="79"/>
  <c r="R97" i="79"/>
  <c r="R60" i="79"/>
  <c r="R25" i="79"/>
  <c r="R70" i="79"/>
  <c r="R65" i="79"/>
  <c r="R78" i="79"/>
  <c r="R112" i="79"/>
  <c r="R104" i="79"/>
  <c r="R106" i="79"/>
  <c r="R124" i="79"/>
  <c r="R9" i="79"/>
  <c r="R100" i="79"/>
  <c r="AB100" i="79" s="1"/>
  <c r="R113" i="79"/>
  <c r="R84" i="79"/>
  <c r="R92" i="79"/>
  <c r="R81" i="79"/>
  <c r="R114" i="79"/>
  <c r="R66" i="79"/>
  <c r="R121" i="79"/>
  <c r="R33" i="79"/>
  <c r="AB33" i="79" s="1"/>
  <c r="R89" i="79"/>
  <c r="R57" i="79"/>
  <c r="X5" i="79"/>
  <c r="R120" i="79"/>
  <c r="R72" i="79"/>
  <c r="R94" i="79"/>
  <c r="R14" i="79"/>
  <c r="R36" i="79"/>
  <c r="R74" i="79"/>
  <c r="R68" i="79"/>
  <c r="R118" i="79"/>
  <c r="R108" i="79"/>
  <c r="R26" i="79"/>
  <c r="R44" i="79"/>
  <c r="R12" i="79"/>
  <c r="R24" i="79"/>
  <c r="R18" i="79"/>
  <c r="R20" i="79"/>
  <c r="R32" i="79"/>
  <c r="R16" i="79"/>
  <c r="R34" i="79"/>
  <c r="R48" i="79"/>
  <c r="Y5" i="79"/>
  <c r="R8" i="79"/>
  <c r="R10" i="79"/>
  <c r="R42" i="79"/>
  <c r="R46" i="79"/>
  <c r="R28" i="79"/>
  <c r="R30" i="79"/>
  <c r="R40" i="79"/>
  <c r="H13" i="123"/>
  <c r="H5" i="118"/>
  <c r="R5" i="79" s="1"/>
  <c r="H5" i="123"/>
  <c r="L195" i="1"/>
  <c r="E24" i="123"/>
  <c r="K195" i="1"/>
  <c r="AH16" i="79"/>
  <c r="AD5" i="79"/>
  <c r="K4" i="53"/>
  <c r="K208" i="1"/>
  <c r="K207" i="1" s="1"/>
  <c r="N192" i="1"/>
  <c r="N208" i="1"/>
  <c r="N206" i="1"/>
  <c r="L208" i="1"/>
  <c r="K192" i="1"/>
  <c r="L192" i="1"/>
  <c r="R38" i="79"/>
  <c r="R102" i="79"/>
  <c r="R22" i="79"/>
  <c r="AH125" i="79"/>
  <c r="AH118" i="79"/>
  <c r="AH91" i="79"/>
  <c r="AH21" i="79"/>
  <c r="AH53" i="79"/>
  <c r="AH74" i="79"/>
  <c r="AH55" i="79"/>
  <c r="AH41" i="79"/>
  <c r="AH111" i="79"/>
  <c r="AH123" i="79"/>
  <c r="AH100" i="79"/>
  <c r="AH113" i="79"/>
  <c r="AH49" i="79"/>
  <c r="AH63" i="79"/>
  <c r="AH115" i="79"/>
  <c r="AH17" i="79"/>
  <c r="AH72" i="79"/>
  <c r="AH77" i="79"/>
  <c r="AH84" i="79"/>
  <c r="AH85" i="79"/>
  <c r="AH14" i="79"/>
  <c r="AH67" i="79"/>
  <c r="AH94" i="79"/>
  <c r="AH24" i="79"/>
  <c r="AH116" i="79"/>
  <c r="AH11" i="79"/>
  <c r="AH61" i="79"/>
  <c r="AH120" i="79"/>
  <c r="AH96" i="79"/>
  <c r="AH90" i="79"/>
  <c r="AH43" i="79"/>
  <c r="R41" i="79"/>
  <c r="AH37" i="79"/>
  <c r="AH56" i="79"/>
  <c r="AH29" i="79"/>
  <c r="R11" i="79"/>
  <c r="AH68" i="79"/>
  <c r="AH80" i="79"/>
  <c r="AH70" i="79"/>
  <c r="AH60" i="79"/>
  <c r="AH69" i="79"/>
  <c r="AH76" i="79"/>
  <c r="AH44" i="79"/>
  <c r="AH42" i="79"/>
  <c r="AH73" i="79"/>
  <c r="R21" i="79"/>
  <c r="AH45" i="79"/>
  <c r="K220" i="1"/>
  <c r="AH88" i="79"/>
  <c r="AH6" i="79"/>
  <c r="AH117" i="79"/>
  <c r="AH65" i="79"/>
  <c r="AH50" i="79"/>
  <c r="AH57" i="79"/>
  <c r="AH110" i="79"/>
  <c r="AH114" i="79"/>
  <c r="AH34" i="79"/>
  <c r="AH103" i="79"/>
  <c r="AH108" i="79"/>
  <c r="AH106" i="79"/>
  <c r="AH46" i="79"/>
  <c r="AH15" i="79"/>
  <c r="AH81" i="79"/>
  <c r="AH71" i="79"/>
  <c r="AH10" i="79"/>
  <c r="AH54" i="79"/>
  <c r="AH104" i="79"/>
  <c r="AH82" i="79"/>
  <c r="AH83" i="79"/>
  <c r="AH30" i="79"/>
  <c r="AH31" i="79"/>
  <c r="AH38" i="79"/>
  <c r="AH112" i="79"/>
  <c r="AN5" i="79" l="1"/>
  <c r="AO5" i="79"/>
  <c r="U203" i="1"/>
  <c r="J209" i="1"/>
  <c r="W203" i="1"/>
  <c r="M209" i="1"/>
  <c r="V203" i="1"/>
  <c r="E8" i="123"/>
  <c r="B31" i="108"/>
  <c r="G8" i="123"/>
  <c r="E9" i="123"/>
  <c r="E28" i="108"/>
  <c r="D12" i="123"/>
  <c r="E27" i="108"/>
  <c r="G22" i="123"/>
  <c r="D31" i="108"/>
  <c r="D22" i="123"/>
  <c r="D9" i="123"/>
  <c r="D23" i="123"/>
  <c r="F22" i="123"/>
  <c r="E22" i="123"/>
  <c r="L207" i="1"/>
  <c r="W200" i="1" s="1"/>
  <c r="U205" i="1"/>
  <c r="AJ6" i="79"/>
  <c r="AK6" i="79"/>
  <c r="AB30" i="79"/>
  <c r="AL30" i="79" s="1"/>
  <c r="AB10" i="79"/>
  <c r="AL10" i="79" s="1"/>
  <c r="AB34" i="79"/>
  <c r="AL34" i="79" s="1"/>
  <c r="AB20" i="79"/>
  <c r="AL20" i="79" s="1"/>
  <c r="AB44" i="79"/>
  <c r="AL44" i="79" s="1"/>
  <c r="AB92" i="79"/>
  <c r="AK92" i="79" s="1"/>
  <c r="AB112" i="79"/>
  <c r="AJ112" i="79" s="1"/>
  <c r="AB25" i="79"/>
  <c r="AL25" i="79" s="1"/>
  <c r="AB76" i="79"/>
  <c r="AL76" i="79" s="1"/>
  <c r="AB73" i="79"/>
  <c r="AJ73" i="79" s="1"/>
  <c r="AB21" i="79"/>
  <c r="AL21" i="79" s="1"/>
  <c r="AB11" i="79"/>
  <c r="AL11" i="79" s="1"/>
  <c r="AB38" i="79"/>
  <c r="AL38" i="79" s="1"/>
  <c r="AB28" i="79"/>
  <c r="AJ28" i="79" s="1"/>
  <c r="AB8" i="79"/>
  <c r="AL8" i="79" s="1"/>
  <c r="AB18" i="79"/>
  <c r="AK18" i="79" s="1"/>
  <c r="AB26" i="79"/>
  <c r="AL26" i="79" s="1"/>
  <c r="AB74" i="79"/>
  <c r="AK74" i="79" s="1"/>
  <c r="AB72" i="79"/>
  <c r="AL72" i="79" s="1"/>
  <c r="AB89" i="79"/>
  <c r="AK89" i="79" s="1"/>
  <c r="AB66" i="79"/>
  <c r="AL66" i="79" s="1"/>
  <c r="AB84" i="79"/>
  <c r="AL84" i="79" s="1"/>
  <c r="AB124" i="79"/>
  <c r="AL124" i="79" s="1"/>
  <c r="AB78" i="79"/>
  <c r="AL78" i="79" s="1"/>
  <c r="AB60" i="79"/>
  <c r="AL60" i="79" s="1"/>
  <c r="AB86" i="79"/>
  <c r="AL86" i="79" s="1"/>
  <c r="AB122" i="79"/>
  <c r="AL122" i="79" s="1"/>
  <c r="AB54" i="79"/>
  <c r="AK54" i="79" s="1"/>
  <c r="AB105" i="79"/>
  <c r="AL105" i="79" s="1"/>
  <c r="AB94" i="79"/>
  <c r="AK94" i="79" s="1"/>
  <c r="AB46" i="79"/>
  <c r="AK46" i="79" s="1"/>
  <c r="AB24" i="79"/>
  <c r="AJ24" i="79" s="1"/>
  <c r="AB108" i="79"/>
  <c r="AL108" i="79" s="1"/>
  <c r="AB36" i="79"/>
  <c r="AJ36" i="79" s="1"/>
  <c r="AB120" i="79"/>
  <c r="AL120" i="79" s="1"/>
  <c r="AL33" i="79"/>
  <c r="AB114" i="79"/>
  <c r="AL114" i="79" s="1"/>
  <c r="AB113" i="79"/>
  <c r="AL113" i="79" s="1"/>
  <c r="AB106" i="79"/>
  <c r="AJ106" i="79" s="1"/>
  <c r="AB65" i="79"/>
  <c r="AL65" i="79" s="1"/>
  <c r="AB97" i="79"/>
  <c r="AL97" i="79" s="1"/>
  <c r="AB49" i="79"/>
  <c r="AL49" i="79" s="1"/>
  <c r="AB82" i="79"/>
  <c r="AL82" i="79" s="1"/>
  <c r="AB110" i="79"/>
  <c r="AL110" i="79" s="1"/>
  <c r="AB102" i="79"/>
  <c r="AL102" i="79" s="1"/>
  <c r="AB9" i="79"/>
  <c r="AL9" i="79" s="1"/>
  <c r="AB68" i="79"/>
  <c r="AL68" i="79" s="1"/>
  <c r="AB41" i="79"/>
  <c r="AL41" i="79" s="1"/>
  <c r="AB22" i="79"/>
  <c r="AL22" i="79" s="1"/>
  <c r="AB40" i="79"/>
  <c r="AK40" i="79" s="1"/>
  <c r="AB42" i="79"/>
  <c r="AL42" i="79" s="1"/>
  <c r="AB48" i="79"/>
  <c r="AL48" i="79" s="1"/>
  <c r="AB32" i="79"/>
  <c r="AL32" i="79" s="1"/>
  <c r="AB118" i="79"/>
  <c r="AL118" i="79" s="1"/>
  <c r="AB14" i="79"/>
  <c r="AJ14" i="79" s="1"/>
  <c r="AB121" i="79"/>
  <c r="AL121" i="79" s="1"/>
  <c r="AB81" i="79"/>
  <c r="AJ81" i="79" s="1"/>
  <c r="AL100" i="79"/>
  <c r="AB104" i="79"/>
  <c r="AL104" i="79" s="1"/>
  <c r="AB70" i="79"/>
  <c r="AL70" i="79" s="1"/>
  <c r="AB17" i="79"/>
  <c r="AL17" i="79" s="1"/>
  <c r="AB50" i="79"/>
  <c r="AL50" i="79" s="1"/>
  <c r="AB96" i="79"/>
  <c r="AL96" i="79" s="1"/>
  <c r="AB12" i="79"/>
  <c r="AJ12" i="79" s="1"/>
  <c r="AB57" i="79"/>
  <c r="AL57" i="79" s="1"/>
  <c r="AB16" i="79"/>
  <c r="AL16" i="79" s="1"/>
  <c r="H22" i="123"/>
  <c r="H8" i="123"/>
  <c r="H24" i="123"/>
  <c r="E31" i="108" s="1"/>
  <c r="D8" i="123"/>
  <c r="E12" i="123"/>
  <c r="E23" i="123"/>
  <c r="N207" i="1"/>
  <c r="W202" i="1" s="1"/>
  <c r="N196" i="1"/>
  <c r="V202" i="1" s="1"/>
  <c r="L196" i="1"/>
  <c r="V200" i="1" s="1"/>
  <c r="W199" i="1"/>
  <c r="K196" i="1"/>
  <c r="V199" i="1" s="1"/>
  <c r="W198" i="1"/>
  <c r="V198" i="1"/>
  <c r="F5" i="123"/>
  <c r="K193" i="1"/>
  <c r="U199" i="1" s="1"/>
  <c r="AK7" i="79"/>
  <c r="AJ7" i="79"/>
  <c r="AK55" i="79"/>
  <c r="AJ55" i="79"/>
  <c r="AK95" i="79"/>
  <c r="AJ95" i="79"/>
  <c r="AK111" i="79"/>
  <c r="AJ111" i="79"/>
  <c r="AJ91" i="79"/>
  <c r="AK91" i="79"/>
  <c r="AK107" i="79"/>
  <c r="AJ107" i="79"/>
  <c r="AK100" i="79"/>
  <c r="AJ100" i="79"/>
  <c r="AK109" i="79"/>
  <c r="AJ109" i="79"/>
  <c r="AK90" i="79"/>
  <c r="AJ90" i="79"/>
  <c r="AK33" i="79"/>
  <c r="AJ33" i="79"/>
  <c r="AK61" i="79"/>
  <c r="AJ61" i="79"/>
  <c r="AK31" i="79"/>
  <c r="AJ31" i="79"/>
  <c r="AK79" i="79"/>
  <c r="AJ79" i="79"/>
  <c r="AK35" i="79"/>
  <c r="AJ35" i="79"/>
  <c r="AK87" i="79"/>
  <c r="AJ87" i="79"/>
  <c r="AK115" i="79"/>
  <c r="AJ115" i="79"/>
  <c r="AK80" i="79"/>
  <c r="AJ80" i="79"/>
  <c r="AK85" i="79"/>
  <c r="AJ85" i="79"/>
  <c r="AK119" i="79"/>
  <c r="AJ119" i="79"/>
  <c r="AK103" i="79"/>
  <c r="AJ103" i="79"/>
  <c r="AK63" i="79"/>
  <c r="AJ63" i="79"/>
  <c r="AK47" i="79"/>
  <c r="AJ47" i="79"/>
  <c r="AJ53" i="79"/>
  <c r="AK53" i="79"/>
  <c r="AK51" i="79"/>
  <c r="AJ51" i="79"/>
  <c r="AK39" i="79"/>
  <c r="AJ39" i="79"/>
  <c r="AK93" i="79"/>
  <c r="AJ93" i="79"/>
  <c r="AK59" i="79"/>
  <c r="AJ59" i="79"/>
  <c r="AK27" i="79"/>
  <c r="AJ27" i="79"/>
  <c r="AK99" i="79"/>
  <c r="AJ99" i="79"/>
  <c r="AK67" i="79"/>
  <c r="AJ67" i="79"/>
  <c r="AJ29" i="79"/>
  <c r="AK29" i="79"/>
  <c r="AK88" i="79"/>
  <c r="AJ88" i="79"/>
  <c r="AK37" i="79"/>
  <c r="AJ37" i="79"/>
  <c r="AK83" i="79"/>
  <c r="AJ83" i="79"/>
  <c r="AK64" i="79"/>
  <c r="AJ64" i="79"/>
  <c r="AK56" i="79"/>
  <c r="AJ56" i="79"/>
  <c r="AK58" i="79"/>
  <c r="AJ58" i="79"/>
  <c r="AK125" i="79"/>
  <c r="AJ125" i="79"/>
  <c r="AK52" i="79"/>
  <c r="AJ52" i="79"/>
  <c r="AK23" i="79"/>
  <c r="AJ23" i="79"/>
  <c r="AK75" i="79"/>
  <c r="AJ75" i="79"/>
  <c r="AK45" i="79"/>
  <c r="AJ45" i="79"/>
  <c r="AK15" i="79"/>
  <c r="AJ15" i="79"/>
  <c r="AK43" i="79"/>
  <c r="AJ43" i="79"/>
  <c r="AK69" i="79"/>
  <c r="AJ69" i="79"/>
  <c r="AK77" i="79"/>
  <c r="AJ77" i="79"/>
  <c r="AK123" i="79"/>
  <c r="AJ123" i="79"/>
  <c r="AK98" i="79"/>
  <c r="AJ98" i="79"/>
  <c r="AK101" i="79"/>
  <c r="AJ101" i="79"/>
  <c r="AK116" i="79"/>
  <c r="AJ116" i="79"/>
  <c r="AK117" i="79"/>
  <c r="AJ117" i="79"/>
  <c r="AJ13" i="79"/>
  <c r="AK13" i="79"/>
  <c r="AK62" i="79"/>
  <c r="AJ62" i="79"/>
  <c r="AK71" i="79"/>
  <c r="AJ71" i="79"/>
  <c r="AK19" i="79"/>
  <c r="AJ19" i="79"/>
  <c r="N193" i="1"/>
  <c r="U202" i="1" s="1"/>
  <c r="L193" i="1"/>
  <c r="U200" i="1" s="1"/>
  <c r="U198" i="1"/>
  <c r="AH75" i="79"/>
  <c r="AH86" i="79"/>
  <c r="AH26" i="79"/>
  <c r="AH35" i="79"/>
  <c r="AH33" i="79"/>
  <c r="AH9" i="79"/>
  <c r="AH59" i="79"/>
  <c r="AH119" i="79"/>
  <c r="AH13" i="79"/>
  <c r="AH48" i="79"/>
  <c r="AH66" i="79"/>
  <c r="AH124" i="79"/>
  <c r="AH36" i="79"/>
  <c r="AH25" i="79"/>
  <c r="AH121" i="79"/>
  <c r="AH52" i="79"/>
  <c r="AH101" i="79"/>
  <c r="AH79" i="79"/>
  <c r="AH23" i="79"/>
  <c r="AH47" i="79"/>
  <c r="AH122" i="79"/>
  <c r="L209" i="1"/>
  <c r="K221" i="1"/>
  <c r="K209" i="1"/>
  <c r="AH98" i="79"/>
  <c r="AH19" i="79"/>
  <c r="AJ120" i="79" l="1"/>
  <c r="B29" i="108"/>
  <c r="B32" i="108" s="1"/>
  <c r="F8" i="123"/>
  <c r="D25" i="123"/>
  <c r="G25" i="123"/>
  <c r="AJ121" i="79"/>
  <c r="AK8" i="79"/>
  <c r="AK34" i="79"/>
  <c r="AJ8" i="79"/>
  <c r="AK112" i="79"/>
  <c r="AJ82" i="79"/>
  <c r="AJ34" i="79"/>
  <c r="AJ124" i="79"/>
  <c r="AK9" i="79"/>
  <c r="AJ66" i="79"/>
  <c r="AJ96" i="79"/>
  <c r="AK114" i="79"/>
  <c r="AK17" i="79"/>
  <c r="AJ113" i="79"/>
  <c r="AK10" i="79"/>
  <c r="AK50" i="79"/>
  <c r="AK36" i="79"/>
  <c r="AJ49" i="79"/>
  <c r="AJ10" i="79"/>
  <c r="AJ86" i="79"/>
  <c r="AJ9" i="79"/>
  <c r="AK113" i="79"/>
  <c r="AK49" i="79"/>
  <c r="AJ70" i="79"/>
  <c r="AK96" i="79"/>
  <c r="AK12" i="79"/>
  <c r="AK48" i="79"/>
  <c r="AK70" i="79"/>
  <c r="AJ97" i="79"/>
  <c r="AK44" i="79"/>
  <c r="AJ48" i="79"/>
  <c r="AK78" i="79"/>
  <c r="AK76" i="79"/>
  <c r="AK121" i="79"/>
  <c r="AK16" i="79"/>
  <c r="AJ50" i="79"/>
  <c r="AJ78" i="79"/>
  <c r="AJ16" i="79"/>
  <c r="AK60" i="79"/>
  <c r="AK106" i="79"/>
  <c r="AK66" i="79"/>
  <c r="AK65" i="79"/>
  <c r="AJ46" i="79"/>
  <c r="AK120" i="79"/>
  <c r="AJ68" i="79"/>
  <c r="AJ54" i="79"/>
  <c r="AL46" i="79"/>
  <c r="AL54" i="79"/>
  <c r="AL74" i="79"/>
  <c r="AK14" i="79"/>
  <c r="AJ76" i="79"/>
  <c r="AK105" i="79"/>
  <c r="AJ84" i="79"/>
  <c r="AL89" i="79"/>
  <c r="AK28" i="79"/>
  <c r="AK25" i="79"/>
  <c r="AK124" i="79"/>
  <c r="AK108" i="79"/>
  <c r="AJ42" i="79"/>
  <c r="AJ18" i="79"/>
  <c r="AK82" i="79"/>
  <c r="AJ30" i="79"/>
  <c r="AJ72" i="79"/>
  <c r="AK86" i="79"/>
  <c r="AJ25" i="79"/>
  <c r="AK68" i="79"/>
  <c r="AK26" i="79"/>
  <c r="AJ118" i="79"/>
  <c r="AK20" i="79"/>
  <c r="AK73" i="79"/>
  <c r="AJ122" i="79"/>
  <c r="AL106" i="79"/>
  <c r="AL18" i="79"/>
  <c r="AL112" i="79"/>
  <c r="AJ65" i="79"/>
  <c r="AJ26" i="79"/>
  <c r="AK42" i="79"/>
  <c r="AK24" i="79"/>
  <c r="AK30" i="79"/>
  <c r="AK72" i="79"/>
  <c r="AJ114" i="79"/>
  <c r="AJ44" i="79"/>
  <c r="AJ17" i="79"/>
  <c r="AJ105" i="79"/>
  <c r="AK110" i="79"/>
  <c r="AK118" i="79"/>
  <c r="AK122" i="79"/>
  <c r="AJ60" i="79"/>
  <c r="AK97" i="79"/>
  <c r="AK32" i="79"/>
  <c r="AJ110" i="79"/>
  <c r="AJ20" i="79"/>
  <c r="AJ108" i="79"/>
  <c r="AJ57" i="79"/>
  <c r="AJ92" i="79"/>
  <c r="AJ104" i="79"/>
  <c r="AK84" i="79"/>
  <c r="AL40" i="79"/>
  <c r="AL92" i="79"/>
  <c r="AK57" i="79"/>
  <c r="AJ32" i="79"/>
  <c r="AK104" i="79"/>
  <c r="AL12" i="79"/>
  <c r="AJ40" i="79"/>
  <c r="AK81" i="79"/>
  <c r="AJ74" i="79"/>
  <c r="AJ89" i="79"/>
  <c r="AL81" i="79"/>
  <c r="AL14" i="79"/>
  <c r="AL36" i="79"/>
  <c r="AL24" i="79"/>
  <c r="AL94" i="79"/>
  <c r="AL28" i="79"/>
  <c r="AL73" i="79"/>
  <c r="AJ94" i="79"/>
  <c r="H12" i="123"/>
  <c r="H9" i="123"/>
  <c r="E25" i="123"/>
  <c r="H23" i="123"/>
  <c r="F24" i="123"/>
  <c r="AK22" i="79"/>
  <c r="AJ22" i="79"/>
  <c r="AK21" i="79"/>
  <c r="AJ21" i="79"/>
  <c r="AJ11" i="79"/>
  <c r="AK11" i="79"/>
  <c r="AB5" i="79"/>
  <c r="AL5" i="79" s="1"/>
  <c r="AK102" i="79"/>
  <c r="AJ102" i="79"/>
  <c r="AK41" i="79"/>
  <c r="AJ41" i="79"/>
  <c r="AK38" i="79"/>
  <c r="AJ38" i="79"/>
  <c r="AH128" i="79"/>
  <c r="AE128" i="79"/>
  <c r="AD127" i="79"/>
  <c r="AF128" i="79"/>
  <c r="AE127" i="79"/>
  <c r="AF127" i="79"/>
  <c r="AH127" i="79"/>
  <c r="N209" i="1"/>
  <c r="AE5" i="79"/>
  <c r="AH5" i="79"/>
  <c r="AD128" i="79"/>
  <c r="F9" i="123" l="1"/>
  <c r="E29" i="108"/>
  <c r="E32" i="108" s="1"/>
  <c r="F12" i="123"/>
  <c r="F23" i="123"/>
  <c r="F25" i="123"/>
  <c r="H25" i="123" s="1"/>
  <c r="AK128" i="79"/>
  <c r="AL127" i="79"/>
  <c r="AJ128" i="79"/>
  <c r="AK5" i="79"/>
  <c r="AJ5" i="79"/>
  <c r="AK127" i="79"/>
  <c r="AL128" i="79"/>
  <c r="AJ127" i="79"/>
</calcChain>
</file>

<file path=xl/sharedStrings.xml><?xml version="1.0" encoding="utf-8"?>
<sst xmlns="http://schemas.openxmlformats.org/spreadsheetml/2006/main" count="28091" uniqueCount="1179">
  <si>
    <t>FIPS:</t>
  </si>
  <si>
    <t>Locality Name:</t>
  </si>
  <si>
    <t>White</t>
  </si>
  <si>
    <t>African American</t>
  </si>
  <si>
    <t>FIPS</t>
  </si>
  <si>
    <t>Locality</t>
  </si>
  <si>
    <t>Adults</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</si>
  <si>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</si>
  <si>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</si>
  <si>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</si>
  <si>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</si>
  <si>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</si>
  <si>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</si>
  <si>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</si>
  <si>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</si>
  <si>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</si>
  <si>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</si>
  <si>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</si>
  <si>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</si>
  <si>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</si>
  <si>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</si>
  <si>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</si>
  <si>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</si>
  <si>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</si>
  <si>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</si>
  <si>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</si>
  <si>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</si>
  <si>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</si>
  <si>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</si>
  <si>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</si>
  <si>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</si>
  <si>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</si>
  <si>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</si>
  <si>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</si>
  <si>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</si>
  <si>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</si>
  <si>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</si>
  <si>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</si>
  <si>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</si>
  <si>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</si>
  <si>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</si>
  <si>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</si>
  <si>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</si>
  <si>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</si>
  <si>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</si>
  <si>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</si>
  <si>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</si>
  <si>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</si>
  <si>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</si>
  <si>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</si>
  <si>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</si>
  <si>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</si>
  <si>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</si>
  <si>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</si>
  <si>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</si>
  <si>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</si>
  <si>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</si>
  <si>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</si>
  <si>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</si>
  <si>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</si>
  <si>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</si>
  <si>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</si>
  <si>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</si>
  <si>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</si>
  <si>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</si>
  <si>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</si>
  <si>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</si>
  <si>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</si>
  <si>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</si>
  <si>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</si>
  <si>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</si>
  <si>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</si>
  <si>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</si>
  <si>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</si>
  <si>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</si>
  <si>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</si>
  <si>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</si>
  <si>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</si>
  <si>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</si>
  <si>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</si>
  <si>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</si>
  <si>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</si>
  <si>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</si>
  <si>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</si>
  <si>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</si>
  <si>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</si>
  <si>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</si>
  <si>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</si>
  <si>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</si>
  <si>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</si>
  <si>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</si>
  <si>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</si>
  <si>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</si>
  <si>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</si>
  <si>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</si>
  <si>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</si>
  <si>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</si>
  <si>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</si>
  <si>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</si>
  <si>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</si>
  <si>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</si>
  <si>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</si>
  <si>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</si>
  <si>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</si>
  <si>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</si>
  <si>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</si>
  <si>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</si>
  <si>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</si>
  <si>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</si>
  <si>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</si>
  <si>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</si>
  <si>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</si>
  <si>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</si>
  <si>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</si>
  <si>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</si>
  <si>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</si>
  <si>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</si>
  <si>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</si>
  <si>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</si>
  <si>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</si>
  <si>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</si>
  <si>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</si>
  <si>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</si>
  <si>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</si>
  <si>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</si>
  <si>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</si>
  <si>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</si>
  <si>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</si>
  <si>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</si>
  <si>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</si>
  <si>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</si>
  <si>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</si>
  <si>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</si>
  <si>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</si>
  <si>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</si>
  <si>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</si>
  <si>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</si>
  <si>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</si>
  <si>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</si>
  <si>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</si>
  <si>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</si>
  <si>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</si>
  <si>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</si>
  <si>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</si>
  <si>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</si>
  <si>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</si>
  <si>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</si>
  <si>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</si>
  <si>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</si>
  <si>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</si>
  <si>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</si>
  <si>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</si>
  <si>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</si>
  <si>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</si>
  <si>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</si>
  <si>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</si>
  <si>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</si>
  <si>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</si>
  <si>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</si>
  <si>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</si>
  <si>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</si>
  <si>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</si>
  <si>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</si>
  <si>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</si>
  <si>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</si>
  <si>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</si>
  <si>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</si>
  <si>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</si>
  <si>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</si>
  <si>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</si>
  <si>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</si>
  <si>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</si>
  <si>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</si>
  <si>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</si>
  <si>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</si>
  <si>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</si>
  <si>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</si>
  <si>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</si>
  <si>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</si>
  <si>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</si>
  <si>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</si>
  <si>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</si>
  <si>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</si>
  <si>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</si>
  <si>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</si>
  <si>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</si>
  <si>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</si>
  <si>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</si>
  <si>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</si>
  <si>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</si>
  <si>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</si>
  <si>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</si>
  <si>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</si>
  <si>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</si>
  <si>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</si>
  <si>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</si>
  <si>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</si>
  <si>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</si>
  <si>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</si>
  <si>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</si>
  <si>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</si>
  <si>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</si>
  <si>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</si>
  <si>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</si>
  <si>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</si>
  <si>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</si>
  <si>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</si>
  <si>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</si>
  <si>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</si>
  <si>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</si>
  <si>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</si>
  <si>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</si>
  <si>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</si>
  <si>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</si>
  <si>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</si>
  <si>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</si>
  <si>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</si>
  <si>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</si>
  <si>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</si>
  <si>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</si>
  <si>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</si>
  <si>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</si>
  <si>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</si>
  <si>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</si>
  <si>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</si>
  <si>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</si>
  <si>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</si>
  <si>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</si>
  <si>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</si>
  <si>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</si>
  <si>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</si>
  <si>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</si>
  <si>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</si>
  <si>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</si>
  <si>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</si>
  <si>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</si>
  <si>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</si>
  <si>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</si>
  <si>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</si>
  <si>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</si>
  <si>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</si>
  <si>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</si>
  <si>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</si>
  <si>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</si>
  <si>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</si>
  <si>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</si>
  <si>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</si>
  <si>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</si>
  <si>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t>For questions, contact the Virginia Department of Social Services, Office of Research and Planning.</t>
  </si>
  <si>
    <t>Email:</t>
  </si>
  <si>
    <t>Research@dss.virginia.gov</t>
  </si>
  <si>
    <t>Region</t>
  </si>
  <si>
    <t>Eastern</t>
  </si>
  <si>
    <t>Piedmont</t>
  </si>
  <si>
    <t>Central</t>
  </si>
  <si>
    <t>Northern</t>
  </si>
  <si>
    <t>Western</t>
  </si>
  <si>
    <t>Charles City</t>
  </si>
  <si>
    <t>Isle of Wight</t>
  </si>
  <si>
    <t>King &amp; Queen</t>
  </si>
  <si>
    <t>Richmond County</t>
  </si>
  <si>
    <t>Manassas City</t>
  </si>
  <si>
    <t>2004</t>
  </si>
  <si>
    <t>2005</t>
  </si>
  <si>
    <t>2006</t>
  </si>
  <si>
    <t>2007</t>
  </si>
  <si>
    <t>2008</t>
  </si>
  <si>
    <t>2009</t>
  </si>
  <si>
    <t>Percent</t>
  </si>
  <si>
    <t>Total</t>
  </si>
  <si>
    <t>Greensville/Emporia</t>
  </si>
  <si>
    <t>Roanoke County/ Salem</t>
  </si>
  <si>
    <t>Rockbridge/BV/ Lexington</t>
  </si>
  <si>
    <t>James City County</t>
  </si>
  <si>
    <t>Location</t>
  </si>
  <si>
    <t>King and Queen</t>
  </si>
  <si>
    <t>SNAP Participation Rate, 2004-2010, by Locality</t>
  </si>
  <si>
    <t>Alleghany-Covington</t>
  </si>
  <si>
    <t>Fairfax-Falls Church</t>
  </si>
  <si>
    <t>Henry-Martinsville</t>
  </si>
  <si>
    <t>Roanoke Co. Salem</t>
  </si>
  <si>
    <t>Rockbridge/Buena Vista/Lexington</t>
  </si>
  <si>
    <t>Rockingham/Harrisonburg</t>
  </si>
  <si>
    <t>Chesterfield/Colonial Heights</t>
  </si>
  <si>
    <t>Fairfax County/City/Falls Church</t>
  </si>
  <si>
    <t>Alleghany/Covington</t>
  </si>
  <si>
    <t>Augusta/Staunton/Waynesboro</t>
  </si>
  <si>
    <t>Bedford County/City</t>
  </si>
  <si>
    <t>Henry/Martinsville</t>
  </si>
  <si>
    <t>Roanoke County/Salem</t>
  </si>
  <si>
    <t>Fairfax Co./ City/ Falls Church</t>
  </si>
  <si>
    <t>FIPS Number</t>
  </si>
  <si>
    <t>NER</t>
  </si>
  <si>
    <t>Combined FIPS</t>
  </si>
  <si>
    <t>Combined Name</t>
  </si>
  <si>
    <t>Bedford Co./City</t>
  </si>
  <si>
    <t>Franklin Co.</t>
  </si>
  <si>
    <t>Halifax/ So. Boston</t>
  </si>
  <si>
    <t>York/ Poquoson</t>
  </si>
  <si>
    <t>Franklin</t>
  </si>
  <si>
    <t>Richmond</t>
  </si>
  <si>
    <t>Roanoke</t>
  </si>
  <si>
    <t>Federal</t>
  </si>
  <si>
    <t>State</t>
  </si>
  <si>
    <t>Local</t>
  </si>
  <si>
    <t>Administrative costs</t>
  </si>
  <si>
    <t>SNAP</t>
  </si>
  <si>
    <t>Medicaid_Fed</t>
  </si>
  <si>
    <t>SNAP_Total</t>
  </si>
  <si>
    <t>SNAP_FED</t>
  </si>
  <si>
    <t>LIHEAP_Total</t>
  </si>
  <si>
    <t>Non-Reimbursable</t>
  </si>
  <si>
    <t>TANF</t>
  </si>
  <si>
    <t>2010</t>
  </si>
  <si>
    <t>Black</t>
  </si>
  <si>
    <t>Other</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</si>
  <si>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</si>
  <si>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</si>
  <si>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</si>
  <si>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</si>
  <si>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</si>
  <si>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</si>
  <si>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</si>
  <si>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</si>
  <si>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</si>
  <si>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</si>
  <si>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</si>
  <si>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</si>
  <si>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</si>
  <si>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</si>
  <si>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</si>
  <si>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</si>
  <si>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</si>
  <si>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</si>
  <si>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</si>
  <si>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</si>
  <si>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</si>
  <si>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</si>
  <si>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</si>
  <si>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</si>
  <si>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</si>
  <si>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</si>
  <si>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</si>
  <si>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</si>
  <si>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</si>
  <si>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</si>
  <si>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</si>
  <si>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</si>
  <si>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</si>
  <si>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</si>
  <si>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</si>
  <si>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</si>
  <si>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</si>
  <si>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</si>
  <si>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</si>
  <si>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Isle of Wight County</t>
  </si>
  <si>
    <t>King and Queen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</si>
  <si>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</si>
  <si>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</si>
  <si>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</si>
  <si>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</si>
  <si>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</si>
  <si>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</si>
  <si>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</si>
  <si>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</si>
  <si>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</si>
  <si>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</si>
  <si>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</si>
  <si>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</si>
  <si>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</si>
  <si>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</si>
  <si>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</si>
  <si>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</si>
  <si>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</si>
  <si>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</si>
  <si>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</si>
  <si>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</si>
  <si>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</si>
  <si>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</si>
  <si>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</si>
  <si>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</si>
  <si>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</si>
  <si>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Pulaski County</t>
  </si>
  <si>
    <t>Rappahannock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</si>
  <si>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</si>
  <si>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</si>
  <si>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</si>
  <si>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</si>
  <si>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</si>
  <si>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</si>
  <si>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</si>
  <si>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</si>
  <si>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</si>
  <si>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</si>
  <si>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</si>
  <si>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</si>
  <si>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</si>
  <si>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</si>
  <si>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</si>
  <si>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SNAP SFY 2005</t>
  </si>
  <si>
    <t>SNAP SFY 2006</t>
  </si>
  <si>
    <t>SNAP SFY  2007</t>
  </si>
  <si>
    <t>SNAP SFY 2008</t>
  </si>
  <si>
    <t>SNAP SFY 2009</t>
  </si>
  <si>
    <t>SNAP SFY 2010</t>
  </si>
  <si>
    <t>TANF SFY 2005</t>
  </si>
  <si>
    <t>TANF SFY 2006</t>
  </si>
  <si>
    <t>TANF SFY 2007</t>
  </si>
  <si>
    <t>TANF SFY 2008</t>
  </si>
  <si>
    <t>TANF SFY 2009</t>
  </si>
  <si>
    <t>TANF SFY 2010</t>
  </si>
  <si>
    <t>Asian</t>
  </si>
  <si>
    <t xml:space="preserve"> -  1  - </t>
  </si>
  <si>
    <t>Children in CPS Referral SFY 2010</t>
  </si>
  <si>
    <t>Source: VCWOR - CPS Sysems Annual Reports -Demographic Annual Reports/ Childrens Demograhic Annual Report - All Referrals , 07/01/09 to 06/30/10</t>
  </si>
  <si>
    <t>Local Agency</t>
  </si>
  <si>
    <t>RegionName</t>
  </si>
  <si>
    <t>Male</t>
  </si>
  <si>
    <t>Female</t>
  </si>
  <si>
    <t>Sex Unknown</t>
  </si>
  <si>
    <t>Hispanic</t>
  </si>
  <si>
    <t>American Indian</t>
  </si>
  <si>
    <t>Hawaiian-Pacific Islander</t>
  </si>
  <si>
    <t>Race Unknown</t>
  </si>
  <si>
    <t>Age &gt;= 00 and &lt; 01</t>
  </si>
  <si>
    <t>Age &gt;= 01 and &lt; 04</t>
  </si>
  <si>
    <t>Age &gt;= 04 and &lt; 08</t>
  </si>
  <si>
    <t>Age &gt;= 08 and &lt; 12</t>
  </si>
  <si>
    <t>Age &gt;= 12 and &lt; 16</t>
  </si>
  <si>
    <t>Age &gt;= 16 and &lt; 18</t>
  </si>
  <si>
    <t>Age Unknown</t>
  </si>
  <si>
    <t>Other Calculated</t>
  </si>
  <si>
    <t>WHITE</t>
  </si>
  <si>
    <t>BLACK</t>
  </si>
  <si>
    <t>Notes:  Budget line (BL) key for spending categories.</t>
  </si>
  <si>
    <t>Adoptions_Open</t>
  </si>
  <si>
    <t>Adoptions_Closed</t>
  </si>
  <si>
    <t>Adoptions_Continue</t>
  </si>
  <si>
    <t>Average Adoption Cases Continued</t>
  </si>
  <si>
    <t>Source: OASIS Statistical Care Report</t>
  </si>
  <si>
    <t>http://spark.dss.virginia.gov/divisions/dfs/generic_reports/</t>
  </si>
  <si>
    <t>Medicaid Children</t>
  </si>
  <si>
    <t>Medicaid Adults</t>
  </si>
  <si>
    <t>SNAP Children</t>
  </si>
  <si>
    <t>SNAP Adults</t>
  </si>
  <si>
    <t>TANF Children</t>
  </si>
  <si>
    <t>TANF Adults</t>
  </si>
  <si>
    <t>Recipients</t>
  </si>
  <si>
    <t>Population</t>
  </si>
  <si>
    <t>Percent Receiving Assistance</t>
  </si>
  <si>
    <t>Other race</t>
  </si>
  <si>
    <t>Total Recipients</t>
  </si>
  <si>
    <t>The password for the main sheet is:</t>
  </si>
  <si>
    <t>research</t>
  </si>
  <si>
    <t>lower case</t>
  </si>
  <si>
    <t>Medicaid Clients</t>
  </si>
  <si>
    <t>TANF SFY 2011</t>
  </si>
  <si>
    <t>Medicaid_State</t>
  </si>
  <si>
    <t>FAMIS_TOTAL</t>
  </si>
  <si>
    <t>FAMIS_FED</t>
  </si>
  <si>
    <t>FAMIS_STATE</t>
  </si>
  <si>
    <t>Total_Medicaid</t>
  </si>
  <si>
    <t>Level of IT support</t>
  </si>
  <si>
    <t>Alleghany/Covington/Clifton Forge</t>
  </si>
  <si>
    <t>Fairfax/Fairfax City/Falls Church</t>
  </si>
  <si>
    <t>Halifax/South Boston</t>
  </si>
  <si>
    <t># with Full Support</t>
  </si>
  <si>
    <t># with Shared Support</t>
  </si>
  <si>
    <t>"Full" and "shared" IT support refer to the level of support provided by the VDSS Division of Information Services to local DSS agencies.</t>
  </si>
  <si>
    <t>LDSS</t>
  </si>
  <si>
    <t>ND</t>
  </si>
  <si>
    <t>JW</t>
  </si>
  <si>
    <t>Fairfax Co./Fairfax City/Falls Church</t>
  </si>
  <si>
    <t>Bedford Co./Bedford City</t>
  </si>
  <si>
    <t>Roanoke Co./Salem</t>
  </si>
  <si>
    <t>Region:</t>
  </si>
  <si>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</si>
  <si>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</si>
  <si>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</si>
  <si>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t>By Age</t>
  </si>
  <si>
    <t>Children (0-17 years)</t>
  </si>
  <si>
    <t>Count</t>
  </si>
  <si>
    <t>Percent of Children Living in Single Parent Households, 2010, by Race/Ethnicity and County/City</t>
  </si>
  <si>
    <t>Total Child Population</t>
  </si>
  <si>
    <t xml:space="preserve">African American </t>
  </si>
  <si>
    <t>Hispanic or Latino</t>
  </si>
  <si>
    <t>Percent in Single Parent Families</t>
  </si>
  <si>
    <t>Number In Single Parent HH</t>
  </si>
  <si>
    <t>Source: U.S. Census Bureau, 2010 Census Summary File 1 (Table P31), Household Type by Relationship for Population Under 18 years.  Refers to population of children (&lt; 18 years) living in their own parents' households. Excludes minors who are heads of households, spouses, or other relatives (e.g., grandchildren) living in the household as well as children living in institutionalized settings.  Hispanic origin is not mutually exclusive of race.</t>
  </si>
  <si>
    <t>Percent of Positions Unfilled</t>
  </si>
  <si>
    <t>Pct. of Positions Unfilled-Statewide</t>
  </si>
  <si>
    <t>RESIDENT TOTAL LIVE BIRTHS</t>
  </si>
  <si>
    <t>RESIDENT NON-MARITAL LIVE BIRTHS</t>
  </si>
  <si>
    <t>Number of Live Births</t>
  </si>
  <si>
    <t>Number of Live Non-Marital Births</t>
  </si>
  <si>
    <t>Percent Non-Marital</t>
  </si>
  <si>
    <t>TOTAL</t>
  </si>
  <si>
    <t>OTHER</t>
  </si>
  <si>
    <t>Filled</t>
  </si>
  <si>
    <t>Married</t>
  </si>
  <si>
    <t>Advisory</t>
  </si>
  <si>
    <t>Fairfax County/Fairfax City/Falls Church</t>
  </si>
  <si>
    <t>Client Benefits Spending</t>
  </si>
  <si>
    <t>Number and Percentage of Households Where Heterosexual Couples are Married or Cohabiting, by Local DSS Agency, 2010</t>
  </si>
  <si>
    <t>Number of Households with Heterosexual Couples</t>
  </si>
  <si>
    <t>Percent (%) of Households with Heterosexual Couples</t>
  </si>
  <si>
    <t>LDSS Agency</t>
  </si>
  <si>
    <t>Cohabiting</t>
  </si>
  <si>
    <t>Source: U.S. Census Bureau, 2010 Census, Summary File 1 (Table PCT15). Excludes households with homosexual couples.</t>
  </si>
  <si>
    <t>Administrative</t>
  </si>
  <si>
    <t>Fairfax Co./ Fairfax City/ Falls Church</t>
  </si>
  <si>
    <t>Halifax/ South Boston</t>
  </si>
  <si>
    <t>Number of Heterosexual Couples in Households With Own Children</t>
  </si>
  <si>
    <t>Percent (%) of Heterosexual Couples in Households With Own Children</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</si>
  <si>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</si>
  <si>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</si>
  <si>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</si>
  <si>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</si>
  <si>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</si>
  <si>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</si>
  <si>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 xml:space="preserve">Source: Virginia Department of Health, Division of Health Statistics, Resident live birth data.  </t>
  </si>
  <si>
    <t>Level of IT Support by Local DSS Agency</t>
  </si>
  <si>
    <t>* For localities with Advisory Boards only</t>
  </si>
  <si>
    <t>Local/NER</t>
  </si>
  <si>
    <t>Total FAMIS &amp; Medicaid</t>
  </si>
  <si>
    <t>Fairfax Co./Fairfax City/ Falls Church</t>
  </si>
  <si>
    <t>Norton City</t>
  </si>
  <si>
    <t>Bristol City</t>
  </si>
  <si>
    <t>Galax City</t>
  </si>
  <si>
    <t>Radford City</t>
  </si>
  <si>
    <t>Winchester City</t>
  </si>
  <si>
    <t>Alexandria City</t>
  </si>
  <si>
    <t>Manassas Park City</t>
  </si>
  <si>
    <t>Charlottesville City</t>
  </si>
  <si>
    <t>Lynchburg City</t>
  </si>
  <si>
    <t>Danville City</t>
  </si>
  <si>
    <t>Fredericksburg City</t>
  </si>
  <si>
    <t>Hopewell City</t>
  </si>
  <si>
    <t>Petersburg City</t>
  </si>
  <si>
    <t>Chesapeake City</t>
  </si>
  <si>
    <t>Norfolk City</t>
  </si>
  <si>
    <t>Portsmouth City</t>
  </si>
  <si>
    <t>Suffolk City</t>
  </si>
  <si>
    <t>Virginia Beach City</t>
  </si>
  <si>
    <t>Hampton City</t>
  </si>
  <si>
    <t>Newport News City</t>
  </si>
  <si>
    <t>Williamsburg City</t>
  </si>
  <si>
    <t>Augusta/ Staunton/ Waynesboro</t>
  </si>
  <si>
    <t>Alleghany County/Covington</t>
  </si>
  <si>
    <t>Bedford County/Bedford City</t>
  </si>
  <si>
    <t>Chesterfield County/Colonial Heights</t>
  </si>
  <si>
    <t>York County/Poquoson</t>
  </si>
  <si>
    <t>Rockbridge County/Buena Vista/Lexington</t>
  </si>
  <si>
    <t>Rockingham County/Harrisonburg</t>
  </si>
  <si>
    <t>Greensville County/Emporia</t>
  </si>
  <si>
    <t>County/City Administrator</t>
  </si>
  <si>
    <t>Total Admin Spending</t>
  </si>
  <si>
    <t>Federal - %</t>
  </si>
  <si>
    <t>State - %</t>
  </si>
  <si>
    <t>Local - %</t>
  </si>
  <si>
    <t>Administrative Costs</t>
  </si>
  <si>
    <t>Purchased Services for Clients</t>
  </si>
  <si>
    <t>MINIMUM</t>
  </si>
  <si>
    <t>MAXIMUM</t>
  </si>
  <si>
    <t>Admin - %</t>
  </si>
  <si>
    <t>Purchased Svcs. - %</t>
  </si>
  <si>
    <t>Benefits - %</t>
  </si>
  <si>
    <t>Fed &amp; State Comb. - %</t>
  </si>
  <si>
    <t>GRAND TOTAL</t>
  </si>
  <si>
    <t>TOTAL LESS INVALID POSITIONS</t>
  </si>
  <si>
    <t>Non-Deviating</t>
  </si>
  <si>
    <t>Partial deviating</t>
  </si>
  <si>
    <t>Jurisdiction-wide</t>
  </si>
  <si>
    <t>II (Two)</t>
  </si>
  <si>
    <t>I (One)</t>
  </si>
  <si>
    <t>III (Three)</t>
  </si>
  <si>
    <t>Shared</t>
  </si>
  <si>
    <t>Full</t>
  </si>
  <si>
    <r>
      <rPr>
        <vertAlign val="superscript"/>
        <sz val="8"/>
        <color indexed="8"/>
        <rFont val="Cambria"/>
        <family val="1"/>
      </rPr>
      <t>3</t>
    </r>
    <r>
      <rPr>
        <sz val="8"/>
        <color indexed="8"/>
        <rFont val="Cambria"/>
        <family val="1"/>
      </rPr>
      <t xml:space="preserve"> Refers to the local agency's level of IT support from VDSS. </t>
    </r>
  </si>
  <si>
    <t>Adults 18-64 years</t>
  </si>
  <si>
    <t>Adults (18-64 years)</t>
  </si>
  <si>
    <t>Agency Level</t>
  </si>
  <si>
    <t>AI/AN</t>
  </si>
  <si>
    <t>Regions</t>
  </si>
  <si>
    <t>Elderly</t>
  </si>
  <si>
    <t>% of Total</t>
  </si>
  <si>
    <t>SNAP SFY 2012</t>
  </si>
  <si>
    <r>
      <t>Type of Agency Board:</t>
    </r>
    <r>
      <rPr>
        <b/>
        <vertAlign val="superscript"/>
        <sz val="9"/>
        <color indexed="8"/>
        <rFont val="Cambria"/>
        <family val="1"/>
      </rPr>
      <t>4</t>
    </r>
  </si>
  <si>
    <t>Number of Filled Positions</t>
  </si>
  <si>
    <t>Number of Unfilled Positions</t>
  </si>
  <si>
    <t>Total Number of Positions</t>
  </si>
  <si>
    <t>SNAP SFY 2011</t>
  </si>
  <si>
    <t>TANF SFY 2012</t>
  </si>
  <si>
    <t>Adult 65+ years</t>
  </si>
  <si>
    <t>Source: U.S. Census Bureau, Small Area Income and Poverty Estimates (SAIPE).</t>
  </si>
  <si>
    <t>Poverty Rate (%)</t>
  </si>
  <si>
    <t>All ages</t>
  </si>
  <si>
    <t>Unemploy-ment</t>
  </si>
  <si>
    <t>Rate (%)</t>
  </si>
  <si>
    <t>Alleghany Co./Covington/Clifton Forge</t>
  </si>
  <si>
    <t>Augusta Co./ Staunton/ Waynesboro</t>
  </si>
  <si>
    <t>Chesterfield Co./Colonial Heights</t>
  </si>
  <si>
    <t>Greensville Co./Emporia</t>
  </si>
  <si>
    <t>Halifax Co./South Boston</t>
  </si>
  <si>
    <t>Henry Co./Martinsville</t>
  </si>
  <si>
    <t>Isle Of Wight County</t>
  </si>
  <si>
    <t>King &amp; Queen County</t>
  </si>
  <si>
    <t>Rockbridge Co./Buena Vista/Lexington</t>
  </si>
  <si>
    <t>Rockingham Co./Harrisonburg</t>
  </si>
  <si>
    <t>York Co./Poquoson</t>
  </si>
  <si>
    <t>Est. Number of Children in Poverty</t>
  </si>
  <si>
    <t>Percent of Children in Poverty</t>
  </si>
  <si>
    <t>Medicaid SFY 2009</t>
  </si>
  <si>
    <t>Medicaid SFY 2010</t>
  </si>
  <si>
    <t>Medicaid SFY 2011</t>
  </si>
  <si>
    <t>Medicaid SFY 2012</t>
  </si>
  <si>
    <t>18-40</t>
  </si>
  <si>
    <t>Race/Ethnicity</t>
  </si>
  <si>
    <t>Age Group (years)</t>
  </si>
  <si>
    <t>Number of Clients Receiving AG (Auxiliary Grant) Services, SFY 2012</t>
  </si>
  <si>
    <t>NH/PI</t>
  </si>
  <si>
    <t>Unknown</t>
  </si>
  <si>
    <t>Fairfax Co.-City/Falls Church</t>
  </si>
  <si>
    <t>Number of Foster Children Adopted, by Race of Child, FFY 2012</t>
  </si>
  <si>
    <t>"Other" race includes Hispanics, American Indians, Hawaiians and Pacific Islanders, Multi-racial, and missing or unavailable race.</t>
  </si>
  <si>
    <t>Source: VDSS, Division of Family Services, ASAPS (Adult Services Adult Protectives Services) data system.</t>
  </si>
  <si>
    <t>Race</t>
  </si>
  <si>
    <t>Age (in years)</t>
  </si>
  <si>
    <t>41-60</t>
  </si>
  <si>
    <t>61 and older</t>
  </si>
  <si>
    <t>Number of People (All Ages) living in Poverty in locality</t>
  </si>
  <si>
    <t>Percent of People (All Ages) living in Poverty in locality</t>
  </si>
  <si>
    <t>Number of Children (&lt; 18 years) living in Poverty in locality</t>
  </si>
  <si>
    <t>Percent of Children (&lt; 18 years) living in Poverty in locality</t>
  </si>
  <si>
    <t>Halifax County</t>
  </si>
  <si>
    <t>Henry County</t>
  </si>
  <si>
    <t>Martinsville City</t>
  </si>
  <si>
    <t>Elderly (65 years and older)</t>
  </si>
  <si>
    <t>Non-Elderly (18-64 years)</t>
  </si>
  <si>
    <t>Non-Elderly</t>
  </si>
  <si>
    <t>Children (under 18)</t>
  </si>
  <si>
    <t>Augusta County/Staunton/Waynesboro</t>
  </si>
  <si>
    <t>Statewide (subtotal)</t>
  </si>
  <si>
    <t>Total (incl. state mental health facilities)</t>
  </si>
  <si>
    <r>
      <rPr>
        <b/>
        <sz val="12"/>
        <color indexed="8"/>
        <rFont val="Calibri"/>
        <family val="2"/>
      </rPr>
      <t xml:space="preserve">Source: </t>
    </r>
    <r>
      <rPr>
        <sz val="12"/>
        <color indexed="8"/>
        <rFont val="Calibri"/>
        <family val="2"/>
      </rPr>
      <t>VDSS, Division of Family Services, VCWOR (vers. 3.85), "Children Adopted During Year by Race/Ethnicity" report. Reporting period is the federal fiscal year, ending September 30, 2012.</t>
    </r>
  </si>
  <si>
    <t xml:space="preserve">* NER = Position that is not eligible for reimbursable is not reported in LASER.  </t>
  </si>
  <si>
    <t>NER*</t>
  </si>
  <si>
    <r>
      <rPr>
        <b/>
        <sz val="12"/>
        <color indexed="8"/>
        <rFont val="Calibri"/>
        <family val="2"/>
      </rPr>
      <t xml:space="preserve">Source: </t>
    </r>
    <r>
      <rPr>
        <sz val="12"/>
        <color indexed="8"/>
        <rFont val="Calibri"/>
        <family val="2"/>
      </rPr>
      <t>ASAPS (Adult Services Adult Protectives Services) data system. Unduplicated counts. "Other" race includes American Indian, Asian, other race, Spanish American, multiracial, and unknown race.</t>
    </r>
  </si>
  <si>
    <r>
      <t>2010</t>
    </r>
    <r>
      <rPr>
        <b/>
        <vertAlign val="superscript"/>
        <sz val="12"/>
        <color indexed="8"/>
        <rFont val="Calibri"/>
        <family val="2"/>
      </rPr>
      <t>1</t>
    </r>
  </si>
  <si>
    <r>
      <t>1</t>
    </r>
    <r>
      <rPr>
        <sz val="12"/>
        <rFont val="Calibri"/>
        <family val="2"/>
      </rPr>
      <t xml:space="preserve"> Calendar year-to-date through May 2010</t>
    </r>
  </si>
  <si>
    <r>
      <rPr>
        <b/>
        <sz val="12"/>
        <rFont val="Calibri"/>
        <family val="2"/>
      </rPr>
      <t xml:space="preserve">Source: </t>
    </r>
    <r>
      <rPr>
        <sz val="12"/>
        <rFont val="Calibri"/>
        <family val="2"/>
      </rPr>
      <t>VDSS Performance Indicators Report system.</t>
    </r>
  </si>
  <si>
    <r>
      <rPr>
        <b/>
        <sz val="12"/>
        <color indexed="8"/>
        <rFont val="Calibri"/>
        <family val="2"/>
      </rPr>
      <t xml:space="preserve">Source: </t>
    </r>
    <r>
      <rPr>
        <sz val="12"/>
        <color indexed="8"/>
        <rFont val="Calibri"/>
        <family val="2"/>
      </rPr>
      <t>SNAP Recipients - VDSS Data Warehouse, ADAPT Client Cube, December 2010.</t>
    </r>
    <r>
      <rPr>
        <sz val="12"/>
        <color indexed="10"/>
        <rFont val="Calibri"/>
        <family val="2"/>
      </rPr>
      <t xml:space="preserve"> </t>
    </r>
    <r>
      <rPr>
        <sz val="12"/>
        <rFont val="Calibri"/>
        <family val="2"/>
      </rPr>
      <t xml:space="preserve"> Population - U.S. Census, Current Population Survey 2009, file CC-EST2009-ALLDATA.</t>
    </r>
    <r>
      <rPr>
        <sz val="12"/>
        <color indexed="10"/>
        <rFont val="Calibri"/>
        <family val="2"/>
      </rPr>
      <t xml:space="preserve"> </t>
    </r>
  </si>
  <si>
    <t>B17024: AGE BY RATIO OF INCOME TO POVERTY LEVEL IN THE PAST 12 MONTHS - Universe: Population for whom poverty status is determined</t>
  </si>
  <si>
    <t>2007-2011 American Community Survey 5-Year Estimates</t>
  </si>
  <si>
    <t/>
  </si>
  <si>
    <t>Est. Population Count (&lt; 125% FPL)</t>
  </si>
  <si>
    <t>Under 6 years</t>
  </si>
  <si>
    <t>6 to 11 years</t>
  </si>
  <si>
    <t>12 to 17 years</t>
  </si>
  <si>
    <t>18 to 24 years</t>
  </si>
  <si>
    <t>25 to 34 years</t>
  </si>
  <si>
    <t>35 to 44 years</t>
  </si>
  <si>
    <t>45 to 54 years</t>
  </si>
  <si>
    <t>55 to 64 years</t>
  </si>
  <si>
    <t>65 to 74 years</t>
  </si>
  <si>
    <t>75 years and older</t>
  </si>
  <si>
    <t>&lt;125%</t>
  </si>
  <si>
    <t>125% and above</t>
  </si>
  <si>
    <t>&lt;125% FPL</t>
  </si>
  <si>
    <t>Pop - 2011</t>
  </si>
  <si>
    <t>Virginia</t>
  </si>
  <si>
    <t>Total (all ages)</t>
  </si>
  <si>
    <t>SNAP SFY 2013</t>
  </si>
  <si>
    <t>TANF SFY 2013</t>
  </si>
  <si>
    <t>Medicaid SFY 2013</t>
  </si>
  <si>
    <t xml:space="preserve">Source: Virginia Employment Commission. Rates are not seasonally adjusted. </t>
  </si>
  <si>
    <t>Direct</t>
  </si>
  <si>
    <t>Indirect</t>
  </si>
  <si>
    <t xml:space="preserve">Direct </t>
  </si>
  <si>
    <t>Total (less invalid)</t>
  </si>
  <si>
    <t>By Age Group</t>
  </si>
  <si>
    <t>65+ years</t>
  </si>
  <si>
    <t>0-17 years</t>
  </si>
  <si>
    <t>Other race*</t>
  </si>
  <si>
    <t>Goochlan</t>
  </si>
  <si>
    <r>
      <rPr>
        <b/>
        <sz val="12"/>
        <rFont val="Calibri"/>
        <family val="2"/>
      </rPr>
      <t>Source:</t>
    </r>
    <r>
      <rPr>
        <sz val="12"/>
        <rFont val="Calibri"/>
        <family val="2"/>
      </rPr>
      <t xml:space="preserve">  Virginia Employment Commission - Labor Force and Employment and Unemployment (LAUS) data. Unemployment rates are computed on a calendar year basis. Rates are not seasonally-adjusted.  </t>
    </r>
  </si>
  <si>
    <t>Medicaid_Local</t>
  </si>
  <si>
    <t>871 (50%/50%)</t>
  </si>
  <si>
    <t>878 (100% Fed)</t>
  </si>
  <si>
    <t>881 (50%/50%)</t>
  </si>
  <si>
    <t>883 (100% Fed)</t>
  </si>
  <si>
    <t>Grand Total</t>
  </si>
  <si>
    <t>Fed/State Total</t>
  </si>
  <si>
    <t>STATE</t>
  </si>
  <si>
    <t>Multiracial</t>
  </si>
  <si>
    <t>Medicaid</t>
  </si>
  <si>
    <r>
      <t>Benefit Program</t>
    </r>
    <r>
      <rPr>
        <b/>
        <vertAlign val="superscript"/>
        <sz val="9"/>
        <color theme="1"/>
        <rFont val="Cambria"/>
        <family val="1"/>
        <scheme val="major"/>
      </rPr>
      <t>1</t>
    </r>
  </si>
  <si>
    <t>Fuel</t>
  </si>
  <si>
    <t>Cooling</t>
  </si>
  <si>
    <t>Crisis</t>
  </si>
  <si>
    <r>
      <t>Child Care</t>
    </r>
    <r>
      <rPr>
        <b/>
        <vertAlign val="superscript"/>
        <sz val="9"/>
        <color theme="1"/>
        <rFont val="Cambria"/>
        <family val="1"/>
        <scheme val="major"/>
      </rPr>
      <t>3</t>
    </r>
  </si>
  <si>
    <r>
      <t>Energy Assistance (EA)</t>
    </r>
    <r>
      <rPr>
        <b/>
        <vertAlign val="superscript"/>
        <sz val="9"/>
        <color theme="1"/>
        <rFont val="Cambria"/>
        <family val="1"/>
        <scheme val="major"/>
      </rPr>
      <t>2</t>
    </r>
  </si>
  <si>
    <t>SNAP SFY 2014</t>
  </si>
  <si>
    <t>TANF SFY 2014</t>
  </si>
  <si>
    <t>Medicaid SFY 2014</t>
  </si>
  <si>
    <t>SFY 2014</t>
  </si>
  <si>
    <t>Gender</t>
  </si>
  <si>
    <t>Children receiving adoption assistance</t>
  </si>
  <si>
    <t>Non-Marital Births</t>
  </si>
  <si>
    <t>Teen Births</t>
  </si>
  <si>
    <t>Rate</t>
  </si>
  <si>
    <t>Age Group</t>
  </si>
  <si>
    <r>
      <t>Any Program</t>
    </r>
    <r>
      <rPr>
        <b/>
        <vertAlign val="superscript"/>
        <sz val="9"/>
        <rFont val="Cambria"/>
        <family val="1"/>
        <scheme val="major"/>
      </rPr>
      <t>2</t>
    </r>
  </si>
  <si>
    <t>Number of Non-Marital Births</t>
  </si>
  <si>
    <t>Percentage of Live Births that are Non-Marital</t>
  </si>
  <si>
    <t>Teen Birth Rate (per 1,000 pop.)</t>
  </si>
  <si>
    <t>Teen Birth Rate</t>
  </si>
  <si>
    <t>Pct. Births Non-Marital</t>
  </si>
  <si>
    <t>For more information, contact the VDSS Office of Research and Planning.</t>
  </si>
  <si>
    <t>research@dss.virginia.gov</t>
  </si>
  <si>
    <t>Source: Virginia Department of Health, Center for Health Statistics. Refers to births by teen mothers aged 10-19 years. Teen birth rate is  per 1,000 population and is age-specific (not age-adjusted). "Other" race refers to residents who are Asian, Hawaiian/Pacific Islander, or American Indian/Alaskan Native.</t>
  </si>
  <si>
    <t>Source: Virginia Department of Health. Based on records of live births among unmarried women aged 15-44 years and among teens aged 10-19 years. Teen birth rate is per 1,000 population.</t>
  </si>
  <si>
    <t>Total Children under 18 in Family Households</t>
  </si>
  <si>
    <t>Children Under 18 Living in Married-Couple HH</t>
  </si>
  <si>
    <t>Children Under 18 Living in Single Parent HH</t>
  </si>
  <si>
    <t>Children Under 18 Living in Father Only HH</t>
  </si>
  <si>
    <t>Children Under 18 Living in Mother Only HH</t>
  </si>
  <si>
    <t>% Children Under 18 Living in Married Couple HH</t>
  </si>
  <si>
    <t>% Children Under 18 Living in Single Parent HH</t>
  </si>
  <si>
    <t>% Children Under 18 Living in Father Only HH</t>
  </si>
  <si>
    <t>% Children Under 18 Living in Mother Only HH</t>
  </si>
  <si>
    <t>PD</t>
  </si>
  <si>
    <t>NA</t>
  </si>
  <si>
    <t>SAIPE Poverty Universe</t>
  </si>
  <si>
    <t>Poverty Count</t>
  </si>
  <si>
    <t>Poverty Percent</t>
  </si>
  <si>
    <t>Bedford</t>
  </si>
  <si>
    <t>Bedford County</t>
  </si>
  <si>
    <r>
      <t>Staff and operations</t>
    </r>
    <r>
      <rPr>
        <vertAlign val="superscript"/>
        <sz val="9"/>
        <color theme="1"/>
        <rFont val="Cambria"/>
        <family val="1"/>
        <scheme val="major"/>
      </rPr>
      <t>1</t>
    </r>
  </si>
  <si>
    <t>Fund 0033</t>
  </si>
  <si>
    <t>Fund 0077</t>
  </si>
  <si>
    <t>Non-Reimbursable (0033 &amp; 0077)</t>
  </si>
  <si>
    <t>Local &amp; NER comb.</t>
  </si>
  <si>
    <r>
      <t>Other expenses</t>
    </r>
    <r>
      <rPr>
        <vertAlign val="superscript"/>
        <sz val="9"/>
        <color theme="1"/>
        <rFont val="Cambria"/>
        <family val="1"/>
        <scheme val="major"/>
      </rPr>
      <t>2</t>
    </r>
  </si>
  <si>
    <r>
      <t>Services purchased for clients</t>
    </r>
    <r>
      <rPr>
        <b/>
        <vertAlign val="superscript"/>
        <sz val="9"/>
        <color theme="1"/>
        <rFont val="Cambria"/>
        <family val="1"/>
        <scheme val="major"/>
      </rPr>
      <t>3</t>
    </r>
  </si>
  <si>
    <r>
      <t>Medicaid &amp; FAMIS</t>
    </r>
    <r>
      <rPr>
        <vertAlign val="superscript"/>
        <sz val="9"/>
        <color theme="1"/>
        <rFont val="Cambria"/>
        <family val="1"/>
        <scheme val="major"/>
      </rPr>
      <t>4</t>
    </r>
  </si>
  <si>
    <t>TANF_Fed</t>
  </si>
  <si>
    <t>TANF_State</t>
  </si>
  <si>
    <t>TANF_Local</t>
  </si>
  <si>
    <t>TANF_NER</t>
  </si>
  <si>
    <t>TANF_Total</t>
  </si>
  <si>
    <r>
      <t>TANF</t>
    </r>
    <r>
      <rPr>
        <vertAlign val="superscript"/>
        <sz val="9"/>
        <color theme="1"/>
        <rFont val="Cambria"/>
        <family val="1"/>
        <scheme val="major"/>
      </rPr>
      <t>5</t>
    </r>
  </si>
  <si>
    <t>LIHEAP_State Share</t>
  </si>
  <si>
    <t>LIHEAP_Local Share</t>
  </si>
  <si>
    <t>LIHEAP_Fed Share</t>
  </si>
  <si>
    <t>LIHEAP_NER</t>
  </si>
  <si>
    <t>LIHEAP_Local/NER</t>
  </si>
  <si>
    <r>
      <t>Foster care and adoption</t>
    </r>
    <r>
      <rPr>
        <vertAlign val="superscript"/>
        <sz val="9"/>
        <color theme="1"/>
        <rFont val="Cambria"/>
        <family val="1"/>
        <scheme val="major"/>
      </rPr>
      <t>6</t>
    </r>
  </si>
  <si>
    <t>CSA_LOCAL</t>
  </si>
  <si>
    <t>CSA_FED</t>
  </si>
  <si>
    <t>CSA_STATE</t>
  </si>
  <si>
    <t>CSA_Non-Reimbursed</t>
  </si>
  <si>
    <t>CSA_Total</t>
  </si>
  <si>
    <t>CSA_Local/NER comb.</t>
  </si>
  <si>
    <r>
      <t>Child Care</t>
    </r>
    <r>
      <rPr>
        <vertAlign val="superscript"/>
        <sz val="9"/>
        <color theme="1"/>
        <rFont val="Cambria"/>
        <family val="1"/>
        <scheme val="major"/>
      </rPr>
      <t>8</t>
    </r>
  </si>
  <si>
    <r>
      <t>Other Benefits</t>
    </r>
    <r>
      <rPr>
        <vertAlign val="superscript"/>
        <sz val="9"/>
        <color theme="1"/>
        <rFont val="Cambria"/>
        <family val="1"/>
        <scheme val="major"/>
      </rPr>
      <t>9</t>
    </r>
  </si>
  <si>
    <t>Admin costs - % Total SS spending</t>
  </si>
  <si>
    <t>Services - % Total SS spending</t>
  </si>
  <si>
    <t>Benefits - % Total SS spending</t>
  </si>
  <si>
    <t>Admin costs - % by Funding Source</t>
  </si>
  <si>
    <t>Services - % by Funding Source</t>
  </si>
  <si>
    <t>Benefits - % by Funding Source</t>
  </si>
  <si>
    <t>SS Funding - % by Funding Source</t>
  </si>
  <si>
    <t>Benefits</t>
  </si>
  <si>
    <t>Services</t>
  </si>
  <si>
    <t>All Sources</t>
  </si>
  <si>
    <t>Total SS Spending</t>
  </si>
  <si>
    <t>TANF_Local &amp; NER comb.</t>
  </si>
  <si>
    <r>
      <t>SNAP</t>
    </r>
    <r>
      <rPr>
        <vertAlign val="superscript"/>
        <sz val="9"/>
        <color theme="1"/>
        <rFont val="Cambria"/>
        <family val="1"/>
        <scheme val="major"/>
      </rPr>
      <t>5</t>
    </r>
  </si>
  <si>
    <r>
      <t>Energy Assistance</t>
    </r>
    <r>
      <rPr>
        <vertAlign val="superscript"/>
        <sz val="9"/>
        <color theme="1"/>
        <rFont val="Cambria"/>
        <family val="1"/>
        <scheme val="major"/>
      </rPr>
      <t>5</t>
    </r>
  </si>
  <si>
    <t>All Spending</t>
  </si>
  <si>
    <t>Local Spending</t>
  </si>
  <si>
    <t>Missing</t>
  </si>
  <si>
    <t>Source: LASER, Statewide Summary. "NER" = Expenses not eligible for reimbursement. Costs rounded to whole dollars.</t>
  </si>
  <si>
    <t>0-5</t>
  </si>
  <si>
    <t>6-10</t>
  </si>
  <si>
    <t>19+</t>
  </si>
  <si>
    <t>Children in foster care (as of Sept. 30)</t>
  </si>
  <si>
    <t>0-5 years</t>
  </si>
  <si>
    <t>6-10 years</t>
  </si>
  <si>
    <t>11-15 years</t>
  </si>
  <si>
    <t>16-18 years</t>
  </si>
  <si>
    <t>19+ years</t>
  </si>
  <si>
    <t>County Executive</t>
  </si>
  <si>
    <t>Deputy County Administrator</t>
  </si>
  <si>
    <t>City Manager</t>
  </si>
  <si>
    <t>2013 vs 2014</t>
  </si>
  <si>
    <t>2012 vs. 2013</t>
  </si>
  <si>
    <t>Area/Region</t>
  </si>
  <si>
    <t>Female Teen Population</t>
  </si>
  <si>
    <t>Female Teen (10-19 years) Population</t>
  </si>
  <si>
    <t>Number of SNAP Recipients by State Fiscal Year, 2005-2015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</si>
  <si>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t>
  </si>
  <si>
    <t>2014 vs 2015</t>
  </si>
  <si>
    <t>Number of TANF Recipients by State Fiscal Year, 2005-2015</t>
  </si>
  <si>
    <t>TANF SFY 2015</t>
  </si>
  <si>
    <t>Medicaid SFY 2015</t>
  </si>
  <si>
    <t>Number of Medicaid Clients by State Fiscal Year, 2009-2015</t>
  </si>
  <si>
    <t>Source: VDSS, Client Cross-Program Reporting, Client Cross-Program Locality Yearly Analysis (client counts for Medicaid, SNAP, and TANF for 2009-2015; unduplicated client counts for each year). 2005-2008 data came from ADAPT System Reporting, SFY ADAPT Client Analysis in January 2013. Locality and state counts exclude clients enrolled from state mental health hospitals.</t>
  </si>
  <si>
    <t>SNAP SFY 2015</t>
  </si>
  <si>
    <t>SFY 2015</t>
  </si>
  <si>
    <t>Amer. Indian/-Alaskan Native</t>
  </si>
  <si>
    <t>"Other Race"</t>
  </si>
  <si>
    <t>"Other race"</t>
  </si>
  <si>
    <t xml:space="preserve"> Hawaiian-Pacific Islander</t>
  </si>
  <si>
    <t>Hispanic*</t>
  </si>
  <si>
    <t>Other**</t>
  </si>
  <si>
    <t>Adult Protective Services (APS)</t>
  </si>
  <si>
    <t>Under 4</t>
  </si>
  <si>
    <t>Under 1</t>
  </si>
  <si>
    <t>1 to 3</t>
  </si>
  <si>
    <t>4 to 7</t>
  </si>
  <si>
    <t>8 to 11</t>
  </si>
  <si>
    <t>12 to 15</t>
  </si>
  <si>
    <t>16 to 17</t>
  </si>
  <si>
    <t>18-60</t>
  </si>
  <si>
    <t>** Deviation Status: ND=Non-deviating; PD=Partial deviating; JW=Jurisdiction-wide</t>
  </si>
  <si>
    <t>Race*</t>
  </si>
  <si>
    <t>Total Reports</t>
  </si>
  <si>
    <t>Local Board Type</t>
  </si>
  <si>
    <t>Local Policies Followed</t>
  </si>
  <si>
    <t>N/A</t>
  </si>
  <si>
    <t>All</t>
  </si>
  <si>
    <t>IW</t>
  </si>
  <si>
    <t>HD</t>
  </si>
  <si>
    <t>County Director of Human Services</t>
  </si>
  <si>
    <t>PE, HD, IW, GV</t>
  </si>
  <si>
    <t>HD, IW</t>
  </si>
  <si>
    <t xml:space="preserve">ND </t>
  </si>
  <si>
    <t>IW, GV</t>
  </si>
  <si>
    <t>GV</t>
  </si>
  <si>
    <t>Comp, PE, HD, IW</t>
  </si>
  <si>
    <t>Comp</t>
  </si>
  <si>
    <t>HD, IW, GV</t>
  </si>
  <si>
    <t>City Administrator</t>
  </si>
  <si>
    <t>Comp only, PE, SC, LV, HD, IW, PA</t>
  </si>
  <si>
    <t>LV, HD, IW, AA, PA</t>
  </si>
  <si>
    <t>Board of Supervisors &amp; County Executive</t>
  </si>
  <si>
    <t>SC, LV</t>
  </si>
  <si>
    <t>Human Services Director</t>
  </si>
  <si>
    <t>PE, HD, IW</t>
  </si>
  <si>
    <t xml:space="preserve">Count           </t>
  </si>
  <si>
    <t>Level I:    33</t>
  </si>
  <si>
    <t>Level II:   59</t>
  </si>
  <si>
    <t>Level III:  28</t>
  </si>
  <si>
    <t xml:space="preserve">Count                                         </t>
  </si>
  <si>
    <t xml:space="preserve">Count                                                           </t>
  </si>
  <si>
    <t>ND: Non-Deviating:  34</t>
  </si>
  <si>
    <t>JW: Jurisdiction Wide Deviation:  26</t>
  </si>
  <si>
    <t>PD: Partial Deviating:  60</t>
  </si>
  <si>
    <t>Director Class/LDSS Level</t>
  </si>
  <si>
    <t>Code</t>
  </si>
  <si>
    <t>Local Human Resource Policy</t>
  </si>
  <si>
    <t xml:space="preserve">AA </t>
  </si>
  <si>
    <t xml:space="preserve"> Affirmative Action</t>
  </si>
  <si>
    <t xml:space="preserve">CC </t>
  </si>
  <si>
    <t xml:space="preserve"> Classification and Compensation</t>
  </si>
  <si>
    <t xml:space="preserve">GV </t>
  </si>
  <si>
    <t xml:space="preserve"> Grievance Procedure</t>
  </si>
  <si>
    <t xml:space="preserve">HD </t>
  </si>
  <si>
    <t xml:space="preserve"> Holiday Schedule/Policy</t>
  </si>
  <si>
    <t xml:space="preserve">IW </t>
  </si>
  <si>
    <t xml:space="preserve"> Inclement Weather</t>
  </si>
  <si>
    <t>LO</t>
  </si>
  <si>
    <t xml:space="preserve"> Layoff</t>
  </si>
  <si>
    <t xml:space="preserve">LV </t>
  </si>
  <si>
    <t xml:space="preserve"> Leave</t>
  </si>
  <si>
    <t xml:space="preserve">N/A </t>
  </si>
  <si>
    <t xml:space="preserve"> Not Applicable</t>
  </si>
  <si>
    <t xml:space="preserve">PA </t>
  </si>
  <si>
    <t xml:space="preserve"> Political Activity</t>
  </si>
  <si>
    <t xml:space="preserve">PE </t>
  </si>
  <si>
    <t xml:space="preserve"> Performance Evaluation</t>
  </si>
  <si>
    <t xml:space="preserve">PP </t>
  </si>
  <si>
    <t xml:space="preserve"> Probationary Period</t>
  </si>
  <si>
    <t xml:space="preserve">SC </t>
  </si>
  <si>
    <t xml:space="preserve"> Standards of Conduct</t>
  </si>
  <si>
    <t>Deviation Classification</t>
  </si>
  <si>
    <t>Local DSS Agency: Region, Local Director/LDSS Level Classification, Local Board Type, &amp; HR Policy/Practice Deviation</t>
  </si>
  <si>
    <t>Serves as Administrative Entity For Local DSS with Advisory Boards*</t>
  </si>
  <si>
    <t>Child Protective Services (CPS)</t>
  </si>
  <si>
    <t>SFY 2016</t>
  </si>
  <si>
    <t>FAMIS_Local</t>
  </si>
  <si>
    <r>
      <t>Medicaid &amp; FAMIS</t>
    </r>
    <r>
      <rPr>
        <vertAlign val="superscript"/>
        <sz val="9"/>
        <color theme="1"/>
        <rFont val="Cambria"/>
        <family val="1"/>
        <scheme val="major"/>
      </rPr>
      <t>5</t>
    </r>
  </si>
  <si>
    <t>(4) Medicaid, FAMIS, SNAP, TANF/TANF UP, Energy Assistance, Foster Care/Adoption, CSA, and Child Care are coming from Section III - Statewide Benefit Payments of the LASER report. Refugee Assistance payments are made at Local Health Districts, not LDSS.</t>
  </si>
  <si>
    <r>
      <t>Client Benefits Spending</t>
    </r>
    <r>
      <rPr>
        <b/>
        <vertAlign val="superscript"/>
        <sz val="9"/>
        <color theme="1"/>
        <rFont val="Cambria"/>
        <family val="1"/>
        <scheme val="major"/>
      </rPr>
      <t>4</t>
    </r>
  </si>
  <si>
    <t>Energy Assistance</t>
  </si>
  <si>
    <r>
      <t>Foster care/adoption</t>
    </r>
    <r>
      <rPr>
        <vertAlign val="superscript"/>
        <sz val="9"/>
        <color theme="1"/>
        <rFont val="Cambria"/>
        <family val="1"/>
        <scheme val="major"/>
      </rPr>
      <t>6</t>
    </r>
  </si>
  <si>
    <t>(7) CSA Costs are paid at the local level with reimbursement from the State Children's Services Act.</t>
  </si>
  <si>
    <t>12 to 17</t>
  </si>
  <si>
    <t>4 to 11</t>
  </si>
  <si>
    <t>Age Group (in years)</t>
  </si>
  <si>
    <t>Race/Ethnicity*</t>
  </si>
  <si>
    <t xml:space="preserve">Source: DFS, VCWOR/OASIS, "Children in CPS Referrals". *Child may belong to more than one race. Hispanic origin is not mutually exclusive from race. Race subtotals do not add up to Total Children. </t>
  </si>
  <si>
    <t>&lt; 1 years</t>
  </si>
  <si>
    <t>1-5 years</t>
  </si>
  <si>
    <t>&lt;1 year</t>
  </si>
  <si>
    <t xml:space="preserve">"Other" race includes Asians, American Indians, Hawaiians and Pacific Islanders, Hispanics, and multi-racial clients. </t>
  </si>
  <si>
    <t>11-15</t>
  </si>
  <si>
    <t>16-18</t>
  </si>
  <si>
    <t>Source: U.S. Census Bureau, Small Area Income and Poverty Estimates (SAIPE), using data from the American Community Survey. Estimates are not based on people living in group quarters (e.g., college dormitories, military barracks, group homes).</t>
  </si>
  <si>
    <r>
      <rPr>
        <b/>
        <sz val="12"/>
        <color indexed="8"/>
        <rFont val="Calibri"/>
        <family val="2"/>
      </rPr>
      <t xml:space="preserve">Source: </t>
    </r>
    <r>
      <rPr>
        <sz val="12"/>
        <color indexed="8"/>
        <rFont val="Calibri"/>
        <family val="2"/>
      </rPr>
      <t>U.S. Census Bureau, Small Area Income and Poverty Estimates (SAIPE) Program. Source data is the American Community Survey.</t>
    </r>
  </si>
  <si>
    <r>
      <t>Children's Services Act (CSA)</t>
    </r>
    <r>
      <rPr>
        <vertAlign val="superscript"/>
        <sz val="9"/>
        <color theme="1"/>
        <rFont val="Cambria"/>
        <family val="1"/>
        <scheme val="major"/>
      </rPr>
      <t>7</t>
    </r>
  </si>
  <si>
    <t>Bedford*</t>
  </si>
  <si>
    <t>Source: Virginia Department of Health, Division of Health Statistics, Resident live birth data.  * In 2013, Bedford City reverted to town status. Bedford County now includes counts for Bedford town.</t>
  </si>
  <si>
    <t>Caseload Per Worker</t>
  </si>
  <si>
    <t>Received</t>
  </si>
  <si>
    <t>Disposed</t>
  </si>
  <si>
    <t>Medical Assistance</t>
  </si>
  <si>
    <t>Family Services Clients</t>
  </si>
  <si>
    <t>Adoption</t>
  </si>
  <si>
    <t>Adoption:  Post Adoptive</t>
  </si>
  <si>
    <t>CPS:   Investigation</t>
  </si>
  <si>
    <t>CPS:   Ongoing Services</t>
  </si>
  <si>
    <t xml:space="preserve">Dual: CPS &amp; Foster Care </t>
  </si>
  <si>
    <t>Early Prev/Family Preserv</t>
  </si>
  <si>
    <t>Early Prev/Family Supp: Court Order</t>
  </si>
  <si>
    <t>Early Prev/Family Supp: No Court Order</t>
  </si>
  <si>
    <t>Early Prev/Int Fam Preserv: High Risk of FC</t>
  </si>
  <si>
    <t>Former FC: Committed to DJJ</t>
  </si>
  <si>
    <t>Foster Care:  Non-specialized Care (IV-E Non-reimbursable)</t>
  </si>
  <si>
    <t>ICPC</t>
  </si>
  <si>
    <t>IL Former Foster Care (18-21)</t>
  </si>
  <si>
    <t>IL Former Foster Care (21 years and older)</t>
  </si>
  <si>
    <t>Intake:  Short Term Assessment/Crisis Intervention</t>
  </si>
  <si>
    <t>Intake:  Short Term/Assessment</t>
  </si>
  <si>
    <t>Prev &amp; Support for Families:  Home Study/Court Orders</t>
  </si>
  <si>
    <t>Prev &amp; Support for Families:  Placement Prevention</t>
  </si>
  <si>
    <t>Prev &amp; Support for Families:  Prevention of Abuse/Neglect</t>
  </si>
  <si>
    <t>Prev &amp; Support for Families:  Stabilization/Support</t>
  </si>
  <si>
    <t>Prevention: Low or Mod Risk(after CPS)</t>
  </si>
  <si>
    <t>No Case Type</t>
  </si>
  <si>
    <t>Cases</t>
  </si>
  <si>
    <t>Workers</t>
  </si>
  <si>
    <t>Total Number of Family Services Cases</t>
  </si>
  <si>
    <t>Total Number of Family Services Workers</t>
  </si>
  <si>
    <t>Number of Family Services Cases Per Worker (Caseload)</t>
  </si>
  <si>
    <t>Statewide Benefit Payments</t>
  </si>
  <si>
    <t>All Social Services Spending</t>
  </si>
  <si>
    <t xml:space="preserve">(2) Other operational expenses: 000 (Miscellaneous) and 843 (Central Service Cost Allocation). </t>
  </si>
  <si>
    <t>Children 5-17 years in Families</t>
  </si>
  <si>
    <t>Children 0-17 years</t>
  </si>
  <si>
    <t>People (All Ages)</t>
  </si>
  <si>
    <t>Unavailable</t>
  </si>
  <si>
    <t>Other Race (incl. Multiracial)</t>
  </si>
  <si>
    <t>Missing or Unknown</t>
  </si>
  <si>
    <t>Adults 65+ years</t>
  </si>
  <si>
    <t>By Gender</t>
  </si>
  <si>
    <t>Two or more races</t>
  </si>
  <si>
    <t>White alone</t>
  </si>
  <si>
    <t>Black alone</t>
  </si>
  <si>
    <t>Percent of Population - By Sex</t>
  </si>
  <si>
    <t>Percent of Population - By Race</t>
  </si>
  <si>
    <t>Percent of Population - By Age Group</t>
  </si>
  <si>
    <t>Asian only</t>
  </si>
  <si>
    <t>Black only</t>
  </si>
  <si>
    <t>White only</t>
  </si>
  <si>
    <t>Data formatted and posted at http://demographics.coopercenter.org by the UVA Weldon Cooper Center, Demographics Research Group</t>
  </si>
  <si>
    <t>African American only</t>
  </si>
  <si>
    <t>Hispanic/Latino*</t>
  </si>
  <si>
    <t>"Other race" includes Hawaiians, Other Pacific Islanders, American Indians, and Native Alaskans.</t>
  </si>
  <si>
    <t>AGENCY BACKGROUND - NOTES:</t>
  </si>
  <si>
    <t>Sex</t>
  </si>
  <si>
    <t>Age Group (years)**</t>
  </si>
  <si>
    <t xml:space="preserve">"Other" race includes Asians, American Indians, Hawaiians and Pacific Islanders, and multi-racial clients; excludes unknown, indeterminant, or declined (not self-reported) race data. </t>
  </si>
  <si>
    <t>Child Care</t>
  </si>
  <si>
    <t>6-17 years</t>
  </si>
  <si>
    <r>
      <t>Any Benefit Program</t>
    </r>
    <r>
      <rPr>
        <vertAlign val="superscript"/>
        <sz val="9"/>
        <color theme="1"/>
        <rFont val="Cambria"/>
        <family val="1"/>
        <scheme val="major"/>
      </rPr>
      <t>1</t>
    </r>
  </si>
  <si>
    <t>Missing or Invalid</t>
  </si>
  <si>
    <t>Hispanic Ethnicity</t>
  </si>
  <si>
    <t>Age Group (children only)</t>
  </si>
  <si>
    <t>&lt; 2 years</t>
  </si>
  <si>
    <t>2-3 years</t>
  </si>
  <si>
    <t>4-5 years</t>
  </si>
  <si>
    <t>18-34 years</t>
  </si>
  <si>
    <t>35-64 years</t>
  </si>
  <si>
    <t>18-34 Years</t>
  </si>
  <si>
    <t>35-64 Years</t>
  </si>
  <si>
    <t>18+ years or missing age</t>
  </si>
  <si>
    <t>Number of SNAP Cases (Households) by Year (Unduplicated Count)</t>
  </si>
  <si>
    <t>Number of Medicaid Cases (Households) by Year (Unduplicated Count)</t>
  </si>
  <si>
    <t>Number of TANF Cases (Households) by Year</t>
  </si>
  <si>
    <t>SFY 2010</t>
  </si>
  <si>
    <t>SFY 2011</t>
  </si>
  <si>
    <t>SFY 2012</t>
  </si>
  <si>
    <t>SFY 2013</t>
  </si>
  <si>
    <t>CY 2017</t>
  </si>
  <si>
    <t>Child Care Subsidy Cases (Families) Served by Year (unduplicated count)</t>
  </si>
  <si>
    <t>FFY 2013</t>
  </si>
  <si>
    <t>FFY 2014</t>
  </si>
  <si>
    <t>FFY 2015</t>
  </si>
  <si>
    <t>FFY 2016</t>
  </si>
  <si>
    <t>Any Program</t>
  </si>
  <si>
    <t xml:space="preserve">Source: VDSS, VaCMS. Represents unduplicated number of families (cases) served within each locality as well as statewide.  For 2014-2016, the counts are for state fiscal years; for 2017, the calendar year. </t>
  </si>
  <si>
    <t>Households (Cases) Served by Year</t>
  </si>
  <si>
    <t>2017</t>
  </si>
  <si>
    <t>Number of Ongoing and Family Services Caseload &amp; Case Workers</t>
  </si>
  <si>
    <r>
      <t xml:space="preserve">Source: </t>
    </r>
    <r>
      <rPr>
        <sz val="12"/>
        <color indexed="8"/>
        <rFont val="Calibri"/>
        <family val="2"/>
      </rPr>
      <t>VDSS, OASIS, "Caseload" Analysis (Data as of 8/1/2017). Includes CPS, CPS ongoing, early prevention, prevention &amp; support for families, foster care, adoption, post-adoption, and independent living cases. This is a point-in-time count. Numbers of cases and workers are not unduplicated counts.</t>
    </r>
  </si>
  <si>
    <t>Family Services Cases &amp; Caseload (as of August 2017)*</t>
  </si>
  <si>
    <t>* Point-in-time count (as of August 1, 2017). Numbers of family services cases and family services workers involved are not unduplicated counts.</t>
  </si>
  <si>
    <t>Benefit Clients Served by State Fiscal Year</t>
  </si>
  <si>
    <t>Families</t>
  </si>
  <si>
    <t>Unemployed</t>
  </si>
  <si>
    <t>Unemployment Rate</t>
  </si>
  <si>
    <t>Civilian Labor Force</t>
  </si>
  <si>
    <t>Source: VDSS, Data Warehouse, "Application Program Monthly Status Analysis." Data source is VaCMS. Accessed on 10/2/2018 (state fiscal year).</t>
  </si>
  <si>
    <t>Admin</t>
  </si>
  <si>
    <t>Filled (valid only)</t>
  </si>
  <si>
    <t>Vacant (valid only)</t>
  </si>
  <si>
    <t>Total (valid only)</t>
  </si>
  <si>
    <t>% Vacant</t>
  </si>
  <si>
    <t>Division</t>
  </si>
  <si>
    <t>STATEWIDE</t>
  </si>
  <si>
    <r>
      <t>Sources: VaCMS, Client Cross-Program Locality Yearly Analysis</t>
    </r>
    <r>
      <rPr>
        <sz val="8"/>
        <color indexed="8"/>
        <rFont val="Cambria"/>
        <family val="1"/>
      </rPr>
      <t xml:space="preserve">. </t>
    </r>
    <r>
      <rPr>
        <vertAlign val="superscript"/>
        <sz val="8"/>
        <color indexed="8"/>
        <rFont val="Cambria"/>
        <family val="1"/>
      </rPr>
      <t>1</t>
    </r>
    <r>
      <rPr>
        <sz val="8"/>
        <color indexed="8"/>
        <rFont val="Cambria"/>
        <family val="1"/>
      </rPr>
      <t xml:space="preserve"> Unduplicated number of clients who received SNAP, TANF, and/or Medicaid (excl. Child Care). Note: Refers to eligible clients (excl. deemed and included clients). "Other" race includes Asians, Hawaiian/Pacific Islanders and American Indian/Alaskan Natives. Hispanic ethnicity is not mutually exclusive of race.</t>
    </r>
  </si>
  <si>
    <t>HD,IW</t>
  </si>
  <si>
    <t>CC, PE, LV, HD, IW, GV, PP, PA</t>
  </si>
  <si>
    <t>CC, PE, LV, HD, IW, AA, LO, PP</t>
  </si>
  <si>
    <t>PE, SC, LV, HD, IW, GV, PP, LO, PA</t>
  </si>
  <si>
    <t xml:space="preserve">CC, LV, HD, IW, PP, LO, PA </t>
  </si>
  <si>
    <t>CC, PE, SC, LV, IW, PP, PA</t>
  </si>
  <si>
    <t>2018 Devia-tion Status*</t>
  </si>
  <si>
    <t>Unknown or Missing</t>
  </si>
  <si>
    <t>Fund 0033 (NER)</t>
  </si>
  <si>
    <t>Fund 0077 (NER)</t>
  </si>
  <si>
    <t>NER (local)</t>
  </si>
  <si>
    <t>Other Benefit Payments (incl. Foster Care and Adoption Benefits)</t>
  </si>
  <si>
    <t>NER - %</t>
  </si>
  <si>
    <t>NER comb.</t>
  </si>
  <si>
    <t>Administration</t>
  </si>
  <si>
    <t>Local/NER ($)</t>
  </si>
  <si>
    <t>(9) Other Benefit Payments: 804 (Auxiliary Grant), 807 (Auxiliary Grant Program), 808 (TANF - Manual checks), 810 (TANF - Emergency assistance), 813 (General Relief), 819 (Refugee Cash Assistance), 848 (TANF-UP - Manual checks), and 867 (TANF - Competitive Grant).</t>
  </si>
  <si>
    <t>Source: LASER, Statewide Summary. NER = Local non-reimbursable costs. Costs rounded to whole dollars.</t>
  </si>
  <si>
    <t>Local &amp; NER (comb.)</t>
  </si>
  <si>
    <t>Number of Adult Protective Services Reports, SFY 2018</t>
  </si>
  <si>
    <t>18-59</t>
  </si>
  <si>
    <t>60 and older</t>
  </si>
  <si>
    <t>Adult subjects of APS Reports (SFY 2018)</t>
  </si>
  <si>
    <t>SFY 2018</t>
  </si>
  <si>
    <t>FFY 2018</t>
  </si>
  <si>
    <t>FFY 2017</t>
  </si>
  <si>
    <t>SFY 2017</t>
  </si>
  <si>
    <t>Deputy City Manager</t>
  </si>
  <si>
    <t>(3) Services purchased for clients: 217 (Guardianship Petitions), 824 (Other purchased services), 829 (Family Prevention, or SSBG), 830 (Child Welfare Substance Abuse Services), 833 (Adult Services), 844 (SNAPET Purchased Services), 861 (Independent Living Program - E&amp;T Vouchers), 862 (Independent Living Program - Basic Allocation), 864 (Respite Care for Foster Families), 866 (Family Preservation/Support - Purchased Services), 871 (TANF/VIEW -Working, Trans Child Care), 872 (VIEW), 873 (IV-E Foster/Adoptive Parent Training - enhanced rate), 875 (IV-E Foster/Adoptive Parent Training - admin rate), 878 (Head Start Transition to Work Child Care), 881 (Fee for Child Care - Matching), 883 (Fee for Child Care - 100% Federal), 888 (Non-VIEW Repayment of VACMS), 889 (VIEW Repayment of VaCMS), 890 (Child Care Quality Initiative Program), and 895 (Adult Protective Services).</t>
  </si>
  <si>
    <t>Not available</t>
  </si>
  <si>
    <r>
      <t>TANF</t>
    </r>
    <r>
      <rPr>
        <b/>
        <vertAlign val="superscript"/>
        <sz val="9"/>
        <color theme="1"/>
        <rFont val="Cambria"/>
        <family val="1"/>
        <scheme val="major"/>
      </rPr>
      <t>3</t>
    </r>
  </si>
  <si>
    <t>% of Spending</t>
  </si>
  <si>
    <r>
      <t>Children's Services Act</t>
    </r>
    <r>
      <rPr>
        <vertAlign val="superscript"/>
        <sz val="9"/>
        <color theme="1"/>
        <rFont val="Cambria"/>
        <family val="1"/>
        <scheme val="major"/>
      </rPr>
      <t>7</t>
    </r>
  </si>
  <si>
    <t>Source: VDSS, VaCMS, "Children and Family Counts - Expenditure by Budget Line".  Statewide counts are unduplicated. Accessed on 10/29/2019.</t>
  </si>
  <si>
    <t>Number of SNAP Applications Received by Month, SFY 2019</t>
  </si>
  <si>
    <t>Total - SFY 2019</t>
  </si>
  <si>
    <t>Source: VDSS, Data Warehouse, "Application Program Monthly Status Analysis." Data source is VaCMS. Accessed on 10/29/2019 (state fiscal year).</t>
  </si>
  <si>
    <t>Number of SNAP Applications Disposed by Month, SFY 2019</t>
  </si>
  <si>
    <t>Number of TANF Applications Received by Month, SFY 2019</t>
  </si>
  <si>
    <t>Number of TANF Applications Disposed by Month, SFY 2019</t>
  </si>
  <si>
    <t>Number of Medical Assistance Applications Received by Month, SFY 2019</t>
  </si>
  <si>
    <t>Number of Medical Assistance Applications Disposed by Month, SFY 2019</t>
  </si>
  <si>
    <t>Number of Child Care Subsidy Applications Received by Month, SFY 2019</t>
  </si>
  <si>
    <t>Number of Child Care Subsidy Applications Disposed by Month, SFY 2019</t>
  </si>
  <si>
    <r>
      <rPr>
        <vertAlign val="superscript"/>
        <sz val="8"/>
        <color theme="1"/>
        <rFont val="Cambria"/>
        <family val="1"/>
        <scheme val="major"/>
      </rPr>
      <t>1</t>
    </r>
    <r>
      <rPr>
        <sz val="8"/>
        <color theme="1"/>
        <rFont val="Cambria"/>
        <family val="1"/>
        <scheme val="major"/>
      </rPr>
      <t xml:space="preserve"> Source: Data Warehouse, "Client Cross-Program Locality Yearly Analysis" (2012-2016 data come from ADAPT; 2017-2019 data from VaCMS). Unduplicated count within locality. Refers to "eligible" household members. </t>
    </r>
    <r>
      <rPr>
        <vertAlign val="superscript"/>
        <sz val="8"/>
        <color theme="1"/>
        <rFont val="Cambria"/>
        <family val="1"/>
        <scheme val="major"/>
      </rPr>
      <t>2</t>
    </r>
    <r>
      <rPr>
        <sz val="8"/>
        <color theme="1"/>
        <rFont val="Cambria"/>
        <family val="1"/>
        <scheme val="major"/>
      </rPr>
      <t xml:space="preserve"> Received SNAP, TANF and/or Medicaid during the year. </t>
    </r>
    <r>
      <rPr>
        <vertAlign val="superscript"/>
        <sz val="8"/>
        <color theme="1"/>
        <rFont val="Cambria"/>
        <family val="1"/>
        <scheme val="major"/>
      </rPr>
      <t>3</t>
    </r>
    <r>
      <rPr>
        <sz val="8"/>
        <color indexed="8"/>
        <rFont val="Cambria"/>
        <family val="1"/>
      </rPr>
      <t xml:space="preserve"> Source: VaCMS, "Children and Family Counts -- Expenditure by Budget Line"  (not available prior to FY 2013). </t>
    </r>
  </si>
  <si>
    <t>Residents who received benefits (SNAP, TANF or Medicaid) in SFY 2019</t>
  </si>
  <si>
    <t>Benefit Client Demographics (SFY 2019)</t>
  </si>
  <si>
    <t>Annual Unemployment Rate by Locality, 2000-2018 (Unadjusted)</t>
  </si>
  <si>
    <t>Source: Virginia Department of Health, Division of Health Statistics, Resident live birth data.  "Other" race refers to residents who are Asian, Hawaiian/Pacific Islander, or American Indian/Alaskan Native. The statewide total includes onenon-marital birth where locality was not specified.</t>
  </si>
  <si>
    <t>Social Services Staffing 
(as of 9/30/2019)</t>
  </si>
  <si>
    <t>Total Social Services Spending, SFY2019</t>
  </si>
  <si>
    <t>HD, IW, LO, GV</t>
  </si>
  <si>
    <t>County Manager/City Manager</t>
  </si>
  <si>
    <t>Advisory Boards:  45</t>
  </si>
  <si>
    <t>Administrative Boards:  75</t>
  </si>
  <si>
    <t>Source: VDSS, Division of Human Resources. Updated 9/30/2019.</t>
  </si>
  <si>
    <t>Number of Filled and Unfilled Positions by Locality (as of 10/01/2019)</t>
  </si>
  <si>
    <r>
      <rPr>
        <b/>
        <sz val="12"/>
        <color indexed="8"/>
        <rFont val="Calibri"/>
        <family val="2"/>
      </rPr>
      <t>Source:</t>
    </r>
    <r>
      <rPr>
        <sz val="12"/>
        <color indexed="8"/>
        <rFont val="Calibri"/>
        <family val="2"/>
      </rPr>
      <t xml:space="preserve"> VDSS, Human Resources, Locality Employment Tracking System (LETS), Position Reimbursement and Status Report Summary (as of 9/30/2019).  Report run on 10/1/2019. Excludes one unfilled position that was missing classification.</t>
    </r>
  </si>
  <si>
    <t xml:space="preserve">39 filled and 52 vacant voluntary positions are excluded from the total counts. </t>
  </si>
  <si>
    <t>Source: LETS, Position Reimbursement And Status Report for State (run on 10/1/2019). Refers to number of positions regardless of percent of time assigned. Invalid filled positions and voluntary positions are excluded. NER= Not eligible for reimbursement.</t>
  </si>
  <si>
    <t>SFY 2019</t>
  </si>
  <si>
    <t>FFY 2019</t>
  </si>
  <si>
    <t>Number of Children for which Adoption Subsidies were received, by Race &amp; Age of Child (as of 11/1/2019)</t>
  </si>
  <si>
    <r>
      <rPr>
        <b/>
        <sz val="12"/>
        <color indexed="8"/>
        <rFont val="Calibri"/>
        <family val="2"/>
      </rPr>
      <t xml:space="preserve">Source: </t>
    </r>
    <r>
      <rPr>
        <sz val="12"/>
        <color indexed="8"/>
        <rFont val="Calibri"/>
        <family val="2"/>
      </rPr>
      <t>VDSS, Division of Family Services, OASIS/VCWOR, "Adoption Subsidy Race/Age Count". Based on data as of 11/1/2019.</t>
    </r>
  </si>
  <si>
    <t>Number of Children in CPS Referrals by Race, SFY 2019 (July 1, 2018 - June 30, 2019)</t>
  </si>
  <si>
    <r>
      <t xml:space="preserve">Source: </t>
    </r>
    <r>
      <rPr>
        <sz val="12"/>
        <color indexed="8"/>
        <rFont val="Calibri"/>
        <family val="2"/>
      </rPr>
      <t>VDSS, Division of Family Services,</t>
    </r>
    <r>
      <rPr>
        <b/>
        <sz val="12"/>
        <color indexed="8"/>
        <rFont val="Calibri"/>
        <family val="2"/>
      </rPr>
      <t xml:space="preserve"> </t>
    </r>
    <r>
      <rPr>
        <sz val="12"/>
        <color indexed="8"/>
        <rFont val="Calibri"/>
        <family val="2"/>
      </rPr>
      <t>VCWOR ("Child Demographics Annual Report -- All Referrals"), SFY 2019 (report period: 7/1/2018 to 6/30/2019).  Report run on 11/19/2019.   * Hispanic origin is not mutually exclusive from race; racial subgroups do not add up to total number of referred children. **"Other" refers to children who are Asian, Native Hawaiian/Other Pacific Islander, or American Indian/Alaskan Native.</t>
    </r>
  </si>
  <si>
    <t>Children in CPS referrals (SFY 2019)</t>
  </si>
  <si>
    <t>Number of Children By Race and Age In Foster Care at End of Federal Fiscal Year 2019 (9/30/2019)</t>
  </si>
  <si>
    <r>
      <t xml:space="preserve">Source: </t>
    </r>
    <r>
      <rPr>
        <sz val="12"/>
        <color indexed="8"/>
        <rFont val="Calibri"/>
        <family val="2"/>
      </rPr>
      <t xml:space="preserve">VDSS, VCWOR,  OASIS Rolling Year Data, "Children in Care at the End of the Year by Race/Ethnicity" (in care as of September 30, 2019). "Other" includes children who are Asian, Hawaiian, other Pacific Islander, American Indian, Alaskan Native, Hispanic, and multiracial clients. </t>
    </r>
  </si>
  <si>
    <t>Children's Services Act (CSA) Expenditures, SFY 2019</t>
  </si>
  <si>
    <r>
      <rPr>
        <b/>
        <sz val="12"/>
        <color indexed="8"/>
        <rFont val="Calibri"/>
        <family val="2"/>
      </rPr>
      <t xml:space="preserve">Source: </t>
    </r>
    <r>
      <rPr>
        <sz val="12"/>
        <color indexed="8"/>
        <rFont val="Calibri"/>
        <family val="2"/>
      </rPr>
      <t>VDSS, Division of Finances, LASER, FY 2019 Master Financial Statement Report. Accessed 12/2/2019.</t>
    </r>
  </si>
  <si>
    <t>LIHEAP Benefit Spending, SFY 2019</t>
  </si>
  <si>
    <t>SNAP Benefit Spending, SFY 2019</t>
  </si>
  <si>
    <t>Medicaid and FAMIS Benefit Spending, SFY 2019</t>
  </si>
  <si>
    <t>TANF/TANF-UP Benefit Spending, SFY 2019</t>
  </si>
  <si>
    <t>Child Care Benefit Spending, SFY 2019</t>
  </si>
  <si>
    <t>Administrative Expenditures - Staffing, SFY 2019</t>
  </si>
  <si>
    <t>Other Staffing and Operations Expenditures, SFY 2019</t>
  </si>
  <si>
    <r>
      <rPr>
        <b/>
        <sz val="10"/>
        <color indexed="8"/>
        <rFont val="Calibri"/>
        <family val="2"/>
      </rPr>
      <t>Source:</t>
    </r>
    <r>
      <rPr>
        <sz val="10"/>
        <color indexed="8"/>
        <rFont val="Calibri"/>
        <family val="2"/>
      </rPr>
      <t xml:space="preserve"> VDSS, Division of Finances, LASER, FY 2019 Master Financial Statement Report. Combines BL 811, 812, 814, 815, 816, 817, 818, 820, and 822.  Accessed 12/2/2019. </t>
    </r>
  </si>
  <si>
    <t>Foster Care and Adoption Spending, SFY 2019</t>
  </si>
  <si>
    <t>Other Public Assistance Benefit Payments (excl. Foster Care/Adoption Payments), SFY 2019</t>
  </si>
  <si>
    <r>
      <rPr>
        <b/>
        <sz val="12"/>
        <color indexed="8"/>
        <rFont val="Calibri"/>
        <family val="2"/>
      </rPr>
      <t>Source:</t>
    </r>
    <r>
      <rPr>
        <sz val="12"/>
        <color indexed="8"/>
        <rFont val="Calibri"/>
        <family val="2"/>
      </rPr>
      <t xml:space="preserve"> VDSS, Division of Finances, LASER, FY 2019 Master Financial Statement Report. Combines BL 804, 807, 808, 810, 813, 819, 848, and 867.  Accessed 12/2/2019. </t>
    </r>
  </si>
  <si>
    <r>
      <t xml:space="preserve">Source: </t>
    </r>
    <r>
      <rPr>
        <sz val="12"/>
        <color indexed="8"/>
        <rFont val="Calibri"/>
        <family val="2"/>
      </rPr>
      <t>VDSS, Division of Finances, LASER, FY 2019 Master Financial Statement Report. Includes CSA, Medicaid, SNAP, Energy Assistance, TANF/TANF-UP, FAMIS, and Child Care. Accessed 12/2/2019.</t>
    </r>
  </si>
  <si>
    <t>Social Services Spending, SFY 2019</t>
  </si>
  <si>
    <t>Total amount spent on Social Services in the locality (SFY 2019)</t>
  </si>
  <si>
    <r>
      <t xml:space="preserve">Total amount spent on Social Services </t>
    </r>
    <r>
      <rPr>
        <b/>
        <i/>
        <sz val="9"/>
        <color theme="6" tint="-0.499984740745262"/>
        <rFont val="Cambria"/>
        <family val="1"/>
      </rPr>
      <t>contributed by the locality</t>
    </r>
    <r>
      <rPr>
        <b/>
        <sz val="9"/>
        <color theme="6" tint="-0.499984740745262"/>
        <rFont val="Cambria"/>
        <family val="1"/>
      </rPr>
      <t xml:space="preserve"> in SFY 2019 (incl. NER costs)</t>
    </r>
  </si>
  <si>
    <t>(1) Local staff and operations: 849 (Staff &amp; Operations: No Local Match), 850 (outstationed eligibility staff), 855 (staff &amp; operations base budget), 858 (staff &amp; operations pass through), and 859 (SNAPET RD &amp; IWR).</t>
  </si>
  <si>
    <t xml:space="preserve">(5) Medicaid and FAMIS are combined. The SLH program was not funded in FY 2019. </t>
  </si>
  <si>
    <t>(6) Foster care &amp; adoption benefits: 811 (IV-E Foster Care), 812 (IV-E Adoption Assistance), 814 (Fostering Futures Foster Care Assistance), 815 (Fostering Futures Federal Adoption Assistance), 816 (International Home Studies), 817 (Special Needs Adoptions), 818 (Fostering Futures State Adoption Assistance), 820 (Adoption Incentives), and 822 (Kinship Guardianship Assistance).</t>
  </si>
  <si>
    <t xml:space="preserve">(8) For FY 2019, Child Care provider payments are made by VDSS through VACMS. </t>
  </si>
  <si>
    <r>
      <rPr>
        <b/>
        <sz val="12"/>
        <color indexed="8"/>
        <rFont val="Calibri"/>
        <family val="2"/>
      </rPr>
      <t xml:space="preserve">Source: </t>
    </r>
    <r>
      <rPr>
        <sz val="12"/>
        <color indexed="8"/>
        <rFont val="Calibri"/>
        <family val="2"/>
      </rPr>
      <t xml:space="preserve">VDSS, Division of Finances, LASER, FY 2019 Master Financial Statement Report. Combines BL 849, 850, 855 (adjusted), 858 and 859.  Accessed 12/2/2019.   </t>
    </r>
  </si>
  <si>
    <r>
      <rPr>
        <b/>
        <sz val="12"/>
        <color indexed="8"/>
        <rFont val="Calibri"/>
        <family val="2"/>
      </rPr>
      <t xml:space="preserve">Source: </t>
    </r>
    <r>
      <rPr>
        <sz val="12"/>
        <color indexed="8"/>
        <rFont val="Calibri"/>
        <family val="2"/>
      </rPr>
      <t xml:space="preserve">VDSS, Division of Finances, LASER, FY 2019 Master Financial Statement Report. Combines BL 000 and 843 (adjusted).  Accessed 12/2/2019. </t>
    </r>
  </si>
  <si>
    <t>Source: DARS, Adult Protective Services, ASAPS. (SFY 2019 data not available at this time.) * Hispanics may be counted in the "Unknown" group. ** Subtotals may not sum to the total due to under- or overcounts.</t>
  </si>
  <si>
    <t>Population, 2018</t>
  </si>
  <si>
    <t>By Race</t>
  </si>
  <si>
    <t>Asian alone</t>
  </si>
  <si>
    <t>Adult and Child Population by Locality by Sex, Race and Hispanic Ethnicity, 2018</t>
  </si>
  <si>
    <t>Data Set: 7/1/2018 County Characteristics Resident Population Estimates</t>
  </si>
  <si>
    <r>
      <rPr>
        <b/>
        <sz val="10.5"/>
        <rFont val="Segoe UI"/>
        <family val="2"/>
      </rPr>
      <t>Data Source:</t>
    </r>
    <r>
      <rPr>
        <sz val="10.5"/>
        <rFont val="Segoe UI"/>
        <family val="2"/>
      </rPr>
      <t xml:space="preserve"> Uva Weldon Cooper Center, Demographics Research Group. Estimates come from the U.S. Census Bureau.</t>
    </r>
  </si>
  <si>
    <t>Source: UVA Weldon Cooper Center, Demographics Research Group (estimates come from the U.S. Census Bureau). "Other race" includes Hawaiians, Pacific Islanders, American Indians, and Alaskan Natives. * Hispanic origin is not mutually exclusive of race.</t>
  </si>
  <si>
    <t>Live Births, Nonmarital Births, and Percentage of Births that are Non-Marital, by LDSS Locality and Race of Mother, Virginia, 2018</t>
  </si>
  <si>
    <t>Percentage of Births that are Non-Marital, by LDSS, Virginia, 2002-2018</t>
  </si>
  <si>
    <t>Births (2018)</t>
  </si>
  <si>
    <r>
      <rPr>
        <b/>
        <sz val="12"/>
        <color indexed="8"/>
        <rFont val="Calibri"/>
        <family val="2"/>
      </rPr>
      <t>Source:</t>
    </r>
    <r>
      <rPr>
        <sz val="12"/>
        <color indexed="8"/>
        <rFont val="Calibri"/>
        <family val="2"/>
      </rPr>
      <t xml:space="preserve"> ASAPS (Adult Services Adult Protectives Services) data system, "APS Report Statistical Count". "Other" race includes American Indian, Asian/Oriental, and Alaskan Native.  Racial counts do not include Hispanics and can contribute to counts by race not summing up to the total.  There are occasional undercounts and overcounts within age categories. </t>
    </r>
    <r>
      <rPr>
        <sz val="12"/>
        <color rgb="FFFF0000"/>
        <rFont val="Calibri"/>
        <family val="2"/>
      </rPr>
      <t>Data is not available from DARS for SFY 2019.</t>
    </r>
  </si>
  <si>
    <t>Teen Births and Birth Rates by Race by LDSS, Virginia, 2018</t>
  </si>
  <si>
    <t>Teen Live Births</t>
  </si>
  <si>
    <t>Teen Live Birth Rates (per 1,000 population), by LDSS, Virginia, 1998-2018</t>
  </si>
  <si>
    <t>Number of Teen Live Births</t>
  </si>
  <si>
    <t>Expenditures for Client Services, SFY 2019</t>
  </si>
  <si>
    <r>
      <rPr>
        <b/>
        <sz val="12"/>
        <color indexed="8"/>
        <rFont val="Calibri"/>
        <family val="2"/>
      </rPr>
      <t>Source:</t>
    </r>
    <r>
      <rPr>
        <sz val="12"/>
        <color indexed="8"/>
        <rFont val="Calibri"/>
        <family val="2"/>
      </rPr>
      <t xml:space="preserve"> VDSS, Division of Finances, LASER, FY 2019 Master Financial Statement Report. Combines BL 217, 824, 829, 830, 833, 844, 861, 862, 864, 866, 871, 872, 873, 875, 878, 881, 883, 888, 889, 890, and 895.  Using corrected version from 12/10/2019. </t>
    </r>
  </si>
  <si>
    <t>Social Services Spending, SFY 2019:</t>
  </si>
  <si>
    <t>Local Department of Social Services Profile Report, SFY 2019</t>
  </si>
  <si>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Last verified 9/30/2019.</t>
    </r>
  </si>
  <si>
    <r>
      <rPr>
        <vertAlign val="superscript"/>
        <sz val="8"/>
        <color indexed="8"/>
        <rFont val="Cambria"/>
        <family val="1"/>
      </rPr>
      <t>2</t>
    </r>
    <r>
      <rPr>
        <sz val="8"/>
        <color indexed="8"/>
        <rFont val="Cambria"/>
        <family val="1"/>
      </rPr>
      <t xml:space="preserve"> Refers to the local department's HR policy deviation from VDSS policies: jurisdiction-wide deviation (local policies only), Non-deviating , or partial deviating.  Last verified 9/30/2019.</t>
    </r>
  </si>
  <si>
    <r>
      <rPr>
        <vertAlign val="superscript"/>
        <sz val="8"/>
        <color indexed="8"/>
        <rFont val="Cambria"/>
        <family val="1"/>
      </rPr>
      <t>4</t>
    </r>
    <r>
      <rPr>
        <sz val="8"/>
        <color indexed="8"/>
        <rFont val="Cambria"/>
        <family val="1"/>
      </rPr>
      <t xml:space="preserve"> Refers to the local agency's board type (administrative vs. advisory); for advisory boards, administrative entity is also stated. Last verified 9/30/2019.</t>
    </r>
  </si>
  <si>
    <t>Estimated Number of People Living in Poverty and Poverty Rate by LDSS, Virginia, 2018 (Source: Census Bureau, Small Area Income and Poverty Estimate Program)</t>
  </si>
  <si>
    <t>Source: US Census Bureau, Small Area Income and Poverty Estimates (SAIPE). Estimates are for 2018.</t>
  </si>
  <si>
    <t>Annual Estimated Count and Percent of Population (All Ages) Living Below 100% Poverty, 2000-2018</t>
  </si>
  <si>
    <t>Annual Estimated Count and Percent of Children (0-17 Years) Living Below 100% Poverty, 2000-2018</t>
  </si>
  <si>
    <r>
      <rPr>
        <b/>
        <sz val="12"/>
        <color indexed="8"/>
        <rFont val="Calibri"/>
        <family val="2"/>
      </rPr>
      <t xml:space="preserve">Source: </t>
    </r>
    <r>
      <rPr>
        <sz val="12"/>
        <color indexed="8"/>
        <rFont val="Calibri"/>
        <family val="2"/>
      </rPr>
      <t>VDSS, Division of Family Services, OASIS/VCWOR, "Children Adopted During Year By Race/ Age Range at Adoption". For federal fiscal year 2018 (October 1, 2018 - September 30, 2019). Report run on 12/19/2019.</t>
    </r>
  </si>
  <si>
    <t>Number of Children by Race and Age Adopted in FFY 2019 (Oct 2018 - Sep 2019)</t>
  </si>
  <si>
    <t>Children exited to adoption (FFY 2019)</t>
  </si>
  <si>
    <t>Number of Households (Cases) Receiving Fuel, Cooling and Crisis Assistance, by Federal Fiscal Year</t>
  </si>
  <si>
    <t>Source: FFY 2013-2016 -- Energy Assistance Program Reports (Data Warehouse, "Case Counts Agency Summary Report"); FFY 2017-2019 -- VaCMS ("Energy Assistance Effectiveness Report - RP 066"; Fuel and Crisis reports were run on 5/11/2019 and Cooling report was run on 9/11/2019).</t>
  </si>
  <si>
    <t>Children In Single-Parent Homes, by LDSS, Virginia (ACS 2014-2018 5-Year Estimate)</t>
  </si>
  <si>
    <r>
      <rPr>
        <vertAlign val="superscript"/>
        <sz val="8"/>
        <color theme="1"/>
        <rFont val="Cambria"/>
        <family val="1"/>
        <scheme val="major"/>
      </rPr>
      <t>1</t>
    </r>
    <r>
      <rPr>
        <sz val="8"/>
        <color theme="1"/>
        <rFont val="Cambria"/>
        <family val="1"/>
        <scheme val="major"/>
      </rPr>
      <t xml:space="preserve"> Sources: ADAPT (SNAP &amp; TANF, SFY 2010-2016); MMIS (Medicaid, SFY 2010-2016); VaCMS (all programs, 2017-2019). Represent unduplicated cases within locality by SFY.  
</t>
    </r>
    <r>
      <rPr>
        <vertAlign val="superscript"/>
        <sz val="8"/>
        <color theme="1"/>
        <rFont val="Cambria"/>
        <family val="1"/>
        <scheme val="major"/>
      </rPr>
      <t>2</t>
    </r>
    <r>
      <rPr>
        <sz val="8"/>
        <color theme="1"/>
        <rFont val="Cambria"/>
        <family val="1"/>
        <scheme val="major"/>
      </rPr>
      <t xml:space="preserve"> EA Case (Household) Counts Agency Summary Reports (2013-2016) &amp; VaCMS EAP Program Effectiveness Reports (2017-2019). </t>
    </r>
    <r>
      <rPr>
        <vertAlign val="superscript"/>
        <sz val="8"/>
        <color theme="1"/>
        <rFont val="Cambria"/>
        <family val="1"/>
        <scheme val="major"/>
      </rPr>
      <t>3</t>
    </r>
    <r>
      <rPr>
        <sz val="8"/>
        <color theme="1"/>
        <rFont val="Cambria"/>
        <family val="1"/>
        <scheme val="major"/>
      </rPr>
      <t xml:space="preserve"> Re: 2017, see caution note on "TANF Cases-Annual" tab. </t>
    </r>
  </si>
  <si>
    <t>Source: VDSS, VaCMS (2017-2019); ADAPT (2010-2016). Represents unduplicated case (household) counts in each locality. TANF intake was severely curtailed in VaCMS from at least October 2016 through February 2017. There may be some other unknown/undiscovered issues associated with TANF that account for SFY 2017 counts being lower than expected.</t>
  </si>
  <si>
    <r>
      <rPr>
        <b/>
        <sz val="12"/>
        <color indexed="8"/>
        <rFont val="Calibri"/>
        <family val="2"/>
      </rPr>
      <t>Source:</t>
    </r>
    <r>
      <rPr>
        <sz val="12"/>
        <color indexed="8"/>
        <rFont val="Calibri"/>
        <family val="2"/>
      </rPr>
      <t xml:space="preserve"> VDSS, VaCMS (2017-2019); ADAPT (2010-2016). Represents unduplicated case (household) counts in each locality.  </t>
    </r>
  </si>
  <si>
    <t xml:space="preserve">Sources: Division of Family Services, VCWOR/OASIS. "Children in Foster Care" is a point-in-time count as of 9/30/2019.  "Children Exited to Adoption" is reported for the federal fiscal year, ending September 30. "Children Receiving Adoption Assistance": children receiving adoption services as of 11/1/2019. Clients with missing race are included in total counts. </t>
  </si>
  <si>
    <t>Social Services Spending - Summary, SFY 2019</t>
  </si>
  <si>
    <r>
      <t>Source:</t>
    </r>
    <r>
      <rPr>
        <sz val="12"/>
        <color indexed="8"/>
        <rFont val="Calibri"/>
        <family val="2"/>
      </rPr>
      <t xml:space="preserve"> VDSS, Division of Finances, LASER, FY 2018 Master Financial Statement Report. Accessed 12/2/2019.</t>
    </r>
  </si>
  <si>
    <t>Source: VDSS, VaCMS &amp; MMIS. Represents unduplicated case (household) counts in each locality by state fiscal year.  For 2010-2016, the counts come from either MMIS or VaCMS; for 2017-2019, the count comes from VaCMS only. Statewide totals include enrollments from state mental health facilities.</t>
  </si>
  <si>
    <t>Number of Families and Children Receiving Child Care Subsidies by State Fiscal Year, 2013-2019</t>
  </si>
  <si>
    <t>Statewide Benefit Payments, SFY 2019</t>
  </si>
  <si>
    <t>Source: Virginia Department of Social Services, Division of Information Services.  Information was updated on 1/8/2020.</t>
  </si>
  <si>
    <r>
      <t xml:space="preserve">Percent of Children living in a single-parent household 
(2014-2018) </t>
    </r>
    <r>
      <rPr>
        <sz val="9"/>
        <color theme="1"/>
        <rFont val="Cambria"/>
        <family val="1"/>
        <scheme val="major"/>
      </rPr>
      <t>(Source: U.S. Census Bureau, American Community Survey)</t>
    </r>
  </si>
  <si>
    <t>Source: U.S. Census Bureau, American Community Survey (2014-2018 5-Year Estimate), Table B09002 "Own Children Under 18 Years by Family Type and Age".</t>
  </si>
  <si>
    <r>
      <t xml:space="preserve">Source: VDSS, Client Cross-Program Reporting, Client Cross-Program Locality (Statewide) Yearly Analysis. Reporting unduplicated counts within locality (clients may be counted more than once if they moved to another locality) and statewide (incl. indviduals enrolled through DMHMRSAS facilities). Data source for 2012-2016 is ADAPT; source for 2017-2019 is VaCMS. Includes only eligible (i.e., "participating, not excluded" - "F00")  household members. Accessed on 10/11/2019. </t>
    </r>
    <r>
      <rPr>
        <sz val="12"/>
        <color rgb="FFFF0000"/>
        <rFont val="Calibri"/>
        <family val="2"/>
      </rPr>
      <t>SFY 2019 counts were updated on 1/11/2021.</t>
    </r>
  </si>
  <si>
    <r>
      <t xml:space="preserve">Number of Eligible Medicaid Clients by State Fiscal Year, 2012-2019 </t>
    </r>
    <r>
      <rPr>
        <b/>
        <sz val="12"/>
        <color rgb="FFFF0000"/>
        <rFont val="Calibri"/>
        <family val="2"/>
        <scheme val="minor"/>
      </rPr>
      <t>(revised 1/11/2021)</t>
    </r>
  </si>
  <si>
    <r>
      <t xml:space="preserve">Number of Eligible Benefit Program* Clients by State Fiscal Year, 2012-2019 </t>
    </r>
    <r>
      <rPr>
        <b/>
        <sz val="12"/>
        <color rgb="FFFF0000"/>
        <rFont val="Calibri"/>
        <family val="2"/>
        <scheme val="minor"/>
      </rPr>
      <t>(revised 1/11/2021)</t>
    </r>
  </si>
  <si>
    <r>
      <t xml:space="preserve">Number of Active ("A00") or Eligible TANF Clients by State Fiscal Year, 2012-2019 </t>
    </r>
    <r>
      <rPr>
        <b/>
        <sz val="12"/>
        <color rgb="FFFF0000"/>
        <rFont val="Calibri"/>
        <family val="2"/>
        <scheme val="minor"/>
      </rPr>
      <t>(revised 1/11/2021)</t>
    </r>
  </si>
  <si>
    <r>
      <t xml:space="preserve">Number of Active ("F00") or Eligible SNAP Clients by State Fiscal Year, 2012-2019 </t>
    </r>
    <r>
      <rPr>
        <b/>
        <sz val="12"/>
        <color rgb="FFFF0000"/>
        <rFont val="Calibri"/>
        <family val="2"/>
        <scheme val="minor"/>
      </rPr>
      <t>(revised 1/11/2021)</t>
    </r>
  </si>
  <si>
    <r>
      <t xml:space="preserve">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2017-2019 is VaCMS. Includes only eligible (i.e., "participating, not excluded" - "A00") household members. Accessed on 10/11/2019. </t>
    </r>
    <r>
      <rPr>
        <sz val="12"/>
        <color rgb="FFFF0000"/>
        <rFont val="Calibri"/>
        <family val="2"/>
      </rPr>
      <t>SFY 2019 counts were updated on 1/11/2021.</t>
    </r>
  </si>
  <si>
    <r>
      <t>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2017-2019 is VaCMS. Includes only eligible household members. Accessed on 10/11/2019.</t>
    </r>
    <r>
      <rPr>
        <sz val="12"/>
        <color rgb="FFFF0000"/>
        <rFont val="Calibri"/>
        <family val="2"/>
      </rPr>
      <t xml:space="preserve"> SFY 2019 counts were updated 1/11/2021.</t>
    </r>
  </si>
  <si>
    <r>
      <t xml:space="preserve">Source: VDSS, Client Cross-Program Reporting, Client Cross-Program Locality (Statewide) Yearly Analysis.  Reporting unduplicated counts within locality (clients may be counted more than once if they moved to another locality) and statewide (incl. individuals enrolled through DMHMRSAS facilities). Data source for 2012-2016 is ADAPT; source for 2017-2019 is VaCMS. * Refers to clients who received SNAP, TANF and/or Medicaid (Child Care is excluded).  Includes only eligible ("participating, not excluded") household members. Accessed on 10/11/2019. </t>
    </r>
    <r>
      <rPr>
        <sz val="12"/>
        <color rgb="FFFF0000"/>
        <rFont val="Calibri"/>
        <family val="2"/>
      </rPr>
      <t>SFY 2019 counts were updated 1/11/2021.</t>
    </r>
  </si>
  <si>
    <r>
      <t xml:space="preserve">Number of Eligible SNAP Clients by Gender, Age Group, Race and Hispanic Ethnicity, SFY 2019 </t>
    </r>
    <r>
      <rPr>
        <b/>
        <sz val="12"/>
        <color rgb="FFFF0000"/>
        <rFont val="Calibri"/>
        <family val="2"/>
        <scheme val="minor"/>
      </rPr>
      <t>(revised 1/11/2021)</t>
    </r>
  </si>
  <si>
    <r>
      <t xml:space="preserve">Source: VDSS, VaCMS, Client Cross-Program Locality Yearly Analysis. Accessed from the Data Warehouse on 10/11/2019.  Statewide unduplicated count was run on 10/28/2019.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r>
      <rPr>
        <sz val="12"/>
        <color rgb="FFFF0000"/>
        <rFont val="Calibri"/>
        <family val="2"/>
      </rPr>
      <t>SFY 2019 counts by subgroup were updated 1/11/2021.</t>
    </r>
  </si>
  <si>
    <r>
      <t>Number of Eligible TANF Clients by Gender, Age Group, Race &amp; Hispanic Ethnicity, SFY 2019</t>
    </r>
    <r>
      <rPr>
        <b/>
        <sz val="12"/>
        <color rgb="FFFF0000"/>
        <rFont val="Calibri"/>
        <family val="2"/>
        <scheme val="minor"/>
      </rPr>
      <t xml:space="preserve"> (revised 1/11/2021)</t>
    </r>
  </si>
  <si>
    <r>
      <t xml:space="preserve">Source: VDSS, VaCMS, Client Cross-Program Locality Yearly Analysis. Accessed from the Data Warehouse on 10/11/2019. Statewide unduplicate count was run on 10/28/2019.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r>
      <rPr>
        <sz val="12"/>
        <color rgb="FFFF0000"/>
        <rFont val="Calibri"/>
        <family val="2"/>
      </rPr>
      <t>SFY 2019 counts by subgroup were updated 1/11/2021.</t>
    </r>
  </si>
  <si>
    <r>
      <t xml:space="preserve">Number of Eligible Medicaid and FAMIS Clients by Gender, Age Group, Race &amp; Hispanic Ethnicity, SFY 2019 </t>
    </r>
    <r>
      <rPr>
        <b/>
        <sz val="12"/>
        <color rgb="FFFF0000"/>
        <rFont val="Calibri"/>
        <family val="2"/>
        <scheme val="minor"/>
      </rPr>
      <t>(revised 1/11/2021)</t>
    </r>
  </si>
  <si>
    <r>
      <rPr>
        <b/>
        <sz val="12"/>
        <color indexed="8"/>
        <rFont val="Calibri"/>
        <family val="2"/>
      </rPr>
      <t xml:space="preserve">Source: </t>
    </r>
    <r>
      <rPr>
        <sz val="12"/>
        <color indexed="8"/>
        <rFont val="Calibri"/>
        <family val="2"/>
      </rPr>
      <t xml:space="preserve">VDSS, VaCMS, Client Cross-Program Locality Yearly Analysis. Accessed from the Data Warehouse on 10/11/2019.  Statewide unduplicate count was run on 10/28/2019.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r>
      <rPr>
        <sz val="12"/>
        <color rgb="FFFF0000"/>
        <rFont val="Calibri"/>
        <family val="2"/>
      </rPr>
      <t>SFY 2019 counts by subgroup were updated 1/11/2021.</t>
    </r>
  </si>
  <si>
    <r>
      <t xml:space="preserve">Number of Eligible Child Care Subsidy Clients by Gender, Age Group, Race &amp; Hispanic Ethnicity, SFY 2019 </t>
    </r>
    <r>
      <rPr>
        <b/>
        <sz val="12"/>
        <color rgb="FFFF0000"/>
        <rFont val="Calibri"/>
        <family val="2"/>
        <scheme val="minor"/>
      </rPr>
      <t>(revised 1/11/2021)</t>
    </r>
  </si>
  <si>
    <r>
      <rPr>
        <b/>
        <sz val="12"/>
        <color indexed="8"/>
        <rFont val="Calibri"/>
        <family val="2"/>
      </rPr>
      <t xml:space="preserve">Source: </t>
    </r>
    <r>
      <rPr>
        <sz val="12"/>
        <color indexed="8"/>
        <rFont val="Calibri"/>
        <family val="2"/>
      </rPr>
      <t xml:space="preserve">VDSS, VaCMS, Client Cross-Program Locality Yearly Analysis. Accessed from the Data Warehouse on 10/11/2019.  Statewide unduplicate count was run on 10/29/2019. Refers to clients with eligible program status ("included" and "deemed" are omitted). "Other race" includes Asians, Hawaiians/Pacific Islanders, and American Indians; Hispanic ethnicity is not mutually exclusive of race categories. Persons with missing information on age, gender, or race are not included in the report. </t>
    </r>
    <r>
      <rPr>
        <sz val="12"/>
        <color rgb="FFFF0000"/>
        <rFont val="Calibri"/>
        <family val="2"/>
      </rPr>
      <t>SFY 2019 counts by subgroup were updated 1/11/2021.</t>
    </r>
  </si>
  <si>
    <r>
      <t xml:space="preserve">Number of Eligible Benefit Program* Clients by Gender, Age Group, Race &amp; Hispanic Ethnicity, SFY 2019 </t>
    </r>
    <r>
      <rPr>
        <b/>
        <sz val="12"/>
        <color rgb="FFFF0000"/>
        <rFont val="Calibri"/>
        <family val="2"/>
        <scheme val="minor"/>
      </rPr>
      <t>(revised 1/11/2021)</t>
    </r>
  </si>
  <si>
    <r>
      <rPr>
        <b/>
        <sz val="12"/>
        <color indexed="8"/>
        <rFont val="Calibri"/>
        <family val="2"/>
      </rPr>
      <t>Source:</t>
    </r>
    <r>
      <rPr>
        <sz val="12"/>
        <color indexed="8"/>
        <rFont val="Calibri"/>
        <family val="2"/>
      </rPr>
      <t xml:space="preserve"> VDSS, VaCMS, Client Cross-Program Locality Yearly Analysis. Accessed from the Data Warehouse on 10/11/2019.  Statewide unduplicate count was run on 10/29/2019. Refers to clients with eligible program status ("included" and "deemed" are omitted) who received SNAP, TANF and/or Medicaid (Child Care is omitted from the count). "Other race" includes Asians, Hawaiians/Pacific Islanders, and American Indians; Hispanic ethnicity is not mutually exclusive of race categories. Persons with missing information on age, gender, or race are not included in the report. </t>
    </r>
    <r>
      <rPr>
        <sz val="12"/>
        <color rgb="FFFF0000"/>
        <rFont val="Calibri"/>
        <family val="2"/>
      </rPr>
      <t>SFY 2019 counts by subgroup were updated 1/11/2021.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</si>
</sst>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0"/>
    <numFmt numFmtId="169" formatCode="h\:mm\:ss\ AM/PM;@"/>
    <numFmt numFmtId="170" formatCode="mmm\ d\,\ yyyy;@"/>
    <numFmt numFmtId="171" formatCode="_(* #,##0_);_(* \(#,##0\);_(* &quot;-&quot;??_);_(@_)"/>
    <numFmt numFmtId="172" formatCode="#_)"/>
    <numFmt numFmtId="173" formatCode="#,##0.0_);\(#,##0.0\)"/>
    <numFmt numFmtId="174" formatCode="#,##0_)"/>
    <numFmt numFmtId="175" formatCode="0_);\(0\)"/>
    <numFmt numFmtId="176" formatCode="_(&quot;$&quot;* #,##0_);_(&quot;$&quot;* \(#,##0\);_(&quot;$&quot;* &quot;-&quot;??_);_(@_)"/>
    <numFmt numFmtId="177" formatCode="&quot;$&quot;###.#"/>
    <numFmt numFmtId="178" formatCode="&quot;$&quot;#,##0;\(&quot;$&quot;#,##0\)"/>
    <numFmt numFmtId="179" formatCode="#.0_)"/>
  </numFmts>
  <fonts count="139"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u/>
      <sz val="10"/>
      <color indexed="12"/>
      <name val="Arial"/>
      <family val="2"/>
    </font>
    <font>
      <sz val="12"/>
      <name val="Times New Roman"/>
      <family val="1"/>
    </font>
    <font>
      <sz val="10"/>
      <name val="Arial"/>
      <family val="2"/>
    </font>
    <font>
      <sz val="10"/>
      <name val="Times New Roman"/>
      <family val="1"/>
    </font>
    <font>
      <b/>
      <sz val="12"/>
      <color indexed="8"/>
      <name val="Times New Roman"/>
      <family val="1"/>
    </font>
    <font>
      <sz val="10"/>
      <color indexed="8"/>
      <name val="Arial"/>
      <family val="2"/>
    </font>
    <font>
      <sz val="10"/>
      <color indexed="8"/>
      <name val="Arial"/>
      <family val="2"/>
    </font>
    <font>
      <sz val="10"/>
      <color indexed="8"/>
      <name val="Arial"/>
      <family val="2"/>
    </font>
    <font>
      <sz val="12"/>
      <color indexed="8"/>
      <name val="Times New Roman"/>
      <family val="1"/>
    </font>
    <font>
      <b/>
      <sz val="10"/>
      <color indexed="8"/>
      <name val="Arial"/>
      <family val="2"/>
    </font>
    <font>
      <b/>
      <sz val="12"/>
      <color indexed="8"/>
      <name val="Arial"/>
      <family val="2"/>
    </font>
    <font>
      <sz val="10"/>
      <name val="Arial"/>
      <family val="2"/>
    </font>
    <font>
      <sz val="10"/>
      <color indexed="8"/>
      <name val="Arial"/>
      <family val="2"/>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u/>
      <sz val="10"/>
      <color indexed="12"/>
      <name val="Calibri"/>
      <family val="2"/>
    </font>
    <font>
      <b/>
      <sz val="10"/>
      <name val="Calibri"/>
      <family val="2"/>
    </font>
    <font>
      <b/>
      <sz val="12"/>
      <name val="Calibri"/>
      <family val="2"/>
    </font>
    <font>
      <sz val="12"/>
      <name val="Calibri"/>
      <family val="2"/>
    </font>
    <font>
      <b/>
      <sz val="12"/>
      <color indexed="8"/>
      <name val="Calibri"/>
      <family val="2"/>
    </font>
    <font>
      <sz val="12"/>
      <color indexed="8"/>
      <name val="Calibri"/>
      <family val="2"/>
    </font>
    <font>
      <b/>
      <sz val="10"/>
      <name val="Arial"/>
      <family val="2"/>
    </font>
    <font>
      <sz val="12"/>
      <color indexed="8"/>
      <name val="Calibri"/>
      <family val="2"/>
    </font>
    <font>
      <u/>
      <sz val="12"/>
      <color indexed="12"/>
      <name val="Calibri"/>
      <family val="2"/>
    </font>
    <font>
      <sz val="12"/>
      <name val="Courier New"/>
      <family val="3"/>
    </font>
    <font>
      <b/>
      <sz val="12"/>
      <color indexed="8"/>
      <name val="Calibri"/>
      <family val="2"/>
    </font>
    <font>
      <b/>
      <vertAlign val="superscript"/>
      <sz val="12"/>
      <color indexed="8"/>
      <name val="Calibri"/>
      <family val="2"/>
    </font>
    <font>
      <vertAlign val="superscript"/>
      <sz val="12"/>
      <name val="Calibri"/>
      <family val="2"/>
    </font>
    <font>
      <sz val="12"/>
      <color indexed="10"/>
      <name val="Calibri"/>
      <family val="2"/>
    </font>
    <font>
      <b/>
      <sz val="10"/>
      <color indexed="8"/>
      <name val="Calibri"/>
      <family val="2"/>
    </font>
    <font>
      <sz val="10"/>
      <color indexed="8"/>
      <name val="Calibri"/>
      <family val="2"/>
    </font>
    <font>
      <sz val="10"/>
      <color indexed="64"/>
      <name val="Arial"/>
      <family val="2"/>
    </font>
    <font>
      <b/>
      <sz val="10"/>
      <color indexed="64"/>
      <name val="Arial"/>
      <family val="2"/>
    </font>
    <font>
      <sz val="12"/>
      <color theme="1"/>
      <name val="Times New Roman"/>
      <family val="2"/>
    </font>
    <font>
      <sz val="10"/>
      <color theme="1"/>
      <name val="Tahoma"/>
      <family val="2"/>
    </font>
    <font>
      <u/>
      <sz val="12"/>
      <color theme="10"/>
      <name val="Times New Roman"/>
      <family val="2"/>
    </font>
    <font>
      <sz val="11"/>
      <color theme="1"/>
      <name val="Calibri"/>
      <family val="2"/>
      <scheme val="minor"/>
    </font>
    <font>
      <u/>
      <sz val="8"/>
      <color rgb="FF000000"/>
      <name val="Tahoma"/>
      <family val="2"/>
    </font>
    <font>
      <sz val="8"/>
      <color rgb="FF000000"/>
      <name val="Tahoma"/>
      <family val="2"/>
    </font>
    <font>
      <sz val="10"/>
      <color rgb="FF000000"/>
      <name val="Tahoma"/>
      <family val="2"/>
    </font>
    <font>
      <sz val="10"/>
      <color theme="1"/>
      <name val="Arial"/>
      <family val="2"/>
    </font>
    <font>
      <b/>
      <sz val="12"/>
      <color rgb="FFFF0000"/>
      <name val="Times New Roman"/>
      <family val="1"/>
    </font>
    <font>
      <b/>
      <sz val="8"/>
      <color rgb="FF000000"/>
      <name val="Tahoma"/>
      <family val="2"/>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sz val="8"/>
      <color theme="1"/>
      <name val="Cambria"/>
      <family val="1"/>
      <scheme val="major"/>
    </font>
    <font>
      <sz val="10"/>
      <color theme="1"/>
      <name val="Times New Roman"/>
      <family val="2"/>
    </font>
    <font>
      <b/>
      <sz val="10"/>
      <color theme="1"/>
      <name val="Calibri"/>
      <family val="2"/>
    </font>
    <font>
      <sz val="10"/>
      <color theme="1"/>
      <name val="Calibri"/>
      <family val="2"/>
    </font>
    <font>
      <sz val="12"/>
      <color theme="1"/>
      <name val="Calibri"/>
      <family val="2"/>
    </font>
    <font>
      <b/>
      <sz val="10"/>
      <color theme="1"/>
      <name val="Cambria"/>
      <family val="1"/>
      <scheme val="major"/>
    </font>
    <font>
      <sz val="10"/>
      <color theme="1"/>
      <name val="Cambria"/>
      <family val="1"/>
      <scheme val="major"/>
    </font>
    <font>
      <u/>
      <sz val="10"/>
      <color indexed="12"/>
      <name val="Calibri"/>
      <family val="2"/>
      <scheme val="minor"/>
    </font>
    <font>
      <b/>
      <sz val="12"/>
      <color theme="1"/>
      <name val="Cambria"/>
      <family val="1"/>
      <scheme val="major"/>
    </font>
    <font>
      <b/>
      <sz val="12"/>
      <color theme="1"/>
      <name val="Calibri"/>
      <family val="2"/>
    </font>
    <font>
      <b/>
      <sz val="12"/>
      <name val="Calibri"/>
      <family val="2"/>
      <scheme val="minor"/>
    </font>
    <font>
      <sz val="10"/>
      <name val="Calibri"/>
      <family val="2"/>
      <scheme val="minor"/>
    </font>
    <font>
      <b/>
      <sz val="12"/>
      <color indexed="8"/>
      <name val="Calibri"/>
      <family val="2"/>
      <scheme val="minor"/>
    </font>
    <font>
      <sz val="12"/>
      <color indexed="8"/>
      <name val="Calibri"/>
      <family val="2"/>
      <scheme val="minor"/>
    </font>
    <font>
      <sz val="10"/>
      <color theme="1"/>
      <name val="Calibri"/>
      <family val="2"/>
      <scheme val="minor"/>
    </font>
    <font>
      <u/>
      <sz val="9"/>
      <color theme="1"/>
      <name val="Cambria"/>
      <family val="1"/>
      <scheme val="major"/>
    </font>
    <font>
      <sz val="12"/>
      <color theme="1"/>
      <name val="Calibri"/>
      <family val="2"/>
      <scheme val="minor"/>
    </font>
    <font>
      <i/>
      <sz val="9"/>
      <color theme="1"/>
      <name val="Cambria"/>
      <family val="1"/>
      <scheme val="major"/>
    </font>
    <font>
      <b/>
      <sz val="16"/>
      <color theme="6" tint="-0.249977111117893"/>
      <name val="Cambria"/>
      <family val="1"/>
      <scheme val="major"/>
    </font>
    <font>
      <b/>
      <sz val="10"/>
      <color theme="1"/>
      <name val="Times New Roman"/>
      <family val="1"/>
    </font>
    <font>
      <i/>
      <sz val="8"/>
      <color theme="1"/>
      <name val="Cambria"/>
      <family val="1"/>
      <scheme val="major"/>
    </font>
    <font>
      <b/>
      <sz val="9"/>
      <color theme="6" tint="-0.499984740745262"/>
      <name val="Cambria"/>
      <family val="1"/>
      <scheme val="major"/>
    </font>
    <font>
      <sz val="12"/>
      <name val="Calibri"/>
      <family val="2"/>
      <scheme val="minor"/>
    </font>
    <font>
      <u/>
      <sz val="12"/>
      <color indexed="12"/>
      <name val="Calibri"/>
      <family val="2"/>
      <scheme val="minor"/>
    </font>
    <font>
      <b/>
      <sz val="12"/>
      <color rgb="FF000000"/>
      <name val="Calibri"/>
      <family val="2"/>
      <scheme val="minor"/>
    </font>
    <font>
      <sz val="12"/>
      <color rgb="FF000000"/>
      <name val="Calibri"/>
      <family val="2"/>
      <scheme val="minor"/>
    </font>
    <font>
      <b/>
      <sz val="10"/>
      <color theme="1"/>
      <name val="Arial"/>
      <family val="2"/>
    </font>
    <font>
      <sz val="10"/>
      <color indexed="8"/>
      <name val="Calibri"/>
      <family val="2"/>
      <scheme val="minor"/>
    </font>
    <font>
      <b/>
      <sz val="10"/>
      <color indexed="8"/>
      <name val="Calibri"/>
      <family val="2"/>
      <scheme val="minor"/>
    </font>
    <font>
      <sz val="11"/>
      <color indexed="8"/>
      <name val="Calibri"/>
      <family val="2"/>
      <scheme val="minor"/>
    </font>
    <font>
      <b/>
      <sz val="11"/>
      <color indexed="8"/>
      <name val="Calibri"/>
      <family val="2"/>
      <scheme val="minor"/>
    </font>
    <font>
      <b/>
      <sz val="11"/>
      <color theme="1"/>
      <name val="Calibri"/>
      <family val="2"/>
      <scheme val="minor"/>
    </font>
    <font>
      <b/>
      <sz val="11"/>
      <color indexed="64"/>
      <name val="Calibri"/>
      <family val="2"/>
      <scheme val="minor"/>
    </font>
    <font>
      <sz val="11"/>
      <color indexed="64"/>
      <name val="Calibri"/>
      <family val="2"/>
      <scheme val="minor"/>
    </font>
    <font>
      <b/>
      <sz val="9"/>
      <color theme="0"/>
      <name val="Cambria"/>
      <family val="1"/>
      <scheme val="major"/>
    </font>
    <font>
      <b/>
      <sz val="10"/>
      <name val="Cambria"/>
      <family val="1"/>
      <scheme val="major"/>
    </font>
    <font>
      <i/>
      <sz val="10"/>
      <color theme="1"/>
      <name val="Cambria"/>
      <family val="1"/>
      <scheme val="major"/>
    </font>
    <font>
      <b/>
      <sz val="14"/>
      <color theme="8" tint="-0.499984740745262"/>
      <name val="Cambria"/>
      <family val="1"/>
      <scheme val="major"/>
    </font>
    <font>
      <b/>
      <sz val="12"/>
      <color theme="8" tint="-0.499984740745262"/>
      <name val="Cambria"/>
      <family val="1"/>
      <scheme val="major"/>
    </font>
    <font>
      <b/>
      <sz val="10"/>
      <color theme="0"/>
      <name val="Cambria"/>
      <family val="1"/>
      <scheme val="major"/>
    </font>
    <font>
      <b/>
      <sz val="9"/>
      <name val="Cambria"/>
      <family val="1"/>
      <scheme val="major"/>
    </font>
    <font>
      <b/>
      <vertAlign val="superscript"/>
      <sz val="9"/>
      <color theme="1"/>
      <name val="Cambria"/>
      <family val="1"/>
      <scheme val="major"/>
    </font>
    <font>
      <vertAlign val="superscript"/>
      <sz val="8"/>
      <color theme="1"/>
      <name val="Cambria"/>
      <family val="1"/>
      <scheme val="major"/>
    </font>
    <font>
      <b/>
      <sz val="14"/>
      <color theme="7" tint="-0.249977111117893"/>
      <name val="Cambria"/>
      <family val="1"/>
      <scheme val="major"/>
    </font>
    <font>
      <b/>
      <sz val="12"/>
      <color theme="2"/>
      <name val="Cambria"/>
      <family val="1"/>
      <scheme val="major"/>
    </font>
    <font>
      <vertAlign val="superscript"/>
      <sz val="9"/>
      <color theme="1"/>
      <name val="Cambria"/>
      <family val="1"/>
      <scheme val="major"/>
    </font>
    <font>
      <sz val="9"/>
      <color theme="0"/>
      <name val="Cambria"/>
      <family val="1"/>
      <scheme val="major"/>
    </font>
    <font>
      <b/>
      <sz val="9"/>
      <color theme="1"/>
      <name val="Calibri"/>
      <family val="2"/>
      <scheme val="minor"/>
    </font>
    <font>
      <sz val="9"/>
      <color theme="1"/>
      <name val="Calibri"/>
      <family val="2"/>
      <scheme val="minor"/>
    </font>
    <font>
      <sz val="8"/>
      <color theme="1"/>
      <name val="Calibri"/>
      <family val="2"/>
      <scheme val="minor"/>
    </font>
    <font>
      <b/>
      <sz val="10"/>
      <color theme="0"/>
      <name val="Calibri"/>
      <family val="2"/>
      <scheme val="minor"/>
    </font>
    <font>
      <sz val="12"/>
      <color theme="1"/>
      <name val="Cambria"/>
      <family val="1"/>
      <scheme val="major"/>
    </font>
    <font>
      <b/>
      <vertAlign val="superscript"/>
      <sz val="9"/>
      <name val="Cambria"/>
      <family val="1"/>
      <scheme val="major"/>
    </font>
    <font>
      <b/>
      <i/>
      <sz val="9"/>
      <color theme="6" tint="-0.499984740745262"/>
      <name val="Cambria"/>
      <family val="1"/>
    </font>
    <font>
      <b/>
      <sz val="9"/>
      <color theme="6" tint="-0.499984740745262"/>
      <name val="Cambria"/>
      <family val="1"/>
    </font>
    <font>
      <b/>
      <sz val="10"/>
      <name val="Calibri"/>
      <family val="2"/>
      <scheme val="minor"/>
    </font>
    <font>
      <u/>
      <sz val="10"/>
      <color theme="10"/>
      <name val="Calibri"/>
      <family val="2"/>
    </font>
    <font>
      <b/>
      <sz val="16"/>
      <color theme="1"/>
      <name val="Cambria"/>
      <family val="1"/>
      <scheme val="major"/>
    </font>
    <font>
      <b/>
      <sz val="8"/>
      <color theme="1"/>
      <name val="Cambria"/>
      <family val="1"/>
      <scheme val="major"/>
    </font>
    <font>
      <b/>
      <sz val="8"/>
      <color rgb="FFFF0000"/>
      <name val="Cambria"/>
      <family val="1"/>
      <scheme val="major"/>
    </font>
    <font>
      <sz val="8.5"/>
      <color theme="1"/>
      <name val="Cambria"/>
      <family val="1"/>
      <scheme val="major"/>
    </font>
    <font>
      <sz val="11"/>
      <color theme="1"/>
      <name val="Calibri"/>
      <family val="2"/>
    </font>
    <font>
      <sz val="11"/>
      <color indexed="8"/>
      <name val="Calibri"/>
      <family val="2"/>
    </font>
    <font>
      <sz val="11"/>
      <color theme="1"/>
      <name val="Times New Roman"/>
      <family val="2"/>
    </font>
    <font>
      <b/>
      <i/>
      <sz val="10"/>
      <color theme="0"/>
      <name val="Cambria"/>
      <family val="1"/>
      <scheme val="major"/>
    </font>
    <font>
      <sz val="11"/>
      <color theme="0"/>
      <name val="Cambria"/>
      <family val="1"/>
      <scheme val="major"/>
    </font>
    <font>
      <sz val="14"/>
      <color theme="1"/>
      <name val="Cambria"/>
      <family val="1"/>
      <scheme val="major"/>
    </font>
    <font>
      <b/>
      <sz val="11"/>
      <color theme="1"/>
      <name val="Calibri"/>
      <family val="2"/>
    </font>
    <font>
      <sz val="11"/>
      <name val="Calibri"/>
      <family val="2"/>
    </font>
    <font>
      <sz val="10.5"/>
      <name val="Segoe UI"/>
      <family val="2"/>
    </font>
    <font>
      <i/>
      <sz val="10.5"/>
      <name val="Segoe UI"/>
      <family val="2"/>
    </font>
    <font>
      <sz val="10.5"/>
      <color theme="1"/>
      <name val="Segoe UI"/>
      <family val="2"/>
    </font>
    <font>
      <sz val="11"/>
      <name val="Cambria"/>
      <family val="1"/>
      <scheme val="major"/>
    </font>
    <font>
      <b/>
      <sz val="10.5"/>
      <name val="Segoe UI"/>
      <family val="2"/>
    </font>
    <font>
      <sz val="9"/>
      <name val="Cambria"/>
      <family val="1"/>
      <scheme val="major"/>
    </font>
    <font>
      <i/>
      <sz val="10"/>
      <name val="Cambria"/>
      <family val="1"/>
      <scheme val="major"/>
    </font>
    <font>
      <b/>
      <sz val="11"/>
      <color theme="1"/>
      <name val="Cambria"/>
      <family val="1"/>
      <scheme val="major"/>
    </font>
    <font>
      <b/>
      <sz val="12"/>
      <color rgb="FFFF0000"/>
      <name val="Calibri"/>
      <family val="2"/>
      <scheme val="minor"/>
    </font>
    <font>
      <sz val="12"/>
      <color rgb="FFFF0000"/>
      <name val="Calibri"/>
      <family val="2"/>
      <scheme val="minor"/>
    </font>
    <font>
      <sz val="16"/>
      <color theme="0"/>
      <name val="Cambria"/>
      <family val="1"/>
      <scheme val="major"/>
    </font>
    <font>
      <b/>
      <sz val="20"/>
      <color theme="7" tint="-0.249977111117893"/>
      <name val="Cambria"/>
      <family val="1"/>
      <scheme val="major"/>
    </font>
    <font>
      <sz val="12"/>
      <color rgb="FFFF0000"/>
      <name val="Calibri"/>
      <family val="2"/>
    </font>
  </fonts>
  <fills count="36">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rgb="FFDFDFDF"/>
        <bgColor indexed="64"/>
      </patternFill>
    </fill>
    <fill>
      <patternFill patternType="solid">
        <fgColor rgb="FFBFD2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DFDFDF"/>
      </patternFill>
    </fill>
    <fill>
      <patternFill patternType="solid">
        <fgColor rgb="FFFFFF00"/>
        <bgColor indexed="64"/>
      </patternFill>
    </fill>
    <fill>
      <patternFill patternType="solid">
        <fgColor theme="4" tint="0.79998168889431442"/>
        <bgColor indexed="0"/>
      </patternFill>
    </fill>
    <fill>
      <patternFill patternType="solid">
        <fgColor theme="4" tint="0.59996337778862885"/>
        <bgColor indexed="64"/>
      </patternFill>
    </fill>
    <fill>
      <patternFill patternType="solid">
        <fgColor rgb="FFFFC00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4"/>
        <bgColor indexed="64"/>
      </patternFill>
    </fill>
    <fill>
      <patternFill patternType="solid">
        <fgColor theme="6" tint="-0.249977111117893"/>
        <bgColor indexed="64"/>
      </patternFill>
    </fill>
    <fill>
      <patternFill patternType="solid">
        <fgColor theme="3" tint="0.59999389629810485"/>
        <bgColor indexed="64"/>
      </patternFill>
    </fill>
    <fill>
      <patternFill patternType="solid">
        <fgColor theme="7"/>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00B050"/>
        <bgColor indexed="64"/>
      </patternFill>
    </fill>
  </fills>
  <borders count="419">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22"/>
      </top>
      <bottom style="thin">
        <color indexed="2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right/>
      <top style="thin">
        <color indexed="64"/>
      </top>
      <bottom/>
      <diagonal/>
    </border>
    <border>
      <left style="thin">
        <color indexed="64"/>
      </left>
      <right/>
      <top style="thin">
        <color indexed="64"/>
      </top>
      <bottom/>
      <diagonal/>
    </border>
    <border>
      <left style="dashed">
        <color indexed="64"/>
      </left>
      <right/>
      <top style="thin">
        <color indexed="64"/>
      </top>
      <bottom style="thin">
        <color indexed="64"/>
      </bottom>
      <diagonal/>
    </border>
    <border>
      <left style="thin">
        <color indexed="22"/>
      </left>
      <right/>
      <top/>
      <bottom/>
      <diagonal/>
    </border>
    <border>
      <left style="dashed">
        <color indexed="64"/>
      </left>
      <right/>
      <top/>
      <bottom/>
      <diagonal/>
    </border>
    <border>
      <left style="dashed">
        <color indexed="64"/>
      </left>
      <right/>
      <top style="thin">
        <color indexed="64"/>
      </top>
      <bottom/>
      <diagonal/>
    </border>
    <border>
      <left style="thin">
        <color indexed="64"/>
      </left>
      <right style="dashed">
        <color indexed="64"/>
      </right>
      <top style="thin">
        <color indexed="64"/>
      </top>
      <bottom style="thin">
        <color indexed="8"/>
      </bottom>
      <diagonal/>
    </border>
    <border>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right style="dashed">
        <color indexed="64"/>
      </right>
      <top/>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right style="dashed">
        <color indexed="64"/>
      </right>
      <top style="thin">
        <color indexed="22"/>
      </top>
      <bottom style="thin">
        <color indexed="22"/>
      </bottom>
      <diagonal/>
    </border>
    <border>
      <left/>
      <right style="dashed">
        <color indexed="64"/>
      </right>
      <top/>
      <bottom style="thin">
        <color indexed="64"/>
      </bottom>
      <diagonal/>
    </border>
    <border>
      <left style="dashed">
        <color indexed="8"/>
      </left>
      <right style="dashed">
        <color indexed="8"/>
      </right>
      <top style="thin">
        <color indexed="8"/>
      </top>
      <bottom style="thin">
        <color indexed="8"/>
      </bottom>
      <diagonal/>
    </border>
    <border>
      <left style="dashed">
        <color indexed="8"/>
      </left>
      <right/>
      <top style="thin">
        <color indexed="8"/>
      </top>
      <bottom style="thin">
        <color indexed="8"/>
      </bottom>
      <diagonal/>
    </border>
    <border>
      <left style="dashed">
        <color indexed="8"/>
      </left>
      <right style="dashed">
        <color indexed="8"/>
      </right>
      <top style="thin">
        <color indexed="22"/>
      </top>
      <bottom style="thin">
        <color indexed="22"/>
      </bottom>
      <diagonal/>
    </border>
    <border>
      <left style="dashed">
        <color indexed="8"/>
      </left>
      <right/>
      <top/>
      <bottom/>
      <diagonal/>
    </border>
    <border>
      <left style="dashed">
        <color indexed="8"/>
      </left>
      <right/>
      <top style="thin">
        <color indexed="22"/>
      </top>
      <bottom style="thin">
        <color indexed="22"/>
      </bottom>
      <diagonal/>
    </border>
    <border>
      <left style="dashed">
        <color indexed="8"/>
      </left>
      <right style="dashed">
        <color indexed="8"/>
      </right>
      <top style="thin">
        <color indexed="22"/>
      </top>
      <bottom/>
      <diagonal/>
    </border>
    <border>
      <left style="dashed">
        <color indexed="8"/>
      </left>
      <right/>
      <top style="thin">
        <color indexed="22"/>
      </top>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top style="thin">
        <color indexed="22"/>
      </top>
      <bottom/>
      <diagonal/>
    </border>
    <border>
      <left/>
      <right style="thin">
        <color indexed="64"/>
      </right>
      <top style="thin">
        <color indexed="64"/>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22"/>
      </left>
      <right/>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right style="dashed">
        <color indexed="8"/>
      </right>
      <top style="thin">
        <color indexed="22"/>
      </top>
      <bottom style="thin">
        <color indexed="22"/>
      </bottom>
      <diagonal/>
    </border>
    <border>
      <left style="thin">
        <color indexed="8"/>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style="dashed">
        <color indexed="8"/>
      </right>
      <top style="thin">
        <color indexed="8"/>
      </top>
      <bottom style="thin">
        <color indexed="8"/>
      </bottom>
      <diagonal/>
    </border>
    <border>
      <left/>
      <right style="dashed">
        <color indexed="64"/>
      </right>
      <top style="thin">
        <color indexed="64"/>
      </top>
      <bottom style="thin">
        <color indexed="64"/>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thin">
        <color indexed="22"/>
      </left>
      <right style="thin">
        <color indexed="22"/>
      </right>
      <top style="thin">
        <color indexed="8"/>
      </top>
      <bottom style="thin">
        <color indexed="8"/>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8"/>
      </top>
      <bottom/>
      <diagonal/>
    </border>
    <border>
      <left style="thin">
        <color indexed="8"/>
      </left>
      <right style="thin">
        <color indexed="8"/>
      </right>
      <top/>
      <bottom style="thin">
        <color indexed="22"/>
      </bottom>
      <diagonal/>
    </border>
    <border>
      <left style="thin">
        <color indexed="8"/>
      </left>
      <right style="dashed">
        <color indexed="8"/>
      </right>
      <top style="thin">
        <color indexed="22"/>
      </top>
      <bottom/>
      <diagonal/>
    </border>
    <border>
      <left style="thin">
        <color indexed="8"/>
      </left>
      <right/>
      <top style="thin">
        <color indexed="8"/>
      </top>
      <bottom/>
      <diagonal/>
    </border>
    <border>
      <left style="thin">
        <color indexed="8"/>
      </left>
      <right/>
      <top style="thin">
        <color indexed="64"/>
      </top>
      <bottom style="thin">
        <color indexed="64"/>
      </bottom>
      <diagonal/>
    </border>
    <border>
      <left style="thin">
        <color indexed="8"/>
      </left>
      <right/>
      <top/>
      <bottom style="thin">
        <color indexed="64"/>
      </bottom>
      <diagonal/>
    </border>
    <border>
      <left style="dashed">
        <color indexed="8"/>
      </left>
      <right style="dashed">
        <color indexed="8"/>
      </right>
      <top style="dashed">
        <color indexed="8"/>
      </top>
      <bottom style="thin">
        <color indexed="8"/>
      </bottom>
      <diagonal/>
    </border>
    <border>
      <left style="dashed">
        <color indexed="8"/>
      </left>
      <right style="dashed">
        <color indexed="8"/>
      </right>
      <top style="dashed">
        <color indexed="8"/>
      </top>
      <bottom/>
      <diagonal/>
    </border>
    <border>
      <left style="dashed">
        <color indexed="8"/>
      </left>
      <right style="dashed">
        <color indexed="8"/>
      </right>
      <top style="thin">
        <color indexed="8"/>
      </top>
      <bottom/>
      <diagonal/>
    </border>
    <border>
      <left style="dashed">
        <color indexed="8"/>
      </left>
      <right style="dashed">
        <color indexed="8"/>
      </right>
      <top/>
      <bottom style="thin">
        <color indexed="64"/>
      </bottom>
      <diagonal/>
    </border>
    <border>
      <left style="dashed">
        <color indexed="8"/>
      </left>
      <right/>
      <top style="thin">
        <color indexed="8"/>
      </top>
      <bottom style="thin">
        <color indexed="22"/>
      </bottom>
      <diagonal/>
    </border>
    <border>
      <left style="dashed">
        <color indexed="8"/>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top style="thin">
        <color indexed="8"/>
      </top>
      <bottom/>
      <diagonal/>
    </border>
    <border>
      <left style="thin">
        <color indexed="22"/>
      </left>
      <right/>
      <top style="thin">
        <color indexed="8"/>
      </top>
      <bottom style="thin">
        <color indexed="8"/>
      </bottom>
      <diagonal/>
    </border>
    <border>
      <left style="thin">
        <color indexed="22"/>
      </left>
      <right style="thin">
        <color indexed="22"/>
      </right>
      <top/>
      <bottom/>
      <diagonal/>
    </border>
    <border>
      <left/>
      <right/>
      <top/>
      <bottom style="dashDot">
        <color indexed="64"/>
      </bottom>
      <diagonal/>
    </border>
    <border>
      <left/>
      <right/>
      <top style="dashDot">
        <color indexed="64"/>
      </top>
      <bottom/>
      <diagonal/>
    </border>
    <border>
      <left/>
      <right/>
      <top/>
      <bottom style="dashDotDot">
        <color indexed="64"/>
      </bottom>
      <diagonal/>
    </border>
    <border>
      <left style="thin">
        <color rgb="FFA2C4E0"/>
      </left>
      <right style="thin">
        <color rgb="FFA2C4E0"/>
      </right>
      <top style="thin">
        <color rgb="FFA2C4E0"/>
      </top>
      <bottom style="thin">
        <color rgb="FFA2C4E0"/>
      </bottom>
      <diagonal/>
    </border>
    <border>
      <left/>
      <right style="thin">
        <color rgb="FF93B1CD"/>
      </right>
      <top style="thin">
        <color rgb="FFCFCFCF"/>
      </top>
      <bottom style="thin">
        <color rgb="FF93B1CD"/>
      </bottom>
      <diagonal/>
    </border>
    <border>
      <left style="thin">
        <color rgb="FF93B1CD"/>
      </left>
      <right style="thin">
        <color rgb="FF93B1CD"/>
      </right>
      <top style="thin">
        <color rgb="FF93B1CD"/>
      </top>
      <bottom style="thin">
        <color rgb="FF93B1CD"/>
      </bottom>
      <diagonal/>
    </border>
    <border>
      <left/>
      <right style="thin">
        <color rgb="FF93B1CD"/>
      </right>
      <top style="thin">
        <color rgb="FF93B1CD"/>
      </top>
      <bottom style="thin">
        <color rgb="FF93B1CD"/>
      </bottom>
      <diagonal/>
    </border>
    <border>
      <left style="thin">
        <color theme="1"/>
      </left>
      <right style="dashed">
        <color theme="1"/>
      </right>
      <top/>
      <bottom/>
      <diagonal/>
    </border>
    <border>
      <left style="dashed">
        <color theme="1"/>
      </left>
      <right style="dashed">
        <color theme="1"/>
      </right>
      <top/>
      <bottom/>
      <diagonal/>
    </border>
    <border>
      <left style="dashed">
        <color theme="1"/>
      </left>
      <right style="thin">
        <color theme="1"/>
      </right>
      <top/>
      <bottom/>
      <diagonal/>
    </border>
    <border>
      <left style="dashed">
        <color theme="1"/>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style="thin">
        <color indexed="64"/>
      </left>
      <right style="dashed">
        <color indexed="64"/>
      </right>
      <top style="thin">
        <color theme="1"/>
      </top>
      <bottom/>
      <diagonal/>
    </border>
    <border>
      <left style="thin">
        <color indexed="64"/>
      </left>
      <right style="thin">
        <color indexed="64"/>
      </right>
      <top/>
      <bottom style="thin">
        <color theme="1"/>
      </bottom>
      <diagonal/>
    </border>
    <border>
      <left style="thin">
        <color theme="1"/>
      </left>
      <right/>
      <top/>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theme="1"/>
      </right>
      <top style="thin">
        <color theme="1"/>
      </top>
      <bottom style="thin">
        <color theme="1"/>
      </bottom>
      <diagonal/>
    </border>
    <border>
      <left style="dashed">
        <color indexed="64"/>
      </left>
      <right style="thin">
        <color indexed="64"/>
      </right>
      <top style="thin">
        <color theme="1"/>
      </top>
      <bottom/>
      <diagonal/>
    </border>
    <border>
      <left style="thin">
        <color rgb="FFCFCFCF"/>
      </left>
      <right/>
      <top/>
      <bottom/>
      <diagonal/>
    </border>
    <border>
      <left style="thin">
        <color rgb="FF93B1CD"/>
      </left>
      <right/>
      <top/>
      <bottom/>
      <diagonal/>
    </border>
    <border>
      <left style="dashed">
        <color theme="1"/>
      </left>
      <right/>
      <top/>
      <bottom/>
      <diagonal/>
    </border>
    <border>
      <left style="thin">
        <color theme="1"/>
      </left>
      <right style="dashed">
        <color theme="1"/>
      </right>
      <top/>
      <bottom style="thin">
        <color theme="1"/>
      </bottom>
      <diagonal/>
    </border>
    <border>
      <left style="dashed">
        <color theme="1"/>
      </left>
      <right style="dashed">
        <color theme="1"/>
      </right>
      <top/>
      <bottom style="thin">
        <color theme="1"/>
      </bottom>
      <diagonal/>
    </border>
    <border>
      <left style="dashed">
        <color theme="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style="thin">
        <color theme="1"/>
      </left>
      <right/>
      <top style="thin">
        <color theme="1"/>
      </top>
      <bottom/>
      <diagonal/>
    </border>
    <border>
      <left style="thin">
        <color indexed="64"/>
      </left>
      <right style="thin">
        <color indexed="64"/>
      </right>
      <top style="thin">
        <color theme="1"/>
      </top>
      <bottom/>
      <diagonal/>
    </border>
    <border>
      <left/>
      <right/>
      <top style="thin">
        <color theme="1"/>
      </top>
      <bottom style="thin">
        <color theme="1"/>
      </bottom>
      <diagonal/>
    </border>
    <border>
      <left/>
      <right/>
      <top style="thin">
        <color theme="1"/>
      </top>
      <bottom/>
      <diagonal/>
    </border>
    <border>
      <left style="dashed">
        <color indexed="64"/>
      </left>
      <right style="dashed">
        <color indexed="64"/>
      </right>
      <top/>
      <bottom style="thin">
        <color theme="1"/>
      </bottom>
      <diagonal/>
    </border>
    <border>
      <left style="thin">
        <color theme="1"/>
      </left>
      <right/>
      <top style="thin">
        <color theme="1"/>
      </top>
      <bottom style="thin">
        <color theme="1"/>
      </bottom>
      <diagonal/>
    </border>
    <border>
      <left style="dashed">
        <color indexed="64"/>
      </left>
      <right style="thin">
        <color indexed="64"/>
      </right>
      <top/>
      <bottom style="thin">
        <color theme="1"/>
      </bottom>
      <diagonal/>
    </border>
    <border>
      <left style="thin">
        <color indexed="64"/>
      </left>
      <right style="dashed">
        <color indexed="64"/>
      </right>
      <top/>
      <bottom style="thin">
        <color theme="1"/>
      </bottom>
      <diagonal/>
    </border>
    <border>
      <left style="thin">
        <color indexed="64"/>
      </left>
      <right style="thin">
        <color indexed="64"/>
      </right>
      <top style="thin">
        <color theme="1"/>
      </top>
      <bottom style="thin">
        <color theme="1"/>
      </bottom>
      <diagonal/>
    </border>
    <border>
      <left style="thin">
        <color indexed="64"/>
      </left>
      <right/>
      <top/>
      <bottom style="thin">
        <color theme="1"/>
      </bottom>
      <diagonal/>
    </border>
    <border>
      <left style="thin">
        <color indexed="64"/>
      </left>
      <right/>
      <top style="thin">
        <color theme="1"/>
      </top>
      <bottom/>
      <diagonal/>
    </border>
    <border>
      <left style="thin">
        <color indexed="64"/>
      </left>
      <right style="thin">
        <color indexed="64"/>
      </right>
      <top style="thin">
        <color auto="1"/>
      </top>
      <bottom style="thin">
        <color theme="1"/>
      </bottom>
      <diagonal/>
    </border>
    <border>
      <left/>
      <right/>
      <top style="thin">
        <color auto="1"/>
      </top>
      <bottom style="thin">
        <color auto="1"/>
      </bottom>
      <diagonal/>
    </border>
    <border>
      <left style="thin">
        <color rgb="FF93B1CD"/>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auto="1"/>
      </left>
      <right style="thin">
        <color auto="1"/>
      </right>
      <top/>
      <bottom/>
      <diagonal/>
    </border>
    <border>
      <left style="dashed">
        <color auto="1"/>
      </left>
      <right style="dashed">
        <color auto="1"/>
      </right>
      <top/>
      <bottom/>
      <diagonal/>
    </border>
    <border>
      <left style="dashed">
        <color auto="1"/>
      </left>
      <right style="thin">
        <color auto="1"/>
      </right>
      <top/>
      <bottom style="thin">
        <color auto="1"/>
      </bottom>
      <diagonal/>
    </border>
    <border>
      <left style="dashed">
        <color auto="1"/>
      </left>
      <right style="dashed">
        <color auto="1"/>
      </right>
      <top/>
      <bottom style="thin">
        <color auto="1"/>
      </bottom>
      <diagonal/>
    </border>
    <border>
      <left style="thin">
        <color auto="1"/>
      </left>
      <right style="dashed">
        <color auto="1"/>
      </right>
      <top/>
      <bottom/>
      <diagonal/>
    </border>
    <border>
      <left style="dashed">
        <color indexed="8"/>
      </left>
      <right style="dashed">
        <color indexed="8"/>
      </right>
      <top/>
      <bottom style="thin">
        <color indexed="64"/>
      </bottom>
      <diagonal/>
    </border>
    <border>
      <left style="dashed">
        <color indexed="8"/>
      </left>
      <right/>
      <top/>
      <bottom style="thin">
        <color indexed="8"/>
      </bottom>
      <diagonal/>
    </border>
    <border>
      <left style="dashed">
        <color indexed="8"/>
      </left>
      <right style="dashed">
        <color indexed="8"/>
      </right>
      <top/>
      <bottom style="thin">
        <color indexed="8"/>
      </bottom>
      <diagonal/>
    </border>
    <border>
      <left/>
      <right/>
      <top/>
      <bottom style="thin">
        <color indexed="22"/>
      </bottom>
      <diagonal/>
    </border>
    <border>
      <left style="thin">
        <color indexed="64"/>
      </left>
      <right style="dashed">
        <color indexed="64"/>
      </right>
      <top style="dash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right style="dashed">
        <color indexed="64"/>
      </right>
      <top style="dashed">
        <color indexed="64"/>
      </top>
      <bottom/>
      <diagonal/>
    </border>
    <border>
      <left/>
      <right style="thin">
        <color indexed="64"/>
      </right>
      <top style="dashed">
        <color indexed="64"/>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bottom style="thin">
        <color indexed="64"/>
      </bottom>
      <diagonal/>
    </border>
    <border>
      <left/>
      <right/>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theme="1"/>
      </left>
      <right/>
      <top/>
      <bottom style="thin">
        <color indexed="64"/>
      </bottom>
      <diagonal/>
    </border>
    <border>
      <left style="thin">
        <color indexed="64"/>
      </left>
      <right/>
      <top style="thin">
        <color indexed="64"/>
      </top>
      <bottom style="thin">
        <color indexed="64"/>
      </bottom>
      <diagonal/>
    </border>
    <border>
      <left style="thin">
        <color indexed="64"/>
      </left>
      <right style="dashed">
        <color indexed="64"/>
      </right>
      <top/>
      <bottom/>
      <diagonal/>
    </border>
    <border>
      <left style="dashed">
        <color indexed="64"/>
      </left>
      <right/>
      <top/>
      <bottom/>
      <diagonal/>
    </border>
    <border>
      <left style="thin">
        <color indexed="64"/>
      </left>
      <right style="thin">
        <color indexed="64"/>
      </right>
      <top style="thin">
        <color indexed="64"/>
      </top>
      <bottom style="thin">
        <color indexed="64"/>
      </bottom>
      <diagonal/>
    </border>
    <border>
      <left style="dashed">
        <color auto="1"/>
      </left>
      <right style="dashed">
        <color auto="1"/>
      </right>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dashed">
        <color indexed="8"/>
      </left>
      <right style="thin">
        <color indexed="8"/>
      </right>
      <top/>
      <bottom/>
      <diagonal/>
    </border>
    <border>
      <left style="dashed">
        <color auto="1"/>
      </left>
      <right style="thin">
        <color auto="1"/>
      </right>
      <top/>
      <bottom/>
      <diagonal/>
    </border>
    <border>
      <left/>
      <right/>
      <top style="thin">
        <color indexed="8"/>
      </top>
      <bottom style="thin">
        <color indexed="8"/>
      </bottom>
      <diagonal/>
    </border>
    <border>
      <left/>
      <right/>
      <top style="thin">
        <color indexed="22"/>
      </top>
      <bottom style="thin">
        <color indexed="22"/>
      </bottom>
      <diagonal/>
    </border>
    <border>
      <left/>
      <right/>
      <top style="thin">
        <color indexed="22"/>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right style="thin">
        <color indexed="64"/>
      </right>
      <top style="thin">
        <color indexed="64"/>
      </top>
      <bottom/>
      <diagonal/>
    </border>
    <border>
      <left style="thin">
        <color indexed="64"/>
      </left>
      <right style="dashed">
        <color theme="1"/>
      </right>
      <top/>
      <bottom/>
      <diagonal/>
    </border>
    <border>
      <left style="dashed">
        <color theme="1"/>
      </left>
      <right style="thin">
        <color indexed="64"/>
      </right>
      <top/>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dashed">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ashed">
        <color indexed="64"/>
      </left>
      <right style="thin">
        <color auto="1"/>
      </right>
      <top style="thin">
        <color indexed="64"/>
      </top>
      <bottom style="thin">
        <color indexed="64"/>
      </bottom>
      <diagonal/>
    </border>
    <border>
      <left style="thin">
        <color indexed="64"/>
      </left>
      <right/>
      <top style="thin">
        <color indexed="64"/>
      </top>
      <bottom/>
      <diagonal/>
    </border>
    <border>
      <left/>
      <right/>
      <top style="thin">
        <color indexed="64"/>
      </top>
      <bottom style="thin">
        <color auto="1"/>
      </bottom>
      <diagonal/>
    </border>
    <border>
      <left style="thin">
        <color indexed="64"/>
      </left>
      <right style="dashed">
        <color indexed="64"/>
      </right>
      <top style="thin">
        <color indexed="64"/>
      </top>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style="dashed">
        <color auto="1"/>
      </left>
      <right style="dashed">
        <color auto="1"/>
      </right>
      <top/>
      <bottom/>
      <diagonal/>
    </border>
    <border>
      <left style="dashed">
        <color auto="1"/>
      </left>
      <right style="thin">
        <color auto="1"/>
      </right>
      <top/>
      <bottom style="thin">
        <color indexed="64"/>
      </bottom>
      <diagonal/>
    </border>
    <border>
      <left/>
      <right style="dashed">
        <color auto="1"/>
      </right>
      <top/>
      <bottom/>
      <diagonal/>
    </border>
    <border>
      <left style="dashed">
        <color indexed="64"/>
      </left>
      <right/>
      <top/>
      <bottom/>
      <diagonal/>
    </border>
    <border>
      <left/>
      <right style="dashed">
        <color indexed="64"/>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theme="1"/>
      </right>
      <top/>
      <bottom/>
      <diagonal/>
    </border>
    <border>
      <left style="dashed">
        <color indexed="64"/>
      </left>
      <right style="thin">
        <color theme="1"/>
      </right>
      <top style="thin">
        <color indexed="64"/>
      </top>
      <bottom/>
      <diagonal/>
    </border>
    <border>
      <left style="dashed">
        <color indexed="64"/>
      </left>
      <right style="thin">
        <color theme="1"/>
      </right>
      <top/>
      <bottom style="thin">
        <color indexed="64"/>
      </bottom>
      <diagonal/>
    </border>
    <border>
      <left style="dashed">
        <color theme="1"/>
      </left>
      <right style="thin">
        <color indexed="64"/>
      </right>
      <top style="thin">
        <color theme="1"/>
      </top>
      <bottom style="thin">
        <color indexed="64"/>
      </bottom>
      <diagonal/>
    </border>
    <border>
      <left style="dashed">
        <color indexed="64"/>
      </left>
      <right/>
      <top style="thin">
        <color theme="1"/>
      </top>
      <bottom style="thin">
        <color theme="1"/>
      </bottom>
      <diagonal/>
    </border>
    <border>
      <left style="thin">
        <color indexed="64"/>
      </left>
      <right style="thin">
        <color indexed="64"/>
      </right>
      <top style="thin">
        <color indexed="64"/>
      </top>
      <bottom style="thin">
        <color theme="1"/>
      </bottom>
      <diagonal/>
    </border>
    <border>
      <left/>
      <right style="thin">
        <color theme="1"/>
      </right>
      <top style="thin">
        <color indexed="64"/>
      </top>
      <bottom/>
      <diagonal/>
    </border>
    <border>
      <left/>
      <right style="thin">
        <color theme="1"/>
      </right>
      <top style="thin">
        <color indexed="64"/>
      </top>
      <bottom style="thin">
        <color theme="1"/>
      </bottom>
      <diagonal/>
    </border>
    <border>
      <left style="thin">
        <color indexed="64"/>
      </left>
      <right style="dashed">
        <color indexed="64"/>
      </right>
      <top style="thin">
        <color indexed="64"/>
      </top>
      <bottom style="thin">
        <color indexed="8"/>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right/>
      <top style="thin">
        <color indexed="64"/>
      </top>
      <bottom style="thin">
        <color indexed="64"/>
      </bottom>
      <diagonal/>
    </border>
    <border>
      <left style="dashed">
        <color indexed="8"/>
      </left>
      <right/>
      <top/>
      <bottom/>
      <diagonal/>
    </border>
    <border>
      <left style="dashed">
        <color indexed="8"/>
      </left>
      <right/>
      <top/>
      <bottom style="thin">
        <color indexed="64"/>
      </bottom>
      <diagonal/>
    </border>
    <border>
      <left style="dashed">
        <color auto="1"/>
      </left>
      <right/>
      <top/>
      <bottom/>
      <diagonal/>
    </border>
    <border>
      <left/>
      <right style="thin">
        <color indexed="64"/>
      </right>
      <top/>
      <bottom style="thin">
        <color theme="1"/>
      </bottom>
      <diagonal/>
    </border>
    <border>
      <left style="thin">
        <color indexed="64"/>
      </left>
      <right style="thin">
        <color indexed="64"/>
      </right>
      <top style="thin">
        <color indexed="64"/>
      </top>
      <bottom style="thin">
        <color indexed="8"/>
      </bottom>
      <diagonal/>
    </border>
    <border>
      <left style="dashed">
        <color indexed="64"/>
      </left>
      <right/>
      <top/>
      <bottom style="thin">
        <color indexed="64"/>
      </bottom>
      <diagonal/>
    </border>
    <border>
      <left/>
      <right style="thin">
        <color auto="1"/>
      </right>
      <top/>
      <bottom/>
      <diagonal/>
    </border>
    <border>
      <left/>
      <right style="thin">
        <color auto="1"/>
      </right>
      <top style="thin">
        <color indexed="64"/>
      </top>
      <bottom style="thin">
        <color indexed="64"/>
      </bottom>
      <diagonal/>
    </border>
    <border>
      <left style="thin">
        <color indexed="8"/>
      </left>
      <right style="thin">
        <color indexed="8"/>
      </right>
      <top/>
      <bottom/>
      <diagonal/>
    </border>
    <border>
      <left style="thin">
        <color indexed="8"/>
      </left>
      <right style="dashed">
        <color indexed="8"/>
      </right>
      <top/>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style="thin">
        <color indexed="22"/>
      </left>
      <right style="thin">
        <color indexed="22"/>
      </right>
      <top style="thin">
        <color indexed="8"/>
      </top>
      <bottom style="thin">
        <color indexed="22"/>
      </bottom>
      <diagonal/>
    </border>
    <border>
      <left style="thin">
        <color indexed="22"/>
      </left>
      <right/>
      <top style="thin">
        <color indexed="8"/>
      </top>
      <bottom style="thin">
        <color indexed="22"/>
      </bottom>
      <diagonal/>
    </border>
    <border>
      <left/>
      <right/>
      <top style="thin">
        <color indexed="8"/>
      </top>
      <bottom style="thin">
        <color indexed="22"/>
      </bottom>
      <diagonal/>
    </border>
    <border>
      <left style="thin">
        <color indexed="8"/>
      </left>
      <right style="dashed">
        <color indexed="8"/>
      </right>
      <top style="thin">
        <color indexed="8"/>
      </top>
      <bottom style="thin">
        <color indexed="22"/>
      </bottom>
      <diagonal/>
    </border>
    <border>
      <left style="dashed">
        <color indexed="8"/>
      </left>
      <right style="dashed">
        <color indexed="8"/>
      </right>
      <top style="thin">
        <color indexed="8"/>
      </top>
      <bottom style="thin">
        <color indexed="22"/>
      </bottom>
      <diagonal/>
    </border>
    <border>
      <left style="dashed">
        <color indexed="8"/>
      </left>
      <right style="thin">
        <color indexed="8"/>
      </right>
      <top style="thin">
        <color indexed="8"/>
      </top>
      <bottom style="thin">
        <color indexed="22"/>
      </bottom>
      <diagonal/>
    </border>
    <border>
      <left/>
      <right/>
      <top style="thin">
        <color indexed="22"/>
      </top>
      <bottom style="thin">
        <color indexed="64"/>
      </bottom>
      <diagonal/>
    </border>
    <border>
      <left/>
      <right/>
      <top/>
      <bottom style="thin">
        <color theme="0" tint="-0.24994659260841701"/>
      </bottom>
      <diagonal/>
    </border>
    <border>
      <left style="thin">
        <color indexed="8"/>
      </left>
      <right style="dashed">
        <color indexed="8"/>
      </right>
      <top/>
      <bottom style="thin">
        <color theme="0" tint="-0.24994659260841701"/>
      </bottom>
      <diagonal/>
    </border>
    <border>
      <left style="dashed">
        <color indexed="8"/>
      </left>
      <right style="dashed">
        <color indexed="8"/>
      </right>
      <top/>
      <bottom style="thin">
        <color theme="0" tint="-0.24994659260841701"/>
      </bottom>
      <diagonal/>
    </border>
    <border>
      <left style="dashed">
        <color indexed="8"/>
      </left>
      <right/>
      <top/>
      <bottom style="thin">
        <color theme="0" tint="-0.24994659260841701"/>
      </bottom>
      <diagonal/>
    </border>
    <border>
      <left/>
      <right/>
      <top style="thin">
        <color theme="0" tint="-0.24994659260841701"/>
      </top>
      <bottom style="thin">
        <color theme="0" tint="-0.24994659260841701"/>
      </bottom>
      <diagonal/>
    </border>
    <border>
      <left style="thin">
        <color indexed="8"/>
      </left>
      <right style="dashed">
        <color indexed="8"/>
      </right>
      <top style="thin">
        <color theme="0" tint="-0.24994659260841701"/>
      </top>
      <bottom style="thin">
        <color theme="0" tint="-0.24994659260841701"/>
      </bottom>
      <diagonal/>
    </border>
    <border>
      <left style="dashed">
        <color indexed="8"/>
      </left>
      <right style="dashed">
        <color indexed="8"/>
      </right>
      <top style="thin">
        <color theme="0" tint="-0.24994659260841701"/>
      </top>
      <bottom style="thin">
        <color theme="0" tint="-0.24994659260841701"/>
      </bottom>
      <diagonal/>
    </border>
    <border>
      <left style="dashed">
        <color indexed="8"/>
      </left>
      <right/>
      <top style="thin">
        <color theme="0" tint="-0.24994659260841701"/>
      </top>
      <bottom style="thin">
        <color theme="0" tint="-0.24994659260841701"/>
      </bottom>
      <diagonal/>
    </border>
    <border>
      <left style="dashed">
        <color indexed="8"/>
      </left>
      <right style="thin">
        <color indexed="8"/>
      </right>
      <top style="thin">
        <color theme="0" tint="-0.24994659260841701"/>
      </top>
      <bottom style="thin">
        <color theme="0" tint="-0.24994659260841701"/>
      </bottom>
      <diagonal/>
    </border>
    <border>
      <left style="thin">
        <color indexed="22"/>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8"/>
      </left>
      <right style="dashed">
        <color indexed="8"/>
      </right>
      <top style="thin">
        <color indexed="22"/>
      </top>
      <bottom style="thin">
        <color auto="1"/>
      </bottom>
      <diagonal/>
    </border>
    <border>
      <left style="dashed">
        <color indexed="8"/>
      </left>
      <right style="dashed">
        <color indexed="8"/>
      </right>
      <top style="thin">
        <color indexed="22"/>
      </top>
      <bottom style="thin">
        <color auto="1"/>
      </bottom>
      <diagonal/>
    </border>
    <border>
      <left style="dashed">
        <color indexed="8"/>
      </left>
      <right/>
      <top style="thin">
        <color indexed="22"/>
      </top>
      <bottom style="thin">
        <color auto="1"/>
      </bottom>
      <diagonal/>
    </border>
    <border>
      <left style="thin">
        <color indexed="8"/>
      </left>
      <right style="thin">
        <color indexed="8"/>
      </right>
      <top style="thin">
        <color indexed="8"/>
      </top>
      <bottom style="thin">
        <color theme="0" tint="-0.24994659260841701"/>
      </bottom>
      <diagonal/>
    </border>
    <border>
      <left/>
      <right/>
      <top style="thin">
        <color indexed="8"/>
      </top>
      <bottom style="thin">
        <color theme="0" tint="-0.24994659260841701"/>
      </bottom>
      <diagonal/>
    </border>
    <border>
      <left style="thin">
        <color indexed="8"/>
      </left>
      <right style="dashed">
        <color indexed="8"/>
      </right>
      <top style="thin">
        <color indexed="8"/>
      </top>
      <bottom style="thin">
        <color theme="0" tint="-0.24994659260841701"/>
      </bottom>
      <diagonal/>
    </border>
    <border>
      <left style="dashed">
        <color indexed="8"/>
      </left>
      <right style="dashed">
        <color indexed="8"/>
      </right>
      <top style="thin">
        <color indexed="8"/>
      </top>
      <bottom style="thin">
        <color theme="0" tint="-0.24994659260841701"/>
      </bottom>
      <diagonal/>
    </border>
    <border>
      <left style="dashed">
        <color indexed="8"/>
      </left>
      <right style="thin">
        <color indexed="8"/>
      </right>
      <top style="thin">
        <color indexed="8"/>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indexed="8"/>
      </bottom>
      <diagonal/>
    </border>
    <border>
      <left/>
      <right/>
      <top style="thin">
        <color theme="0" tint="-0.24994659260841701"/>
      </top>
      <bottom style="thin">
        <color indexed="8"/>
      </bottom>
      <diagonal/>
    </border>
    <border>
      <left style="thin">
        <color indexed="8"/>
      </left>
      <right style="dashed">
        <color indexed="8"/>
      </right>
      <top style="thin">
        <color theme="0" tint="-0.24994659260841701"/>
      </top>
      <bottom style="thin">
        <color indexed="8"/>
      </bottom>
      <diagonal/>
    </border>
    <border>
      <left style="dashed">
        <color indexed="8"/>
      </left>
      <right style="dashed">
        <color indexed="8"/>
      </right>
      <top style="thin">
        <color theme="0" tint="-0.24994659260841701"/>
      </top>
      <bottom style="thin">
        <color indexed="8"/>
      </bottom>
      <diagonal/>
    </border>
    <border>
      <left style="dashed">
        <color indexed="8"/>
      </left>
      <right style="thin">
        <color indexed="8"/>
      </right>
      <top style="thin">
        <color theme="0" tint="-0.24994659260841701"/>
      </top>
      <bottom style="thin">
        <color indexed="8"/>
      </bottom>
      <diagonal/>
    </border>
    <border>
      <left/>
      <right/>
      <top style="thin">
        <color auto="1"/>
      </top>
      <bottom style="thin">
        <color theme="0" tint="-0.24994659260841701"/>
      </bottom>
      <diagonal/>
    </border>
    <border>
      <left style="thin">
        <color indexed="64"/>
      </left>
      <right style="thin">
        <color indexed="64"/>
      </right>
      <top style="thin">
        <color auto="1"/>
      </top>
      <bottom style="thin">
        <color theme="0" tint="-0.24994659260841701"/>
      </bottom>
      <diagonal/>
    </border>
    <border>
      <left style="thin">
        <color indexed="64"/>
      </left>
      <right/>
      <top style="thin">
        <color auto="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auto="1"/>
      </bottom>
      <diagonal/>
    </border>
    <border>
      <left style="thin">
        <color indexed="64"/>
      </left>
      <right style="thin">
        <color indexed="64"/>
      </right>
      <top style="thin">
        <color theme="0" tint="-0.24994659260841701"/>
      </top>
      <bottom style="thin">
        <color auto="1"/>
      </bottom>
      <diagonal/>
    </border>
    <border>
      <left style="thin">
        <color indexed="64"/>
      </left>
      <right/>
      <top style="thin">
        <color theme="0" tint="-0.24994659260841701"/>
      </top>
      <bottom style="thin">
        <color auto="1"/>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style="thin">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style="dashed">
        <color indexed="8"/>
      </left>
      <right style="dashed">
        <color indexed="8"/>
      </right>
      <top style="thin">
        <color indexed="22"/>
      </top>
      <bottom style="thin">
        <color indexed="22"/>
      </bottom>
      <diagonal/>
    </border>
    <border>
      <left style="thin">
        <color indexed="8"/>
      </left>
      <right style="dashed">
        <color indexed="8"/>
      </right>
      <top style="thin">
        <color indexed="22"/>
      </top>
      <bottom style="thin">
        <color indexed="64"/>
      </bottom>
      <diagonal/>
    </border>
    <border>
      <left style="dashed">
        <color indexed="8"/>
      </left>
      <right style="dashed">
        <color indexed="8"/>
      </right>
      <top style="thin">
        <color indexed="22"/>
      </top>
      <bottom style="thin">
        <color indexed="64"/>
      </bottom>
      <diagonal/>
    </border>
    <border>
      <left style="dashed">
        <color indexed="8"/>
      </left>
      <right style="thin">
        <color indexed="8"/>
      </right>
      <top style="thin">
        <color indexed="22"/>
      </top>
      <bottom style="thin">
        <color indexed="64"/>
      </bottom>
      <diagonal/>
    </border>
    <border>
      <left style="dashed">
        <color indexed="8"/>
      </left>
      <right style="dashed">
        <color indexed="8"/>
      </right>
      <top/>
      <bottom/>
      <diagonal/>
    </border>
    <border>
      <left style="dashed">
        <color indexed="8"/>
      </left>
      <right style="dashed">
        <color indexed="8"/>
      </right>
      <top/>
      <bottom/>
      <diagonal/>
    </border>
    <border>
      <left style="dashed">
        <color indexed="8"/>
      </left>
      <right style="thin">
        <color indexed="8"/>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auto="1"/>
      </left>
      <right style="thin">
        <color auto="1"/>
      </right>
      <top/>
      <bottom/>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style="thin">
        <color auto="1"/>
      </left>
      <right style="dashed">
        <color auto="1"/>
      </right>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thin">
        <color auto="1"/>
      </left>
      <right style="dashed">
        <color auto="1"/>
      </right>
      <top/>
      <bottom style="thin">
        <color auto="1"/>
      </bottom>
      <diagonal/>
    </border>
    <border>
      <left style="dashed">
        <color auto="1"/>
      </left>
      <right style="dashed">
        <color auto="1"/>
      </right>
      <top/>
      <bottom style="thin">
        <color auto="1"/>
      </bottom>
      <diagonal/>
    </border>
    <border>
      <left style="dashed">
        <color auto="1"/>
      </left>
      <right style="thin">
        <color auto="1"/>
      </right>
      <top/>
      <bottom style="thin">
        <color auto="1"/>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8"/>
      </left>
      <right/>
      <top style="thin">
        <color indexed="8"/>
      </top>
      <bottom style="thin">
        <color indexed="8"/>
      </bottom>
      <diagonal/>
    </border>
    <border>
      <left style="dashed">
        <color indexed="8"/>
      </left>
      <right/>
      <top/>
      <bottom style="thin">
        <color indexed="8"/>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style="thin">
        <color indexed="64"/>
      </bottom>
      <diagonal/>
    </border>
    <border>
      <left style="thin">
        <color indexed="64"/>
      </left>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dashed">
        <color auto="1"/>
      </left>
      <right style="thin">
        <color indexed="64"/>
      </right>
      <top/>
      <bottom style="thin">
        <color auto="1"/>
      </bottom>
      <diagonal/>
    </border>
    <border>
      <left style="dashed">
        <color auto="1"/>
      </left>
      <right/>
      <top style="thin">
        <color auto="1"/>
      </top>
      <bottom/>
      <diagonal/>
    </border>
    <border>
      <left style="dashed">
        <color indexed="64"/>
      </left>
      <right/>
      <top style="thin">
        <color indexed="64"/>
      </top>
      <bottom style="thin">
        <color indexed="64"/>
      </bottom>
      <diagonal/>
    </border>
    <border>
      <left style="dashed">
        <color indexed="64"/>
      </left>
      <right style="thin">
        <color indexed="64"/>
      </right>
      <top/>
      <bottom style="thin">
        <color indexed="64"/>
      </bottom>
      <diagonal/>
    </border>
    <border>
      <left style="thin">
        <color indexed="64"/>
      </left>
      <right/>
      <top style="thin">
        <color indexed="64"/>
      </top>
      <bottom/>
      <diagonal/>
    </border>
    <border>
      <left/>
      <right/>
      <top/>
      <bottom style="thin">
        <color indexed="8"/>
      </bottom>
      <diagonal/>
    </border>
    <border>
      <left/>
      <right style="dashed">
        <color indexed="64"/>
      </right>
      <top style="thin">
        <color indexed="64"/>
      </top>
      <bottom style="thin">
        <color indexed="8"/>
      </bottom>
      <diagonal/>
    </border>
    <border>
      <left style="thin">
        <color auto="1"/>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style="thin">
        <color auto="1"/>
      </left>
      <right style="dashed">
        <color indexed="64"/>
      </right>
      <top style="thin">
        <color indexed="22"/>
      </top>
      <bottom style="thin">
        <color indexed="64"/>
      </bottom>
      <diagonal/>
    </border>
    <border>
      <left style="dashed">
        <color indexed="64"/>
      </left>
      <right style="dashed">
        <color indexed="64"/>
      </right>
      <top style="thin">
        <color indexed="22"/>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theme="1"/>
      </left>
      <right/>
      <top style="thin">
        <color indexed="64"/>
      </top>
      <bottom style="thin">
        <color indexed="64"/>
      </bottom>
      <diagonal/>
    </border>
    <border>
      <left style="thin">
        <color theme="1"/>
      </left>
      <right style="dashed">
        <color theme="1"/>
      </right>
      <top style="thin">
        <color theme="1"/>
      </top>
      <bottom style="thin">
        <color theme="1"/>
      </bottom>
      <diagonal/>
    </border>
    <border>
      <left style="dashed">
        <color theme="1"/>
      </left>
      <right style="dashed">
        <color theme="1"/>
      </right>
      <top style="thin">
        <color theme="1"/>
      </top>
      <bottom style="thin">
        <color theme="1"/>
      </bottom>
      <diagonal/>
    </border>
    <border>
      <left style="dashed">
        <color theme="1"/>
      </left>
      <right style="thin">
        <color theme="1"/>
      </right>
      <top style="thin">
        <color theme="1"/>
      </top>
      <bottom style="thin">
        <color theme="1"/>
      </bottom>
      <diagonal/>
    </border>
    <border>
      <left style="thin">
        <color theme="1"/>
      </left>
      <right style="medium">
        <color theme="1"/>
      </right>
      <top style="thin">
        <color indexed="64"/>
      </top>
      <bottom style="thin">
        <color indexed="64"/>
      </bottom>
      <diagonal/>
    </border>
    <border>
      <left/>
      <right/>
      <top style="thin">
        <color indexed="64"/>
      </top>
      <bottom style="thin">
        <color indexed="64"/>
      </bottom>
      <diagonal/>
    </border>
    <border>
      <left style="dashed">
        <color theme="1"/>
      </left>
      <right style="medium">
        <color theme="1"/>
      </right>
      <top/>
      <bottom/>
      <diagonal/>
    </border>
    <border>
      <left style="thin">
        <color theme="1"/>
      </left>
      <right style="dashed">
        <color theme="1"/>
      </right>
      <top style="thin">
        <color indexed="64"/>
      </top>
      <bottom style="thin">
        <color indexed="64"/>
      </bottom>
      <diagonal/>
    </border>
    <border>
      <left style="dashed">
        <color theme="1"/>
      </left>
      <right style="medium">
        <color theme="1"/>
      </right>
      <top style="thin">
        <color indexed="64"/>
      </top>
      <bottom style="thin">
        <color indexed="64"/>
      </bottom>
      <diagonal/>
    </border>
    <border>
      <left/>
      <right style="medium">
        <color theme="1"/>
      </right>
      <top style="thin">
        <color indexed="64"/>
      </top>
      <bottom style="thin">
        <color indexed="64"/>
      </bottom>
      <diagonal/>
    </border>
    <border>
      <left/>
      <right style="thin">
        <color theme="1"/>
      </right>
      <top style="thin">
        <color indexed="64"/>
      </top>
      <bottom style="thin">
        <color indexed="64"/>
      </bottom>
      <diagonal/>
    </border>
    <border>
      <left style="medium">
        <color theme="1"/>
      </left>
      <right/>
      <top style="thin">
        <color indexed="64"/>
      </top>
      <bottom style="thin">
        <color indexed="64"/>
      </bottom>
      <diagonal/>
    </border>
    <border>
      <left style="thin">
        <color theme="1"/>
      </left>
      <right style="dashed">
        <color theme="1"/>
      </right>
      <top style="thin">
        <color theme="1"/>
      </top>
      <bottom style="thin">
        <color indexed="64"/>
      </bottom>
      <diagonal/>
    </border>
    <border>
      <left style="dashed">
        <color auto="1"/>
      </left>
      <right style="thin">
        <color auto="1"/>
      </right>
      <top style="thin">
        <color indexed="64"/>
      </top>
      <bottom/>
      <diagonal/>
    </border>
    <border>
      <left style="thin">
        <color auto="1"/>
      </left>
      <right style="dashed">
        <color auto="1"/>
      </right>
      <top style="thin">
        <color auto="1"/>
      </top>
      <bottom/>
      <diagonal/>
    </border>
    <border>
      <left style="thin">
        <color auto="1"/>
      </left>
      <right style="dashed">
        <color auto="1"/>
      </right>
      <top/>
      <bottom style="thin">
        <color auto="1"/>
      </bottom>
      <diagonal/>
    </border>
    <border>
      <left style="dashed">
        <color auto="1"/>
      </left>
      <right style="thin">
        <color auto="1"/>
      </right>
      <top/>
      <bottom style="thin">
        <color auto="1"/>
      </bottom>
      <diagonal/>
    </border>
    <border>
      <left style="dashed">
        <color indexed="8"/>
      </left>
      <right style="dashed">
        <color indexed="8"/>
      </right>
      <top style="thin">
        <color indexed="8"/>
      </top>
      <bottom/>
      <diagonal/>
    </border>
    <border>
      <left style="dashed">
        <color indexed="8"/>
      </left>
      <right style="dashed">
        <color indexed="8"/>
      </right>
      <top style="thin">
        <color indexed="8"/>
      </top>
      <bottom style="thin">
        <color indexed="22"/>
      </bottom>
      <diagonal/>
    </border>
    <border>
      <left style="dashed">
        <color indexed="8"/>
      </left>
      <right style="dashed">
        <color indexed="8"/>
      </right>
      <top style="thin">
        <color indexed="22"/>
      </top>
      <bottom style="thin">
        <color indexed="22"/>
      </bottom>
      <diagonal/>
    </border>
    <border>
      <left style="dashed">
        <color indexed="8"/>
      </left>
      <right style="dashed">
        <color indexed="8"/>
      </right>
      <top style="thin">
        <color indexed="22"/>
      </top>
      <bottom style="thin">
        <color auto="1"/>
      </bottom>
      <diagonal/>
    </border>
    <border>
      <left style="dashed">
        <color indexed="8"/>
      </left>
      <right style="dashed">
        <color indexed="8"/>
      </right>
      <top style="thin">
        <color indexed="8"/>
      </top>
      <bottom style="thin">
        <color indexed="8"/>
      </bottom>
      <diagonal/>
    </border>
    <border>
      <left/>
      <right style="dashed">
        <color indexed="8"/>
      </right>
      <top style="thin">
        <color indexed="8"/>
      </top>
      <bottom style="thin">
        <color theme="0" tint="-0.24994659260841701"/>
      </bottom>
      <diagonal/>
    </border>
    <border>
      <left/>
      <right style="dashed">
        <color indexed="8"/>
      </right>
      <top style="thin">
        <color theme="0" tint="-0.24994659260841701"/>
      </top>
      <bottom style="thin">
        <color theme="0" tint="-0.24994659260841701"/>
      </bottom>
      <diagonal/>
    </border>
    <border>
      <left/>
      <right style="dashed">
        <color indexed="8"/>
      </right>
      <top style="thin">
        <color theme="0" tint="-0.24994659260841701"/>
      </top>
      <bottom style="thin">
        <color indexed="8"/>
      </bottom>
      <diagonal/>
    </border>
    <border>
      <left style="thin">
        <color indexed="64"/>
      </left>
      <right style="thin">
        <color indexed="64"/>
      </right>
      <top style="thin">
        <color auto="1"/>
      </top>
      <bottom style="thin">
        <color theme="0" tint="-0.24994659260841701"/>
      </bottom>
      <diagonal/>
    </border>
    <border>
      <left style="dashed">
        <color indexed="64"/>
      </left>
      <right style="thin">
        <color indexed="64"/>
      </right>
      <top/>
      <bottom style="dashed">
        <color indexed="64"/>
      </bottom>
      <diagonal/>
    </border>
    <border>
      <left style="dashed">
        <color indexed="64"/>
      </left>
      <right style="thin">
        <color indexed="64"/>
      </right>
      <top style="dashed">
        <color indexed="64"/>
      </top>
      <bottom/>
      <diagonal/>
    </border>
    <border>
      <left style="dashed">
        <color auto="1"/>
      </left>
      <right/>
      <top style="thin">
        <color auto="1"/>
      </top>
      <bottom/>
      <diagonal/>
    </border>
    <border>
      <left style="dashed">
        <color auto="1"/>
      </left>
      <right/>
      <top/>
      <bottom style="thin">
        <color auto="1"/>
      </bottom>
      <diagonal/>
    </border>
    <border>
      <left style="dashed">
        <color indexed="64"/>
      </left>
      <right style="dashed">
        <color indexed="64"/>
      </right>
      <top style="dashed">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style="dashed">
        <color auto="1"/>
      </right>
      <top style="medium">
        <color indexed="64"/>
      </top>
      <bottom/>
      <diagonal/>
    </border>
    <border>
      <left style="dashed">
        <color auto="1"/>
      </left>
      <right style="dashed">
        <color auto="1"/>
      </right>
      <top style="medium">
        <color indexed="64"/>
      </top>
      <bottom/>
      <diagonal/>
    </border>
    <border>
      <left style="dashed">
        <color auto="1"/>
      </left>
      <right style="thin">
        <color auto="1"/>
      </right>
      <top style="medium">
        <color indexed="64"/>
      </top>
      <bottom/>
      <diagonal/>
    </border>
    <border>
      <left/>
      <right style="medium">
        <color indexed="64"/>
      </right>
      <top style="medium">
        <color indexed="64"/>
      </top>
      <bottom/>
      <diagonal/>
    </border>
    <border>
      <left style="medium">
        <color indexed="64"/>
      </left>
      <right/>
      <top/>
      <bottom style="thin">
        <color theme="1"/>
      </bottom>
      <diagonal/>
    </border>
    <border>
      <left/>
      <right style="medium">
        <color indexed="64"/>
      </right>
      <top/>
      <bottom style="thin">
        <color theme="1"/>
      </bottom>
      <diagonal/>
    </border>
    <border>
      <left style="medium">
        <color indexed="64"/>
      </left>
      <right/>
      <top/>
      <bottom/>
      <diagonal/>
    </border>
    <border>
      <left/>
      <right style="medium">
        <color indexed="64"/>
      </right>
      <top/>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medium">
        <color indexed="64"/>
      </bottom>
      <diagonal/>
    </border>
    <border>
      <left/>
      <right/>
      <top/>
      <bottom style="medium">
        <color indexed="64"/>
      </bottom>
      <diagonal/>
    </border>
    <border>
      <left style="thin">
        <color auto="1"/>
      </left>
      <right style="dashed">
        <color auto="1"/>
      </right>
      <top/>
      <bottom style="medium">
        <color indexed="64"/>
      </bottom>
      <diagonal/>
    </border>
    <border>
      <left style="dashed">
        <color indexed="64"/>
      </left>
      <right style="dashed">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8"/>
      </left>
      <right/>
      <top style="thin">
        <color indexed="8"/>
      </top>
      <bottom style="thin">
        <color indexed="8"/>
      </bottom>
      <diagonal/>
    </border>
    <border>
      <left style="dashed">
        <color indexed="8"/>
      </left>
      <right/>
      <top/>
      <bottom style="thin">
        <color indexed="8"/>
      </bottom>
      <diagonal/>
    </border>
    <border>
      <left style="thin">
        <color auto="1"/>
      </left>
      <right style="thin">
        <color auto="1"/>
      </right>
      <top/>
      <bottom/>
      <diagonal/>
    </border>
    <border>
      <left style="dashed">
        <color indexed="64"/>
      </left>
      <right/>
      <top style="thin">
        <color indexed="64"/>
      </top>
      <bottom style="thin">
        <color indexed="64"/>
      </bottom>
      <diagonal/>
    </border>
    <border>
      <left style="thin">
        <color indexed="64"/>
      </left>
      <right/>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auto="1"/>
      </left>
      <right style="dashed">
        <color auto="1"/>
      </right>
      <top style="thin">
        <color auto="1"/>
      </top>
      <bottom/>
      <diagonal/>
    </border>
    <border>
      <left style="dashed">
        <color auto="1"/>
      </left>
      <right style="dashed">
        <color auto="1"/>
      </right>
      <top style="thin">
        <color auto="1"/>
      </top>
      <bottom/>
      <diagonal/>
    </border>
    <border>
      <left style="dashed">
        <color auto="1"/>
      </left>
      <right style="thin">
        <color auto="1"/>
      </right>
      <top style="thin">
        <color auto="1"/>
      </top>
      <bottom/>
      <diagonal/>
    </border>
    <border>
      <left style="thin">
        <color indexed="64"/>
      </left>
      <right/>
      <top/>
      <bottom style="thin">
        <color auto="1"/>
      </bottom>
      <diagonal/>
    </border>
    <border>
      <left style="thin">
        <color indexed="64"/>
      </left>
      <right style="dashed">
        <color indexed="64"/>
      </right>
      <top/>
      <bottom style="thin">
        <color auto="1"/>
      </bottom>
      <diagonal/>
    </border>
    <border>
      <left style="dashed">
        <color indexed="64"/>
      </left>
      <right style="dashed">
        <color indexed="64"/>
      </right>
      <top/>
      <bottom style="thin">
        <color auto="1"/>
      </bottom>
      <diagonal/>
    </border>
    <border>
      <left style="dashed">
        <color indexed="64"/>
      </left>
      <right style="thin">
        <color indexed="64"/>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thin">
        <color indexed="64"/>
      </right>
      <top/>
      <bottom style="thin">
        <color indexed="64"/>
      </bottom>
      <diagonal/>
    </border>
    <border>
      <left style="dashed">
        <color auto="1"/>
      </left>
      <right/>
      <top/>
      <bottom style="thin">
        <color indexed="64"/>
      </bottom>
      <diagonal/>
    </border>
    <border>
      <left/>
      <right style="thin">
        <color indexed="64"/>
      </right>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dashed">
        <color indexed="64"/>
      </left>
      <right style="thin">
        <color indexed="64"/>
      </right>
      <top/>
      <bottom style="thin">
        <color indexed="64"/>
      </bottom>
      <diagonal/>
    </border>
    <border>
      <left style="dashed">
        <color auto="1"/>
      </left>
      <right style="dashed">
        <color auto="1"/>
      </right>
      <top/>
      <bottom/>
      <diagonal/>
    </border>
    <border>
      <left style="dashed">
        <color indexed="64"/>
      </left>
      <right style="thin">
        <color indexed="64"/>
      </right>
      <top/>
      <bottom/>
      <diagonal/>
    </border>
    <border>
      <left style="dashed">
        <color indexed="8"/>
      </left>
      <right style="thin">
        <color indexed="8"/>
      </right>
      <top/>
      <bottom style="thin">
        <color auto="1"/>
      </bottom>
      <diagonal/>
    </border>
    <border>
      <left style="dashed">
        <color indexed="8"/>
      </left>
      <right/>
      <top style="thin">
        <color indexed="8"/>
      </top>
      <bottom style="thin">
        <color indexed="8"/>
      </bottom>
      <diagonal/>
    </border>
    <border>
      <left style="dashed">
        <color indexed="8"/>
      </left>
      <right/>
      <top/>
      <bottom style="thin">
        <color auto="1"/>
      </bottom>
      <diagonal/>
    </border>
    <border>
      <left style="dashed">
        <color indexed="8"/>
      </left>
      <right style="dashed">
        <color indexed="8"/>
      </right>
      <top style="thin">
        <color indexed="8"/>
      </top>
      <bottom style="thin">
        <color indexed="8"/>
      </bottom>
      <diagonal/>
    </border>
    <border>
      <left style="dashed">
        <color indexed="8"/>
      </left>
      <right style="dashed">
        <color indexed="8"/>
      </right>
      <top/>
      <bottom style="thin">
        <color auto="1"/>
      </bottom>
      <diagonal/>
    </border>
    <border>
      <left style="dashed">
        <color indexed="8"/>
      </left>
      <right style="thin">
        <color indexed="8"/>
      </right>
      <top style="thin">
        <color indexed="8"/>
      </top>
      <bottom style="thin">
        <color indexed="8"/>
      </bottom>
      <diagonal/>
    </border>
    <border>
      <left style="dashed">
        <color indexed="8"/>
      </left>
      <right/>
      <top/>
      <bottom style="thin">
        <color indexed="8"/>
      </bottom>
      <diagonal/>
    </border>
    <border>
      <left style="dashed">
        <color indexed="8"/>
      </left>
      <right style="thin">
        <color indexed="8"/>
      </right>
      <top/>
      <bottom style="thin">
        <color indexed="8"/>
      </bottom>
      <diagonal/>
    </border>
    <border>
      <left style="dashed">
        <color auto="1"/>
      </left>
      <right/>
      <top style="thin">
        <color auto="1"/>
      </top>
      <bottom style="thin">
        <color auto="1"/>
      </bottom>
      <diagonal/>
    </border>
    <border>
      <left style="dashed">
        <color auto="1"/>
      </left>
      <right style="thin">
        <color indexed="64"/>
      </right>
      <top style="thin">
        <color auto="1"/>
      </top>
      <bottom style="thin">
        <color auto="1"/>
      </bottom>
      <diagonal/>
    </border>
    <border>
      <left style="thin">
        <color indexed="64"/>
      </left>
      <right style="thin">
        <color indexed="64"/>
      </right>
      <top/>
      <bottom style="thin">
        <color indexed="64"/>
      </bottom>
      <diagonal/>
    </border>
  </borders>
  <cellStyleXfs count="36">
    <xf numFmtId="0" fontId="0" fillId="0" borderId="0"/>
    <xf numFmtId="43" fontId="42" fillId="0" borderId="0" applyFont="0" applyFill="0" applyBorder="0" applyAlignment="0" applyProtection="0"/>
    <xf numFmtId="43" fontId="43" fillId="0" borderId="0" applyFont="0" applyFill="0" applyBorder="0" applyAlignment="0" applyProtection="0"/>
    <xf numFmtId="44" fontId="42" fillId="0" borderId="0" applyFont="0" applyFill="0" applyBorder="0" applyAlignment="0" applyProtection="0"/>
    <xf numFmtId="0" fontId="7"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0" fontId="8" fillId="0" borderId="0"/>
    <xf numFmtId="0" fontId="13" fillId="0" borderId="0"/>
    <xf numFmtId="0" fontId="9" fillId="0" borderId="0">
      <alignment vertical="top"/>
    </xf>
    <xf numFmtId="0" fontId="42" fillId="0" borderId="0"/>
    <xf numFmtId="0" fontId="9" fillId="0" borderId="0"/>
    <xf numFmtId="0" fontId="43" fillId="0" borderId="0"/>
    <xf numFmtId="0" fontId="12" fillId="0" borderId="0"/>
    <xf numFmtId="0" fontId="9" fillId="0" borderId="0">
      <alignment vertical="top"/>
    </xf>
    <xf numFmtId="0" fontId="14" fillId="0" borderId="0"/>
    <xf numFmtId="0" fontId="18" fillId="0" borderId="0">
      <alignment vertical="top"/>
    </xf>
    <xf numFmtId="0" fontId="19" fillId="0" borderId="0"/>
    <xf numFmtId="0" fontId="19" fillId="0" borderId="0"/>
    <xf numFmtId="0" fontId="19" fillId="0" borderId="0"/>
    <xf numFmtId="0" fontId="12" fillId="0" borderId="0"/>
    <xf numFmtId="0" fontId="12" fillId="0" borderId="0"/>
    <xf numFmtId="0" fontId="13"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9" fontId="42" fillId="0" borderId="0" applyFont="0" applyFill="0" applyBorder="0" applyAlignment="0" applyProtection="0"/>
    <xf numFmtId="0" fontId="42" fillId="0" borderId="0"/>
    <xf numFmtId="0" fontId="1" fillId="0" borderId="0"/>
  </cellStyleXfs>
  <cellXfs count="2803">
    <xf numFmtId="0" fontId="0" fillId="0" borderId="0" xfId="0"/>
    <xf numFmtId="0" fontId="6" fillId="0" borderId="1" xfId="24" applyFont="1" applyFill="1" applyBorder="1" applyAlignment="1">
      <alignment wrapText="1"/>
    </xf>
    <xf numFmtId="49" fontId="46" fillId="0" borderId="0" xfId="12" applyNumberFormat="1" applyFont="1" applyFill="1" applyAlignment="1">
      <alignment vertical="top" wrapText="1"/>
    </xf>
    <xf numFmtId="3" fontId="47" fillId="0" borderId="98" xfId="12" applyNumberFormat="1" applyFont="1" applyFill="1" applyBorder="1" applyAlignment="1">
      <alignment horizontal="right" vertical="top"/>
    </xf>
    <xf numFmtId="49" fontId="48" fillId="0" borderId="0" xfId="12" applyNumberFormat="1" applyFont="1" applyFill="1" applyAlignment="1">
      <alignment horizontal="center" vertical="top" wrapText="1"/>
    </xf>
    <xf numFmtId="0" fontId="6" fillId="0" borderId="0" xfId="18" applyFont="1" applyFill="1"/>
    <xf numFmtId="0" fontId="6" fillId="0" borderId="0" xfId="18" applyFont="1" applyFill="1" applyAlignment="1">
      <alignment wrapText="1"/>
    </xf>
    <xf numFmtId="0" fontId="6" fillId="0" borderId="0" xfId="18" applyFont="1" applyFill="1" applyAlignment="1">
      <alignment horizontal="left" wrapText="1"/>
    </xf>
    <xf numFmtId="0" fontId="6" fillId="0" borderId="2" xfId="18" applyFont="1" applyFill="1" applyBorder="1" applyAlignment="1">
      <alignment horizontal="left"/>
    </xf>
    <xf numFmtId="3" fontId="6" fillId="0" borderId="2" xfId="18" applyNumberFormat="1" applyFont="1" applyFill="1" applyBorder="1" applyAlignment="1">
      <alignment horizontal="right"/>
    </xf>
    <xf numFmtId="3" fontId="6" fillId="0" borderId="0" xfId="18" applyNumberFormat="1" applyFont="1" applyFill="1"/>
    <xf numFmtId="0" fontId="6" fillId="0" borderId="0" xfId="18" quotePrefix="1" applyFont="1" applyFill="1"/>
    <xf numFmtId="9" fontId="49" fillId="0" borderId="0" xfId="0" applyNumberFormat="1" applyFont="1" applyAlignment="1">
      <alignment horizontal="right" indent="1"/>
    </xf>
    <xf numFmtId="0" fontId="15" fillId="2" borderId="2" xfId="18" applyFont="1" applyFill="1" applyBorder="1" applyAlignment="1">
      <alignment horizontal="center" wrapText="1"/>
    </xf>
    <xf numFmtId="0" fontId="15" fillId="2" borderId="3" xfId="18" applyFont="1" applyFill="1" applyBorder="1" applyAlignment="1">
      <alignment horizontal="center" wrapText="1"/>
    </xf>
    <xf numFmtId="0" fontId="14" fillId="0" borderId="0" xfId="18" applyAlignment="1">
      <alignment wrapText="1"/>
    </xf>
    <xf numFmtId="0" fontId="15" fillId="0" borderId="1" xfId="18" applyFont="1" applyFill="1" applyBorder="1" applyAlignment="1">
      <alignment wrapText="1"/>
    </xf>
    <xf numFmtId="0" fontId="15" fillId="0" borderId="1" xfId="18" applyFont="1" applyFill="1" applyBorder="1" applyAlignment="1">
      <alignment horizontal="right" wrapText="1"/>
    </xf>
    <xf numFmtId="0" fontId="14" fillId="0" borderId="0" xfId="18"/>
    <xf numFmtId="0" fontId="10" fillId="0" borderId="0" xfId="18" applyFont="1" applyFill="1" applyBorder="1" applyAlignment="1">
      <alignment horizontal="left" wrapText="1"/>
    </xf>
    <xf numFmtId="0" fontId="15" fillId="0" borderId="2" xfId="18" applyFont="1" applyFill="1" applyBorder="1" applyAlignment="1">
      <alignment horizontal="center" wrapText="1"/>
    </xf>
    <xf numFmtId="0" fontId="14" fillId="0" borderId="0" xfId="18" applyFill="1" applyAlignment="1">
      <alignment wrapText="1"/>
    </xf>
    <xf numFmtId="0" fontId="16" fillId="0" borderId="4" xfId="18" applyFont="1" applyBorder="1" applyAlignment="1">
      <alignment horizontal="center"/>
    </xf>
    <xf numFmtId="0" fontId="11" fillId="0" borderId="2" xfId="18" applyFont="1" applyFill="1" applyBorder="1" applyAlignment="1">
      <alignment horizontal="center" wrapText="1"/>
    </xf>
    <xf numFmtId="0" fontId="16" fillId="0" borderId="0" xfId="18" applyFont="1" applyBorder="1" applyAlignment="1">
      <alignment horizontal="center"/>
    </xf>
    <xf numFmtId="3" fontId="15" fillId="0" borderId="1" xfId="18" applyNumberFormat="1" applyFont="1" applyFill="1" applyBorder="1" applyAlignment="1">
      <alignment horizontal="right" wrapText="1"/>
    </xf>
    <xf numFmtId="3" fontId="15" fillId="0" borderId="1" xfId="18" applyNumberFormat="1" applyFont="1" applyFill="1" applyBorder="1" applyAlignment="1">
      <alignment horizontal="right" wrapText="1" indent="1"/>
    </xf>
    <xf numFmtId="9" fontId="49" fillId="0" borderId="0" xfId="0" applyNumberFormat="1" applyFont="1" applyAlignment="1">
      <alignment horizontal="right"/>
    </xf>
    <xf numFmtId="0" fontId="14" fillId="0" borderId="0" xfId="18" applyAlignment="1">
      <alignment horizontal="right"/>
    </xf>
    <xf numFmtId="0" fontId="50" fillId="0" borderId="1" xfId="18" applyFont="1" applyFill="1" applyBorder="1" applyAlignment="1">
      <alignment wrapText="1"/>
    </xf>
    <xf numFmtId="0" fontId="16" fillId="0" borderId="4" xfId="18" applyFont="1" applyBorder="1" applyAlignment="1">
      <alignment horizontal="center" wrapText="1"/>
    </xf>
    <xf numFmtId="0" fontId="15" fillId="0" borderId="2" xfId="18" applyFont="1" applyFill="1" applyBorder="1" applyAlignment="1">
      <alignment horizontal="right" wrapText="1"/>
    </xf>
    <xf numFmtId="0" fontId="50" fillId="0" borderId="1" xfId="18" applyFont="1" applyFill="1" applyBorder="1" applyAlignment="1">
      <alignment horizontal="right" wrapText="1"/>
    </xf>
    <xf numFmtId="0" fontId="16" fillId="0" borderId="5" xfId="18" applyFont="1" applyBorder="1" applyAlignment="1">
      <alignment horizontal="center"/>
    </xf>
    <xf numFmtId="0" fontId="11" fillId="0" borderId="6" xfId="18" applyFont="1" applyFill="1" applyBorder="1" applyAlignment="1">
      <alignment horizontal="center" wrapText="1"/>
    </xf>
    <xf numFmtId="0" fontId="11" fillId="0" borderId="7" xfId="18" applyFont="1" applyFill="1" applyBorder="1" applyAlignment="1">
      <alignment horizontal="center" wrapText="1"/>
    </xf>
    <xf numFmtId="3" fontId="15" fillId="0" borderId="8" xfId="18" applyNumberFormat="1" applyFont="1" applyFill="1" applyBorder="1" applyAlignment="1">
      <alignment horizontal="right" wrapText="1" indent="1"/>
    </xf>
    <xf numFmtId="0" fontId="16" fillId="0" borderId="0" xfId="18" applyFont="1" applyBorder="1" applyAlignment="1"/>
    <xf numFmtId="0" fontId="11" fillId="0" borderId="0" xfId="18" applyFont="1" applyFill="1" applyBorder="1" applyAlignment="1">
      <alignment horizontal="center" wrapText="1"/>
    </xf>
    <xf numFmtId="9" fontId="49" fillId="0" borderId="0" xfId="0" applyNumberFormat="1" applyFont="1" applyBorder="1" applyAlignment="1">
      <alignment horizontal="right"/>
    </xf>
    <xf numFmtId="0" fontId="14" fillId="0" borderId="0" xfId="18" applyBorder="1"/>
    <xf numFmtId="0" fontId="11" fillId="0" borderId="9" xfId="18" applyFont="1" applyFill="1" applyBorder="1" applyAlignment="1">
      <alignment horizontal="center" wrapText="1"/>
    </xf>
    <xf numFmtId="3" fontId="15" fillId="0" borderId="10" xfId="18" applyNumberFormat="1" applyFont="1" applyFill="1" applyBorder="1" applyAlignment="1">
      <alignment horizontal="right" wrapText="1"/>
    </xf>
    <xf numFmtId="0" fontId="16" fillId="0" borderId="0" xfId="18" applyFont="1" applyBorder="1" applyAlignment="1">
      <alignment horizontal="center" wrapText="1"/>
    </xf>
    <xf numFmtId="3" fontId="15" fillId="0" borderId="11" xfId="18" applyNumberFormat="1" applyFont="1" applyFill="1" applyBorder="1" applyAlignment="1">
      <alignment horizontal="right" wrapText="1" indent="1"/>
    </xf>
    <xf numFmtId="3" fontId="15" fillId="0" borderId="10" xfId="18" applyNumberFormat="1" applyFont="1" applyFill="1" applyBorder="1" applyAlignment="1">
      <alignment horizontal="right" wrapText="1" indent="1"/>
    </xf>
    <xf numFmtId="0" fontId="16" fillId="0" borderId="0" xfId="18" applyFont="1" applyBorder="1" applyAlignment="1">
      <alignment wrapText="1"/>
    </xf>
    <xf numFmtId="0" fontId="43" fillId="0" borderId="0" xfId="15"/>
    <xf numFmtId="0" fontId="6" fillId="0" borderId="1" xfId="18" applyFont="1" applyFill="1" applyBorder="1" applyAlignment="1">
      <alignment wrapText="1"/>
    </xf>
    <xf numFmtId="0" fontId="6" fillId="0" borderId="1" xfId="18" quotePrefix="1" applyFont="1" applyFill="1" applyBorder="1" applyAlignment="1">
      <alignment wrapText="1"/>
    </xf>
    <xf numFmtId="0" fontId="9" fillId="0" borderId="0" xfId="12" applyFont="1" applyAlignment="1">
      <alignment vertical="top"/>
    </xf>
    <xf numFmtId="49" fontId="51" fillId="0" borderId="99" xfId="12" applyNumberFormat="1" applyFont="1" applyBorder="1" applyAlignment="1">
      <alignment horizontal="center" vertical="top" wrapText="1"/>
    </xf>
    <xf numFmtId="49" fontId="51" fillId="4" borderId="100" xfId="12" applyNumberFormat="1" applyFont="1" applyFill="1" applyBorder="1" applyAlignment="1">
      <alignment horizontal="right" vertical="top" wrapText="1" indent="1"/>
    </xf>
    <xf numFmtId="49" fontId="47" fillId="5" borderId="100" xfId="12" applyNumberFormat="1" applyFont="1" applyFill="1" applyBorder="1" applyAlignment="1">
      <alignment vertical="top" wrapText="1"/>
    </xf>
    <xf numFmtId="3" fontId="47" fillId="0" borderId="98" xfId="12" applyNumberFormat="1" applyFont="1" applyFill="1" applyBorder="1" applyAlignment="1">
      <alignment horizontal="right" vertical="top" indent="1"/>
    </xf>
    <xf numFmtId="3" fontId="9" fillId="0" borderId="0" xfId="12" applyNumberFormat="1" applyFont="1" applyAlignment="1">
      <alignment horizontal="right" vertical="top" indent="1"/>
    </xf>
    <xf numFmtId="49" fontId="47" fillId="5" borderId="101" xfId="12" applyNumberFormat="1" applyFont="1" applyFill="1" applyBorder="1" applyAlignment="1">
      <alignment vertical="top" wrapText="1"/>
    </xf>
    <xf numFmtId="3" fontId="9" fillId="0" borderId="0" xfId="12" applyNumberFormat="1" applyFont="1" applyAlignment="1">
      <alignment vertical="top"/>
    </xf>
    <xf numFmtId="49" fontId="51" fillId="4" borderId="101" xfId="12" applyNumberFormat="1" applyFont="1" applyFill="1" applyBorder="1" applyAlignment="1">
      <alignment vertical="top" wrapText="1"/>
    </xf>
    <xf numFmtId="168" fontId="51" fillId="0" borderId="98" xfId="12" applyNumberFormat="1" applyFont="1" applyFill="1" applyBorder="1" applyAlignment="1">
      <alignment horizontal="right" vertical="top"/>
    </xf>
    <xf numFmtId="170" fontId="48" fillId="0" borderId="0" xfId="12" applyNumberFormat="1" applyFont="1" applyAlignment="1">
      <alignment horizontal="left" vertical="top" wrapText="1"/>
    </xf>
    <xf numFmtId="169" fontId="48" fillId="0" borderId="0" xfId="12" applyNumberFormat="1" applyFont="1" applyAlignment="1">
      <alignment horizontal="right" vertical="top" wrapText="1"/>
    </xf>
    <xf numFmtId="170" fontId="48" fillId="0" borderId="0" xfId="12" applyNumberFormat="1" applyFont="1" applyAlignment="1">
      <alignment vertical="top" wrapText="1"/>
    </xf>
    <xf numFmtId="0" fontId="52" fillId="0" borderId="0" xfId="0" applyFont="1" applyAlignment="1">
      <alignment horizontal="left"/>
    </xf>
    <xf numFmtId="0" fontId="52" fillId="0" borderId="0" xfId="0" applyFont="1"/>
    <xf numFmtId="0" fontId="53" fillId="0" borderId="0" xfId="0" applyFont="1"/>
    <xf numFmtId="0" fontId="54" fillId="0" borderId="0" xfId="0" applyFont="1"/>
    <xf numFmtId="0" fontId="55" fillId="0" borderId="0" xfId="0" applyFont="1" applyBorder="1" applyAlignment="1"/>
    <xf numFmtId="0" fontId="54" fillId="0" borderId="0" xfId="0" quotePrefix="1" applyFont="1"/>
    <xf numFmtId="0" fontId="55" fillId="0" borderId="0" xfId="0" applyFont="1" applyAlignment="1">
      <alignment horizontal="right"/>
    </xf>
    <xf numFmtId="0" fontId="55" fillId="0" borderId="0" xfId="0" applyFont="1"/>
    <xf numFmtId="0" fontId="56" fillId="0" borderId="0" xfId="0" applyFont="1" applyAlignment="1">
      <alignment vertical="top" wrapText="1"/>
    </xf>
    <xf numFmtId="0" fontId="54" fillId="0" borderId="0" xfId="0" quotePrefix="1" applyFont="1" applyAlignment="1"/>
    <xf numFmtId="0" fontId="54" fillId="0" borderId="0" xfId="0" quotePrefix="1" applyFont="1" applyAlignment="1">
      <alignment horizontal="center"/>
    </xf>
    <xf numFmtId="0" fontId="56" fillId="0" borderId="0" xfId="0" applyFont="1" applyAlignment="1">
      <alignment horizontal="left" vertical="top" wrapText="1"/>
    </xf>
    <xf numFmtId="0" fontId="55" fillId="0" borderId="0" xfId="0" applyFont="1" applyBorder="1"/>
    <xf numFmtId="0" fontId="55" fillId="0" borderId="0" xfId="0" applyFont="1" applyBorder="1" applyAlignment="1">
      <alignment horizontal="right"/>
    </xf>
    <xf numFmtId="0" fontId="55" fillId="0" borderId="0" xfId="0" applyFont="1" applyBorder="1" applyAlignment="1">
      <alignment horizontal="right" wrapText="1"/>
    </xf>
    <xf numFmtId="0" fontId="54" fillId="0" borderId="0" xfId="0" applyFont="1" applyBorder="1"/>
    <xf numFmtId="3" fontId="54" fillId="0" borderId="0" xfId="0" applyNumberFormat="1" applyFont="1"/>
    <xf numFmtId="9" fontId="54" fillId="0" borderId="0" xfId="0" applyNumberFormat="1" applyFont="1"/>
    <xf numFmtId="167" fontId="54" fillId="0" borderId="0" xfId="0" applyNumberFormat="1" applyFont="1"/>
    <xf numFmtId="0" fontId="54" fillId="0" borderId="0" xfId="0" applyFont="1" applyAlignment="1">
      <alignment horizontal="left" indent="2"/>
    </xf>
    <xf numFmtId="0" fontId="54" fillId="0" borderId="0" xfId="0" applyFont="1" applyBorder="1" applyAlignment="1">
      <alignment horizontal="right"/>
    </xf>
    <xf numFmtId="0" fontId="54" fillId="0" borderId="0" xfId="0" applyFont="1" applyAlignment="1">
      <alignment wrapText="1"/>
    </xf>
    <xf numFmtId="9" fontId="54" fillId="0" borderId="0" xfId="0" applyNumberFormat="1" applyFont="1" applyBorder="1"/>
    <xf numFmtId="3" fontId="54" fillId="0" borderId="0" xfId="0" applyNumberFormat="1" applyFont="1" applyAlignment="1">
      <alignment horizontal="right"/>
    </xf>
    <xf numFmtId="9" fontId="54" fillId="0" borderId="0" xfId="33" applyFont="1"/>
    <xf numFmtId="164" fontId="54" fillId="0" borderId="0" xfId="0" applyNumberFormat="1" applyFont="1" applyAlignment="1">
      <alignment horizontal="center"/>
    </xf>
    <xf numFmtId="3" fontId="54" fillId="0" borderId="0" xfId="0" applyNumberFormat="1" applyFont="1" applyAlignment="1">
      <alignment horizontal="right" indent="1"/>
    </xf>
    <xf numFmtId="0" fontId="57" fillId="0" borderId="0" xfId="0" applyFont="1"/>
    <xf numFmtId="0" fontId="57" fillId="0" borderId="0" xfId="0" applyFont="1" applyAlignment="1">
      <alignment horizontal="left"/>
    </xf>
    <xf numFmtId="0" fontId="54" fillId="0" borderId="0" xfId="0" applyFont="1" applyBorder="1" applyAlignment="1"/>
    <xf numFmtId="0" fontId="58" fillId="0" borderId="0" xfId="0" applyFont="1"/>
    <xf numFmtId="0" fontId="59" fillId="0" borderId="12" xfId="0" applyFont="1" applyBorder="1" applyAlignment="1">
      <alignment wrapText="1"/>
    </xf>
    <xf numFmtId="0" fontId="60" fillId="0" borderId="0" xfId="0" applyFont="1" applyAlignment="1">
      <alignment horizontal="center"/>
    </xf>
    <xf numFmtId="0" fontId="60" fillId="0" borderId="0" xfId="0" applyFont="1"/>
    <xf numFmtId="0" fontId="60" fillId="0" borderId="0" xfId="0" applyFont="1" applyAlignment="1">
      <alignment wrapText="1"/>
    </xf>
    <xf numFmtId="0" fontId="59" fillId="0" borderId="0" xfId="0" applyFont="1" applyBorder="1" applyAlignment="1">
      <alignment horizontal="center" wrapText="1"/>
    </xf>
    <xf numFmtId="49" fontId="59" fillId="0" borderId="12" xfId="0" applyNumberFormat="1" applyFont="1" applyBorder="1" applyAlignment="1">
      <alignment horizontal="center"/>
    </xf>
    <xf numFmtId="0" fontId="59" fillId="0" borderId="12" xfId="0" applyFont="1" applyBorder="1" applyAlignment="1">
      <alignment horizontal="left" wrapText="1"/>
    </xf>
    <xf numFmtId="49" fontId="60" fillId="0" borderId="0" xfId="0" applyNumberFormat="1" applyFont="1" applyBorder="1" applyAlignment="1">
      <alignment horizontal="center"/>
    </xf>
    <xf numFmtId="0" fontId="23" fillId="0" borderId="0" xfId="9" applyFont="1" applyBorder="1"/>
    <xf numFmtId="0" fontId="60" fillId="0" borderId="0" xfId="0" applyFont="1" applyBorder="1"/>
    <xf numFmtId="3" fontId="60" fillId="0" borderId="0" xfId="0" applyNumberFormat="1" applyFont="1" applyAlignment="1">
      <alignment horizontal="right" vertical="top" wrapText="1"/>
    </xf>
    <xf numFmtId="3" fontId="60" fillId="0" borderId="0" xfId="0" applyNumberFormat="1" applyFont="1" applyAlignment="1">
      <alignment horizontal="right" indent="1"/>
    </xf>
    <xf numFmtId="3" fontId="60" fillId="0" borderId="0" xfId="0" applyNumberFormat="1" applyFont="1" applyBorder="1" applyAlignment="1">
      <alignment horizontal="center"/>
    </xf>
    <xf numFmtId="3" fontId="60" fillId="0" borderId="0" xfId="0" applyNumberFormat="1" applyFont="1" applyAlignment="1">
      <alignment horizontal="center"/>
    </xf>
    <xf numFmtId="38" fontId="60" fillId="0" borderId="0" xfId="0" applyNumberFormat="1" applyFont="1"/>
    <xf numFmtId="9" fontId="60" fillId="0" borderId="0" xfId="0" applyNumberFormat="1" applyFont="1"/>
    <xf numFmtId="0" fontId="60" fillId="0" borderId="0" xfId="0" applyFont="1" applyAlignment="1">
      <alignment horizontal="right" wrapText="1"/>
    </xf>
    <xf numFmtId="0" fontId="60" fillId="0" borderId="12" xfId="0" applyFont="1" applyBorder="1"/>
    <xf numFmtId="3" fontId="60" fillId="0" borderId="0" xfId="0" applyNumberFormat="1" applyFont="1" applyBorder="1" applyAlignment="1">
      <alignment horizontal="right" vertical="top" wrapText="1"/>
    </xf>
    <xf numFmtId="0" fontId="60" fillId="0" borderId="0" xfId="0" applyFont="1" applyBorder="1" applyAlignment="1">
      <alignment horizontal="right" wrapText="1"/>
    </xf>
    <xf numFmtId="3" fontId="60" fillId="0" borderId="0" xfId="0" applyNumberFormat="1" applyFont="1" applyBorder="1" applyAlignment="1">
      <alignment horizontal="right" indent="1"/>
    </xf>
    <xf numFmtId="49" fontId="60" fillId="0" borderId="0" xfId="0" applyNumberFormat="1" applyFont="1" applyAlignment="1">
      <alignment horizontal="center"/>
    </xf>
    <xf numFmtId="0" fontId="60" fillId="0" borderId="0" xfId="0" applyFont="1" applyAlignment="1">
      <alignment horizontal="left" vertical="top" wrapText="1"/>
    </xf>
    <xf numFmtId="0" fontId="60" fillId="0" borderId="0" xfId="0" applyFont="1" applyAlignment="1">
      <alignment horizontal="center" wrapText="1"/>
    </xf>
    <xf numFmtId="9" fontId="60" fillId="0" borderId="0" xfId="0" applyNumberFormat="1" applyFont="1" applyAlignment="1">
      <alignment horizontal="center"/>
    </xf>
    <xf numFmtId="0" fontId="59" fillId="0" borderId="0" xfId="0" applyFont="1" applyAlignment="1">
      <alignment vertical="top" wrapText="1"/>
    </xf>
    <xf numFmtId="0" fontId="59" fillId="0" borderId="0" xfId="0" applyFont="1" applyAlignment="1">
      <alignment horizontal="center" vertical="top" wrapText="1"/>
    </xf>
    <xf numFmtId="0" fontId="23" fillId="0" borderId="0" xfId="0" applyFont="1" applyBorder="1" applyAlignment="1">
      <alignment vertical="top" wrapText="1"/>
    </xf>
    <xf numFmtId="0" fontId="23" fillId="0" borderId="0" xfId="0" applyFont="1" applyBorder="1" applyAlignment="1">
      <alignment horizontal="center" vertical="top" wrapText="1"/>
    </xf>
    <xf numFmtId="0" fontId="24" fillId="0" borderId="0" xfId="4" applyFont="1" applyFill="1" applyBorder="1" applyAlignment="1" applyProtection="1">
      <alignment wrapText="1"/>
    </xf>
    <xf numFmtId="0" fontId="23" fillId="0" borderId="0" xfId="0" applyFont="1" applyBorder="1" applyAlignment="1">
      <alignment horizontal="left"/>
    </xf>
    <xf numFmtId="0" fontId="57" fillId="0" borderId="0" xfId="0" applyFont="1" applyFill="1" applyBorder="1" applyAlignment="1">
      <alignment wrapText="1"/>
    </xf>
    <xf numFmtId="0" fontId="57" fillId="0" borderId="0" xfId="0" applyFont="1" applyAlignment="1">
      <alignment vertical="top" wrapText="1"/>
    </xf>
    <xf numFmtId="9" fontId="54" fillId="0" borderId="0" xfId="0" applyNumberFormat="1" applyFont="1" applyBorder="1" applyAlignment="1"/>
    <xf numFmtId="9" fontId="54" fillId="0" borderId="0" xfId="0" applyNumberFormat="1" applyFont="1" applyBorder="1" applyAlignment="1">
      <alignment horizontal="right"/>
    </xf>
    <xf numFmtId="0" fontId="54" fillId="0" borderId="0" xfId="0" applyFont="1" applyBorder="1" applyAlignment="1">
      <alignment horizontal="center"/>
    </xf>
    <xf numFmtId="0" fontId="55" fillId="0" borderId="0" xfId="0" applyFont="1" applyAlignment="1">
      <alignment horizontal="center" wrapText="1"/>
    </xf>
    <xf numFmtId="0" fontId="54" fillId="0" borderId="0" xfId="0" applyFont="1" applyFill="1" applyBorder="1" applyAlignment="1">
      <alignment horizontal="left" vertical="top" wrapText="1"/>
    </xf>
    <xf numFmtId="0" fontId="54" fillId="0" borderId="0" xfId="0" applyFont="1" applyAlignment="1">
      <alignment horizontal="left" vertical="top" wrapText="1"/>
    </xf>
    <xf numFmtId="0" fontId="54" fillId="0" borderId="0" xfId="0" applyFont="1" applyAlignment="1">
      <alignment horizontal="left"/>
    </xf>
    <xf numFmtId="0" fontId="61" fillId="0" borderId="0" xfId="0" applyFont="1"/>
    <xf numFmtId="0" fontId="61" fillId="0" borderId="0" xfId="0" applyFont="1" applyAlignment="1">
      <alignment horizontal="center"/>
    </xf>
    <xf numFmtId="0" fontId="60" fillId="0" borderId="0" xfId="0" applyFont="1" applyAlignment="1">
      <alignment horizontal="left" wrapText="1"/>
    </xf>
    <xf numFmtId="49" fontId="23" fillId="0" borderId="0" xfId="0" applyNumberFormat="1" applyFont="1" applyFill="1"/>
    <xf numFmtId="172" fontId="23" fillId="0" borderId="0" xfId="0" applyNumberFormat="1" applyFont="1" applyFill="1" applyBorder="1" applyAlignment="1" applyProtection="1">
      <alignment horizontal="center" vertical="center"/>
    </xf>
    <xf numFmtId="172" fontId="23" fillId="0" borderId="13" xfId="0" applyNumberFormat="1" applyFont="1" applyFill="1" applyBorder="1" applyAlignment="1" applyProtection="1">
      <alignment horizontal="centerContinuous" vertical="center"/>
    </xf>
    <xf numFmtId="172" fontId="23" fillId="0" borderId="14" xfId="0" applyNumberFormat="1" applyFont="1" applyFill="1" applyBorder="1" applyAlignment="1" applyProtection="1">
      <alignment horizontal="centerContinuous" vertical="center"/>
    </xf>
    <xf numFmtId="172" fontId="23" fillId="0" borderId="15" xfId="0" applyNumberFormat="1" applyFont="1" applyFill="1" applyBorder="1" applyAlignment="1" applyProtection="1">
      <alignment horizontal="centerContinuous" vertical="center"/>
    </xf>
    <xf numFmtId="172" fontId="23" fillId="0" borderId="0" xfId="0" applyNumberFormat="1" applyFont="1" applyFill="1"/>
    <xf numFmtId="172" fontId="23" fillId="0" borderId="16" xfId="0" applyNumberFormat="1" applyFont="1" applyFill="1" applyBorder="1" applyAlignment="1" applyProtection="1">
      <alignment horizontal="center" vertical="center"/>
    </xf>
    <xf numFmtId="172" fontId="23" fillId="0" borderId="17" xfId="0" applyNumberFormat="1" applyFont="1" applyFill="1" applyBorder="1" applyAlignment="1" applyProtection="1">
      <alignment horizontal="center" vertical="center"/>
    </xf>
    <xf numFmtId="172" fontId="23" fillId="0" borderId="18" xfId="0" applyNumberFormat="1" applyFont="1" applyFill="1" applyBorder="1" applyAlignment="1">
      <alignment horizontal="center" vertical="center"/>
    </xf>
    <xf numFmtId="49" fontId="25" fillId="6" borderId="19" xfId="0" applyNumberFormat="1" applyFont="1" applyFill="1" applyBorder="1" applyAlignment="1">
      <alignment horizontal="center"/>
    </xf>
    <xf numFmtId="172" fontId="25" fillId="6" borderId="20" xfId="0" applyNumberFormat="1" applyFont="1" applyFill="1" applyBorder="1" applyAlignment="1" applyProtection="1">
      <alignment horizontal="left" vertical="center"/>
    </xf>
    <xf numFmtId="172" fontId="25" fillId="6" borderId="21" xfId="0" applyNumberFormat="1" applyFont="1" applyFill="1" applyBorder="1" applyAlignment="1" applyProtection="1">
      <alignment horizontal="left" vertical="center"/>
    </xf>
    <xf numFmtId="0" fontId="23" fillId="0" borderId="22" xfId="0" applyNumberFormat="1" applyFont="1" applyBorder="1" applyAlignment="1">
      <alignment horizontal="center"/>
    </xf>
    <xf numFmtId="0" fontId="23" fillId="0" borderId="23" xfId="0" applyNumberFormat="1" applyFont="1" applyBorder="1"/>
    <xf numFmtId="174" fontId="23" fillId="0" borderId="0" xfId="0" applyNumberFormat="1" applyFont="1" applyFill="1" applyBorder="1" applyAlignment="1" applyProtection="1">
      <alignment vertical="center"/>
    </xf>
    <xf numFmtId="174" fontId="23" fillId="0" borderId="0" xfId="0" applyNumberFormat="1" applyFont="1" applyFill="1" applyBorder="1" applyAlignment="1" applyProtection="1">
      <alignment vertical="center"/>
      <protection locked="0"/>
    </xf>
    <xf numFmtId="174" fontId="23" fillId="0" borderId="24" xfId="0" applyNumberFormat="1" applyFont="1" applyFill="1" applyBorder="1" applyAlignment="1" applyProtection="1">
      <alignment vertical="center"/>
      <protection locked="0"/>
    </xf>
    <xf numFmtId="174" fontId="23" fillId="0" borderId="24" xfId="0" applyNumberFormat="1" applyFont="1" applyFill="1" applyBorder="1" applyAlignment="1" applyProtection="1">
      <alignment vertical="center"/>
    </xf>
    <xf numFmtId="0" fontId="23" fillId="0" borderId="25" xfId="0" applyNumberFormat="1" applyFont="1" applyBorder="1" applyAlignment="1">
      <alignment horizontal="center"/>
    </xf>
    <xf numFmtId="0" fontId="23" fillId="0" borderId="26" xfId="0" applyNumberFormat="1" applyFont="1" applyBorder="1"/>
    <xf numFmtId="0" fontId="61" fillId="0" borderId="0" xfId="0" applyFont="1" applyAlignment="1">
      <alignment wrapText="1"/>
    </xf>
    <xf numFmtId="0" fontId="61" fillId="0" borderId="0" xfId="0" applyFont="1" applyAlignment="1">
      <alignment horizontal="left" wrapText="1"/>
    </xf>
    <xf numFmtId="0" fontId="62" fillId="0" borderId="0" xfId="0" applyFont="1"/>
    <xf numFmtId="0" fontId="62" fillId="0" borderId="0" xfId="0" applyFont="1" applyAlignment="1">
      <alignment horizontal="right"/>
    </xf>
    <xf numFmtId="0" fontId="63" fillId="0" borderId="0" xfId="0" applyFont="1"/>
    <xf numFmtId="0" fontId="54" fillId="0" borderId="0" xfId="0" applyFont="1" applyFill="1" applyBorder="1"/>
    <xf numFmtId="0" fontId="57" fillId="0" borderId="0" xfId="0" applyFont="1" applyAlignment="1">
      <alignment horizontal="left" wrapText="1"/>
    </xf>
    <xf numFmtId="0" fontId="53" fillId="0" borderId="0" xfId="0" applyFont="1" applyAlignment="1">
      <alignment horizontal="center"/>
    </xf>
    <xf numFmtId="49" fontId="60" fillId="0" borderId="12" xfId="0" applyNumberFormat="1" applyFont="1" applyBorder="1" applyAlignment="1">
      <alignment horizontal="center"/>
    </xf>
    <xf numFmtId="0" fontId="23" fillId="0" borderId="12" xfId="9" applyFont="1" applyBorder="1"/>
    <xf numFmtId="0" fontId="64" fillId="0" borderId="0" xfId="4" applyFont="1" applyAlignment="1" applyProtection="1"/>
    <xf numFmtId="0" fontId="57" fillId="0" borderId="0" xfId="0" applyFont="1" applyAlignment="1">
      <alignment wrapText="1"/>
    </xf>
    <xf numFmtId="0" fontId="55" fillId="0" borderId="0" xfId="0" applyFont="1" applyFill="1" applyBorder="1" applyAlignment="1"/>
    <xf numFmtId="0" fontId="65" fillId="0" borderId="0" xfId="0" applyFont="1" applyBorder="1" applyAlignment="1"/>
    <xf numFmtId="0" fontId="54" fillId="0" borderId="0" xfId="0" applyFont="1" applyAlignment="1"/>
    <xf numFmtId="0" fontId="57" fillId="0" borderId="0" xfId="0" applyFont="1" applyAlignment="1">
      <alignment horizontal="left" vertical="top" wrapText="1"/>
    </xf>
    <xf numFmtId="0" fontId="54" fillId="0" borderId="0" xfId="0" applyFont="1" applyFill="1" applyBorder="1" applyAlignment="1">
      <alignment horizontal="right"/>
    </xf>
    <xf numFmtId="0" fontId="53" fillId="0" borderId="13" xfId="0" applyFont="1" applyBorder="1" applyAlignment="1">
      <alignment horizontal="center"/>
    </xf>
    <xf numFmtId="0" fontId="53" fillId="0" borderId="15" xfId="0" applyFont="1" applyBorder="1" applyAlignment="1">
      <alignment horizontal="center"/>
    </xf>
    <xf numFmtId="0" fontId="53" fillId="0" borderId="28" xfId="0" applyFont="1" applyBorder="1" applyAlignment="1">
      <alignment horizontal="center"/>
    </xf>
    <xf numFmtId="0" fontId="59" fillId="0" borderId="0" xfId="0" applyFont="1" applyBorder="1" applyAlignment="1">
      <alignment horizontal="center" wrapText="1"/>
    </xf>
    <xf numFmtId="0" fontId="60" fillId="0" borderId="0" xfId="0" applyFont="1" applyAlignment="1">
      <alignment horizontal="left" vertical="top" wrapText="1"/>
    </xf>
    <xf numFmtId="0" fontId="66" fillId="0" borderId="12" xfId="0" applyFont="1" applyBorder="1" applyAlignment="1">
      <alignment horizontal="left" wrapText="1"/>
    </xf>
    <xf numFmtId="0" fontId="67" fillId="0" borderId="0" xfId="9" applyFont="1" applyBorder="1" applyAlignment="1">
      <alignment horizontal="left"/>
    </xf>
    <xf numFmtId="0" fontId="67" fillId="0" borderId="0" xfId="14" applyFont="1"/>
    <xf numFmtId="0" fontId="68" fillId="0" borderId="0" xfId="14" applyFont="1"/>
    <xf numFmtId="164" fontId="69" fillId="0" borderId="0" xfId="14" applyNumberFormat="1" applyFont="1" applyFill="1" applyBorder="1" applyAlignment="1">
      <alignment horizontal="center" wrapText="1"/>
    </xf>
    <xf numFmtId="0" fontId="68" fillId="0" borderId="29" xfId="9" applyFont="1" applyBorder="1"/>
    <xf numFmtId="0" fontId="68" fillId="0" borderId="30" xfId="9" applyFont="1" applyBorder="1"/>
    <xf numFmtId="0" fontId="70" fillId="0" borderId="0" xfId="14" applyFont="1" applyFill="1" applyBorder="1" applyAlignment="1">
      <alignment wrapText="1"/>
    </xf>
    <xf numFmtId="0" fontId="68" fillId="0" borderId="31" xfId="9" applyFont="1" applyBorder="1"/>
    <xf numFmtId="0" fontId="68" fillId="0" borderId="0" xfId="14" applyFont="1" applyAlignment="1">
      <alignment horizontal="right" vertical="top"/>
    </xf>
    <xf numFmtId="0" fontId="69" fillId="0" borderId="0" xfId="16" applyFont="1"/>
    <xf numFmtId="0" fontId="59" fillId="0" borderId="0" xfId="0" applyFont="1" applyBorder="1" applyAlignment="1">
      <alignment wrapText="1"/>
    </xf>
    <xf numFmtId="0" fontId="66" fillId="0" borderId="0" xfId="0" applyFont="1" applyBorder="1" applyAlignment="1">
      <alignment horizontal="left" wrapText="1"/>
    </xf>
    <xf numFmtId="49" fontId="59" fillId="8" borderId="0" xfId="0" quotePrefix="1" applyNumberFormat="1" applyFont="1" applyFill="1" applyBorder="1" applyAlignment="1">
      <alignment horizontal="center"/>
    </xf>
    <xf numFmtId="0" fontId="59" fillId="8" borderId="14" xfId="0" applyFont="1" applyFill="1" applyBorder="1" applyAlignment="1">
      <alignment horizontal="left" vertical="top" wrapText="1"/>
    </xf>
    <xf numFmtId="3" fontId="59" fillId="8" borderId="0" xfId="0" applyNumberFormat="1" applyFont="1" applyFill="1" applyBorder="1" applyAlignment="1">
      <alignment horizontal="right" vertical="top" wrapText="1"/>
    </xf>
    <xf numFmtId="3" fontId="59" fillId="8" borderId="12" xfId="0" applyNumberFormat="1" applyFont="1" applyFill="1" applyBorder="1" applyAlignment="1">
      <alignment horizontal="right" indent="1"/>
    </xf>
    <xf numFmtId="3" fontId="59" fillId="8" borderId="12" xfId="0" applyNumberFormat="1" applyFont="1" applyFill="1" applyBorder="1" applyAlignment="1">
      <alignment horizontal="center"/>
    </xf>
    <xf numFmtId="0" fontId="59" fillId="0" borderId="28" xfId="0" applyFont="1" applyBorder="1" applyAlignment="1">
      <alignment horizontal="center" wrapText="1"/>
    </xf>
    <xf numFmtId="165" fontId="59" fillId="8" borderId="31" xfId="33" applyNumberFormat="1" applyFont="1" applyFill="1" applyBorder="1" applyAlignment="1">
      <alignment horizontal="center"/>
    </xf>
    <xf numFmtId="165" fontId="60" fillId="0" borderId="30" xfId="33" applyNumberFormat="1" applyFont="1" applyBorder="1" applyAlignment="1">
      <alignment horizontal="center"/>
    </xf>
    <xf numFmtId="165" fontId="60" fillId="0" borderId="30" xfId="0" applyNumberFormat="1" applyFont="1" applyBorder="1" applyAlignment="1">
      <alignment horizontal="center"/>
    </xf>
    <xf numFmtId="165" fontId="60" fillId="0" borderId="30" xfId="33" applyNumberFormat="1" applyFont="1" applyBorder="1" applyAlignment="1">
      <alignment horizontal="center" wrapText="1"/>
    </xf>
    <xf numFmtId="165" fontId="60" fillId="0" borderId="31" xfId="33" applyNumberFormat="1" applyFont="1" applyBorder="1" applyAlignment="1">
      <alignment horizontal="center" wrapText="1"/>
    </xf>
    <xf numFmtId="165" fontId="60" fillId="0" borderId="31" xfId="0" applyNumberFormat="1" applyFont="1" applyBorder="1" applyAlignment="1">
      <alignment horizontal="center"/>
    </xf>
    <xf numFmtId="165" fontId="60" fillId="0" borderId="31" xfId="33" applyNumberFormat="1" applyFont="1" applyBorder="1" applyAlignment="1">
      <alignment horizontal="center"/>
    </xf>
    <xf numFmtId="0" fontId="59" fillId="0" borderId="31" xfId="0" applyFont="1" applyBorder="1" applyAlignment="1">
      <alignment horizontal="center" wrapText="1"/>
    </xf>
    <xf numFmtId="3" fontId="59" fillId="8" borderId="31" xfId="0" applyNumberFormat="1" applyFont="1" applyFill="1" applyBorder="1" applyAlignment="1">
      <alignment horizontal="right" indent="1"/>
    </xf>
    <xf numFmtId="3" fontId="60" fillId="0" borderId="30" xfId="0" applyNumberFormat="1" applyFont="1" applyBorder="1" applyAlignment="1">
      <alignment horizontal="right" indent="1"/>
    </xf>
    <xf numFmtId="3" fontId="60" fillId="0" borderId="31" xfId="0" applyNumberFormat="1" applyFont="1" applyBorder="1" applyAlignment="1">
      <alignment horizontal="right" indent="1"/>
    </xf>
    <xf numFmtId="171" fontId="59" fillId="8" borderId="31" xfId="1" applyNumberFormat="1" applyFont="1" applyFill="1" applyBorder="1" applyAlignment="1">
      <alignment horizontal="right" vertical="top" wrapText="1"/>
    </xf>
    <xf numFmtId="3" fontId="59" fillId="8" borderId="31" xfId="0" applyNumberFormat="1" applyFont="1" applyFill="1" applyBorder="1" applyAlignment="1">
      <alignment horizontal="right" vertical="top" wrapText="1"/>
    </xf>
    <xf numFmtId="171" fontId="60" fillId="0" borderId="30" xfId="1" applyNumberFormat="1" applyFont="1" applyBorder="1" applyAlignment="1">
      <alignment horizontal="right" vertical="top" wrapText="1"/>
    </xf>
    <xf numFmtId="3" fontId="60" fillId="0" borderId="30" xfId="0" applyNumberFormat="1" applyFont="1" applyBorder="1" applyAlignment="1">
      <alignment horizontal="right" vertical="top" wrapText="1"/>
    </xf>
    <xf numFmtId="171" fontId="60" fillId="0" borderId="31" xfId="1" applyNumberFormat="1" applyFont="1" applyBorder="1" applyAlignment="1">
      <alignment horizontal="right" vertical="top" wrapText="1"/>
    </xf>
    <xf numFmtId="3" fontId="60" fillId="0" borderId="31" xfId="0" applyNumberFormat="1" applyFont="1" applyBorder="1" applyAlignment="1">
      <alignment horizontal="right" vertical="top" wrapText="1"/>
    </xf>
    <xf numFmtId="0" fontId="71" fillId="0" borderId="0" xfId="0" applyFont="1" applyAlignment="1">
      <alignment wrapText="1"/>
    </xf>
    <xf numFmtId="0" fontId="71" fillId="0" borderId="0" xfId="0" applyFont="1" applyAlignment="1">
      <alignment horizontal="center"/>
    </xf>
    <xf numFmtId="0" fontId="71" fillId="0" borderId="0" xfId="0" applyFont="1"/>
    <xf numFmtId="49" fontId="53" fillId="0" borderId="12" xfId="0" applyNumberFormat="1" applyFont="1" applyBorder="1" applyAlignment="1">
      <alignment horizontal="center"/>
    </xf>
    <xf numFmtId="0" fontId="53" fillId="0" borderId="12" xfId="0" applyFont="1" applyBorder="1" applyAlignment="1">
      <alignment horizontal="left" wrapText="1"/>
    </xf>
    <xf numFmtId="0" fontId="53" fillId="0" borderId="0" xfId="0" applyFont="1" applyBorder="1" applyAlignment="1">
      <alignment horizontal="left" wrapText="1"/>
    </xf>
    <xf numFmtId="49" fontId="53" fillId="8" borderId="14" xfId="0" quotePrefix="1" applyNumberFormat="1" applyFont="1" applyFill="1" applyBorder="1" applyAlignment="1">
      <alignment horizontal="center"/>
    </xf>
    <xf numFmtId="0" fontId="53" fillId="8" borderId="14" xfId="0" applyFont="1" applyFill="1" applyBorder="1" applyAlignment="1">
      <alignment horizontal="left" wrapText="1"/>
    </xf>
    <xf numFmtId="0" fontId="53" fillId="0" borderId="0" xfId="0" applyFont="1" applyFill="1" applyBorder="1" applyAlignment="1">
      <alignment horizontal="left" wrapText="1"/>
    </xf>
    <xf numFmtId="171" fontId="53" fillId="8" borderId="15" xfId="1" applyNumberFormat="1" applyFont="1" applyFill="1" applyBorder="1" applyAlignment="1"/>
    <xf numFmtId="171" fontId="53" fillId="8" borderId="28" xfId="1" applyNumberFormat="1" applyFont="1" applyFill="1" applyBorder="1" applyAlignment="1"/>
    <xf numFmtId="171" fontId="53" fillId="8" borderId="13" xfId="1" applyNumberFormat="1" applyFont="1" applyFill="1" applyBorder="1" applyAlignment="1"/>
    <xf numFmtId="164" fontId="53" fillId="8" borderId="15" xfId="33" applyNumberFormat="1" applyFont="1" applyFill="1" applyBorder="1" applyAlignment="1"/>
    <xf numFmtId="164" fontId="53" fillId="8" borderId="13" xfId="33" applyNumberFormat="1" applyFont="1" applyFill="1" applyBorder="1" applyAlignment="1"/>
    <xf numFmtId="171" fontId="53" fillId="0" borderId="0" xfId="1" applyNumberFormat="1" applyFont="1" applyFill="1" applyAlignment="1"/>
    <xf numFmtId="49" fontId="71" fillId="0" borderId="0" xfId="0" applyNumberFormat="1" applyFont="1" applyBorder="1" applyAlignment="1">
      <alignment horizontal="center"/>
    </xf>
    <xf numFmtId="0" fontId="68" fillId="0" borderId="0" xfId="9" applyFont="1" applyBorder="1"/>
    <xf numFmtId="0" fontId="71" fillId="0" borderId="0" xfId="0" applyFont="1" applyBorder="1"/>
    <xf numFmtId="171" fontId="71" fillId="0" borderId="33" xfId="1" applyNumberFormat="1" applyFont="1" applyBorder="1"/>
    <xf numFmtId="171" fontId="71" fillId="0" borderId="30" xfId="1" applyNumberFormat="1" applyFont="1" applyBorder="1"/>
    <xf numFmtId="171" fontId="71" fillId="0" borderId="34" xfId="1" applyNumberFormat="1" applyFont="1" applyBorder="1"/>
    <xf numFmtId="164" fontId="71" fillId="0" borderId="33" xfId="33" applyNumberFormat="1" applyFont="1" applyBorder="1"/>
    <xf numFmtId="164" fontId="71" fillId="0" borderId="34" xfId="33" applyNumberFormat="1" applyFont="1" applyBorder="1"/>
    <xf numFmtId="171" fontId="71" fillId="0" borderId="0" xfId="1" applyNumberFormat="1" applyFont="1"/>
    <xf numFmtId="164" fontId="71" fillId="0" borderId="0" xfId="33" applyNumberFormat="1" applyFont="1"/>
    <xf numFmtId="49" fontId="71" fillId="0" borderId="12" xfId="0" applyNumberFormat="1" applyFont="1" applyBorder="1" applyAlignment="1">
      <alignment horizontal="center"/>
    </xf>
    <xf numFmtId="0" fontId="68" fillId="0" borderId="12" xfId="9" applyFont="1" applyBorder="1"/>
    <xf numFmtId="0" fontId="71" fillId="0" borderId="12" xfId="0" applyFont="1" applyBorder="1"/>
    <xf numFmtId="171" fontId="71" fillId="0" borderId="35" xfId="1" applyNumberFormat="1" applyFont="1" applyBorder="1"/>
    <xf numFmtId="171" fontId="71" fillId="0" borderId="31" xfId="1" applyNumberFormat="1" applyFont="1" applyBorder="1"/>
    <xf numFmtId="171" fontId="71" fillId="0" borderId="36" xfId="1" applyNumberFormat="1" applyFont="1" applyBorder="1"/>
    <xf numFmtId="164" fontId="71" fillId="0" borderId="35" xfId="33" applyNumberFormat="1" applyFont="1" applyBorder="1"/>
    <xf numFmtId="164" fontId="71" fillId="0" borderId="36" xfId="33" applyNumberFormat="1" applyFont="1" applyBorder="1"/>
    <xf numFmtId="49" fontId="71" fillId="0" borderId="0" xfId="0" applyNumberFormat="1" applyFont="1" applyAlignment="1">
      <alignment horizontal="left"/>
    </xf>
    <xf numFmtId="0" fontId="71" fillId="0" borderId="0" xfId="0" applyFont="1" applyAlignment="1">
      <alignment horizontal="left" vertical="top" wrapText="1"/>
    </xf>
    <xf numFmtId="0" fontId="68" fillId="0" borderId="0" xfId="0" applyFont="1" applyBorder="1" applyAlignment="1">
      <alignment vertical="top" wrapText="1"/>
    </xf>
    <xf numFmtId="0" fontId="64" fillId="0" borderId="0" xfId="4" applyFont="1" applyFill="1" applyBorder="1" applyAlignment="1" applyProtection="1">
      <alignment wrapText="1"/>
    </xf>
    <xf numFmtId="0" fontId="67" fillId="0" borderId="0" xfId="19" applyFont="1" applyAlignment="1">
      <alignment vertical="top"/>
    </xf>
    <xf numFmtId="0" fontId="52" fillId="0" borderId="0" xfId="15" applyFont="1"/>
    <xf numFmtId="0" fontId="69" fillId="0" borderId="1" xfId="25" applyFont="1" applyFill="1" applyBorder="1" applyAlignment="1"/>
    <xf numFmtId="0" fontId="55" fillId="0" borderId="0" xfId="0" applyFont="1" applyBorder="1" applyAlignment="1">
      <alignment horizontal="center" wrapText="1"/>
    </xf>
    <xf numFmtId="0" fontId="55" fillId="0" borderId="0" xfId="0" applyFont="1" applyBorder="1" applyAlignment="1">
      <alignment wrapText="1"/>
    </xf>
    <xf numFmtId="0" fontId="69" fillId="0" borderId="1" xfId="32" applyFont="1" applyFill="1" applyBorder="1" applyAlignment="1"/>
    <xf numFmtId="0" fontId="55" fillId="0" borderId="0" xfId="0" applyFont="1" applyAlignment="1">
      <alignment wrapText="1"/>
    </xf>
    <xf numFmtId="0" fontId="72" fillId="9" borderId="0" xfId="0" applyFont="1" applyFill="1" applyAlignment="1">
      <alignment wrapText="1"/>
    </xf>
    <xf numFmtId="9" fontId="54" fillId="0" borderId="0" xfId="0" applyNumberFormat="1" applyFont="1" applyFill="1" applyBorder="1"/>
    <xf numFmtId="0" fontId="54" fillId="0" borderId="0" xfId="0" applyFont="1" applyFill="1" applyBorder="1" applyAlignment="1">
      <alignment horizontal="right" indent="1"/>
    </xf>
    <xf numFmtId="3" fontId="54" fillId="0" borderId="0" xfId="0" applyNumberFormat="1" applyFont="1" applyFill="1" applyBorder="1" applyAlignment="1">
      <alignment horizontal="right" indent="1"/>
    </xf>
    <xf numFmtId="0" fontId="73" fillId="0" borderId="0" xfId="0" applyFont="1"/>
    <xf numFmtId="3" fontId="73" fillId="0" borderId="0" xfId="0" applyNumberFormat="1" applyFont="1"/>
    <xf numFmtId="9" fontId="73" fillId="0" borderId="0" xfId="33" applyFont="1"/>
    <xf numFmtId="171" fontId="73" fillId="0" borderId="0" xfId="1" applyNumberFormat="1" applyFont="1"/>
    <xf numFmtId="0" fontId="55" fillId="0" borderId="0" xfId="0" applyFont="1" applyFill="1" applyBorder="1" applyAlignment="1">
      <alignment horizontal="center"/>
    </xf>
    <xf numFmtId="9" fontId="54" fillId="0" borderId="23" xfId="33" applyFont="1" applyBorder="1" applyAlignment="1">
      <alignment horizontal="right" indent="1"/>
    </xf>
    <xf numFmtId="0" fontId="57" fillId="0" borderId="0" xfId="0" applyFont="1" applyBorder="1" applyAlignment="1">
      <alignment vertical="top" wrapText="1"/>
    </xf>
    <xf numFmtId="0" fontId="57" fillId="0" borderId="0" xfId="0" applyFont="1" applyAlignment="1">
      <alignment vertical="top"/>
    </xf>
    <xf numFmtId="0" fontId="57" fillId="0" borderId="0" xfId="0" applyFont="1" applyFill="1" applyBorder="1" applyAlignment="1">
      <alignment vertical="top" wrapText="1"/>
    </xf>
    <xf numFmtId="3" fontId="54" fillId="0" borderId="102" xfId="0" applyNumberFormat="1" applyFont="1" applyFill="1" applyBorder="1" applyAlignment="1">
      <alignment horizontal="center"/>
    </xf>
    <xf numFmtId="3" fontId="54" fillId="0" borderId="103" xfId="0" applyNumberFormat="1" applyFont="1" applyFill="1" applyBorder="1" applyAlignment="1">
      <alignment horizontal="center"/>
    </xf>
    <xf numFmtId="0" fontId="23" fillId="0" borderId="0" xfId="0" applyNumberFormat="1" applyFont="1" applyBorder="1" applyAlignment="1">
      <alignment horizontal="center"/>
    </xf>
    <xf numFmtId="0" fontId="23" fillId="0" borderId="0" xfId="0" applyNumberFormat="1" applyFont="1" applyBorder="1"/>
    <xf numFmtId="3" fontId="23" fillId="0" borderId="0" xfId="0" applyNumberFormat="1" applyFont="1" applyFill="1" applyBorder="1" applyAlignment="1" applyProtection="1">
      <alignment vertical="center"/>
    </xf>
    <xf numFmtId="173" fontId="23" fillId="0" borderId="0" xfId="0" applyNumberFormat="1" applyFont="1" applyFill="1" applyBorder="1" applyAlignment="1" applyProtection="1">
      <alignment horizontal="center" vertical="center"/>
    </xf>
    <xf numFmtId="164" fontId="25" fillId="6" borderId="19" xfId="33" applyNumberFormat="1" applyFont="1" applyFill="1" applyBorder="1" applyAlignment="1" applyProtection="1">
      <alignment horizontal="center" vertical="center"/>
    </xf>
    <xf numFmtId="164" fontId="23" fillId="0" borderId="22" xfId="33" applyNumberFormat="1" applyFont="1" applyFill="1" applyBorder="1" applyAlignment="1" applyProtection="1">
      <alignment horizontal="center" vertical="center"/>
    </xf>
    <xf numFmtId="164" fontId="23" fillId="0" borderId="24" xfId="33" applyNumberFormat="1" applyFont="1" applyFill="1" applyBorder="1" applyAlignment="1" applyProtection="1">
      <alignment horizontal="center" vertical="center"/>
    </xf>
    <xf numFmtId="164" fontId="23" fillId="0" borderId="23" xfId="33" applyNumberFormat="1" applyFont="1" applyFill="1" applyBorder="1" applyAlignment="1" applyProtection="1">
      <alignment horizontal="center" vertical="center"/>
    </xf>
    <xf numFmtId="164" fontId="23" fillId="0" borderId="25" xfId="33" applyNumberFormat="1" applyFont="1" applyFill="1" applyBorder="1" applyAlignment="1" applyProtection="1">
      <alignment horizontal="center" vertical="center"/>
    </xf>
    <xf numFmtId="164" fontId="23" fillId="0" borderId="27" xfId="33" applyNumberFormat="1" applyFont="1" applyFill="1" applyBorder="1" applyAlignment="1" applyProtection="1">
      <alignment horizontal="center" vertical="center"/>
    </xf>
    <xf numFmtId="164" fontId="23" fillId="0" borderId="26" xfId="33" applyNumberFormat="1" applyFont="1" applyFill="1" applyBorder="1" applyAlignment="1" applyProtection="1">
      <alignment horizontal="center" vertical="center"/>
    </xf>
    <xf numFmtId="174" fontId="23" fillId="0" borderId="22" xfId="0" applyNumberFormat="1" applyFont="1" applyFill="1" applyBorder="1" applyAlignment="1" applyProtection="1">
      <alignment vertical="center"/>
      <protection locked="0"/>
    </xf>
    <xf numFmtId="3" fontId="23" fillId="0" borderId="23" xfId="0" applyNumberFormat="1" applyFont="1" applyFill="1" applyBorder="1" applyAlignment="1" applyProtection="1">
      <alignment vertical="center"/>
    </xf>
    <xf numFmtId="174" fontId="23" fillId="0" borderId="23" xfId="0" applyNumberFormat="1" applyFont="1" applyFill="1" applyBorder="1" applyAlignment="1" applyProtection="1">
      <alignment vertical="center"/>
    </xf>
    <xf numFmtId="172" fontId="23" fillId="0" borderId="18" xfId="0" applyNumberFormat="1" applyFont="1" applyFill="1" applyBorder="1" applyAlignment="1" applyProtection="1">
      <alignment horizontal="center" vertical="center"/>
    </xf>
    <xf numFmtId="0" fontId="54" fillId="0" borderId="0" xfId="0" applyFont="1" applyBorder="1" applyAlignment="1">
      <alignment vertical="top"/>
    </xf>
    <xf numFmtId="0" fontId="54" fillId="0" borderId="0" xfId="0" applyFont="1" applyBorder="1" applyAlignment="1">
      <alignment vertical="top" wrapText="1"/>
    </xf>
    <xf numFmtId="0" fontId="55" fillId="0" borderId="0" xfId="0" applyFont="1" applyBorder="1" applyAlignment="1">
      <alignment vertical="top"/>
    </xf>
    <xf numFmtId="171" fontId="71" fillId="0" borderId="0" xfId="1" applyNumberFormat="1" applyFont="1" applyBorder="1"/>
    <xf numFmtId="164" fontId="71" fillId="0" borderId="0" xfId="33" applyNumberFormat="1" applyFont="1" applyBorder="1"/>
    <xf numFmtId="49" fontId="53" fillId="0" borderId="0" xfId="0" applyNumberFormat="1" applyFont="1" applyBorder="1" applyAlignment="1">
      <alignment horizontal="center"/>
    </xf>
    <xf numFmtId="0" fontId="54" fillId="0" borderId="0" xfId="0" applyFont="1" applyFill="1" applyBorder="1" applyAlignment="1">
      <alignment horizontal="center"/>
    </xf>
    <xf numFmtId="164" fontId="54" fillId="0" borderId="0" xfId="33" applyNumberFormat="1" applyFont="1" applyFill="1" applyBorder="1" applyAlignment="1">
      <alignment horizontal="center"/>
    </xf>
    <xf numFmtId="164" fontId="54" fillId="0" borderId="0" xfId="0" applyNumberFormat="1" applyFont="1" applyFill="1" applyBorder="1" applyAlignment="1">
      <alignment horizontal="center"/>
    </xf>
    <xf numFmtId="0" fontId="52" fillId="0" borderId="0" xfId="0" applyFont="1" applyAlignment="1"/>
    <xf numFmtId="0" fontId="74" fillId="0" borderId="0" xfId="0" applyFont="1" applyBorder="1" applyAlignment="1">
      <alignment vertical="top" wrapText="1"/>
    </xf>
    <xf numFmtId="177" fontId="75" fillId="0" borderId="0" xfId="0" applyNumberFormat="1" applyFont="1" applyBorder="1" applyAlignment="1">
      <alignment vertical="center"/>
    </xf>
    <xf numFmtId="0" fontId="66" fillId="0" borderId="0" xfId="0" applyFont="1" applyBorder="1" applyAlignment="1">
      <alignment horizontal="left"/>
    </xf>
    <xf numFmtId="0" fontId="61" fillId="0" borderId="0" xfId="0" applyFont="1" applyAlignment="1">
      <alignment horizontal="left"/>
    </xf>
    <xf numFmtId="0" fontId="69" fillId="0" borderId="0" xfId="16" applyFont="1" applyBorder="1" applyAlignment="1">
      <alignment horizontal="center"/>
    </xf>
    <xf numFmtId="0" fontId="52" fillId="0" borderId="0" xfId="0" applyFont="1" applyBorder="1" applyAlignment="1">
      <alignment horizontal="center"/>
    </xf>
    <xf numFmtId="0" fontId="73" fillId="0" borderId="23" xfId="0" applyFont="1" applyBorder="1"/>
    <xf numFmtId="0" fontId="60" fillId="0" borderId="0" xfId="0" applyFont="1" applyAlignment="1">
      <alignment horizontal="left" vertical="top" wrapText="1"/>
    </xf>
    <xf numFmtId="0" fontId="66" fillId="0" borderId="0" xfId="0" applyFont="1" applyBorder="1" applyAlignment="1">
      <alignment horizontal="left" wrapText="1"/>
    </xf>
    <xf numFmtId="174" fontId="23" fillId="0" borderId="30" xfId="0" applyNumberFormat="1" applyFont="1" applyFill="1" applyBorder="1" applyAlignment="1" applyProtection="1">
      <alignment vertical="center"/>
      <protection locked="0"/>
    </xf>
    <xf numFmtId="165" fontId="60" fillId="0" borderId="30" xfId="33" applyNumberFormat="1" applyFont="1" applyBorder="1" applyAlignment="1">
      <alignment horizontal="center" wrapText="1"/>
    </xf>
    <xf numFmtId="165" fontId="60" fillId="0" borderId="30" xfId="0" applyNumberFormat="1" applyFont="1" applyBorder="1" applyAlignment="1">
      <alignment horizontal="center"/>
    </xf>
    <xf numFmtId="165" fontId="60" fillId="0" borderId="30" xfId="33" applyNumberFormat="1" applyFont="1" applyBorder="1" applyAlignment="1">
      <alignment horizontal="center"/>
    </xf>
    <xf numFmtId="3" fontId="54" fillId="0" borderId="22" xfId="0" applyNumberFormat="1" applyFont="1" applyFill="1" applyBorder="1" applyAlignment="1">
      <alignment horizontal="right" indent="1"/>
    </xf>
    <xf numFmtId="0" fontId="30" fillId="0" borderId="0" xfId="0" applyFont="1"/>
    <xf numFmtId="0" fontId="9" fillId="0" borderId="0" xfId="0" applyFont="1"/>
    <xf numFmtId="0" fontId="76" fillId="0" borderId="0" xfId="0" applyFont="1"/>
    <xf numFmtId="9" fontId="54" fillId="10" borderId="105" xfId="33" applyFont="1" applyFill="1" applyBorder="1" applyAlignment="1">
      <alignment horizontal="center"/>
    </xf>
    <xf numFmtId="0" fontId="54" fillId="12" borderId="23" xfId="0" applyFont="1" applyFill="1" applyBorder="1"/>
    <xf numFmtId="0" fontId="62" fillId="6" borderId="19" xfId="0" applyFont="1" applyFill="1" applyBorder="1" applyAlignment="1">
      <alignment horizontal="center"/>
    </xf>
    <xf numFmtId="0" fontId="62" fillId="6" borderId="21" xfId="0" applyFont="1" applyFill="1" applyBorder="1" applyAlignment="1">
      <alignment horizontal="center"/>
    </xf>
    <xf numFmtId="0" fontId="62" fillId="6" borderId="28" xfId="0" applyFont="1" applyFill="1" applyBorder="1" applyAlignment="1">
      <alignment horizontal="center"/>
    </xf>
    <xf numFmtId="0" fontId="62" fillId="13" borderId="40" xfId="0" applyFont="1" applyFill="1" applyBorder="1" applyAlignment="1"/>
    <xf numFmtId="171" fontId="55" fillId="13" borderId="16" xfId="1" applyNumberFormat="1" applyFont="1" applyFill="1" applyBorder="1" applyAlignment="1"/>
    <xf numFmtId="171" fontId="55" fillId="12" borderId="30" xfId="1" applyNumberFormat="1" applyFont="1" applyFill="1" applyBorder="1"/>
    <xf numFmtId="171" fontId="54" fillId="0" borderId="22" xfId="1" applyNumberFormat="1" applyFont="1" applyBorder="1" applyAlignment="1"/>
    <xf numFmtId="171" fontId="54" fillId="0" borderId="22" xfId="1" applyNumberFormat="1" applyFont="1" applyBorder="1"/>
    <xf numFmtId="0" fontId="54" fillId="14" borderId="0" xfId="0" quotePrefix="1" applyFont="1" applyFill="1" applyAlignment="1">
      <alignment horizontal="left"/>
    </xf>
    <xf numFmtId="0" fontId="54" fillId="14" borderId="0" xfId="0" quotePrefix="1" applyFont="1" applyFill="1" applyAlignment="1"/>
    <xf numFmtId="0" fontId="54" fillId="14" borderId="0" xfId="0" applyFont="1" applyFill="1" applyAlignment="1">
      <alignment horizontal="center"/>
    </xf>
    <xf numFmtId="0" fontId="54" fillId="0" borderId="108" xfId="0" applyFont="1" applyFill="1" applyBorder="1" applyAlignment="1">
      <alignment horizontal="right" indent="1"/>
    </xf>
    <xf numFmtId="0" fontId="62" fillId="6" borderId="15" xfId="0" applyFont="1" applyFill="1" applyBorder="1" applyAlignment="1">
      <alignment horizontal="center"/>
    </xf>
    <xf numFmtId="0" fontId="62" fillId="13" borderId="41" xfId="0" applyFont="1" applyFill="1" applyBorder="1" applyAlignment="1"/>
    <xf numFmtId="0" fontId="54" fillId="12" borderId="33" xfId="0" applyFont="1" applyFill="1" applyBorder="1"/>
    <xf numFmtId="9" fontId="54" fillId="0" borderId="33" xfId="33" applyFont="1" applyBorder="1" applyAlignment="1">
      <alignment horizontal="right" indent="1"/>
    </xf>
    <xf numFmtId="0" fontId="55" fillId="19" borderId="110" xfId="0" applyFont="1" applyFill="1" applyBorder="1" applyAlignment="1">
      <alignment horizontal="center"/>
    </xf>
    <xf numFmtId="0" fontId="55" fillId="19" borderId="111" xfId="0" applyFont="1" applyFill="1" applyBorder="1" applyAlignment="1">
      <alignment horizontal="center"/>
    </xf>
    <xf numFmtId="0" fontId="55" fillId="19" borderId="112" xfId="0" applyFont="1" applyFill="1" applyBorder="1" applyAlignment="1">
      <alignment horizontal="center"/>
    </xf>
    <xf numFmtId="9" fontId="57" fillId="0" borderId="27" xfId="33" applyFont="1" applyFill="1" applyBorder="1"/>
    <xf numFmtId="9" fontId="57" fillId="0" borderId="26" xfId="33" applyFont="1" applyFill="1" applyBorder="1"/>
    <xf numFmtId="0" fontId="70" fillId="0" borderId="0" xfId="16" applyFont="1"/>
    <xf numFmtId="0" fontId="52" fillId="0" borderId="19" xfId="0" applyFont="1" applyBorder="1"/>
    <xf numFmtId="0" fontId="52" fillId="0" borderId="20" xfId="0" applyFont="1" applyBorder="1"/>
    <xf numFmtId="0" fontId="52" fillId="0" borderId="42" xfId="0" applyFont="1" applyBorder="1"/>
    <xf numFmtId="0" fontId="52" fillId="0" borderId="21" xfId="0" applyFont="1" applyBorder="1"/>
    <xf numFmtId="0" fontId="69" fillId="6" borderId="0" xfId="16" quotePrefix="1" applyFont="1" applyFill="1"/>
    <xf numFmtId="0" fontId="69" fillId="6" borderId="43" xfId="16" applyFont="1" applyFill="1" applyBorder="1" applyAlignment="1">
      <alignment wrapText="1"/>
    </xf>
    <xf numFmtId="164" fontId="73" fillId="8" borderId="22" xfId="33" applyNumberFormat="1" applyFont="1" applyFill="1" applyBorder="1"/>
    <xf numFmtId="164" fontId="73" fillId="8" borderId="24" xfId="33" applyNumberFormat="1" applyFont="1" applyFill="1" applyBorder="1"/>
    <xf numFmtId="164" fontId="73" fillId="8" borderId="44" xfId="33" applyNumberFormat="1" applyFont="1" applyFill="1" applyBorder="1"/>
    <xf numFmtId="0" fontId="70" fillId="0" borderId="1" xfId="16" applyFont="1" applyFill="1" applyBorder="1" applyAlignment="1">
      <alignment wrapText="1"/>
    </xf>
    <xf numFmtId="0" fontId="70" fillId="0" borderId="11" xfId="16" applyFont="1" applyFill="1" applyBorder="1" applyAlignment="1">
      <alignment wrapText="1"/>
    </xf>
    <xf numFmtId="171" fontId="73" fillId="0" borderId="22" xfId="1" applyNumberFormat="1" applyFont="1" applyBorder="1"/>
    <xf numFmtId="171" fontId="73" fillId="0" borderId="24" xfId="1" applyNumberFormat="1" applyFont="1" applyBorder="1"/>
    <xf numFmtId="171" fontId="73" fillId="0" borderId="44" xfId="1" applyNumberFormat="1" applyFont="1" applyBorder="1"/>
    <xf numFmtId="164" fontId="73" fillId="0" borderId="22" xfId="33" applyNumberFormat="1" applyFont="1" applyBorder="1"/>
    <xf numFmtId="164" fontId="73" fillId="0" borderId="24" xfId="33" applyNumberFormat="1" applyFont="1" applyBorder="1"/>
    <xf numFmtId="164" fontId="73" fillId="0" borderId="44" xfId="33" applyNumberFormat="1" applyFont="1" applyBorder="1"/>
    <xf numFmtId="0" fontId="70" fillId="0" borderId="0" xfId="16" applyFont="1" applyFill="1" applyBorder="1" applyAlignment="1">
      <alignment wrapText="1"/>
    </xf>
    <xf numFmtId="0" fontId="69" fillId="0" borderId="0" xfId="16" applyFont="1" applyFill="1" applyBorder="1" applyAlignment="1">
      <alignment wrapText="1"/>
    </xf>
    <xf numFmtId="0" fontId="79" fillId="0" borderId="0" xfId="14" applyFont="1"/>
    <xf numFmtId="0" fontId="79" fillId="0" borderId="0" xfId="14" applyFont="1" applyAlignment="1">
      <alignment horizontal="right" vertical="top"/>
    </xf>
    <xf numFmtId="0" fontId="80" fillId="0" borderId="0" xfId="4" applyFont="1" applyAlignment="1" applyProtection="1"/>
    <xf numFmtId="0" fontId="69" fillId="0" borderId="4" xfId="14" applyFont="1" applyFill="1" applyBorder="1" applyAlignment="1">
      <alignment horizontal="right" wrapText="1" indent="1"/>
    </xf>
    <xf numFmtId="0" fontId="69" fillId="0" borderId="48" xfId="14" applyFont="1" applyFill="1" applyBorder="1" applyAlignment="1">
      <alignment horizontal="center" wrapText="1"/>
    </xf>
    <xf numFmtId="0" fontId="70" fillId="0" borderId="0" xfId="14" applyFont="1" applyFill="1" applyBorder="1" applyAlignment="1">
      <alignment horizontal="right" wrapText="1" indent="1"/>
    </xf>
    <xf numFmtId="0" fontId="79" fillId="0" borderId="29" xfId="9" applyFont="1" applyBorder="1"/>
    <xf numFmtId="0" fontId="79" fillId="0" borderId="30" xfId="9" applyFont="1" applyBorder="1"/>
    <xf numFmtId="0" fontId="79" fillId="0" borderId="30" xfId="9" applyFont="1" applyBorder="1" applyAlignment="1">
      <alignment wrapText="1"/>
    </xf>
    <xf numFmtId="0" fontId="70" fillId="0" borderId="12" xfId="14" applyFont="1" applyFill="1" applyBorder="1" applyAlignment="1">
      <alignment horizontal="right" wrapText="1" indent="1"/>
    </xf>
    <xf numFmtId="0" fontId="79" fillId="0" borderId="31" xfId="9" applyFont="1" applyBorder="1"/>
    <xf numFmtId="0" fontId="70" fillId="0" borderId="12" xfId="14" applyFont="1" applyFill="1" applyBorder="1" applyAlignment="1">
      <alignment wrapText="1"/>
    </xf>
    <xf numFmtId="0" fontId="79" fillId="0" borderId="0" xfId="9" applyFont="1" applyBorder="1"/>
    <xf numFmtId="164" fontId="70" fillId="0" borderId="0" xfId="14" applyNumberFormat="1" applyFont="1" applyFill="1" applyBorder="1" applyAlignment="1">
      <alignment horizontal="center" wrapText="1"/>
    </xf>
    <xf numFmtId="3" fontId="70" fillId="0" borderId="0" xfId="14" applyNumberFormat="1" applyFont="1" applyFill="1" applyBorder="1" applyAlignment="1">
      <alignment horizontal="right" wrapText="1"/>
    </xf>
    <xf numFmtId="3" fontId="69" fillId="0" borderId="0" xfId="14" applyNumberFormat="1" applyFont="1" applyFill="1" applyBorder="1" applyAlignment="1">
      <alignment horizontal="right" wrapText="1"/>
    </xf>
    <xf numFmtId="0" fontId="70" fillId="0" borderId="0" xfId="14" applyFont="1" applyFill="1" applyBorder="1" applyAlignment="1">
      <alignment horizontal="right" wrapText="1"/>
    </xf>
    <xf numFmtId="3" fontId="79" fillId="0" borderId="0" xfId="14" applyNumberFormat="1" applyFont="1"/>
    <xf numFmtId="0" fontId="69" fillId="0" borderId="0" xfId="11" applyFont="1" applyFill="1" applyBorder="1" applyAlignment="1">
      <alignment horizontal="center"/>
    </xf>
    <xf numFmtId="164" fontId="69" fillId="6" borderId="38" xfId="16" applyNumberFormat="1" applyFont="1" applyFill="1" applyBorder="1" applyAlignment="1">
      <alignment wrapText="1"/>
    </xf>
    <xf numFmtId="164" fontId="69" fillId="0" borderId="0" xfId="16" applyNumberFormat="1" applyFont="1" applyFill="1" applyBorder="1" applyAlignment="1">
      <alignment wrapText="1"/>
    </xf>
    <xf numFmtId="3" fontId="69" fillId="6" borderId="38" xfId="16" applyNumberFormat="1" applyFont="1" applyFill="1" applyBorder="1" applyAlignment="1">
      <alignment wrapText="1"/>
    </xf>
    <xf numFmtId="0" fontId="69" fillId="0" borderId="54" xfId="16" applyFont="1" applyFill="1" applyBorder="1" applyAlignment="1">
      <alignment horizontal="center"/>
    </xf>
    <xf numFmtId="0" fontId="69" fillId="0" borderId="54" xfId="11" applyFont="1" applyFill="1" applyBorder="1" applyAlignment="1">
      <alignment horizontal="center"/>
    </xf>
    <xf numFmtId="0" fontId="69" fillId="0" borderId="55" xfId="11" applyFont="1" applyFill="1" applyBorder="1" applyAlignment="1">
      <alignment horizontal="center"/>
    </xf>
    <xf numFmtId="175" fontId="69" fillId="0" borderId="54" xfId="1" applyNumberFormat="1" applyFont="1" applyFill="1" applyBorder="1" applyAlignment="1">
      <alignment horizontal="center"/>
    </xf>
    <xf numFmtId="175" fontId="69" fillId="0" borderId="55" xfId="1" applyNumberFormat="1" applyFont="1" applyFill="1" applyBorder="1" applyAlignment="1">
      <alignment horizontal="center"/>
    </xf>
    <xf numFmtId="164" fontId="69" fillId="6" borderId="56" xfId="16" applyNumberFormat="1" applyFont="1" applyFill="1" applyBorder="1" applyAlignment="1">
      <alignment wrapText="1"/>
    </xf>
    <xf numFmtId="164" fontId="69" fillId="6" borderId="57" xfId="16" applyNumberFormat="1" applyFont="1" applyFill="1" applyBorder="1" applyAlignment="1">
      <alignment wrapText="1"/>
    </xf>
    <xf numFmtId="3" fontId="69" fillId="6" borderId="56" xfId="16" applyNumberFormat="1" applyFont="1" applyFill="1" applyBorder="1" applyAlignment="1">
      <alignment wrapText="1"/>
    </xf>
    <xf numFmtId="3" fontId="69" fillId="6" borderId="57" xfId="16" applyNumberFormat="1" applyFont="1" applyFill="1" applyBorder="1"/>
    <xf numFmtId="164" fontId="70" fillId="0" borderId="56" xfId="16" applyNumberFormat="1" applyFont="1" applyFill="1" applyBorder="1" applyAlignment="1">
      <alignment wrapText="1"/>
    </xf>
    <xf numFmtId="164" fontId="70" fillId="0" borderId="57" xfId="16" applyNumberFormat="1" applyFont="1" applyFill="1" applyBorder="1" applyAlignment="1">
      <alignment wrapText="1"/>
    </xf>
    <xf numFmtId="164" fontId="70" fillId="0" borderId="32" xfId="16" applyNumberFormat="1" applyFont="1" applyFill="1" applyBorder="1" applyAlignment="1">
      <alignment wrapText="1"/>
    </xf>
    <xf numFmtId="3" fontId="70" fillId="0" borderId="56" xfId="16" applyNumberFormat="1" applyFont="1" applyFill="1" applyBorder="1" applyAlignment="1">
      <alignment wrapText="1"/>
    </xf>
    <xf numFmtId="3" fontId="70" fillId="0" borderId="58" xfId="0" applyNumberFormat="1" applyFont="1" applyFill="1" applyBorder="1" applyAlignment="1">
      <alignment horizontal="right" wrapText="1"/>
    </xf>
    <xf numFmtId="0" fontId="73" fillId="0" borderId="0" xfId="0" applyFont="1" applyBorder="1"/>
    <xf numFmtId="0" fontId="70" fillId="0" borderId="56" xfId="16" applyNumberFormat="1" applyFont="1" applyFill="1" applyBorder="1" applyAlignment="1">
      <alignment wrapText="1"/>
    </xf>
    <xf numFmtId="164" fontId="70" fillId="0" borderId="59" xfId="16" applyNumberFormat="1" applyFont="1" applyFill="1" applyBorder="1" applyAlignment="1">
      <alignment wrapText="1"/>
    </xf>
    <xf numFmtId="3" fontId="70" fillId="0" borderId="59" xfId="16" applyNumberFormat="1" applyFont="1" applyFill="1" applyBorder="1" applyAlignment="1">
      <alignment wrapText="1"/>
    </xf>
    <xf numFmtId="3" fontId="79" fillId="0" borderId="102" xfId="14" applyNumberFormat="1" applyFont="1" applyBorder="1"/>
    <xf numFmtId="3" fontId="79" fillId="0" borderId="103" xfId="14" applyNumberFormat="1" applyFont="1" applyBorder="1"/>
    <xf numFmtId="164" fontId="70" fillId="0" borderId="37" xfId="33" applyNumberFormat="1" applyFont="1" applyBorder="1"/>
    <xf numFmtId="164" fontId="70" fillId="0" borderId="38" xfId="33" applyNumberFormat="1" applyFont="1" applyBorder="1"/>
    <xf numFmtId="164" fontId="70" fillId="0" borderId="57" xfId="33" applyNumberFormat="1" applyFont="1" applyFill="1" applyBorder="1" applyAlignment="1">
      <alignment wrapText="1"/>
    </xf>
    <xf numFmtId="0" fontId="70" fillId="0" borderId="61" xfId="16" applyFont="1" applyFill="1" applyBorder="1" applyAlignment="1">
      <alignment wrapText="1"/>
    </xf>
    <xf numFmtId="0" fontId="70" fillId="0" borderId="62" xfId="16" applyFont="1" applyFill="1" applyBorder="1" applyAlignment="1">
      <alignment wrapText="1"/>
    </xf>
    <xf numFmtId="164" fontId="70" fillId="0" borderId="63" xfId="16" applyNumberFormat="1" applyFont="1" applyFill="1" applyBorder="1" applyAlignment="1">
      <alignment wrapText="1"/>
    </xf>
    <xf numFmtId="164" fontId="70" fillId="0" borderId="37" xfId="33" applyNumberFormat="1" applyFont="1" applyBorder="1"/>
    <xf numFmtId="0" fontId="69" fillId="0" borderId="40" xfId="16" applyFont="1" applyFill="1" applyBorder="1" applyAlignment="1">
      <alignment wrapText="1"/>
    </xf>
    <xf numFmtId="0" fontId="70" fillId="0" borderId="40" xfId="16" applyFont="1" applyFill="1" applyBorder="1" applyAlignment="1">
      <alignment wrapText="1"/>
    </xf>
    <xf numFmtId="164" fontId="70" fillId="0" borderId="40" xfId="16" applyNumberFormat="1" applyFont="1" applyFill="1" applyBorder="1" applyAlignment="1">
      <alignment wrapText="1"/>
    </xf>
    <xf numFmtId="3" fontId="70" fillId="0" borderId="40" xfId="16" applyNumberFormat="1" applyFont="1" applyFill="1" applyBorder="1" applyAlignment="1">
      <alignment wrapText="1"/>
    </xf>
    <xf numFmtId="3" fontId="70" fillId="0" borderId="40" xfId="0" applyNumberFormat="1" applyFont="1" applyFill="1" applyBorder="1" applyAlignment="1">
      <alignment horizontal="right" wrapText="1"/>
    </xf>
    <xf numFmtId="0" fontId="79" fillId="0" borderId="0" xfId="19" applyFont="1" applyAlignment="1">
      <alignment vertical="top"/>
    </xf>
    <xf numFmtId="0" fontId="79" fillId="0" borderId="0" xfId="19" applyFont="1" applyFill="1" applyAlignment="1">
      <alignment vertical="top"/>
    </xf>
    <xf numFmtId="0" fontId="79" fillId="0" borderId="0" xfId="19" applyFont="1" applyAlignment="1"/>
    <xf numFmtId="49" fontId="81" fillId="0" borderId="114" xfId="19" applyNumberFormat="1" applyFont="1" applyBorder="1" applyAlignment="1">
      <alignment wrapText="1"/>
    </xf>
    <xf numFmtId="0" fontId="67" fillId="0" borderId="0" xfId="19" applyFont="1" applyAlignment="1">
      <alignment horizontal="center"/>
    </xf>
    <xf numFmtId="170" fontId="82" fillId="0" borderId="0" xfId="19" applyNumberFormat="1" applyFont="1" applyAlignment="1">
      <alignment horizontal="left" vertical="top" wrapText="1"/>
    </xf>
    <xf numFmtId="0" fontId="79" fillId="0" borderId="0" xfId="14" applyFont="1" applyAlignment="1"/>
    <xf numFmtId="0" fontId="73" fillId="0" borderId="0" xfId="0" applyFont="1" applyAlignment="1">
      <alignment horizontal="left" vertical="top" wrapText="1"/>
    </xf>
    <xf numFmtId="0" fontId="69" fillId="0" borderId="2" xfId="16" applyFont="1" applyFill="1" applyBorder="1" applyAlignment="1">
      <alignment horizontal="left"/>
    </xf>
    <xf numFmtId="0" fontId="69" fillId="0" borderId="6" xfId="16" applyFont="1" applyFill="1" applyBorder="1" applyAlignment="1">
      <alignment horizontal="left"/>
    </xf>
    <xf numFmtId="0" fontId="79" fillId="0" borderId="0" xfId="0" applyFont="1" applyFill="1" applyBorder="1" applyAlignment="1">
      <alignment wrapText="1"/>
    </xf>
    <xf numFmtId="0" fontId="67" fillId="0" borderId="0" xfId="0" applyFont="1" applyBorder="1"/>
    <xf numFmtId="49" fontId="79" fillId="0" borderId="0" xfId="0" applyNumberFormat="1" applyFont="1" applyFill="1" applyBorder="1" applyAlignment="1">
      <alignment horizontal="left"/>
    </xf>
    <xf numFmtId="0" fontId="67" fillId="0" borderId="0" xfId="0" applyFont="1" applyFill="1" applyBorder="1" applyAlignment="1">
      <alignment wrapText="1"/>
    </xf>
    <xf numFmtId="0" fontId="73" fillId="0" borderId="0" xfId="0" applyFont="1" applyAlignment="1">
      <alignment horizontal="center"/>
    </xf>
    <xf numFmtId="0" fontId="67" fillId="0" borderId="0" xfId="0" applyFont="1" applyFill="1" applyBorder="1" applyAlignment="1">
      <alignment horizontal="center" wrapText="1"/>
    </xf>
    <xf numFmtId="0" fontId="79" fillId="0" borderId="0" xfId="0" applyFont="1" applyFill="1" applyBorder="1" applyAlignment="1">
      <alignment horizontal="center" wrapText="1"/>
    </xf>
    <xf numFmtId="49" fontId="67" fillId="0" borderId="0" xfId="0" applyNumberFormat="1" applyFont="1" applyBorder="1" applyAlignment="1">
      <alignment horizontal="center"/>
    </xf>
    <xf numFmtId="49" fontId="67" fillId="0" borderId="0" xfId="0" applyNumberFormat="1" applyFont="1" applyBorder="1"/>
    <xf numFmtId="49" fontId="67" fillId="0" borderId="0" xfId="0" applyNumberFormat="1" applyFont="1" applyBorder="1" applyAlignment="1">
      <alignment horizontal="center" wrapText="1"/>
    </xf>
    <xf numFmtId="49" fontId="73" fillId="0" borderId="0" xfId="0" applyNumberFormat="1" applyFont="1" applyBorder="1" applyAlignment="1">
      <alignment horizontal="center"/>
    </xf>
    <xf numFmtId="0" fontId="73" fillId="0" borderId="0" xfId="0" applyFont="1" applyBorder="1" applyAlignment="1">
      <alignment horizontal="center"/>
    </xf>
    <xf numFmtId="0" fontId="73" fillId="0" borderId="0" xfId="0" applyFont="1" applyFill="1" applyAlignment="1">
      <alignment horizontal="center"/>
    </xf>
    <xf numFmtId="0" fontId="73" fillId="0" borderId="0" xfId="0" applyFont="1" applyAlignment="1">
      <alignment horizontal="left"/>
    </xf>
    <xf numFmtId="0" fontId="69" fillId="0" borderId="12" xfId="14" applyFont="1" applyFill="1" applyBorder="1" applyAlignment="1">
      <alignment horizontal="left" wrapText="1"/>
    </xf>
    <xf numFmtId="49" fontId="79" fillId="0" borderId="0" xfId="0" applyNumberFormat="1" applyFont="1" applyFill="1" applyBorder="1" applyAlignment="1">
      <alignment horizontal="center"/>
    </xf>
    <xf numFmtId="49" fontId="82" fillId="0" borderId="0" xfId="0" applyNumberFormat="1" applyFont="1" applyFill="1" applyBorder="1" applyAlignment="1">
      <alignment wrapText="1"/>
    </xf>
    <xf numFmtId="49" fontId="79" fillId="0" borderId="0" xfId="0" quotePrefix="1" applyNumberFormat="1" applyFont="1" applyFill="1" applyBorder="1" applyAlignment="1">
      <alignment horizontal="center"/>
    </xf>
    <xf numFmtId="0" fontId="73" fillId="0" borderId="0" xfId="15" applyFont="1"/>
    <xf numFmtId="0" fontId="52" fillId="0" borderId="28" xfId="15" applyFont="1" applyBorder="1" applyAlignment="1">
      <alignment horizontal="center" wrapText="1"/>
    </xf>
    <xf numFmtId="0" fontId="73" fillId="0" borderId="0" xfId="15" applyFont="1" applyAlignment="1">
      <alignment horizontal="center" wrapText="1"/>
    </xf>
    <xf numFmtId="3" fontId="52" fillId="20" borderId="28" xfId="15" applyNumberFormat="1" applyFont="1" applyFill="1" applyBorder="1" applyAlignment="1">
      <alignment horizontal="right" vertical="top"/>
    </xf>
    <xf numFmtId="3" fontId="52" fillId="11" borderId="28" xfId="15" applyNumberFormat="1" applyFont="1" applyFill="1" applyBorder="1" applyAlignment="1">
      <alignment horizontal="right" vertical="top"/>
    </xf>
    <xf numFmtId="0" fontId="52" fillId="0" borderId="28" xfId="15" applyFont="1" applyBorder="1"/>
    <xf numFmtId="0" fontId="52" fillId="0" borderId="28" xfId="15" applyFont="1" applyBorder="1" applyAlignment="1">
      <alignment horizontal="left" wrapText="1"/>
    </xf>
    <xf numFmtId="0" fontId="73" fillId="0" borderId="29" xfId="15" applyFont="1" applyBorder="1"/>
    <xf numFmtId="0" fontId="73" fillId="0" borderId="30" xfId="15" applyFont="1" applyBorder="1"/>
    <xf numFmtId="0" fontId="73" fillId="0" borderId="31" xfId="15" applyFont="1" applyBorder="1"/>
    <xf numFmtId="0" fontId="73" fillId="0" borderId="29" xfId="15" applyFont="1" applyFill="1" applyBorder="1" applyAlignment="1">
      <alignment vertical="top"/>
    </xf>
    <xf numFmtId="0" fontId="73" fillId="0" borderId="30" xfId="15" applyFont="1" applyFill="1" applyBorder="1" applyAlignment="1">
      <alignment vertical="top"/>
    </xf>
    <xf numFmtId="0" fontId="73" fillId="0" borderId="31" xfId="15" applyFont="1" applyFill="1" applyBorder="1" applyAlignment="1">
      <alignment vertical="top"/>
    </xf>
    <xf numFmtId="3" fontId="73" fillId="0" borderId="29" xfId="15" applyNumberFormat="1" applyFont="1" applyFill="1" applyBorder="1" applyAlignment="1">
      <alignment horizontal="right" vertical="top"/>
    </xf>
    <xf numFmtId="171" fontId="73" fillId="0" borderId="29" xfId="1" applyNumberFormat="1" applyFont="1" applyFill="1" applyBorder="1"/>
    <xf numFmtId="3" fontId="73" fillId="0" borderId="30" xfId="15" applyNumberFormat="1" applyFont="1" applyFill="1" applyBorder="1" applyAlignment="1">
      <alignment horizontal="right" vertical="top"/>
    </xf>
    <xf numFmtId="171" fontId="73" fillId="0" borderId="30" xfId="1" applyNumberFormat="1" applyFont="1" applyFill="1" applyBorder="1"/>
    <xf numFmtId="3" fontId="73" fillId="0" borderId="31" xfId="15" applyNumberFormat="1" applyFont="1" applyFill="1" applyBorder="1" applyAlignment="1">
      <alignment horizontal="right" vertical="top"/>
    </xf>
    <xf numFmtId="3" fontId="52" fillId="0" borderId="28" xfId="15" applyNumberFormat="1" applyFont="1" applyFill="1" applyBorder="1" applyAlignment="1">
      <alignment horizontal="right" vertical="top"/>
    </xf>
    <xf numFmtId="0" fontId="73" fillId="0" borderId="29" xfId="15" applyFont="1" applyBorder="1" applyAlignment="1">
      <alignment horizontal="center"/>
    </xf>
    <xf numFmtId="3" fontId="73" fillId="0" borderId="29" xfId="15" applyNumberFormat="1" applyFont="1" applyBorder="1"/>
    <xf numFmtId="0" fontId="73" fillId="0" borderId="30" xfId="15" applyFont="1" applyBorder="1" applyAlignment="1">
      <alignment horizontal="center"/>
    </xf>
    <xf numFmtId="3" fontId="73" fillId="0" borderId="30" xfId="15" applyNumberFormat="1" applyFont="1" applyBorder="1"/>
    <xf numFmtId="0" fontId="73" fillId="0" borderId="31" xfId="15" applyFont="1" applyBorder="1" applyAlignment="1">
      <alignment horizontal="center"/>
    </xf>
    <xf numFmtId="3" fontId="73" fillId="0" borderId="31" xfId="15" applyNumberFormat="1" applyFont="1" applyBorder="1"/>
    <xf numFmtId="0" fontId="52" fillId="0" borderId="28" xfId="15" applyFont="1" applyBorder="1" applyAlignment="1">
      <alignment horizontal="center"/>
    </xf>
    <xf numFmtId="0" fontId="52" fillId="0" borderId="28" xfId="15" applyFont="1" applyFill="1" applyBorder="1" applyAlignment="1">
      <alignment horizontal="center" wrapText="1"/>
    </xf>
    <xf numFmtId="3" fontId="52" fillId="6" borderId="28" xfId="15" applyNumberFormat="1" applyFont="1" applyFill="1" applyBorder="1" applyAlignment="1">
      <alignment horizontal="right" vertical="top"/>
    </xf>
    <xf numFmtId="3" fontId="52" fillId="6" borderId="28" xfId="15" applyNumberFormat="1" applyFont="1" applyFill="1" applyBorder="1"/>
    <xf numFmtId="0" fontId="73" fillId="0" borderId="28" xfId="15" quotePrefix="1" applyFont="1" applyBorder="1" applyAlignment="1">
      <alignment horizontal="center"/>
    </xf>
    <xf numFmtId="0" fontId="73" fillId="0" borderId="0" xfId="15" applyFont="1" applyAlignment="1">
      <alignment horizontal="left" wrapText="1"/>
    </xf>
    <xf numFmtId="0" fontId="66" fillId="0" borderId="0" xfId="9" applyFont="1" applyBorder="1" applyAlignment="1">
      <alignment wrapText="1"/>
    </xf>
    <xf numFmtId="0" fontId="61" fillId="0" borderId="0" xfId="9" applyFont="1"/>
    <xf numFmtId="0" fontId="66" fillId="0" borderId="0" xfId="9" applyFont="1" applyBorder="1" applyAlignment="1">
      <alignment horizontal="left" wrapText="1"/>
    </xf>
    <xf numFmtId="0" fontId="66" fillId="0" borderId="12" xfId="9" applyFont="1" applyBorder="1" applyAlignment="1">
      <alignment horizontal="left" wrapText="1"/>
    </xf>
    <xf numFmtId="0" fontId="66" fillId="0" borderId="12" xfId="9" applyFont="1" applyBorder="1" applyAlignment="1">
      <alignment wrapText="1"/>
    </xf>
    <xf numFmtId="0" fontId="61" fillId="0" borderId="0" xfId="9" applyFont="1" applyAlignment="1">
      <alignment wrapText="1"/>
    </xf>
    <xf numFmtId="0" fontId="66" fillId="0" borderId="0" xfId="9" applyFont="1" applyBorder="1" applyAlignment="1">
      <alignment horizontal="center"/>
    </xf>
    <xf numFmtId="49" fontId="66" fillId="0" borderId="12" xfId="9" applyNumberFormat="1" applyFont="1" applyBorder="1" applyAlignment="1">
      <alignment horizontal="center"/>
    </xf>
    <xf numFmtId="0" fontId="66" fillId="0" borderId="12" xfId="9" applyFont="1" applyBorder="1" applyAlignment="1">
      <alignment horizontal="left" wrapText="1"/>
    </xf>
    <xf numFmtId="0" fontId="66" fillId="0" borderId="12" xfId="9" applyFont="1" applyBorder="1" applyAlignment="1">
      <alignment horizontal="center" wrapText="1"/>
    </xf>
    <xf numFmtId="49" fontId="66" fillId="6" borderId="0" xfId="9" quotePrefix="1" applyNumberFormat="1" applyFont="1" applyFill="1" applyAlignment="1">
      <alignment horizontal="center"/>
    </xf>
    <xf numFmtId="0" fontId="66" fillId="6" borderId="0" xfId="9" applyFont="1" applyFill="1" applyAlignment="1">
      <alignment horizontal="left" wrapText="1"/>
    </xf>
    <xf numFmtId="3" fontId="66" fillId="6" borderId="0" xfId="9" applyNumberFormat="1" applyFont="1" applyFill="1" applyAlignment="1">
      <alignment horizontal="right" indent="1"/>
    </xf>
    <xf numFmtId="3" fontId="66" fillId="6" borderId="0" xfId="9" applyNumberFormat="1" applyFont="1" applyFill="1" applyAlignment="1">
      <alignment horizontal="right" indent="2"/>
    </xf>
    <xf numFmtId="9" fontId="66" fillId="6" borderId="0" xfId="9" applyNumberFormat="1" applyFont="1" applyFill="1" applyAlignment="1">
      <alignment horizontal="right" wrapText="1" indent="1"/>
    </xf>
    <xf numFmtId="49" fontId="61" fillId="0" borderId="0" xfId="9" applyNumberFormat="1" applyFont="1" applyAlignment="1">
      <alignment horizontal="center"/>
    </xf>
    <xf numFmtId="0" fontId="61" fillId="0" borderId="0" xfId="9" applyFont="1" applyAlignment="1">
      <alignment horizontal="left" wrapText="1"/>
    </xf>
    <xf numFmtId="0" fontId="31" fillId="0" borderId="0" xfId="27" applyFont="1" applyFill="1" applyBorder="1" applyAlignment="1">
      <alignment wrapText="1"/>
    </xf>
    <xf numFmtId="3" fontId="61" fillId="0" borderId="0" xfId="9" applyNumberFormat="1" applyFont="1" applyAlignment="1">
      <alignment horizontal="right" indent="1"/>
    </xf>
    <xf numFmtId="3" fontId="61" fillId="0" borderId="0" xfId="9" applyNumberFormat="1" applyFont="1" applyAlignment="1">
      <alignment horizontal="right" indent="2"/>
    </xf>
    <xf numFmtId="9" fontId="61" fillId="0" borderId="0" xfId="9" applyNumberFormat="1" applyFont="1" applyAlignment="1">
      <alignment horizontal="right" wrapText="1" indent="1"/>
    </xf>
    <xf numFmtId="49" fontId="27" fillId="0" borderId="0" xfId="9" applyNumberFormat="1" applyFont="1" applyAlignment="1">
      <alignment horizontal="center"/>
    </xf>
    <xf numFmtId="165" fontId="31" fillId="0" borderId="0" xfId="14" applyNumberFormat="1" applyFont="1" applyFill="1" applyBorder="1" applyAlignment="1">
      <alignment horizontal="left" wrapText="1"/>
    </xf>
    <xf numFmtId="49" fontId="61" fillId="0" borderId="12" xfId="9" applyNumberFormat="1" applyFont="1" applyBorder="1" applyAlignment="1">
      <alignment horizontal="center"/>
    </xf>
    <xf numFmtId="0" fontId="61" fillId="0" borderId="12" xfId="9" applyFont="1" applyBorder="1" applyAlignment="1">
      <alignment horizontal="left" wrapText="1"/>
    </xf>
    <xf numFmtId="3" fontId="61" fillId="0" borderId="12" xfId="9" applyNumberFormat="1" applyFont="1" applyBorder="1" applyAlignment="1">
      <alignment horizontal="right" indent="2"/>
    </xf>
    <xf numFmtId="0" fontId="27" fillId="0" borderId="0" xfId="9" applyFont="1" applyAlignment="1">
      <alignment horizontal="right" vertical="top"/>
    </xf>
    <xf numFmtId="0" fontId="32" fillId="0" borderId="0" xfId="4" applyFont="1" applyAlignment="1" applyProtection="1"/>
    <xf numFmtId="0" fontId="27" fillId="0" borderId="0" xfId="9" applyFont="1" applyBorder="1"/>
    <xf numFmtId="0" fontId="66" fillId="0" borderId="0" xfId="9" applyFont="1" applyAlignment="1">
      <alignment horizontal="left" vertical="top" wrapText="1"/>
    </xf>
    <xf numFmtId="165" fontId="31" fillId="0" borderId="12" xfId="14" applyNumberFormat="1" applyFont="1" applyFill="1" applyBorder="1" applyAlignment="1">
      <alignment horizontal="left" wrapText="1"/>
    </xf>
    <xf numFmtId="0" fontId="52" fillId="0" borderId="28" xfId="15" applyFont="1" applyBorder="1" applyAlignment="1">
      <alignment horizontal="left" wrapText="1"/>
    </xf>
    <xf numFmtId="0" fontId="52" fillId="6" borderId="28" xfId="15" applyFont="1" applyFill="1" applyBorder="1" applyAlignment="1">
      <alignment horizontal="center" wrapText="1"/>
    </xf>
    <xf numFmtId="0" fontId="73" fillId="0" borderId="29" xfId="15" applyFont="1" applyFill="1" applyBorder="1" applyAlignment="1">
      <alignment vertical="top"/>
    </xf>
    <xf numFmtId="0" fontId="73" fillId="0" borderId="30" xfId="15" applyFont="1" applyFill="1" applyBorder="1" applyAlignment="1">
      <alignment vertical="top"/>
    </xf>
    <xf numFmtId="0" fontId="52" fillId="6" borderId="28" xfId="15" applyFont="1" applyFill="1" applyBorder="1" applyAlignment="1">
      <alignment horizontal="left" wrapText="1"/>
    </xf>
    <xf numFmtId="0" fontId="52" fillId="6" borderId="28" xfId="15" applyFont="1" applyFill="1" applyBorder="1" applyAlignment="1">
      <alignment horizontal="center"/>
    </xf>
    <xf numFmtId="49" fontId="82" fillId="0" borderId="0" xfId="19" applyNumberFormat="1" applyFont="1" applyFill="1" applyBorder="1" applyAlignment="1">
      <alignment vertical="top" wrapText="1"/>
    </xf>
    <xf numFmtId="49" fontId="82" fillId="0" borderId="115" xfId="19" applyNumberFormat="1" applyFont="1" applyFill="1" applyBorder="1" applyAlignment="1">
      <alignment vertical="top" wrapText="1"/>
    </xf>
    <xf numFmtId="3" fontId="79" fillId="0" borderId="0" xfId="19" applyNumberFormat="1" applyFont="1" applyBorder="1" applyAlignment="1">
      <alignment vertical="top"/>
    </xf>
    <xf numFmtId="0" fontId="79" fillId="0" borderId="0" xfId="19" applyFont="1" applyBorder="1" applyAlignment="1">
      <alignment vertical="top"/>
    </xf>
    <xf numFmtId="49" fontId="81" fillId="0" borderId="0" xfId="19" applyNumberFormat="1" applyFont="1" applyBorder="1" applyAlignment="1">
      <alignment wrapText="1"/>
    </xf>
    <xf numFmtId="0" fontId="79" fillId="0" borderId="0" xfId="19" applyFont="1" applyBorder="1" applyAlignment="1">
      <alignment horizontal="center" vertical="top"/>
    </xf>
    <xf numFmtId="0" fontId="79" fillId="0" borderId="0" xfId="14" applyFont="1" applyFill="1" applyBorder="1" applyAlignment="1">
      <alignment vertical="top" wrapText="1"/>
    </xf>
    <xf numFmtId="0" fontId="52" fillId="7" borderId="0" xfId="0" applyFont="1" applyFill="1" applyAlignment="1">
      <alignment horizontal="left"/>
    </xf>
    <xf numFmtId="0" fontId="52" fillId="7" borderId="0" xfId="0" applyFont="1" applyFill="1"/>
    <xf numFmtId="3" fontId="52" fillId="7" borderId="34" xfId="0" applyNumberFormat="1" applyFont="1" applyFill="1" applyBorder="1"/>
    <xf numFmtId="3" fontId="52" fillId="7" borderId="0" xfId="0" applyNumberFormat="1" applyFont="1" applyFill="1" applyBorder="1"/>
    <xf numFmtId="3" fontId="73" fillId="0" borderId="34" xfId="0" applyNumberFormat="1" applyFont="1" applyBorder="1"/>
    <xf numFmtId="3" fontId="73" fillId="0" borderId="0" xfId="0" applyNumberFormat="1" applyFont="1" applyBorder="1"/>
    <xf numFmtId="9" fontId="52" fillId="7" borderId="0" xfId="33" applyFont="1" applyFill="1" applyBorder="1"/>
    <xf numFmtId="9" fontId="73" fillId="0" borderId="34" xfId="33" applyFont="1" applyBorder="1"/>
    <xf numFmtId="9" fontId="73" fillId="0" borderId="0" xfId="33" applyFont="1" applyBorder="1"/>
    <xf numFmtId="9" fontId="73" fillId="0" borderId="33" xfId="33" applyFont="1" applyBorder="1"/>
    <xf numFmtId="0" fontId="70" fillId="0" borderId="40" xfId="16" applyFont="1" applyBorder="1"/>
    <xf numFmtId="0" fontId="70" fillId="0" borderId="0" xfId="14" applyFont="1" applyFill="1" applyBorder="1" applyAlignment="1">
      <alignment horizontal="left" wrapText="1"/>
    </xf>
    <xf numFmtId="0" fontId="52" fillId="6" borderId="28" xfId="15" applyFont="1" applyFill="1" applyBorder="1" applyAlignment="1">
      <alignment horizontal="left"/>
    </xf>
    <xf numFmtId="0" fontId="52" fillId="6" borderId="28" xfId="15" applyFont="1" applyFill="1" applyBorder="1" applyAlignment="1">
      <alignment horizontal="left" wrapText="1"/>
    </xf>
    <xf numFmtId="0" fontId="52" fillId="0" borderId="28" xfId="15" applyFont="1" applyFill="1" applyBorder="1" applyAlignment="1">
      <alignment vertical="top"/>
    </xf>
    <xf numFmtId="0" fontId="73" fillId="0" borderId="30" xfId="15" applyFont="1" applyBorder="1" applyAlignment="1">
      <alignment horizontal="center"/>
    </xf>
    <xf numFmtId="0" fontId="73" fillId="0" borderId="30" xfId="15" applyFont="1" applyFill="1" applyBorder="1" applyAlignment="1">
      <alignment vertical="top"/>
    </xf>
    <xf numFmtId="3" fontId="73" fillId="0" borderId="30" xfId="15" applyNumberFormat="1" applyFont="1" applyFill="1" applyBorder="1" applyAlignment="1">
      <alignment horizontal="right" vertical="top"/>
    </xf>
    <xf numFmtId="3" fontId="73" fillId="0" borderId="30" xfId="15" applyNumberFormat="1" applyFont="1" applyFill="1" applyBorder="1"/>
    <xf numFmtId="0" fontId="73" fillId="0" borderId="0" xfId="15" applyFont="1" applyBorder="1"/>
    <xf numFmtId="0" fontId="52" fillId="0" borderId="28" xfId="15" applyFont="1" applyBorder="1" applyAlignment="1">
      <alignment horizontal="center"/>
    </xf>
    <xf numFmtId="0" fontId="52" fillId="0" borderId="28" xfId="15" applyFont="1" applyFill="1" applyBorder="1" applyAlignment="1">
      <alignment vertical="top" wrapText="1"/>
    </xf>
    <xf numFmtId="3" fontId="52" fillId="0" borderId="28" xfId="15" applyNumberFormat="1" applyFont="1" applyFill="1" applyBorder="1" applyAlignment="1">
      <alignment vertical="top"/>
    </xf>
    <xf numFmtId="0" fontId="52" fillId="6" borderId="30" xfId="15" applyFont="1" applyFill="1" applyBorder="1" applyAlignment="1">
      <alignment horizontal="center"/>
    </xf>
    <xf numFmtId="0" fontId="52" fillId="6" borderId="30" xfId="15" applyFont="1" applyFill="1" applyBorder="1" applyAlignment="1">
      <alignment horizontal="left" wrapText="1"/>
    </xf>
    <xf numFmtId="171" fontId="52" fillId="6" borderId="30" xfId="1" applyNumberFormat="1" applyFont="1" applyFill="1" applyBorder="1" applyAlignment="1">
      <alignment horizontal="center" wrapText="1"/>
    </xf>
    <xf numFmtId="0" fontId="52" fillId="0" borderId="28" xfId="15" applyFont="1" applyFill="1" applyBorder="1" applyAlignment="1">
      <alignment horizontal="center" wrapText="1"/>
    </xf>
    <xf numFmtId="0" fontId="69" fillId="0" borderId="6" xfId="28" applyFont="1" applyFill="1" applyBorder="1" applyAlignment="1">
      <alignment horizontal="center"/>
    </xf>
    <xf numFmtId="0" fontId="69" fillId="0" borderId="65" xfId="28" applyFont="1" applyFill="1" applyBorder="1" applyAlignment="1">
      <alignment horizontal="left"/>
    </xf>
    <xf numFmtId="0" fontId="69" fillId="0" borderId="66" xfId="28" applyFont="1" applyFill="1" applyBorder="1" applyAlignment="1">
      <alignment horizontal="left"/>
    </xf>
    <xf numFmtId="0" fontId="69" fillId="0" borderId="46" xfId="28" applyFont="1" applyFill="1" applyBorder="1" applyAlignment="1">
      <alignment horizontal="center" wrapText="1"/>
    </xf>
    <xf numFmtId="0" fontId="69" fillId="0" borderId="47" xfId="28" applyFont="1" applyFill="1" applyBorder="1" applyAlignment="1">
      <alignment horizontal="center" wrapText="1"/>
    </xf>
    <xf numFmtId="0" fontId="69" fillId="0" borderId="48" xfId="28" applyFont="1" applyFill="1" applyBorder="1" applyAlignment="1">
      <alignment horizontal="center" wrapText="1"/>
    </xf>
    <xf numFmtId="0" fontId="70" fillId="0" borderId="0" xfId="16" applyFont="1" applyFill="1" applyBorder="1" applyAlignment="1">
      <alignment horizontal="center" vertical="center"/>
    </xf>
    <xf numFmtId="0" fontId="69" fillId="6" borderId="0" xfId="28" applyFont="1" applyFill="1" applyBorder="1" applyAlignment="1">
      <alignment horizontal="center"/>
    </xf>
    <xf numFmtId="0" fontId="69" fillId="6" borderId="0" xfId="28" applyFont="1" applyFill="1" applyBorder="1" applyAlignment="1">
      <alignment horizontal="left"/>
    </xf>
    <xf numFmtId="3" fontId="69" fillId="6" borderId="22" xfId="28" applyNumberFormat="1" applyFont="1" applyFill="1" applyBorder="1" applyAlignment="1">
      <alignment horizontal="center" wrapText="1"/>
    </xf>
    <xf numFmtId="0" fontId="70" fillId="0" borderId="1" xfId="28" applyFont="1" applyFill="1" applyBorder="1" applyAlignment="1">
      <alignment horizontal="center" wrapText="1"/>
    </xf>
    <xf numFmtId="0" fontId="70" fillId="0" borderId="11" xfId="28" applyFont="1" applyFill="1" applyBorder="1" applyAlignment="1">
      <alignment wrapText="1"/>
    </xf>
    <xf numFmtId="3" fontId="70" fillId="0" borderId="50" xfId="28" applyNumberFormat="1" applyFont="1" applyFill="1" applyBorder="1" applyAlignment="1">
      <alignment horizontal="right" wrapText="1"/>
    </xf>
    <xf numFmtId="3" fontId="70" fillId="0" borderId="52" xfId="28" applyNumberFormat="1" applyFont="1" applyFill="1" applyBorder="1" applyAlignment="1">
      <alignment horizontal="right" wrapText="1"/>
    </xf>
    <xf numFmtId="3" fontId="70" fillId="0" borderId="51" xfId="28" applyNumberFormat="1" applyFont="1" applyFill="1" applyBorder="1" applyAlignment="1">
      <alignment horizontal="right" wrapText="1"/>
    </xf>
    <xf numFmtId="3" fontId="70" fillId="0" borderId="0" xfId="16" applyNumberFormat="1" applyFont="1"/>
    <xf numFmtId="3" fontId="70" fillId="0" borderId="10" xfId="16" applyNumberFormat="1" applyFont="1" applyFill="1" applyBorder="1" applyAlignment="1">
      <alignment horizontal="right" vertical="center" wrapText="1"/>
    </xf>
    <xf numFmtId="3" fontId="70" fillId="0" borderId="1" xfId="16" applyNumberFormat="1" applyFont="1" applyFill="1" applyBorder="1" applyAlignment="1">
      <alignment horizontal="right" vertical="center" wrapText="1"/>
    </xf>
    <xf numFmtId="3" fontId="70" fillId="0" borderId="0" xfId="16" applyNumberFormat="1" applyFont="1" applyFill="1" applyAlignment="1">
      <alignment horizontal="right" vertical="center" wrapText="1"/>
    </xf>
    <xf numFmtId="3" fontId="70" fillId="0" borderId="1" xfId="16" applyNumberFormat="1" applyFont="1" applyBorder="1"/>
    <xf numFmtId="3" fontId="70" fillId="0" borderId="24" xfId="28" applyNumberFormat="1" applyFont="1" applyBorder="1"/>
    <xf numFmtId="3" fontId="70" fillId="0" borderId="49" xfId="28" applyNumberFormat="1" applyFont="1" applyFill="1" applyBorder="1" applyAlignment="1">
      <alignment horizontal="right" wrapText="1"/>
    </xf>
    <xf numFmtId="3" fontId="70" fillId="0" borderId="8" xfId="16" applyNumberFormat="1" applyFont="1" applyBorder="1"/>
    <xf numFmtId="3" fontId="70" fillId="0" borderId="22" xfId="28" applyNumberFormat="1" applyFont="1" applyBorder="1"/>
    <xf numFmtId="3" fontId="70" fillId="0" borderId="49" xfId="28" applyNumberFormat="1" applyFont="1" applyBorder="1"/>
    <xf numFmtId="3" fontId="70" fillId="0" borderId="0" xfId="16" applyNumberFormat="1" applyFont="1" applyFill="1" applyBorder="1" applyAlignment="1">
      <alignment horizontal="right" vertical="center" wrapText="1"/>
    </xf>
    <xf numFmtId="0" fontId="70" fillId="0" borderId="0" xfId="16" applyFont="1" applyAlignment="1"/>
    <xf numFmtId="0" fontId="0" fillId="0" borderId="0" xfId="0" applyFont="1"/>
    <xf numFmtId="0" fontId="69" fillId="7" borderId="0" xfId="14" applyFont="1" applyFill="1" applyBorder="1" applyAlignment="1">
      <alignment horizontal="left"/>
    </xf>
    <xf numFmtId="0" fontId="31" fillId="0" borderId="0" xfId="14" applyFont="1" applyFill="1" applyBorder="1" applyAlignment="1">
      <alignment horizontal="center" wrapText="1"/>
    </xf>
    <xf numFmtId="0" fontId="31" fillId="0" borderId="0" xfId="14" applyFont="1" applyFill="1" applyBorder="1" applyAlignment="1">
      <alignment wrapText="1"/>
    </xf>
    <xf numFmtId="165" fontId="31" fillId="0" borderId="0" xfId="14" applyNumberFormat="1" applyFont="1" applyFill="1" applyBorder="1" applyAlignment="1">
      <alignment horizontal="center" wrapText="1"/>
    </xf>
    <xf numFmtId="0" fontId="31" fillId="0" borderId="12" xfId="14" applyFont="1" applyFill="1" applyBorder="1" applyAlignment="1">
      <alignment horizontal="center" wrapText="1"/>
    </xf>
    <xf numFmtId="0" fontId="31" fillId="0" borderId="12" xfId="14" applyFont="1" applyFill="1" applyBorder="1" applyAlignment="1">
      <alignment wrapText="1"/>
    </xf>
    <xf numFmtId="165" fontId="31" fillId="0" borderId="12" xfId="14" applyNumberFormat="1" applyFont="1" applyFill="1" applyBorder="1" applyAlignment="1">
      <alignment horizontal="center" wrapText="1"/>
    </xf>
    <xf numFmtId="0" fontId="33" fillId="0" borderId="0" xfId="14" applyFont="1" applyBorder="1"/>
    <xf numFmtId="0" fontId="27" fillId="0" borderId="0" xfId="9" applyFont="1" applyAlignment="1">
      <alignment vertical="top" wrapText="1"/>
    </xf>
    <xf numFmtId="0" fontId="33" fillId="0" borderId="0" xfId="14" applyFont="1"/>
    <xf numFmtId="0" fontId="69" fillId="0" borderId="12" xfId="14" applyFont="1" applyFill="1" applyBorder="1" applyAlignment="1">
      <alignment horizontal="center"/>
    </xf>
    <xf numFmtId="0" fontId="69" fillId="0" borderId="12" xfId="14" applyFont="1" applyFill="1" applyBorder="1" applyAlignment="1">
      <alignment horizontal="center"/>
    </xf>
    <xf numFmtId="0" fontId="69" fillId="7" borderId="0" xfId="14" applyFont="1" applyFill="1" applyBorder="1" applyAlignment="1">
      <alignment horizontal="center"/>
    </xf>
    <xf numFmtId="0" fontId="70" fillId="0" borderId="0" xfId="14" applyFont="1" applyFill="1" applyBorder="1" applyAlignment="1">
      <alignment horizontal="center" wrapText="1"/>
    </xf>
    <xf numFmtId="0" fontId="70" fillId="0" borderId="12" xfId="14" applyFont="1" applyFill="1" applyBorder="1" applyAlignment="1">
      <alignment horizontal="center" wrapText="1"/>
    </xf>
    <xf numFmtId="0" fontId="69" fillId="0" borderId="36" xfId="14" applyFont="1" applyFill="1" applyBorder="1" applyAlignment="1">
      <alignment horizontal="center"/>
    </xf>
    <xf numFmtId="3" fontId="73" fillId="0" borderId="36" xfId="0" applyNumberFormat="1" applyFont="1" applyBorder="1"/>
    <xf numFmtId="37" fontId="73" fillId="0" borderId="34" xfId="1" applyNumberFormat="1" applyFont="1" applyBorder="1"/>
    <xf numFmtId="37" fontId="73" fillId="0" borderId="0" xfId="1" applyNumberFormat="1" applyFont="1" applyBorder="1"/>
    <xf numFmtId="37" fontId="52" fillId="7" borderId="34" xfId="1" applyNumberFormat="1" applyFont="1" applyFill="1" applyBorder="1"/>
    <xf numFmtId="37" fontId="52" fillId="7" borderId="0" xfId="1" applyNumberFormat="1" applyFont="1" applyFill="1" applyBorder="1"/>
    <xf numFmtId="0" fontId="0" fillId="0" borderId="0" xfId="0" applyFont="1" applyAlignment="1">
      <alignment horizontal="left"/>
    </xf>
    <xf numFmtId="0" fontId="69" fillId="0" borderId="12" xfId="14" applyFont="1" applyFill="1" applyBorder="1" applyAlignment="1">
      <alignment horizontal="left"/>
    </xf>
    <xf numFmtId="165" fontId="70" fillId="0" borderId="0" xfId="14" applyNumberFormat="1" applyFont="1" applyFill="1" applyBorder="1" applyAlignment="1">
      <alignment horizontal="left" wrapText="1"/>
    </xf>
    <xf numFmtId="165" fontId="70" fillId="0" borderId="12" xfId="14" applyNumberFormat="1" applyFont="1" applyFill="1" applyBorder="1" applyAlignment="1">
      <alignment horizontal="left" wrapText="1"/>
    </xf>
    <xf numFmtId="0" fontId="33" fillId="0" borderId="0" xfId="14" applyFont="1" applyBorder="1" applyAlignment="1">
      <alignment horizontal="left"/>
    </xf>
    <xf numFmtId="0" fontId="27" fillId="0" borderId="0" xfId="9" applyFont="1" applyBorder="1" applyAlignment="1">
      <alignment horizontal="left"/>
    </xf>
    <xf numFmtId="0" fontId="33" fillId="0" borderId="0" xfId="14" applyFont="1" applyAlignment="1">
      <alignment horizontal="left"/>
    </xf>
    <xf numFmtId="7" fontId="73" fillId="0" borderId="0" xfId="0" applyNumberFormat="1" applyFont="1"/>
    <xf numFmtId="0" fontId="69" fillId="6" borderId="10" xfId="24" applyFont="1" applyFill="1" applyBorder="1" applyAlignment="1">
      <alignment horizontal="center" vertical="center" wrapText="1"/>
    </xf>
    <xf numFmtId="0" fontId="69" fillId="6" borderId="67" xfId="24" applyFont="1" applyFill="1" applyBorder="1" applyAlignment="1">
      <alignment wrapText="1"/>
    </xf>
    <xf numFmtId="0" fontId="70" fillId="0" borderId="0" xfId="24" applyFont="1"/>
    <xf numFmtId="0" fontId="70" fillId="0" borderId="1" xfId="24" applyFont="1" applyFill="1" applyBorder="1" applyAlignment="1">
      <alignment wrapText="1"/>
    </xf>
    <xf numFmtId="166" fontId="70" fillId="0" borderId="1" xfId="24" applyNumberFormat="1" applyFont="1" applyFill="1" applyBorder="1" applyAlignment="1">
      <alignment horizontal="right" wrapText="1"/>
    </xf>
    <xf numFmtId="0" fontId="70" fillId="0" borderId="0" xfId="16" applyFont="1" applyAlignment="1">
      <alignment horizontal="left"/>
    </xf>
    <xf numFmtId="0" fontId="69" fillId="0" borderId="2" xfId="24" applyFont="1" applyFill="1" applyBorder="1" applyAlignment="1">
      <alignment horizontal="center"/>
    </xf>
    <xf numFmtId="0" fontId="69" fillId="0" borderId="2" xfId="24" applyFont="1" applyFill="1" applyBorder="1" applyAlignment="1">
      <alignment horizontal="left"/>
    </xf>
    <xf numFmtId="0" fontId="69" fillId="6" borderId="1" xfId="26" quotePrefix="1" applyFont="1" applyFill="1" applyBorder="1" applyAlignment="1">
      <alignment horizontal="center" wrapText="1"/>
    </xf>
    <xf numFmtId="0" fontId="70" fillId="0" borderId="1" xfId="26" applyFont="1" applyFill="1" applyBorder="1" applyAlignment="1">
      <alignment horizontal="center" wrapText="1"/>
    </xf>
    <xf numFmtId="0" fontId="69" fillId="0" borderId="72" xfId="29" applyFont="1" applyFill="1" applyBorder="1" applyAlignment="1">
      <alignment horizontal="center" wrapText="1"/>
    </xf>
    <xf numFmtId="167" fontId="73" fillId="0" borderId="0" xfId="0" applyNumberFormat="1" applyFont="1"/>
    <xf numFmtId="0" fontId="73" fillId="0" borderId="0" xfId="0" applyFont="1" applyFill="1" applyAlignment="1">
      <alignment wrapText="1"/>
    </xf>
    <xf numFmtId="0" fontId="69" fillId="6" borderId="11" xfId="29" applyFont="1" applyFill="1" applyBorder="1" applyAlignment="1">
      <alignment wrapText="1"/>
    </xf>
    <xf numFmtId="0" fontId="70" fillId="0" borderId="11" xfId="29" applyFont="1" applyFill="1" applyBorder="1" applyAlignment="1">
      <alignment wrapText="1"/>
    </xf>
    <xf numFmtId="0" fontId="69" fillId="0" borderId="2" xfId="26" applyFont="1" applyFill="1" applyBorder="1" applyAlignment="1">
      <alignment horizontal="center" wrapText="1"/>
    </xf>
    <xf numFmtId="0" fontId="69" fillId="0" borderId="6" xfId="29" applyFont="1" applyFill="1" applyBorder="1" applyAlignment="1">
      <alignment horizontal="left" wrapText="1"/>
    </xf>
    <xf numFmtId="0" fontId="69" fillId="0" borderId="71" xfId="29" applyFont="1" applyFill="1" applyBorder="1" applyAlignment="1">
      <alignment horizontal="center" wrapText="1"/>
    </xf>
    <xf numFmtId="0" fontId="69" fillId="0" borderId="54" xfId="29" applyFont="1" applyFill="1" applyBorder="1" applyAlignment="1">
      <alignment horizontal="center" wrapText="1"/>
    </xf>
    <xf numFmtId="0" fontId="69" fillId="0" borderId="73" xfId="29" applyFont="1" applyFill="1" applyBorder="1" applyAlignment="1">
      <alignment horizontal="center" wrapText="1"/>
    </xf>
    <xf numFmtId="0" fontId="66" fillId="0" borderId="0" xfId="0" applyFont="1"/>
    <xf numFmtId="0" fontId="0" fillId="0" borderId="0" xfId="0" applyFont="1"/>
    <xf numFmtId="49" fontId="66" fillId="0" borderId="12" xfId="0" applyNumberFormat="1" applyFont="1" applyBorder="1" applyAlignment="1">
      <alignment horizontal="center"/>
    </xf>
    <xf numFmtId="0" fontId="52" fillId="0" borderId="19" xfId="0" applyFont="1" applyBorder="1" applyAlignment="1">
      <alignment wrapText="1"/>
    </xf>
    <xf numFmtId="0" fontId="52" fillId="0" borderId="20" xfId="0" applyFont="1" applyBorder="1" applyAlignment="1">
      <alignment wrapText="1"/>
    </xf>
    <xf numFmtId="0" fontId="52" fillId="0" borderId="21" xfId="0" applyFont="1" applyBorder="1" applyAlignment="1">
      <alignment wrapText="1"/>
    </xf>
    <xf numFmtId="0" fontId="52" fillId="0" borderId="19" xfId="0" applyFont="1" applyBorder="1" applyAlignment="1">
      <alignment horizontal="center" wrapText="1"/>
    </xf>
    <xf numFmtId="0" fontId="52" fillId="0" borderId="74" xfId="0" applyFont="1" applyBorder="1" applyAlignment="1">
      <alignment horizontal="center" wrapText="1"/>
    </xf>
    <xf numFmtId="0" fontId="52" fillId="0" borderId="20" xfId="0" applyFont="1" applyBorder="1" applyAlignment="1">
      <alignment horizontal="center" wrapText="1"/>
    </xf>
    <xf numFmtId="0" fontId="52" fillId="0" borderId="21" xfId="0" applyFont="1" applyBorder="1" applyAlignment="1">
      <alignment horizontal="center"/>
    </xf>
    <xf numFmtId="49" fontId="61" fillId="0" borderId="0" xfId="0" applyNumberFormat="1" applyFont="1" applyBorder="1" applyAlignment="1">
      <alignment horizontal="center"/>
    </xf>
    <xf numFmtId="0" fontId="61" fillId="0" borderId="0" xfId="0" applyFont="1" applyBorder="1"/>
    <xf numFmtId="49" fontId="61" fillId="0" borderId="12" xfId="0" applyNumberFormat="1" applyFont="1" applyBorder="1" applyAlignment="1">
      <alignment horizontal="center"/>
    </xf>
    <xf numFmtId="0" fontId="27" fillId="0" borderId="12" xfId="9" applyFont="1" applyBorder="1"/>
    <xf numFmtId="0" fontId="61" fillId="0" borderId="12" xfId="0" applyFont="1" applyBorder="1"/>
    <xf numFmtId="0" fontId="61" fillId="0" borderId="0" xfId="0" applyFont="1" applyAlignment="1">
      <alignment horizontal="left" vertical="top" wrapText="1"/>
    </xf>
    <xf numFmtId="0" fontId="27" fillId="0" borderId="0" xfId="0" applyFont="1" applyBorder="1" applyAlignment="1">
      <alignment vertical="top" wrapText="1"/>
    </xf>
    <xf numFmtId="0" fontId="32" fillId="0" borderId="0" xfId="4" applyFont="1" applyFill="1" applyBorder="1" applyAlignment="1" applyProtection="1">
      <alignment wrapText="1"/>
    </xf>
    <xf numFmtId="0" fontId="73" fillId="0" borderId="0" xfId="0" applyFont="1" applyAlignment="1">
      <alignment wrapText="1"/>
    </xf>
    <xf numFmtId="49" fontId="52" fillId="0" borderId="12" xfId="0" applyNumberFormat="1" applyFont="1" applyBorder="1" applyAlignment="1">
      <alignment horizontal="center"/>
    </xf>
    <xf numFmtId="0" fontId="52" fillId="0" borderId="12" xfId="0" applyFont="1" applyBorder="1" applyAlignment="1">
      <alignment horizontal="left" wrapText="1"/>
    </xf>
    <xf numFmtId="49" fontId="52" fillId="8" borderId="14" xfId="0" quotePrefix="1" applyNumberFormat="1" applyFont="1" applyFill="1" applyBorder="1" applyAlignment="1">
      <alignment horizontal="center"/>
    </xf>
    <xf numFmtId="0" fontId="52" fillId="8" borderId="14" xfId="0" applyFont="1" applyFill="1" applyBorder="1" applyAlignment="1">
      <alignment horizontal="left" wrapText="1"/>
    </xf>
    <xf numFmtId="0" fontId="73" fillId="0" borderId="22" xfId="0" applyFont="1" applyBorder="1"/>
    <xf numFmtId="0" fontId="73" fillId="0" borderId="24" xfId="0" applyFont="1" applyBorder="1"/>
    <xf numFmtId="0" fontId="73" fillId="0" borderId="30" xfId="0" applyFont="1" applyBorder="1" applyAlignment="1">
      <alignment horizontal="right"/>
    </xf>
    <xf numFmtId="9" fontId="73" fillId="0" borderId="22" xfId="33" applyFont="1" applyBorder="1" applyAlignment="1">
      <alignment horizontal="center"/>
    </xf>
    <xf numFmtId="9" fontId="73" fillId="0" borderId="49" xfId="33" applyFont="1" applyBorder="1" applyAlignment="1">
      <alignment horizontal="center"/>
    </xf>
    <xf numFmtId="9" fontId="73" fillId="0" borderId="24" xfId="33" applyFont="1" applyBorder="1" applyAlignment="1">
      <alignment horizontal="center"/>
    </xf>
    <xf numFmtId="9" fontId="73" fillId="0" borderId="23" xfId="33" applyFont="1" applyBorder="1" applyAlignment="1">
      <alignment horizontal="center"/>
    </xf>
    <xf numFmtId="0" fontId="73" fillId="0" borderId="30" xfId="1" applyNumberFormat="1" applyFont="1" applyBorder="1" applyAlignment="1">
      <alignment horizontal="right"/>
    </xf>
    <xf numFmtId="49" fontId="73" fillId="0" borderId="12" xfId="0" applyNumberFormat="1" applyFont="1" applyBorder="1" applyAlignment="1">
      <alignment horizontal="center"/>
    </xf>
    <xf numFmtId="0" fontId="79" fillId="0" borderId="12" xfId="9" applyFont="1" applyBorder="1"/>
    <xf numFmtId="0" fontId="73" fillId="0" borderId="12" xfId="0" applyFont="1" applyBorder="1"/>
    <xf numFmtId="0" fontId="73" fillId="0" borderId="0" xfId="0" applyFont="1" applyAlignment="1">
      <alignment horizontal="left" vertical="top"/>
    </xf>
    <xf numFmtId="0" fontId="73" fillId="0" borderId="0" xfId="0" applyFont="1" applyAlignment="1">
      <alignment vertical="top"/>
    </xf>
    <xf numFmtId="0" fontId="79" fillId="0" borderId="0" xfId="0" applyFont="1" applyBorder="1" applyAlignment="1">
      <alignment vertical="top" wrapText="1"/>
    </xf>
    <xf numFmtId="0" fontId="80" fillId="0" borderId="0" xfId="4" applyFont="1" applyFill="1" applyBorder="1" applyAlignment="1" applyProtection="1">
      <alignment wrapText="1"/>
    </xf>
    <xf numFmtId="9" fontId="52" fillId="6" borderId="22" xfId="33" applyFont="1" applyFill="1" applyBorder="1" applyAlignment="1">
      <alignment horizontal="center"/>
    </xf>
    <xf numFmtId="9" fontId="52" fillId="6" borderId="23" xfId="33" applyFont="1" applyFill="1" applyBorder="1" applyAlignment="1">
      <alignment horizontal="center"/>
    </xf>
    <xf numFmtId="3" fontId="52" fillId="6" borderId="19" xfId="0" applyNumberFormat="1" applyFont="1" applyFill="1" applyBorder="1"/>
    <xf numFmtId="3" fontId="52" fillId="6" borderId="20" xfId="0" applyNumberFormat="1" applyFont="1" applyFill="1" applyBorder="1"/>
    <xf numFmtId="3" fontId="52" fillId="6" borderId="21" xfId="0" applyNumberFormat="1" applyFont="1" applyFill="1" applyBorder="1"/>
    <xf numFmtId="0" fontId="52" fillId="6" borderId="19" xfId="0" applyFont="1" applyFill="1" applyBorder="1"/>
    <xf numFmtId="0" fontId="52" fillId="6" borderId="20" xfId="0" applyFont="1" applyFill="1" applyBorder="1"/>
    <xf numFmtId="0" fontId="52" fillId="6" borderId="21" xfId="0" applyFont="1" applyFill="1" applyBorder="1"/>
    <xf numFmtId="171" fontId="52" fillId="6" borderId="28" xfId="1" applyNumberFormat="1" applyFont="1" applyFill="1" applyBorder="1"/>
    <xf numFmtId="176" fontId="73" fillId="0" borderId="0" xfId="3" applyNumberFormat="1" applyFont="1"/>
    <xf numFmtId="176" fontId="52" fillId="0" borderId="0" xfId="3" applyNumberFormat="1" applyFont="1" applyAlignment="1">
      <alignment horizontal="center"/>
    </xf>
    <xf numFmtId="176" fontId="52" fillId="0" borderId="0" xfId="3" applyNumberFormat="1" applyFont="1"/>
    <xf numFmtId="49" fontId="66" fillId="13" borderId="14" xfId="0" quotePrefix="1" applyNumberFormat="1" applyFont="1" applyFill="1" applyBorder="1" applyAlignment="1">
      <alignment horizontal="center"/>
    </xf>
    <xf numFmtId="0" fontId="66" fillId="13" borderId="14" xfId="0" applyFont="1" applyFill="1" applyBorder="1" applyAlignment="1">
      <alignment horizontal="left" wrapText="1"/>
    </xf>
    <xf numFmtId="176" fontId="52" fillId="0" borderId="0" xfId="3" applyNumberFormat="1" applyFont="1" applyFill="1"/>
    <xf numFmtId="9" fontId="52" fillId="21" borderId="0" xfId="33" applyFont="1" applyFill="1"/>
    <xf numFmtId="176" fontId="52" fillId="13" borderId="13" xfId="3" applyNumberFormat="1" applyFont="1" applyFill="1" applyBorder="1"/>
    <xf numFmtId="176" fontId="52" fillId="13" borderId="14" xfId="3" applyNumberFormat="1" applyFont="1" applyFill="1" applyBorder="1"/>
    <xf numFmtId="176" fontId="73" fillId="0" borderId="34" xfId="3" applyNumberFormat="1" applyFont="1" applyBorder="1"/>
    <xf numFmtId="176" fontId="73" fillId="0" borderId="0" xfId="3" applyNumberFormat="1" applyFont="1" applyBorder="1"/>
    <xf numFmtId="176" fontId="73" fillId="0" borderId="33" xfId="3" applyNumberFormat="1" applyFont="1" applyBorder="1"/>
    <xf numFmtId="9" fontId="52" fillId="0" borderId="34" xfId="33" applyFont="1" applyBorder="1"/>
    <xf numFmtId="9" fontId="52" fillId="0" borderId="33" xfId="33" applyFont="1" applyBorder="1" applyAlignment="1">
      <alignment wrapText="1"/>
    </xf>
    <xf numFmtId="9" fontId="52" fillId="13" borderId="13" xfId="33" applyFont="1" applyFill="1" applyBorder="1"/>
    <xf numFmtId="9" fontId="52" fillId="13" borderId="14" xfId="33" applyFont="1" applyFill="1" applyBorder="1"/>
    <xf numFmtId="9" fontId="52" fillId="13" borderId="15" xfId="33" applyFont="1" applyFill="1" applyBorder="1"/>
    <xf numFmtId="9" fontId="73" fillId="0" borderId="36" xfId="33" applyFont="1" applyBorder="1"/>
    <xf numFmtId="9" fontId="73" fillId="0" borderId="12" xfId="33" applyFont="1" applyBorder="1"/>
    <xf numFmtId="9" fontId="73" fillId="0" borderId="35" xfId="33" applyFont="1" applyBorder="1"/>
    <xf numFmtId="9" fontId="52" fillId="0" borderId="0" xfId="33" applyFont="1" applyBorder="1" applyAlignment="1">
      <alignment wrapText="1"/>
    </xf>
    <xf numFmtId="9" fontId="52" fillId="0" borderId="33" xfId="33" applyFont="1" applyBorder="1"/>
    <xf numFmtId="0" fontId="73" fillId="0" borderId="0" xfId="0" applyFont="1" applyFill="1" applyBorder="1"/>
    <xf numFmtId="0" fontId="70" fillId="0" borderId="1" xfId="32" applyFont="1" applyFill="1" applyBorder="1" applyAlignment="1">
      <alignment wrapText="1"/>
    </xf>
    <xf numFmtId="0" fontId="70" fillId="0" borderId="1" xfId="25" applyFont="1" applyFill="1" applyBorder="1" applyAlignment="1">
      <alignment wrapText="1"/>
    </xf>
    <xf numFmtId="0" fontId="70" fillId="0" borderId="0" xfId="25" applyFont="1" applyFill="1" applyBorder="1" applyAlignment="1">
      <alignment wrapText="1"/>
    </xf>
    <xf numFmtId="167" fontId="70" fillId="0" borderId="0" xfId="25" applyNumberFormat="1" applyFont="1" applyFill="1" applyBorder="1" applyAlignment="1">
      <alignment horizontal="right" wrapText="1"/>
    </xf>
    <xf numFmtId="0" fontId="69" fillId="22" borderId="0" xfId="25" applyFont="1" applyFill="1" applyBorder="1" applyAlignment="1">
      <alignment horizontal="left"/>
    </xf>
    <xf numFmtId="167" fontId="70" fillId="0" borderId="1" xfId="25" applyNumberFormat="1" applyFont="1" applyFill="1" applyBorder="1" applyAlignment="1">
      <alignment wrapText="1"/>
    </xf>
    <xf numFmtId="166" fontId="61" fillId="0" borderId="0" xfId="0" applyNumberFormat="1" applyFont="1"/>
    <xf numFmtId="0" fontId="69" fillId="0" borderId="2" xfId="25" applyFont="1" applyFill="1" applyBorder="1" applyAlignment="1">
      <alignment horizontal="center"/>
    </xf>
    <xf numFmtId="167" fontId="73" fillId="0" borderId="0" xfId="0" applyNumberFormat="1" applyFont="1" applyBorder="1"/>
    <xf numFmtId="166" fontId="0" fillId="0" borderId="0" xfId="0" applyNumberFormat="1" applyFont="1"/>
    <xf numFmtId="166" fontId="73" fillId="0" borderId="0" xfId="0" applyNumberFormat="1" applyFont="1"/>
    <xf numFmtId="0" fontId="69" fillId="0" borderId="2" xfId="31" applyFont="1" applyFill="1" applyBorder="1" applyAlignment="1">
      <alignment horizontal="left"/>
    </xf>
    <xf numFmtId="0" fontId="69" fillId="0" borderId="6" xfId="31" applyFont="1" applyFill="1" applyBorder="1" applyAlignment="1">
      <alignment horizontal="left"/>
    </xf>
    <xf numFmtId="0" fontId="69" fillId="0" borderId="71" xfId="31" applyFont="1" applyFill="1" applyBorder="1" applyAlignment="1">
      <alignment horizontal="center" wrapText="1"/>
    </xf>
    <xf numFmtId="0" fontId="69" fillId="0" borderId="54" xfId="31" applyFont="1" applyFill="1" applyBorder="1" applyAlignment="1">
      <alignment horizontal="center" wrapText="1"/>
    </xf>
    <xf numFmtId="1" fontId="0" fillId="0" borderId="0" xfId="0" applyNumberFormat="1" applyFont="1"/>
    <xf numFmtId="1" fontId="69" fillId="0" borderId="14" xfId="14" applyNumberFormat="1" applyFont="1" applyFill="1" applyBorder="1" applyAlignment="1">
      <alignment horizontal="center"/>
    </xf>
    <xf numFmtId="1" fontId="52" fillId="0" borderId="14" xfId="0" applyNumberFormat="1" applyFont="1" applyBorder="1" applyAlignment="1">
      <alignment horizontal="center"/>
    </xf>
    <xf numFmtId="1" fontId="73" fillId="0" borderId="0" xfId="0" applyNumberFormat="1" applyFont="1"/>
    <xf numFmtId="1" fontId="73" fillId="0" borderId="12" xfId="0" applyNumberFormat="1" applyFont="1" applyBorder="1"/>
    <xf numFmtId="0" fontId="31" fillId="0" borderId="0" xfId="14" applyFont="1" applyFill="1" applyBorder="1" applyAlignment="1">
      <alignment horizontal="left" wrapText="1"/>
    </xf>
    <xf numFmtId="0" fontId="27" fillId="0" borderId="0" xfId="14" applyFont="1"/>
    <xf numFmtId="0" fontId="27" fillId="0" borderId="0" xfId="14" applyFont="1" applyAlignment="1">
      <alignment horizontal="right" vertical="top"/>
    </xf>
    <xf numFmtId="0" fontId="27" fillId="0" borderId="0" xfId="14" applyFont="1" applyBorder="1"/>
    <xf numFmtId="0" fontId="79" fillId="0" borderId="0" xfId="14" applyFont="1" applyBorder="1"/>
    <xf numFmtId="0" fontId="69" fillId="6" borderId="0" xfId="14" applyFont="1" applyFill="1" applyBorder="1" applyAlignment="1">
      <alignment horizontal="center"/>
    </xf>
    <xf numFmtId="0" fontId="69" fillId="6" borderId="0" xfId="14" applyFont="1" applyFill="1" applyBorder="1" applyAlignment="1">
      <alignment horizontal="left"/>
    </xf>
    <xf numFmtId="0" fontId="73" fillId="0" borderId="0" xfId="0" applyFont="1" applyAlignment="1">
      <alignment horizontal="right"/>
    </xf>
    <xf numFmtId="0" fontId="69" fillId="6" borderId="14" xfId="14" applyFont="1" applyFill="1" applyBorder="1" applyAlignment="1">
      <alignment horizontal="center"/>
    </xf>
    <xf numFmtId="0" fontId="69" fillId="6" borderId="14" xfId="14" applyFont="1" applyFill="1" applyBorder="1" applyAlignment="1">
      <alignment horizontal="left"/>
    </xf>
    <xf numFmtId="0" fontId="34" fillId="0" borderId="12" xfId="27" applyFont="1" applyFill="1" applyBorder="1" applyAlignment="1">
      <alignment horizontal="center"/>
    </xf>
    <xf numFmtId="0" fontId="34" fillId="0" borderId="12" xfId="27" quotePrefix="1" applyFont="1" applyFill="1" applyBorder="1" applyAlignment="1">
      <alignment horizontal="center"/>
    </xf>
    <xf numFmtId="0" fontId="36" fillId="0" borderId="0" xfId="14" applyFont="1"/>
    <xf numFmtId="0" fontId="34" fillId="0" borderId="12" xfId="27" applyFont="1" applyFill="1" applyBorder="1" applyAlignment="1">
      <alignment horizontal="left"/>
    </xf>
    <xf numFmtId="0" fontId="26" fillId="0" borderId="12" xfId="14" applyFont="1" applyBorder="1" applyAlignment="1">
      <alignment horizontal="center"/>
    </xf>
    <xf numFmtId="0" fontId="27" fillId="0" borderId="12" xfId="14" applyFont="1" applyBorder="1" applyAlignment="1"/>
    <xf numFmtId="0" fontId="26" fillId="0" borderId="0" xfId="14" applyFont="1" applyBorder="1" applyAlignment="1"/>
    <xf numFmtId="0" fontId="27" fillId="0" borderId="0" xfId="14" applyFont="1" applyBorder="1" applyAlignment="1"/>
    <xf numFmtId="0" fontId="69" fillId="0" borderId="0" xfId="27" applyFont="1" applyFill="1" applyBorder="1" applyAlignment="1">
      <alignment horizontal="left"/>
    </xf>
    <xf numFmtId="0" fontId="69" fillId="0" borderId="0" xfId="27" applyFont="1" applyFill="1" applyBorder="1" applyAlignment="1">
      <alignment horizontal="center"/>
    </xf>
    <xf numFmtId="9" fontId="69" fillId="0" borderId="0" xfId="27" applyNumberFormat="1" applyFont="1" applyFill="1" applyBorder="1" applyAlignment="1">
      <alignment horizontal="right" wrapText="1"/>
    </xf>
    <xf numFmtId="0" fontId="70" fillId="0" borderId="0" xfId="27" applyFont="1" applyFill="1" applyBorder="1" applyAlignment="1">
      <alignment horizontal="center" wrapText="1"/>
    </xf>
    <xf numFmtId="0" fontId="70" fillId="0" borderId="0" xfId="27" applyFont="1" applyFill="1" applyBorder="1" applyAlignment="1">
      <alignment wrapText="1"/>
    </xf>
    <xf numFmtId="9" fontId="70" fillId="0" borderId="0" xfId="27" applyNumberFormat="1" applyFont="1" applyFill="1" applyBorder="1" applyAlignment="1">
      <alignment horizontal="right" wrapText="1"/>
    </xf>
    <xf numFmtId="0" fontId="70" fillId="0" borderId="0" xfId="27" applyFont="1" applyFill="1" applyBorder="1" applyAlignment="1">
      <alignment vertical="top" wrapText="1"/>
    </xf>
    <xf numFmtId="0" fontId="70" fillId="0" borderId="12" xfId="27" quotePrefix="1" applyFont="1" applyFill="1" applyBorder="1" applyAlignment="1">
      <alignment horizontal="center" wrapText="1"/>
    </xf>
    <xf numFmtId="0" fontId="70" fillId="0" borderId="12" xfId="27" applyFont="1" applyFill="1" applyBorder="1" applyAlignment="1">
      <alignment wrapText="1"/>
    </xf>
    <xf numFmtId="9" fontId="70" fillId="0" borderId="12" xfId="27" applyNumberFormat="1" applyFont="1" applyFill="1" applyBorder="1" applyAlignment="1">
      <alignment horizontal="right" wrapText="1"/>
    </xf>
    <xf numFmtId="0" fontId="73" fillId="0" borderId="25" xfId="0" applyFont="1" applyBorder="1"/>
    <xf numFmtId="0" fontId="73" fillId="0" borderId="27" xfId="0" applyFont="1" applyBorder="1"/>
    <xf numFmtId="0" fontId="73" fillId="0" borderId="26" xfId="0" applyFont="1" applyBorder="1"/>
    <xf numFmtId="0" fontId="73" fillId="0" borderId="31" xfId="0" applyFont="1" applyBorder="1" applyAlignment="1">
      <alignment horizontal="right"/>
    </xf>
    <xf numFmtId="9" fontId="73" fillId="0" borderId="25" xfId="33" applyFont="1" applyBorder="1" applyAlignment="1">
      <alignment horizontal="center"/>
    </xf>
    <xf numFmtId="9" fontId="73" fillId="0" borderId="53" xfId="33" applyFont="1" applyBorder="1" applyAlignment="1">
      <alignment horizontal="center"/>
    </xf>
    <xf numFmtId="9" fontId="73" fillId="0" borderId="27" xfId="33" applyFont="1" applyBorder="1" applyAlignment="1">
      <alignment horizontal="center"/>
    </xf>
    <xf numFmtId="9" fontId="73" fillId="0" borderId="26" xfId="33" applyFont="1" applyBorder="1" applyAlignment="1">
      <alignment horizontal="center"/>
    </xf>
    <xf numFmtId="0" fontId="73" fillId="0" borderId="0" xfId="9" applyFont="1"/>
    <xf numFmtId="0" fontId="73" fillId="0" borderId="0" xfId="9" applyFont="1" applyAlignment="1">
      <alignment horizontal="right" wrapText="1"/>
    </xf>
    <xf numFmtId="0" fontId="52" fillId="0" borderId="12" xfId="9" applyFont="1" applyBorder="1" applyAlignment="1"/>
    <xf numFmtId="0" fontId="52" fillId="0" borderId="0" xfId="9" applyFont="1" applyAlignment="1">
      <alignment horizontal="center"/>
    </xf>
    <xf numFmtId="0" fontId="52" fillId="0" borderId="0" xfId="9" applyFont="1" applyAlignment="1">
      <alignment horizontal="right"/>
    </xf>
    <xf numFmtId="0" fontId="73" fillId="0" borderId="12" xfId="9" applyFont="1" applyBorder="1" applyAlignment="1"/>
    <xf numFmtId="0" fontId="73" fillId="0" borderId="12" xfId="9" applyFont="1" applyBorder="1" applyAlignment="1">
      <alignment horizontal="right"/>
    </xf>
    <xf numFmtId="0" fontId="52" fillId="0" borderId="0" xfId="9" applyFont="1" applyAlignment="1"/>
    <xf numFmtId="0" fontId="52" fillId="0" borderId="0" xfId="9" applyFont="1" applyAlignment="1">
      <alignment horizontal="right" wrapText="1"/>
    </xf>
    <xf numFmtId="49" fontId="52" fillId="0" borderId="12" xfId="9" applyNumberFormat="1" applyFont="1" applyBorder="1" applyAlignment="1">
      <alignment horizontal="center"/>
    </xf>
    <xf numFmtId="0" fontId="52" fillId="0" borderId="12" xfId="9" applyFont="1" applyBorder="1" applyAlignment="1">
      <alignment horizontal="right" wrapText="1"/>
    </xf>
    <xf numFmtId="0" fontId="52" fillId="0" borderId="12" xfId="9" applyFont="1" applyBorder="1"/>
    <xf numFmtId="49" fontId="73" fillId="0" borderId="0" xfId="9" quotePrefix="1" applyNumberFormat="1" applyFont="1" applyAlignment="1">
      <alignment horizontal="center"/>
    </xf>
    <xf numFmtId="49" fontId="73" fillId="0" borderId="0" xfId="9" applyNumberFormat="1" applyFont="1" applyAlignment="1">
      <alignment horizontal="center"/>
    </xf>
    <xf numFmtId="0" fontId="73" fillId="0" borderId="0" xfId="9" applyNumberFormat="1" applyFont="1" applyAlignment="1">
      <alignment horizontal="right"/>
    </xf>
    <xf numFmtId="49" fontId="73" fillId="0" borderId="0" xfId="9" quotePrefix="1" applyNumberFormat="1" applyFont="1" applyAlignment="1">
      <alignment horizontal="right"/>
    </xf>
    <xf numFmtId="49" fontId="73" fillId="0" borderId="0" xfId="9" applyNumberFormat="1" applyFont="1" applyAlignment="1">
      <alignment horizontal="right"/>
    </xf>
    <xf numFmtId="0" fontId="73" fillId="0" borderId="0" xfId="9" quotePrefix="1" applyNumberFormat="1" applyFont="1" applyAlignment="1">
      <alignment horizontal="center"/>
    </xf>
    <xf numFmtId="0" fontId="73" fillId="0" borderId="0" xfId="9" quotePrefix="1" applyNumberFormat="1" applyFont="1" applyAlignment="1">
      <alignment horizontal="right"/>
    </xf>
    <xf numFmtId="49" fontId="73" fillId="0" borderId="12" xfId="9" applyNumberFormat="1" applyFont="1" applyBorder="1" applyAlignment="1">
      <alignment horizontal="center"/>
    </xf>
    <xf numFmtId="0" fontId="73" fillId="0" borderId="12" xfId="9" applyNumberFormat="1" applyFont="1" applyBorder="1" applyAlignment="1">
      <alignment horizontal="right"/>
    </xf>
    <xf numFmtId="0" fontId="73" fillId="0" borderId="12" xfId="9" applyFont="1" applyBorder="1" applyAlignment="1">
      <alignment horizontal="right" wrapText="1"/>
    </xf>
    <xf numFmtId="49" fontId="73" fillId="0" borderId="12" xfId="9" applyNumberFormat="1" applyFont="1" applyBorder="1" applyAlignment="1">
      <alignment horizontal="right"/>
    </xf>
    <xf numFmtId="0" fontId="79" fillId="0" borderId="0" xfId="9" applyFont="1" applyAlignment="1">
      <alignment horizontal="right" vertical="top"/>
    </xf>
    <xf numFmtId="0" fontId="80" fillId="0" borderId="0" xfId="4" applyFont="1" applyAlignment="1" applyProtection="1">
      <alignment horizontal="right"/>
    </xf>
    <xf numFmtId="0" fontId="70" fillId="0" borderId="0" xfId="32" applyFont="1" applyFill="1" applyBorder="1" applyAlignment="1">
      <alignment wrapText="1"/>
    </xf>
    <xf numFmtId="0" fontId="69" fillId="0" borderId="6" xfId="31" applyFont="1" applyFill="1" applyBorder="1" applyAlignment="1">
      <alignment horizontal="left"/>
    </xf>
    <xf numFmtId="167" fontId="70" fillId="0" borderId="1" xfId="25" applyNumberFormat="1" applyFont="1" applyFill="1" applyBorder="1" applyAlignment="1">
      <alignment wrapText="1"/>
    </xf>
    <xf numFmtId="0" fontId="69" fillId="6" borderId="0" xfId="24" applyFont="1" applyFill="1" applyBorder="1" applyAlignment="1">
      <alignment wrapText="1"/>
    </xf>
    <xf numFmtId="0" fontId="70" fillId="0" borderId="0" xfId="24" applyFont="1" applyFill="1" applyBorder="1" applyAlignment="1">
      <alignment wrapText="1"/>
    </xf>
    <xf numFmtId="0" fontId="69" fillId="0" borderId="6" xfId="29" applyFont="1" applyFill="1" applyBorder="1" applyAlignment="1">
      <alignment horizontal="left" wrapText="1"/>
    </xf>
    <xf numFmtId="0" fontId="69" fillId="6" borderId="32" xfId="29" applyFont="1" applyFill="1" applyBorder="1" applyAlignment="1">
      <alignment wrapText="1"/>
    </xf>
    <xf numFmtId="0" fontId="70" fillId="0" borderId="32" xfId="29" applyFont="1" applyFill="1" applyBorder="1" applyAlignment="1">
      <alignment wrapText="1"/>
    </xf>
    <xf numFmtId="171" fontId="52" fillId="6" borderId="0" xfId="1" applyNumberFormat="1" applyFont="1" applyFill="1"/>
    <xf numFmtId="0" fontId="29" fillId="0" borderId="0" xfId="0" applyFont="1" applyAlignment="1">
      <alignment horizontal="left" vertical="top"/>
    </xf>
    <xf numFmtId="0" fontId="16" fillId="3" borderId="0" xfId="0" applyFont="1" applyFill="1" applyBorder="1" applyAlignment="1">
      <alignment horizontal="left" vertical="top" wrapText="1"/>
    </xf>
    <xf numFmtId="171" fontId="16" fillId="3" borderId="0" xfId="1" applyNumberFormat="1" applyFont="1" applyFill="1" applyBorder="1" applyAlignment="1">
      <alignment horizontal="left" vertical="top" wrapText="1"/>
    </xf>
    <xf numFmtId="0" fontId="49" fillId="0" borderId="0" xfId="0" applyFont="1"/>
    <xf numFmtId="171" fontId="49" fillId="0" borderId="0" xfId="1" applyNumberFormat="1" applyFont="1"/>
    <xf numFmtId="3" fontId="49" fillId="0" borderId="0" xfId="0" applyNumberFormat="1" applyFont="1"/>
    <xf numFmtId="164" fontId="49" fillId="8" borderId="0" xfId="33" applyNumberFormat="1" applyFont="1" applyFill="1"/>
    <xf numFmtId="171" fontId="49" fillId="8" borderId="0" xfId="1" applyNumberFormat="1" applyFont="1" applyFill="1"/>
    <xf numFmtId="0" fontId="12" fillId="3" borderId="0" xfId="0" applyFont="1" applyFill="1" applyBorder="1" applyAlignment="1">
      <alignment horizontal="left" vertical="top"/>
    </xf>
    <xf numFmtId="0" fontId="49" fillId="0" borderId="0" xfId="0" applyFont="1" applyAlignment="1">
      <alignment horizontal="right"/>
    </xf>
    <xf numFmtId="3" fontId="49" fillId="0" borderId="0" xfId="0" applyNumberFormat="1" applyFont="1" applyAlignment="1">
      <alignment horizontal="right"/>
    </xf>
    <xf numFmtId="164" fontId="49" fillId="0" borderId="0" xfId="33" applyNumberFormat="1" applyFont="1" applyAlignment="1">
      <alignment horizontal="right"/>
    </xf>
    <xf numFmtId="171" fontId="49" fillId="0" borderId="0" xfId="1" applyNumberFormat="1" applyFont="1" applyAlignment="1">
      <alignment horizontal="right"/>
    </xf>
    <xf numFmtId="0" fontId="12" fillId="3" borderId="0" xfId="0" applyFont="1" applyFill="1" applyBorder="1" applyAlignment="1">
      <alignment vertical="top" wrapText="1"/>
    </xf>
    <xf numFmtId="0" fontId="12" fillId="3" borderId="82" xfId="0" applyFont="1" applyFill="1" applyBorder="1" applyAlignment="1">
      <alignment vertical="center" wrapText="1"/>
    </xf>
    <xf numFmtId="0" fontId="12" fillId="3" borderId="9" xfId="0" applyFont="1" applyFill="1" applyBorder="1" applyAlignment="1">
      <alignment vertical="top" wrapText="1"/>
    </xf>
    <xf numFmtId="0" fontId="49" fillId="0" borderId="0" xfId="0" applyFont="1" applyAlignment="1"/>
    <xf numFmtId="0" fontId="83" fillId="0" borderId="0" xfId="0" applyFont="1"/>
    <xf numFmtId="3" fontId="49" fillId="8" borderId="0" xfId="0" applyNumberFormat="1" applyFont="1" applyFill="1"/>
    <xf numFmtId="0" fontId="83" fillId="0" borderId="14" xfId="0" applyFont="1" applyBorder="1"/>
    <xf numFmtId="0" fontId="16" fillId="3" borderId="83" xfId="0" applyFont="1" applyFill="1" applyBorder="1" applyAlignment="1">
      <alignment vertical="top" wrapText="1"/>
    </xf>
    <xf numFmtId="0" fontId="16" fillId="3" borderId="84" xfId="0" applyFont="1" applyFill="1" applyBorder="1" applyAlignment="1">
      <alignment horizontal="left" vertical="top" wrapText="1"/>
    </xf>
    <xf numFmtId="0" fontId="49" fillId="0" borderId="12" xfId="0" applyFont="1" applyBorder="1"/>
    <xf numFmtId="0" fontId="30" fillId="0" borderId="12" xfId="0" applyFont="1" applyBorder="1"/>
    <xf numFmtId="171" fontId="30" fillId="0" borderId="12" xfId="1" applyNumberFormat="1" applyFont="1" applyBorder="1"/>
    <xf numFmtId="3" fontId="49" fillId="8" borderId="29" xfId="0" applyNumberFormat="1" applyFont="1" applyFill="1" applyBorder="1"/>
    <xf numFmtId="3" fontId="49" fillId="0" borderId="30" xfId="0" applyNumberFormat="1" applyFont="1" applyBorder="1" applyAlignment="1">
      <alignment horizontal="right"/>
    </xf>
    <xf numFmtId="0" fontId="49" fillId="8" borderId="0" xfId="0" applyFont="1" applyFill="1"/>
    <xf numFmtId="0" fontId="12" fillId="8" borderId="9" xfId="0" applyFont="1" applyFill="1" applyBorder="1" applyAlignment="1">
      <alignment vertical="top" wrapText="1"/>
    </xf>
    <xf numFmtId="171" fontId="49" fillId="0" borderId="0" xfId="0" applyNumberFormat="1" applyFont="1"/>
    <xf numFmtId="171" fontId="49" fillId="8" borderId="0" xfId="0" applyNumberFormat="1" applyFont="1" applyFill="1"/>
    <xf numFmtId="0" fontId="73" fillId="0" borderId="0" xfId="15" applyFont="1" applyAlignment="1">
      <alignment horizontal="left" wrapText="1"/>
    </xf>
    <xf numFmtId="3" fontId="52" fillId="11" borderId="30" xfId="15" applyNumberFormat="1" applyFont="1" applyFill="1" applyBorder="1" applyAlignment="1">
      <alignment horizontal="right" vertical="top"/>
    </xf>
    <xf numFmtId="171" fontId="73" fillId="0" borderId="30" xfId="1" applyNumberFormat="1" applyFont="1" applyFill="1" applyBorder="1"/>
    <xf numFmtId="171" fontId="73" fillId="0" borderId="31" xfId="1" applyNumberFormat="1" applyFont="1" applyFill="1" applyBorder="1"/>
    <xf numFmtId="171" fontId="52" fillId="6" borderId="30" xfId="1" applyNumberFormat="1" applyFont="1" applyFill="1" applyBorder="1" applyAlignment="1">
      <alignment horizontal="center" wrapText="1"/>
    </xf>
    <xf numFmtId="3" fontId="73" fillId="0" borderId="30" xfId="15" applyNumberFormat="1" applyFont="1" applyFill="1" applyBorder="1"/>
    <xf numFmtId="3" fontId="82" fillId="0" borderId="0" xfId="19" applyNumberFormat="1" applyFont="1" applyFill="1" applyBorder="1" applyAlignment="1">
      <alignment vertical="top" wrapText="1"/>
    </xf>
    <xf numFmtId="0" fontId="52" fillId="0" borderId="31" xfId="0" applyFont="1" applyBorder="1" applyAlignment="1">
      <alignment horizontal="center" wrapText="1"/>
    </xf>
    <xf numFmtId="0" fontId="73" fillId="0" borderId="30" xfId="0" applyFont="1" applyBorder="1" applyAlignment="1">
      <alignment horizontal="right"/>
    </xf>
    <xf numFmtId="0" fontId="73" fillId="0" borderId="30" xfId="1" applyNumberFormat="1" applyFont="1" applyBorder="1" applyAlignment="1">
      <alignment horizontal="right"/>
    </xf>
    <xf numFmtId="0" fontId="73" fillId="0" borderId="31" xfId="0" applyFont="1" applyBorder="1" applyAlignment="1">
      <alignment horizontal="right"/>
    </xf>
    <xf numFmtId="0" fontId="54" fillId="0" borderId="0" xfId="0" applyFont="1" applyFill="1" applyBorder="1" applyAlignment="1">
      <alignment horizontal="center"/>
    </xf>
    <xf numFmtId="164" fontId="70" fillId="0" borderId="40" xfId="16" applyNumberFormat="1" applyFont="1" applyFill="1" applyBorder="1" applyAlignment="1">
      <alignment wrapText="1"/>
    </xf>
    <xf numFmtId="0" fontId="69" fillId="0" borderId="85" xfId="11" applyFont="1" applyFill="1" applyBorder="1" applyAlignment="1">
      <alignment horizontal="center"/>
    </xf>
    <xf numFmtId="0" fontId="69" fillId="0" borderId="86" xfId="11" applyFont="1" applyFill="1" applyBorder="1" applyAlignment="1">
      <alignment horizontal="center"/>
    </xf>
    <xf numFmtId="164" fontId="69" fillId="6" borderId="87" xfId="16" applyNumberFormat="1" applyFont="1" applyFill="1" applyBorder="1" applyAlignment="1">
      <alignment wrapText="1"/>
    </xf>
    <xf numFmtId="164" fontId="70" fillId="0" borderId="38" xfId="16" applyNumberFormat="1" applyFont="1" applyFill="1" applyBorder="1" applyAlignment="1">
      <alignment wrapText="1"/>
    </xf>
    <xf numFmtId="164" fontId="70" fillId="0" borderId="88" xfId="16" applyNumberFormat="1" applyFont="1" applyFill="1" applyBorder="1" applyAlignment="1">
      <alignment wrapText="1"/>
    </xf>
    <xf numFmtId="164" fontId="69" fillId="6" borderId="54" xfId="16" applyNumberFormat="1" applyFont="1" applyFill="1" applyBorder="1" applyAlignment="1">
      <alignment wrapText="1"/>
    </xf>
    <xf numFmtId="0" fontId="53" fillId="0" borderId="0" xfId="0" applyFont="1" applyAlignment="1">
      <alignment wrapText="1"/>
    </xf>
    <xf numFmtId="3" fontId="71" fillId="0" borderId="0" xfId="0" applyNumberFormat="1" applyFont="1"/>
    <xf numFmtId="175" fontId="69" fillId="0" borderId="55" xfId="1" applyNumberFormat="1" applyFont="1" applyFill="1" applyBorder="1" applyAlignment="1">
      <alignment horizontal="center"/>
    </xf>
    <xf numFmtId="3" fontId="69" fillId="6" borderId="89" xfId="16" applyNumberFormat="1" applyFont="1" applyFill="1" applyBorder="1"/>
    <xf numFmtId="3" fontId="70" fillId="0" borderId="58" xfId="0" applyNumberFormat="1" applyFont="1" applyFill="1" applyBorder="1" applyAlignment="1">
      <alignment horizontal="right" wrapText="1"/>
    </xf>
    <xf numFmtId="3" fontId="70" fillId="0" borderId="60" xfId="0" applyNumberFormat="1" applyFont="1" applyFill="1" applyBorder="1" applyAlignment="1">
      <alignment horizontal="right" wrapText="1"/>
    </xf>
    <xf numFmtId="3" fontId="79" fillId="0" borderId="116" xfId="14" applyNumberFormat="1" applyFont="1" applyBorder="1"/>
    <xf numFmtId="171" fontId="70" fillId="0" borderId="104" xfId="1" applyNumberFormat="1" applyFont="1" applyBorder="1"/>
    <xf numFmtId="164" fontId="73" fillId="8" borderId="45" xfId="33" applyNumberFormat="1" applyFont="1" applyFill="1" applyBorder="1"/>
    <xf numFmtId="0" fontId="29" fillId="0" borderId="0" xfId="16" applyFont="1"/>
    <xf numFmtId="0" fontId="69" fillId="0" borderId="46" xfId="14" applyFont="1" applyFill="1" applyBorder="1" applyAlignment="1">
      <alignment horizontal="center" wrapText="1"/>
    </xf>
    <xf numFmtId="44" fontId="73" fillId="0" borderId="0" xfId="3" applyFont="1"/>
    <xf numFmtId="44" fontId="70" fillId="0" borderId="0" xfId="3" applyFont="1"/>
    <xf numFmtId="44" fontId="79" fillId="0" borderId="0" xfId="3" applyFont="1"/>
    <xf numFmtId="7" fontId="69" fillId="0" borderId="6" xfId="29" applyNumberFormat="1" applyFont="1" applyFill="1" applyBorder="1" applyAlignment="1">
      <alignment horizontal="center" wrapText="1"/>
    </xf>
    <xf numFmtId="7" fontId="70" fillId="0" borderId="0" xfId="16" applyNumberFormat="1" applyFont="1"/>
    <xf numFmtId="7" fontId="79" fillId="0" borderId="0" xfId="14" applyNumberFormat="1" applyFont="1"/>
    <xf numFmtId="5" fontId="69" fillId="6" borderId="68" xfId="29" applyNumberFormat="1" applyFont="1" applyFill="1" applyBorder="1" applyAlignment="1">
      <alignment wrapText="1"/>
    </xf>
    <xf numFmtId="5" fontId="69" fillId="6" borderId="56" xfId="29" applyNumberFormat="1" applyFont="1" applyFill="1" applyBorder="1" applyAlignment="1">
      <alignment wrapText="1"/>
    </xf>
    <xf numFmtId="5" fontId="69" fillId="6" borderId="69" xfId="29" applyNumberFormat="1" applyFont="1" applyFill="1" applyBorder="1" applyAlignment="1">
      <alignment wrapText="1"/>
    </xf>
    <xf numFmtId="5" fontId="69" fillId="6" borderId="70" xfId="29" applyNumberFormat="1" applyFont="1" applyFill="1" applyBorder="1" applyAlignment="1">
      <alignment wrapText="1"/>
    </xf>
    <xf numFmtId="5" fontId="70" fillId="0" borderId="68" xfId="29" applyNumberFormat="1" applyFont="1" applyFill="1" applyBorder="1" applyAlignment="1">
      <alignment wrapText="1"/>
    </xf>
    <xf numFmtId="5" fontId="70" fillId="0" borderId="69" xfId="29" applyNumberFormat="1" applyFont="1" applyFill="1" applyBorder="1" applyAlignment="1">
      <alignment wrapText="1"/>
    </xf>
    <xf numFmtId="5" fontId="70" fillId="0" borderId="70" xfId="29" applyNumberFormat="1" applyFont="1" applyFill="1" applyBorder="1" applyAlignment="1">
      <alignment wrapText="1"/>
    </xf>
    <xf numFmtId="167" fontId="71" fillId="0" borderId="0" xfId="0" applyNumberFormat="1" applyFont="1"/>
    <xf numFmtId="0" fontId="84" fillId="0" borderId="0" xfId="31" applyFont="1" applyFill="1" applyBorder="1" applyAlignment="1">
      <alignment horizontal="center"/>
    </xf>
    <xf numFmtId="0" fontId="84" fillId="0" borderId="4" xfId="31" applyFont="1" applyFill="1" applyBorder="1" applyAlignment="1">
      <alignment horizontal="center"/>
    </xf>
    <xf numFmtId="0" fontId="85" fillId="0" borderId="79" xfId="21" applyFont="1" applyFill="1" applyBorder="1" applyAlignment="1">
      <alignment horizontal="center" wrapText="1"/>
    </xf>
    <xf numFmtId="0" fontId="85" fillId="0" borderId="82" xfId="30" applyFont="1" applyFill="1" applyBorder="1" applyAlignment="1">
      <alignment horizontal="left"/>
    </xf>
    <xf numFmtId="0" fontId="85" fillId="0" borderId="91" xfId="30" applyFont="1" applyFill="1" applyBorder="1" applyAlignment="1">
      <alignment horizontal="center" wrapText="1"/>
    </xf>
    <xf numFmtId="0" fontId="85" fillId="0" borderId="87" xfId="30" applyFont="1" applyFill="1" applyBorder="1" applyAlignment="1">
      <alignment horizontal="center" wrapText="1"/>
    </xf>
    <xf numFmtId="0" fontId="85" fillId="0" borderId="90" xfId="30" applyFont="1" applyFill="1" applyBorder="1" applyAlignment="1">
      <alignment horizontal="center" wrapText="1"/>
    </xf>
    <xf numFmtId="167" fontId="71" fillId="0" borderId="0" xfId="0" applyNumberFormat="1" applyFont="1" applyBorder="1"/>
    <xf numFmtId="0" fontId="84" fillId="0" borderId="0" xfId="16" applyFont="1"/>
    <xf numFmtId="0" fontId="84" fillId="0" borderId="0" xfId="16" applyFont="1" applyAlignment="1">
      <alignment horizontal="left"/>
    </xf>
    <xf numFmtId="3" fontId="84" fillId="0" borderId="0" xfId="16" applyNumberFormat="1" applyFont="1"/>
    <xf numFmtId="0" fontId="87" fillId="22" borderId="2" xfId="32" applyFont="1" applyFill="1" applyBorder="1" applyAlignment="1">
      <alignment horizontal="left"/>
    </xf>
    <xf numFmtId="0" fontId="87" fillId="22" borderId="6" xfId="32" applyFont="1" applyFill="1" applyBorder="1" applyAlignment="1">
      <alignment horizontal="left"/>
    </xf>
    <xf numFmtId="49" fontId="41" fillId="0" borderId="0" xfId="9" applyNumberFormat="1" applyFont="1" applyAlignment="1">
      <alignment horizontal="center"/>
    </xf>
    <xf numFmtId="0" fontId="41" fillId="0" borderId="0" xfId="9" applyFont="1" applyAlignment="1">
      <alignment horizontal="center"/>
    </xf>
    <xf numFmtId="49" fontId="45" fillId="0" borderId="0" xfId="9" applyNumberFormat="1" applyAlignment="1">
      <alignment horizontal="center"/>
    </xf>
    <xf numFmtId="0" fontId="45" fillId="0" borderId="0" xfId="9"/>
    <xf numFmtId="171" fontId="42" fillId="0" borderId="0" xfId="2" applyNumberFormat="1" applyFont="1"/>
    <xf numFmtId="171" fontId="40" fillId="0" borderId="0" xfId="1" applyNumberFormat="1" applyFont="1"/>
    <xf numFmtId="0" fontId="45" fillId="0" borderId="0" xfId="9" applyFont="1"/>
    <xf numFmtId="49" fontId="88" fillId="0" borderId="0" xfId="9" applyNumberFormat="1" applyFont="1" applyAlignment="1">
      <alignment horizontal="left"/>
    </xf>
    <xf numFmtId="49" fontId="41" fillId="8" borderId="0" xfId="9" applyNumberFormat="1" applyFont="1" applyFill="1" applyAlignment="1">
      <alignment horizontal="center"/>
    </xf>
    <xf numFmtId="0" fontId="41" fillId="8" borderId="0" xfId="9" applyFont="1" applyFill="1" applyAlignment="1">
      <alignment horizontal="center"/>
    </xf>
    <xf numFmtId="0" fontId="66" fillId="0" borderId="0" xfId="9" applyFont="1" applyAlignment="1">
      <alignment horizontal="left" vertical="top" wrapText="1"/>
    </xf>
    <xf numFmtId="0" fontId="66" fillId="0" borderId="0" xfId="9" applyFont="1" applyAlignment="1">
      <alignment horizontal="left" vertical="top" wrapText="1"/>
    </xf>
    <xf numFmtId="0" fontId="66" fillId="0" borderId="0" xfId="9" applyFont="1" applyBorder="1" applyAlignment="1">
      <alignment horizontal="left"/>
    </xf>
    <xf numFmtId="49" fontId="61" fillId="0" borderId="0" xfId="9" applyNumberFormat="1" applyFont="1" applyBorder="1" applyAlignment="1">
      <alignment horizontal="center"/>
    </xf>
    <xf numFmtId="0" fontId="61" fillId="0" borderId="0" xfId="9" applyFont="1" applyBorder="1" applyAlignment="1">
      <alignment horizontal="left" wrapText="1"/>
    </xf>
    <xf numFmtId="3" fontId="61" fillId="0" borderId="0" xfId="9" applyNumberFormat="1" applyFont="1" applyBorder="1" applyAlignment="1">
      <alignment horizontal="right" indent="1"/>
    </xf>
    <xf numFmtId="3" fontId="61" fillId="0" borderId="0" xfId="9" applyNumberFormat="1" applyFont="1" applyBorder="1" applyAlignment="1">
      <alignment horizontal="right" indent="2"/>
    </xf>
    <xf numFmtId="0" fontId="66" fillId="0" borderId="12" xfId="9" applyFont="1" applyBorder="1" applyAlignment="1">
      <alignment horizontal="center" wrapText="1"/>
    </xf>
    <xf numFmtId="3" fontId="61" fillId="0" borderId="12" xfId="9" applyNumberFormat="1" applyFont="1" applyBorder="1" applyAlignment="1">
      <alignment horizontal="right" indent="1"/>
    </xf>
    <xf numFmtId="0" fontId="66" fillId="0" borderId="0" xfId="9" applyFont="1" applyBorder="1" applyAlignment="1"/>
    <xf numFmtId="0" fontId="69" fillId="0" borderId="12" xfId="14" applyFont="1" applyFill="1" applyBorder="1" applyAlignment="1">
      <alignment horizontal="center"/>
    </xf>
    <xf numFmtId="3" fontId="73" fillId="0" borderId="12" xfId="0" applyNumberFormat="1" applyFont="1" applyBorder="1"/>
    <xf numFmtId="3" fontId="70" fillId="0" borderId="24" xfId="28" applyNumberFormat="1" applyFont="1" applyFill="1" applyBorder="1" applyAlignment="1">
      <alignment horizontal="right" wrapText="1"/>
    </xf>
    <xf numFmtId="3" fontId="70" fillId="0" borderId="0" xfId="16" applyNumberFormat="1" applyFont="1" applyBorder="1"/>
    <xf numFmtId="0" fontId="69" fillId="0" borderId="48" xfId="28" applyFont="1" applyFill="1" applyBorder="1" applyAlignment="1">
      <alignment horizontal="center" wrapText="1"/>
    </xf>
    <xf numFmtId="0" fontId="57" fillId="0" borderId="0" xfId="0" applyFont="1" applyBorder="1" applyAlignment="1">
      <alignment horizontal="left" vertical="top" wrapText="1"/>
    </xf>
    <xf numFmtId="0" fontId="29" fillId="0" borderId="0" xfId="15" applyFont="1" applyAlignment="1">
      <alignment horizontal="left" wrapText="1"/>
    </xf>
    <xf numFmtId="0" fontId="73" fillId="0" borderId="0" xfId="15" applyFont="1" applyAlignment="1">
      <alignment horizontal="left" wrapText="1"/>
    </xf>
    <xf numFmtId="3" fontId="73" fillId="23" borderId="0" xfId="0" applyNumberFormat="1" applyFont="1" applyFill="1"/>
    <xf numFmtId="9" fontId="73" fillId="23" borderId="0" xfId="33" applyFont="1" applyFill="1" applyBorder="1"/>
    <xf numFmtId="0" fontId="69" fillId="23" borderId="0" xfId="14" quotePrefix="1" applyFont="1" applyFill="1" applyBorder="1" applyAlignment="1">
      <alignment horizontal="right" wrapText="1" indent="1"/>
    </xf>
    <xf numFmtId="0" fontId="69" fillId="23" borderId="0" xfId="14" applyFont="1" applyFill="1" applyBorder="1" applyAlignment="1">
      <alignment horizontal="left" wrapText="1"/>
    </xf>
    <xf numFmtId="0" fontId="69" fillId="23" borderId="0" xfId="14" applyFont="1" applyFill="1" applyBorder="1" applyAlignment="1">
      <alignment horizontal="center" wrapText="1"/>
    </xf>
    <xf numFmtId="9" fontId="94" fillId="0" borderId="0" xfId="33" applyFont="1" applyAlignment="1">
      <alignment vertical="center"/>
    </xf>
    <xf numFmtId="0" fontId="65" fillId="0" borderId="0" xfId="0" applyFont="1" applyFill="1" applyBorder="1" applyAlignment="1">
      <alignment vertical="center" wrapText="1"/>
    </xf>
    <xf numFmtId="171" fontId="95" fillId="0" borderId="0" xfId="1" applyNumberFormat="1" applyFont="1" applyFill="1" applyAlignment="1">
      <alignment vertical="center"/>
    </xf>
    <xf numFmtId="0" fontId="57" fillId="0" borderId="0" xfId="0" applyFont="1" applyBorder="1" applyAlignment="1">
      <alignment horizontal="center" vertical="top" wrapText="1"/>
    </xf>
    <xf numFmtId="3" fontId="52" fillId="6" borderId="30" xfId="15" applyNumberFormat="1" applyFont="1" applyFill="1" applyBorder="1"/>
    <xf numFmtId="0" fontId="57" fillId="0" borderId="12" xfId="0" applyFont="1" applyBorder="1" applyAlignment="1">
      <alignment vertical="top" wrapText="1"/>
    </xf>
    <xf numFmtId="3" fontId="54" fillId="0" borderId="0" xfId="0" applyNumberFormat="1" applyFont="1" applyBorder="1" applyAlignment="1">
      <alignment horizontal="right" indent="1"/>
    </xf>
    <xf numFmtId="3" fontId="54" fillId="0" borderId="34" xfId="0" applyNumberFormat="1" applyFont="1" applyFill="1" applyBorder="1" applyAlignment="1">
      <alignment horizontal="right" indent="1"/>
    </xf>
    <xf numFmtId="49" fontId="81" fillId="0" borderId="0" xfId="19" applyNumberFormat="1" applyFont="1" applyBorder="1" applyAlignment="1">
      <alignment horizontal="center" wrapText="1"/>
    </xf>
    <xf numFmtId="0" fontId="29" fillId="0" borderId="0" xfId="0" applyFont="1" applyAlignment="1">
      <alignment horizontal="left" vertical="top" wrapText="1"/>
    </xf>
    <xf numFmtId="0" fontId="29" fillId="0" borderId="0" xfId="15" applyFont="1" applyAlignment="1">
      <alignment horizontal="left" wrapText="1"/>
    </xf>
    <xf numFmtId="0" fontId="104" fillId="7" borderId="132" xfId="0" applyFont="1" applyFill="1" applyBorder="1" applyAlignment="1"/>
    <xf numFmtId="0" fontId="105" fillId="0" borderId="34" xfId="0" applyFont="1" applyFill="1" applyBorder="1" applyAlignment="1"/>
    <xf numFmtId="0" fontId="105" fillId="0" borderId="36" xfId="0" applyFont="1" applyFill="1" applyBorder="1" applyAlignment="1"/>
    <xf numFmtId="0" fontId="106" fillId="0" borderId="0" xfId="0" applyFont="1" applyBorder="1" applyAlignment="1">
      <alignment horizontal="left" vertical="top" wrapText="1"/>
    </xf>
    <xf numFmtId="0" fontId="107" fillId="0" borderId="34" xfId="0" applyFont="1" applyFill="1" applyBorder="1" applyAlignment="1">
      <alignment vertical="center" wrapText="1"/>
    </xf>
    <xf numFmtId="0" fontId="104" fillId="0" borderId="34" xfId="0" applyFont="1" applyFill="1" applyBorder="1" applyAlignment="1"/>
    <xf numFmtId="37" fontId="104" fillId="7" borderId="123" xfId="1" applyNumberFormat="1" applyFont="1" applyFill="1" applyBorder="1" applyAlignment="1">
      <alignment horizontal="center"/>
    </xf>
    <xf numFmtId="9" fontId="104" fillId="7" borderId="123" xfId="33" applyNumberFormat="1" applyFont="1" applyFill="1" applyBorder="1" applyAlignment="1">
      <alignment horizontal="center"/>
    </xf>
    <xf numFmtId="9" fontId="104" fillId="7" borderId="123" xfId="33" applyFont="1" applyFill="1" applyBorder="1" applyAlignment="1">
      <alignment horizontal="center"/>
    </xf>
    <xf numFmtId="37" fontId="105" fillId="0" borderId="30" xfId="1" applyNumberFormat="1" applyFont="1" applyFill="1" applyBorder="1" applyAlignment="1">
      <alignment horizontal="center"/>
    </xf>
    <xf numFmtId="9" fontId="105" fillId="0" borderId="30" xfId="33" applyNumberFormat="1" applyFont="1" applyFill="1" applyBorder="1" applyAlignment="1">
      <alignment horizontal="center"/>
    </xf>
    <xf numFmtId="9" fontId="105" fillId="0" borderId="30" xfId="33" applyFont="1" applyBorder="1" applyAlignment="1">
      <alignment horizontal="center"/>
    </xf>
    <xf numFmtId="37" fontId="105" fillId="0" borderId="31" xfId="1" applyNumberFormat="1" applyFont="1" applyFill="1" applyBorder="1" applyAlignment="1">
      <alignment horizontal="center"/>
    </xf>
    <xf numFmtId="9" fontId="105" fillId="0" borderId="31" xfId="33" applyNumberFormat="1" applyFont="1" applyFill="1" applyBorder="1" applyAlignment="1">
      <alignment horizontal="center"/>
    </xf>
    <xf numFmtId="9" fontId="105" fillId="0" borderId="31" xfId="33" applyFont="1" applyBorder="1" applyAlignment="1">
      <alignment horizontal="center"/>
    </xf>
    <xf numFmtId="0" fontId="67" fillId="23" borderId="134" xfId="19" quotePrefix="1" applyFont="1" applyFill="1" applyBorder="1" applyAlignment="1">
      <alignment horizontal="center" vertical="top"/>
    </xf>
    <xf numFmtId="49" fontId="81" fillId="23" borderId="135" xfId="19" applyNumberFormat="1" applyFont="1" applyFill="1" applyBorder="1" applyAlignment="1">
      <alignment vertical="top" wrapText="1"/>
    </xf>
    <xf numFmtId="49" fontId="81" fillId="23" borderId="134" xfId="19" applyNumberFormat="1" applyFont="1" applyFill="1" applyBorder="1" applyAlignment="1">
      <alignment vertical="top" wrapText="1"/>
    </xf>
    <xf numFmtId="3" fontId="67" fillId="8" borderId="134" xfId="19" applyNumberFormat="1" applyFont="1" applyFill="1" applyBorder="1" applyAlignment="1">
      <alignment vertical="top"/>
    </xf>
    <xf numFmtId="0" fontId="52" fillId="0" borderId="136" xfId="15" applyFont="1" applyBorder="1" applyAlignment="1">
      <alignment horizontal="left" wrapText="1"/>
    </xf>
    <xf numFmtId="0" fontId="52" fillId="6" borderId="136" xfId="15" applyFont="1" applyFill="1" applyBorder="1" applyAlignment="1">
      <alignment horizontal="left" wrapText="1"/>
    </xf>
    <xf numFmtId="0" fontId="73" fillId="0" borderId="41" xfId="15" applyFont="1" applyFill="1" applyBorder="1" applyAlignment="1">
      <alignment vertical="top"/>
    </xf>
    <xf numFmtId="0" fontId="73" fillId="0" borderId="34" xfId="15" applyFont="1" applyFill="1" applyBorder="1" applyAlignment="1">
      <alignment vertical="top"/>
    </xf>
    <xf numFmtId="0" fontId="73" fillId="0" borderId="36" xfId="15" applyFont="1" applyFill="1" applyBorder="1" applyAlignment="1">
      <alignment vertical="top"/>
    </xf>
    <xf numFmtId="0" fontId="52" fillId="0" borderId="20" xfId="15" applyFont="1" applyFill="1" applyBorder="1" applyAlignment="1">
      <alignment horizontal="center" wrapText="1"/>
    </xf>
    <xf numFmtId="3" fontId="23" fillId="0" borderId="23" xfId="0" applyNumberFormat="1" applyFont="1" applyFill="1" applyBorder="1" applyAlignment="1" applyProtection="1">
      <alignment horizontal="right" vertical="center"/>
    </xf>
    <xf numFmtId="3" fontId="23" fillId="0" borderId="22" xfId="0" applyNumberFormat="1" applyFont="1" applyFill="1" applyBorder="1" applyAlignment="1" applyProtection="1">
      <alignment horizontal="right" vertical="center"/>
      <protection locked="0"/>
    </xf>
    <xf numFmtId="3" fontId="23" fillId="0" borderId="24" xfId="0" applyNumberFormat="1" applyFont="1" applyFill="1" applyBorder="1" applyAlignment="1" applyProtection="1">
      <alignment horizontal="right" vertical="center"/>
    </xf>
    <xf numFmtId="3" fontId="23" fillId="0" borderId="24" xfId="0" applyNumberFormat="1" applyFont="1" applyFill="1" applyBorder="1" applyAlignment="1" applyProtection="1">
      <alignment horizontal="right" vertical="center"/>
      <protection locked="0"/>
    </xf>
    <xf numFmtId="3" fontId="23" fillId="0" borderId="25" xfId="0" applyNumberFormat="1" applyFont="1" applyFill="1" applyBorder="1" applyAlignment="1" applyProtection="1">
      <alignment horizontal="right" vertical="center"/>
      <protection locked="0"/>
    </xf>
    <xf numFmtId="3" fontId="23" fillId="0" borderId="27" xfId="0" applyNumberFormat="1" applyFont="1" applyFill="1" applyBorder="1" applyAlignment="1" applyProtection="1">
      <alignment horizontal="right" vertical="center"/>
    </xf>
    <xf numFmtId="3" fontId="23" fillId="0" borderId="27" xfId="0" applyNumberFormat="1" applyFont="1" applyFill="1" applyBorder="1" applyAlignment="1" applyProtection="1">
      <alignment horizontal="right" vertical="center"/>
      <protection locked="0"/>
    </xf>
    <xf numFmtId="3" fontId="23" fillId="0" borderId="26" xfId="0" applyNumberFormat="1" applyFont="1" applyFill="1" applyBorder="1" applyAlignment="1" applyProtection="1">
      <alignment horizontal="right" vertical="center"/>
    </xf>
    <xf numFmtId="172" fontId="23" fillId="0" borderId="29" xfId="0" applyNumberFormat="1" applyFont="1" applyFill="1" applyBorder="1" applyAlignment="1" applyProtection="1">
      <alignment vertical="center"/>
    </xf>
    <xf numFmtId="49" fontId="23" fillId="0" borderId="29" xfId="0" applyNumberFormat="1" applyFont="1" applyFill="1" applyBorder="1" applyAlignment="1">
      <alignment vertical="center"/>
    </xf>
    <xf numFmtId="3" fontId="23" fillId="0" borderId="24" xfId="33" applyNumberFormat="1" applyFont="1" applyFill="1" applyBorder="1" applyAlignment="1" applyProtection="1">
      <alignment horizontal="center" vertical="center"/>
    </xf>
    <xf numFmtId="3" fontId="25" fillId="6" borderId="137" xfId="0" applyNumberFormat="1" applyFont="1" applyFill="1" applyBorder="1" applyAlignment="1" applyProtection="1">
      <alignment horizontal="right" vertical="center"/>
    </xf>
    <xf numFmtId="3" fontId="25" fillId="6" borderId="20" xfId="0" applyNumberFormat="1" applyFont="1" applyFill="1" applyBorder="1" applyAlignment="1" applyProtection="1">
      <alignment horizontal="right" vertical="center"/>
    </xf>
    <xf numFmtId="3" fontId="25" fillId="6" borderId="20" xfId="33" applyNumberFormat="1" applyFont="1" applyFill="1" applyBorder="1" applyAlignment="1" applyProtection="1">
      <alignment horizontal="right" vertical="center"/>
    </xf>
    <xf numFmtId="3" fontId="25" fillId="6" borderId="20" xfId="0" applyNumberFormat="1" applyFont="1" applyFill="1" applyBorder="1" applyAlignment="1">
      <alignment horizontal="right" vertical="center"/>
    </xf>
    <xf numFmtId="3" fontId="25" fillId="6" borderId="21" xfId="0" applyNumberFormat="1" applyFont="1" applyFill="1" applyBorder="1" applyAlignment="1">
      <alignment horizontal="right" vertical="center"/>
    </xf>
    <xf numFmtId="3" fontId="23" fillId="0" borderId="24" xfId="33" applyNumberFormat="1" applyFont="1" applyFill="1" applyBorder="1" applyAlignment="1" applyProtection="1">
      <alignment horizontal="right" vertical="center"/>
    </xf>
    <xf numFmtId="3" fontId="23" fillId="0" borderId="24" xfId="0" applyNumberFormat="1" applyFont="1" applyFill="1" applyBorder="1" applyAlignment="1">
      <alignment horizontal="right" vertical="center"/>
    </xf>
    <xf numFmtId="3" fontId="23" fillId="0" borderId="27" xfId="33" applyNumberFormat="1" applyFont="1" applyFill="1" applyBorder="1" applyAlignment="1" applyProtection="1">
      <alignment horizontal="right" vertical="center"/>
    </xf>
    <xf numFmtId="172" fontId="25" fillId="0" borderId="137" xfId="0" applyNumberFormat="1" applyFont="1" applyFill="1" applyBorder="1" applyAlignment="1" applyProtection="1">
      <alignment horizontal="center" vertical="center"/>
    </xf>
    <xf numFmtId="172" fontId="25" fillId="0" borderId="20" xfId="0" applyNumberFormat="1" applyFont="1" applyFill="1" applyBorder="1" applyAlignment="1" applyProtection="1">
      <alignment horizontal="center" vertical="center"/>
    </xf>
    <xf numFmtId="172" fontId="25" fillId="0" borderId="20" xfId="0" applyNumberFormat="1" applyFont="1" applyFill="1" applyBorder="1" applyAlignment="1">
      <alignment horizontal="center" vertical="center"/>
    </xf>
    <xf numFmtId="172" fontId="25" fillId="0" borderId="20" xfId="0" applyNumberFormat="1" applyFont="1" applyFill="1" applyBorder="1"/>
    <xf numFmtId="172" fontId="25" fillId="0" borderId="21" xfId="0" applyNumberFormat="1" applyFont="1" applyFill="1" applyBorder="1"/>
    <xf numFmtId="3" fontId="23" fillId="0" borderId="22" xfId="0" applyNumberFormat="1" applyFont="1" applyFill="1" applyBorder="1"/>
    <xf numFmtId="3" fontId="23" fillId="0" borderId="24" xfId="0" applyNumberFormat="1" applyFont="1" applyFill="1" applyBorder="1"/>
    <xf numFmtId="3" fontId="25" fillId="6" borderId="137" xfId="0" applyNumberFormat="1" applyFont="1" applyFill="1" applyBorder="1"/>
    <xf numFmtId="3" fontId="25" fillId="6" borderId="20" xfId="0" applyNumberFormat="1" applyFont="1" applyFill="1" applyBorder="1"/>
    <xf numFmtId="3" fontId="25" fillId="6" borderId="21" xfId="0" applyNumberFormat="1" applyFont="1" applyFill="1" applyBorder="1"/>
    <xf numFmtId="172" fontId="25" fillId="0" borderId="137" xfId="0" applyNumberFormat="1" applyFont="1" applyFill="1" applyBorder="1"/>
    <xf numFmtId="3" fontId="23" fillId="0" borderId="22" xfId="0" applyNumberFormat="1" applyFont="1" applyFill="1" applyBorder="1" applyAlignment="1" applyProtection="1">
      <alignment vertical="center"/>
      <protection locked="0"/>
    </xf>
    <xf numFmtId="3" fontId="23" fillId="0" borderId="24" xfId="0" applyNumberFormat="1" applyFont="1" applyFill="1" applyBorder="1" applyAlignment="1" applyProtection="1">
      <alignment vertical="center"/>
    </xf>
    <xf numFmtId="3" fontId="23" fillId="0" borderId="24" xfId="0" applyNumberFormat="1" applyFont="1" applyFill="1" applyBorder="1" applyAlignment="1" applyProtection="1">
      <alignment vertical="center"/>
      <protection locked="0"/>
    </xf>
    <xf numFmtId="49" fontId="73" fillId="0" borderId="0" xfId="9" applyNumberFormat="1" applyFont="1" applyBorder="1" applyAlignment="1">
      <alignment horizontal="center"/>
    </xf>
    <xf numFmtId="49" fontId="73" fillId="0" borderId="0" xfId="9" quotePrefix="1" applyNumberFormat="1" applyFont="1" applyBorder="1" applyAlignment="1">
      <alignment horizontal="center"/>
    </xf>
    <xf numFmtId="0" fontId="52" fillId="0" borderId="0" xfId="9" applyFont="1" applyBorder="1" applyAlignment="1">
      <alignment horizontal="right" wrapText="1"/>
    </xf>
    <xf numFmtId="0" fontId="104" fillId="29" borderId="133" xfId="0" applyFont="1" applyFill="1" applyBorder="1" applyAlignment="1">
      <alignment horizontal="center" vertical="center"/>
    </xf>
    <xf numFmtId="0" fontId="104" fillId="29" borderId="130" xfId="0" applyFont="1" applyFill="1" applyBorder="1" applyAlignment="1">
      <alignment horizontal="center"/>
    </xf>
    <xf numFmtId="165" fontId="25" fillId="6" borderId="137" xfId="33" applyNumberFormat="1" applyFont="1" applyFill="1" applyBorder="1"/>
    <xf numFmtId="165" fontId="25" fillId="6" borderId="20" xfId="33" applyNumberFormat="1" applyFont="1" applyFill="1" applyBorder="1"/>
    <xf numFmtId="165" fontId="23" fillId="0" borderId="22" xfId="33" applyNumberFormat="1" applyFont="1" applyFill="1" applyBorder="1"/>
    <xf numFmtId="165" fontId="23" fillId="0" borderId="24" xfId="33" applyNumberFormat="1" applyFont="1" applyFill="1" applyBorder="1"/>
    <xf numFmtId="165" fontId="23" fillId="0" borderId="22" xfId="0" applyNumberFormat="1" applyFont="1" applyFill="1" applyBorder="1"/>
    <xf numFmtId="165" fontId="23" fillId="0" borderId="24" xfId="0" applyNumberFormat="1" applyFont="1" applyFill="1" applyBorder="1"/>
    <xf numFmtId="165" fontId="0" fillId="0" borderId="0" xfId="33" applyNumberFormat="1" applyFont="1"/>
    <xf numFmtId="0" fontId="67" fillId="0" borderId="0" xfId="0" applyFont="1"/>
    <xf numFmtId="0" fontId="68" fillId="0" borderId="0" xfId="0" applyFont="1"/>
    <xf numFmtId="0" fontId="112" fillId="0" borderId="0" xfId="0" applyFont="1"/>
    <xf numFmtId="0" fontId="112" fillId="0" borderId="12" xfId="0" applyFont="1" applyBorder="1"/>
    <xf numFmtId="0" fontId="112" fillId="0" borderId="137" xfId="0" applyFont="1" applyBorder="1"/>
    <xf numFmtId="0" fontId="112" fillId="0" borderId="20" xfId="0" applyFont="1" applyBorder="1"/>
    <xf numFmtId="0" fontId="112" fillId="0" borderId="21" xfId="0" applyFont="1" applyBorder="1"/>
    <xf numFmtId="3" fontId="68" fillId="0" borderId="22" xfId="0" applyNumberFormat="1" applyFont="1" applyBorder="1"/>
    <xf numFmtId="3" fontId="68" fillId="0" borderId="139" xfId="0" applyNumberFormat="1" applyFont="1" applyBorder="1"/>
    <xf numFmtId="3" fontId="68" fillId="0" borderId="138" xfId="0" applyNumberFormat="1" applyFont="1" applyBorder="1"/>
    <xf numFmtId="0" fontId="113" fillId="0" borderId="0" xfId="4" applyFont="1" applyAlignment="1" applyProtection="1"/>
    <xf numFmtId="49" fontId="68" fillId="7" borderId="0" xfId="0" applyNumberFormat="1" applyFont="1" applyFill="1"/>
    <xf numFmtId="0" fontId="112" fillId="7" borderId="0" xfId="0" applyFont="1" applyFill="1"/>
    <xf numFmtId="3" fontId="112" fillId="7" borderId="22" xfId="0" applyNumberFormat="1" applyFont="1" applyFill="1" applyBorder="1"/>
    <xf numFmtId="3" fontId="112" fillId="7" borderId="24" xfId="0" applyNumberFormat="1" applyFont="1" applyFill="1" applyBorder="1"/>
    <xf numFmtId="3" fontId="112" fillId="7" borderId="138" xfId="0" applyNumberFormat="1" applyFont="1" applyFill="1" applyBorder="1"/>
    <xf numFmtId="3" fontId="112" fillId="7" borderId="139" xfId="0" applyNumberFormat="1" applyFont="1" applyFill="1" applyBorder="1"/>
    <xf numFmtId="0" fontId="68" fillId="0" borderId="12" xfId="0" applyFont="1" applyBorder="1"/>
    <xf numFmtId="3" fontId="68" fillId="0" borderId="27" xfId="0" applyNumberFormat="1" applyFont="1" applyBorder="1"/>
    <xf numFmtId="3" fontId="68" fillId="0" borderId="140" xfId="0" applyNumberFormat="1" applyFont="1" applyBorder="1"/>
    <xf numFmtId="3" fontId="68" fillId="0" borderId="141" xfId="0" applyNumberFormat="1" applyFont="1" applyBorder="1"/>
    <xf numFmtId="165" fontId="68" fillId="0" borderId="22" xfId="0" applyNumberFormat="1" applyFont="1" applyBorder="1"/>
    <xf numFmtId="165" fontId="68" fillId="0" borderId="139" xfId="0" applyNumberFormat="1" applyFont="1" applyBorder="1"/>
    <xf numFmtId="165" fontId="68" fillId="0" borderId="138" xfId="0" applyNumberFormat="1" applyFont="1" applyBorder="1"/>
    <xf numFmtId="165" fontId="112" fillId="7" borderId="22" xfId="0" applyNumberFormat="1" applyFont="1" applyFill="1" applyBorder="1" applyAlignment="1">
      <alignment horizontal="right"/>
    </xf>
    <xf numFmtId="165" fontId="112" fillId="7" borderId="139" xfId="0" applyNumberFormat="1" applyFont="1" applyFill="1" applyBorder="1" applyAlignment="1">
      <alignment horizontal="right"/>
    </xf>
    <xf numFmtId="165" fontId="112" fillId="7" borderId="138" xfId="0" applyNumberFormat="1" applyFont="1" applyFill="1" applyBorder="1" applyAlignment="1">
      <alignment horizontal="right"/>
    </xf>
    <xf numFmtId="165" fontId="68" fillId="0" borderId="22" xfId="0" applyNumberFormat="1" applyFont="1" applyBorder="1" applyAlignment="1">
      <alignment horizontal="right"/>
    </xf>
    <xf numFmtId="165" fontId="68" fillId="0" borderId="139" xfId="0" applyNumberFormat="1" applyFont="1" applyBorder="1" applyAlignment="1">
      <alignment horizontal="right"/>
    </xf>
    <xf numFmtId="165" fontId="68" fillId="0" borderId="138" xfId="0" applyNumberFormat="1" applyFont="1" applyBorder="1" applyAlignment="1">
      <alignment horizontal="right"/>
    </xf>
    <xf numFmtId="165" fontId="68" fillId="0" borderId="27" xfId="0" applyNumberFormat="1" applyFont="1" applyBorder="1" applyAlignment="1">
      <alignment horizontal="right"/>
    </xf>
    <xf numFmtId="165" fontId="68" fillId="0" borderId="140" xfId="0" applyNumberFormat="1" applyFont="1" applyBorder="1" applyAlignment="1">
      <alignment horizontal="right"/>
    </xf>
    <xf numFmtId="165" fontId="104" fillId="7" borderId="123" xfId="33" applyNumberFormat="1" applyFont="1" applyFill="1" applyBorder="1" applyAlignment="1">
      <alignment horizontal="center"/>
    </xf>
    <xf numFmtId="165" fontId="105" fillId="0" borderId="30" xfId="33" applyNumberFormat="1" applyFont="1" applyFill="1" applyBorder="1" applyAlignment="1">
      <alignment horizontal="center"/>
    </xf>
    <xf numFmtId="165" fontId="105" fillId="0" borderId="31" xfId="33" applyNumberFormat="1" applyFont="1" applyFill="1" applyBorder="1" applyAlignment="1">
      <alignment horizontal="center"/>
    </xf>
    <xf numFmtId="165" fontId="105" fillId="0" borderId="30" xfId="33" applyNumberFormat="1" applyFont="1" applyBorder="1" applyAlignment="1">
      <alignment horizontal="center"/>
    </xf>
    <xf numFmtId="165" fontId="105" fillId="0" borderId="31" xfId="33" applyNumberFormat="1" applyFont="1" applyBorder="1" applyAlignment="1">
      <alignment horizontal="center"/>
    </xf>
    <xf numFmtId="49" fontId="55" fillId="19" borderId="111" xfId="0" applyNumberFormat="1" applyFont="1" applyFill="1" applyBorder="1" applyAlignment="1">
      <alignment horizontal="center"/>
    </xf>
    <xf numFmtId="3" fontId="54" fillId="0" borderId="139" xfId="0" applyNumberFormat="1" applyFont="1" applyFill="1" applyBorder="1" applyAlignment="1">
      <alignment horizontal="right" indent="1"/>
    </xf>
    <xf numFmtId="0" fontId="54" fillId="0" borderId="129" xfId="0" applyFont="1" applyFill="1" applyBorder="1" applyAlignment="1">
      <alignment horizontal="right" indent="1"/>
    </xf>
    <xf numFmtId="0" fontId="54" fillId="0" borderId="126" xfId="0" applyFont="1" applyFill="1" applyBorder="1" applyAlignment="1">
      <alignment horizontal="right" indent="1"/>
    </xf>
    <xf numFmtId="0" fontId="73" fillId="0" borderId="0" xfId="0" applyFont="1" applyFill="1"/>
    <xf numFmtId="9" fontId="71" fillId="0" borderId="0" xfId="1" applyNumberFormat="1" applyFont="1"/>
    <xf numFmtId="171" fontId="53" fillId="6" borderId="134" xfId="1" applyNumberFormat="1" applyFont="1" applyFill="1" applyBorder="1"/>
    <xf numFmtId="0" fontId="0" fillId="0" borderId="134" xfId="0" applyBorder="1"/>
    <xf numFmtId="49" fontId="25" fillId="0" borderId="29" xfId="0" applyNumberFormat="1" applyFont="1" applyFill="1" applyBorder="1" applyAlignment="1">
      <alignment vertical="center"/>
    </xf>
    <xf numFmtId="172" fontId="25" fillId="0" borderId="29" xfId="0" applyNumberFormat="1" applyFont="1" applyFill="1" applyBorder="1" applyAlignment="1" applyProtection="1">
      <alignment vertical="center"/>
    </xf>
    <xf numFmtId="0" fontId="23" fillId="0" borderId="0" xfId="0" applyNumberFormat="1" applyFont="1" applyFill="1" applyBorder="1" applyAlignment="1">
      <alignment horizontal="left"/>
    </xf>
    <xf numFmtId="3" fontId="71" fillId="0" borderId="0" xfId="1" applyNumberFormat="1" applyFont="1"/>
    <xf numFmtId="9" fontId="114" fillId="0" borderId="0" xfId="0" applyNumberFormat="1" applyFont="1" applyAlignment="1">
      <alignment vertical="center"/>
    </xf>
    <xf numFmtId="0" fontId="88" fillId="0" borderId="0" xfId="0" applyFont="1"/>
    <xf numFmtId="0" fontId="53" fillId="6" borderId="0" xfId="0" applyFont="1" applyFill="1"/>
    <xf numFmtId="0" fontId="53" fillId="6" borderId="0" xfId="0" applyFont="1" applyFill="1" applyAlignment="1">
      <alignment horizontal="left"/>
    </xf>
    <xf numFmtId="0" fontId="69" fillId="0" borderId="87" xfId="11" applyFont="1" applyFill="1" applyBorder="1" applyAlignment="1">
      <alignment horizontal="center"/>
    </xf>
    <xf numFmtId="164" fontId="70" fillId="0" borderId="143" xfId="16" applyNumberFormat="1" applyFont="1" applyFill="1" applyBorder="1" applyAlignment="1">
      <alignment wrapText="1"/>
    </xf>
    <xf numFmtId="0" fontId="69" fillId="0" borderId="92" xfId="16" applyFont="1" applyBorder="1" applyAlignment="1">
      <alignment horizontal="center"/>
    </xf>
    <xf numFmtId="171" fontId="69" fillId="6" borderId="55" xfId="1" applyNumberFormat="1" applyFont="1" applyFill="1" applyBorder="1"/>
    <xf numFmtId="171" fontId="70" fillId="0" borderId="57" xfId="1" applyNumberFormat="1" applyFont="1" applyBorder="1"/>
    <xf numFmtId="171" fontId="70" fillId="0" borderId="144" xfId="1" applyNumberFormat="1" applyFont="1" applyBorder="1"/>
    <xf numFmtId="164" fontId="70" fillId="0" borderId="38" xfId="33" applyNumberFormat="1" applyFont="1" applyFill="1" applyBorder="1" applyAlignment="1">
      <alignment wrapText="1"/>
    </xf>
    <xf numFmtId="0" fontId="69" fillId="0" borderId="54" xfId="16" applyFont="1" applyBorder="1" applyAlignment="1">
      <alignment horizontal="center"/>
    </xf>
    <xf numFmtId="3" fontId="70" fillId="0" borderId="38" xfId="16" applyNumberFormat="1" applyFont="1" applyBorder="1"/>
    <xf numFmtId="3" fontId="70" fillId="0" borderId="145" xfId="16" applyNumberFormat="1" applyFont="1" applyBorder="1"/>
    <xf numFmtId="3" fontId="69" fillId="6" borderId="54" xfId="16" applyNumberFormat="1" applyFont="1" applyFill="1" applyBorder="1"/>
    <xf numFmtId="171" fontId="73" fillId="0" borderId="0" xfId="1" applyNumberFormat="1" applyFont="1" applyBorder="1"/>
    <xf numFmtId="164" fontId="73" fillId="0" borderId="0" xfId="33" applyNumberFormat="1" applyFont="1" applyBorder="1"/>
    <xf numFmtId="0" fontId="52" fillId="0" borderId="45" xfId="0" applyFont="1" applyBorder="1" applyAlignment="1">
      <alignment horizontal="center"/>
    </xf>
    <xf numFmtId="164" fontId="73" fillId="8" borderId="42" xfId="33" applyNumberFormat="1" applyFont="1" applyFill="1" applyBorder="1"/>
    <xf numFmtId="0" fontId="54" fillId="0" borderId="0" xfId="0" applyFont="1" applyAlignment="1">
      <alignment horizontal="left" wrapText="1"/>
    </xf>
    <xf numFmtId="0" fontId="70" fillId="0" borderId="4" xfId="32" applyFont="1" applyFill="1" applyBorder="1" applyAlignment="1">
      <alignment horizontal="center"/>
    </xf>
    <xf numFmtId="0" fontId="54" fillId="0" borderId="0" xfId="0" applyFont="1" applyAlignment="1">
      <alignment horizontal="left" wrapText="1"/>
    </xf>
    <xf numFmtId="5" fontId="73" fillId="0" borderId="0" xfId="0" applyNumberFormat="1" applyFont="1" applyFill="1" applyBorder="1" applyAlignment="1"/>
    <xf numFmtId="0" fontId="69" fillId="0" borderId="65" xfId="29" applyFont="1" applyFill="1" applyBorder="1" applyAlignment="1">
      <alignment horizontal="center" wrapText="1"/>
    </xf>
    <xf numFmtId="5" fontId="70" fillId="0" borderId="32" xfId="29" applyNumberFormat="1" applyFont="1" applyFill="1" applyBorder="1" applyAlignment="1">
      <alignment wrapText="1"/>
    </xf>
    <xf numFmtId="0" fontId="54" fillId="0" borderId="0" xfId="0" applyFont="1" applyAlignment="1">
      <alignment horizontal="left" wrapText="1"/>
    </xf>
    <xf numFmtId="167" fontId="84" fillId="0" borderId="0" xfId="31" applyNumberFormat="1" applyFont="1" applyFill="1" applyBorder="1" applyAlignment="1">
      <alignment horizontal="right" wrapText="1"/>
    </xf>
    <xf numFmtId="5" fontId="87" fillId="6" borderId="71" xfId="3" applyNumberFormat="1" applyFont="1" applyFill="1" applyBorder="1" applyAlignment="1">
      <alignment wrapText="1"/>
    </xf>
    <xf numFmtId="5" fontId="87" fillId="6" borderId="54" xfId="3" applyNumberFormat="1" applyFont="1" applyFill="1" applyBorder="1" applyAlignment="1">
      <alignment wrapText="1"/>
    </xf>
    <xf numFmtId="0" fontId="73" fillId="0" borderId="0" xfId="15" applyFont="1" applyAlignment="1">
      <alignment horizontal="left" wrapText="1"/>
    </xf>
    <xf numFmtId="0" fontId="55" fillId="15" borderId="149" xfId="0" applyFont="1" applyFill="1" applyBorder="1" applyAlignment="1"/>
    <xf numFmtId="164" fontId="54" fillId="0" borderId="0" xfId="33" applyNumberFormat="1" applyFont="1"/>
    <xf numFmtId="0" fontId="69" fillId="0" borderId="55" xfId="31" applyFont="1" applyFill="1" applyBorder="1" applyAlignment="1">
      <alignment horizontal="center" wrapText="1"/>
    </xf>
    <xf numFmtId="0" fontId="52" fillId="0" borderId="154" xfId="0" applyFont="1" applyBorder="1" applyAlignment="1">
      <alignment wrapText="1"/>
    </xf>
    <xf numFmtId="164" fontId="52" fillId="13" borderId="13" xfId="33" applyNumberFormat="1" applyFont="1" applyFill="1" applyBorder="1"/>
    <xf numFmtId="164" fontId="52" fillId="13" borderId="14" xfId="33" applyNumberFormat="1" applyFont="1" applyFill="1" applyBorder="1"/>
    <xf numFmtId="164" fontId="52" fillId="13" borderId="15" xfId="33" applyNumberFormat="1" applyFont="1" applyFill="1" applyBorder="1"/>
    <xf numFmtId="164" fontId="73" fillId="0" borderId="12" xfId="33" applyNumberFormat="1" applyFont="1" applyBorder="1"/>
    <xf numFmtId="164" fontId="73" fillId="0" borderId="34" xfId="33" applyNumberFormat="1" applyFont="1" applyBorder="1"/>
    <xf numFmtId="164" fontId="73" fillId="0" borderId="36" xfId="33" applyNumberFormat="1" applyFont="1" applyBorder="1"/>
    <xf numFmtId="164" fontId="73" fillId="0" borderId="33" xfId="33" applyNumberFormat="1" applyFont="1" applyBorder="1"/>
    <xf numFmtId="164" fontId="73" fillId="0" borderId="35" xfId="33" applyNumberFormat="1" applyFont="1" applyBorder="1"/>
    <xf numFmtId="9" fontId="52" fillId="0" borderId="34" xfId="33" applyFont="1" applyBorder="1" applyAlignment="1">
      <alignment wrapText="1"/>
    </xf>
    <xf numFmtId="0" fontId="69" fillId="0" borderId="0" xfId="14" applyFont="1" applyFill="1" applyBorder="1" applyAlignment="1">
      <alignment horizontal="center" wrapText="1"/>
    </xf>
    <xf numFmtId="0" fontId="55" fillId="0" borderId="156" xfId="0" applyFont="1" applyFill="1" applyBorder="1" applyAlignment="1"/>
    <xf numFmtId="0" fontId="54" fillId="0" borderId="160" xfId="0" applyFont="1" applyBorder="1" applyAlignment="1"/>
    <xf numFmtId="0" fontId="55" fillId="0" borderId="160" xfId="0" applyFont="1" applyFill="1" applyBorder="1" applyAlignment="1"/>
    <xf numFmtId="9" fontId="57" fillId="0" borderId="159" xfId="33" applyFont="1" applyFill="1" applyBorder="1"/>
    <xf numFmtId="0" fontId="66" fillId="0" borderId="0" xfId="9" applyFont="1"/>
    <xf numFmtId="49" fontId="55" fillId="19" borderId="112" xfId="0" applyNumberFormat="1" applyFont="1" applyFill="1" applyBorder="1" applyAlignment="1">
      <alignment horizontal="center"/>
    </xf>
    <xf numFmtId="0" fontId="54" fillId="0" borderId="102" xfId="0" applyFont="1" applyBorder="1" applyAlignment="1">
      <alignment horizontal="right" indent="1"/>
    </xf>
    <xf numFmtId="3" fontId="54" fillId="0" borderId="103" xfId="0" applyNumberFormat="1" applyFont="1" applyFill="1" applyBorder="1" applyAlignment="1">
      <alignment horizontal="right" indent="1"/>
    </xf>
    <xf numFmtId="3" fontId="54" fillId="0" borderId="104" xfId="0" applyNumberFormat="1" applyFont="1" applyFill="1" applyBorder="1" applyAlignment="1">
      <alignment horizontal="right" indent="1"/>
    </xf>
    <xf numFmtId="0" fontId="54" fillId="0" borderId="117" xfId="0" applyFont="1" applyBorder="1" applyAlignment="1">
      <alignment horizontal="right" indent="1"/>
    </xf>
    <xf numFmtId="0" fontId="54" fillId="0" borderId="118" xfId="0" applyFont="1" applyFill="1" applyBorder="1" applyAlignment="1">
      <alignment horizontal="right" indent="1"/>
    </xf>
    <xf numFmtId="0" fontId="54" fillId="0" borderId="119" xfId="0" applyFont="1" applyFill="1" applyBorder="1" applyAlignment="1">
      <alignment horizontal="right" indent="1"/>
    </xf>
    <xf numFmtId="171" fontId="52" fillId="6" borderId="14" xfId="1" applyNumberFormat="1" applyFont="1" applyFill="1" applyBorder="1"/>
    <xf numFmtId="0" fontId="21" fillId="0" borderId="0" xfId="0" applyFont="1"/>
    <xf numFmtId="0" fontId="21" fillId="0" borderId="0" xfId="0" applyFont="1" applyAlignment="1">
      <alignment horizontal="left"/>
    </xf>
    <xf numFmtId="0" fontId="21" fillId="0" borderId="0" xfId="0" applyFont="1" applyAlignment="1"/>
    <xf numFmtId="0" fontId="117" fillId="9" borderId="0" xfId="0" applyFont="1" applyFill="1" applyAlignment="1">
      <alignment vertical="top" wrapText="1"/>
    </xf>
    <xf numFmtId="0" fontId="69" fillId="0" borderId="0" xfId="16" applyFont="1" applyFill="1" applyBorder="1" applyAlignment="1">
      <alignment horizontal="center" vertical="center"/>
    </xf>
    <xf numFmtId="0" fontId="69" fillId="0" borderId="0" xfId="16" applyFont="1" applyAlignment="1">
      <alignment vertical="center"/>
    </xf>
    <xf numFmtId="9" fontId="73" fillId="21" borderId="0" xfId="33" applyFont="1" applyFill="1"/>
    <xf numFmtId="0" fontId="73" fillId="0" borderId="34" xfId="0" applyFont="1" applyBorder="1"/>
    <xf numFmtId="0" fontId="54" fillId="9" borderId="155" xfId="0" applyFont="1" applyFill="1" applyBorder="1" applyAlignment="1">
      <alignment horizontal="left" indent="1"/>
    </xf>
    <xf numFmtId="0" fontId="54" fillId="9" borderId="0" xfId="0" applyFont="1" applyFill="1" applyBorder="1" applyAlignment="1">
      <alignment horizontal="left" indent="1"/>
    </xf>
    <xf numFmtId="0" fontId="70" fillId="0" borderId="0" xfId="24" applyFont="1" applyFill="1" applyBorder="1" applyAlignment="1">
      <alignment horizontal="center" wrapText="1"/>
    </xf>
    <xf numFmtId="5" fontId="73" fillId="0" borderId="0" xfId="0" applyNumberFormat="1" applyFont="1" applyBorder="1" applyAlignment="1"/>
    <xf numFmtId="5" fontId="70" fillId="0" borderId="0" xfId="24" applyNumberFormat="1" applyFont="1" applyFill="1" applyBorder="1" applyAlignment="1">
      <alignment wrapText="1"/>
    </xf>
    <xf numFmtId="0" fontId="62" fillId="0" borderId="0" xfId="0" applyFont="1" applyFill="1" applyBorder="1" applyAlignment="1">
      <alignment horizontal="right"/>
    </xf>
    <xf numFmtId="0" fontId="62" fillId="0" borderId="0" xfId="0" quotePrefix="1" applyFont="1" applyFill="1" applyBorder="1" applyAlignment="1">
      <alignment horizontal="left"/>
    </xf>
    <xf numFmtId="0" fontId="62" fillId="0" borderId="0" xfId="0" applyFont="1" applyFill="1" applyBorder="1" applyAlignment="1"/>
    <xf numFmtId="0" fontId="63" fillId="0" borderId="0" xfId="0" applyFont="1" applyBorder="1"/>
    <xf numFmtId="172" fontId="25" fillId="0" borderId="42" xfId="0" applyNumberFormat="1" applyFont="1" applyFill="1" applyBorder="1"/>
    <xf numFmtId="3" fontId="25" fillId="6" borderId="42" xfId="0" applyNumberFormat="1" applyFont="1" applyFill="1" applyBorder="1" applyAlignment="1">
      <alignment horizontal="right" vertical="center"/>
    </xf>
    <xf numFmtId="3" fontId="23" fillId="0" borderId="168" xfId="0" applyNumberFormat="1" applyFont="1" applyFill="1" applyBorder="1" applyAlignment="1">
      <alignment horizontal="right" vertical="center"/>
    </xf>
    <xf numFmtId="3" fontId="23" fillId="0" borderId="138" xfId="0" applyNumberFormat="1" applyFont="1" applyFill="1" applyBorder="1" applyAlignment="1">
      <alignment horizontal="right" vertical="center"/>
    </xf>
    <xf numFmtId="3" fontId="25" fillId="6" borderId="42" xfId="0" applyNumberFormat="1" applyFont="1" applyFill="1" applyBorder="1"/>
    <xf numFmtId="3" fontId="23" fillId="0" borderId="168" xfId="0" applyNumberFormat="1" applyFont="1" applyFill="1" applyBorder="1"/>
    <xf numFmtId="3" fontId="23" fillId="0" borderId="138" xfId="0" applyNumberFormat="1" applyFont="1" applyFill="1" applyBorder="1"/>
    <xf numFmtId="165" fontId="25" fillId="6" borderId="42" xfId="33" applyNumberFormat="1" applyFont="1" applyFill="1" applyBorder="1"/>
    <xf numFmtId="165" fontId="23" fillId="0" borderId="168" xfId="33" applyNumberFormat="1" applyFont="1" applyFill="1" applyBorder="1"/>
    <xf numFmtId="165" fontId="23" fillId="0" borderId="168" xfId="0" applyNumberFormat="1" applyFont="1" applyFill="1" applyBorder="1"/>
    <xf numFmtId="179" fontId="25" fillId="6" borderId="21" xfId="0" applyNumberFormat="1" applyFont="1" applyFill="1" applyBorder="1"/>
    <xf numFmtId="179" fontId="23" fillId="0" borderId="138" xfId="0" applyNumberFormat="1" applyFont="1" applyFill="1" applyBorder="1"/>
    <xf numFmtId="0" fontId="29" fillId="0" borderId="0" xfId="15" applyFont="1" applyAlignment="1">
      <alignment horizontal="left" wrapText="1"/>
    </xf>
    <xf numFmtId="171" fontId="67" fillId="23" borderId="168" xfId="14" applyNumberFormat="1" applyFont="1" applyFill="1" applyBorder="1"/>
    <xf numFmtId="171" fontId="79" fillId="0" borderId="168" xfId="1" applyNumberFormat="1" applyFont="1" applyBorder="1"/>
    <xf numFmtId="3" fontId="70" fillId="0" borderId="168" xfId="14" applyNumberFormat="1" applyFont="1" applyFill="1" applyBorder="1" applyAlignment="1">
      <alignment horizontal="right" wrapText="1"/>
    </xf>
    <xf numFmtId="0" fontId="29" fillId="0" borderId="0" xfId="15" applyFont="1" applyAlignment="1">
      <alignment horizontal="left" wrapText="1"/>
    </xf>
    <xf numFmtId="0" fontId="73" fillId="0" borderId="0" xfId="15" applyFont="1" applyAlignment="1">
      <alignment horizontal="left" wrapText="1"/>
    </xf>
    <xf numFmtId="49" fontId="81" fillId="0" borderId="0" xfId="19" applyNumberFormat="1" applyFont="1" applyBorder="1" applyAlignment="1">
      <alignment horizontal="center" wrapText="1"/>
    </xf>
    <xf numFmtId="3" fontId="52" fillId="11" borderId="0" xfId="15" applyNumberFormat="1" applyFont="1" applyFill="1" applyBorder="1" applyAlignment="1">
      <alignment horizontal="right" vertical="top"/>
    </xf>
    <xf numFmtId="171" fontId="73" fillId="0" borderId="0" xfId="1" applyNumberFormat="1" applyFont="1" applyFill="1" applyBorder="1"/>
    <xf numFmtId="3" fontId="52" fillId="6" borderId="0" xfId="15" applyNumberFormat="1" applyFont="1" applyFill="1" applyBorder="1"/>
    <xf numFmtId="3" fontId="73" fillId="0" borderId="0" xfId="15" applyNumberFormat="1" applyFont="1" applyBorder="1"/>
    <xf numFmtId="0" fontId="52" fillId="0" borderId="169" xfId="15" applyFont="1" applyFill="1" applyBorder="1" applyAlignment="1">
      <alignment horizontal="center" wrapText="1"/>
    </xf>
    <xf numFmtId="171" fontId="52" fillId="6" borderId="153" xfId="1" applyNumberFormat="1" applyFont="1" applyFill="1" applyBorder="1" applyAlignment="1">
      <alignment horizontal="center" wrapText="1"/>
    </xf>
    <xf numFmtId="3" fontId="73" fillId="0" borderId="153" xfId="15" applyNumberFormat="1" applyFont="1" applyFill="1" applyBorder="1"/>
    <xf numFmtId="3" fontId="52" fillId="0" borderId="169" xfId="15" applyNumberFormat="1" applyFont="1" applyFill="1" applyBorder="1" applyAlignment="1">
      <alignment vertical="top"/>
    </xf>
    <xf numFmtId="3" fontId="54" fillId="9" borderId="167" xfId="0" applyNumberFormat="1" applyFont="1" applyFill="1" applyBorder="1" applyAlignment="1">
      <alignment horizontal="right" indent="1"/>
    </xf>
    <xf numFmtId="3" fontId="54" fillId="11" borderId="167" xfId="0" applyNumberFormat="1" applyFont="1" applyFill="1" applyBorder="1" applyAlignment="1">
      <alignment horizontal="right" indent="1"/>
    </xf>
    <xf numFmtId="3" fontId="54" fillId="0" borderId="167" xfId="0" applyNumberFormat="1" applyFont="1" applyBorder="1" applyAlignment="1">
      <alignment horizontal="right" indent="1"/>
    </xf>
    <xf numFmtId="9" fontId="101" fillId="0" borderId="0" xfId="33" applyFont="1" applyFill="1" applyAlignment="1">
      <alignment vertical="center" wrapText="1"/>
    </xf>
    <xf numFmtId="0" fontId="52" fillId="0" borderId="42" xfId="15" applyFont="1" applyFill="1" applyBorder="1" applyAlignment="1">
      <alignment horizontal="center" wrapText="1"/>
    </xf>
    <xf numFmtId="171" fontId="73" fillId="0" borderId="168" xfId="1" applyNumberFormat="1" applyFont="1" applyFill="1" applyBorder="1"/>
    <xf numFmtId="0" fontId="52" fillId="0" borderId="171" xfId="15" applyFont="1" applyFill="1" applyBorder="1" applyAlignment="1">
      <alignment horizontal="center" wrapText="1"/>
    </xf>
    <xf numFmtId="171" fontId="73" fillId="0" borderId="167" xfId="1" applyNumberFormat="1" applyFont="1" applyFill="1" applyBorder="1"/>
    <xf numFmtId="171" fontId="73" fillId="0" borderId="139" xfId="1" applyNumberFormat="1" applyFont="1" applyFill="1" applyBorder="1"/>
    <xf numFmtId="171" fontId="73" fillId="0" borderId="159" xfId="1" applyNumberFormat="1" applyFont="1" applyFill="1" applyBorder="1"/>
    <xf numFmtId="171" fontId="73" fillId="0" borderId="170" xfId="1" applyNumberFormat="1" applyFont="1" applyFill="1" applyBorder="1"/>
    <xf numFmtId="0" fontId="29" fillId="0" borderId="0" xfId="15" applyFont="1" applyAlignment="1">
      <alignment horizontal="left" wrapText="1"/>
    </xf>
    <xf numFmtId="3" fontId="73" fillId="0" borderId="153" xfId="15" applyNumberFormat="1" applyFont="1" applyFill="1" applyBorder="1" applyAlignment="1">
      <alignment horizontal="right" vertical="top"/>
    </xf>
    <xf numFmtId="3" fontId="73" fillId="0" borderId="158" xfId="15" applyNumberFormat="1" applyFont="1" applyFill="1" applyBorder="1" applyAlignment="1">
      <alignment horizontal="right" vertical="top"/>
    </xf>
    <xf numFmtId="3" fontId="52" fillId="6" borderId="169" xfId="15" applyNumberFormat="1" applyFont="1" applyFill="1" applyBorder="1" applyAlignment="1">
      <alignment horizontal="right" vertical="top"/>
    </xf>
    <xf numFmtId="171" fontId="73" fillId="0" borderId="153" xfId="1" applyNumberFormat="1" applyFont="1" applyBorder="1"/>
    <xf numFmtId="171" fontId="73" fillId="0" borderId="158" xfId="1" applyNumberFormat="1" applyFont="1" applyBorder="1"/>
    <xf numFmtId="0" fontId="52" fillId="0" borderId="169" xfId="15" applyFont="1" applyBorder="1"/>
    <xf numFmtId="3" fontId="52" fillId="6" borderId="169" xfId="15" applyNumberFormat="1" applyFont="1" applyFill="1" applyBorder="1"/>
    <xf numFmtId="0" fontId="73" fillId="0" borderId="0" xfId="15" applyFont="1" applyAlignment="1">
      <alignment horizontal="left" wrapText="1"/>
    </xf>
    <xf numFmtId="167" fontId="53" fillId="0" borderId="0" xfId="0" applyNumberFormat="1" applyFont="1" applyBorder="1"/>
    <xf numFmtId="0" fontId="87" fillId="6" borderId="61" xfId="31" applyFont="1" applyFill="1" applyBorder="1" applyAlignment="1">
      <alignment horizontal="left" wrapText="1"/>
    </xf>
    <xf numFmtId="0" fontId="87" fillId="6" borderId="62" xfId="31" applyFont="1" applyFill="1" applyBorder="1" applyAlignment="1">
      <alignment wrapText="1"/>
    </xf>
    <xf numFmtId="0" fontId="87" fillId="6" borderId="63" xfId="31" applyFont="1" applyFill="1" applyBorder="1" applyAlignment="1">
      <alignment wrapText="1"/>
    </xf>
    <xf numFmtId="5" fontId="88" fillId="6" borderId="37" xfId="3" applyNumberFormat="1" applyFont="1" applyFill="1" applyBorder="1"/>
    <xf numFmtId="5" fontId="88" fillId="6" borderId="154" xfId="0" applyNumberFormat="1" applyFont="1" applyFill="1" applyBorder="1"/>
    <xf numFmtId="0" fontId="4" fillId="0" borderId="0" xfId="0" applyFont="1"/>
    <xf numFmtId="167" fontId="86" fillId="0" borderId="0" xfId="31" applyNumberFormat="1" applyFont="1" applyFill="1" applyBorder="1" applyAlignment="1">
      <alignment wrapText="1"/>
    </xf>
    <xf numFmtId="0" fontId="86" fillId="0" borderId="0" xfId="31" applyFont="1" applyFill="1" applyBorder="1" applyAlignment="1">
      <alignment wrapText="1"/>
    </xf>
    <xf numFmtId="0" fontId="118" fillId="0" borderId="0" xfId="0" applyFont="1" applyBorder="1"/>
    <xf numFmtId="167" fontId="86" fillId="0" borderId="81" xfId="32" applyNumberFormat="1" applyFont="1" applyFill="1" applyBorder="1" applyAlignment="1">
      <alignment horizontal="right" wrapText="1"/>
    </xf>
    <xf numFmtId="167" fontId="86" fillId="0" borderId="59" xfId="32" applyNumberFormat="1" applyFont="1" applyFill="1" applyBorder="1" applyAlignment="1">
      <alignment horizontal="right" wrapText="1"/>
    </xf>
    <xf numFmtId="5" fontId="86" fillId="0" borderId="60" xfId="32" applyNumberFormat="1" applyFont="1" applyFill="1" applyBorder="1" applyAlignment="1">
      <alignment horizontal="right" wrapText="1"/>
    </xf>
    <xf numFmtId="5" fontId="4" fillId="0" borderId="153" xfId="0" applyNumberFormat="1" applyFont="1" applyBorder="1"/>
    <xf numFmtId="0" fontId="4" fillId="0" borderId="0" xfId="0" applyFont="1" applyBorder="1"/>
    <xf numFmtId="167" fontId="86" fillId="0" borderId="37" xfId="32" applyNumberFormat="1" applyFont="1" applyBorder="1"/>
    <xf numFmtId="167" fontId="86" fillId="0" borderId="38" xfId="32" applyNumberFormat="1" applyFont="1" applyBorder="1"/>
    <xf numFmtId="167" fontId="86" fillId="0" borderId="37" xfId="32" applyNumberFormat="1" applyFont="1" applyFill="1" applyBorder="1" applyAlignment="1">
      <alignment horizontal="right" wrapText="1"/>
    </xf>
    <xf numFmtId="167" fontId="86" fillId="0" borderId="38" xfId="32" applyNumberFormat="1" applyFont="1" applyFill="1" applyBorder="1" applyAlignment="1">
      <alignment horizontal="right" wrapText="1"/>
    </xf>
    <xf numFmtId="0" fontId="118" fillId="0" borderId="12" xfId="0" applyFont="1" applyBorder="1"/>
    <xf numFmtId="167" fontId="86" fillId="0" borderId="75" xfId="32" applyNumberFormat="1" applyFont="1" applyFill="1" applyBorder="1" applyAlignment="1">
      <alignment horizontal="right" wrapText="1"/>
    </xf>
    <xf numFmtId="167" fontId="86" fillId="0" borderId="76" xfId="32" applyNumberFormat="1" applyFont="1" applyFill="1" applyBorder="1" applyAlignment="1">
      <alignment horizontal="right" wrapText="1"/>
    </xf>
    <xf numFmtId="166" fontId="4" fillId="0" borderId="0" xfId="0" applyNumberFormat="1" applyFont="1"/>
    <xf numFmtId="0" fontId="87" fillId="0" borderId="2" xfId="21" applyFont="1" applyFill="1" applyBorder="1" applyAlignment="1">
      <alignment horizontal="center" wrapText="1"/>
    </xf>
    <xf numFmtId="0" fontId="87" fillId="0" borderId="6" xfId="21" applyFont="1" applyFill="1" applyBorder="1" applyAlignment="1">
      <alignment horizontal="left"/>
    </xf>
    <xf numFmtId="0" fontId="87" fillId="0" borderId="2" xfId="21" applyFont="1" applyFill="1" applyBorder="1" applyAlignment="1">
      <alignment horizontal="center"/>
    </xf>
    <xf numFmtId="0" fontId="87" fillId="22" borderId="0" xfId="21" applyFont="1" applyFill="1" applyBorder="1" applyAlignment="1">
      <alignment horizontal="center"/>
    </xf>
    <xf numFmtId="0" fontId="87" fillId="22" borderId="0" xfId="21" applyFont="1" applyFill="1" applyBorder="1" applyAlignment="1">
      <alignment horizontal="left"/>
    </xf>
    <xf numFmtId="167" fontId="88" fillId="6" borderId="3" xfId="0" applyNumberFormat="1" applyFont="1" applyFill="1" applyBorder="1"/>
    <xf numFmtId="0" fontId="86" fillId="0" borderId="1" xfId="21" applyFont="1" applyFill="1" applyBorder="1" applyAlignment="1">
      <alignment horizontal="center" wrapText="1"/>
    </xf>
    <xf numFmtId="0" fontId="86" fillId="0" borderId="11" xfId="21" applyFont="1" applyFill="1" applyBorder="1" applyAlignment="1">
      <alignment wrapText="1"/>
    </xf>
    <xf numFmtId="5" fontId="119" fillId="0" borderId="78" xfId="29" applyNumberFormat="1" applyFont="1" applyFill="1" applyBorder="1" applyAlignment="1">
      <alignment horizontal="right" wrapText="1"/>
    </xf>
    <xf numFmtId="0" fontId="87" fillId="0" borderId="79" xfId="21" applyFont="1" applyFill="1" applyBorder="1" applyAlignment="1">
      <alignment horizontal="center" wrapText="1"/>
    </xf>
    <xf numFmtId="0" fontId="87" fillId="0" borderId="79" xfId="22" applyFont="1" applyFill="1" applyBorder="1" applyAlignment="1">
      <alignment horizontal="left"/>
    </xf>
    <xf numFmtId="0" fontId="87" fillId="22" borderId="3" xfId="21" applyFont="1" applyFill="1" applyBorder="1" applyAlignment="1">
      <alignment horizontal="center"/>
    </xf>
    <xf numFmtId="0" fontId="87" fillId="22" borderId="3" xfId="22" applyFont="1" applyFill="1" applyBorder="1" applyAlignment="1">
      <alignment horizontal="left"/>
    </xf>
    <xf numFmtId="0" fontId="86" fillId="0" borderId="3" xfId="21" applyFont="1" applyFill="1" applyBorder="1" applyAlignment="1">
      <alignment horizontal="center" wrapText="1"/>
    </xf>
    <xf numFmtId="0" fontId="86" fillId="0" borderId="3" xfId="22" applyFont="1" applyFill="1" applyBorder="1" applyAlignment="1">
      <alignment wrapText="1"/>
    </xf>
    <xf numFmtId="0" fontId="86" fillId="0" borderId="80" xfId="21" applyFont="1" applyFill="1" applyBorder="1" applyAlignment="1">
      <alignment horizontal="center" wrapText="1"/>
    </xf>
    <xf numFmtId="0" fontId="86" fillId="0" borderId="80" xfId="22" applyFont="1" applyFill="1" applyBorder="1" applyAlignment="1">
      <alignment wrapText="1"/>
    </xf>
    <xf numFmtId="166" fontId="120" fillId="0" borderId="0" xfId="0" applyNumberFormat="1" applyFont="1"/>
    <xf numFmtId="37" fontId="100" fillId="0" borderId="0" xfId="33" applyNumberFormat="1" applyFont="1" applyAlignment="1">
      <alignment vertical="center"/>
    </xf>
    <xf numFmtId="9" fontId="101" fillId="0" borderId="0" xfId="33" applyFont="1" applyFill="1" applyBorder="1" applyAlignment="1">
      <alignment vertical="center" wrapText="1"/>
    </xf>
    <xf numFmtId="3" fontId="73" fillId="0" borderId="172" xfId="15" applyNumberFormat="1" applyFont="1" applyFill="1" applyBorder="1"/>
    <xf numFmtId="0" fontId="52" fillId="6" borderId="169" xfId="15" applyFont="1" applyFill="1" applyBorder="1" applyAlignment="1">
      <alignment horizontal="center"/>
    </xf>
    <xf numFmtId="0" fontId="52" fillId="6" borderId="169" xfId="15" applyFont="1" applyFill="1" applyBorder="1" applyAlignment="1">
      <alignment horizontal="left" wrapText="1"/>
    </xf>
    <xf numFmtId="5" fontId="79" fillId="0" borderId="0" xfId="14" applyNumberFormat="1" applyFont="1"/>
    <xf numFmtId="167" fontId="57" fillId="0" borderId="142" xfId="0" applyNumberFormat="1" applyFont="1" applyFill="1" applyBorder="1"/>
    <xf numFmtId="167" fontId="57" fillId="0" borderId="139" xfId="0" applyNumberFormat="1" applyFont="1" applyFill="1" applyBorder="1"/>
    <xf numFmtId="167" fontId="57" fillId="0" borderId="23" xfId="0" applyNumberFormat="1" applyFont="1" applyFill="1" applyBorder="1"/>
    <xf numFmtId="167" fontId="57" fillId="0" borderId="153" xfId="0" applyNumberFormat="1" applyFont="1" applyFill="1" applyBorder="1"/>
    <xf numFmtId="0" fontId="52" fillId="0" borderId="0" xfId="0" applyFont="1" applyBorder="1" applyAlignment="1">
      <alignment horizontal="center"/>
    </xf>
    <xf numFmtId="164" fontId="70" fillId="0" borderId="173" xfId="16" applyNumberFormat="1" applyFont="1" applyFill="1" applyBorder="1" applyAlignment="1">
      <alignment wrapText="1"/>
    </xf>
    <xf numFmtId="0" fontId="69" fillId="0" borderId="176" xfId="16" applyFont="1" applyFill="1" applyBorder="1" applyAlignment="1">
      <alignment horizontal="left"/>
    </xf>
    <xf numFmtId="0" fontId="69" fillId="6" borderId="0" xfId="16" applyFont="1" applyFill="1" applyBorder="1" applyAlignment="1">
      <alignment wrapText="1"/>
    </xf>
    <xf numFmtId="0" fontId="70" fillId="0" borderId="177" xfId="16" applyFont="1" applyFill="1" applyBorder="1" applyAlignment="1">
      <alignment wrapText="1"/>
    </xf>
    <xf numFmtId="0" fontId="70" fillId="0" borderId="178" xfId="16" applyFont="1" applyFill="1" applyBorder="1" applyAlignment="1">
      <alignment wrapText="1"/>
    </xf>
    <xf numFmtId="0" fontId="70" fillId="0" borderId="173" xfId="16" applyFont="1" applyFill="1" applyBorder="1" applyAlignment="1">
      <alignment wrapText="1"/>
    </xf>
    <xf numFmtId="0" fontId="70" fillId="0" borderId="173" xfId="16" applyFont="1" applyBorder="1"/>
    <xf numFmtId="171" fontId="73" fillId="8" borderId="139" xfId="1" applyNumberFormat="1" applyFont="1" applyFill="1" applyBorder="1"/>
    <xf numFmtId="171" fontId="73" fillId="8" borderId="179" xfId="1" applyNumberFormat="1" applyFont="1" applyFill="1" applyBorder="1"/>
    <xf numFmtId="171" fontId="73" fillId="8" borderId="20" xfId="1" applyNumberFormat="1" applyFont="1" applyFill="1" applyBorder="1"/>
    <xf numFmtId="171" fontId="73" fillId="0" borderId="139" xfId="1" applyNumberFormat="1" applyFont="1" applyBorder="1"/>
    <xf numFmtId="0" fontId="52" fillId="0" borderId="42" xfId="0" applyFont="1" applyBorder="1" applyAlignment="1">
      <alignment horizontal="center"/>
    </xf>
    <xf numFmtId="164" fontId="73" fillId="0" borderId="180" xfId="33" applyNumberFormat="1" applyFont="1" applyBorder="1"/>
    <xf numFmtId="164" fontId="73" fillId="0" borderId="168" xfId="33" applyNumberFormat="1" applyFont="1" applyBorder="1"/>
    <xf numFmtId="0" fontId="70" fillId="0" borderId="181" xfId="16" applyFont="1" applyBorder="1"/>
    <xf numFmtId="164" fontId="73" fillId="0" borderId="167" xfId="33" applyNumberFormat="1" applyFont="1" applyBorder="1"/>
    <xf numFmtId="164" fontId="73" fillId="0" borderId="139" xfId="33" applyNumberFormat="1" applyFont="1" applyBorder="1"/>
    <xf numFmtId="171" fontId="73" fillId="0" borderId="167" xfId="1" applyNumberFormat="1" applyFont="1" applyBorder="1"/>
    <xf numFmtId="171" fontId="73" fillId="0" borderId="168" xfId="1" applyNumberFormat="1" applyFont="1" applyBorder="1"/>
    <xf numFmtId="164" fontId="54" fillId="0" borderId="182" xfId="0" applyNumberFormat="1" applyFont="1" applyFill="1" applyBorder="1" applyAlignment="1">
      <alignment horizontal="center"/>
    </xf>
    <xf numFmtId="164" fontId="54" fillId="0" borderId="183" xfId="33" applyNumberFormat="1" applyFont="1" applyFill="1" applyBorder="1" applyAlignment="1">
      <alignment horizontal="center"/>
    </xf>
    <xf numFmtId="0" fontId="66" fillId="0" borderId="0" xfId="9" applyFont="1" applyAlignment="1">
      <alignment horizontal="left" vertical="top" wrapText="1"/>
    </xf>
    <xf numFmtId="3" fontId="70" fillId="0" borderId="184" xfId="16" applyNumberFormat="1" applyFont="1" applyFill="1" applyBorder="1" applyAlignment="1">
      <alignment horizontal="right" vertical="center" wrapText="1"/>
    </xf>
    <xf numFmtId="3" fontId="70" fillId="0" borderId="185" xfId="16" applyNumberFormat="1" applyFont="1" applyFill="1" applyBorder="1" applyAlignment="1">
      <alignment horizontal="right" vertical="center" wrapText="1"/>
    </xf>
    <xf numFmtId="3" fontId="70" fillId="0" borderId="185" xfId="16" applyNumberFormat="1" applyFont="1" applyBorder="1"/>
    <xf numFmtId="0" fontId="70" fillId="0" borderId="0" xfId="16" applyFont="1" applyBorder="1"/>
    <xf numFmtId="0" fontId="66" fillId="0" borderId="160" xfId="9" applyFont="1" applyBorder="1" applyAlignment="1">
      <alignment horizontal="center" wrapText="1"/>
    </xf>
    <xf numFmtId="3" fontId="61" fillId="0" borderId="160" xfId="9" applyNumberFormat="1" applyFont="1" applyBorder="1" applyAlignment="1">
      <alignment horizontal="right" indent="1"/>
    </xf>
    <xf numFmtId="49" fontId="55" fillId="19" borderId="169" xfId="0" applyNumberFormat="1" applyFont="1" applyFill="1" applyBorder="1" applyAlignment="1">
      <alignment horizontal="center"/>
    </xf>
    <xf numFmtId="3" fontId="54" fillId="0" borderId="108" xfId="0" applyNumberFormat="1" applyFont="1" applyFill="1" applyBorder="1" applyAlignment="1">
      <alignment horizontal="right" indent="1"/>
    </xf>
    <xf numFmtId="3" fontId="54" fillId="0" borderId="169" xfId="0" applyNumberFormat="1" applyFont="1" applyFill="1" applyBorder="1" applyAlignment="1">
      <alignment horizontal="right" indent="1"/>
    </xf>
    <xf numFmtId="0" fontId="52" fillId="0" borderId="0" xfId="0" applyFont="1" applyAlignment="1">
      <alignment wrapText="1"/>
    </xf>
    <xf numFmtId="3" fontId="71" fillId="0" borderId="0" xfId="0" applyNumberFormat="1" applyFont="1" applyFill="1"/>
    <xf numFmtId="9" fontId="73" fillId="0" borderId="0" xfId="33" applyFont="1" applyFill="1"/>
    <xf numFmtId="0" fontId="52" fillId="0" borderId="0" xfId="0" applyFont="1" applyAlignment="1">
      <alignment horizontal="center" wrapText="1"/>
    </xf>
    <xf numFmtId="0" fontId="69" fillId="0" borderId="186" xfId="16" applyFont="1" applyFill="1" applyBorder="1" applyAlignment="1">
      <alignment horizontal="center" vertical="center"/>
    </xf>
    <xf numFmtId="0" fontId="69" fillId="0" borderId="187" xfId="16" applyFont="1" applyFill="1" applyBorder="1" applyAlignment="1">
      <alignment horizontal="center" vertical="center"/>
    </xf>
    <xf numFmtId="0" fontId="69" fillId="0" borderId="188" xfId="16" applyFont="1" applyFill="1" applyBorder="1" applyAlignment="1">
      <alignment horizontal="center" vertical="center"/>
    </xf>
    <xf numFmtId="0" fontId="69" fillId="0" borderId="188" xfId="16" applyFont="1" applyBorder="1" applyAlignment="1">
      <alignment vertical="center"/>
    </xf>
    <xf numFmtId="0" fontId="69" fillId="0" borderId="189" xfId="16" applyFont="1" applyBorder="1" applyAlignment="1">
      <alignment vertical="center"/>
    </xf>
    <xf numFmtId="5" fontId="73" fillId="0" borderId="172" xfId="0" applyNumberFormat="1" applyFont="1" applyBorder="1" applyAlignment="1"/>
    <xf numFmtId="5" fontId="73" fillId="0" borderId="172" xfId="0" applyNumberFormat="1" applyFont="1" applyBorder="1"/>
    <xf numFmtId="164" fontId="69" fillId="23" borderId="172" xfId="14" applyNumberFormat="1" applyFont="1" applyFill="1" applyBorder="1" applyAlignment="1">
      <alignment horizontal="center" wrapText="1"/>
    </xf>
    <xf numFmtId="164" fontId="70" fillId="0" borderId="172" xfId="14" applyNumberFormat="1" applyFont="1" applyFill="1" applyBorder="1" applyAlignment="1">
      <alignment horizontal="center" wrapText="1"/>
    </xf>
    <xf numFmtId="164" fontId="70" fillId="0" borderId="158" xfId="14" applyNumberFormat="1" applyFont="1" applyFill="1" applyBorder="1" applyAlignment="1">
      <alignment horizontal="center" wrapText="1"/>
    </xf>
    <xf numFmtId="171" fontId="79" fillId="0" borderId="0" xfId="1" applyNumberFormat="1" applyFont="1" applyBorder="1"/>
    <xf numFmtId="171" fontId="67" fillId="23" borderId="175" xfId="1" applyNumberFormat="1" applyFont="1" applyFill="1" applyBorder="1"/>
    <xf numFmtId="171" fontId="79" fillId="0" borderId="175" xfId="1" applyNumberFormat="1" applyFont="1" applyBorder="1"/>
    <xf numFmtId="3" fontId="54" fillId="0" borderId="193" xfId="0" applyNumberFormat="1" applyFont="1" applyBorder="1" applyAlignment="1">
      <alignment horizontal="right" indent="1"/>
    </xf>
    <xf numFmtId="3" fontId="54" fillId="0" borderId="179" xfId="0" applyNumberFormat="1" applyFont="1" applyBorder="1" applyAlignment="1">
      <alignment horizontal="right" indent="1"/>
    </xf>
    <xf numFmtId="3" fontId="54" fillId="0" borderId="195" xfId="0" quotePrefix="1" applyNumberFormat="1" applyFont="1" applyFill="1" applyBorder="1" applyAlignment="1">
      <alignment horizontal="right" indent="1"/>
    </xf>
    <xf numFmtId="3" fontId="54" fillId="11" borderId="196" xfId="0" applyNumberFormat="1" applyFont="1" applyFill="1" applyBorder="1" applyAlignment="1">
      <alignment horizontal="right" indent="1"/>
    </xf>
    <xf numFmtId="3" fontId="54" fillId="11" borderId="175" xfId="0" quotePrefix="1" applyNumberFormat="1" applyFont="1" applyFill="1" applyBorder="1" applyAlignment="1">
      <alignment horizontal="right" indent="1"/>
    </xf>
    <xf numFmtId="3" fontId="54" fillId="0" borderId="196" xfId="0" applyNumberFormat="1" applyFont="1" applyBorder="1" applyAlignment="1">
      <alignment horizontal="right" indent="1"/>
    </xf>
    <xf numFmtId="3" fontId="54" fillId="0" borderId="175" xfId="0" quotePrefix="1" applyNumberFormat="1" applyFont="1" applyFill="1" applyBorder="1" applyAlignment="1">
      <alignment horizontal="right" indent="1"/>
    </xf>
    <xf numFmtId="0" fontId="39" fillId="0" borderId="0" xfId="16" applyFont="1"/>
    <xf numFmtId="0" fontId="73" fillId="0" borderId="0" xfId="15" applyFont="1" applyAlignment="1">
      <alignment horizontal="left" wrapText="1"/>
    </xf>
    <xf numFmtId="0" fontId="73" fillId="0" borderId="0" xfId="15" applyFont="1" applyAlignment="1">
      <alignment horizontal="left" wrapText="1"/>
    </xf>
    <xf numFmtId="171" fontId="73" fillId="0" borderId="172" xfId="1" applyNumberFormat="1" applyFont="1" applyFill="1" applyBorder="1"/>
    <xf numFmtId="171" fontId="73" fillId="0" borderId="158" xfId="1" applyNumberFormat="1" applyFont="1" applyFill="1" applyBorder="1"/>
    <xf numFmtId="3" fontId="73" fillId="0" borderId="172" xfId="15" applyNumberFormat="1" applyFont="1" applyBorder="1"/>
    <xf numFmtId="3" fontId="73" fillId="0" borderId="158" xfId="15" applyNumberFormat="1" applyFont="1" applyBorder="1"/>
    <xf numFmtId="0" fontId="66" fillId="0" borderId="160" xfId="0" applyFont="1" applyBorder="1" applyAlignment="1">
      <alignment horizontal="center" wrapText="1"/>
    </xf>
    <xf numFmtId="0" fontId="66" fillId="0" borderId="160" xfId="0" applyFont="1" applyBorder="1" applyAlignment="1">
      <alignment horizontal="center"/>
    </xf>
    <xf numFmtId="0" fontId="29" fillId="0" borderId="0" xfId="15" applyFont="1" applyAlignment="1">
      <alignment horizontal="left" wrapText="1"/>
    </xf>
    <xf numFmtId="0" fontId="28" fillId="0" borderId="0" xfId="16" applyFont="1"/>
    <xf numFmtId="5" fontId="88" fillId="6" borderId="9" xfId="3" applyNumberFormat="1" applyFont="1" applyFill="1" applyBorder="1"/>
    <xf numFmtId="172" fontId="25" fillId="0" borderId="192" xfId="0" applyNumberFormat="1" applyFont="1" applyFill="1" applyBorder="1"/>
    <xf numFmtId="3" fontId="25" fillId="6" borderId="192" xfId="0" applyNumberFormat="1" applyFont="1" applyFill="1" applyBorder="1" applyAlignment="1">
      <alignment horizontal="right" vertical="center"/>
    </xf>
    <xf numFmtId="3" fontId="23" fillId="0" borderId="0" xfId="0" applyNumberFormat="1" applyFont="1" applyFill="1" applyBorder="1" applyAlignment="1">
      <alignment horizontal="right" vertical="center"/>
    </xf>
    <xf numFmtId="3" fontId="23" fillId="0" borderId="0" xfId="0" applyNumberFormat="1" applyFont="1" applyFill="1" applyBorder="1"/>
    <xf numFmtId="3" fontId="25" fillId="6" borderId="192" xfId="0" applyNumberFormat="1" applyFont="1" applyFill="1" applyBorder="1"/>
    <xf numFmtId="172" fontId="25" fillId="0" borderId="169" xfId="0" applyNumberFormat="1" applyFont="1" applyFill="1" applyBorder="1"/>
    <xf numFmtId="0" fontId="68" fillId="0" borderId="0" xfId="0" applyFont="1" applyBorder="1"/>
    <xf numFmtId="179" fontId="23" fillId="0" borderId="172" xfId="0" applyNumberFormat="1" applyFont="1" applyFill="1" applyBorder="1"/>
    <xf numFmtId="165" fontId="23" fillId="0" borderId="199" xfId="0" applyNumberFormat="1" applyFont="1" applyFill="1" applyBorder="1"/>
    <xf numFmtId="179" fontId="23" fillId="0" borderId="196" xfId="0" applyNumberFormat="1" applyFont="1" applyFill="1" applyBorder="1"/>
    <xf numFmtId="179" fontId="25" fillId="6" borderId="169" xfId="0" applyNumberFormat="1" applyFont="1" applyFill="1" applyBorder="1"/>
    <xf numFmtId="165" fontId="0" fillId="0" borderId="0" xfId="0" applyNumberFormat="1"/>
    <xf numFmtId="0" fontId="52" fillId="0" borderId="192" xfId="15" applyFont="1" applyFill="1" applyBorder="1" applyAlignment="1">
      <alignment horizontal="center" wrapText="1"/>
    </xf>
    <xf numFmtId="171" fontId="73" fillId="0" borderId="194" xfId="1" applyNumberFormat="1" applyFont="1" applyFill="1" applyBorder="1"/>
    <xf numFmtId="0" fontId="55" fillId="18" borderId="201" xfId="0" applyFont="1" applyFill="1" applyBorder="1" applyAlignment="1">
      <alignment horizontal="center"/>
    </xf>
    <xf numFmtId="3" fontId="54" fillId="0" borderId="196" xfId="0" applyNumberFormat="1" applyFont="1" applyFill="1" applyBorder="1" applyAlignment="1">
      <alignment horizontal="right" indent="1"/>
    </xf>
    <xf numFmtId="3" fontId="54" fillId="0" borderId="159" xfId="0" applyNumberFormat="1" applyFont="1" applyFill="1" applyBorder="1" applyAlignment="1">
      <alignment horizontal="right" indent="1"/>
    </xf>
    <xf numFmtId="3" fontId="54" fillId="0" borderId="194" xfId="0" applyNumberFormat="1" applyFont="1" applyFill="1" applyBorder="1" applyAlignment="1">
      <alignment horizontal="right" indent="1"/>
    </xf>
    <xf numFmtId="3" fontId="52" fillId="6" borderId="171" xfId="15" applyNumberFormat="1" applyFont="1" applyFill="1" applyBorder="1" applyAlignment="1">
      <alignment horizontal="right" vertical="top"/>
    </xf>
    <xf numFmtId="3" fontId="52" fillId="6" borderId="20" xfId="15" applyNumberFormat="1" applyFont="1" applyFill="1" applyBorder="1" applyAlignment="1">
      <alignment horizontal="right" vertical="top"/>
    </xf>
    <xf numFmtId="3" fontId="52" fillId="6" borderId="159" xfId="15" applyNumberFormat="1" applyFont="1" applyFill="1" applyBorder="1" applyAlignment="1">
      <alignment horizontal="right" vertical="top"/>
    </xf>
    <xf numFmtId="3" fontId="52" fillId="6" borderId="194" xfId="15" applyNumberFormat="1" applyFont="1" applyFill="1" applyBorder="1" applyAlignment="1">
      <alignment horizontal="right" vertical="top"/>
    </xf>
    <xf numFmtId="3" fontId="54" fillId="9" borderId="196" xfId="0" applyNumberFormat="1" applyFont="1" applyFill="1" applyBorder="1" applyAlignment="1">
      <alignment horizontal="right" indent="1"/>
    </xf>
    <xf numFmtId="3" fontId="54" fillId="9" borderId="175" xfId="0" quotePrefix="1" applyNumberFormat="1" applyFont="1" applyFill="1" applyBorder="1" applyAlignment="1">
      <alignment horizontal="right" indent="1"/>
    </xf>
    <xf numFmtId="171" fontId="54" fillId="11" borderId="175" xfId="1" applyNumberFormat="1" applyFont="1" applyFill="1" applyBorder="1" applyAlignment="1">
      <alignment horizontal="right"/>
    </xf>
    <xf numFmtId="171" fontId="54" fillId="0" borderId="175" xfId="1" applyNumberFormat="1" applyFont="1" applyBorder="1" applyAlignment="1">
      <alignment horizontal="right"/>
    </xf>
    <xf numFmtId="171" fontId="54" fillId="11" borderId="175" xfId="1" applyNumberFormat="1" applyFont="1" applyFill="1" applyBorder="1"/>
    <xf numFmtId="0" fontId="29" fillId="0" borderId="0" xfId="15" applyFont="1" applyAlignment="1">
      <alignment horizontal="left" wrapText="1"/>
    </xf>
    <xf numFmtId="0" fontId="73" fillId="0" borderId="0" xfId="15" applyFont="1" applyAlignment="1">
      <alignment horizontal="left" wrapText="1"/>
    </xf>
    <xf numFmtId="0" fontId="54" fillId="0" borderId="202" xfId="0" applyFont="1" applyBorder="1"/>
    <xf numFmtId="0" fontId="54" fillId="0" borderId="203" xfId="0" applyFont="1" applyBorder="1"/>
    <xf numFmtId="0" fontId="54" fillId="0" borderId="204" xfId="0" applyFont="1" applyBorder="1"/>
    <xf numFmtId="0" fontId="55" fillId="19" borderId="206" xfId="0" applyFont="1" applyFill="1" applyBorder="1" applyAlignment="1">
      <alignment horizontal="center"/>
    </xf>
    <xf numFmtId="0" fontId="55" fillId="19" borderId="205" xfId="0" applyFont="1" applyFill="1" applyBorder="1" applyAlignment="1">
      <alignment horizontal="center"/>
    </xf>
    <xf numFmtId="0" fontId="55" fillId="19" borderId="171" xfId="0" applyFont="1" applyFill="1" applyBorder="1" applyAlignment="1">
      <alignment horizontal="center"/>
    </xf>
    <xf numFmtId="0" fontId="55" fillId="19" borderId="201" xfId="0" applyFont="1" applyFill="1" applyBorder="1" applyAlignment="1">
      <alignment horizontal="center"/>
    </xf>
    <xf numFmtId="0" fontId="54" fillId="0" borderId="197" xfId="0" applyFont="1" applyBorder="1"/>
    <xf numFmtId="0" fontId="55" fillId="19" borderId="190" xfId="0" applyFont="1" applyFill="1" applyBorder="1" applyAlignment="1">
      <alignment horizontal="center"/>
    </xf>
    <xf numFmtId="3" fontId="54" fillId="0" borderId="171" xfId="0" applyNumberFormat="1" applyFont="1" applyFill="1" applyBorder="1" applyAlignment="1">
      <alignment horizontal="right" indent="1"/>
    </xf>
    <xf numFmtId="3" fontId="54" fillId="0" borderId="201" xfId="0" applyNumberFormat="1" applyFont="1" applyFill="1" applyBorder="1" applyAlignment="1">
      <alignment horizontal="right" indent="1"/>
    </xf>
    <xf numFmtId="3" fontId="73" fillId="0" borderId="172" xfId="15" applyNumberFormat="1" applyFont="1" applyFill="1" applyBorder="1" applyAlignment="1">
      <alignment horizontal="right" vertical="top"/>
    </xf>
    <xf numFmtId="171" fontId="73" fillId="0" borderId="172" xfId="1" applyNumberFormat="1" applyFont="1" applyBorder="1"/>
    <xf numFmtId="0" fontId="55" fillId="19" borderId="186" xfId="0" applyFont="1" applyFill="1" applyBorder="1" applyAlignment="1">
      <alignment horizontal="center"/>
    </xf>
    <xf numFmtId="0" fontId="54" fillId="0" borderId="186" xfId="0" applyFont="1" applyBorder="1"/>
    <xf numFmtId="49" fontId="55" fillId="19" borderId="190" xfId="0" applyNumberFormat="1" applyFont="1" applyFill="1" applyBorder="1" applyAlignment="1">
      <alignment horizontal="center"/>
    </xf>
    <xf numFmtId="3" fontId="54" fillId="0" borderId="190" xfId="0" applyNumberFormat="1" applyFont="1" applyFill="1" applyBorder="1" applyAlignment="1">
      <alignment horizontal="right" indent="1"/>
    </xf>
    <xf numFmtId="0" fontId="79" fillId="0" borderId="0" xfId="14" applyFont="1" applyAlignment="1">
      <alignment horizontal="left" vertical="top" wrapText="1"/>
    </xf>
    <xf numFmtId="0" fontId="29" fillId="0" borderId="0" xfId="14" applyFont="1" applyFill="1" applyBorder="1" applyAlignment="1">
      <alignment horizontal="left" wrapText="1"/>
    </xf>
    <xf numFmtId="3" fontId="69" fillId="6" borderId="167" xfId="28" applyNumberFormat="1" applyFont="1" applyFill="1" applyBorder="1" applyAlignment="1">
      <alignment horizontal="center" wrapText="1"/>
    </xf>
    <xf numFmtId="0" fontId="70" fillId="0" borderId="0" xfId="28" applyFont="1" applyFill="1" applyBorder="1" applyAlignment="1">
      <alignment horizontal="center" wrapText="1"/>
    </xf>
    <xf numFmtId="0" fontId="70" fillId="0" borderId="0" xfId="28" applyFont="1" applyFill="1" applyBorder="1" applyAlignment="1">
      <alignment wrapText="1"/>
    </xf>
    <xf numFmtId="0" fontId="69" fillId="0" borderId="176" xfId="28" applyFont="1" applyFill="1" applyBorder="1" applyAlignment="1">
      <alignment horizontal="left"/>
    </xf>
    <xf numFmtId="3" fontId="69" fillId="6" borderId="198" xfId="28" applyNumberFormat="1" applyFont="1" applyFill="1" applyBorder="1" applyAlignment="1">
      <alignment horizontal="center" wrapText="1"/>
    </xf>
    <xf numFmtId="0" fontId="69" fillId="0" borderId="210" xfId="28" applyFont="1" applyFill="1" applyBorder="1" applyAlignment="1">
      <alignment horizontal="center" wrapText="1"/>
    </xf>
    <xf numFmtId="0" fontId="69" fillId="0" borderId="211" xfId="28" applyFont="1" applyFill="1" applyBorder="1" applyAlignment="1">
      <alignment horizontal="center" wrapText="1"/>
    </xf>
    <xf numFmtId="0" fontId="69" fillId="0" borderId="212" xfId="28" applyFont="1" applyFill="1" applyBorder="1" applyAlignment="1">
      <alignment horizontal="center" wrapText="1"/>
    </xf>
    <xf numFmtId="3" fontId="69" fillId="6" borderId="196" xfId="28" applyNumberFormat="1" applyFont="1" applyFill="1" applyBorder="1" applyAlignment="1">
      <alignment horizontal="center" wrapText="1"/>
    </xf>
    <xf numFmtId="3" fontId="69" fillId="6" borderId="175" xfId="28" applyNumberFormat="1" applyFont="1" applyFill="1" applyBorder="1" applyAlignment="1">
      <alignment horizontal="center" wrapText="1"/>
    </xf>
    <xf numFmtId="3" fontId="70" fillId="0" borderId="167" xfId="28" applyNumberFormat="1" applyFont="1" applyFill="1" applyBorder="1" applyAlignment="1">
      <alignment horizontal="right" wrapText="1"/>
    </xf>
    <xf numFmtId="3" fontId="70" fillId="0" borderId="196" xfId="28" applyNumberFormat="1" applyFont="1" applyFill="1" applyBorder="1" applyAlignment="1">
      <alignment horizontal="right" wrapText="1"/>
    </xf>
    <xf numFmtId="3" fontId="70" fillId="0" borderId="175" xfId="28" applyNumberFormat="1" applyFont="1" applyFill="1" applyBorder="1" applyAlignment="1">
      <alignment horizontal="right" wrapText="1"/>
    </xf>
    <xf numFmtId="3" fontId="70" fillId="0" borderId="196" xfId="28" applyNumberFormat="1" applyFont="1" applyBorder="1"/>
    <xf numFmtId="3" fontId="70" fillId="0" borderId="196" xfId="28" applyNumberFormat="1" applyFont="1" applyFill="1" applyBorder="1"/>
    <xf numFmtId="3" fontId="70" fillId="0" borderId="175" xfId="28" applyNumberFormat="1" applyFont="1" applyBorder="1"/>
    <xf numFmtId="3" fontId="70" fillId="0" borderId="167" xfId="28" applyNumberFormat="1" applyFont="1" applyBorder="1"/>
    <xf numFmtId="0" fontId="69" fillId="0" borderId="0" xfId="14" applyFont="1" applyFill="1" applyBorder="1" applyAlignment="1">
      <alignment horizontal="center"/>
    </xf>
    <xf numFmtId="0" fontId="69" fillId="0" borderId="160" xfId="14" applyFont="1" applyFill="1" applyBorder="1" applyAlignment="1">
      <alignment horizontal="center"/>
    </xf>
    <xf numFmtId="0" fontId="69" fillId="0" borderId="14" xfId="14" applyFont="1" applyFill="1" applyBorder="1" applyAlignment="1">
      <alignment horizontal="center" wrapText="1"/>
    </xf>
    <xf numFmtId="0" fontId="54" fillId="0" borderId="190" xfId="0" applyFont="1" applyBorder="1" applyAlignment="1">
      <alignment horizontal="right" indent="1"/>
    </xf>
    <xf numFmtId="171" fontId="54" fillId="0" borderId="169" xfId="1" applyNumberFormat="1" applyFont="1" applyFill="1" applyBorder="1" applyAlignment="1">
      <alignment horizontal="right" vertical="top" wrapText="1" indent="1"/>
    </xf>
    <xf numFmtId="3" fontId="71" fillId="0" borderId="0" xfId="1" applyNumberFormat="1" applyFont="1" applyFill="1"/>
    <xf numFmtId="0" fontId="52" fillId="0" borderId="0" xfId="0" applyFont="1" applyBorder="1" applyAlignment="1">
      <alignment horizontal="center"/>
    </xf>
    <xf numFmtId="164" fontId="69" fillId="6" borderId="55" xfId="16" applyNumberFormat="1" applyFont="1" applyFill="1" applyBorder="1" applyAlignment="1">
      <alignment wrapText="1"/>
    </xf>
    <xf numFmtId="164" fontId="70" fillId="0" borderId="214" xfId="16" applyNumberFormat="1" applyFont="1" applyFill="1" applyBorder="1" applyAlignment="1">
      <alignment wrapText="1"/>
    </xf>
    <xf numFmtId="164" fontId="70" fillId="0" borderId="215" xfId="16" applyNumberFormat="1" applyFont="1" applyFill="1" applyBorder="1" applyAlignment="1">
      <alignment wrapText="1"/>
    </xf>
    <xf numFmtId="164" fontId="70" fillId="0" borderId="214" xfId="33" applyNumberFormat="1" applyFont="1" applyFill="1" applyBorder="1" applyAlignment="1">
      <alignment wrapText="1"/>
    </xf>
    <xf numFmtId="0" fontId="69" fillId="0" borderId="55" xfId="16" applyFont="1" applyBorder="1" applyAlignment="1">
      <alignment horizontal="center"/>
    </xf>
    <xf numFmtId="3" fontId="69" fillId="6" borderId="55" xfId="16" applyNumberFormat="1" applyFont="1" applyFill="1" applyBorder="1"/>
    <xf numFmtId="3" fontId="70" fillId="0" borderId="214" xfId="16" applyNumberFormat="1" applyFont="1" applyBorder="1"/>
    <xf numFmtId="3" fontId="70" fillId="0" borderId="144" xfId="16" applyNumberFormat="1" applyFont="1" applyBorder="1"/>
    <xf numFmtId="3" fontId="70" fillId="0" borderId="216" xfId="16" applyNumberFormat="1" applyFont="1" applyBorder="1"/>
    <xf numFmtId="164" fontId="73" fillId="0" borderId="216" xfId="33" applyNumberFormat="1" applyFont="1" applyBorder="1"/>
    <xf numFmtId="0" fontId="52" fillId="0" borderId="186" xfId="0" applyFont="1" applyBorder="1" applyAlignment="1">
      <alignment horizontal="center"/>
    </xf>
    <xf numFmtId="164" fontId="73" fillId="8" borderId="186" xfId="33" applyNumberFormat="1" applyFont="1" applyFill="1" applyBorder="1"/>
    <xf numFmtId="0" fontId="52" fillId="0" borderId="49" xfId="0" applyFont="1" applyFill="1" applyBorder="1" applyAlignment="1">
      <alignment horizontal="center"/>
    </xf>
    <xf numFmtId="164" fontId="73" fillId="0" borderId="49" xfId="33" applyNumberFormat="1" applyFont="1" applyFill="1" applyBorder="1"/>
    <xf numFmtId="0" fontId="52" fillId="0" borderId="186" xfId="0" applyFont="1" applyBorder="1"/>
    <xf numFmtId="171" fontId="73" fillId="8" borderId="186" xfId="1" applyNumberFormat="1" applyFont="1" applyFill="1" applyBorder="1"/>
    <xf numFmtId="171" fontId="73" fillId="0" borderId="216" xfId="1" applyNumberFormat="1" applyFont="1" applyFill="1" applyBorder="1"/>
    <xf numFmtId="171" fontId="73" fillId="0" borderId="216" xfId="1" applyNumberFormat="1" applyFont="1" applyBorder="1"/>
    <xf numFmtId="49" fontId="66" fillId="0" borderId="0" xfId="9" applyNumberFormat="1" applyFont="1"/>
    <xf numFmtId="0" fontId="66" fillId="0" borderId="160" xfId="0" applyFont="1" applyBorder="1" applyAlignment="1">
      <alignment horizontal="center" wrapText="1"/>
    </xf>
    <xf numFmtId="0" fontId="66" fillId="0" borderId="160" xfId="0" applyFont="1" applyBorder="1" applyAlignment="1">
      <alignment horizontal="center"/>
    </xf>
    <xf numFmtId="0" fontId="66" fillId="0" borderId="0" xfId="0" applyFont="1" applyBorder="1" applyAlignment="1">
      <alignment horizontal="center"/>
    </xf>
    <xf numFmtId="0" fontId="66" fillId="0" borderId="0" xfId="9" applyFont="1" applyAlignment="1">
      <alignment horizontal="left" vertical="top" wrapText="1"/>
    </xf>
    <xf numFmtId="172" fontId="25" fillId="0" borderId="189" xfId="0" applyNumberFormat="1" applyFont="1" applyFill="1" applyBorder="1"/>
    <xf numFmtId="3" fontId="23" fillId="0" borderId="216" xfId="0" applyNumberFormat="1" applyFont="1" applyFill="1" applyBorder="1" applyAlignment="1">
      <alignment horizontal="right" vertical="center"/>
    </xf>
    <xf numFmtId="3" fontId="23" fillId="0" borderId="216" xfId="0" applyNumberFormat="1" applyFont="1" applyFill="1" applyBorder="1"/>
    <xf numFmtId="3" fontId="23" fillId="0" borderId="196" xfId="0" applyNumberFormat="1" applyFont="1" applyFill="1" applyBorder="1"/>
    <xf numFmtId="172" fontId="25" fillId="0" borderId="186" xfId="0" applyNumberFormat="1" applyFont="1" applyFill="1" applyBorder="1"/>
    <xf numFmtId="3" fontId="25" fillId="6" borderId="186" xfId="0" applyNumberFormat="1" applyFont="1" applyFill="1" applyBorder="1"/>
    <xf numFmtId="172" fontId="25" fillId="0" borderId="201" xfId="0" applyNumberFormat="1" applyFont="1" applyFill="1" applyBorder="1"/>
    <xf numFmtId="3" fontId="25" fillId="6" borderId="201" xfId="0" applyNumberFormat="1" applyFont="1" applyFill="1" applyBorder="1"/>
    <xf numFmtId="0" fontId="66" fillId="0" borderId="160" xfId="0" applyFont="1" applyBorder="1" applyAlignment="1">
      <alignment horizontal="center" wrapText="1"/>
    </xf>
    <xf numFmtId="0" fontId="66" fillId="0" borderId="160" xfId="0" applyFont="1" applyBorder="1" applyAlignment="1">
      <alignment horizontal="center"/>
    </xf>
    <xf numFmtId="17" fontId="52" fillId="0" borderId="0" xfId="15" applyNumberFormat="1" applyFont="1" applyAlignment="1">
      <alignment horizontal="center" wrapText="1"/>
    </xf>
    <xf numFmtId="0" fontId="52" fillId="0" borderId="0" xfId="15" applyFont="1" applyAlignment="1">
      <alignment wrapText="1"/>
    </xf>
    <xf numFmtId="171" fontId="73" fillId="6" borderId="189" xfId="1" applyNumberFormat="1" applyFont="1" applyFill="1" applyBorder="1" applyAlignment="1">
      <alignment horizontal="center" wrapText="1"/>
    </xf>
    <xf numFmtId="171" fontId="73" fillId="6" borderId="213" xfId="1" applyNumberFormat="1" applyFont="1" applyFill="1" applyBorder="1" applyAlignment="1">
      <alignment horizontal="center" wrapText="1"/>
    </xf>
    <xf numFmtId="171" fontId="73" fillId="6" borderId="213" xfId="1" applyNumberFormat="1" applyFont="1" applyFill="1" applyBorder="1"/>
    <xf numFmtId="0" fontId="66" fillId="0" borderId="0" xfId="9" applyFont="1" applyAlignment="1">
      <alignment wrapText="1"/>
    </xf>
    <xf numFmtId="2" fontId="61" fillId="0" borderId="0" xfId="9" applyNumberFormat="1" applyFont="1"/>
    <xf numFmtId="3" fontId="70" fillId="0" borderId="159" xfId="14" applyNumberFormat="1" applyFont="1" applyFill="1" applyBorder="1" applyAlignment="1">
      <alignment horizontal="right" wrapText="1"/>
    </xf>
    <xf numFmtId="3" fontId="70" fillId="0" borderId="194" xfId="14" applyNumberFormat="1" applyFont="1" applyFill="1" applyBorder="1" applyAlignment="1">
      <alignment horizontal="right" wrapText="1"/>
    </xf>
    <xf numFmtId="171" fontId="79" fillId="0" borderId="159" xfId="1" applyNumberFormat="1" applyFont="1" applyBorder="1"/>
    <xf numFmtId="3" fontId="73" fillId="0" borderId="194" xfId="0" applyNumberFormat="1" applyFont="1" applyBorder="1"/>
    <xf numFmtId="171" fontId="79" fillId="0" borderId="219" xfId="1" applyNumberFormat="1" applyFont="1" applyBorder="1"/>
    <xf numFmtId="0" fontId="79" fillId="0" borderId="159" xfId="14" applyFont="1" applyBorder="1"/>
    <xf numFmtId="171" fontId="79" fillId="0" borderId="197" xfId="1" applyNumberFormat="1" applyFont="1" applyBorder="1"/>
    <xf numFmtId="3" fontId="25" fillId="6" borderId="169" xfId="0" applyNumberFormat="1" applyFont="1" applyFill="1" applyBorder="1"/>
    <xf numFmtId="3" fontId="23" fillId="0" borderId="172" xfId="0" applyNumberFormat="1" applyFont="1" applyFill="1" applyBorder="1"/>
    <xf numFmtId="3" fontId="23" fillId="0" borderId="158" xfId="0" applyNumberFormat="1" applyFont="1" applyFill="1" applyBorder="1"/>
    <xf numFmtId="179" fontId="23" fillId="0" borderId="158" xfId="0" applyNumberFormat="1" applyFont="1" applyFill="1" applyBorder="1"/>
    <xf numFmtId="165" fontId="23" fillId="0" borderId="159" xfId="0" applyNumberFormat="1" applyFont="1" applyFill="1" applyBorder="1"/>
    <xf numFmtId="165" fontId="23" fillId="0" borderId="194" xfId="0" applyNumberFormat="1" applyFont="1" applyFill="1" applyBorder="1"/>
    <xf numFmtId="165" fontId="23" fillId="0" borderId="219" xfId="0" applyNumberFormat="1" applyFont="1" applyFill="1" applyBorder="1"/>
    <xf numFmtId="179" fontId="23" fillId="0" borderId="197" xfId="0" applyNumberFormat="1" applyFont="1" applyFill="1" applyBorder="1"/>
    <xf numFmtId="3" fontId="23" fillId="0" borderId="159" xfId="0" applyNumberFormat="1" applyFont="1" applyFill="1" applyBorder="1" applyAlignment="1" applyProtection="1">
      <alignment horizontal="right" vertical="center"/>
      <protection locked="0"/>
    </xf>
    <xf numFmtId="3" fontId="23" fillId="0" borderId="194" xfId="0" applyNumberFormat="1" applyFont="1" applyFill="1" applyBorder="1" applyAlignment="1" applyProtection="1">
      <alignment horizontal="right" vertical="center"/>
    </xf>
    <xf numFmtId="3" fontId="23" fillId="0" borderId="194" xfId="0" applyNumberFormat="1" applyFont="1" applyFill="1" applyBorder="1" applyAlignment="1" applyProtection="1">
      <alignment horizontal="right" vertical="center"/>
      <protection locked="0"/>
    </xf>
    <xf numFmtId="3" fontId="23" fillId="0" borderId="194" xfId="33" applyNumberFormat="1" applyFont="1" applyFill="1" applyBorder="1" applyAlignment="1" applyProtection="1">
      <alignment horizontal="right" vertical="center"/>
    </xf>
    <xf numFmtId="3" fontId="23" fillId="0" borderId="194" xfId="0" applyNumberFormat="1" applyFont="1" applyFill="1" applyBorder="1" applyAlignment="1">
      <alignment horizontal="right" vertical="center"/>
    </xf>
    <xf numFmtId="3" fontId="23" fillId="0" borderId="219" xfId="0" applyNumberFormat="1" applyFont="1" applyFill="1" applyBorder="1" applyAlignment="1">
      <alignment horizontal="right" vertical="center"/>
    </xf>
    <xf numFmtId="3" fontId="23" fillId="0" borderId="197" xfId="0" applyNumberFormat="1" applyFont="1" applyFill="1" applyBorder="1" applyAlignment="1">
      <alignment horizontal="right" vertical="center"/>
    </xf>
    <xf numFmtId="3" fontId="23" fillId="0" borderId="160" xfId="0" applyNumberFormat="1" applyFont="1" applyFill="1" applyBorder="1" applyAlignment="1">
      <alignment horizontal="right" vertical="center"/>
    </xf>
    <xf numFmtId="3" fontId="23" fillId="0" borderId="159" xfId="0" applyNumberFormat="1" applyFont="1" applyFill="1" applyBorder="1"/>
    <xf numFmtId="3" fontId="23" fillId="0" borderId="194" xfId="0" applyNumberFormat="1" applyFont="1" applyFill="1" applyBorder="1"/>
    <xf numFmtId="3" fontId="23" fillId="0" borderId="219" xfId="0" applyNumberFormat="1" applyFont="1" applyFill="1" applyBorder="1"/>
    <xf numFmtId="3" fontId="23" fillId="0" borderId="197" xfId="0" applyNumberFormat="1" applyFont="1" applyFill="1" applyBorder="1"/>
    <xf numFmtId="17" fontId="0" fillId="0" borderId="0" xfId="0" applyNumberFormat="1"/>
    <xf numFmtId="171" fontId="61" fillId="0" borderId="0" xfId="1" applyNumberFormat="1" applyFont="1"/>
    <xf numFmtId="171" fontId="61" fillId="0" borderId="0" xfId="1" applyNumberFormat="1" applyFont="1" applyFill="1"/>
    <xf numFmtId="0" fontId="73" fillId="0" borderId="155" xfId="0" applyFont="1" applyBorder="1"/>
    <xf numFmtId="0" fontId="73" fillId="0" borderId="220" xfId="0" applyFont="1" applyBorder="1"/>
    <xf numFmtId="49" fontId="66" fillId="0" borderId="0" xfId="9" applyNumberFormat="1" applyFont="1" applyBorder="1" applyAlignment="1">
      <alignment horizontal="center"/>
    </xf>
    <xf numFmtId="49" fontId="66" fillId="8" borderId="173" xfId="9" quotePrefix="1" applyNumberFormat="1" applyFont="1" applyFill="1" applyBorder="1" applyAlignment="1">
      <alignment horizontal="center"/>
    </xf>
    <xf numFmtId="0" fontId="66" fillId="8" borderId="173" xfId="9" applyFont="1" applyFill="1" applyBorder="1" applyAlignment="1">
      <alignment horizontal="left" wrapText="1"/>
    </xf>
    <xf numFmtId="171" fontId="61" fillId="8" borderId="173" xfId="1" applyNumberFormat="1" applyFont="1" applyFill="1" applyBorder="1"/>
    <xf numFmtId="2" fontId="61" fillId="8" borderId="173" xfId="9" applyNumberFormat="1" applyFont="1" applyFill="1" applyBorder="1"/>
    <xf numFmtId="0" fontId="73" fillId="8" borderId="191" xfId="0" applyFont="1" applyFill="1" applyBorder="1"/>
    <xf numFmtId="0" fontId="73" fillId="8" borderId="181" xfId="0" applyFont="1" applyFill="1" applyBorder="1"/>
    <xf numFmtId="0" fontId="67" fillId="0" borderId="189" xfId="0" applyFont="1" applyBorder="1"/>
    <xf numFmtId="0" fontId="67" fillId="0" borderId="221" xfId="0" applyFont="1" applyBorder="1"/>
    <xf numFmtId="5" fontId="52" fillId="6" borderId="222" xfId="0" applyNumberFormat="1" applyFont="1" applyFill="1" applyBorder="1" applyAlignment="1"/>
    <xf numFmtId="7" fontId="69" fillId="0" borderId="2" xfId="29" applyNumberFormat="1" applyFont="1" applyFill="1" applyBorder="1" applyAlignment="1">
      <alignment horizontal="center" wrapText="1"/>
    </xf>
    <xf numFmtId="5" fontId="87" fillId="6" borderId="55" xfId="3" applyNumberFormat="1" applyFont="1" applyFill="1" applyBorder="1" applyAlignment="1">
      <alignment wrapText="1"/>
    </xf>
    <xf numFmtId="0" fontId="87" fillId="0" borderId="2" xfId="32" applyFont="1" applyFill="1" applyBorder="1" applyAlignment="1">
      <alignment horizontal="left"/>
    </xf>
    <xf numFmtId="0" fontId="87" fillId="0" borderId="6" xfId="32" applyFont="1" applyFill="1" applyBorder="1" applyAlignment="1">
      <alignment horizontal="left"/>
    </xf>
    <xf numFmtId="0" fontId="87" fillId="0" borderId="71" xfId="32" applyFont="1" applyFill="1" applyBorder="1" applyAlignment="1">
      <alignment horizontal="center" wrapText="1"/>
    </xf>
    <xf numFmtId="0" fontId="87" fillId="0" borderId="54" xfId="32" applyFont="1" applyFill="1" applyBorder="1" applyAlignment="1">
      <alignment horizontal="center" wrapText="1"/>
    </xf>
    <xf numFmtId="0" fontId="87" fillId="0" borderId="72" xfId="32" applyFont="1" applyFill="1" applyBorder="1" applyAlignment="1">
      <alignment horizontal="center" wrapText="1"/>
    </xf>
    <xf numFmtId="0" fontId="87" fillId="0" borderId="65" xfId="32" applyFont="1" applyFill="1" applyBorder="1" applyAlignment="1">
      <alignment horizontal="center" wrapText="1"/>
    </xf>
    <xf numFmtId="167" fontId="86" fillId="0" borderId="248" xfId="32" applyNumberFormat="1" applyFont="1" applyFill="1" applyBorder="1" applyAlignment="1">
      <alignment wrapText="1"/>
    </xf>
    <xf numFmtId="0" fontId="45" fillId="0" borderId="249" xfId="0" applyFont="1" applyBorder="1"/>
    <xf numFmtId="5" fontId="86" fillId="0" borderId="250" xfId="3" applyNumberFormat="1" applyFont="1" applyFill="1" applyBorder="1" applyAlignment="1">
      <alignment wrapText="1"/>
    </xf>
    <xf numFmtId="5" fontId="86" fillId="0" borderId="251" xfId="3" applyNumberFormat="1" applyFont="1" applyFill="1" applyBorder="1" applyAlignment="1">
      <alignment wrapText="1"/>
    </xf>
    <xf numFmtId="5" fontId="86" fillId="0" borderId="252" xfId="3" applyNumberFormat="1" applyFont="1" applyFill="1" applyBorder="1" applyAlignment="1">
      <alignment wrapText="1"/>
    </xf>
    <xf numFmtId="5" fontId="86" fillId="0" borderId="249" xfId="3" applyNumberFormat="1" applyFont="1" applyFill="1" applyBorder="1" applyAlignment="1">
      <alignment wrapText="1"/>
    </xf>
    <xf numFmtId="167" fontId="86" fillId="0" borderId="253" xfId="32" applyNumberFormat="1" applyFont="1" applyFill="1" applyBorder="1" applyAlignment="1">
      <alignment wrapText="1"/>
    </xf>
    <xf numFmtId="0" fontId="45" fillId="0" borderId="238" xfId="0" applyFont="1" applyBorder="1"/>
    <xf numFmtId="5" fontId="86" fillId="0" borderId="239" xfId="3" applyNumberFormat="1" applyFont="1" applyFill="1" applyBorder="1" applyAlignment="1">
      <alignment wrapText="1"/>
    </xf>
    <xf numFmtId="5" fontId="86" fillId="0" borderId="240" xfId="3" applyNumberFormat="1" applyFont="1" applyFill="1" applyBorder="1" applyAlignment="1">
      <alignment wrapText="1"/>
    </xf>
    <xf numFmtId="5" fontId="86" fillId="0" borderId="242" xfId="3" applyNumberFormat="1" applyFont="1" applyFill="1" applyBorder="1" applyAlignment="1">
      <alignment wrapText="1"/>
    </xf>
    <xf numFmtId="5" fontId="86" fillId="0" borderId="238" xfId="3" applyNumberFormat="1" applyFont="1" applyFill="1" applyBorder="1" applyAlignment="1">
      <alignment wrapText="1"/>
    </xf>
    <xf numFmtId="176" fontId="86" fillId="0" borderId="253" xfId="3" applyNumberFormat="1" applyFont="1" applyFill="1" applyBorder="1" applyAlignment="1">
      <alignment wrapText="1"/>
    </xf>
    <xf numFmtId="0" fontId="45" fillId="0" borderId="255" xfId="0" applyFont="1" applyBorder="1"/>
    <xf numFmtId="5" fontId="86" fillId="0" borderId="256" xfId="3" applyNumberFormat="1" applyFont="1" applyFill="1" applyBorder="1" applyAlignment="1">
      <alignment wrapText="1"/>
    </xf>
    <xf numFmtId="5" fontId="86" fillId="0" borderId="257" xfId="3" applyNumberFormat="1" applyFont="1" applyFill="1" applyBorder="1" applyAlignment="1">
      <alignment wrapText="1"/>
    </xf>
    <xf numFmtId="5" fontId="86" fillId="0" borderId="258" xfId="3" applyNumberFormat="1" applyFont="1" applyFill="1" applyBorder="1" applyAlignment="1">
      <alignment wrapText="1"/>
    </xf>
    <xf numFmtId="5" fontId="86" fillId="0" borderId="255" xfId="3" applyNumberFormat="1" applyFont="1" applyFill="1" applyBorder="1" applyAlignment="1">
      <alignment wrapText="1"/>
    </xf>
    <xf numFmtId="0" fontId="73" fillId="0" borderId="259" xfId="0" applyFont="1" applyBorder="1"/>
    <xf numFmtId="0" fontId="73" fillId="0" borderId="238" xfId="0" applyFont="1" applyBorder="1"/>
    <xf numFmtId="0" fontId="73" fillId="0" borderId="264" xfId="0" applyFont="1" applyBorder="1"/>
    <xf numFmtId="5" fontId="73" fillId="0" borderId="167" xfId="0" applyNumberFormat="1" applyFont="1" applyBorder="1" applyAlignment="1"/>
    <xf numFmtId="5" fontId="73" fillId="0" borderId="196" xfId="0" applyNumberFormat="1" applyFont="1" applyBorder="1" applyAlignment="1"/>
    <xf numFmtId="5" fontId="73" fillId="0" borderId="175" xfId="0" applyNumberFormat="1" applyFont="1" applyBorder="1" applyAlignment="1"/>
    <xf numFmtId="0" fontId="69" fillId="0" borderId="6" xfId="24" applyFont="1" applyFill="1" applyBorder="1" applyAlignment="1">
      <alignment horizontal="left"/>
    </xf>
    <xf numFmtId="7" fontId="69" fillId="0" borderId="71" xfId="24" applyNumberFormat="1" applyFont="1" applyFill="1" applyBorder="1" applyAlignment="1">
      <alignment horizontal="center" wrapText="1"/>
    </xf>
    <xf numFmtId="7" fontId="69" fillId="0" borderId="54" xfId="24" applyNumberFormat="1" applyFont="1" applyFill="1" applyBorder="1" applyAlignment="1">
      <alignment horizontal="center" wrapText="1"/>
    </xf>
    <xf numFmtId="7" fontId="69" fillId="0" borderId="72" xfId="24" applyNumberFormat="1" applyFont="1" applyFill="1" applyBorder="1" applyAlignment="1">
      <alignment horizontal="center" wrapText="1"/>
    </xf>
    <xf numFmtId="5" fontId="52" fillId="6" borderId="223" xfId="0" applyNumberFormat="1" applyFont="1" applyFill="1" applyBorder="1" applyAlignment="1"/>
    <xf numFmtId="5" fontId="52" fillId="6" borderId="276" xfId="0" applyNumberFormat="1" applyFont="1" applyFill="1" applyBorder="1" applyAlignment="1"/>
    <xf numFmtId="5" fontId="52" fillId="6" borderId="174" xfId="0" applyNumberFormat="1" applyFont="1" applyFill="1" applyBorder="1" applyAlignment="1"/>
    <xf numFmtId="0" fontId="70" fillId="0" borderId="267" xfId="24" quotePrefix="1" applyFont="1" applyFill="1" applyBorder="1" applyAlignment="1">
      <alignment horizontal="center" wrapText="1"/>
    </xf>
    <xf numFmtId="0" fontId="70" fillId="0" borderId="268" xfId="24" applyFont="1" applyFill="1" applyBorder="1" applyAlignment="1">
      <alignment wrapText="1"/>
    </xf>
    <xf numFmtId="0" fontId="70" fillId="0" borderId="146" xfId="24" applyFont="1" applyFill="1" applyBorder="1" applyAlignment="1">
      <alignment wrapText="1"/>
    </xf>
    <xf numFmtId="5" fontId="73" fillId="0" borderId="224" xfId="0" applyNumberFormat="1" applyFont="1" applyBorder="1" applyAlignment="1"/>
    <xf numFmtId="5" fontId="73" fillId="0" borderId="225" xfId="0" applyNumberFormat="1" applyFont="1" applyBorder="1" applyAlignment="1"/>
    <xf numFmtId="5" fontId="73" fillId="0" borderId="226" xfId="0" applyNumberFormat="1" applyFont="1" applyBorder="1" applyAlignment="1"/>
    <xf numFmtId="5" fontId="73" fillId="0" borderId="281" xfId="0" applyNumberFormat="1" applyFont="1" applyFill="1" applyBorder="1" applyAlignment="1"/>
    <xf numFmtId="0" fontId="70" fillId="0" borderId="267" xfId="24" applyFont="1" applyFill="1" applyBorder="1" applyAlignment="1">
      <alignment horizontal="center" wrapText="1"/>
    </xf>
    <xf numFmtId="0" fontId="70" fillId="0" borderId="269" xfId="24" applyFont="1" applyFill="1" applyBorder="1" applyAlignment="1">
      <alignment wrapText="1"/>
    </xf>
    <xf numFmtId="5" fontId="73" fillId="0" borderId="270" xfId="0" applyNumberFormat="1" applyFont="1" applyBorder="1" applyAlignment="1"/>
    <xf numFmtId="5" fontId="73" fillId="0" borderId="272" xfId="0" applyNumberFormat="1" applyFont="1" applyBorder="1" applyAlignment="1"/>
    <xf numFmtId="5" fontId="73" fillId="0" borderId="282" xfId="0" applyNumberFormat="1" applyFont="1" applyFill="1" applyBorder="1" applyAlignment="1"/>
    <xf numFmtId="0" fontId="69" fillId="0" borderId="6" xfId="25" applyFont="1" applyFill="1" applyBorder="1" applyAlignment="1">
      <alignment horizontal="left"/>
    </xf>
    <xf numFmtId="167" fontId="70" fillId="0" borderId="268" xfId="25" applyNumberFormat="1" applyFont="1" applyFill="1" applyBorder="1" applyAlignment="1">
      <alignment wrapText="1"/>
    </xf>
    <xf numFmtId="0" fontId="69" fillId="0" borderId="71" xfId="25" applyFont="1" applyFill="1" applyBorder="1" applyAlignment="1">
      <alignment horizontal="center" wrapText="1"/>
    </xf>
    <xf numFmtId="0" fontId="69" fillId="0" borderId="54" xfId="25" applyFont="1" applyFill="1" applyBorder="1" applyAlignment="1">
      <alignment horizontal="center"/>
    </xf>
    <xf numFmtId="0" fontId="69" fillId="0" borderId="72" xfId="25" applyFont="1" applyFill="1" applyBorder="1" applyAlignment="1">
      <alignment horizontal="center"/>
    </xf>
    <xf numFmtId="167" fontId="69" fillId="6" borderId="270" xfId="25" applyNumberFormat="1" applyFont="1" applyFill="1" applyBorder="1" applyAlignment="1">
      <alignment wrapText="1"/>
    </xf>
    <xf numFmtId="167" fontId="69" fillId="6" borderId="272" xfId="25" applyNumberFormat="1" applyFont="1" applyFill="1" applyBorder="1" applyAlignment="1">
      <alignment wrapText="1"/>
    </xf>
    <xf numFmtId="167" fontId="69" fillId="6" borderId="271" xfId="25" applyNumberFormat="1" applyFont="1" applyFill="1" applyBorder="1" applyAlignment="1">
      <alignment wrapText="1"/>
    </xf>
    <xf numFmtId="167" fontId="70" fillId="0" borderId="270" xfId="25" applyNumberFormat="1" applyFont="1" applyFill="1" applyBorder="1" applyAlignment="1">
      <alignment wrapText="1"/>
    </xf>
    <xf numFmtId="167" fontId="70" fillId="0" borderId="272" xfId="25" applyNumberFormat="1" applyFont="1" applyFill="1" applyBorder="1" applyAlignment="1">
      <alignment horizontal="right" wrapText="1"/>
    </xf>
    <xf numFmtId="167" fontId="70" fillId="0" borderId="271" xfId="25" applyNumberFormat="1" applyFont="1" applyFill="1" applyBorder="1" applyAlignment="1">
      <alignment horizontal="right" wrapText="1"/>
    </xf>
    <xf numFmtId="0" fontId="73" fillId="0" borderId="223" xfId="0" applyFont="1" applyBorder="1"/>
    <xf numFmtId="0" fontId="73" fillId="0" borderId="277" xfId="0" applyFont="1" applyBorder="1"/>
    <xf numFmtId="0" fontId="73" fillId="0" borderId="278" xfId="0" applyFont="1" applyBorder="1"/>
    <xf numFmtId="0" fontId="69" fillId="0" borderId="71" xfId="20" applyFont="1" applyFill="1" applyBorder="1" applyAlignment="1">
      <alignment horizontal="center"/>
    </xf>
    <xf numFmtId="0" fontId="69" fillId="0" borderId="54" xfId="20" applyFont="1" applyFill="1" applyBorder="1" applyAlignment="1">
      <alignment horizontal="center"/>
    </xf>
    <xf numFmtId="0" fontId="69" fillId="0" borderId="72" xfId="20" applyFont="1" applyFill="1" applyBorder="1" applyAlignment="1">
      <alignment horizontal="center" wrapText="1"/>
    </xf>
    <xf numFmtId="167" fontId="31" fillId="0" borderId="270" xfId="26" applyNumberFormat="1" applyFont="1" applyFill="1" applyBorder="1" applyAlignment="1">
      <alignment horizontal="right" wrapText="1"/>
    </xf>
    <xf numFmtId="167" fontId="31" fillId="0" borderId="272" xfId="26" applyNumberFormat="1" applyFont="1" applyFill="1" applyBorder="1" applyAlignment="1">
      <alignment horizontal="right" wrapText="1"/>
    </xf>
    <xf numFmtId="167" fontId="31" fillId="0" borderId="271" xfId="26" applyNumberFormat="1" applyFont="1" applyFill="1" applyBorder="1" applyAlignment="1">
      <alignment horizontal="right" wrapText="1"/>
    </xf>
    <xf numFmtId="5" fontId="73" fillId="0" borderId="277" xfId="0" applyNumberFormat="1" applyFont="1" applyBorder="1"/>
    <xf numFmtId="5" fontId="73" fillId="0" borderId="278" xfId="0" applyNumberFormat="1" applyFont="1" applyBorder="1"/>
    <xf numFmtId="5" fontId="73" fillId="0" borderId="277" xfId="0" applyNumberFormat="1" applyFont="1" applyFill="1" applyBorder="1" applyAlignment="1"/>
    <xf numFmtId="5" fontId="73" fillId="0" borderId="278" xfId="0" applyNumberFormat="1" applyFont="1" applyFill="1" applyBorder="1" applyAlignment="1"/>
    <xf numFmtId="0" fontId="52" fillId="0" borderId="72" xfId="0" applyFont="1" applyBorder="1"/>
    <xf numFmtId="167" fontId="69" fillId="6" borderId="226" xfId="25" applyNumberFormat="1" applyFont="1" applyFill="1" applyBorder="1" applyAlignment="1">
      <alignment wrapText="1"/>
    </xf>
    <xf numFmtId="167" fontId="73" fillId="0" borderId="278" xfId="3" applyNumberFormat="1" applyFont="1" applyBorder="1"/>
    <xf numFmtId="5" fontId="4" fillId="0" borderId="283" xfId="0" applyNumberFormat="1" applyFont="1" applyBorder="1" applyAlignment="1"/>
    <xf numFmtId="5" fontId="4" fillId="0" borderId="283" xfId="0" applyNumberFormat="1" applyFont="1" applyBorder="1"/>
    <xf numFmtId="5" fontId="4" fillId="0" borderId="167" xfId="0" applyNumberFormat="1" applyFont="1" applyBorder="1" applyAlignment="1">
      <alignment horizontal="right"/>
    </xf>
    <xf numFmtId="5" fontId="4" fillId="0" borderId="279" xfId="0" applyNumberFormat="1" applyFont="1" applyBorder="1" applyAlignment="1">
      <alignment horizontal="right"/>
    </xf>
    <xf numFmtId="167" fontId="4" fillId="0" borderId="279" xfId="0" applyNumberFormat="1" applyFont="1" applyBorder="1" applyAlignment="1"/>
    <xf numFmtId="167" fontId="4" fillId="0" borderId="280" xfId="0" applyNumberFormat="1" applyFont="1" applyBorder="1" applyAlignment="1"/>
    <xf numFmtId="178" fontId="4" fillId="0" borderId="167" xfId="0" applyNumberFormat="1" applyFont="1" applyBorder="1" applyAlignment="1">
      <alignment horizontal="right"/>
    </xf>
    <xf numFmtId="178" fontId="4" fillId="0" borderId="279" xfId="0" applyNumberFormat="1" applyFont="1" applyBorder="1" applyAlignment="1">
      <alignment horizontal="right"/>
    </xf>
    <xf numFmtId="0" fontId="87" fillId="0" borderId="91" xfId="22" applyFont="1" applyFill="1" applyBorder="1" applyAlignment="1">
      <alignment horizontal="center"/>
    </xf>
    <xf numFmtId="0" fontId="87" fillId="0" borderId="87" xfId="22" applyFont="1" applyFill="1" applyBorder="1" applyAlignment="1">
      <alignment horizontal="center"/>
    </xf>
    <xf numFmtId="0" fontId="87" fillId="0" borderId="90" xfId="22" applyFont="1" applyFill="1" applyBorder="1" applyAlignment="1">
      <alignment horizontal="center"/>
    </xf>
    <xf numFmtId="167" fontId="87" fillId="22" borderId="223" xfId="22" applyNumberFormat="1" applyFont="1" applyFill="1" applyBorder="1" applyAlignment="1"/>
    <xf numFmtId="167" fontId="87" fillId="22" borderId="277" xfId="22" applyNumberFormat="1" applyFont="1" applyFill="1" applyBorder="1" applyAlignment="1"/>
    <xf numFmtId="167" fontId="87" fillId="22" borderId="278" xfId="22" applyNumberFormat="1" applyFont="1" applyFill="1" applyBorder="1" applyAlignment="1"/>
    <xf numFmtId="167" fontId="119" fillId="0" borderId="223" xfId="30" applyNumberFormat="1" applyFont="1" applyFill="1" applyBorder="1" applyAlignment="1">
      <alignment horizontal="right" wrapText="1"/>
    </xf>
    <xf numFmtId="167" fontId="119" fillId="0" borderId="277" xfId="30" applyNumberFormat="1" applyFont="1" applyFill="1" applyBorder="1" applyAlignment="1">
      <alignment horizontal="right" wrapText="1"/>
    </xf>
    <xf numFmtId="167" fontId="119" fillId="0" borderId="278" xfId="30" applyNumberFormat="1" applyFont="1" applyFill="1" applyBorder="1" applyAlignment="1">
      <alignment horizontal="right" wrapText="1"/>
    </xf>
    <xf numFmtId="167" fontId="119" fillId="0" borderId="284" xfId="30" applyNumberFormat="1" applyFont="1" applyFill="1" applyBorder="1" applyAlignment="1">
      <alignment horizontal="right" wrapText="1"/>
    </xf>
    <xf numFmtId="167" fontId="119" fillId="0" borderId="145" xfId="30" applyNumberFormat="1" applyFont="1" applyFill="1" applyBorder="1" applyAlignment="1">
      <alignment horizontal="right" wrapText="1"/>
    </xf>
    <xf numFmtId="167" fontId="119" fillId="0" borderId="285" xfId="30" applyNumberFormat="1" applyFont="1" applyFill="1" applyBorder="1" applyAlignment="1">
      <alignment horizontal="right" wrapText="1"/>
    </xf>
    <xf numFmtId="5" fontId="4" fillId="0" borderId="167" xfId="0" applyNumberFormat="1" applyFont="1" applyBorder="1" applyAlignment="1"/>
    <xf numFmtId="5" fontId="4" fillId="0" borderId="279" xfId="0" applyNumberFormat="1" applyFont="1" applyBorder="1" applyAlignment="1"/>
    <xf numFmtId="5" fontId="4" fillId="0" borderId="280" xfId="0" applyNumberFormat="1" applyFont="1" applyBorder="1" applyAlignment="1"/>
    <xf numFmtId="0" fontId="87" fillId="0" borderId="82" xfId="30" applyFont="1" applyFill="1" applyBorder="1" applyAlignment="1">
      <alignment horizontal="left"/>
    </xf>
    <xf numFmtId="0" fontId="87" fillId="0" borderId="91" xfId="30" applyFont="1" applyFill="1" applyBorder="1" applyAlignment="1">
      <alignment horizontal="center" wrapText="1"/>
    </xf>
    <xf numFmtId="0" fontId="87" fillId="0" borderId="87" xfId="30" applyFont="1" applyFill="1" applyBorder="1" applyAlignment="1">
      <alignment horizontal="center" wrapText="1"/>
    </xf>
    <xf numFmtId="0" fontId="87" fillId="0" borderId="92" xfId="30" applyFont="1" applyFill="1" applyBorder="1" applyAlignment="1">
      <alignment horizontal="center" wrapText="1"/>
    </xf>
    <xf numFmtId="0" fontId="87" fillId="0" borderId="5" xfId="30" applyFont="1" applyFill="1" applyBorder="1" applyAlignment="1">
      <alignment horizontal="center" wrapText="1"/>
    </xf>
    <xf numFmtId="0" fontId="87" fillId="22" borderId="65" xfId="21" applyFont="1" applyFill="1" applyBorder="1" applyAlignment="1">
      <alignment horizontal="center"/>
    </xf>
    <xf numFmtId="0" fontId="87" fillId="6" borderId="93" xfId="30" applyFont="1" applyFill="1" applyBorder="1" applyAlignment="1">
      <alignment wrapText="1"/>
    </xf>
    <xf numFmtId="0" fontId="87" fillId="6" borderId="65" xfId="30" applyFont="1" applyFill="1" applyBorder="1" applyAlignment="1">
      <alignment wrapText="1"/>
    </xf>
    <xf numFmtId="167" fontId="87" fillId="6" borderId="71" xfId="3" applyNumberFormat="1" applyFont="1" applyFill="1" applyBorder="1" applyAlignment="1">
      <alignment horizontal="right" wrapText="1"/>
    </xf>
    <xf numFmtId="167" fontId="87" fillId="6" borderId="54" xfId="3" applyNumberFormat="1" applyFont="1" applyFill="1" applyBorder="1" applyAlignment="1">
      <alignment horizontal="right" wrapText="1"/>
    </xf>
    <xf numFmtId="167" fontId="87" fillId="6" borderId="55" xfId="3" applyNumberFormat="1" applyFont="1" applyFill="1" applyBorder="1" applyAlignment="1">
      <alignment horizontal="right" wrapText="1"/>
    </xf>
    <xf numFmtId="167" fontId="87" fillId="6" borderId="72" xfId="3" applyNumberFormat="1" applyFont="1" applyFill="1" applyBorder="1" applyAlignment="1">
      <alignment horizontal="right" wrapText="1"/>
    </xf>
    <xf numFmtId="0" fontId="86" fillId="0" borderId="227" xfId="21" applyFont="1" applyFill="1" applyBorder="1" applyAlignment="1">
      <alignment horizontal="center" wrapText="1"/>
    </xf>
    <xf numFmtId="167" fontId="86" fillId="0" borderId="228" xfId="30" applyNumberFormat="1" applyFont="1" applyFill="1" applyBorder="1" applyAlignment="1">
      <alignment wrapText="1"/>
    </xf>
    <xf numFmtId="0" fontId="118" fillId="0" borderId="229" xfId="0" applyFont="1" applyBorder="1"/>
    <xf numFmtId="167" fontId="86" fillId="0" borderId="230" xfId="3" applyNumberFormat="1" applyFont="1" applyFill="1" applyBorder="1" applyAlignment="1">
      <alignment wrapText="1"/>
    </xf>
    <xf numFmtId="167" fontId="86" fillId="0" borderId="231" xfId="3" applyNumberFormat="1" applyFont="1" applyFill="1" applyBorder="1" applyAlignment="1">
      <alignment wrapText="1"/>
    </xf>
    <xf numFmtId="167" fontId="86" fillId="0" borderId="89" xfId="3" applyNumberFormat="1" applyFont="1" applyFill="1" applyBorder="1" applyAlignment="1">
      <alignment wrapText="1"/>
    </xf>
    <xf numFmtId="167" fontId="86" fillId="0" borderId="11" xfId="30" applyNumberFormat="1" applyFont="1" applyFill="1" applyBorder="1" applyAlignment="1">
      <alignment wrapText="1"/>
    </xf>
    <xf numFmtId="0" fontId="118" fillId="0" borderId="32" xfId="0" applyFont="1" applyBorder="1"/>
    <xf numFmtId="167" fontId="86" fillId="0" borderId="68" xfId="3" applyNumberFormat="1" applyFont="1" applyFill="1" applyBorder="1" applyAlignment="1">
      <alignment wrapText="1"/>
    </xf>
    <xf numFmtId="167" fontId="86" fillId="0" borderId="56" xfId="3" applyNumberFormat="1" applyFont="1" applyFill="1" applyBorder="1" applyAlignment="1">
      <alignment wrapText="1"/>
    </xf>
    <xf numFmtId="167" fontId="86" fillId="0" borderId="58" xfId="3" applyNumberFormat="1" applyFont="1" applyFill="1" applyBorder="1" applyAlignment="1">
      <alignment wrapText="1"/>
    </xf>
    <xf numFmtId="0" fontId="86" fillId="0" borderId="243" xfId="21" applyFont="1" applyFill="1" applyBorder="1" applyAlignment="1">
      <alignment horizontal="center" wrapText="1"/>
    </xf>
    <xf numFmtId="167" fontId="86" fillId="0" borderId="244" xfId="30" applyNumberFormat="1" applyFont="1" applyFill="1" applyBorder="1" applyAlignment="1">
      <alignment wrapText="1"/>
    </xf>
    <xf numFmtId="0" fontId="118" fillId="0" borderId="233" xfId="0" applyFont="1" applyBorder="1"/>
    <xf numFmtId="167" fontId="86" fillId="0" borderId="245" xfId="3" applyNumberFormat="1" applyFont="1" applyFill="1" applyBorder="1" applyAlignment="1">
      <alignment wrapText="1"/>
    </xf>
    <xf numFmtId="167" fontId="86" fillId="0" borderId="246" xfId="3" applyNumberFormat="1" applyFont="1" applyFill="1" applyBorder="1" applyAlignment="1">
      <alignment wrapText="1"/>
    </xf>
    <xf numFmtId="167" fontId="86" fillId="0" borderId="247" xfId="3" applyNumberFormat="1" applyFont="1" applyFill="1" applyBorder="1" applyAlignment="1">
      <alignment wrapText="1"/>
    </xf>
    <xf numFmtId="0" fontId="2" fillId="0" borderId="0" xfId="0" applyFont="1" applyBorder="1"/>
    <xf numFmtId="167" fontId="2" fillId="0" borderId="223" xfId="0" applyNumberFormat="1" applyFont="1" applyBorder="1"/>
    <xf numFmtId="0" fontId="2" fillId="0" borderId="234" xfId="0" applyFont="1" applyBorder="1"/>
    <xf numFmtId="167" fontId="86" fillId="0" borderId="235" xfId="3" applyNumberFormat="1" applyFont="1" applyFill="1" applyBorder="1" applyAlignment="1">
      <alignment wrapText="1"/>
    </xf>
    <xf numFmtId="167" fontId="86" fillId="0" borderId="236" xfId="3" applyNumberFormat="1" applyFont="1" applyFill="1" applyBorder="1" applyAlignment="1">
      <alignment wrapText="1"/>
    </xf>
    <xf numFmtId="167" fontId="86" fillId="0" borderId="237" xfId="3" applyNumberFormat="1" applyFont="1" applyFill="1" applyBorder="1" applyAlignment="1">
      <alignment wrapText="1"/>
    </xf>
    <xf numFmtId="0" fontId="2" fillId="0" borderId="238" xfId="0" applyFont="1" applyBorder="1"/>
    <xf numFmtId="167" fontId="86" fillId="0" borderId="239" xfId="3" applyNumberFormat="1" applyFont="1" applyFill="1" applyBorder="1" applyAlignment="1">
      <alignment wrapText="1"/>
    </xf>
    <xf numFmtId="167" fontId="86" fillId="0" borderId="240" xfId="3" applyNumberFormat="1" applyFont="1" applyFill="1" applyBorder="1" applyAlignment="1">
      <alignment wrapText="1"/>
    </xf>
    <xf numFmtId="167" fontId="86" fillId="0" borderId="241" xfId="3" applyNumberFormat="1" applyFont="1" applyFill="1" applyBorder="1" applyAlignment="1">
      <alignment wrapText="1"/>
    </xf>
    <xf numFmtId="5" fontId="71" fillId="0" borderId="286" xfId="0" applyNumberFormat="1" applyFont="1" applyBorder="1" applyAlignment="1"/>
    <xf numFmtId="5" fontId="71" fillId="0" borderId="139" xfId="0" applyNumberFormat="1" applyFont="1" applyBorder="1" applyAlignment="1"/>
    <xf numFmtId="5" fontId="3" fillId="0" borderId="139" xfId="0" applyNumberFormat="1" applyFont="1" applyBorder="1" applyAlignment="1"/>
    <xf numFmtId="5" fontId="45" fillId="0" borderId="139" xfId="2" applyNumberFormat="1" applyFont="1" applyBorder="1"/>
    <xf numFmtId="5" fontId="90" fillId="24" borderId="139" xfId="1" applyNumberFormat="1" applyFont="1" applyFill="1" applyBorder="1"/>
    <xf numFmtId="5" fontId="90" fillId="0" borderId="138" xfId="1" applyNumberFormat="1" applyFont="1" applyBorder="1" applyAlignment="1">
      <alignment horizontal="right"/>
    </xf>
    <xf numFmtId="171" fontId="71" fillId="0" borderId="286" xfId="2" applyNumberFormat="1" applyFont="1" applyBorder="1"/>
    <xf numFmtId="171" fontId="71" fillId="0" borderId="139" xfId="2" applyNumberFormat="1" applyFont="1" applyBorder="1"/>
    <xf numFmtId="171" fontId="89" fillId="0" borderId="286" xfId="2" applyNumberFormat="1" applyFont="1" applyBorder="1" applyAlignment="1">
      <alignment horizontal="center"/>
    </xf>
    <xf numFmtId="171" fontId="89" fillId="0" borderId="139" xfId="2" applyNumberFormat="1" applyFont="1" applyBorder="1" applyAlignment="1">
      <alignment horizontal="center"/>
    </xf>
    <xf numFmtId="171" fontId="89" fillId="24" borderId="139" xfId="1" applyNumberFormat="1" applyFont="1" applyFill="1" applyBorder="1" applyAlignment="1">
      <alignment horizontal="center"/>
    </xf>
    <xf numFmtId="171" fontId="89" fillId="0" borderId="138" xfId="1" applyNumberFormat="1" applyFont="1" applyBorder="1" applyAlignment="1">
      <alignment horizontal="center"/>
    </xf>
    <xf numFmtId="5" fontId="89" fillId="8" borderId="286" xfId="2" applyNumberFormat="1" applyFont="1" applyFill="1" applyBorder="1" applyAlignment="1">
      <alignment horizontal="center"/>
    </xf>
    <xf numFmtId="5" fontId="89" fillId="8" borderId="139" xfId="2" applyNumberFormat="1" applyFont="1" applyFill="1" applyBorder="1" applyAlignment="1">
      <alignment horizontal="center"/>
    </xf>
    <xf numFmtId="5" fontId="89" fillId="8" borderId="138" xfId="2" applyNumberFormat="1" applyFont="1" applyFill="1" applyBorder="1" applyAlignment="1">
      <alignment horizontal="right"/>
    </xf>
    <xf numFmtId="5" fontId="45" fillId="0" borderId="286" xfId="2" applyNumberFormat="1" applyFont="1" applyBorder="1"/>
    <xf numFmtId="5" fontId="2" fillId="0" borderId="260" xfId="0" applyNumberFormat="1" applyFont="1" applyBorder="1" applyAlignment="1"/>
    <xf numFmtId="5" fontId="2" fillId="0" borderId="261" xfId="0" applyNumberFormat="1" applyFont="1" applyBorder="1" applyAlignment="1"/>
    <xf numFmtId="5" fontId="2" fillId="0" borderId="262" xfId="0" applyNumberFormat="1" applyFont="1" applyBorder="1" applyAlignment="1"/>
    <xf numFmtId="5" fontId="2" fillId="0" borderId="263" xfId="0" applyNumberFormat="1" applyFont="1" applyBorder="1" applyAlignment="1"/>
    <xf numFmtId="5" fontId="2" fillId="0" borderId="265" xfId="0" applyNumberFormat="1" applyFont="1" applyBorder="1"/>
    <xf numFmtId="5" fontId="2" fillId="0" borderId="266" xfId="0" applyNumberFormat="1" applyFont="1" applyBorder="1"/>
    <xf numFmtId="0" fontId="86" fillId="0" borderId="94" xfId="21" applyFont="1" applyFill="1" applyBorder="1" applyAlignment="1">
      <alignment horizontal="center" wrapText="1"/>
    </xf>
    <xf numFmtId="167" fontId="86" fillId="0" borderId="43" xfId="30" applyNumberFormat="1" applyFont="1" applyFill="1" applyBorder="1" applyAlignment="1">
      <alignment wrapText="1"/>
    </xf>
    <xf numFmtId="167" fontId="86" fillId="0" borderId="37" xfId="31" applyNumberFormat="1" applyFont="1" applyFill="1" applyBorder="1" applyAlignment="1">
      <alignment horizontal="right" wrapText="1"/>
    </xf>
    <xf numFmtId="167" fontId="86" fillId="0" borderId="38" xfId="31" applyNumberFormat="1" applyFont="1" applyFill="1" applyBorder="1" applyAlignment="1">
      <alignment horizontal="right" wrapText="1"/>
    </xf>
    <xf numFmtId="167" fontId="86" fillId="0" borderId="38" xfId="31" applyNumberFormat="1" applyFont="1" applyBorder="1"/>
    <xf numFmtId="167" fontId="86" fillId="0" borderId="39" xfId="31" applyNumberFormat="1" applyFont="1" applyFill="1" applyBorder="1" applyAlignment="1">
      <alignment horizontal="right" wrapText="1"/>
    </xf>
    <xf numFmtId="167" fontId="2" fillId="0" borderId="0" xfId="0" applyNumberFormat="1" applyFont="1" applyBorder="1"/>
    <xf numFmtId="167" fontId="2" fillId="0" borderId="223" xfId="0" applyNumberFormat="1" applyFont="1" applyBorder="1" applyAlignment="1"/>
    <xf numFmtId="167" fontId="2" fillId="0" borderId="277" xfId="0" applyNumberFormat="1" applyFont="1" applyBorder="1" applyAlignment="1"/>
    <xf numFmtId="167" fontId="86" fillId="0" borderId="277" xfId="31" applyNumberFormat="1" applyFont="1" applyFill="1" applyBorder="1" applyAlignment="1">
      <alignment horizontal="right" wrapText="1"/>
    </xf>
    <xf numFmtId="167" fontId="86" fillId="0" borderId="278" xfId="31" applyNumberFormat="1" applyFont="1" applyFill="1" applyBorder="1" applyAlignment="1">
      <alignment horizontal="right" wrapText="1"/>
    </xf>
    <xf numFmtId="167" fontId="2" fillId="0" borderId="277" xfId="0" applyNumberFormat="1" applyFont="1" applyBorder="1"/>
    <xf numFmtId="0" fontId="87" fillId="0" borderId="2" xfId="26" applyFont="1" applyFill="1" applyBorder="1" applyAlignment="1">
      <alignment horizontal="left" wrapText="1"/>
    </xf>
    <xf numFmtId="0" fontId="87" fillId="0" borderId="2" xfId="23" applyFont="1" applyFill="1" applyBorder="1" applyAlignment="1">
      <alignment horizontal="left"/>
    </xf>
    <xf numFmtId="0" fontId="87" fillId="0" borderId="71" xfId="23" applyFont="1" applyFill="1" applyBorder="1" applyAlignment="1">
      <alignment horizontal="center"/>
    </xf>
    <xf numFmtId="0" fontId="87" fillId="0" borderId="54" xfId="23" applyFont="1" applyFill="1" applyBorder="1" applyAlignment="1">
      <alignment horizontal="center"/>
    </xf>
    <xf numFmtId="0" fontId="87" fillId="0" borderId="54" xfId="29" applyFont="1" applyFill="1" applyBorder="1" applyAlignment="1">
      <alignment horizontal="center" wrapText="1"/>
    </xf>
    <xf numFmtId="0" fontId="87" fillId="0" borderId="72" xfId="29" applyFont="1" applyFill="1" applyBorder="1" applyAlignment="1">
      <alignment horizontal="center" wrapText="1"/>
    </xf>
    <xf numFmtId="0" fontId="2" fillId="0" borderId="0" xfId="0" applyFont="1"/>
    <xf numFmtId="0" fontId="87" fillId="6" borderId="77" xfId="26" quotePrefix="1" applyFont="1" applyFill="1" applyBorder="1" applyAlignment="1">
      <alignment horizontal="center" wrapText="1"/>
    </xf>
    <xf numFmtId="0" fontId="87" fillId="6" borderId="2" xfId="23" applyFont="1" applyFill="1" applyBorder="1" applyAlignment="1">
      <alignment wrapText="1"/>
    </xf>
    <xf numFmtId="167" fontId="87" fillId="6" borderId="71" xfId="23" applyNumberFormat="1" applyFont="1" applyFill="1" applyBorder="1" applyAlignment="1">
      <alignment wrapText="1"/>
    </xf>
    <xf numFmtId="167" fontId="87" fillId="6" borderId="54" xfId="23" applyNumberFormat="1" applyFont="1" applyFill="1" applyBorder="1" applyAlignment="1">
      <alignment wrapText="1"/>
    </xf>
    <xf numFmtId="167" fontId="87" fillId="6" borderId="72" xfId="23" applyNumberFormat="1" applyFont="1" applyFill="1" applyBorder="1" applyAlignment="1">
      <alignment wrapText="1"/>
    </xf>
    <xf numFmtId="0" fontId="86" fillId="0" borderId="227" xfId="26" applyFont="1" applyFill="1" applyBorder="1" applyAlignment="1">
      <alignment horizontal="center" wrapText="1"/>
    </xf>
    <xf numFmtId="0" fontId="86" fillId="0" borderId="228" xfId="23" applyFont="1" applyFill="1" applyBorder="1" applyAlignment="1">
      <alignment wrapText="1"/>
    </xf>
    <xf numFmtId="0" fontId="86" fillId="0" borderId="229" xfId="23" applyFont="1" applyFill="1" applyBorder="1" applyAlignment="1">
      <alignment wrapText="1"/>
    </xf>
    <xf numFmtId="167" fontId="86" fillId="0" borderId="230" xfId="23" applyNumberFormat="1" applyFont="1" applyFill="1" applyBorder="1" applyAlignment="1">
      <alignment wrapText="1"/>
    </xf>
    <xf numFmtId="167" fontId="86" fillId="0" borderId="231" xfId="23" applyNumberFormat="1" applyFont="1" applyFill="1" applyBorder="1" applyAlignment="1">
      <alignment wrapText="1"/>
    </xf>
    <xf numFmtId="167" fontId="86" fillId="0" borderId="232" xfId="23" applyNumberFormat="1" applyFont="1" applyFill="1" applyBorder="1" applyAlignment="1">
      <alignment wrapText="1"/>
    </xf>
    <xf numFmtId="0" fontId="86" fillId="0" borderId="267" xfId="26" applyFont="1" applyFill="1" applyBorder="1" applyAlignment="1">
      <alignment horizontal="center" wrapText="1"/>
    </xf>
    <xf numFmtId="0" fontId="86" fillId="0" borderId="268" xfId="23" applyFont="1" applyFill="1" applyBorder="1" applyAlignment="1">
      <alignment wrapText="1"/>
    </xf>
    <xf numFmtId="0" fontId="86" fillId="0" borderId="269" xfId="23" applyFont="1" applyFill="1" applyBorder="1" applyAlignment="1">
      <alignment wrapText="1"/>
    </xf>
    <xf numFmtId="167" fontId="86" fillId="0" borderId="270" xfId="23" applyNumberFormat="1" applyFont="1" applyFill="1" applyBorder="1" applyAlignment="1">
      <alignment wrapText="1"/>
    </xf>
    <xf numFmtId="167" fontId="86" fillId="0" borderId="272" xfId="23" applyNumberFormat="1" applyFont="1" applyFill="1" applyBorder="1" applyAlignment="1">
      <alignment wrapText="1"/>
    </xf>
    <xf numFmtId="167" fontId="86" fillId="0" borderId="271" xfId="23" applyNumberFormat="1" applyFont="1" applyFill="1" applyBorder="1" applyAlignment="1">
      <alignment wrapText="1"/>
    </xf>
    <xf numFmtId="0" fontId="86" fillId="0" borderId="243" xfId="26" applyFont="1" applyFill="1" applyBorder="1" applyAlignment="1">
      <alignment horizontal="center" wrapText="1"/>
    </xf>
    <xf numFmtId="0" fontId="86" fillId="0" borderId="244" xfId="23" applyFont="1" applyFill="1" applyBorder="1" applyAlignment="1">
      <alignment wrapText="1"/>
    </xf>
    <xf numFmtId="0" fontId="86" fillId="0" borderId="233" xfId="23" applyFont="1" applyFill="1" applyBorder="1" applyAlignment="1">
      <alignment wrapText="1"/>
    </xf>
    <xf numFmtId="167" fontId="86" fillId="0" borderId="273" xfId="23" applyNumberFormat="1" applyFont="1" applyFill="1" applyBorder="1" applyAlignment="1">
      <alignment wrapText="1"/>
    </xf>
    <xf numFmtId="167" fontId="86" fillId="0" borderId="274" xfId="23" applyNumberFormat="1" applyFont="1" applyFill="1" applyBorder="1" applyAlignment="1">
      <alignment wrapText="1"/>
    </xf>
    <xf numFmtId="167" fontId="86" fillId="0" borderId="275" xfId="23" applyNumberFormat="1" applyFont="1" applyFill="1" applyBorder="1" applyAlignment="1">
      <alignment wrapText="1"/>
    </xf>
    <xf numFmtId="5" fontId="2" fillId="0" borderId="0" xfId="0" applyNumberFormat="1" applyFont="1" applyBorder="1" applyAlignment="1"/>
    <xf numFmtId="5" fontId="2" fillId="0" borderId="172" xfId="0" applyNumberFormat="1" applyFont="1" applyBorder="1" applyAlignment="1"/>
    <xf numFmtId="5" fontId="2" fillId="0" borderId="0" xfId="0" applyNumberFormat="1" applyFont="1"/>
    <xf numFmtId="5" fontId="2" fillId="0" borderId="172" xfId="0" applyNumberFormat="1" applyFont="1" applyBorder="1"/>
    <xf numFmtId="176" fontId="86" fillId="0" borderId="254" xfId="3" applyNumberFormat="1" applyFont="1" applyFill="1" applyBorder="1" applyAlignment="1">
      <alignment wrapText="1"/>
    </xf>
    <xf numFmtId="49" fontId="118" fillId="0" borderId="0" xfId="0" applyNumberFormat="1" applyFont="1" applyBorder="1" applyAlignment="1">
      <alignment horizontal="center"/>
    </xf>
    <xf numFmtId="0" fontId="125" fillId="0" borderId="0" xfId="9" applyFont="1" applyBorder="1"/>
    <xf numFmtId="49" fontId="124" fillId="0" borderId="287" xfId="0" applyNumberFormat="1" applyFont="1" applyBorder="1" applyAlignment="1">
      <alignment horizontal="center"/>
    </xf>
    <xf numFmtId="0" fontId="124" fillId="0" borderId="287" xfId="0" applyFont="1" applyBorder="1" applyAlignment="1">
      <alignment horizontal="left" wrapText="1"/>
    </xf>
    <xf numFmtId="49" fontId="124" fillId="13" borderId="287" xfId="0" quotePrefix="1" applyNumberFormat="1" applyFont="1" applyFill="1" applyBorder="1" applyAlignment="1">
      <alignment horizontal="center"/>
    </xf>
    <xf numFmtId="0" fontId="124" fillId="13" borderId="287" xfId="0" applyFont="1" applyFill="1" applyBorder="1" applyAlignment="1">
      <alignment horizontal="left" wrapText="1"/>
    </xf>
    <xf numFmtId="49" fontId="118" fillId="0" borderId="289" xfId="0" applyNumberFormat="1" applyFont="1" applyBorder="1" applyAlignment="1">
      <alignment horizontal="center"/>
    </xf>
    <xf numFmtId="0" fontId="125" fillId="0" borderId="289" xfId="9" applyFont="1" applyBorder="1"/>
    <xf numFmtId="0" fontId="118" fillId="0" borderId="289" xfId="0" applyFont="1" applyBorder="1"/>
    <xf numFmtId="0" fontId="88" fillId="0" borderId="290" xfId="0" applyFont="1" applyBorder="1"/>
    <xf numFmtId="0" fontId="88" fillId="0" borderId="291" xfId="0" applyFont="1" applyBorder="1"/>
    <xf numFmtId="0" fontId="88" fillId="0" borderId="292" xfId="0" applyFont="1" applyBorder="1"/>
    <xf numFmtId="5" fontId="88" fillId="13" borderId="293" xfId="3" applyNumberFormat="1" applyFont="1" applyFill="1" applyBorder="1"/>
    <xf numFmtId="5" fontId="88" fillId="13" borderId="294" xfId="3" applyNumberFormat="1" applyFont="1" applyFill="1" applyBorder="1"/>
    <xf numFmtId="5" fontId="88" fillId="29" borderId="294" xfId="3" applyNumberFormat="1" applyFont="1" applyFill="1" applyBorder="1"/>
    <xf numFmtId="5" fontId="88" fillId="13" borderId="295" xfId="3" applyNumberFormat="1" applyFont="1" applyFill="1" applyBorder="1"/>
    <xf numFmtId="5" fontId="2" fillId="0" borderId="286" xfId="3" applyNumberFormat="1" applyFont="1" applyBorder="1"/>
    <xf numFmtId="5" fontId="2" fillId="0" borderId="139" xfId="3" applyNumberFormat="1" applyFont="1" applyBorder="1"/>
    <xf numFmtId="5" fontId="2" fillId="0" borderId="138" xfId="3" applyNumberFormat="1" applyFont="1" applyBorder="1"/>
    <xf numFmtId="5" fontId="2" fillId="0" borderId="296" xfId="3" applyNumberFormat="1" applyFont="1" applyBorder="1"/>
    <xf numFmtId="5" fontId="2" fillId="0" borderId="297" xfId="3" applyNumberFormat="1" applyFont="1" applyBorder="1"/>
    <xf numFmtId="5" fontId="2" fillId="0" borderId="298" xfId="3" applyNumberFormat="1" applyFont="1" applyBorder="1"/>
    <xf numFmtId="0" fontId="118" fillId="0" borderId="0" xfId="0" applyFont="1" applyAlignment="1">
      <alignment horizontal="left" vertical="top" wrapText="1"/>
    </xf>
    <xf numFmtId="176" fontId="118" fillId="0" borderId="286" xfId="3" applyNumberFormat="1" applyFont="1" applyBorder="1"/>
    <xf numFmtId="176" fontId="118" fillId="0" borderId="139" xfId="3" applyNumberFormat="1" applyFont="1" applyBorder="1"/>
    <xf numFmtId="5" fontId="118" fillId="0" borderId="139" xfId="3" applyNumberFormat="1" applyFont="1" applyFill="1" applyBorder="1"/>
    <xf numFmtId="176" fontId="118" fillId="0" borderId="138" xfId="3" applyNumberFormat="1" applyFont="1" applyBorder="1"/>
    <xf numFmtId="176" fontId="118" fillId="0" borderId="286" xfId="0" applyNumberFormat="1" applyFont="1" applyBorder="1"/>
    <xf numFmtId="176" fontId="52" fillId="29" borderId="15" xfId="3" applyNumberFormat="1" applyFont="1" applyFill="1" applyBorder="1"/>
    <xf numFmtId="176" fontId="52" fillId="13" borderId="293" xfId="3" applyNumberFormat="1" applyFont="1" applyFill="1" applyBorder="1"/>
    <xf numFmtId="176" fontId="52" fillId="13" borderId="294" xfId="3" applyNumberFormat="1" applyFont="1" applyFill="1" applyBorder="1"/>
    <xf numFmtId="176" fontId="52" fillId="29" borderId="295" xfId="3" applyNumberFormat="1" applyFont="1" applyFill="1" applyBorder="1"/>
    <xf numFmtId="176" fontId="73" fillId="0" borderId="286" xfId="3" applyNumberFormat="1" applyFont="1" applyBorder="1"/>
    <xf numFmtId="176" fontId="73" fillId="0" borderId="139" xfId="3" applyNumberFormat="1" applyFont="1" applyBorder="1"/>
    <xf numFmtId="176" fontId="73" fillId="0" borderId="138" xfId="3" applyNumberFormat="1" applyFont="1" applyBorder="1"/>
    <xf numFmtId="176" fontId="73" fillId="0" borderId="296" xfId="3" applyNumberFormat="1" applyFont="1" applyBorder="1"/>
    <xf numFmtId="176" fontId="73" fillId="0" borderId="297" xfId="3" applyNumberFormat="1" applyFont="1" applyBorder="1"/>
    <xf numFmtId="176" fontId="73" fillId="0" borderId="298" xfId="3" applyNumberFormat="1" applyFont="1" applyBorder="1"/>
    <xf numFmtId="176" fontId="52" fillId="29" borderId="293" xfId="3" applyNumberFormat="1" applyFont="1" applyFill="1" applyBorder="1"/>
    <xf numFmtId="176" fontId="52" fillId="29" borderId="294" xfId="3" applyNumberFormat="1" applyFont="1" applyFill="1" applyBorder="1"/>
    <xf numFmtId="176" fontId="52" fillId="0" borderId="293" xfId="3" applyNumberFormat="1" applyFont="1" applyBorder="1"/>
    <xf numFmtId="176" fontId="52" fillId="0" borderId="294" xfId="3" applyNumberFormat="1" applyFont="1" applyBorder="1"/>
    <xf numFmtId="176" fontId="52" fillId="0" borderId="295" xfId="3" applyNumberFormat="1" applyFont="1" applyBorder="1"/>
    <xf numFmtId="176" fontId="52" fillId="0" borderId="294" xfId="3" applyNumberFormat="1" applyFont="1" applyBorder="1" applyAlignment="1">
      <alignment wrapText="1"/>
    </xf>
    <xf numFmtId="5" fontId="52" fillId="13" borderId="293" xfId="3" applyNumberFormat="1" applyFont="1" applyFill="1" applyBorder="1"/>
    <xf numFmtId="5" fontId="52" fillId="13" borderId="294" xfId="3" applyNumberFormat="1" applyFont="1" applyFill="1" applyBorder="1"/>
    <xf numFmtId="5" fontId="52" fillId="21" borderId="295" xfId="3" applyNumberFormat="1" applyFont="1" applyFill="1" applyBorder="1"/>
    <xf numFmtId="176" fontId="52" fillId="0" borderId="290" xfId="3" applyNumberFormat="1" applyFont="1" applyBorder="1"/>
    <xf numFmtId="176" fontId="52" fillId="0" borderId="291" xfId="3" applyNumberFormat="1" applyFont="1" applyBorder="1" applyAlignment="1">
      <alignment wrapText="1"/>
    </xf>
    <xf numFmtId="176" fontId="52" fillId="0" borderId="291" xfId="3" applyNumberFormat="1" applyFont="1" applyBorder="1"/>
    <xf numFmtId="176" fontId="52" fillId="0" borderId="292" xfId="3" applyNumberFormat="1" applyFont="1" applyBorder="1"/>
    <xf numFmtId="176" fontId="52" fillId="0" borderId="301" xfId="3" applyNumberFormat="1" applyFont="1" applyBorder="1"/>
    <xf numFmtId="176" fontId="52" fillId="0" borderId="287" xfId="3" applyNumberFormat="1" applyFont="1" applyBorder="1" applyAlignment="1">
      <alignment wrapText="1"/>
    </xf>
    <xf numFmtId="176" fontId="52" fillId="0" borderId="287" xfId="3" applyNumberFormat="1" applyFont="1" applyBorder="1"/>
    <xf numFmtId="176" fontId="52" fillId="0" borderId="302" xfId="3" applyNumberFormat="1" applyFont="1" applyBorder="1"/>
    <xf numFmtId="0" fontId="52" fillId="0" borderId="0" xfId="0" applyFont="1" applyBorder="1" applyAlignment="1">
      <alignment horizontal="center"/>
    </xf>
    <xf numFmtId="0" fontId="29" fillId="0" borderId="0" xfId="15" applyFont="1" applyAlignment="1">
      <alignment horizontal="left" wrapText="1"/>
    </xf>
    <xf numFmtId="164" fontId="70" fillId="0" borderId="288" xfId="16" applyNumberFormat="1" applyFont="1" applyFill="1" applyBorder="1" applyAlignment="1">
      <alignment wrapText="1"/>
    </xf>
    <xf numFmtId="0" fontId="69" fillId="0" borderId="303" xfId="11" applyFont="1" applyFill="1" applyBorder="1" applyAlignment="1">
      <alignment horizontal="center"/>
    </xf>
    <xf numFmtId="164" fontId="69" fillId="6" borderId="303" xfId="16" applyNumberFormat="1" applyFont="1" applyFill="1" applyBorder="1" applyAlignment="1">
      <alignment wrapText="1"/>
    </xf>
    <xf numFmtId="164" fontId="70" fillId="0" borderId="278" xfId="16" applyNumberFormat="1" applyFont="1" applyFill="1" applyBorder="1" applyAlignment="1">
      <alignment wrapText="1"/>
    </xf>
    <xf numFmtId="0" fontId="69" fillId="0" borderId="303" xfId="16" applyFont="1" applyBorder="1" applyAlignment="1">
      <alignment horizontal="center"/>
    </xf>
    <xf numFmtId="3" fontId="69" fillId="6" borderId="303" xfId="16" applyNumberFormat="1" applyFont="1" applyFill="1" applyBorder="1"/>
    <xf numFmtId="3" fontId="70" fillId="0" borderId="278" xfId="16" applyNumberFormat="1" applyFont="1" applyBorder="1"/>
    <xf numFmtId="3" fontId="70" fillId="0" borderId="304" xfId="16" applyNumberFormat="1" applyFont="1" applyBorder="1"/>
    <xf numFmtId="164" fontId="70" fillId="0" borderId="278" xfId="33" applyNumberFormat="1" applyFont="1" applyFill="1" applyBorder="1" applyAlignment="1">
      <alignment wrapText="1"/>
    </xf>
    <xf numFmtId="0" fontId="69" fillId="0" borderId="221" xfId="16" applyFont="1" applyFill="1" applyBorder="1" applyAlignment="1">
      <alignment horizontal="left"/>
    </xf>
    <xf numFmtId="171" fontId="73" fillId="0" borderId="280" xfId="1" applyNumberFormat="1" applyFont="1" applyFill="1" applyBorder="1"/>
    <xf numFmtId="0" fontId="66" fillId="0" borderId="0" xfId="9" applyFont="1" applyAlignment="1">
      <alignment horizontal="left" vertical="top" wrapText="1"/>
    </xf>
    <xf numFmtId="3" fontId="54" fillId="0" borderId="286" xfId="0" applyNumberFormat="1" applyFont="1" applyFill="1" applyBorder="1" applyAlignment="1">
      <alignment horizontal="right" indent="1"/>
    </xf>
    <xf numFmtId="3" fontId="54" fillId="0" borderId="279" xfId="0" applyNumberFormat="1" applyFont="1" applyFill="1" applyBorder="1" applyAlignment="1">
      <alignment horizontal="right" indent="1"/>
    </xf>
    <xf numFmtId="3" fontId="54" fillId="0" borderId="280" xfId="0" quotePrefix="1" applyNumberFormat="1" applyFont="1" applyFill="1" applyBorder="1" applyAlignment="1">
      <alignment horizontal="right" indent="1"/>
    </xf>
    <xf numFmtId="171" fontId="54" fillId="0" borderId="280" xfId="1" applyNumberFormat="1" applyFont="1" applyFill="1" applyBorder="1"/>
    <xf numFmtId="0" fontId="52" fillId="0" borderId="306" xfId="15" applyFont="1" applyFill="1" applyBorder="1" applyAlignment="1">
      <alignment horizontal="center" wrapText="1"/>
    </xf>
    <xf numFmtId="171" fontId="73" fillId="0" borderId="283" xfId="1" applyNumberFormat="1" applyFont="1" applyFill="1" applyBorder="1"/>
    <xf numFmtId="171" fontId="73" fillId="0" borderId="307" xfId="1" applyNumberFormat="1" applyFont="1" applyFill="1" applyBorder="1"/>
    <xf numFmtId="3" fontId="61" fillId="0" borderId="160" xfId="9" applyNumberFormat="1" applyFont="1" applyBorder="1" applyAlignment="1">
      <alignment horizontal="right" indent="2"/>
    </xf>
    <xf numFmtId="3" fontId="73" fillId="0" borderId="160" xfId="0" applyNumberFormat="1" applyFont="1" applyBorder="1"/>
    <xf numFmtId="0" fontId="69" fillId="0" borderId="160" xfId="14" applyFont="1" applyFill="1" applyBorder="1" applyAlignment="1">
      <alignment horizontal="center" wrapText="1"/>
    </xf>
    <xf numFmtId="0" fontId="69" fillId="0" borderId="12" xfId="14" applyFont="1" applyFill="1" applyBorder="1" applyAlignment="1">
      <alignment horizontal="center" wrapText="1"/>
    </xf>
    <xf numFmtId="0" fontId="93" fillId="0" borderId="34" xfId="0" applyFont="1" applyBorder="1" applyAlignment="1">
      <alignment horizontal="left"/>
    </xf>
    <xf numFmtId="0" fontId="93" fillId="0" borderId="0" xfId="0" applyFont="1" applyBorder="1" applyAlignment="1">
      <alignment horizontal="left"/>
    </xf>
    <xf numFmtId="37" fontId="95" fillId="0" borderId="0" xfId="1" applyNumberFormat="1" applyFont="1" applyFill="1" applyAlignment="1">
      <alignment horizontal="center" vertical="center"/>
    </xf>
    <xf numFmtId="0" fontId="55" fillId="19" borderId="190" xfId="0" applyFont="1" applyFill="1" applyBorder="1" applyAlignment="1">
      <alignment horizontal="center"/>
    </xf>
    <xf numFmtId="0" fontId="52" fillId="0" borderId="220" xfId="0" applyFont="1" applyBorder="1"/>
    <xf numFmtId="3" fontId="52" fillId="7" borderId="220" xfId="0" applyNumberFormat="1" applyFont="1" applyFill="1" applyBorder="1"/>
    <xf numFmtId="3" fontId="73" fillId="0" borderId="220" xfId="0" applyNumberFormat="1" applyFont="1" applyBorder="1"/>
    <xf numFmtId="0" fontId="52" fillId="0" borderId="0" xfId="0" applyFont="1" applyBorder="1" applyAlignment="1">
      <alignment wrapText="1"/>
    </xf>
    <xf numFmtId="0" fontId="52" fillId="0" borderId="220" xfId="0" applyFont="1" applyBorder="1" applyAlignment="1">
      <alignment wrapText="1"/>
    </xf>
    <xf numFmtId="3" fontId="73" fillId="23" borderId="0" xfId="0" applyNumberFormat="1" applyFont="1" applyFill="1" applyBorder="1"/>
    <xf numFmtId="3" fontId="73" fillId="23" borderId="220" xfId="0" applyNumberFormat="1" applyFont="1" applyFill="1" applyBorder="1"/>
    <xf numFmtId="164" fontId="52" fillId="7" borderId="0" xfId="33" applyNumberFormat="1" applyFont="1" applyFill="1" applyBorder="1"/>
    <xf numFmtId="164" fontId="73" fillId="23" borderId="0" xfId="33" applyNumberFormat="1" applyFont="1" applyFill="1"/>
    <xf numFmtId="164" fontId="73" fillId="23" borderId="0" xfId="33" applyNumberFormat="1" applyFont="1" applyFill="1" applyBorder="1"/>
    <xf numFmtId="165" fontId="126" fillId="0" borderId="0" xfId="0" applyNumberFormat="1" applyFont="1" applyAlignment="1"/>
    <xf numFmtId="165" fontId="127" fillId="0" borderId="0" xfId="0" applyNumberFormat="1" applyFont="1" applyAlignment="1"/>
    <xf numFmtId="0" fontId="128" fillId="0" borderId="0" xfId="0" applyFont="1"/>
    <xf numFmtId="0" fontId="129" fillId="0" borderId="0" xfId="0" applyFont="1" applyAlignment="1">
      <alignment vertical="top" wrapText="1"/>
    </xf>
    <xf numFmtId="171" fontId="54" fillId="0" borderId="290" xfId="1" applyNumberFormat="1" applyFont="1" applyBorder="1"/>
    <xf numFmtId="9" fontId="54" fillId="0" borderId="292" xfId="33" applyFont="1" applyBorder="1" applyAlignment="1">
      <alignment horizontal="right" indent="1"/>
    </xf>
    <xf numFmtId="9" fontId="54" fillId="0" borderId="300" xfId="33" applyFont="1" applyBorder="1" applyAlignment="1">
      <alignment horizontal="right" indent="1"/>
    </xf>
    <xf numFmtId="171" fontId="54" fillId="0" borderId="293" xfId="1" applyNumberFormat="1" applyFont="1" applyBorder="1"/>
    <xf numFmtId="9" fontId="54" fillId="0" borderId="295" xfId="33" applyFont="1" applyBorder="1" applyAlignment="1">
      <alignment horizontal="right" indent="1"/>
    </xf>
    <xf numFmtId="9" fontId="54" fillId="0" borderId="302" xfId="33" applyFont="1" applyBorder="1" applyAlignment="1">
      <alignment horizontal="right" indent="1"/>
    </xf>
    <xf numFmtId="37" fontId="95" fillId="0" borderId="0" xfId="1" applyNumberFormat="1" applyFont="1" applyFill="1" applyAlignment="1">
      <alignment vertical="center"/>
    </xf>
    <xf numFmtId="0" fontId="54" fillId="0" borderId="0" xfId="0" applyFont="1" applyFill="1"/>
    <xf numFmtId="171" fontId="131" fillId="0" borderId="286" xfId="1" applyNumberFormat="1" applyFont="1" applyFill="1" applyBorder="1" applyAlignment="1"/>
    <xf numFmtId="171" fontId="131" fillId="0" borderId="296" xfId="1" applyNumberFormat="1" applyFont="1" applyFill="1" applyBorder="1" applyAlignment="1"/>
    <xf numFmtId="9" fontId="131" fillId="0" borderId="280" xfId="33" applyFont="1" applyFill="1" applyBorder="1" applyAlignment="1">
      <alignment horizontal="right" indent="1"/>
    </xf>
    <xf numFmtId="9" fontId="131" fillId="0" borderId="26" xfId="33" applyFont="1" applyFill="1" applyBorder="1" applyAlignment="1">
      <alignment horizontal="right" indent="1"/>
    </xf>
    <xf numFmtId="9" fontId="131" fillId="0" borderId="220" xfId="33" applyFont="1" applyFill="1" applyBorder="1" applyAlignment="1">
      <alignment horizontal="right" indent="1"/>
    </xf>
    <xf numFmtId="9" fontId="131" fillId="0" borderId="35" xfId="33" applyFont="1" applyFill="1" applyBorder="1" applyAlignment="1">
      <alignment horizontal="right" indent="1"/>
    </xf>
    <xf numFmtId="9" fontId="131" fillId="0" borderId="283" xfId="33" applyFont="1" applyFill="1" applyBorder="1" applyAlignment="1">
      <alignment horizontal="right" indent="1"/>
    </xf>
    <xf numFmtId="9" fontId="131" fillId="0" borderId="309" xfId="33" applyFont="1" applyFill="1" applyBorder="1" applyAlignment="1">
      <alignment horizontal="right" indent="1"/>
    </xf>
    <xf numFmtId="9" fontId="54" fillId="0" borderId="30" xfId="33" applyFont="1" applyBorder="1" applyAlignment="1">
      <alignment horizontal="right" indent="1"/>
    </xf>
    <xf numFmtId="9" fontId="54" fillId="0" borderId="308" xfId="33" applyFont="1" applyBorder="1" applyAlignment="1">
      <alignment horizontal="right" indent="1"/>
    </xf>
    <xf numFmtId="9" fontId="54" fillId="0" borderId="306" xfId="33" applyFont="1" applyBorder="1" applyAlignment="1">
      <alignment horizontal="right" indent="1"/>
    </xf>
    <xf numFmtId="0" fontId="0" fillId="0" borderId="0" xfId="0" applyFont="1" applyFill="1"/>
    <xf numFmtId="0" fontId="79" fillId="0" borderId="0" xfId="14" applyFont="1" applyAlignment="1">
      <alignment horizontal="left" vertical="top" wrapText="1"/>
    </xf>
    <xf numFmtId="0" fontId="29" fillId="0" borderId="0" xfId="14" applyFont="1" applyFill="1" applyBorder="1" applyAlignment="1">
      <alignment horizontal="left" wrapText="1"/>
    </xf>
    <xf numFmtId="171" fontId="52" fillId="6" borderId="287" xfId="1" applyNumberFormat="1" applyFont="1" applyFill="1" applyBorder="1"/>
    <xf numFmtId="0" fontId="55" fillId="19" borderId="302" xfId="0" applyFont="1" applyFill="1" applyBorder="1" applyAlignment="1">
      <alignment horizontal="center"/>
    </xf>
    <xf numFmtId="0" fontId="69" fillId="0" borderId="301" xfId="14" applyFont="1" applyFill="1" applyBorder="1" applyAlignment="1">
      <alignment horizontal="center"/>
    </xf>
    <xf numFmtId="0" fontId="69" fillId="0" borderId="287" xfId="14" applyFont="1" applyFill="1" applyBorder="1" applyAlignment="1">
      <alignment horizontal="center"/>
    </xf>
    <xf numFmtId="0" fontId="134" fillId="0" borderId="35" xfId="14" applyFont="1" applyFill="1" applyBorder="1" applyAlignment="1">
      <alignment horizontal="center"/>
    </xf>
    <xf numFmtId="171" fontId="52" fillId="6" borderId="301" xfId="1" applyNumberFormat="1" applyFont="1" applyFill="1" applyBorder="1"/>
    <xf numFmtId="171" fontId="134" fillId="6" borderId="302" xfId="1" applyNumberFormat="1" applyFont="1" applyFill="1" applyBorder="1"/>
    <xf numFmtId="0" fontId="73" fillId="0" borderId="305" xfId="0" applyFont="1" applyBorder="1"/>
    <xf numFmtId="0" fontId="73" fillId="0" borderId="305" xfId="0" applyFont="1" applyFill="1" applyBorder="1"/>
    <xf numFmtId="0" fontId="135" fillId="0" borderId="220" xfId="0" applyFont="1" applyFill="1" applyBorder="1"/>
    <xf numFmtId="0" fontId="73" fillId="0" borderId="305" xfId="0" applyFont="1" applyBorder="1" applyAlignment="1">
      <alignment horizontal="right"/>
    </xf>
    <xf numFmtId="0" fontId="73" fillId="0" borderId="0" xfId="0" applyFont="1" applyBorder="1" applyAlignment="1">
      <alignment horizontal="right"/>
    </xf>
    <xf numFmtId="0" fontId="73" fillId="0" borderId="311" xfId="0" applyFont="1" applyBorder="1"/>
    <xf numFmtId="0" fontId="69" fillId="0" borderId="312" xfId="14" applyFont="1" applyFill="1" applyBorder="1" applyAlignment="1">
      <alignment horizontal="center"/>
    </xf>
    <xf numFmtId="0" fontId="69" fillId="0" borderId="289" xfId="14" applyFont="1" applyFill="1" applyBorder="1" applyAlignment="1">
      <alignment horizontal="center"/>
    </xf>
    <xf numFmtId="0" fontId="134" fillId="0" borderId="220" xfId="14" applyFont="1" applyFill="1" applyBorder="1" applyAlignment="1">
      <alignment horizontal="center"/>
    </xf>
    <xf numFmtId="171" fontId="52" fillId="6" borderId="302" xfId="1" applyNumberFormat="1" applyFont="1" applyFill="1" applyBorder="1"/>
    <xf numFmtId="0" fontId="69" fillId="0" borderId="305" xfId="14" applyFont="1" applyFill="1" applyBorder="1" applyAlignment="1">
      <alignment horizontal="center"/>
    </xf>
    <xf numFmtId="0" fontId="54" fillId="0" borderId="302" xfId="0" applyFont="1" applyBorder="1" applyAlignment="1">
      <alignment horizontal="right" indent="1"/>
    </xf>
    <xf numFmtId="0" fontId="55" fillId="19" borderId="293" xfId="0" applyFont="1" applyFill="1" applyBorder="1" applyAlignment="1">
      <alignment horizontal="center"/>
    </xf>
    <xf numFmtId="0" fontId="55" fillId="19" borderId="295" xfId="0" applyFont="1" applyFill="1" applyBorder="1" applyAlignment="1">
      <alignment horizontal="center"/>
    </xf>
    <xf numFmtId="3" fontId="54" fillId="0" borderId="293" xfId="0" applyNumberFormat="1" applyFont="1" applyFill="1" applyBorder="1" applyAlignment="1">
      <alignment horizontal="right" indent="1"/>
    </xf>
    <xf numFmtId="3" fontId="54" fillId="0" borderId="295" xfId="0" applyNumberFormat="1" applyFont="1" applyFill="1" applyBorder="1" applyAlignment="1">
      <alignment horizontal="right" indent="1"/>
    </xf>
    <xf numFmtId="0" fontId="29" fillId="0" borderId="0" xfId="15" applyFont="1" applyAlignment="1">
      <alignment horizontal="left" wrapText="1"/>
    </xf>
    <xf numFmtId="0" fontId="73" fillId="0" borderId="0" xfId="15" applyFont="1" applyAlignment="1">
      <alignment horizontal="left" wrapText="1"/>
    </xf>
    <xf numFmtId="49" fontId="81" fillId="0" borderId="0" xfId="19" applyNumberFormat="1" applyFont="1" applyBorder="1" applyAlignment="1">
      <alignment horizontal="center" wrapText="1"/>
    </xf>
    <xf numFmtId="49" fontId="81" fillId="0" borderId="0" xfId="19" applyNumberFormat="1" applyFont="1" applyBorder="1" applyAlignment="1">
      <alignment horizontal="center" wrapText="1"/>
    </xf>
    <xf numFmtId="0" fontId="29" fillId="0" borderId="0" xfId="0" applyFont="1" applyAlignment="1">
      <alignment horizontal="left" vertical="top" wrapText="1"/>
    </xf>
    <xf numFmtId="0" fontId="54" fillId="0" borderId="26" xfId="0" applyFont="1" applyBorder="1"/>
    <xf numFmtId="0" fontId="55" fillId="18" borderId="293" xfId="0" applyFont="1" applyFill="1" applyBorder="1" applyAlignment="1">
      <alignment horizontal="center"/>
    </xf>
    <xf numFmtId="0" fontId="55" fillId="18" borderId="295" xfId="0" applyFont="1" applyFill="1" applyBorder="1" applyAlignment="1">
      <alignment horizontal="center"/>
    </xf>
    <xf numFmtId="0" fontId="55" fillId="18" borderId="301" xfId="0" applyFont="1" applyFill="1" applyBorder="1" applyAlignment="1">
      <alignment horizontal="center"/>
    </xf>
    <xf numFmtId="3" fontId="54" fillId="0" borderId="301" xfId="0" applyNumberFormat="1" applyFont="1" applyFill="1" applyBorder="1" applyAlignment="1">
      <alignment horizontal="right" indent="1"/>
    </xf>
    <xf numFmtId="3" fontId="54" fillId="0" borderId="305" xfId="0" applyNumberFormat="1" applyFont="1" applyFill="1" applyBorder="1" applyAlignment="1">
      <alignment horizontal="right" indent="1"/>
    </xf>
    <xf numFmtId="0" fontId="55" fillId="18" borderId="287" xfId="0" applyFont="1" applyFill="1" applyBorder="1" applyAlignment="1">
      <alignment horizontal="center"/>
    </xf>
    <xf numFmtId="3" fontId="54" fillId="0" borderId="287" xfId="0" applyNumberFormat="1" applyFont="1" applyFill="1" applyBorder="1" applyAlignment="1">
      <alignment horizontal="right" indent="1"/>
    </xf>
    <xf numFmtId="3" fontId="54" fillId="0" borderId="291" xfId="0" applyNumberFormat="1" applyFont="1" applyFill="1" applyBorder="1" applyAlignment="1">
      <alignment horizontal="right" indent="1"/>
    </xf>
    <xf numFmtId="3" fontId="54" fillId="0" borderId="290" xfId="0" applyNumberFormat="1" applyFont="1" applyFill="1" applyBorder="1" applyAlignment="1">
      <alignment horizontal="right" indent="1"/>
    </xf>
    <xf numFmtId="0" fontId="54" fillId="0" borderId="310" xfId="0" applyFont="1" applyFill="1" applyBorder="1" applyAlignment="1">
      <alignment horizontal="left"/>
    </xf>
    <xf numFmtId="0" fontId="54" fillId="0" borderId="157" xfId="0" applyFont="1" applyFill="1" applyBorder="1" applyAlignment="1">
      <alignment horizontal="left"/>
    </xf>
    <xf numFmtId="0" fontId="54" fillId="0" borderId="305" xfId="0" applyFont="1" applyFill="1" applyBorder="1" applyAlignment="1">
      <alignment horizontal="left"/>
    </xf>
    <xf numFmtId="0" fontId="54" fillId="0" borderId="220" xfId="0" applyFont="1" applyFill="1" applyBorder="1" applyAlignment="1">
      <alignment horizontal="left"/>
    </xf>
    <xf numFmtId="3" fontId="81" fillId="23" borderId="287" xfId="19" applyNumberFormat="1" applyFont="1" applyFill="1" applyBorder="1" applyAlignment="1">
      <alignment vertical="top" wrapText="1"/>
    </xf>
    <xf numFmtId="49" fontId="81" fillId="0" borderId="305" xfId="19" applyNumberFormat="1" applyFont="1" applyBorder="1" applyAlignment="1">
      <alignment horizontal="center" wrapText="1"/>
    </xf>
    <xf numFmtId="49" fontId="81" fillId="0" borderId="220" xfId="19" applyNumberFormat="1" applyFont="1" applyBorder="1" applyAlignment="1">
      <alignment horizontal="center" wrapText="1"/>
    </xf>
    <xf numFmtId="3" fontId="67" fillId="8" borderId="301" xfId="19" applyNumberFormat="1" applyFont="1" applyFill="1" applyBorder="1" applyAlignment="1">
      <alignment vertical="top"/>
    </xf>
    <xf numFmtId="3" fontId="67" fillId="8" borderId="287" xfId="19" applyNumberFormat="1" applyFont="1" applyFill="1" applyBorder="1" applyAlignment="1">
      <alignment vertical="top"/>
    </xf>
    <xf numFmtId="3" fontId="67" fillId="8" borderId="302" xfId="19" applyNumberFormat="1" applyFont="1" applyFill="1" applyBorder="1" applyAlignment="1">
      <alignment vertical="top"/>
    </xf>
    <xf numFmtId="3" fontId="79" fillId="0" borderId="305" xfId="19" applyNumberFormat="1" applyFont="1" applyBorder="1" applyAlignment="1">
      <alignment vertical="top"/>
    </xf>
    <xf numFmtId="3" fontId="79" fillId="0" borderId="220" xfId="19" applyNumberFormat="1" applyFont="1" applyBorder="1" applyAlignment="1">
      <alignment vertical="top"/>
    </xf>
    <xf numFmtId="3" fontId="81" fillId="23" borderId="301" xfId="19" applyNumberFormat="1" applyFont="1" applyFill="1" applyBorder="1" applyAlignment="1">
      <alignment vertical="top" wrapText="1"/>
    </xf>
    <xf numFmtId="3" fontId="82" fillId="0" borderId="305" xfId="19" applyNumberFormat="1" applyFont="1" applyFill="1" applyBorder="1" applyAlignment="1">
      <alignment vertical="top" wrapText="1"/>
    </xf>
    <xf numFmtId="3" fontId="82" fillId="0" borderId="220" xfId="19" applyNumberFormat="1" applyFont="1" applyFill="1" applyBorder="1" applyAlignment="1">
      <alignment vertical="top" wrapText="1"/>
    </xf>
    <xf numFmtId="0" fontId="29" fillId="0" borderId="0" xfId="0" applyFont="1" applyAlignment="1">
      <alignment horizontal="left" vertical="top" wrapText="1"/>
    </xf>
    <xf numFmtId="49" fontId="81" fillId="0" borderId="305" xfId="19" applyNumberFormat="1" applyFont="1" applyBorder="1" applyAlignment="1">
      <alignment horizontal="center" wrapText="1"/>
    </xf>
    <xf numFmtId="49" fontId="81" fillId="0" borderId="0" xfId="19" applyNumberFormat="1" applyFont="1" applyBorder="1" applyAlignment="1">
      <alignment horizontal="center" wrapText="1"/>
    </xf>
    <xf numFmtId="49" fontId="81" fillId="0" borderId="220" xfId="19" applyNumberFormat="1" applyFont="1" applyBorder="1" applyAlignment="1">
      <alignment horizontal="center" wrapText="1"/>
    </xf>
    <xf numFmtId="3" fontId="81" fillId="23" borderId="302" xfId="19" applyNumberFormat="1" applyFont="1" applyFill="1" applyBorder="1" applyAlignment="1">
      <alignment vertical="top" wrapText="1"/>
    </xf>
    <xf numFmtId="3" fontId="54" fillId="0" borderId="313" xfId="0" applyNumberFormat="1" applyFont="1" applyFill="1" applyBorder="1" applyAlignment="1">
      <alignment horizontal="right" indent="1"/>
    </xf>
    <xf numFmtId="0" fontId="55" fillId="18" borderId="186" xfId="0" applyFont="1" applyFill="1" applyBorder="1" applyAlignment="1">
      <alignment horizontal="center"/>
    </xf>
    <xf numFmtId="3" fontId="54" fillId="0" borderId="219" xfId="0" applyNumberFormat="1" applyFont="1" applyFill="1" applyBorder="1" applyAlignment="1">
      <alignment horizontal="right" indent="1"/>
    </xf>
    <xf numFmtId="3" fontId="54" fillId="0" borderId="314" xfId="0" applyNumberFormat="1" applyFont="1" applyFill="1" applyBorder="1" applyAlignment="1">
      <alignment horizontal="right" indent="1"/>
    </xf>
    <xf numFmtId="3" fontId="54" fillId="0" borderId="199" xfId="0" applyNumberFormat="1" applyFont="1" applyFill="1" applyBorder="1" applyAlignment="1">
      <alignment horizontal="right" indent="1"/>
    </xf>
    <xf numFmtId="3" fontId="54" fillId="0" borderId="186" xfId="0" applyNumberFormat="1" applyFont="1" applyFill="1" applyBorder="1" applyAlignment="1">
      <alignment horizontal="right" indent="1"/>
    </xf>
    <xf numFmtId="0" fontId="55" fillId="18" borderId="306" xfId="0" applyFont="1" applyFill="1" applyBorder="1" applyAlignment="1">
      <alignment horizontal="center" wrapText="1"/>
    </xf>
    <xf numFmtId="3" fontId="54" fillId="0" borderId="309" xfId="0" applyNumberFormat="1" applyFont="1" applyFill="1" applyBorder="1" applyAlignment="1">
      <alignment horizontal="right" indent="1"/>
    </xf>
    <xf numFmtId="3" fontId="54" fillId="0" borderId="283" xfId="0" applyNumberFormat="1" applyFont="1" applyFill="1" applyBorder="1" applyAlignment="1">
      <alignment horizontal="right" indent="1"/>
    </xf>
    <xf numFmtId="3" fontId="54" fillId="0" borderId="306" xfId="0" applyNumberFormat="1" applyFont="1" applyFill="1" applyBorder="1" applyAlignment="1">
      <alignment horizontal="right" indent="1"/>
    </xf>
    <xf numFmtId="0" fontId="29" fillId="0" borderId="0" xfId="15" applyFont="1" applyAlignment="1">
      <alignment horizontal="left" wrapText="1"/>
    </xf>
    <xf numFmtId="49" fontId="81" fillId="0" borderId="305" xfId="19" applyNumberFormat="1" applyFont="1" applyBorder="1" applyAlignment="1">
      <alignment horizontal="center" wrapText="1"/>
    </xf>
    <xf numFmtId="49" fontId="81" fillId="0" borderId="0" xfId="19" applyNumberFormat="1" applyFont="1" applyBorder="1" applyAlignment="1">
      <alignment horizontal="center" wrapText="1"/>
    </xf>
    <xf numFmtId="49" fontId="81" fillId="0" borderId="220" xfId="19" applyNumberFormat="1" applyFont="1" applyBorder="1" applyAlignment="1">
      <alignment horizontal="center" wrapText="1"/>
    </xf>
    <xf numFmtId="3" fontId="67" fillId="8" borderId="306" xfId="19" applyNumberFormat="1" applyFont="1" applyFill="1" applyBorder="1" applyAlignment="1">
      <alignment vertical="top"/>
    </xf>
    <xf numFmtId="3" fontId="79" fillId="0" borderId="283" xfId="19" applyNumberFormat="1" applyFont="1" applyBorder="1" applyAlignment="1">
      <alignment vertical="top"/>
    </xf>
    <xf numFmtId="0" fontId="79" fillId="0" borderId="283" xfId="19" applyFont="1" applyBorder="1" applyAlignment="1">
      <alignment vertical="top"/>
    </xf>
    <xf numFmtId="171" fontId="82" fillId="0" borderId="0" xfId="1" applyNumberFormat="1" applyFont="1" applyFill="1" applyBorder="1" applyAlignment="1">
      <alignment vertical="top" wrapText="1"/>
    </xf>
    <xf numFmtId="171" fontId="81" fillId="23" borderId="287" xfId="1" applyNumberFormat="1" applyFont="1" applyFill="1" applyBorder="1" applyAlignment="1">
      <alignment vertical="top" wrapText="1"/>
    </xf>
    <xf numFmtId="171" fontId="67" fillId="8" borderId="306" xfId="1" applyNumberFormat="1" applyFont="1" applyFill="1" applyBorder="1" applyAlignment="1">
      <alignment vertical="top"/>
    </xf>
    <xf numFmtId="0" fontId="52" fillId="0" borderId="306" xfId="15" applyFont="1" applyBorder="1" applyAlignment="1">
      <alignment horizontal="center" wrapText="1"/>
    </xf>
    <xf numFmtId="3" fontId="73" fillId="0" borderId="283" xfId="15" applyNumberFormat="1" applyFont="1" applyBorder="1"/>
    <xf numFmtId="3" fontId="73" fillId="0" borderId="309" xfId="15" applyNumberFormat="1" applyFont="1" applyBorder="1"/>
    <xf numFmtId="3" fontId="73" fillId="0" borderId="283" xfId="15" applyNumberFormat="1" applyFont="1" applyFill="1" applyBorder="1"/>
    <xf numFmtId="0" fontId="29" fillId="0" borderId="0" xfId="15" applyFont="1" applyAlignment="1">
      <alignment horizontal="left" wrapText="1"/>
    </xf>
    <xf numFmtId="0" fontId="73" fillId="0" borderId="0" xfId="15" applyFont="1" applyAlignment="1">
      <alignment horizontal="left" wrapText="1"/>
    </xf>
    <xf numFmtId="0" fontId="29" fillId="0" borderId="0" xfId="0" applyFont="1" applyAlignment="1">
      <alignment horizontal="left" vertical="top" wrapText="1"/>
    </xf>
    <xf numFmtId="49" fontId="81" fillId="0" borderId="305" xfId="19" applyNumberFormat="1" applyFont="1" applyBorder="1" applyAlignment="1">
      <alignment horizontal="center" wrapText="1"/>
    </xf>
    <xf numFmtId="49" fontId="81" fillId="0" borderId="0" xfId="19" applyNumberFormat="1" applyFont="1" applyBorder="1" applyAlignment="1">
      <alignment horizontal="center" wrapText="1"/>
    </xf>
    <xf numFmtId="49" fontId="81" fillId="0" borderId="220" xfId="19" applyNumberFormat="1" applyFont="1" applyBorder="1" applyAlignment="1">
      <alignment horizontal="center" wrapText="1"/>
    </xf>
    <xf numFmtId="37" fontId="73" fillId="0" borderId="0" xfId="1" applyNumberFormat="1" applyFont="1"/>
    <xf numFmtId="49" fontId="81" fillId="0" borderId="305" xfId="19" applyNumberFormat="1" applyFont="1" applyBorder="1" applyAlignment="1">
      <alignment wrapText="1"/>
    </xf>
    <xf numFmtId="0" fontId="67" fillId="0" borderId="0" xfId="19" applyFont="1" applyAlignment="1">
      <alignment horizontal="center" vertical="top" wrapText="1"/>
    </xf>
    <xf numFmtId="0" fontId="73" fillId="0" borderId="283" xfId="15" applyFont="1" applyBorder="1"/>
    <xf numFmtId="0" fontId="73" fillId="0" borderId="283" xfId="15" applyFont="1" applyFill="1" applyBorder="1" applyAlignment="1">
      <alignment vertical="top"/>
    </xf>
    <xf numFmtId="0" fontId="29" fillId="0" borderId="0" xfId="15" applyFont="1" applyAlignment="1">
      <alignment horizontal="left" wrapText="1"/>
    </xf>
    <xf numFmtId="3" fontId="52" fillId="6" borderId="306" xfId="15" applyNumberFormat="1" applyFont="1" applyFill="1" applyBorder="1" applyAlignment="1">
      <alignment horizontal="right" vertical="top"/>
    </xf>
    <xf numFmtId="3" fontId="73" fillId="0" borderId="283" xfId="15" applyNumberFormat="1" applyFont="1" applyFill="1" applyBorder="1" applyAlignment="1">
      <alignment horizontal="right" vertical="top"/>
    </xf>
    <xf numFmtId="3" fontId="73" fillId="0" borderId="309" xfId="15" applyNumberFormat="1" applyFont="1" applyFill="1" applyBorder="1" applyAlignment="1">
      <alignment horizontal="right" vertical="top"/>
    </xf>
    <xf numFmtId="171" fontId="73" fillId="0" borderId="283" xfId="1" applyNumberFormat="1" applyFont="1" applyBorder="1"/>
    <xf numFmtId="171" fontId="73" fillId="0" borderId="309" xfId="1" applyNumberFormat="1" applyFont="1" applyBorder="1"/>
    <xf numFmtId="0" fontId="52" fillId="0" borderId="306" xfId="15" applyFont="1" applyBorder="1"/>
    <xf numFmtId="3" fontId="52" fillId="6" borderId="306" xfId="15" applyNumberFormat="1" applyFont="1" applyFill="1" applyBorder="1"/>
    <xf numFmtId="171" fontId="52" fillId="6" borderId="306" xfId="1" applyNumberFormat="1" applyFont="1" applyFill="1" applyBorder="1" applyAlignment="1">
      <alignment horizontal="center" wrapText="1"/>
    </xf>
    <xf numFmtId="3" fontId="73" fillId="0" borderId="309" xfId="15" applyNumberFormat="1" applyFont="1" applyFill="1" applyBorder="1"/>
    <xf numFmtId="171" fontId="73" fillId="0" borderId="309" xfId="1" applyNumberFormat="1" applyFont="1" applyFill="1" applyBorder="1"/>
    <xf numFmtId="0" fontId="29" fillId="0" borderId="0" xfId="15" applyFont="1" applyBorder="1" applyAlignment="1">
      <alignment horizontal="left" wrapText="1"/>
    </xf>
    <xf numFmtId="0" fontId="52" fillId="0" borderId="220" xfId="15" applyFont="1" applyBorder="1" applyAlignment="1">
      <alignment horizontal="center"/>
    </xf>
    <xf numFmtId="171" fontId="73" fillId="0" borderId="220" xfId="1" applyNumberFormat="1" applyFont="1" applyFill="1" applyBorder="1"/>
    <xf numFmtId="0" fontId="52" fillId="0" borderId="311" xfId="15" applyFont="1" applyFill="1" applyBorder="1" applyAlignment="1">
      <alignment horizontal="center" wrapText="1"/>
    </xf>
    <xf numFmtId="3" fontId="52" fillId="0" borderId="220" xfId="15" applyNumberFormat="1" applyFont="1" applyFill="1" applyBorder="1" applyAlignment="1">
      <alignment horizontal="right" vertical="top"/>
    </xf>
    <xf numFmtId="171" fontId="73" fillId="0" borderId="286" xfId="1" applyNumberFormat="1" applyFont="1" applyFill="1" applyBorder="1"/>
    <xf numFmtId="171" fontId="73" fillId="0" borderId="279" xfId="1" applyNumberFormat="1" applyFont="1" applyFill="1" applyBorder="1"/>
    <xf numFmtId="0" fontId="29" fillId="0" borderId="0" xfId="15" applyFont="1" applyAlignment="1">
      <alignment horizontal="left" wrapText="1"/>
    </xf>
    <xf numFmtId="0" fontId="73" fillId="0" borderId="0" xfId="15" applyFont="1" applyAlignment="1">
      <alignment horizontal="left" wrapText="1"/>
    </xf>
    <xf numFmtId="0" fontId="57" fillId="0" borderId="0" xfId="0" applyFont="1" applyBorder="1" applyAlignment="1">
      <alignment horizontal="left" vertical="top" wrapText="1"/>
    </xf>
    <xf numFmtId="0" fontId="29" fillId="0" borderId="0" xfId="15" applyFont="1" applyAlignment="1">
      <alignment horizontal="left" wrapText="1"/>
    </xf>
    <xf numFmtId="0" fontId="73" fillId="0" borderId="0" xfId="15" applyFont="1" applyAlignment="1">
      <alignment horizontal="left" wrapText="1"/>
    </xf>
    <xf numFmtId="0" fontId="52" fillId="17" borderId="0" xfId="0" applyFont="1" applyFill="1"/>
    <xf numFmtId="171" fontId="52" fillId="17" borderId="0" xfId="1" applyNumberFormat="1" applyFont="1" applyFill="1"/>
    <xf numFmtId="0" fontId="52" fillId="17" borderId="0" xfId="0" applyFont="1" applyFill="1" applyAlignment="1">
      <alignment horizontal="center"/>
    </xf>
    <xf numFmtId="0" fontId="73" fillId="0" borderId="283" xfId="15" applyFont="1" applyBorder="1" applyAlignment="1">
      <alignment horizontal="center"/>
    </xf>
    <xf numFmtId="0" fontId="52" fillId="17" borderId="306" xfId="15" applyFont="1" applyFill="1" applyBorder="1" applyAlignment="1">
      <alignment horizontal="center"/>
    </xf>
    <xf numFmtId="0" fontId="52" fillId="17" borderId="306" xfId="15" applyFont="1" applyFill="1" applyBorder="1" applyAlignment="1">
      <alignment horizontal="left" wrapText="1"/>
    </xf>
    <xf numFmtId="171" fontId="52" fillId="17" borderId="306" xfId="1" applyNumberFormat="1" applyFont="1" applyFill="1" applyBorder="1" applyAlignment="1">
      <alignment horizontal="center" wrapText="1"/>
    </xf>
    <xf numFmtId="9" fontId="55" fillId="18" borderId="291" xfId="33" applyFont="1" applyFill="1" applyBorder="1" applyAlignment="1">
      <alignment horizontal="center" vertical="center"/>
    </xf>
    <xf numFmtId="0" fontId="92" fillId="18" borderId="314" xfId="0" applyFont="1" applyFill="1" applyBorder="1" applyAlignment="1">
      <alignment horizontal="center" vertical="center" wrapText="1"/>
    </xf>
    <xf numFmtId="3" fontId="54" fillId="0" borderId="291" xfId="0" applyNumberFormat="1" applyFont="1" applyBorder="1" applyAlignment="1">
      <alignment horizontal="right" indent="1"/>
    </xf>
    <xf numFmtId="3" fontId="54" fillId="11" borderId="279" xfId="0" applyNumberFormat="1" applyFont="1" applyFill="1" applyBorder="1" applyAlignment="1">
      <alignment horizontal="right" indent="1"/>
    </xf>
    <xf numFmtId="3" fontId="54" fillId="0" borderId="279" xfId="0" applyNumberFormat="1" applyFont="1" applyBorder="1" applyAlignment="1">
      <alignment horizontal="right" indent="1"/>
    </xf>
    <xf numFmtId="9" fontId="55" fillId="18" borderId="299" xfId="33" applyFont="1" applyFill="1" applyBorder="1" applyAlignment="1">
      <alignment horizontal="center" vertical="center"/>
    </xf>
    <xf numFmtId="3" fontId="54" fillId="0" borderId="299" xfId="0" applyNumberFormat="1" applyFont="1" applyBorder="1" applyAlignment="1">
      <alignment horizontal="right" indent="1"/>
    </xf>
    <xf numFmtId="3" fontId="54" fillId="11" borderId="305" xfId="0" applyNumberFormat="1" applyFont="1" applyFill="1" applyBorder="1" applyAlignment="1">
      <alignment horizontal="right" indent="1"/>
    </xf>
    <xf numFmtId="3" fontId="54" fillId="0" borderId="305" xfId="0" applyNumberFormat="1" applyFont="1" applyBorder="1" applyAlignment="1">
      <alignment horizontal="right" indent="1"/>
    </xf>
    <xf numFmtId="3" fontId="54" fillId="0" borderId="312" xfId="0" applyNumberFormat="1" applyFont="1" applyFill="1" applyBorder="1" applyAlignment="1">
      <alignment horizontal="right" indent="1"/>
    </xf>
    <xf numFmtId="3" fontId="54" fillId="0" borderId="219" xfId="0" quotePrefix="1" applyNumberFormat="1" applyFont="1" applyFill="1" applyBorder="1" applyAlignment="1">
      <alignment horizontal="right" indent="1"/>
    </xf>
    <xf numFmtId="3" fontId="54" fillId="0" borderId="314" xfId="0" quotePrefix="1" applyNumberFormat="1" applyFont="1" applyFill="1" applyBorder="1" applyAlignment="1">
      <alignment horizontal="right" indent="1"/>
    </xf>
    <xf numFmtId="3" fontId="54" fillId="11" borderId="199" xfId="0" quotePrefix="1" applyNumberFormat="1" applyFont="1" applyFill="1" applyBorder="1" applyAlignment="1">
      <alignment horizontal="right" indent="1"/>
    </xf>
    <xf numFmtId="3" fontId="54" fillId="0" borderId="199" xfId="0" quotePrefix="1" applyNumberFormat="1" applyFont="1" applyFill="1" applyBorder="1" applyAlignment="1">
      <alignment horizontal="right" indent="1"/>
    </xf>
    <xf numFmtId="0" fontId="97" fillId="18" borderId="292" xfId="0" applyFont="1" applyFill="1" applyBorder="1" applyAlignment="1">
      <alignment horizontal="center" wrapText="1"/>
    </xf>
    <xf numFmtId="171" fontId="54" fillId="0" borderId="292" xfId="1" applyNumberFormat="1" applyFont="1" applyBorder="1"/>
    <xf numFmtId="171" fontId="54" fillId="11" borderId="280" xfId="1" applyNumberFormat="1" applyFont="1" applyFill="1" applyBorder="1"/>
    <xf numFmtId="171" fontId="54" fillId="0" borderId="280" xfId="1" applyNumberFormat="1" applyFont="1" applyBorder="1"/>
    <xf numFmtId="171" fontId="54" fillId="0" borderId="313" xfId="1" applyNumberFormat="1" applyFont="1" applyFill="1" applyBorder="1"/>
    <xf numFmtId="0" fontId="62" fillId="14" borderId="28" xfId="0" quotePrefix="1" applyFont="1" applyFill="1" applyBorder="1" applyAlignment="1">
      <alignment horizontal="center"/>
    </xf>
    <xf numFmtId="0" fontId="62" fillId="14" borderId="28" xfId="0" applyFont="1" applyFill="1" applyBorder="1" applyAlignment="1">
      <alignment horizontal="center"/>
    </xf>
    <xf numFmtId="171" fontId="31" fillId="0" borderId="0" xfId="1" applyNumberFormat="1" applyFont="1" applyFill="1" applyBorder="1" applyAlignment="1">
      <alignment horizontal="right" wrapText="1"/>
    </xf>
    <xf numFmtId="0" fontId="66" fillId="0" borderId="160" xfId="0" applyFont="1" applyBorder="1" applyAlignment="1">
      <alignment horizontal="center" wrapText="1"/>
    </xf>
    <xf numFmtId="0" fontId="66" fillId="0" borderId="0" xfId="0" applyFont="1" applyBorder="1" applyAlignment="1">
      <alignment horizontal="center"/>
    </xf>
    <xf numFmtId="0" fontId="66" fillId="0" borderId="160" xfId="0" applyFont="1" applyBorder="1" applyAlignment="1">
      <alignment horizontal="center" wrapText="1"/>
    </xf>
    <xf numFmtId="0" fontId="66" fillId="0" borderId="160" xfId="0" applyFont="1" applyBorder="1" applyAlignment="1">
      <alignment horizontal="center"/>
    </xf>
    <xf numFmtId="172" fontId="25" fillId="0" borderId="315" xfId="0" applyNumberFormat="1" applyFont="1" applyFill="1" applyBorder="1"/>
    <xf numFmtId="3" fontId="25" fillId="6" borderId="315" xfId="0" applyNumberFormat="1" applyFont="1" applyFill="1" applyBorder="1" applyAlignment="1">
      <alignment horizontal="right" vertical="center"/>
    </xf>
    <xf numFmtId="172" fontId="25" fillId="0" borderId="294" xfId="0" applyNumberFormat="1" applyFont="1" applyFill="1" applyBorder="1"/>
    <xf numFmtId="172" fontId="25" fillId="0" borderId="295" xfId="0" applyNumberFormat="1" applyFont="1" applyFill="1" applyBorder="1"/>
    <xf numFmtId="3" fontId="25" fillId="6" borderId="294" xfId="0" applyNumberFormat="1" applyFont="1" applyFill="1" applyBorder="1" applyAlignment="1">
      <alignment horizontal="right" vertical="center"/>
    </xf>
    <xf numFmtId="3" fontId="23" fillId="0" borderId="279" xfId="0" applyNumberFormat="1" applyFont="1" applyFill="1" applyBorder="1" applyAlignment="1">
      <alignment horizontal="right" vertical="center"/>
    </xf>
    <xf numFmtId="0" fontId="66" fillId="0" borderId="289" xfId="0" applyFont="1" applyBorder="1" applyAlignment="1">
      <alignment horizontal="center"/>
    </xf>
    <xf numFmtId="3" fontId="25" fillId="6" borderId="315" xfId="0" applyNumberFormat="1" applyFont="1" applyFill="1" applyBorder="1"/>
    <xf numFmtId="164" fontId="25" fillId="6" borderId="137" xfId="33" applyNumberFormat="1" applyFont="1" applyFill="1" applyBorder="1"/>
    <xf numFmtId="164" fontId="25" fillId="6" borderId="20" xfId="33" applyNumberFormat="1" applyFont="1" applyFill="1" applyBorder="1"/>
    <xf numFmtId="164" fontId="25" fillId="6" borderId="42" xfId="33" applyNumberFormat="1" applyFont="1" applyFill="1" applyBorder="1"/>
    <xf numFmtId="164" fontId="25" fillId="6" borderId="21" xfId="33" applyNumberFormat="1" applyFont="1" applyFill="1" applyBorder="1"/>
    <xf numFmtId="164" fontId="25" fillId="6" borderId="189" xfId="33" applyNumberFormat="1" applyFont="1" applyFill="1" applyBorder="1"/>
    <xf numFmtId="164" fontId="25" fillId="6" borderId="315" xfId="33" applyNumberFormat="1" applyFont="1" applyFill="1" applyBorder="1"/>
    <xf numFmtId="164" fontId="23" fillId="0" borderId="22" xfId="33" applyNumberFormat="1" applyFont="1" applyFill="1" applyBorder="1"/>
    <xf numFmtId="164" fontId="23" fillId="0" borderId="24" xfId="33" applyNumberFormat="1" applyFont="1" applyFill="1" applyBorder="1"/>
    <xf numFmtId="164" fontId="23" fillId="0" borderId="168" xfId="33" applyNumberFormat="1" applyFont="1" applyFill="1" applyBorder="1"/>
    <xf numFmtId="164" fontId="23" fillId="0" borderId="138" xfId="33" applyNumberFormat="1" applyFont="1" applyFill="1" applyBorder="1"/>
    <xf numFmtId="164" fontId="23" fillId="0" borderId="155" xfId="33" applyNumberFormat="1" applyFont="1" applyFill="1" applyBorder="1"/>
    <xf numFmtId="164" fontId="23" fillId="0" borderId="216" xfId="33" applyNumberFormat="1" applyFont="1" applyFill="1" applyBorder="1"/>
    <xf numFmtId="164" fontId="23" fillId="0" borderId="22" xfId="0" applyNumberFormat="1" applyFont="1" applyFill="1" applyBorder="1"/>
    <xf numFmtId="164" fontId="23" fillId="0" borderId="24" xfId="0" applyNumberFormat="1" applyFont="1" applyFill="1" applyBorder="1"/>
    <xf numFmtId="164" fontId="23" fillId="0" borderId="168" xfId="0" applyNumberFormat="1" applyFont="1" applyFill="1" applyBorder="1"/>
    <xf numFmtId="164" fontId="23" fillId="0" borderId="138" xfId="0" applyNumberFormat="1" applyFont="1" applyFill="1" applyBorder="1"/>
    <xf numFmtId="164" fontId="23" fillId="0" borderId="155" xfId="0" applyNumberFormat="1" applyFont="1" applyFill="1" applyBorder="1"/>
    <xf numFmtId="164" fontId="23" fillId="0" borderId="216" xfId="0" applyNumberFormat="1" applyFont="1" applyFill="1" applyBorder="1"/>
    <xf numFmtId="164" fontId="0" fillId="0" borderId="0" xfId="33" applyNumberFormat="1" applyFont="1"/>
    <xf numFmtId="0" fontId="27" fillId="0" borderId="0" xfId="14" applyFont="1" applyFill="1" applyBorder="1" applyAlignment="1">
      <alignment horizontal="left" vertical="top" wrapText="1"/>
    </xf>
    <xf numFmtId="0" fontId="79" fillId="0" borderId="0" xfId="14" applyFont="1" applyFill="1" applyBorder="1" applyAlignment="1">
      <alignment horizontal="left" vertical="top" wrapText="1"/>
    </xf>
    <xf numFmtId="172" fontId="25" fillId="0" borderId="301" xfId="0" applyNumberFormat="1" applyFont="1" applyFill="1" applyBorder="1"/>
    <xf numFmtId="3" fontId="25" fillId="6" borderId="301" xfId="0" applyNumberFormat="1" applyFont="1" applyFill="1" applyBorder="1"/>
    <xf numFmtId="3" fontId="23" fillId="0" borderId="305" xfId="0" applyNumberFormat="1" applyFont="1" applyFill="1" applyBorder="1"/>
    <xf numFmtId="3" fontId="23" fillId="0" borderId="310" xfId="0" applyNumberFormat="1" applyFont="1" applyFill="1" applyBorder="1"/>
    <xf numFmtId="3" fontId="25" fillId="6" borderId="301" xfId="0" applyNumberFormat="1" applyFont="1" applyFill="1" applyBorder="1" applyAlignment="1">
      <alignment horizontal="right" vertical="center"/>
    </xf>
    <xf numFmtId="3" fontId="23" fillId="0" borderId="305" xfId="0" applyNumberFormat="1" applyFont="1" applyFill="1" applyBorder="1" applyAlignment="1">
      <alignment horizontal="right" vertical="center"/>
    </xf>
    <xf numFmtId="3" fontId="23" fillId="0" borderId="310" xfId="0" applyNumberFormat="1" applyFont="1" applyFill="1" applyBorder="1" applyAlignment="1">
      <alignment horizontal="right" vertical="center"/>
    </xf>
    <xf numFmtId="172" fontId="25" fillId="0" borderId="317" xfId="0" applyNumberFormat="1" applyFont="1" applyFill="1" applyBorder="1"/>
    <xf numFmtId="179" fontId="25" fillId="6" borderId="301" xfId="0" applyNumberFormat="1" applyFont="1" applyFill="1" applyBorder="1"/>
    <xf numFmtId="179" fontId="23" fillId="0" borderId="305" xfId="0" applyNumberFormat="1" applyFont="1" applyFill="1" applyBorder="1"/>
    <xf numFmtId="179" fontId="23" fillId="0" borderId="310" xfId="0" applyNumberFormat="1" applyFont="1" applyFill="1" applyBorder="1"/>
    <xf numFmtId="179" fontId="23" fillId="0" borderId="279" xfId="0" applyNumberFormat="1" applyFont="1" applyFill="1" applyBorder="1"/>
    <xf numFmtId="3" fontId="25" fillId="6" borderId="19" xfId="0" applyNumberFormat="1" applyFont="1" applyFill="1" applyBorder="1" applyAlignment="1" applyProtection="1">
      <alignment horizontal="right" vertical="center"/>
    </xf>
    <xf numFmtId="3" fontId="25" fillId="6" borderId="21" xfId="0" applyNumberFormat="1" applyFont="1" applyFill="1" applyBorder="1" applyAlignment="1" applyProtection="1">
      <alignment horizontal="right" vertical="center"/>
    </xf>
    <xf numFmtId="1" fontId="54" fillId="0" borderId="295" xfId="0" applyNumberFormat="1" applyFont="1" applyBorder="1" applyAlignment="1">
      <alignment horizontal="right" indent="1"/>
    </xf>
    <xf numFmtId="1" fontId="54" fillId="0" borderId="280" xfId="0" applyNumberFormat="1" applyFont="1" applyBorder="1" applyAlignment="1">
      <alignment horizontal="right" indent="1"/>
    </xf>
    <xf numFmtId="0" fontId="55" fillId="17" borderId="293" xfId="0" applyFont="1" applyFill="1" applyBorder="1" applyAlignment="1">
      <alignment horizontal="center"/>
    </xf>
    <xf numFmtId="0" fontId="55" fillId="17" borderId="295" xfId="0" applyFont="1" applyFill="1" applyBorder="1" applyAlignment="1">
      <alignment horizontal="center"/>
    </xf>
    <xf numFmtId="0" fontId="54" fillId="16" borderId="305" xfId="0" applyFont="1" applyFill="1" applyBorder="1" applyAlignment="1">
      <alignment horizontal="left" indent="1"/>
    </xf>
    <xf numFmtId="164" fontId="54" fillId="16" borderId="286" xfId="0" applyNumberFormat="1" applyFont="1" applyFill="1" applyBorder="1" applyAlignment="1">
      <alignment horizontal="center"/>
    </xf>
    <xf numFmtId="164" fontId="54" fillId="16" borderId="280" xfId="0" applyNumberFormat="1" applyFont="1" applyFill="1" applyBorder="1" applyAlignment="1">
      <alignment horizontal="center"/>
    </xf>
    <xf numFmtId="164" fontId="54" fillId="16" borderId="280" xfId="33" applyNumberFormat="1" applyFont="1" applyFill="1" applyBorder="1" applyAlignment="1">
      <alignment horizontal="center"/>
    </xf>
    <xf numFmtId="0" fontId="54" fillId="0" borderId="305" xfId="0" applyFont="1" applyBorder="1" applyAlignment="1">
      <alignment horizontal="left" indent="1"/>
    </xf>
    <xf numFmtId="164" fontId="54" fillId="0" borderId="286" xfId="0" applyNumberFormat="1" applyFont="1" applyBorder="1" applyAlignment="1">
      <alignment horizontal="center"/>
    </xf>
    <xf numFmtId="164" fontId="54" fillId="0" borderId="280" xfId="0" applyNumberFormat="1" applyFont="1" applyBorder="1" applyAlignment="1">
      <alignment horizontal="center"/>
    </xf>
    <xf numFmtId="164" fontId="54" fillId="0" borderId="280" xfId="33" applyNumberFormat="1" applyFont="1" applyBorder="1" applyAlignment="1">
      <alignment horizontal="center"/>
    </xf>
    <xf numFmtId="164" fontId="54" fillId="0" borderId="286" xfId="0" applyNumberFormat="1" applyFont="1" applyFill="1" applyBorder="1" applyAlignment="1">
      <alignment horizontal="center"/>
    </xf>
    <xf numFmtId="164" fontId="54" fillId="0" borderId="280" xfId="33" applyNumberFormat="1" applyFont="1" applyFill="1" applyBorder="1" applyAlignment="1">
      <alignment horizontal="center"/>
    </xf>
    <xf numFmtId="0" fontId="69" fillId="0" borderId="318" xfId="14" applyFont="1" applyFill="1" applyBorder="1" applyAlignment="1">
      <alignment horizontal="left" wrapText="1"/>
    </xf>
    <xf numFmtId="0" fontId="70" fillId="0" borderId="305" xfId="14" applyFont="1" applyFill="1" applyBorder="1" applyAlignment="1">
      <alignment wrapText="1"/>
    </xf>
    <xf numFmtId="0" fontId="69" fillId="0" borderId="319" xfId="14" applyFont="1" applyFill="1" applyBorder="1" applyAlignment="1">
      <alignment horizontal="center" wrapText="1"/>
    </xf>
    <xf numFmtId="164" fontId="69" fillId="23" borderId="220" xfId="14" applyNumberFormat="1" applyFont="1" applyFill="1" applyBorder="1" applyAlignment="1">
      <alignment horizontal="center" wrapText="1"/>
    </xf>
    <xf numFmtId="164" fontId="70" fillId="0" borderId="220" xfId="14" applyNumberFormat="1" applyFont="1" applyFill="1" applyBorder="1" applyAlignment="1">
      <alignment horizontal="center" wrapText="1"/>
    </xf>
    <xf numFmtId="164" fontId="70" fillId="0" borderId="157" xfId="14" applyNumberFormat="1" applyFont="1" applyFill="1" applyBorder="1" applyAlignment="1">
      <alignment horizontal="center" wrapText="1"/>
    </xf>
    <xf numFmtId="164" fontId="69" fillId="23" borderId="283" xfId="14" applyNumberFormat="1" applyFont="1" applyFill="1" applyBorder="1" applyAlignment="1">
      <alignment horizontal="center" wrapText="1"/>
    </xf>
    <xf numFmtId="164" fontId="70" fillId="0" borderId="283" xfId="14" applyNumberFormat="1" applyFont="1" applyFill="1" applyBorder="1" applyAlignment="1">
      <alignment horizontal="center" wrapText="1"/>
    </xf>
    <xf numFmtId="164" fontId="70" fillId="0" borderId="309" xfId="14" applyNumberFormat="1" applyFont="1" applyFill="1" applyBorder="1" applyAlignment="1">
      <alignment horizontal="center" wrapText="1"/>
    </xf>
    <xf numFmtId="0" fontId="70" fillId="0" borderId="160" xfId="14" applyFont="1" applyFill="1" applyBorder="1" applyAlignment="1">
      <alignment wrapText="1"/>
    </xf>
    <xf numFmtId="0" fontId="69" fillId="0" borderId="210" xfId="14" applyFont="1" applyFill="1" applyBorder="1" applyAlignment="1">
      <alignment horizontal="center" wrapText="1"/>
    </xf>
    <xf numFmtId="0" fontId="69" fillId="0" borderId="211" xfId="14" applyFont="1" applyFill="1" applyBorder="1" applyAlignment="1">
      <alignment horizontal="center" wrapText="1"/>
    </xf>
    <xf numFmtId="0" fontId="69" fillId="0" borderId="218" xfId="14" applyFont="1" applyFill="1" applyBorder="1" applyAlignment="1">
      <alignment horizontal="center" wrapText="1"/>
    </xf>
    <xf numFmtId="171" fontId="69" fillId="23" borderId="286" xfId="1" applyNumberFormat="1" applyFont="1" applyFill="1" applyBorder="1" applyAlignment="1">
      <alignment horizontal="center" wrapText="1"/>
    </xf>
    <xf numFmtId="171" fontId="69" fillId="23" borderId="279" xfId="1" applyNumberFormat="1" applyFont="1" applyFill="1" applyBorder="1" applyAlignment="1">
      <alignment horizontal="center" wrapText="1"/>
    </xf>
    <xf numFmtId="171" fontId="70" fillId="0" borderId="320" xfId="1" applyNumberFormat="1" applyFont="1" applyFill="1" applyBorder="1" applyAlignment="1">
      <alignment wrapText="1"/>
    </xf>
    <xf numFmtId="171" fontId="70" fillId="0" borderId="321" xfId="1" applyNumberFormat="1" applyFont="1" applyFill="1" applyBorder="1" applyAlignment="1">
      <alignment wrapText="1"/>
    </xf>
    <xf numFmtId="164" fontId="70" fillId="0" borderId="283" xfId="33" applyNumberFormat="1" applyFont="1" applyFill="1" applyBorder="1" applyAlignment="1">
      <alignment wrapText="1"/>
    </xf>
    <xf numFmtId="171" fontId="70" fillId="0" borderId="286" xfId="1" applyNumberFormat="1" applyFont="1" applyFill="1" applyBorder="1" applyAlignment="1">
      <alignment wrapText="1"/>
    </xf>
    <xf numFmtId="171" fontId="70" fillId="0" borderId="279" xfId="1" applyNumberFormat="1" applyFont="1" applyFill="1" applyBorder="1" applyAlignment="1">
      <alignment wrapText="1"/>
    </xf>
    <xf numFmtId="171" fontId="70" fillId="0" borderId="322" xfId="1" applyNumberFormat="1" applyFont="1" applyFill="1" applyBorder="1" applyAlignment="1">
      <alignment wrapText="1"/>
    </xf>
    <xf numFmtId="171" fontId="70" fillId="0" borderId="323" xfId="1" applyNumberFormat="1" applyFont="1" applyFill="1" applyBorder="1" applyAlignment="1">
      <alignment wrapText="1"/>
    </xf>
    <xf numFmtId="164" fontId="70" fillId="0" borderId="309" xfId="33" applyNumberFormat="1" applyFont="1" applyFill="1" applyBorder="1" applyAlignment="1">
      <alignment wrapText="1"/>
    </xf>
    <xf numFmtId="0" fontId="70" fillId="0" borderId="220" xfId="14" applyFont="1" applyFill="1" applyBorder="1" applyAlignment="1">
      <alignment wrapText="1"/>
    </xf>
    <xf numFmtId="3" fontId="70" fillId="0" borderId="286" xfId="14" applyNumberFormat="1" applyFont="1" applyFill="1" applyBorder="1" applyAlignment="1">
      <alignment horizontal="right" wrapText="1"/>
    </xf>
    <xf numFmtId="3" fontId="70" fillId="0" borderId="279" xfId="14" applyNumberFormat="1" applyFont="1" applyFill="1" applyBorder="1" applyAlignment="1">
      <alignment horizontal="right" wrapText="1"/>
    </xf>
    <xf numFmtId="3" fontId="69" fillId="23" borderId="286" xfId="14" applyNumberFormat="1" applyFont="1" applyFill="1" applyBorder="1" applyAlignment="1">
      <alignment horizontal="right" wrapText="1"/>
    </xf>
    <xf numFmtId="3" fontId="69" fillId="23" borderId="279" xfId="14" applyNumberFormat="1" applyFont="1" applyFill="1" applyBorder="1" applyAlignment="1">
      <alignment horizontal="right" wrapText="1"/>
    </xf>
    <xf numFmtId="3" fontId="70" fillId="0" borderId="320" xfId="14" applyNumberFormat="1" applyFont="1" applyFill="1" applyBorder="1" applyAlignment="1">
      <alignment horizontal="right" wrapText="1"/>
    </xf>
    <xf numFmtId="3" fontId="70" fillId="0" borderId="321" xfId="14" applyNumberFormat="1" applyFont="1" applyFill="1" applyBorder="1" applyAlignment="1">
      <alignment horizontal="right" wrapText="1"/>
    </xf>
    <xf numFmtId="3" fontId="79" fillId="0" borderId="286" xfId="14" applyNumberFormat="1" applyFont="1" applyBorder="1"/>
    <xf numFmtId="3" fontId="79" fillId="0" borderId="279" xfId="14" applyNumberFormat="1" applyFont="1" applyBorder="1"/>
    <xf numFmtId="3" fontId="70" fillId="0" borderId="322" xfId="14" applyNumberFormat="1" applyFont="1" applyFill="1" applyBorder="1" applyAlignment="1">
      <alignment horizontal="right" wrapText="1"/>
    </xf>
    <xf numFmtId="3" fontId="70" fillId="0" borderId="323" xfId="14" applyNumberFormat="1" applyFont="1" applyFill="1" applyBorder="1" applyAlignment="1">
      <alignment horizontal="right" wrapText="1"/>
    </xf>
    <xf numFmtId="3" fontId="70" fillId="0" borderId="305" xfId="14" applyNumberFormat="1" applyFont="1" applyFill="1" applyBorder="1" applyAlignment="1">
      <alignment horizontal="right" wrapText="1"/>
    </xf>
    <xf numFmtId="164" fontId="70" fillId="0" borderId="280" xfId="14" applyNumberFormat="1" applyFont="1" applyFill="1" applyBorder="1" applyAlignment="1">
      <alignment horizontal="center" wrapText="1"/>
    </xf>
    <xf numFmtId="164" fontId="69" fillId="23" borderId="280" xfId="14" applyNumberFormat="1" applyFont="1" applyFill="1" applyBorder="1" applyAlignment="1">
      <alignment horizontal="center" wrapText="1"/>
    </xf>
    <xf numFmtId="164" fontId="70" fillId="0" borderId="316" xfId="14" applyNumberFormat="1" applyFont="1" applyFill="1" applyBorder="1" applyAlignment="1">
      <alignment horizontal="center" wrapText="1"/>
    </xf>
    <xf numFmtId="171" fontId="67" fillId="23" borderId="198" xfId="1" applyNumberFormat="1" applyFont="1" applyFill="1" applyBorder="1"/>
    <xf numFmtId="171" fontId="79" fillId="0" borderId="198" xfId="1" applyNumberFormat="1" applyFont="1" applyBorder="1"/>
    <xf numFmtId="171" fontId="79" fillId="0" borderId="200" xfId="1" applyNumberFormat="1" applyFont="1" applyBorder="1"/>
    <xf numFmtId="3" fontId="69" fillId="0" borderId="305" xfId="14" applyNumberFormat="1" applyFont="1" applyFill="1" applyBorder="1" applyAlignment="1">
      <alignment horizontal="right" wrapText="1"/>
    </xf>
    <xf numFmtId="164" fontId="69" fillId="0" borderId="220" xfId="14" applyNumberFormat="1" applyFont="1" applyFill="1" applyBorder="1" applyAlignment="1">
      <alignment horizontal="center" wrapText="1"/>
    </xf>
    <xf numFmtId="171" fontId="67" fillId="23" borderId="286" xfId="1" applyNumberFormat="1" applyFont="1" applyFill="1" applyBorder="1"/>
    <xf numFmtId="3" fontId="52" fillId="23" borderId="279" xfId="0" applyNumberFormat="1" applyFont="1" applyFill="1" applyBorder="1"/>
    <xf numFmtId="171" fontId="79" fillId="0" borderId="286" xfId="1" applyNumberFormat="1" applyFont="1" applyBorder="1"/>
    <xf numFmtId="3" fontId="73" fillId="0" borderId="279" xfId="0" applyNumberFormat="1" applyFont="1" applyBorder="1"/>
    <xf numFmtId="0" fontId="79" fillId="0" borderId="305" xfId="14" applyFont="1" applyBorder="1"/>
    <xf numFmtId="171" fontId="67" fillId="23" borderId="286" xfId="14" applyNumberFormat="1" applyFont="1" applyFill="1" applyBorder="1"/>
    <xf numFmtId="0" fontId="69" fillId="0" borderId="212" xfId="14" applyFont="1" applyFill="1" applyBorder="1" applyAlignment="1">
      <alignment horizontal="center" wrapText="1"/>
    </xf>
    <xf numFmtId="171" fontId="67" fillId="23" borderId="279" xfId="1" applyNumberFormat="1" applyFont="1" applyFill="1" applyBorder="1"/>
    <xf numFmtId="0" fontId="79" fillId="0" borderId="286" xfId="14" applyFont="1" applyBorder="1"/>
    <xf numFmtId="0" fontId="79" fillId="0" borderId="279" xfId="14" applyFont="1" applyBorder="1"/>
    <xf numFmtId="0" fontId="79" fillId="0" borderId="194" xfId="14" applyFont="1" applyBorder="1"/>
    <xf numFmtId="164" fontId="69" fillId="0" borderId="280" xfId="14" applyNumberFormat="1" applyFont="1" applyFill="1" applyBorder="1" applyAlignment="1">
      <alignment horizontal="center" wrapText="1"/>
    </xf>
    <xf numFmtId="171" fontId="79" fillId="0" borderId="279" xfId="1" applyNumberFormat="1" applyFont="1" applyBorder="1"/>
    <xf numFmtId="171" fontId="79" fillId="0" borderId="194" xfId="1" applyNumberFormat="1" applyFont="1" applyBorder="1"/>
    <xf numFmtId="0" fontId="54" fillId="16" borderId="283" xfId="0" applyFont="1" applyFill="1" applyBorder="1" applyAlignment="1">
      <alignment horizontal="left" indent="1"/>
    </xf>
    <xf numFmtId="0" fontId="54" fillId="0" borderId="283" xfId="0" applyFont="1" applyBorder="1" applyAlignment="1">
      <alignment horizontal="left" indent="1"/>
    </xf>
    <xf numFmtId="37" fontId="54" fillId="0" borderId="286" xfId="1" applyNumberFormat="1" applyFont="1" applyBorder="1" applyAlignment="1">
      <alignment horizontal="center"/>
    </xf>
    <xf numFmtId="37" fontId="54" fillId="16" borderId="286" xfId="1" applyNumberFormat="1" applyFont="1" applyFill="1" applyBorder="1" applyAlignment="1">
      <alignment horizontal="center"/>
    </xf>
    <xf numFmtId="37" fontId="54" fillId="9" borderId="286" xfId="1" applyNumberFormat="1" applyFont="1" applyFill="1" applyBorder="1" applyAlignment="1">
      <alignment horizontal="center"/>
    </xf>
    <xf numFmtId="164" fontId="54" fillId="9" borderId="280" xfId="33" applyNumberFormat="1" applyFont="1" applyFill="1" applyBorder="1" applyAlignment="1">
      <alignment horizontal="center"/>
    </xf>
    <xf numFmtId="164" fontId="54" fillId="16" borderId="283" xfId="0" applyNumberFormat="1" applyFont="1" applyFill="1" applyBorder="1" applyAlignment="1">
      <alignment horizontal="center"/>
    </xf>
    <xf numFmtId="164" fontId="54" fillId="0" borderId="283" xfId="0" applyNumberFormat="1" applyFont="1" applyBorder="1" applyAlignment="1">
      <alignment horizontal="center"/>
    </xf>
    <xf numFmtId="164" fontId="54" fillId="9" borderId="283" xfId="0" applyNumberFormat="1" applyFont="1" applyFill="1" applyBorder="1" applyAlignment="1">
      <alignment horizontal="center"/>
    </xf>
    <xf numFmtId="0" fontId="55" fillId="17" borderId="171" xfId="0" applyFont="1" applyFill="1" applyBorder="1" applyAlignment="1">
      <alignment horizontal="center"/>
    </xf>
    <xf numFmtId="0" fontId="55" fillId="17" borderId="190" xfId="0" applyFont="1" applyFill="1" applyBorder="1" applyAlignment="1">
      <alignment horizontal="center"/>
    </xf>
    <xf numFmtId="0" fontId="55" fillId="17" borderId="188" xfId="0" applyFont="1" applyFill="1" applyBorder="1" applyAlignment="1">
      <alignment horizontal="center"/>
    </xf>
    <xf numFmtId="9" fontId="54" fillId="10" borderId="328" xfId="33" applyFont="1" applyFill="1" applyBorder="1" applyAlignment="1">
      <alignment horizontal="center"/>
    </xf>
    <xf numFmtId="9" fontId="54" fillId="10" borderId="329" xfId="33" applyFont="1" applyFill="1" applyBorder="1" applyAlignment="1">
      <alignment horizontal="center"/>
    </xf>
    <xf numFmtId="164" fontId="73" fillId="0" borderId="0" xfId="33" applyNumberFormat="1" applyFont="1"/>
    <xf numFmtId="3" fontId="54" fillId="0" borderId="332" xfId="0" applyNumberFormat="1" applyFont="1" applyFill="1" applyBorder="1" applyAlignment="1">
      <alignment horizontal="center"/>
    </xf>
    <xf numFmtId="9" fontId="54" fillId="10" borderId="333" xfId="33" applyFont="1" applyFill="1" applyBorder="1" applyAlignment="1">
      <alignment horizontal="center"/>
    </xf>
    <xf numFmtId="9" fontId="54" fillId="10" borderId="334" xfId="33" applyFont="1" applyFill="1" applyBorder="1" applyAlignment="1">
      <alignment horizontal="center"/>
    </xf>
    <xf numFmtId="9" fontId="54" fillId="10" borderId="330" xfId="33" applyFont="1" applyFill="1" applyBorder="1" applyAlignment="1">
      <alignment horizontal="center"/>
    </xf>
    <xf numFmtId="0" fontId="55" fillId="10" borderId="333" xfId="0" applyFont="1" applyFill="1" applyBorder="1" applyAlignment="1">
      <alignment horizontal="center" vertical="center"/>
    </xf>
    <xf numFmtId="0" fontId="55" fillId="10" borderId="105" xfId="0" applyFont="1" applyFill="1" applyBorder="1" applyAlignment="1">
      <alignment horizontal="center" vertical="center" wrapText="1"/>
    </xf>
    <xf numFmtId="3" fontId="54" fillId="0" borderId="220" xfId="0" applyNumberFormat="1" applyFont="1" applyFill="1" applyBorder="1" applyAlignment="1">
      <alignment horizontal="center"/>
    </xf>
    <xf numFmtId="9" fontId="55" fillId="10" borderId="302" xfId="33" applyFont="1" applyFill="1" applyBorder="1" applyAlignment="1">
      <alignment horizontal="center"/>
    </xf>
    <xf numFmtId="0" fontId="55" fillId="10" borderId="106" xfId="0" applyFont="1" applyFill="1" applyBorder="1" applyAlignment="1">
      <alignment horizontal="center" vertical="center" wrapText="1"/>
    </xf>
    <xf numFmtId="0" fontId="55" fillId="10" borderId="333" xfId="0" applyFont="1" applyFill="1" applyBorder="1" applyAlignment="1">
      <alignment horizontal="center" vertical="center" wrapText="1"/>
    </xf>
    <xf numFmtId="0" fontId="55" fillId="10" borderId="334" xfId="0" applyFont="1" applyFill="1" applyBorder="1" applyAlignment="1">
      <alignment horizontal="center" vertical="center" wrapText="1"/>
    </xf>
    <xf numFmtId="164" fontId="52" fillId="0" borderId="0" xfId="33" applyNumberFormat="1" applyFont="1"/>
    <xf numFmtId="1" fontId="54" fillId="0" borderId="103" xfId="0" applyNumberFormat="1" applyFont="1" applyFill="1" applyBorder="1" applyAlignment="1">
      <alignment horizontal="center"/>
    </xf>
    <xf numFmtId="1" fontId="54" fillId="0" borderId="104" xfId="0" applyNumberFormat="1" applyFont="1" applyFill="1" applyBorder="1" applyAlignment="1">
      <alignment horizontal="center"/>
    </xf>
    <xf numFmtId="1" fontId="52" fillId="0" borderId="0" xfId="0" applyNumberFormat="1" applyFont="1"/>
    <xf numFmtId="9" fontId="54" fillId="10" borderId="338" xfId="33" applyFont="1" applyFill="1" applyBorder="1" applyAlignment="1">
      <alignment horizontal="center"/>
    </xf>
    <xf numFmtId="1" fontId="54" fillId="0" borderId="102" xfId="0" applyNumberFormat="1" applyFont="1" applyBorder="1" applyAlignment="1">
      <alignment horizontal="right" indent="2"/>
    </xf>
    <xf numFmtId="9" fontId="54" fillId="10" borderId="327" xfId="33" applyFont="1" applyFill="1" applyBorder="1" applyAlignment="1">
      <alignment horizontal="center"/>
    </xf>
    <xf numFmtId="0" fontId="79" fillId="0" borderId="305" xfId="19" applyFont="1" applyBorder="1" applyAlignment="1">
      <alignment vertical="top"/>
    </xf>
    <xf numFmtId="0" fontId="79" fillId="0" borderId="220" xfId="19" applyFont="1" applyBorder="1" applyAlignment="1">
      <alignment vertical="top"/>
    </xf>
    <xf numFmtId="0" fontId="55" fillId="18" borderId="290" xfId="0" applyFont="1" applyFill="1" applyBorder="1" applyAlignment="1">
      <alignment horizontal="center" vertical="center"/>
    </xf>
    <xf numFmtId="0" fontId="55" fillId="18" borderId="339" xfId="0" applyFont="1" applyFill="1" applyBorder="1" applyAlignment="1">
      <alignment horizontal="center" vertical="center"/>
    </xf>
    <xf numFmtId="171" fontId="54" fillId="0" borderId="340" xfId="1" applyNumberFormat="1" applyFont="1" applyBorder="1" applyAlignment="1">
      <alignment horizontal="right"/>
    </xf>
    <xf numFmtId="171" fontId="54" fillId="0" borderId="339" xfId="1" applyNumberFormat="1" applyFont="1" applyBorder="1" applyAlignment="1">
      <alignment horizontal="right"/>
    </xf>
    <xf numFmtId="171" fontId="54" fillId="11" borderId="286" xfId="1" applyNumberFormat="1" applyFont="1" applyFill="1" applyBorder="1" applyAlignment="1">
      <alignment horizontal="right"/>
    </xf>
    <xf numFmtId="171" fontId="54" fillId="0" borderId="286" xfId="1" applyNumberFormat="1" applyFont="1" applyBorder="1" applyAlignment="1">
      <alignment horizontal="right"/>
    </xf>
    <xf numFmtId="171" fontId="54" fillId="0" borderId="286" xfId="1" applyNumberFormat="1" applyFont="1" applyFill="1" applyBorder="1" applyAlignment="1">
      <alignment horizontal="right"/>
    </xf>
    <xf numFmtId="171" fontId="54" fillId="0" borderId="175" xfId="1" applyNumberFormat="1" applyFont="1" applyFill="1" applyBorder="1" applyAlignment="1">
      <alignment horizontal="right"/>
    </xf>
    <xf numFmtId="171" fontId="54" fillId="11" borderId="286" xfId="1" applyNumberFormat="1" applyFont="1" applyFill="1" applyBorder="1"/>
    <xf numFmtId="171" fontId="54" fillId="0" borderId="341" xfId="1" applyNumberFormat="1" applyFont="1" applyFill="1" applyBorder="1"/>
    <xf numFmtId="171" fontId="54" fillId="0" borderId="342" xfId="1" applyNumberFormat="1" applyFont="1" applyFill="1" applyBorder="1"/>
    <xf numFmtId="5" fontId="71" fillId="0" borderId="139" xfId="3" applyNumberFormat="1" applyFont="1" applyBorder="1"/>
    <xf numFmtId="0" fontId="87" fillId="0" borderId="343" xfId="30" applyFont="1" applyFill="1" applyBorder="1" applyAlignment="1">
      <alignment horizontal="center" wrapText="1"/>
    </xf>
    <xf numFmtId="167" fontId="86" fillId="0" borderId="344" xfId="3" applyNumberFormat="1" applyFont="1" applyFill="1" applyBorder="1" applyAlignment="1">
      <alignment wrapText="1"/>
    </xf>
    <xf numFmtId="167" fontId="86" fillId="0" borderId="345" xfId="3" applyNumberFormat="1" applyFont="1" applyFill="1" applyBorder="1" applyAlignment="1">
      <alignment wrapText="1"/>
    </xf>
    <xf numFmtId="167" fontId="86" fillId="0" borderId="346" xfId="3" applyNumberFormat="1" applyFont="1" applyFill="1" applyBorder="1" applyAlignment="1">
      <alignment wrapText="1"/>
    </xf>
    <xf numFmtId="0" fontId="87" fillId="0" borderId="347" xfId="32" applyFont="1" applyFill="1" applyBorder="1" applyAlignment="1">
      <alignment horizontal="center" wrapText="1"/>
    </xf>
    <xf numFmtId="5" fontId="86" fillId="0" borderId="348" xfId="3" applyNumberFormat="1" applyFont="1" applyFill="1" applyBorder="1" applyAlignment="1">
      <alignment wrapText="1"/>
    </xf>
    <xf numFmtId="5" fontId="86" fillId="0" borderId="349" xfId="3" applyNumberFormat="1" applyFont="1" applyFill="1" applyBorder="1" applyAlignment="1">
      <alignment wrapText="1"/>
    </xf>
    <xf numFmtId="5" fontId="86" fillId="0" borderId="350" xfId="3" applyNumberFormat="1" applyFont="1" applyFill="1" applyBorder="1" applyAlignment="1">
      <alignment wrapText="1"/>
    </xf>
    <xf numFmtId="5" fontId="2" fillId="0" borderId="351" xfId="0" applyNumberFormat="1" applyFont="1" applyBorder="1" applyAlignment="1"/>
    <xf numFmtId="167" fontId="57" fillId="9" borderId="286" xfId="0" applyNumberFormat="1" applyFont="1" applyFill="1" applyBorder="1"/>
    <xf numFmtId="167" fontId="57" fillId="9" borderId="279" xfId="0" applyNumberFormat="1" applyFont="1" applyFill="1" applyBorder="1"/>
    <xf numFmtId="9" fontId="77" fillId="15" borderId="341" xfId="0" applyNumberFormat="1" applyFont="1" applyFill="1" applyBorder="1"/>
    <xf numFmtId="176" fontId="52" fillId="0" borderId="354" xfId="3" applyNumberFormat="1" applyFont="1" applyBorder="1"/>
    <xf numFmtId="176" fontId="52" fillId="13" borderId="315" xfId="3" applyNumberFormat="1" applyFont="1" applyFill="1" applyBorder="1"/>
    <xf numFmtId="176" fontId="73" fillId="0" borderId="216" xfId="3" applyNumberFormat="1" applyFont="1" applyBorder="1"/>
    <xf numFmtId="176" fontId="73" fillId="0" borderId="355" xfId="3" applyNumberFormat="1" applyFont="1" applyBorder="1"/>
    <xf numFmtId="176" fontId="52" fillId="0" borderId="315" xfId="3" applyNumberFormat="1" applyFont="1" applyBorder="1"/>
    <xf numFmtId="176" fontId="52" fillId="29" borderId="315" xfId="3" applyNumberFormat="1" applyFont="1" applyFill="1" applyBorder="1"/>
    <xf numFmtId="176" fontId="52" fillId="13" borderId="287" xfId="3" applyNumberFormat="1" applyFont="1" applyFill="1" applyBorder="1"/>
    <xf numFmtId="5" fontId="52" fillId="13" borderId="315" xfId="3" applyNumberFormat="1" applyFont="1" applyFill="1" applyBorder="1"/>
    <xf numFmtId="9" fontId="52" fillId="13" borderId="287" xfId="33" applyFont="1" applyFill="1" applyBorder="1"/>
    <xf numFmtId="9" fontId="73" fillId="0" borderId="289" xfId="33" applyFont="1" applyBorder="1"/>
    <xf numFmtId="5" fontId="57" fillId="9" borderId="280" xfId="3" applyNumberFormat="1" applyFont="1" applyFill="1" applyBorder="1"/>
    <xf numFmtId="167" fontId="57" fillId="9" borderId="352" xfId="0" applyNumberFormat="1" applyFont="1" applyFill="1" applyBorder="1"/>
    <xf numFmtId="167" fontId="57" fillId="9" borderId="279" xfId="0" applyNumberFormat="1" applyFont="1" applyFill="1" applyBorder="1" applyAlignment="1">
      <alignment horizontal="right"/>
    </xf>
    <xf numFmtId="0" fontId="57" fillId="9" borderId="280" xfId="0" applyFont="1" applyFill="1" applyBorder="1" applyAlignment="1">
      <alignment horizontal="right"/>
    </xf>
    <xf numFmtId="0" fontId="54" fillId="9" borderId="0" xfId="0" applyFont="1" applyFill="1" applyBorder="1" applyAlignment="1">
      <alignment horizontal="left" indent="1"/>
    </xf>
    <xf numFmtId="0" fontId="78" fillId="0" borderId="0" xfId="0" applyFont="1" applyAlignment="1">
      <alignment horizontal="center" vertical="center" wrapText="1"/>
    </xf>
    <xf numFmtId="9" fontId="77" fillId="15" borderId="194" xfId="0" applyNumberFormat="1" applyFont="1" applyFill="1" applyBorder="1"/>
    <xf numFmtId="167" fontId="57" fillId="9" borderId="280" xfId="0" applyNumberFormat="1" applyFont="1" applyFill="1" applyBorder="1"/>
    <xf numFmtId="164" fontId="77" fillId="15" borderId="147" xfId="33" applyNumberFormat="1" applyFont="1" applyFill="1" applyBorder="1"/>
    <xf numFmtId="164" fontId="77" fillId="15" borderId="356" xfId="33" applyNumberFormat="1" applyFont="1" applyFill="1" applyBorder="1"/>
    <xf numFmtId="164" fontId="77" fillId="15" borderId="353" xfId="33" applyNumberFormat="1" applyFont="1" applyFill="1" applyBorder="1"/>
    <xf numFmtId="9" fontId="77" fillId="0" borderId="147" xfId="33" applyNumberFormat="1" applyFont="1" applyFill="1" applyBorder="1"/>
    <xf numFmtId="9" fontId="77" fillId="0" borderId="356" xfId="33" applyNumberFormat="1" applyFont="1" applyFill="1" applyBorder="1"/>
    <xf numFmtId="9" fontId="77" fillId="0" borderId="353" xfId="33" applyNumberFormat="1" applyFont="1" applyFill="1" applyBorder="1"/>
    <xf numFmtId="9" fontId="77" fillId="15" borderId="147" xfId="33" applyNumberFormat="1" applyFont="1" applyFill="1" applyBorder="1"/>
    <xf numFmtId="9" fontId="77" fillId="15" borderId="356" xfId="33" applyNumberFormat="1" applyFont="1" applyFill="1" applyBorder="1"/>
    <xf numFmtId="9" fontId="77" fillId="15" borderId="341" xfId="33" applyNumberFormat="1" applyFont="1" applyFill="1" applyBorder="1"/>
    <xf numFmtId="9" fontId="77" fillId="15" borderId="194" xfId="33" applyNumberFormat="1" applyFont="1" applyFill="1" applyBorder="1"/>
    <xf numFmtId="164" fontId="54" fillId="0" borderId="0" xfId="0" applyNumberFormat="1" applyFont="1"/>
    <xf numFmtId="167" fontId="115" fillId="33" borderId="286" xfId="0" applyNumberFormat="1" applyFont="1" applyFill="1" applyBorder="1"/>
    <xf numFmtId="167" fontId="115" fillId="33" borderId="279" xfId="0" applyNumberFormat="1" applyFont="1" applyFill="1" applyBorder="1"/>
    <xf numFmtId="167" fontId="115" fillId="33" borderId="280" xfId="0" applyNumberFormat="1" applyFont="1" applyFill="1" applyBorder="1"/>
    <xf numFmtId="167" fontId="115" fillId="33" borderId="340" xfId="0" applyNumberFormat="1" applyFont="1" applyFill="1" applyBorder="1"/>
    <xf numFmtId="167" fontId="115" fillId="33" borderId="291" xfId="0" applyNumberFormat="1" applyFont="1" applyFill="1" applyBorder="1"/>
    <xf numFmtId="167" fontId="115" fillId="33" borderId="367" xfId="0" applyNumberFormat="1" applyFont="1" applyFill="1" applyBorder="1"/>
    <xf numFmtId="167" fontId="57" fillId="9" borderId="367" xfId="0" applyNumberFormat="1" applyFont="1" applyFill="1" applyBorder="1"/>
    <xf numFmtId="9" fontId="77" fillId="15" borderId="369" xfId="33" applyFont="1" applyFill="1" applyBorder="1"/>
    <xf numFmtId="9" fontId="77" fillId="15" borderId="371" xfId="0" applyNumberFormat="1" applyFont="1" applyFill="1" applyBorder="1"/>
    <xf numFmtId="0" fontId="74" fillId="15" borderId="368" xfId="0" applyFont="1" applyFill="1" applyBorder="1" applyAlignment="1"/>
    <xf numFmtId="9" fontId="77" fillId="15" borderId="371" xfId="33" applyNumberFormat="1" applyFont="1" applyFill="1" applyBorder="1"/>
    <xf numFmtId="0" fontId="54" fillId="9" borderId="366" xfId="0" applyFont="1" applyFill="1" applyBorder="1" applyAlignment="1">
      <alignment horizontal="left" indent="1"/>
    </xf>
    <xf numFmtId="9" fontId="77" fillId="15" borderId="371" xfId="33" applyFont="1" applyFill="1" applyBorder="1"/>
    <xf numFmtId="167" fontId="116" fillId="33" borderId="373" xfId="0" applyNumberFormat="1" applyFont="1" applyFill="1" applyBorder="1"/>
    <xf numFmtId="0" fontId="55" fillId="0" borderId="374" xfId="0" applyFont="1" applyFill="1" applyBorder="1" applyAlignment="1"/>
    <xf numFmtId="0" fontId="54" fillId="0" borderId="375" xfId="0" applyFont="1" applyBorder="1" applyAlignment="1"/>
    <xf numFmtId="0" fontId="55" fillId="0" borderId="375" xfId="0" applyFont="1" applyFill="1" applyBorder="1" applyAlignment="1"/>
    <xf numFmtId="9" fontId="57" fillId="0" borderId="376" xfId="33" applyFont="1" applyFill="1" applyBorder="1"/>
    <xf numFmtId="9" fontId="57" fillId="0" borderId="377" xfId="33" applyFont="1" applyFill="1" applyBorder="1"/>
    <xf numFmtId="9" fontId="57" fillId="0" borderId="378" xfId="33" applyFont="1" applyFill="1" applyBorder="1"/>
    <xf numFmtId="0" fontId="62" fillId="0" borderId="0" xfId="0" quotePrefix="1" applyFont="1" applyFill="1" applyBorder="1" applyAlignment="1"/>
    <xf numFmtId="0" fontId="62" fillId="0" borderId="0" xfId="0" applyFont="1" applyFill="1" applyBorder="1" applyAlignment="1" applyProtection="1">
      <alignment vertical="center"/>
      <protection locked="0"/>
    </xf>
    <xf numFmtId="167" fontId="57" fillId="0" borderId="216" xfId="0" applyNumberFormat="1" applyFont="1" applyFill="1" applyBorder="1"/>
    <xf numFmtId="0" fontId="57" fillId="0" borderId="0" xfId="0" applyFont="1" applyAlignment="1"/>
    <xf numFmtId="0" fontId="78" fillId="0" borderId="0" xfId="0" applyFont="1" applyAlignment="1">
      <alignment vertical="center" wrapText="1"/>
    </xf>
    <xf numFmtId="167" fontId="57" fillId="0" borderId="216" xfId="0" applyNumberFormat="1" applyFont="1" applyFill="1" applyBorder="1" applyAlignment="1">
      <alignment horizontal="right"/>
    </xf>
    <xf numFmtId="167" fontId="57" fillId="0" borderId="139" xfId="0" applyNumberFormat="1" applyFont="1" applyFill="1" applyBorder="1" applyAlignment="1">
      <alignment horizontal="right"/>
    </xf>
    <xf numFmtId="167" fontId="57" fillId="9" borderId="280" xfId="0" applyNumberFormat="1" applyFont="1" applyFill="1" applyBorder="1" applyAlignment="1">
      <alignment horizontal="right"/>
    </xf>
    <xf numFmtId="164" fontId="77" fillId="15" borderId="341" xfId="33" applyNumberFormat="1" applyFont="1" applyFill="1" applyBorder="1"/>
    <xf numFmtId="164" fontId="77" fillId="15" borderId="194" xfId="33" applyNumberFormat="1" applyFont="1" applyFill="1" applyBorder="1"/>
    <xf numFmtId="167" fontId="115" fillId="32" borderId="107" xfId="0" applyNumberFormat="1" applyFont="1" applyFill="1" applyBorder="1"/>
    <xf numFmtId="167" fontId="116" fillId="32" borderId="113" xfId="0" applyNumberFormat="1" applyFont="1" applyFill="1" applyBorder="1"/>
    <xf numFmtId="9" fontId="77" fillId="34" borderId="147" xfId="33" applyFont="1" applyFill="1" applyBorder="1"/>
    <xf numFmtId="9" fontId="77" fillId="34" borderId="150" xfId="33" applyFont="1" applyFill="1" applyBorder="1"/>
    <xf numFmtId="9" fontId="77" fillId="34" borderId="142" xfId="0" applyNumberFormat="1" applyFont="1" applyFill="1" applyBorder="1"/>
    <xf numFmtId="9" fontId="77" fillId="34" borderId="153" xfId="0" applyNumberFormat="1" applyFont="1" applyFill="1" applyBorder="1"/>
    <xf numFmtId="9" fontId="77" fillId="34" borderId="142" xfId="33" applyFont="1" applyFill="1" applyBorder="1"/>
    <xf numFmtId="9" fontId="77" fillId="34" borderId="153" xfId="33" applyFont="1" applyFill="1" applyBorder="1"/>
    <xf numFmtId="0" fontId="74" fillId="34" borderId="148" xfId="0" applyFont="1" applyFill="1" applyBorder="1" applyAlignment="1"/>
    <xf numFmtId="0" fontId="55" fillId="34" borderId="149" xfId="0" applyFont="1" applyFill="1" applyBorder="1" applyAlignment="1"/>
    <xf numFmtId="9" fontId="77" fillId="34" borderId="151" xfId="33" applyFont="1" applyFill="1" applyBorder="1"/>
    <xf numFmtId="9" fontId="77" fillId="34" borderId="152" xfId="33" applyFont="1" applyFill="1" applyBorder="1"/>
    <xf numFmtId="9" fontId="77" fillId="34" borderId="159" xfId="33" applyFont="1" applyFill="1" applyBorder="1"/>
    <xf numFmtId="164" fontId="77" fillId="34" borderId="159" xfId="33" applyNumberFormat="1" applyFont="1" applyFill="1" applyBorder="1"/>
    <xf numFmtId="9" fontId="77" fillId="34" borderId="159" xfId="33" applyNumberFormat="1" applyFont="1" applyFill="1" applyBorder="1"/>
    <xf numFmtId="164" fontId="77" fillId="34" borderId="158" xfId="33" applyNumberFormat="1" applyFont="1" applyFill="1" applyBorder="1"/>
    <xf numFmtId="167" fontId="115" fillId="33" borderId="142" xfId="0" applyNumberFormat="1" applyFont="1" applyFill="1" applyBorder="1"/>
    <xf numFmtId="167" fontId="115" fillId="33" borderId="305" xfId="0" applyNumberFormat="1" applyFont="1" applyFill="1" applyBorder="1"/>
    <xf numFmtId="167" fontId="115" fillId="33" borderId="153" xfId="0" applyNumberFormat="1" applyFont="1" applyFill="1" applyBorder="1"/>
    <xf numFmtId="167" fontId="115" fillId="33" borderId="16" xfId="0" applyNumberFormat="1" applyFont="1" applyFill="1" applyBorder="1"/>
    <xf numFmtId="167" fontId="115" fillId="33" borderId="17" xfId="0" applyNumberFormat="1" applyFont="1" applyFill="1" applyBorder="1"/>
    <xf numFmtId="167" fontId="115" fillId="33" borderId="18" xfId="0" applyNumberFormat="1" applyFont="1" applyFill="1" applyBorder="1"/>
    <xf numFmtId="176" fontId="54" fillId="0" borderId="0" xfId="3" applyNumberFormat="1" applyFont="1"/>
    <xf numFmtId="176" fontId="54" fillId="0" borderId="0" xfId="33" applyNumberFormat="1" applyFont="1"/>
    <xf numFmtId="176" fontId="54" fillId="0" borderId="0" xfId="0" applyNumberFormat="1" applyFont="1"/>
    <xf numFmtId="0" fontId="52" fillId="0" borderId="0" xfId="0" applyFont="1" applyBorder="1" applyAlignment="1">
      <alignment horizontal="center"/>
    </xf>
    <xf numFmtId="0" fontId="69" fillId="0" borderId="381" xfId="16" applyFont="1" applyBorder="1" applyAlignment="1">
      <alignment horizontal="center"/>
    </xf>
    <xf numFmtId="3" fontId="69" fillId="6" borderId="381" xfId="16" applyNumberFormat="1" applyFont="1" applyFill="1" applyBorder="1"/>
    <xf numFmtId="3" fontId="70" fillId="0" borderId="382" xfId="16" applyNumberFormat="1" applyFont="1" applyBorder="1"/>
    <xf numFmtId="0" fontId="52" fillId="0" borderId="384" xfId="0" applyFont="1" applyBorder="1" applyAlignment="1">
      <alignment horizontal="center"/>
    </xf>
    <xf numFmtId="164" fontId="73" fillId="8" borderId="384" xfId="33" applyNumberFormat="1" applyFont="1" applyFill="1" applyBorder="1"/>
    <xf numFmtId="164" fontId="73" fillId="0" borderId="199" xfId="33" applyNumberFormat="1" applyFont="1" applyBorder="1"/>
    <xf numFmtId="0" fontId="52" fillId="0" borderId="384" xfId="0" applyFont="1" applyBorder="1"/>
    <xf numFmtId="171" fontId="73" fillId="8" borderId="384" xfId="1" applyNumberFormat="1" applyFont="1" applyFill="1" applyBorder="1"/>
    <xf numFmtId="171" fontId="73" fillId="0" borderId="199" xfId="1" applyNumberFormat="1" applyFont="1" applyFill="1" applyBorder="1"/>
    <xf numFmtId="171" fontId="73" fillId="0" borderId="199" xfId="1" applyNumberFormat="1" applyFont="1" applyBorder="1"/>
    <xf numFmtId="164" fontId="73" fillId="0" borderId="279" xfId="33" applyNumberFormat="1" applyFont="1" applyBorder="1"/>
    <xf numFmtId="0" fontId="54" fillId="16" borderId="385" xfId="0" applyFont="1" applyFill="1" applyBorder="1" applyAlignment="1">
      <alignment horizontal="left" indent="1"/>
    </xf>
    <xf numFmtId="164" fontId="54" fillId="16" borderId="182" xfId="0" applyNumberFormat="1" applyFont="1" applyFill="1" applyBorder="1" applyAlignment="1">
      <alignment horizontal="center"/>
    </xf>
    <xf numFmtId="164" fontId="54" fillId="16" borderId="183" xfId="33" applyNumberFormat="1" applyFont="1" applyFill="1" applyBorder="1" applyAlignment="1">
      <alignment horizontal="center"/>
    </xf>
    <xf numFmtId="0" fontId="54" fillId="16" borderId="120" xfId="0" applyFont="1" applyFill="1" applyBorder="1" applyAlignment="1">
      <alignment horizontal="left" indent="1"/>
    </xf>
    <xf numFmtId="164" fontId="54" fillId="16" borderId="117" xfId="0" applyNumberFormat="1" applyFont="1" applyFill="1" applyBorder="1" applyAlignment="1">
      <alignment horizontal="center"/>
    </xf>
    <xf numFmtId="164" fontId="54" fillId="16" borderId="119" xfId="33" applyNumberFormat="1" applyFont="1" applyFill="1" applyBorder="1" applyAlignment="1">
      <alignment horizontal="center"/>
    </xf>
    <xf numFmtId="0" fontId="29" fillId="0" borderId="0" xfId="15" applyFont="1" applyAlignment="1">
      <alignment horizontal="left" wrapText="1"/>
    </xf>
    <xf numFmtId="0" fontId="134" fillId="0" borderId="0" xfId="14" applyFont="1" applyFill="1" applyBorder="1" applyAlignment="1">
      <alignment horizontal="center"/>
    </xf>
    <xf numFmtId="0" fontId="79" fillId="0" borderId="220" xfId="0" applyFont="1" applyBorder="1"/>
    <xf numFmtId="0" fontId="79" fillId="0" borderId="220" xfId="0" applyFont="1" applyFill="1" applyBorder="1"/>
    <xf numFmtId="0" fontId="79" fillId="0" borderId="311" xfId="0" applyFont="1" applyBorder="1"/>
    <xf numFmtId="0" fontId="135" fillId="0" borderId="220" xfId="0" applyFont="1" applyBorder="1"/>
    <xf numFmtId="0" fontId="53" fillId="0" borderId="386" xfId="0" applyFont="1" applyBorder="1" applyAlignment="1">
      <alignment wrapText="1"/>
    </xf>
    <xf numFmtId="0" fontId="53" fillId="0" borderId="387" xfId="0" applyFont="1" applyBorder="1" applyAlignment="1">
      <alignment wrapText="1"/>
    </xf>
    <xf numFmtId="0" fontId="53" fillId="0" borderId="388" xfId="0" applyFont="1" applyBorder="1" applyAlignment="1">
      <alignment wrapText="1"/>
    </xf>
    <xf numFmtId="171" fontId="53" fillId="6" borderId="386" xfId="1" applyNumberFormat="1" applyFont="1" applyFill="1" applyBorder="1"/>
    <xf numFmtId="171" fontId="53" fillId="6" borderId="387" xfId="1" applyNumberFormat="1" applyFont="1" applyFill="1" applyBorder="1"/>
    <xf numFmtId="171" fontId="53" fillId="6" borderId="388" xfId="1" applyNumberFormat="1" applyFont="1" applyFill="1" applyBorder="1"/>
    <xf numFmtId="171" fontId="71" fillId="0" borderId="286" xfId="1" applyNumberFormat="1" applyFont="1" applyBorder="1"/>
    <xf numFmtId="171" fontId="71" fillId="0" borderId="279" xfId="1" applyNumberFormat="1" applyFont="1" applyBorder="1"/>
    <xf numFmtId="171" fontId="71" fillId="0" borderId="280" xfId="1" applyNumberFormat="1" applyFont="1" applyBorder="1"/>
    <xf numFmtId="0" fontId="53" fillId="0" borderId="389" xfId="0" applyFont="1" applyBorder="1" applyAlignment="1">
      <alignment wrapText="1"/>
    </xf>
    <xf numFmtId="0" fontId="53" fillId="0" borderId="390" xfId="0" applyFont="1" applyBorder="1" applyAlignment="1">
      <alignment wrapText="1"/>
    </xf>
    <xf numFmtId="0" fontId="53" fillId="0" borderId="391" xfId="0" applyFont="1" applyBorder="1" applyAlignment="1">
      <alignment wrapText="1"/>
    </xf>
    <xf numFmtId="9" fontId="53" fillId="6" borderId="386" xfId="33" applyFont="1" applyFill="1" applyBorder="1"/>
    <xf numFmtId="9" fontId="53" fillId="6" borderId="387" xfId="33" applyFont="1" applyFill="1" applyBorder="1"/>
    <xf numFmtId="9" fontId="53" fillId="6" borderId="388" xfId="33" applyFont="1" applyFill="1" applyBorder="1"/>
    <xf numFmtId="9" fontId="71" fillId="0" borderId="286" xfId="1" applyNumberFormat="1" applyFont="1" applyBorder="1"/>
    <xf numFmtId="9" fontId="71" fillId="0" borderId="279" xfId="1" applyNumberFormat="1" applyFont="1" applyBorder="1"/>
    <xf numFmtId="9" fontId="71" fillId="0" borderId="280" xfId="1" applyNumberFormat="1" applyFont="1" applyBorder="1"/>
    <xf numFmtId="3" fontId="69" fillId="6" borderId="186" xfId="16" applyNumberFormat="1" applyFont="1" applyFill="1" applyBorder="1" applyAlignment="1">
      <alignment horizontal="center" vertical="center"/>
    </xf>
    <xf numFmtId="3" fontId="70" fillId="0" borderId="24" xfId="28" applyNumberFormat="1" applyFont="1" applyFill="1" applyBorder="1"/>
    <xf numFmtId="3" fontId="54" fillId="11" borderId="286" xfId="0" applyNumberFormat="1" applyFont="1" applyFill="1" applyBorder="1" applyAlignment="1">
      <alignment horizontal="right" indent="1"/>
    </xf>
    <xf numFmtId="3" fontId="54" fillId="11" borderId="280" xfId="0" applyNumberFormat="1" applyFont="1" applyFill="1" applyBorder="1" applyAlignment="1">
      <alignment horizontal="right" indent="1"/>
    </xf>
    <xf numFmtId="3" fontId="54" fillId="0" borderId="393" xfId="0" applyNumberFormat="1" applyFont="1" applyFill="1" applyBorder="1" applyAlignment="1">
      <alignment horizontal="right" indent="1"/>
    </xf>
    <xf numFmtId="3" fontId="54" fillId="0" borderId="394" xfId="0" applyNumberFormat="1" applyFont="1" applyFill="1" applyBorder="1" applyAlignment="1">
      <alignment horizontal="right" indent="1"/>
    </xf>
    <xf numFmtId="3" fontId="54" fillId="0" borderId="395" xfId="0" applyNumberFormat="1" applyFont="1" applyFill="1" applyBorder="1" applyAlignment="1">
      <alignment horizontal="right" indent="1"/>
    </xf>
    <xf numFmtId="0" fontId="65" fillId="0" borderId="0" xfId="0" applyFont="1" applyFill="1" applyBorder="1" applyAlignment="1">
      <alignment horizontal="left" vertical="center" wrapText="1"/>
    </xf>
    <xf numFmtId="171" fontId="73" fillId="0" borderId="383" xfId="1" applyNumberFormat="1" applyFont="1" applyBorder="1"/>
    <xf numFmtId="171" fontId="73" fillId="0" borderId="397" xfId="1" applyNumberFormat="1" applyFont="1" applyBorder="1"/>
    <xf numFmtId="0" fontId="52" fillId="0" borderId="396" xfId="15" applyFont="1" applyBorder="1"/>
    <xf numFmtId="3" fontId="52" fillId="6" borderId="396" xfId="15" applyNumberFormat="1" applyFont="1" applyFill="1" applyBorder="1"/>
    <xf numFmtId="3" fontId="73" fillId="0" borderId="383" xfId="15" applyNumberFormat="1" applyFont="1" applyFill="1" applyBorder="1" applyAlignment="1">
      <alignment horizontal="right" vertical="top"/>
    </xf>
    <xf numFmtId="0" fontId="52" fillId="0" borderId="396" xfId="15" applyFont="1" applyFill="1" applyBorder="1" applyAlignment="1">
      <alignment horizontal="center" wrapText="1"/>
    </xf>
    <xf numFmtId="3" fontId="52" fillId="6" borderId="396" xfId="15" applyNumberFormat="1" applyFont="1" applyFill="1" applyBorder="1" applyAlignment="1">
      <alignment horizontal="right" vertical="top"/>
    </xf>
    <xf numFmtId="3" fontId="73" fillId="0" borderId="397" xfId="15" applyNumberFormat="1" applyFont="1" applyFill="1" applyBorder="1" applyAlignment="1">
      <alignment horizontal="right" vertical="top"/>
    </xf>
    <xf numFmtId="3" fontId="52" fillId="11" borderId="383" xfId="15" applyNumberFormat="1" applyFont="1" applyFill="1" applyBorder="1" applyAlignment="1">
      <alignment horizontal="right" vertical="top"/>
    </xf>
    <xf numFmtId="171" fontId="73" fillId="0" borderId="383" xfId="1" applyNumberFormat="1" applyFont="1" applyFill="1" applyBorder="1"/>
    <xf numFmtId="171" fontId="73" fillId="0" borderId="397" xfId="1" applyNumberFormat="1" applyFont="1" applyFill="1" applyBorder="1"/>
    <xf numFmtId="3" fontId="52" fillId="11" borderId="397" xfId="15" applyNumberFormat="1" applyFont="1" applyFill="1" applyBorder="1" applyAlignment="1">
      <alignment horizontal="right" vertical="top"/>
    </xf>
    <xf numFmtId="0" fontId="29" fillId="0" borderId="0" xfId="15" applyFont="1" applyAlignment="1">
      <alignment horizontal="left" wrapText="1"/>
    </xf>
    <xf numFmtId="0" fontId="52" fillId="0" borderId="287" xfId="15" applyFont="1" applyFill="1" applyBorder="1" applyAlignment="1">
      <alignment horizontal="center" wrapText="1"/>
    </xf>
    <xf numFmtId="3" fontId="52" fillId="6" borderId="387" xfId="15" applyNumberFormat="1" applyFont="1" applyFill="1" applyBorder="1" applyAlignment="1">
      <alignment horizontal="right" vertical="top"/>
    </xf>
    <xf numFmtId="3" fontId="52" fillId="6" borderId="388" xfId="15" applyNumberFormat="1" applyFont="1" applyFill="1" applyBorder="1" applyAlignment="1">
      <alignment horizontal="right" vertical="top"/>
    </xf>
    <xf numFmtId="3" fontId="52" fillId="6" borderId="384" xfId="15" applyNumberFormat="1" applyFont="1" applyFill="1" applyBorder="1" applyAlignment="1">
      <alignment horizontal="right" vertical="top"/>
    </xf>
    <xf numFmtId="171" fontId="73" fillId="0" borderId="401" xfId="1" applyNumberFormat="1" applyFont="1" applyFill="1" applyBorder="1"/>
    <xf numFmtId="0" fontId="52" fillId="0" borderId="402" xfId="15" applyFont="1" applyFill="1" applyBorder="1" applyAlignment="1">
      <alignment horizontal="center" wrapText="1"/>
    </xf>
    <xf numFmtId="3" fontId="52" fillId="6" borderId="390" xfId="15" applyNumberFormat="1" applyFont="1" applyFill="1" applyBorder="1" applyAlignment="1">
      <alignment horizontal="right" vertical="top"/>
    </xf>
    <xf numFmtId="0" fontId="52" fillId="0" borderId="403" xfId="15" applyFont="1" applyFill="1" applyBorder="1" applyAlignment="1">
      <alignment horizontal="center" wrapText="1"/>
    </xf>
    <xf numFmtId="0" fontId="52" fillId="0" borderId="194" xfId="15" applyFont="1" applyFill="1" applyBorder="1" applyAlignment="1">
      <alignment horizontal="center" wrapText="1"/>
    </xf>
    <xf numFmtId="0" fontId="52" fillId="0" borderId="401" xfId="15" applyFont="1" applyFill="1" applyBorder="1" applyAlignment="1">
      <alignment horizontal="center" wrapText="1"/>
    </xf>
    <xf numFmtId="1" fontId="54" fillId="0" borderId="0" xfId="1" applyNumberFormat="1" applyFont="1" applyFill="1" applyBorder="1" applyAlignment="1">
      <alignment horizontal="right" indent="1"/>
    </xf>
    <xf numFmtId="1" fontId="54" fillId="0" borderId="0" xfId="0" applyNumberFormat="1" applyFont="1" applyFill="1" applyBorder="1" applyAlignment="1">
      <alignment horizontal="right" indent="1"/>
    </xf>
    <xf numFmtId="0" fontId="55" fillId="0" borderId="0" xfId="0" applyFont="1" applyFill="1" applyBorder="1" applyAlignment="1">
      <alignment vertical="center"/>
    </xf>
    <xf numFmtId="1" fontId="54" fillId="0" borderId="389" xfId="1" applyNumberFormat="1" applyFont="1" applyBorder="1" applyAlignment="1">
      <alignment horizontal="right" indent="1"/>
    </xf>
    <xf numFmtId="1" fontId="54" fillId="0" borderId="390" xfId="1" applyNumberFormat="1" applyFont="1" applyBorder="1" applyAlignment="1">
      <alignment horizontal="right" indent="1"/>
    </xf>
    <xf numFmtId="1" fontId="54" fillId="0" borderId="391" xfId="1" applyNumberFormat="1" applyFont="1" applyBorder="1" applyAlignment="1">
      <alignment horizontal="right" indent="1"/>
    </xf>
    <xf numFmtId="1" fontId="54" fillId="11" borderId="286" xfId="1" applyNumberFormat="1" applyFont="1" applyFill="1" applyBorder="1" applyAlignment="1">
      <alignment horizontal="right" indent="1"/>
    </xf>
    <xf numFmtId="1" fontId="54" fillId="11" borderId="279" xfId="1" applyNumberFormat="1" applyFont="1" applyFill="1" applyBorder="1" applyAlignment="1">
      <alignment horizontal="right" indent="1"/>
    </xf>
    <xf numFmtId="1" fontId="54" fillId="11" borderId="280" xfId="1" applyNumberFormat="1" applyFont="1" applyFill="1" applyBorder="1" applyAlignment="1">
      <alignment horizontal="right" indent="1"/>
    </xf>
    <xf numFmtId="1" fontId="54" fillId="0" borderId="286" xfId="1" applyNumberFormat="1" applyFont="1" applyBorder="1" applyAlignment="1">
      <alignment horizontal="right" indent="1"/>
    </xf>
    <xf numFmtId="1" fontId="54" fillId="0" borderId="279" xfId="1" applyNumberFormat="1" applyFont="1" applyBorder="1" applyAlignment="1">
      <alignment horizontal="right" indent="1"/>
    </xf>
    <xf numFmtId="1" fontId="54" fillId="0" borderId="280" xfId="1" applyNumberFormat="1" applyFont="1" applyBorder="1" applyAlignment="1">
      <alignment horizontal="right" indent="1"/>
    </xf>
    <xf numFmtId="1" fontId="54" fillId="9" borderId="286" xfId="1" applyNumberFormat="1" applyFont="1" applyFill="1" applyBorder="1" applyAlignment="1">
      <alignment horizontal="right" indent="1"/>
    </xf>
    <xf numFmtId="1" fontId="54" fillId="9" borderId="279" xfId="1" applyNumberFormat="1" applyFont="1" applyFill="1" applyBorder="1" applyAlignment="1">
      <alignment horizontal="right" indent="1"/>
    </xf>
    <xf numFmtId="1" fontId="54" fillId="9" borderId="280" xfId="1" applyNumberFormat="1" applyFont="1" applyFill="1" applyBorder="1" applyAlignment="1">
      <alignment horizontal="right" indent="1"/>
    </xf>
    <xf numFmtId="1" fontId="54" fillId="0" borderId="286" xfId="1" applyNumberFormat="1" applyFont="1" applyFill="1" applyBorder="1" applyAlignment="1">
      <alignment horizontal="right" indent="1"/>
    </xf>
    <xf numFmtId="1" fontId="54" fillId="0" borderId="279" xfId="1" applyNumberFormat="1" applyFont="1" applyFill="1" applyBorder="1" applyAlignment="1">
      <alignment horizontal="right" indent="1"/>
    </xf>
    <xf numFmtId="1" fontId="54" fillId="0" borderId="280" xfId="1" applyNumberFormat="1" applyFont="1" applyFill="1" applyBorder="1" applyAlignment="1">
      <alignment horizontal="right" indent="1"/>
    </xf>
    <xf numFmtId="1" fontId="54" fillId="11" borderId="286" xfId="0" applyNumberFormat="1" applyFont="1" applyFill="1" applyBorder="1" applyAlignment="1">
      <alignment horizontal="right" indent="1"/>
    </xf>
    <xf numFmtId="1" fontId="54" fillId="11" borderId="279" xfId="0" applyNumberFormat="1" applyFont="1" applyFill="1" applyBorder="1" applyAlignment="1">
      <alignment horizontal="right" indent="1"/>
    </xf>
    <xf numFmtId="1" fontId="54" fillId="11" borderId="280" xfId="0" applyNumberFormat="1" applyFont="1" applyFill="1" applyBorder="1" applyAlignment="1">
      <alignment horizontal="right" indent="1"/>
    </xf>
    <xf numFmtId="1" fontId="54" fillId="0" borderId="403" xfId="0" applyNumberFormat="1" applyFont="1" applyFill="1" applyBorder="1" applyAlignment="1">
      <alignment horizontal="right" indent="1"/>
    </xf>
    <xf numFmtId="1" fontId="54" fillId="0" borderId="394" xfId="0" applyNumberFormat="1" applyFont="1" applyFill="1" applyBorder="1" applyAlignment="1">
      <alignment horizontal="right" indent="1"/>
    </xf>
    <xf numFmtId="1" fontId="54" fillId="0" borderId="400" xfId="0" applyNumberFormat="1" applyFont="1" applyFill="1" applyBorder="1" applyAlignment="1">
      <alignment horizontal="right" indent="1"/>
    </xf>
    <xf numFmtId="0" fontId="29" fillId="0" borderId="0" xfId="15" applyFont="1" applyAlignment="1">
      <alignment horizontal="left" wrapText="1"/>
    </xf>
    <xf numFmtId="0" fontId="73" fillId="0" borderId="0" xfId="15" applyFont="1" applyAlignment="1">
      <alignment horizontal="left" wrapText="1"/>
    </xf>
    <xf numFmtId="0" fontId="52" fillId="0" borderId="404" xfId="15" applyFont="1" applyFill="1" applyBorder="1" applyAlignment="1">
      <alignment horizontal="center" wrapText="1"/>
    </xf>
    <xf numFmtId="0" fontId="52" fillId="0" borderId="404" xfId="15" applyFont="1" applyBorder="1" applyAlignment="1">
      <alignment horizontal="center" wrapText="1"/>
    </xf>
    <xf numFmtId="3" fontId="73" fillId="0" borderId="383" xfId="15" applyNumberFormat="1" applyFont="1" applyBorder="1"/>
    <xf numFmtId="3" fontId="73" fillId="0" borderId="383" xfId="15" applyNumberFormat="1" applyFont="1" applyFill="1" applyBorder="1"/>
    <xf numFmtId="3" fontId="73" fillId="0" borderId="158" xfId="15" applyNumberFormat="1" applyFont="1" applyFill="1" applyBorder="1"/>
    <xf numFmtId="0" fontId="29" fillId="0" borderId="0" xfId="15" applyFont="1" applyAlignment="1">
      <alignment horizontal="left" wrapText="1"/>
    </xf>
    <xf numFmtId="0" fontId="52" fillId="17" borderId="306" xfId="15" applyFont="1" applyFill="1" applyBorder="1" applyAlignment="1">
      <alignment horizontal="left"/>
    </xf>
    <xf numFmtId="0" fontId="66" fillId="0" borderId="160" xfId="0" applyFont="1" applyBorder="1" applyAlignment="1">
      <alignment horizontal="center" wrapText="1"/>
    </xf>
    <xf numFmtId="0" fontId="66" fillId="0" borderId="0" xfId="0" applyFont="1" applyBorder="1" applyAlignment="1">
      <alignment horizontal="center"/>
    </xf>
    <xf numFmtId="171" fontId="79" fillId="0" borderId="305" xfId="1" applyNumberFormat="1" applyFont="1" applyBorder="1"/>
    <xf numFmtId="0" fontId="54" fillId="0" borderId="283" xfId="0" applyFont="1" applyFill="1" applyBorder="1" applyAlignment="1">
      <alignment horizontal="left" indent="1"/>
    </xf>
    <xf numFmtId="37" fontId="54" fillId="0" borderId="286" xfId="1" applyNumberFormat="1" applyFont="1" applyFill="1" applyBorder="1" applyAlignment="1">
      <alignment horizontal="center"/>
    </xf>
    <xf numFmtId="164" fontId="54" fillId="0" borderId="283" xfId="0" applyNumberFormat="1" applyFont="1" applyFill="1" applyBorder="1" applyAlignment="1">
      <alignment horizontal="center"/>
    </xf>
    <xf numFmtId="0" fontId="55" fillId="17" borderId="306" xfId="0" applyFont="1" applyFill="1" applyBorder="1" applyAlignment="1">
      <alignment horizontal="center"/>
    </xf>
    <xf numFmtId="164" fontId="54" fillId="0" borderId="283" xfId="33" applyNumberFormat="1" applyFont="1" applyBorder="1" applyAlignment="1">
      <alignment horizontal="center"/>
    </xf>
    <xf numFmtId="164" fontId="54" fillId="16" borderId="283" xfId="33" applyNumberFormat="1" applyFont="1" applyFill="1" applyBorder="1" applyAlignment="1">
      <alignment horizontal="center"/>
    </xf>
    <xf numFmtId="164" fontId="54" fillId="0" borderId="283" xfId="33" applyNumberFormat="1" applyFont="1" applyFill="1" applyBorder="1" applyAlignment="1">
      <alignment horizontal="center"/>
    </xf>
    <xf numFmtId="0" fontId="54" fillId="16" borderId="392" xfId="0" applyFont="1" applyFill="1" applyBorder="1" applyAlignment="1">
      <alignment horizontal="left" indent="1"/>
    </xf>
    <xf numFmtId="37" fontId="54" fillId="16" borderId="403" xfId="1" applyNumberFormat="1" applyFont="1" applyFill="1" applyBorder="1" applyAlignment="1">
      <alignment horizontal="center"/>
    </xf>
    <xf numFmtId="164" fontId="54" fillId="16" borderId="400" xfId="33" applyNumberFormat="1" applyFont="1" applyFill="1" applyBorder="1" applyAlignment="1">
      <alignment horizontal="center"/>
    </xf>
    <xf numFmtId="164" fontId="54" fillId="16" borderId="397" xfId="0" applyNumberFormat="1" applyFont="1" applyFill="1" applyBorder="1" applyAlignment="1">
      <alignment horizontal="center"/>
    </xf>
    <xf numFmtId="164" fontId="54" fillId="16" borderId="397" xfId="33" applyNumberFormat="1" applyFont="1" applyFill="1" applyBorder="1" applyAlignment="1">
      <alignment horizontal="center"/>
    </xf>
    <xf numFmtId="3" fontId="54" fillId="11" borderId="312" xfId="0" applyNumberFormat="1" applyFont="1" applyFill="1" applyBorder="1" applyAlignment="1">
      <alignment horizontal="right" indent="1"/>
    </xf>
    <xf numFmtId="3" fontId="54" fillId="11" borderId="194" xfId="0" applyNumberFormat="1" applyFont="1" applyFill="1" applyBorder="1" applyAlignment="1">
      <alignment horizontal="right" indent="1"/>
    </xf>
    <xf numFmtId="3" fontId="54" fillId="11" borderId="219" xfId="0" quotePrefix="1" applyNumberFormat="1" applyFont="1" applyFill="1" applyBorder="1" applyAlignment="1">
      <alignment horizontal="right" indent="1"/>
    </xf>
    <xf numFmtId="171" fontId="54" fillId="11" borderId="313" xfId="1" applyNumberFormat="1" applyFont="1" applyFill="1" applyBorder="1"/>
    <xf numFmtId="171" fontId="54" fillId="11" borderId="341" xfId="1" applyNumberFormat="1" applyFont="1" applyFill="1" applyBorder="1"/>
    <xf numFmtId="171" fontId="54" fillId="11" borderId="342" xfId="1" applyNumberFormat="1" applyFont="1" applyFill="1" applyBorder="1"/>
    <xf numFmtId="172" fontId="25" fillId="0" borderId="384" xfId="0" applyNumberFormat="1" applyFont="1" applyFill="1" applyBorder="1"/>
    <xf numFmtId="3" fontId="25" fillId="6" borderId="384" xfId="0" applyNumberFormat="1" applyFont="1" applyFill="1" applyBorder="1"/>
    <xf numFmtId="3" fontId="23" fillId="0" borderId="199" xfId="0" applyNumberFormat="1" applyFont="1" applyFill="1" applyBorder="1"/>
    <xf numFmtId="3" fontId="25" fillId="6" borderId="384" xfId="0" applyNumberFormat="1" applyFont="1" applyFill="1" applyBorder="1" applyAlignment="1">
      <alignment horizontal="right" vertical="center"/>
    </xf>
    <xf numFmtId="3" fontId="23" fillId="0" borderId="199" xfId="0" applyNumberFormat="1" applyFont="1" applyFill="1" applyBorder="1" applyAlignment="1">
      <alignment horizontal="right" vertical="center"/>
    </xf>
    <xf numFmtId="3" fontId="23" fillId="0" borderId="279" xfId="0" applyNumberFormat="1" applyFont="1" applyFill="1" applyBorder="1"/>
    <xf numFmtId="0" fontId="66" fillId="0" borderId="160" xfId="0" applyFont="1" applyBorder="1" applyAlignment="1">
      <alignment horizontal="center" wrapText="1"/>
    </xf>
    <xf numFmtId="0" fontId="73" fillId="0" borderId="0" xfId="0" applyFont="1" applyAlignment="1">
      <alignment horizontal="center"/>
    </xf>
    <xf numFmtId="179" fontId="25" fillId="6" borderId="384" xfId="0" applyNumberFormat="1" applyFont="1" applyFill="1" applyBorder="1"/>
    <xf numFmtId="179" fontId="23" fillId="0" borderId="199" xfId="0" applyNumberFormat="1" applyFont="1" applyFill="1" applyBorder="1"/>
    <xf numFmtId="179" fontId="23" fillId="0" borderId="219" xfId="0" applyNumberFormat="1" applyFont="1" applyFill="1" applyBorder="1"/>
    <xf numFmtId="179" fontId="25" fillId="6" borderId="391" xfId="0" applyNumberFormat="1" applyFont="1" applyFill="1" applyBorder="1"/>
    <xf numFmtId="0" fontId="60" fillId="0" borderId="0" xfId="0" applyFont="1" applyAlignment="1">
      <alignment horizontal="left"/>
    </xf>
    <xf numFmtId="0" fontId="29" fillId="0" borderId="0" xfId="15" applyFont="1" applyAlignment="1">
      <alignment horizontal="left" wrapText="1"/>
    </xf>
    <xf numFmtId="3" fontId="54" fillId="11" borderId="386" xfId="0" applyNumberFormat="1" applyFont="1" applyFill="1" applyBorder="1" applyAlignment="1">
      <alignment horizontal="right" indent="1"/>
    </xf>
    <xf numFmtId="3" fontId="54" fillId="11" borderId="387" xfId="0" applyNumberFormat="1" applyFont="1" applyFill="1" applyBorder="1" applyAlignment="1">
      <alignment horizontal="right" indent="1"/>
    </xf>
    <xf numFmtId="3" fontId="54" fillId="11" borderId="388" xfId="0" applyNumberFormat="1" applyFont="1" applyFill="1" applyBorder="1" applyAlignment="1">
      <alignment horizontal="right" indent="1"/>
    </xf>
    <xf numFmtId="1" fontId="54" fillId="11" borderId="386" xfId="0" applyNumberFormat="1" applyFont="1" applyFill="1" applyBorder="1" applyAlignment="1">
      <alignment horizontal="right" indent="1"/>
    </xf>
    <xf numFmtId="1" fontId="54" fillId="11" borderId="387" xfId="0" applyNumberFormat="1" applyFont="1" applyFill="1" applyBorder="1" applyAlignment="1">
      <alignment horizontal="right" indent="1"/>
    </xf>
    <xf numFmtId="1" fontId="54" fillId="11" borderId="388" xfId="0" applyNumberFormat="1" applyFont="1" applyFill="1" applyBorder="1" applyAlignment="1">
      <alignment horizontal="right" indent="1"/>
    </xf>
    <xf numFmtId="171" fontId="73" fillId="0" borderId="219" xfId="1" applyNumberFormat="1" applyFont="1" applyFill="1" applyBorder="1"/>
    <xf numFmtId="171" fontId="73" fillId="0" borderId="405" xfId="1" applyNumberFormat="1" applyFont="1" applyFill="1" applyBorder="1"/>
    <xf numFmtId="0" fontId="52" fillId="0" borderId="160" xfId="15" applyFont="1" applyFill="1" applyBorder="1" applyAlignment="1">
      <alignment horizontal="center" wrapText="1"/>
    </xf>
    <xf numFmtId="3" fontId="52" fillId="6" borderId="354" xfId="15" applyNumberFormat="1" applyFont="1" applyFill="1" applyBorder="1" applyAlignment="1">
      <alignment horizontal="right" vertical="top"/>
    </xf>
    <xf numFmtId="0" fontId="52" fillId="0" borderId="405" xfId="15" applyFont="1" applyFill="1" applyBorder="1" applyAlignment="1">
      <alignment horizontal="center" wrapText="1"/>
    </xf>
    <xf numFmtId="3" fontId="52" fillId="6" borderId="280" xfId="15" applyNumberFormat="1" applyFont="1" applyFill="1" applyBorder="1" applyAlignment="1">
      <alignment horizontal="right" vertical="top"/>
    </xf>
    <xf numFmtId="49" fontId="5" fillId="0" borderId="0" xfId="9" applyNumberFormat="1" applyFont="1" applyAlignment="1">
      <alignment horizontal="left"/>
    </xf>
    <xf numFmtId="0" fontId="52" fillId="0" borderId="0" xfId="0" applyFont="1" applyBorder="1" applyAlignment="1">
      <alignment horizontal="center"/>
    </xf>
    <xf numFmtId="0" fontId="52" fillId="0" borderId="0" xfId="0" applyFont="1" applyBorder="1" applyAlignment="1">
      <alignment horizontal="center" wrapText="1"/>
    </xf>
    <xf numFmtId="0" fontId="52" fillId="0" borderId="220" xfId="0" applyFont="1" applyBorder="1" applyAlignment="1">
      <alignment horizontal="center" wrapText="1"/>
    </xf>
    <xf numFmtId="0" fontId="66" fillId="0" borderId="0" xfId="0" applyFont="1" applyBorder="1" applyAlignment="1">
      <alignment horizontal="center"/>
    </xf>
    <xf numFmtId="0" fontId="52" fillId="0" borderId="385" xfId="0" applyFont="1" applyBorder="1" applyAlignment="1"/>
    <xf numFmtId="0" fontId="52" fillId="0" borderId="385" xfId="0" applyFont="1" applyBorder="1"/>
    <xf numFmtId="0" fontId="52" fillId="0" borderId="385" xfId="0" applyFont="1" applyBorder="1" applyAlignment="1">
      <alignment wrapText="1"/>
    </xf>
    <xf numFmtId="0" fontId="52" fillId="0" borderId="385" xfId="0" applyFont="1" applyBorder="1" applyAlignment="1">
      <alignment horizontal="center" wrapText="1"/>
    </xf>
    <xf numFmtId="3" fontId="52" fillId="7" borderId="385" xfId="0" applyNumberFormat="1" applyFont="1" applyFill="1" applyBorder="1"/>
    <xf numFmtId="164" fontId="52" fillId="7" borderId="385" xfId="33" applyNumberFormat="1" applyFont="1" applyFill="1" applyBorder="1"/>
    <xf numFmtId="164" fontId="52" fillId="7" borderId="220" xfId="33" applyNumberFormat="1" applyFont="1" applyFill="1" applyBorder="1"/>
    <xf numFmtId="9" fontId="52" fillId="7" borderId="385" xfId="33" applyFont="1" applyFill="1" applyBorder="1"/>
    <xf numFmtId="9" fontId="52" fillId="7" borderId="220" xfId="33" applyFont="1" applyFill="1" applyBorder="1"/>
    <xf numFmtId="9" fontId="52" fillId="13" borderId="0" xfId="33" applyFont="1" applyFill="1"/>
    <xf numFmtId="3" fontId="73" fillId="0" borderId="385" xfId="0" applyNumberFormat="1" applyFont="1" applyBorder="1"/>
    <xf numFmtId="164" fontId="73" fillId="0" borderId="385" xfId="33" applyNumberFormat="1" applyFont="1" applyBorder="1"/>
    <xf numFmtId="164" fontId="73" fillId="0" borderId="220" xfId="33" applyNumberFormat="1" applyFont="1" applyBorder="1"/>
    <xf numFmtId="9" fontId="73" fillId="0" borderId="385" xfId="33" applyFont="1" applyBorder="1"/>
    <xf numFmtId="9" fontId="73" fillId="0" borderId="220" xfId="33" applyFont="1" applyBorder="1"/>
    <xf numFmtId="3" fontId="73" fillId="23" borderId="385" xfId="0" applyNumberFormat="1" applyFont="1" applyFill="1" applyBorder="1"/>
    <xf numFmtId="164" fontId="73" fillId="23" borderId="385" xfId="33" applyNumberFormat="1" applyFont="1" applyFill="1" applyBorder="1"/>
    <xf numFmtId="164" fontId="73" fillId="23" borderId="220" xfId="33" applyNumberFormat="1" applyFont="1" applyFill="1" applyBorder="1"/>
    <xf numFmtId="9" fontId="73" fillId="23" borderId="385" xfId="33" applyFont="1" applyFill="1" applyBorder="1"/>
    <xf numFmtId="9" fontId="73" fillId="23" borderId="220" xfId="33" applyFont="1" applyFill="1" applyBorder="1"/>
    <xf numFmtId="9" fontId="73" fillId="23" borderId="0" xfId="33" applyFont="1" applyFill="1"/>
    <xf numFmtId="0" fontId="66" fillId="0" borderId="160" xfId="0" applyFont="1" applyBorder="1" applyAlignment="1">
      <alignment horizontal="center" wrapText="1"/>
    </xf>
    <xf numFmtId="172" fontId="25" fillId="0" borderId="399" xfId="0" applyNumberFormat="1" applyFont="1" applyFill="1" applyBorder="1"/>
    <xf numFmtId="164" fontId="25" fillId="6" borderId="399" xfId="33" applyNumberFormat="1" applyFont="1" applyFill="1" applyBorder="1"/>
    <xf numFmtId="164" fontId="23" fillId="0" borderId="220" xfId="33" applyNumberFormat="1" applyFont="1" applyFill="1" applyBorder="1"/>
    <xf numFmtId="164" fontId="23" fillId="0" borderId="220" xfId="0" applyNumberFormat="1" applyFont="1" applyFill="1" applyBorder="1"/>
    <xf numFmtId="164" fontId="23" fillId="0" borderId="157" xfId="0" applyNumberFormat="1" applyFont="1" applyFill="1" applyBorder="1"/>
    <xf numFmtId="164" fontId="25" fillId="6" borderId="294" xfId="33" applyNumberFormat="1" applyFont="1" applyFill="1" applyBorder="1"/>
    <xf numFmtId="164" fontId="25" fillId="6" borderId="390" xfId="33" applyNumberFormat="1" applyFont="1" applyFill="1" applyBorder="1"/>
    <xf numFmtId="164" fontId="23" fillId="0" borderId="406" xfId="33" applyNumberFormat="1" applyFont="1" applyFill="1" applyBorder="1"/>
    <xf numFmtId="164" fontId="23" fillId="0" borderId="406" xfId="0" applyNumberFormat="1" applyFont="1" applyFill="1" applyBorder="1"/>
    <xf numFmtId="0" fontId="66" fillId="0" borderId="289" xfId="0" applyFont="1" applyBorder="1" applyAlignment="1">
      <alignment horizontal="center" wrapText="1"/>
    </xf>
    <xf numFmtId="3" fontId="25" fillId="6" borderId="295" xfId="0" applyNumberFormat="1" applyFont="1" applyFill="1" applyBorder="1" applyAlignment="1">
      <alignment horizontal="right" vertical="center"/>
    </xf>
    <xf numFmtId="3" fontId="23" fillId="0" borderId="407" xfId="0" applyNumberFormat="1" applyFont="1" applyFill="1" applyBorder="1" applyAlignment="1">
      <alignment horizontal="right" vertical="center"/>
    </xf>
    <xf numFmtId="3" fontId="25" fillId="6" borderId="295" xfId="0" applyNumberFormat="1" applyFont="1" applyFill="1" applyBorder="1"/>
    <xf numFmtId="3" fontId="23" fillId="0" borderId="407" xfId="0" applyNumberFormat="1" applyFont="1" applyFill="1" applyBorder="1"/>
    <xf numFmtId="3" fontId="23" fillId="0" borderId="391" xfId="0" applyNumberFormat="1" applyFont="1" applyFill="1" applyBorder="1"/>
    <xf numFmtId="164" fontId="23" fillId="0" borderId="407" xfId="0" applyNumberFormat="1" applyFont="1" applyFill="1" applyBorder="1"/>
    <xf numFmtId="0" fontId="73" fillId="0" borderId="12" xfId="0" applyFont="1" applyFill="1" applyBorder="1"/>
    <xf numFmtId="0" fontId="73" fillId="0" borderId="312" xfId="0" applyFont="1" applyFill="1" applyBorder="1"/>
    <xf numFmtId="0" fontId="73" fillId="0" borderId="289" xfId="0" applyFont="1" applyFill="1" applyBorder="1"/>
    <xf numFmtId="3" fontId="23" fillId="0" borderId="401" xfId="0" applyNumberFormat="1" applyFont="1" applyFill="1" applyBorder="1" applyAlignment="1">
      <alignment horizontal="right" vertical="center"/>
    </xf>
    <xf numFmtId="3" fontId="23" fillId="0" borderId="401" xfId="0" applyNumberFormat="1" applyFont="1" applyFill="1" applyBorder="1"/>
    <xf numFmtId="3" fontId="23" fillId="0" borderId="406" xfId="0" applyNumberFormat="1" applyFont="1" applyFill="1" applyBorder="1"/>
    <xf numFmtId="172" fontId="25" fillId="0" borderId="354" xfId="0" applyNumberFormat="1" applyFont="1" applyFill="1" applyBorder="1"/>
    <xf numFmtId="179" fontId="25" fillId="6" borderId="354" xfId="0" applyNumberFormat="1" applyFont="1" applyFill="1" applyBorder="1"/>
    <xf numFmtId="179" fontId="23" fillId="0" borderId="216" xfId="0" applyNumberFormat="1" applyFont="1" applyFill="1" applyBorder="1"/>
    <xf numFmtId="179" fontId="23" fillId="0" borderId="401" xfId="0" applyNumberFormat="1" applyFont="1" applyFill="1" applyBorder="1"/>
    <xf numFmtId="179" fontId="23" fillId="0" borderId="407" xfId="0" applyNumberFormat="1" applyFont="1" applyFill="1" applyBorder="1"/>
    <xf numFmtId="179" fontId="23" fillId="0" borderId="406" xfId="0" applyNumberFormat="1" applyFont="1" applyFill="1" applyBorder="1"/>
    <xf numFmtId="0" fontId="54" fillId="0" borderId="109" xfId="0" applyFont="1" applyFill="1" applyBorder="1" applyAlignment="1">
      <alignment horizontal="left" indent="1"/>
    </xf>
    <xf numFmtId="164" fontId="54" fillId="0" borderId="102" xfId="0" applyNumberFormat="1" applyFont="1" applyFill="1" applyBorder="1" applyAlignment="1">
      <alignment horizontal="center"/>
    </xf>
    <xf numFmtId="164" fontId="54" fillId="0" borderId="104" xfId="33" applyNumberFormat="1" applyFont="1" applyFill="1" applyBorder="1" applyAlignment="1">
      <alignment horizontal="center"/>
    </xf>
    <xf numFmtId="0" fontId="52" fillId="0" borderId="0" xfId="0" applyFont="1" applyBorder="1" applyAlignment="1">
      <alignment horizontal="center"/>
    </xf>
    <xf numFmtId="164" fontId="70" fillId="0" borderId="408" xfId="16" applyNumberFormat="1" applyFont="1" applyFill="1" applyBorder="1" applyAlignment="1">
      <alignment wrapText="1"/>
    </xf>
    <xf numFmtId="0" fontId="69" fillId="0" borderId="409" xfId="11" applyFont="1" applyFill="1" applyBorder="1" applyAlignment="1">
      <alignment horizontal="center"/>
    </xf>
    <xf numFmtId="164" fontId="69" fillId="6" borderId="409" xfId="16" applyNumberFormat="1" applyFont="1" applyFill="1" applyBorder="1" applyAlignment="1">
      <alignment wrapText="1"/>
    </xf>
    <xf numFmtId="164" fontId="70" fillId="0" borderId="410" xfId="16" applyNumberFormat="1" applyFont="1" applyFill="1" applyBorder="1" applyAlignment="1">
      <alignment wrapText="1"/>
    </xf>
    <xf numFmtId="0" fontId="69" fillId="0" borderId="411" xfId="11" applyFont="1" applyFill="1" applyBorder="1" applyAlignment="1">
      <alignment horizontal="center"/>
    </xf>
    <xf numFmtId="164" fontId="69" fillId="6" borderId="277" xfId="16" applyNumberFormat="1" applyFont="1" applyFill="1" applyBorder="1" applyAlignment="1">
      <alignment wrapText="1"/>
    </xf>
    <xf numFmtId="164" fontId="70" fillId="0" borderId="277" xfId="16" applyNumberFormat="1" applyFont="1" applyFill="1" applyBorder="1" applyAlignment="1">
      <alignment wrapText="1"/>
    </xf>
    <xf numFmtId="164" fontId="70" fillId="0" borderId="412" xfId="16" applyNumberFormat="1" applyFont="1" applyFill="1" applyBorder="1" applyAlignment="1">
      <alignment wrapText="1"/>
    </xf>
    <xf numFmtId="0" fontId="69" fillId="0" borderId="413" xfId="11" applyFont="1" applyFill="1" applyBorder="1" applyAlignment="1">
      <alignment horizontal="center"/>
    </xf>
    <xf numFmtId="164" fontId="69" fillId="6" borderId="413" xfId="16" applyNumberFormat="1" applyFont="1" applyFill="1" applyBorder="1" applyAlignment="1">
      <alignment wrapText="1"/>
    </xf>
    <xf numFmtId="164" fontId="70" fillId="0" borderId="277" xfId="33" applyNumberFormat="1" applyFont="1" applyFill="1" applyBorder="1" applyAlignment="1">
      <alignment wrapText="1"/>
    </xf>
    <xf numFmtId="0" fontId="69" fillId="0" borderId="409" xfId="16" applyFont="1" applyBorder="1" applyAlignment="1">
      <alignment horizontal="center"/>
    </xf>
    <xf numFmtId="3" fontId="69" fillId="6" borderId="214" xfId="16" applyNumberFormat="1" applyFont="1" applyFill="1" applyBorder="1"/>
    <xf numFmtId="3" fontId="70" fillId="0" borderId="414" xfId="16" applyNumberFormat="1" applyFont="1" applyBorder="1"/>
    <xf numFmtId="3" fontId="70" fillId="0" borderId="415" xfId="16" applyNumberFormat="1" applyFont="1" applyBorder="1"/>
    <xf numFmtId="0" fontId="69" fillId="0" borderId="413" xfId="16" applyFont="1" applyBorder="1" applyAlignment="1">
      <alignment horizontal="center"/>
    </xf>
    <xf numFmtId="3" fontId="69" fillId="6" borderId="413" xfId="16" applyNumberFormat="1" applyFont="1" applyFill="1" applyBorder="1"/>
    <xf numFmtId="3" fontId="70" fillId="0" borderId="406" xfId="16" applyNumberFormat="1" applyFont="1" applyBorder="1"/>
    <xf numFmtId="3" fontId="70" fillId="0" borderId="407" xfId="16" applyNumberFormat="1" applyFont="1" applyBorder="1"/>
    <xf numFmtId="0" fontId="52" fillId="0" borderId="416" xfId="0" applyFont="1" applyBorder="1" applyAlignment="1">
      <alignment horizontal="center"/>
    </xf>
    <xf numFmtId="164" fontId="73" fillId="8" borderId="216" xfId="33" applyNumberFormat="1" applyFont="1" applyFill="1" applyBorder="1"/>
    <xf numFmtId="164" fontId="73" fillId="0" borderId="407" xfId="33" applyNumberFormat="1" applyFont="1" applyBorder="1"/>
    <xf numFmtId="0" fontId="52" fillId="0" borderId="417" xfId="0" applyFont="1" applyBorder="1" applyAlignment="1">
      <alignment horizontal="center"/>
    </xf>
    <xf numFmtId="164" fontId="73" fillId="8" borderId="417" xfId="33" applyNumberFormat="1" applyFont="1" applyFill="1" applyBorder="1"/>
    <xf numFmtId="0" fontId="52" fillId="0" borderId="416" xfId="0" applyFont="1" applyBorder="1"/>
    <xf numFmtId="171" fontId="73" fillId="8" borderId="216" xfId="1" applyNumberFormat="1" applyFont="1" applyFill="1" applyBorder="1"/>
    <xf numFmtId="171" fontId="73" fillId="0" borderId="407" xfId="1" applyNumberFormat="1" applyFont="1" applyFill="1" applyBorder="1"/>
    <xf numFmtId="0" fontId="52" fillId="0" borderId="417" xfId="0" applyFont="1" applyBorder="1"/>
    <xf numFmtId="171" fontId="73" fillId="8" borderId="417" xfId="1" applyNumberFormat="1" applyFont="1" applyFill="1" applyBorder="1"/>
    <xf numFmtId="171" fontId="73" fillId="0" borderId="407" xfId="1" applyNumberFormat="1" applyFont="1" applyBorder="1"/>
    <xf numFmtId="0" fontId="53" fillId="0" borderId="385" xfId="0" applyFont="1" applyBorder="1" applyAlignment="1">
      <alignment wrapText="1"/>
    </xf>
    <xf numFmtId="0" fontId="53" fillId="0" borderId="0" xfId="0" applyFont="1" applyBorder="1" applyAlignment="1">
      <alignment wrapText="1"/>
    </xf>
    <xf numFmtId="0" fontId="53" fillId="0" borderId="220" xfId="0" applyFont="1" applyBorder="1" applyAlignment="1">
      <alignment wrapText="1"/>
    </xf>
    <xf numFmtId="3" fontId="53" fillId="6" borderId="385" xfId="0" applyNumberFormat="1" applyFont="1" applyFill="1" applyBorder="1"/>
    <xf numFmtId="3" fontId="53" fillId="6" borderId="0" xfId="0" applyNumberFormat="1" applyFont="1" applyFill="1" applyBorder="1"/>
    <xf numFmtId="164" fontId="53" fillId="6" borderId="220" xfId="33" applyNumberFormat="1" applyFont="1" applyFill="1" applyBorder="1"/>
    <xf numFmtId="3" fontId="71" fillId="0" borderId="385" xfId="0" applyNumberFormat="1" applyFont="1" applyBorder="1"/>
    <xf numFmtId="3" fontId="71" fillId="0" borderId="0" xfId="0" applyNumberFormat="1" applyFont="1" applyBorder="1"/>
    <xf numFmtId="164" fontId="71" fillId="0" borderId="220" xfId="33" applyNumberFormat="1" applyFont="1" applyBorder="1"/>
    <xf numFmtId="0" fontId="71" fillId="0" borderId="385" xfId="0" applyFont="1" applyBorder="1"/>
    <xf numFmtId="0" fontId="71" fillId="0" borderId="220" xfId="0" applyFont="1" applyBorder="1"/>
    <xf numFmtId="171" fontId="71" fillId="0" borderId="385" xfId="1" applyNumberFormat="1" applyFont="1" applyBorder="1"/>
    <xf numFmtId="171" fontId="71" fillId="0" borderId="385" xfId="1" applyNumberFormat="1" applyFont="1" applyFill="1" applyBorder="1"/>
    <xf numFmtId="3" fontId="73" fillId="0" borderId="404" xfId="15" applyNumberFormat="1" applyFont="1" applyFill="1" applyBorder="1" applyAlignment="1">
      <alignment horizontal="right" vertical="top"/>
    </xf>
    <xf numFmtId="3" fontId="73" fillId="0" borderId="418" xfId="15" applyNumberFormat="1" applyFont="1" applyFill="1" applyBorder="1" applyAlignment="1">
      <alignment horizontal="right" vertical="top"/>
    </xf>
    <xf numFmtId="0" fontId="73" fillId="21" borderId="0" xfId="0" applyFont="1" applyFill="1"/>
    <xf numFmtId="0" fontId="73" fillId="35" borderId="0" xfId="0" applyFont="1" applyFill="1"/>
    <xf numFmtId="0" fontId="73" fillId="35" borderId="0" xfId="0" applyFont="1" applyFill="1" applyBorder="1"/>
    <xf numFmtId="3" fontId="79" fillId="0" borderId="305" xfId="19" applyNumberFormat="1" applyFont="1" applyFill="1" applyBorder="1" applyAlignment="1">
      <alignment vertical="top"/>
    </xf>
    <xf numFmtId="0" fontId="57" fillId="0" borderId="0" xfId="0" applyFont="1" applyBorder="1" applyAlignment="1">
      <alignment horizontal="left" vertical="top" wrapText="1"/>
    </xf>
    <xf numFmtId="0" fontId="54" fillId="0" borderId="305" xfId="0" quotePrefix="1" applyFont="1" applyFill="1" applyBorder="1" applyAlignment="1">
      <alignment horizontal="left"/>
    </xf>
    <xf numFmtId="0" fontId="54" fillId="0" borderId="0" xfId="0" quotePrefix="1" applyFont="1" applyFill="1" applyBorder="1" applyAlignment="1">
      <alignment horizontal="left"/>
    </xf>
    <xf numFmtId="0" fontId="91" fillId="26" borderId="191" xfId="0" applyFont="1" applyFill="1" applyBorder="1" applyAlignment="1">
      <alignment horizontal="left" vertical="center" wrapText="1"/>
    </xf>
    <xf numFmtId="0" fontId="91" fillId="26" borderId="181" xfId="0" applyFont="1" applyFill="1" applyBorder="1" applyAlignment="1">
      <alignment horizontal="left" vertical="center" wrapText="1"/>
    </xf>
    <xf numFmtId="0" fontId="91" fillId="26" borderId="155" xfId="0" applyFont="1" applyFill="1" applyBorder="1" applyAlignment="1">
      <alignment horizontal="left" vertical="center" wrapText="1"/>
    </xf>
    <xf numFmtId="0" fontId="91" fillId="26" borderId="0" xfId="0" applyFont="1" applyFill="1" applyBorder="1" applyAlignment="1">
      <alignment horizontal="left" vertical="center" wrapText="1"/>
    </xf>
    <xf numFmtId="0" fontId="54" fillId="0" borderId="155" xfId="0" quotePrefix="1" applyFont="1" applyBorder="1" applyAlignment="1">
      <alignment horizontal="left"/>
    </xf>
    <xf numFmtId="0" fontId="54" fillId="0" borderId="0" xfId="0" quotePrefix="1" applyFont="1" applyBorder="1" applyAlignment="1">
      <alignment horizontal="left"/>
    </xf>
    <xf numFmtId="0" fontId="54" fillId="0" borderId="312" xfId="0" quotePrefix="1" applyFont="1" applyFill="1" applyBorder="1" applyAlignment="1">
      <alignment horizontal="left"/>
    </xf>
    <xf numFmtId="0" fontId="54" fillId="0" borderId="289" xfId="0" quotePrefix="1" applyFont="1" applyFill="1" applyBorder="1" applyAlignment="1">
      <alignment horizontal="left"/>
    </xf>
    <xf numFmtId="0" fontId="136" fillId="26" borderId="0" xfId="0" applyFont="1" applyFill="1" applyAlignment="1">
      <alignment horizontal="center" wrapText="1"/>
    </xf>
    <xf numFmtId="37" fontId="137" fillId="0" borderId="0" xfId="33" applyNumberFormat="1" applyFont="1" applyAlignment="1">
      <alignment horizontal="center" vertical="center"/>
    </xf>
    <xf numFmtId="0" fontId="55" fillId="18" borderId="301" xfId="0" applyFont="1" applyFill="1" applyBorder="1" applyAlignment="1">
      <alignment horizontal="center" vertical="center"/>
    </xf>
    <xf numFmtId="0" fontId="55" fillId="18" borderId="302" xfId="0" applyFont="1" applyFill="1" applyBorder="1" applyAlignment="1">
      <alignment horizontal="center" vertical="center"/>
    </xf>
    <xf numFmtId="0" fontId="54" fillId="11" borderId="305" xfId="0" quotePrefix="1" applyFont="1" applyFill="1" applyBorder="1" applyAlignment="1">
      <alignment horizontal="left"/>
    </xf>
    <xf numFmtId="0" fontId="54" fillId="11" borderId="0" xfId="0" quotePrefix="1" applyFont="1" applyFill="1" applyBorder="1" applyAlignment="1">
      <alignment horizontal="left"/>
    </xf>
    <xf numFmtId="0" fontId="91" fillId="26" borderId="299" xfId="0" applyFont="1" applyFill="1" applyBorder="1" applyAlignment="1">
      <alignment horizontal="left" vertical="center" wrapText="1"/>
    </xf>
    <xf numFmtId="0" fontId="91" fillId="26" borderId="288" xfId="0" applyFont="1" applyFill="1" applyBorder="1" applyAlignment="1">
      <alignment horizontal="left" vertical="center" wrapText="1"/>
    </xf>
    <xf numFmtId="0" fontId="91" fillId="26" borderId="305" xfId="0" applyFont="1" applyFill="1" applyBorder="1" applyAlignment="1">
      <alignment horizontal="left" vertical="center" wrapText="1"/>
    </xf>
    <xf numFmtId="0" fontId="55" fillId="19" borderId="398" xfId="0" applyFont="1" applyFill="1" applyBorder="1" applyAlignment="1">
      <alignment horizontal="center" vertical="center"/>
    </xf>
    <xf numFmtId="0" fontId="55" fillId="19" borderId="287" xfId="0" applyFont="1" applyFill="1" applyBorder="1" applyAlignment="1">
      <alignment horizontal="center" vertical="center"/>
    </xf>
    <xf numFmtId="0" fontId="55" fillId="19" borderId="399" xfId="0" applyFont="1" applyFill="1" applyBorder="1" applyAlignment="1">
      <alignment horizontal="center" vertical="center"/>
    </xf>
    <xf numFmtId="0" fontId="54" fillId="11" borderId="398" xfId="0" quotePrefix="1" applyFont="1" applyFill="1" applyBorder="1" applyAlignment="1">
      <alignment horizontal="left"/>
    </xf>
    <xf numFmtId="0" fontId="54" fillId="11" borderId="287" xfId="0" quotePrefix="1" applyFont="1" applyFill="1" applyBorder="1" applyAlignment="1">
      <alignment horizontal="left"/>
    </xf>
    <xf numFmtId="0" fontId="97" fillId="19" borderId="389" xfId="0" applyFont="1" applyFill="1" applyBorder="1" applyAlignment="1">
      <alignment horizontal="center" vertical="center" wrapText="1"/>
    </xf>
    <xf numFmtId="0" fontId="97" fillId="19" borderId="403" xfId="0" applyFont="1" applyFill="1" applyBorder="1" applyAlignment="1">
      <alignment horizontal="center" vertical="center" wrapText="1"/>
    </xf>
    <xf numFmtId="0" fontId="55" fillId="19" borderId="390" xfId="0" applyFont="1" applyFill="1" applyBorder="1" applyAlignment="1">
      <alignment horizontal="center" vertical="center"/>
    </xf>
    <xf numFmtId="0" fontId="55" fillId="19" borderId="394" xfId="0" applyFont="1" applyFill="1" applyBorder="1" applyAlignment="1">
      <alignment horizontal="center" vertical="center"/>
    </xf>
    <xf numFmtId="0" fontId="55" fillId="19" borderId="391" xfId="0" applyFont="1" applyFill="1" applyBorder="1" applyAlignment="1">
      <alignment horizontal="center" vertical="center"/>
    </xf>
    <xf numFmtId="0" fontId="55" fillId="19" borderId="400" xfId="0" applyFont="1" applyFill="1" applyBorder="1" applyAlignment="1">
      <alignment horizontal="center" vertical="center"/>
    </xf>
    <xf numFmtId="9" fontId="55" fillId="19" borderId="191" xfId="33" applyFont="1" applyFill="1" applyBorder="1" applyAlignment="1">
      <alignment horizontal="center"/>
    </xf>
    <xf numFmtId="9" fontId="55" fillId="19" borderId="173" xfId="33" applyFont="1" applyFill="1" applyBorder="1" applyAlignment="1">
      <alignment horizontal="center"/>
    </xf>
    <xf numFmtId="9" fontId="55" fillId="19" borderId="181" xfId="33" applyFont="1" applyFill="1" applyBorder="1" applyAlignment="1">
      <alignment horizontal="center"/>
    </xf>
    <xf numFmtId="9" fontId="55" fillId="19" borderId="171" xfId="33" applyFont="1" applyFill="1" applyBorder="1" applyAlignment="1">
      <alignment horizontal="center" vertical="center"/>
    </xf>
    <xf numFmtId="9" fontId="55" fillId="19" borderId="201" xfId="33" applyFont="1" applyFill="1" applyBorder="1" applyAlignment="1">
      <alignment horizontal="center" vertical="center"/>
    </xf>
    <xf numFmtId="0" fontId="92" fillId="19" borderId="190" xfId="0" applyFont="1" applyFill="1" applyBorder="1" applyAlignment="1">
      <alignment horizontal="center" vertical="center" wrapText="1"/>
    </xf>
    <xf numFmtId="0" fontId="122" fillId="30" borderId="0" xfId="0" applyFont="1" applyFill="1" applyBorder="1" applyAlignment="1">
      <alignment horizontal="center" vertical="center" wrapText="1"/>
    </xf>
    <xf numFmtId="0" fontId="54" fillId="11" borderId="155" xfId="0" quotePrefix="1" applyFont="1" applyFill="1" applyBorder="1" applyAlignment="1">
      <alignment horizontal="left"/>
    </xf>
    <xf numFmtId="0" fontId="123" fillId="0" borderId="0" xfId="0" applyFont="1" applyBorder="1" applyAlignment="1">
      <alignment horizontal="center" vertical="center" wrapText="1"/>
    </xf>
    <xf numFmtId="0" fontId="133" fillId="0" borderId="0" xfId="0" applyFont="1" applyBorder="1" applyAlignment="1">
      <alignment horizontal="left" vertical="top" wrapText="1"/>
    </xf>
    <xf numFmtId="0" fontId="55" fillId="19" borderId="207" xfId="0" applyFont="1" applyFill="1" applyBorder="1" applyAlignment="1">
      <alignment horizontal="center" wrapText="1"/>
    </xf>
    <xf numFmtId="0" fontId="55" fillId="19" borderId="130" xfId="0" applyFont="1" applyFill="1" applyBorder="1" applyAlignment="1">
      <alignment horizontal="center" wrapText="1"/>
    </xf>
    <xf numFmtId="0" fontId="54" fillId="9" borderId="155" xfId="0" quotePrefix="1" applyFont="1" applyFill="1" applyBorder="1" applyAlignment="1">
      <alignment horizontal="left"/>
    </xf>
    <xf numFmtId="0" fontId="54" fillId="9" borderId="0" xfId="0" quotePrefix="1" applyFont="1" applyFill="1" applyBorder="1" applyAlignment="1">
      <alignment horizontal="left"/>
    </xf>
    <xf numFmtId="0" fontId="91" fillId="26" borderId="127" xfId="0" applyFont="1" applyFill="1" applyBorder="1" applyAlignment="1">
      <alignment horizontal="left" vertical="center"/>
    </xf>
    <xf numFmtId="0" fontId="91" fillId="26" borderId="124" xfId="0" applyFont="1" applyFill="1" applyBorder="1" applyAlignment="1">
      <alignment horizontal="left" vertical="center"/>
    </xf>
    <xf numFmtId="0" fontId="54" fillId="11" borderId="385" xfId="0" quotePrefix="1" applyFont="1" applyFill="1" applyBorder="1" applyAlignment="1">
      <alignment horizontal="left"/>
    </xf>
    <xf numFmtId="9" fontId="55" fillId="19" borderId="161" xfId="0" applyNumberFormat="1" applyFont="1" applyFill="1" applyBorder="1" applyAlignment="1">
      <alignment horizontal="center"/>
    </xf>
    <xf numFmtId="9" fontId="55" fillId="19" borderId="162" xfId="0" applyNumberFormat="1" applyFont="1" applyFill="1" applyBorder="1" applyAlignment="1">
      <alignment horizontal="center"/>
    </xf>
    <xf numFmtId="9" fontId="55" fillId="19" borderId="209" xfId="0" applyNumberFormat="1" applyFont="1" applyFill="1" applyBorder="1" applyAlignment="1">
      <alignment horizontal="center"/>
    </xf>
    <xf numFmtId="9" fontId="55" fillId="19" borderId="191" xfId="0" applyNumberFormat="1" applyFont="1" applyFill="1" applyBorder="1" applyAlignment="1">
      <alignment horizontal="center"/>
    </xf>
    <xf numFmtId="9" fontId="55" fillId="19" borderId="173" xfId="0" applyNumberFormat="1" applyFont="1" applyFill="1" applyBorder="1" applyAlignment="1">
      <alignment horizontal="center"/>
    </xf>
    <xf numFmtId="9" fontId="55" fillId="19" borderId="208" xfId="0" applyNumberFormat="1" applyFont="1" applyFill="1" applyBorder="1" applyAlignment="1">
      <alignment horizontal="center"/>
    </xf>
    <xf numFmtId="0" fontId="132" fillId="0" borderId="305" xfId="0" applyFont="1" applyFill="1" applyBorder="1" applyAlignment="1">
      <alignment horizontal="left"/>
    </xf>
    <xf numFmtId="0" fontId="132" fillId="0" borderId="220" xfId="0" applyFont="1" applyFill="1" applyBorder="1" applyAlignment="1">
      <alignment horizontal="left"/>
    </xf>
    <xf numFmtId="0" fontId="132" fillId="0" borderId="310" xfId="0" applyFont="1" applyFill="1" applyBorder="1" applyAlignment="1">
      <alignment horizontal="left"/>
    </xf>
    <xf numFmtId="0" fontId="132" fillId="0" borderId="35" xfId="0" applyFont="1" applyFill="1" applyBorder="1" applyAlignment="1">
      <alignment horizontal="left"/>
    </xf>
    <xf numFmtId="0" fontId="65" fillId="16" borderId="0" xfId="0" applyFont="1" applyFill="1" applyBorder="1" applyAlignment="1">
      <alignment horizontal="center" vertical="center" wrapText="1"/>
    </xf>
    <xf numFmtId="0" fontId="65" fillId="16" borderId="97" xfId="0" applyFont="1" applyFill="1" applyBorder="1" applyAlignment="1">
      <alignment horizontal="center" vertical="center" wrapText="1"/>
    </xf>
    <xf numFmtId="0" fontId="55" fillId="0" borderId="0" xfId="0" applyFont="1" applyFill="1" applyBorder="1" applyAlignment="1">
      <alignment horizontal="center" vertical="center"/>
    </xf>
    <xf numFmtId="0" fontId="57" fillId="0" borderId="0" xfId="0" applyFont="1" applyFill="1" applyAlignment="1">
      <alignment horizontal="left" vertical="top" wrapText="1"/>
    </xf>
    <xf numFmtId="0" fontId="55" fillId="18" borderId="287" xfId="0" applyFont="1" applyFill="1" applyBorder="1" applyAlignment="1">
      <alignment horizontal="center"/>
    </xf>
    <xf numFmtId="0" fontId="54" fillId="26" borderId="305" xfId="0" applyFont="1" applyFill="1" applyBorder="1" applyAlignment="1">
      <alignment horizontal="center"/>
    </xf>
    <xf numFmtId="0" fontId="54" fillId="26" borderId="220" xfId="0" applyFont="1" applyFill="1" applyBorder="1" applyAlignment="1">
      <alignment horizontal="center"/>
    </xf>
    <xf numFmtId="0" fontId="55" fillId="18" borderId="308" xfId="0" applyFont="1" applyFill="1" applyBorder="1" applyAlignment="1">
      <alignment horizontal="center" wrapText="1"/>
    </xf>
    <xf numFmtId="0" fontId="55" fillId="18" borderId="309" xfId="0" applyFont="1" applyFill="1" applyBorder="1" applyAlignment="1">
      <alignment horizontal="center" wrapText="1"/>
    </xf>
    <xf numFmtId="0" fontId="106" fillId="0" borderId="0" xfId="0" applyFont="1" applyBorder="1" applyAlignment="1">
      <alignment horizontal="left" vertical="top" wrapText="1"/>
    </xf>
    <xf numFmtId="0" fontId="107" fillId="27" borderId="41" xfId="0" applyFont="1" applyFill="1" applyBorder="1" applyAlignment="1">
      <alignment horizontal="center" vertical="center" wrapText="1"/>
    </xf>
    <xf numFmtId="0" fontId="107" fillId="27" borderId="34" xfId="0" applyFont="1" applyFill="1" applyBorder="1" applyAlignment="1">
      <alignment horizontal="center" vertical="center" wrapText="1"/>
    </xf>
    <xf numFmtId="0" fontId="107" fillId="27" borderId="131" xfId="0" applyFont="1" applyFill="1" applyBorder="1" applyAlignment="1">
      <alignment horizontal="center" vertical="center" wrapText="1"/>
    </xf>
    <xf numFmtId="0" fontId="103" fillId="26" borderId="301" xfId="0" applyFont="1" applyFill="1" applyBorder="1" applyAlignment="1">
      <alignment horizontal="left" vertical="center" wrapText="1"/>
    </xf>
    <xf numFmtId="0" fontId="103" fillId="26" borderId="302" xfId="0" applyFont="1" applyFill="1" applyBorder="1" applyAlignment="1">
      <alignment horizontal="left" vertical="center" wrapText="1"/>
    </xf>
    <xf numFmtId="9" fontId="55" fillId="18" borderId="301" xfId="33" applyFont="1" applyFill="1" applyBorder="1" applyAlignment="1">
      <alignment horizontal="center"/>
    </xf>
    <xf numFmtId="9" fontId="55" fillId="18" borderId="287" xfId="33" applyFont="1" applyFill="1" applyBorder="1" applyAlignment="1">
      <alignment horizontal="center"/>
    </xf>
    <xf numFmtId="9" fontId="55" fillId="18" borderId="302" xfId="33" applyFont="1" applyFill="1" applyBorder="1" applyAlignment="1">
      <alignment horizontal="center"/>
    </xf>
    <xf numFmtId="0" fontId="54" fillId="0" borderId="305" xfId="0" quotePrefix="1" applyFont="1" applyBorder="1" applyAlignment="1">
      <alignment horizontal="left"/>
    </xf>
    <xf numFmtId="0" fontId="91" fillId="25" borderId="122" xfId="0" applyFont="1" applyFill="1" applyBorder="1" applyAlignment="1">
      <alignment horizontal="left" vertical="center" wrapText="1"/>
    </xf>
    <xf numFmtId="0" fontId="91" fillId="25" borderId="109" xfId="0" applyFont="1" applyFill="1" applyBorder="1" applyAlignment="1">
      <alignment horizontal="left" vertical="center" wrapText="1"/>
    </xf>
    <xf numFmtId="0" fontId="55" fillId="18" borderId="301" xfId="0" applyFont="1" applyFill="1" applyBorder="1" applyAlignment="1">
      <alignment horizontal="center"/>
    </xf>
    <xf numFmtId="0" fontId="55" fillId="18" borderId="302" xfId="0" applyFont="1" applyFill="1" applyBorder="1" applyAlignment="1">
      <alignment horizontal="center"/>
    </xf>
    <xf numFmtId="0" fontId="55" fillId="17" borderId="107" xfId="0" applyFont="1" applyFill="1" applyBorder="1" applyAlignment="1">
      <alignment horizontal="center" vertical="center"/>
    </xf>
    <xf numFmtId="0" fontId="55" fillId="17" borderId="113" xfId="0" applyFont="1" applyFill="1" applyBorder="1" applyAlignment="1">
      <alignment horizontal="center" vertical="center"/>
    </xf>
    <xf numFmtId="0" fontId="55" fillId="17" borderId="286" xfId="0" applyFont="1" applyFill="1" applyBorder="1" applyAlignment="1">
      <alignment horizontal="center" vertical="center"/>
    </xf>
    <xf numFmtId="0" fontId="55" fillId="17" borderId="280" xfId="0" applyFont="1" applyFill="1" applyBorder="1" applyAlignment="1">
      <alignment horizontal="center" vertical="center"/>
    </xf>
    <xf numFmtId="0" fontId="55" fillId="17" borderId="324" xfId="0" applyFont="1" applyFill="1" applyBorder="1" applyAlignment="1">
      <alignment horizontal="center" vertical="center" wrapText="1"/>
    </xf>
    <xf numFmtId="0" fontId="55" fillId="17" borderId="283" xfId="0" applyFont="1" applyFill="1" applyBorder="1" applyAlignment="1">
      <alignment horizontal="center" vertical="center" wrapText="1"/>
    </xf>
    <xf numFmtId="0" fontId="55" fillId="17" borderId="404" xfId="0" applyFont="1" applyFill="1" applyBorder="1" applyAlignment="1">
      <alignment horizontal="center" vertical="center" wrapText="1"/>
    </xf>
    <xf numFmtId="0" fontId="91" fillId="25" borderId="41" xfId="0" applyFont="1" applyFill="1" applyBorder="1" applyAlignment="1">
      <alignment horizontal="left" vertical="center" wrapText="1"/>
    </xf>
    <xf numFmtId="0" fontId="91" fillId="25" borderId="34" xfId="0" applyFont="1" applyFill="1" applyBorder="1" applyAlignment="1">
      <alignment horizontal="left" vertical="center" wrapText="1"/>
    </xf>
    <xf numFmtId="0" fontId="55" fillId="17" borderId="29" xfId="0" applyFont="1" applyFill="1" applyBorder="1" applyAlignment="1">
      <alignment horizontal="center" vertical="center" wrapText="1"/>
    </xf>
    <xf numFmtId="0" fontId="108" fillId="12" borderId="0" xfId="0" applyFont="1" applyFill="1" applyAlignment="1">
      <alignment horizontal="center" vertical="top" wrapText="1"/>
    </xf>
    <xf numFmtId="0" fontId="65" fillId="0" borderId="12" xfId="0" applyFont="1" applyBorder="1" applyAlignment="1">
      <alignment horizontal="center"/>
    </xf>
    <xf numFmtId="0" fontId="62" fillId="14" borderId="136" xfId="0" applyFont="1" applyFill="1" applyBorder="1" applyAlignment="1" applyProtection="1">
      <alignment horizontal="center" vertical="center"/>
      <protection locked="0"/>
    </xf>
    <xf numFmtId="0" fontId="62" fillId="14" borderId="134" xfId="0" applyFont="1" applyFill="1" applyBorder="1" applyAlignment="1" applyProtection="1">
      <alignment horizontal="center" vertical="center"/>
      <protection locked="0"/>
    </xf>
    <xf numFmtId="0" fontId="62" fillId="14" borderId="15" xfId="0" applyFont="1" applyFill="1" applyBorder="1" applyAlignment="1" applyProtection="1">
      <alignment horizontal="center" vertical="center"/>
      <protection locked="0"/>
    </xf>
    <xf numFmtId="0" fontId="55" fillId="0" borderId="0" xfId="0" applyFont="1" applyAlignment="1">
      <alignment horizontal="right"/>
    </xf>
    <xf numFmtId="0" fontId="54" fillId="14" borderId="0" xfId="0" applyFont="1" applyFill="1" applyAlignment="1">
      <alignment horizontal="left"/>
    </xf>
    <xf numFmtId="0" fontId="62" fillId="0" borderId="0" xfId="0" applyFont="1" applyAlignment="1">
      <alignment horizontal="right"/>
    </xf>
    <xf numFmtId="0" fontId="65" fillId="16" borderId="40" xfId="0" applyFont="1" applyFill="1" applyBorder="1" applyAlignment="1">
      <alignment horizontal="center" vertical="center" wrapText="1"/>
    </xf>
    <xf numFmtId="0" fontId="65" fillId="16" borderId="95" xfId="0" applyFont="1" applyFill="1" applyBorder="1" applyAlignment="1">
      <alignment horizontal="center" vertical="center" wrapText="1"/>
    </xf>
    <xf numFmtId="0" fontId="65" fillId="16" borderId="96" xfId="0" applyFont="1" applyFill="1" applyBorder="1" applyAlignment="1">
      <alignment horizontal="center" vertical="center" wrapText="1"/>
    </xf>
    <xf numFmtId="9" fontId="94" fillId="0" borderId="0" xfId="33" applyFont="1" applyAlignment="1">
      <alignment horizontal="center" vertical="center"/>
    </xf>
    <xf numFmtId="0" fontId="55" fillId="0" borderId="0" xfId="0" applyFont="1" applyAlignment="1">
      <alignment horizontal="center"/>
    </xf>
    <xf numFmtId="0" fontId="93" fillId="0" borderId="34" xfId="0" applyFont="1" applyBorder="1" applyAlignment="1">
      <alignment horizontal="left"/>
    </xf>
    <xf numFmtId="0" fontId="93" fillId="0" borderId="0" xfId="0" applyFont="1" applyBorder="1" applyAlignment="1">
      <alignment horizontal="left"/>
    </xf>
    <xf numFmtId="0" fontId="93" fillId="0" borderId="299" xfId="0" applyFont="1" applyBorder="1" applyAlignment="1">
      <alignment horizontal="left"/>
    </xf>
    <xf numFmtId="0" fontId="93" fillId="0" borderId="288" xfId="0" applyFont="1" applyBorder="1" applyAlignment="1">
      <alignment horizontal="left"/>
    </xf>
    <xf numFmtId="171" fontId="95" fillId="0" borderId="0" xfId="1" applyNumberFormat="1" applyFont="1" applyAlignment="1">
      <alignment horizontal="center" vertical="center"/>
    </xf>
    <xf numFmtId="0" fontId="96" fillId="27" borderId="41" xfId="0" applyFont="1" applyFill="1" applyBorder="1" applyAlignment="1">
      <alignment horizontal="left" vertical="center"/>
    </xf>
    <xf numFmtId="0" fontId="96" fillId="27" borderId="40" xfId="0" applyFont="1" applyFill="1" applyBorder="1" applyAlignment="1">
      <alignment horizontal="left" vertical="center"/>
    </xf>
    <xf numFmtId="0" fontId="96" fillId="27" borderId="34" xfId="0" applyFont="1" applyFill="1" applyBorder="1" applyAlignment="1">
      <alignment horizontal="left" vertical="center"/>
    </xf>
    <xf numFmtId="0" fontId="96" fillId="27" borderId="0" xfId="0" applyFont="1" applyFill="1" applyBorder="1" applyAlignment="1">
      <alignment horizontal="left" vertical="center"/>
    </xf>
    <xf numFmtId="0" fontId="96" fillId="27" borderId="36" xfId="0" applyFont="1" applyFill="1" applyBorder="1" applyAlignment="1">
      <alignment horizontal="left" vertical="center"/>
    </xf>
    <xf numFmtId="0" fontId="96" fillId="27" borderId="12" xfId="0" applyFont="1" applyFill="1" applyBorder="1" applyAlignment="1">
      <alignment horizontal="left" vertical="center"/>
    </xf>
    <xf numFmtId="0" fontId="62" fillId="6" borderId="29" xfId="0" applyFont="1" applyFill="1" applyBorder="1" applyAlignment="1">
      <alignment horizontal="center" vertical="center"/>
    </xf>
    <xf numFmtId="0" fontId="62" fillId="6" borderId="31" xfId="0" applyFont="1" applyFill="1" applyBorder="1" applyAlignment="1">
      <alignment horizontal="center" vertical="center"/>
    </xf>
    <xf numFmtId="0" fontId="55" fillId="6" borderId="41" xfId="0" applyFont="1" applyFill="1" applyBorder="1" applyAlignment="1">
      <alignment horizontal="center" vertical="center" wrapText="1"/>
    </xf>
    <xf numFmtId="0" fontId="55" fillId="6" borderId="64" xfId="0" applyFont="1" applyFill="1" applyBorder="1" applyAlignment="1">
      <alignment horizontal="center" vertical="center" wrapText="1"/>
    </xf>
    <xf numFmtId="0" fontId="55" fillId="6" borderId="36"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3" fillId="0" borderId="301" xfId="0" applyFont="1" applyBorder="1" applyAlignment="1">
      <alignment horizontal="left"/>
    </xf>
    <xf numFmtId="0" fontId="93" fillId="0" borderId="287" xfId="0" applyFont="1" applyBorder="1" applyAlignment="1">
      <alignment horizontal="left"/>
    </xf>
    <xf numFmtId="0" fontId="117" fillId="9" borderId="0" xfId="0" applyFont="1" applyFill="1" applyAlignment="1">
      <alignment horizontal="left" vertical="top" wrapText="1"/>
    </xf>
    <xf numFmtId="0" fontId="54" fillId="0" borderId="0" xfId="0" applyFont="1" applyBorder="1" applyAlignment="1">
      <alignment horizontal="center"/>
    </xf>
    <xf numFmtId="0" fontId="54" fillId="10" borderId="301" xfId="0" applyFont="1" applyFill="1" applyBorder="1" applyAlignment="1">
      <alignment horizontal="left"/>
    </xf>
    <xf numFmtId="0" fontId="54" fillId="10" borderId="331" xfId="0" applyFont="1" applyFill="1" applyBorder="1" applyAlignment="1">
      <alignment horizontal="left"/>
    </xf>
    <xf numFmtId="0" fontId="54" fillId="10" borderId="336" xfId="0" applyFont="1" applyFill="1" applyBorder="1" applyAlignment="1">
      <alignment horizontal="left"/>
    </xf>
    <xf numFmtId="0" fontId="55" fillId="10" borderId="325" xfId="0" applyFont="1" applyFill="1" applyBorder="1" applyAlignment="1">
      <alignment horizontal="center" vertical="center" wrapText="1"/>
    </xf>
    <xf numFmtId="0" fontId="55" fillId="10" borderId="311" xfId="0" applyFont="1" applyFill="1" applyBorder="1" applyAlignment="1">
      <alignment horizontal="center" vertical="center" wrapText="1"/>
    </xf>
    <xf numFmtId="0" fontId="54" fillId="0" borderId="0" xfId="0" applyNumberFormat="1" applyFont="1" applyAlignment="1">
      <alignment horizontal="left" wrapText="1"/>
    </xf>
    <xf numFmtId="0" fontId="54" fillId="0" borderId="0" xfId="0" applyFont="1" applyAlignment="1">
      <alignment horizontal="left" wrapText="1"/>
    </xf>
    <xf numFmtId="49" fontId="54" fillId="0" borderId="0" xfId="0" applyNumberFormat="1" applyFont="1" applyAlignment="1">
      <alignment horizontal="left" wrapText="1"/>
    </xf>
    <xf numFmtId="0" fontId="96" fillId="28" borderId="301" xfId="0" applyFont="1" applyFill="1" applyBorder="1" applyAlignment="1">
      <alignment horizontal="left" vertical="center" wrapText="1"/>
    </xf>
    <xf numFmtId="0" fontId="96" fillId="28" borderId="331" xfId="0" applyFont="1" applyFill="1" applyBorder="1" applyAlignment="1">
      <alignment horizontal="left" vertical="center" wrapText="1"/>
    </xf>
    <xf numFmtId="0" fontId="96" fillId="28" borderId="336" xfId="0" applyFont="1" applyFill="1" applyBorder="1" applyAlignment="1">
      <alignment horizontal="left" vertical="center" wrapText="1"/>
    </xf>
    <xf numFmtId="0" fontId="57"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5" fillId="10" borderId="337" xfId="0" applyFont="1" applyFill="1" applyBorder="1" applyAlignment="1">
      <alignment horizontal="center" vertical="center"/>
    </xf>
    <xf numFmtId="0" fontId="55" fillId="10" borderId="331" xfId="0" applyFont="1" applyFill="1" applyBorder="1" applyAlignment="1">
      <alignment horizontal="center" vertical="center"/>
    </xf>
    <xf numFmtId="0" fontId="55" fillId="10" borderId="336" xfId="0" applyFont="1" applyFill="1" applyBorder="1" applyAlignment="1">
      <alignment horizontal="center" vertical="center"/>
    </xf>
    <xf numFmtId="0" fontId="55" fillId="10" borderId="326" xfId="0" applyFont="1" applyFill="1" applyBorder="1" applyAlignment="1">
      <alignment horizontal="center" vertical="center" wrapText="1"/>
    </xf>
    <xf numFmtId="0" fontId="55" fillId="10" borderId="331" xfId="0" applyFont="1" applyFill="1" applyBorder="1" applyAlignment="1">
      <alignment horizontal="center" vertical="center" wrapText="1"/>
    </xf>
    <xf numFmtId="0" fontId="55" fillId="10" borderId="335" xfId="0" applyFont="1" applyFill="1" applyBorder="1" applyAlignment="1">
      <alignment horizontal="center" vertical="center" wrapText="1"/>
    </xf>
    <xf numFmtId="0" fontId="78" fillId="0" borderId="0" xfId="0" applyFont="1" applyAlignment="1">
      <alignment horizontal="center" vertical="center" wrapText="1"/>
    </xf>
    <xf numFmtId="0" fontId="54" fillId="0" borderId="0" xfId="0" applyFont="1" applyAlignment="1">
      <alignment horizontal="center"/>
    </xf>
    <xf numFmtId="0" fontId="55" fillId="33" borderId="366" xfId="0" applyFont="1" applyFill="1" applyBorder="1" applyAlignment="1"/>
    <xf numFmtId="0" fontId="55" fillId="33" borderId="0" xfId="0" applyFont="1" applyFill="1" applyBorder="1" applyAlignment="1"/>
    <xf numFmtId="0" fontId="74" fillId="15" borderId="370" xfId="0" applyFont="1" applyFill="1" applyBorder="1" applyAlignment="1"/>
    <xf numFmtId="0" fontId="74" fillId="15" borderId="289" xfId="0" applyFont="1" applyFill="1" applyBorder="1" applyAlignment="1"/>
    <xf numFmtId="0" fontId="74" fillId="15" borderId="368" xfId="0" applyFont="1" applyFill="1" applyBorder="1" applyAlignment="1"/>
    <xf numFmtId="0" fontId="74" fillId="15" borderId="149" xfId="0" applyFont="1" applyFill="1" applyBorder="1" applyAlignment="1"/>
    <xf numFmtId="0" fontId="57" fillId="0" borderId="0" xfId="0" applyFont="1" applyBorder="1" applyAlignment="1">
      <alignment horizontal="left"/>
    </xf>
    <xf numFmtId="0" fontId="55" fillId="33" borderId="372" xfId="0" applyFont="1" applyFill="1" applyBorder="1" applyAlignment="1"/>
    <xf numFmtId="0" fontId="55" fillId="33" borderId="288" xfId="0" applyFont="1" applyFill="1" applyBorder="1" applyAlignment="1"/>
    <xf numFmtId="0" fontId="54" fillId="9" borderId="366" xfId="0" applyFont="1" applyFill="1" applyBorder="1" applyAlignment="1">
      <alignment horizontal="left" indent="1"/>
    </xf>
    <xf numFmtId="0" fontId="54" fillId="9" borderId="0" xfId="0" applyFont="1" applyFill="1" applyBorder="1" applyAlignment="1">
      <alignment horizontal="left" indent="1"/>
    </xf>
    <xf numFmtId="0" fontId="54" fillId="9" borderId="220" xfId="0" applyFont="1" applyFill="1" applyBorder="1" applyAlignment="1">
      <alignment horizontal="left" indent="1"/>
    </xf>
    <xf numFmtId="0" fontId="57" fillId="0" borderId="40" xfId="0" applyFont="1" applyBorder="1" applyAlignment="1">
      <alignment horizontal="center" vertical="top" wrapText="1"/>
    </xf>
    <xf numFmtId="0" fontId="104" fillId="29" borderId="133" xfId="0" applyFont="1" applyFill="1" applyBorder="1" applyAlignment="1">
      <alignment horizontal="center" vertical="center" wrapText="1"/>
    </xf>
    <xf numFmtId="0" fontId="107" fillId="29" borderId="28" xfId="0" applyFont="1" applyFill="1" applyBorder="1" applyAlignment="1">
      <alignment horizontal="center" vertical="top" wrapText="1"/>
    </xf>
    <xf numFmtId="0" fontId="107" fillId="29" borderId="136" xfId="0" applyFont="1" applyFill="1" applyBorder="1" applyAlignment="1">
      <alignment horizontal="center" vertical="top"/>
    </xf>
    <xf numFmtId="0" fontId="107" fillId="29" borderId="134" xfId="0" applyFont="1" applyFill="1" applyBorder="1" applyAlignment="1">
      <alignment horizontal="center" vertical="top"/>
    </xf>
    <xf numFmtId="0" fontId="107" fillId="29" borderId="15" xfId="0" applyFont="1" applyFill="1" applyBorder="1" applyAlignment="1">
      <alignment horizontal="center" vertical="top"/>
    </xf>
    <xf numFmtId="9" fontId="114" fillId="0" borderId="0" xfId="0" applyNumberFormat="1" applyFont="1" applyAlignment="1">
      <alignment horizontal="center" vertical="center"/>
    </xf>
    <xf numFmtId="0" fontId="55" fillId="17" borderId="107" xfId="0" applyFont="1" applyFill="1" applyBorder="1" applyAlignment="1">
      <alignment horizontal="center" vertical="center" wrapText="1"/>
    </xf>
    <xf numFmtId="0" fontId="55" fillId="17" borderId="113" xfId="0" applyFont="1" applyFill="1" applyBorder="1" applyAlignment="1">
      <alignment horizontal="center" vertical="center" wrapText="1"/>
    </xf>
    <xf numFmtId="0" fontId="55" fillId="17" borderId="286" xfId="0" applyFont="1" applyFill="1" applyBorder="1" applyAlignment="1">
      <alignment horizontal="center" vertical="center" wrapText="1"/>
    </xf>
    <xf numFmtId="0" fontId="55" fillId="17" borderId="280" xfId="0" applyFont="1" applyFill="1" applyBorder="1" applyAlignment="1">
      <alignment horizontal="center" vertical="center" wrapText="1"/>
    </xf>
    <xf numFmtId="0" fontId="55" fillId="19" borderId="123" xfId="0" applyFont="1" applyFill="1" applyBorder="1" applyAlignment="1">
      <alignment horizontal="center" wrapText="1"/>
    </xf>
    <xf numFmtId="0" fontId="55" fillId="19" borderId="158" xfId="0" applyFont="1" applyFill="1" applyBorder="1" applyAlignment="1">
      <alignment horizontal="center" wrapText="1"/>
    </xf>
    <xf numFmtId="0" fontId="55" fillId="19" borderId="189" xfId="0" applyFont="1" applyFill="1" applyBorder="1" applyAlignment="1">
      <alignment horizontal="center" wrapText="1"/>
    </xf>
    <xf numFmtId="0" fontId="55" fillId="19" borderId="192" xfId="0" applyFont="1" applyFill="1" applyBorder="1" applyAlignment="1">
      <alignment horizontal="center" wrapText="1"/>
    </xf>
    <xf numFmtId="0" fontId="55" fillId="19" borderId="187" xfId="0" applyFont="1" applyFill="1" applyBorder="1" applyAlignment="1">
      <alignment horizontal="center" wrapText="1"/>
    </xf>
    <xf numFmtId="0" fontId="55" fillId="19" borderId="189" xfId="0" applyFont="1" applyFill="1" applyBorder="1" applyAlignment="1">
      <alignment horizontal="center"/>
    </xf>
    <xf numFmtId="0" fontId="55" fillId="19" borderId="192" xfId="0" applyFont="1" applyFill="1" applyBorder="1" applyAlignment="1">
      <alignment horizontal="center"/>
    </xf>
    <xf numFmtId="0" fontId="54" fillId="0" borderId="109" xfId="0" applyFont="1" applyFill="1" applyBorder="1" applyAlignment="1">
      <alignment horizontal="left"/>
    </xf>
    <xf numFmtId="0" fontId="54" fillId="0" borderId="0" xfId="0" applyFont="1" applyFill="1" applyBorder="1" applyAlignment="1">
      <alignment horizontal="left"/>
    </xf>
    <xf numFmtId="0" fontId="54" fillId="0" borderId="220" xfId="0" quotePrefix="1" applyFont="1" applyFill="1" applyBorder="1" applyAlignment="1">
      <alignment horizontal="left"/>
    </xf>
    <xf numFmtId="0" fontId="55" fillId="0" borderId="0" xfId="0" applyFont="1" applyFill="1" applyBorder="1" applyAlignment="1">
      <alignment horizontal="center" vertical="center" wrapText="1"/>
    </xf>
    <xf numFmtId="0" fontId="91" fillId="26" borderId="122" xfId="0" applyFont="1" applyFill="1" applyBorder="1" applyAlignment="1">
      <alignment horizontal="left" vertical="center" wrapText="1"/>
    </xf>
    <xf numFmtId="0" fontId="91" fillId="26" borderId="125" xfId="0" applyFont="1" applyFill="1" applyBorder="1" applyAlignment="1">
      <alignment horizontal="left" vertical="center" wrapText="1"/>
    </xf>
    <xf numFmtId="0" fontId="91" fillId="26" borderId="164" xfId="0" applyFont="1" applyFill="1" applyBorder="1" applyAlignment="1">
      <alignment horizontal="left" vertical="center" wrapText="1"/>
    </xf>
    <xf numFmtId="0" fontId="91" fillId="26" borderId="165" xfId="0" applyFont="1" applyFill="1" applyBorder="1" applyAlignment="1">
      <alignment horizontal="left" vertical="center" wrapText="1"/>
    </xf>
    <xf numFmtId="0" fontId="91" fillId="26" borderId="160" xfId="0" applyFont="1" applyFill="1" applyBorder="1" applyAlignment="1">
      <alignment horizontal="left" vertical="center" wrapText="1"/>
    </xf>
    <xf numFmtId="0" fontId="91" fillId="26" borderId="157" xfId="0" applyFont="1" applyFill="1" applyBorder="1" applyAlignment="1">
      <alignment horizontal="left" vertical="center" wrapText="1"/>
    </xf>
    <xf numFmtId="2" fontId="123" fillId="0" borderId="0" xfId="0" applyNumberFormat="1" applyFont="1" applyBorder="1" applyAlignment="1">
      <alignment horizontal="center" vertical="center" wrapText="1"/>
    </xf>
    <xf numFmtId="0" fontId="54" fillId="0" borderId="392" xfId="0" quotePrefix="1" applyFont="1" applyFill="1" applyBorder="1" applyAlignment="1">
      <alignment horizontal="left"/>
    </xf>
    <xf numFmtId="0" fontId="54" fillId="0" borderId="311" xfId="0" quotePrefix="1" applyFont="1" applyFill="1" applyBorder="1" applyAlignment="1">
      <alignment horizontal="left"/>
    </xf>
    <xf numFmtId="0" fontId="57" fillId="0" borderId="40" xfId="0" applyFont="1" applyFill="1" applyBorder="1" applyAlignment="1">
      <alignment horizontal="left" vertical="top" wrapText="1"/>
    </xf>
    <xf numFmtId="0" fontId="54" fillId="0" borderId="120" xfId="0" applyFont="1" applyFill="1" applyBorder="1" applyAlignment="1">
      <alignment horizontal="left"/>
    </xf>
    <xf numFmtId="0" fontId="54" fillId="0" borderId="121" xfId="0" applyFont="1" applyFill="1" applyBorder="1" applyAlignment="1">
      <alignment horizontal="left"/>
    </xf>
    <xf numFmtId="0" fontId="54" fillId="0" borderId="33" xfId="0" applyFont="1" applyFill="1" applyBorder="1" applyAlignment="1">
      <alignment horizontal="left"/>
    </xf>
    <xf numFmtId="0" fontId="96" fillId="31" borderId="357" xfId="0" applyFont="1" applyFill="1" applyBorder="1" applyAlignment="1">
      <alignment horizontal="left" wrapText="1"/>
    </xf>
    <xf numFmtId="0" fontId="96" fillId="31" borderId="358" xfId="0" applyFont="1" applyFill="1" applyBorder="1" applyAlignment="1">
      <alignment horizontal="left" wrapText="1"/>
    </xf>
    <xf numFmtId="0" fontId="96" fillId="31" borderId="359" xfId="0" applyFont="1" applyFill="1" applyBorder="1" applyAlignment="1">
      <alignment horizontal="left" wrapText="1"/>
    </xf>
    <xf numFmtId="0" fontId="55" fillId="33" borderId="366" xfId="0" applyFont="1" applyFill="1" applyBorder="1" applyAlignment="1">
      <alignment horizontal="left"/>
    </xf>
    <xf numFmtId="0" fontId="55" fillId="33" borderId="0" xfId="0" applyFont="1" applyFill="1" applyBorder="1" applyAlignment="1">
      <alignment horizontal="left"/>
    </xf>
    <xf numFmtId="0" fontId="121" fillId="31" borderId="364" xfId="0" applyFont="1" applyFill="1" applyBorder="1" applyAlignment="1">
      <alignment horizontal="left" wrapText="1"/>
    </xf>
    <xf numFmtId="0" fontId="121" fillId="31" borderId="121" xfId="0" applyFont="1" applyFill="1" applyBorder="1" applyAlignment="1">
      <alignment horizontal="left" wrapText="1"/>
    </xf>
    <xf numFmtId="0" fontId="121" fillId="31" borderId="217" xfId="0" applyFont="1" applyFill="1" applyBorder="1" applyAlignment="1">
      <alignment horizontal="left" wrapText="1"/>
    </xf>
    <xf numFmtId="0" fontId="55" fillId="32" borderId="362" xfId="0" applyFont="1" applyFill="1" applyBorder="1" applyAlignment="1">
      <alignment horizontal="center" vertical="center" wrapText="1"/>
    </xf>
    <xf numFmtId="0" fontId="55" fillId="32" borderId="342" xfId="0" applyFont="1" applyFill="1" applyBorder="1" applyAlignment="1">
      <alignment horizontal="center" vertical="center" wrapText="1"/>
    </xf>
    <xf numFmtId="0" fontId="55" fillId="19" borderId="166" xfId="0" applyFont="1" applyFill="1" applyBorder="1" applyAlignment="1">
      <alignment horizontal="center"/>
    </xf>
    <xf numFmtId="0" fontId="55" fillId="19" borderId="187" xfId="0" applyFont="1" applyFill="1" applyBorder="1" applyAlignment="1">
      <alignment horizontal="center"/>
    </xf>
    <xf numFmtId="0" fontId="55" fillId="19" borderId="398" xfId="0" applyFont="1" applyFill="1" applyBorder="1" applyAlignment="1">
      <alignment horizontal="center"/>
    </xf>
    <xf numFmtId="0" fontId="55" fillId="19" borderId="399" xfId="0" applyFont="1" applyFill="1" applyBorder="1" applyAlignment="1">
      <alignment horizontal="center"/>
    </xf>
    <xf numFmtId="0" fontId="55" fillId="19" borderId="301" xfId="0" applyFont="1" applyFill="1" applyBorder="1" applyAlignment="1">
      <alignment horizontal="center"/>
    </xf>
    <xf numFmtId="0" fontId="55" fillId="19" borderId="287" xfId="0" applyFont="1" applyFill="1" applyBorder="1" applyAlignment="1">
      <alignment horizontal="center"/>
    </xf>
    <xf numFmtId="0" fontId="55" fillId="19" borderId="302" xfId="0" applyFont="1" applyFill="1" applyBorder="1" applyAlignment="1">
      <alignment horizontal="center"/>
    </xf>
    <xf numFmtId="0" fontId="55" fillId="32" borderId="363" xfId="0" applyFont="1" applyFill="1" applyBorder="1" applyAlignment="1">
      <alignment horizontal="center" vertical="center"/>
    </xf>
    <xf numFmtId="0" fontId="55" fillId="32" borderId="365" xfId="0" applyFont="1" applyFill="1" applyBorder="1" applyAlignment="1">
      <alignment horizontal="center" vertical="center"/>
    </xf>
    <xf numFmtId="0" fontId="54" fillId="0" borderId="161" xfId="0" applyFont="1" applyFill="1" applyBorder="1" applyAlignment="1">
      <alignment horizontal="left"/>
    </xf>
    <xf numFmtId="0" fontId="54" fillId="0" borderId="162" xfId="0" applyFont="1" applyFill="1" applyBorder="1" applyAlignment="1">
      <alignment horizontal="left"/>
    </xf>
    <xf numFmtId="0" fontId="54" fillId="0" borderId="163" xfId="0" applyFont="1" applyFill="1" applyBorder="1" applyAlignment="1">
      <alignment horizontal="left"/>
    </xf>
    <xf numFmtId="0" fontId="55" fillId="32" borderId="360" xfId="0" applyFont="1" applyFill="1" applyBorder="1" applyAlignment="1">
      <alignment horizontal="center" vertical="center"/>
    </xf>
    <xf numFmtId="0" fontId="55" fillId="32" borderId="129" xfId="0" applyFont="1" applyFill="1" applyBorder="1" applyAlignment="1">
      <alignment horizontal="center" vertical="center"/>
    </xf>
    <xf numFmtId="0" fontId="55" fillId="32" borderId="361" xfId="0" applyFont="1" applyFill="1" applyBorder="1" applyAlignment="1">
      <alignment horizontal="center" vertical="center"/>
    </xf>
    <xf numFmtId="0" fontId="55" fillId="32" borderId="126" xfId="0" applyFont="1" applyFill="1" applyBorder="1" applyAlignment="1">
      <alignment horizontal="center" vertical="center"/>
    </xf>
    <xf numFmtId="0" fontId="55" fillId="32" borderId="361" xfId="0" applyFont="1" applyFill="1" applyBorder="1" applyAlignment="1">
      <alignment horizontal="center" vertical="center" wrapText="1"/>
    </xf>
    <xf numFmtId="0" fontId="55" fillId="32" borderId="126" xfId="0" applyFont="1" applyFill="1" applyBorder="1" applyAlignment="1">
      <alignment horizontal="center" vertical="center" wrapText="1"/>
    </xf>
    <xf numFmtId="0" fontId="55" fillId="32" borderId="132" xfId="0" applyFont="1" applyFill="1" applyBorder="1" applyAlignment="1"/>
    <xf numFmtId="0" fontId="55" fillId="32" borderId="125" xfId="0" applyFont="1" applyFill="1" applyBorder="1" applyAlignment="1"/>
    <xf numFmtId="0" fontId="57" fillId="0" borderId="40" xfId="0" applyFont="1" applyBorder="1" applyAlignment="1">
      <alignment horizontal="left"/>
    </xf>
    <xf numFmtId="0" fontId="57" fillId="0" borderId="288" xfId="0" applyFont="1" applyBorder="1" applyAlignment="1">
      <alignment horizontal="left"/>
    </xf>
    <xf numFmtId="0" fontId="55" fillId="33" borderId="155" xfId="0" applyFont="1" applyFill="1" applyBorder="1" applyAlignment="1"/>
    <xf numFmtId="0" fontId="54" fillId="9" borderId="155" xfId="0" applyFont="1" applyFill="1" applyBorder="1" applyAlignment="1">
      <alignment horizontal="left" indent="1"/>
    </xf>
    <xf numFmtId="0" fontId="121" fillId="31" borderId="131" xfId="0" applyFont="1" applyFill="1" applyBorder="1" applyAlignment="1">
      <alignment horizontal="left" wrapText="1"/>
    </xf>
    <xf numFmtId="0" fontId="74" fillId="34" borderId="148" xfId="0" applyFont="1" applyFill="1" applyBorder="1" applyAlignment="1"/>
    <xf numFmtId="0" fontId="74" fillId="34" borderId="149" xfId="0" applyFont="1" applyFill="1" applyBorder="1" applyAlignment="1"/>
    <xf numFmtId="0" fontId="74" fillId="34" borderId="155" xfId="0" applyFont="1" applyFill="1" applyBorder="1" applyAlignment="1"/>
    <xf numFmtId="0" fontId="74" fillId="34" borderId="0" xfId="0" applyFont="1" applyFill="1" applyBorder="1" applyAlignment="1"/>
    <xf numFmtId="0" fontId="62" fillId="14" borderId="379" xfId="0" applyFont="1" applyFill="1" applyBorder="1" applyAlignment="1" applyProtection="1">
      <alignment horizontal="center" vertical="center"/>
      <protection locked="0"/>
    </xf>
    <xf numFmtId="0" fontId="62" fillId="14" borderId="380" xfId="0" applyFont="1" applyFill="1" applyBorder="1" applyAlignment="1" applyProtection="1">
      <alignment horizontal="center" vertical="center"/>
      <protection locked="0"/>
    </xf>
    <xf numFmtId="0" fontId="62" fillId="0" borderId="0" xfId="0" applyFont="1" applyAlignment="1">
      <alignment horizontal="center"/>
    </xf>
    <xf numFmtId="0" fontId="62" fillId="0" borderId="220" xfId="0" applyFont="1" applyBorder="1" applyAlignment="1">
      <alignment horizontal="center"/>
    </xf>
    <xf numFmtId="0" fontId="55" fillId="32" borderId="291" xfId="0" applyFont="1" applyFill="1" applyBorder="1" applyAlignment="1">
      <alignment horizontal="center" vertical="center" wrapText="1"/>
    </xf>
    <xf numFmtId="0" fontId="55" fillId="32" borderId="18" xfId="0" applyFont="1" applyFill="1" applyBorder="1" applyAlignment="1">
      <alignment horizontal="center" vertical="center"/>
    </xf>
    <xf numFmtId="0" fontId="55" fillId="32" borderId="128" xfId="0" applyFont="1" applyFill="1" applyBorder="1" applyAlignment="1">
      <alignment horizontal="center" vertical="center"/>
    </xf>
    <xf numFmtId="0" fontId="55" fillId="33" borderId="41" xfId="0" applyFont="1" applyFill="1" applyBorder="1" applyAlignment="1"/>
    <xf numFmtId="0" fontId="55" fillId="33" borderId="40" xfId="0" applyFont="1" applyFill="1" applyBorder="1" applyAlignment="1"/>
    <xf numFmtId="0" fontId="74" fillId="34" borderId="156" xfId="0" applyFont="1" applyFill="1" applyBorder="1" applyAlignment="1"/>
    <xf numFmtId="0" fontId="74" fillId="34" borderId="160" xfId="0" applyFont="1" applyFill="1" applyBorder="1" applyAlignment="1"/>
    <xf numFmtId="0" fontId="55" fillId="33" borderId="155" xfId="0" applyFont="1" applyFill="1" applyBorder="1" applyAlignment="1">
      <alignment horizontal="left"/>
    </xf>
    <xf numFmtId="0" fontId="55" fillId="32" borderId="16" xfId="0" applyFont="1" applyFill="1" applyBorder="1" applyAlignment="1">
      <alignment horizontal="center" vertical="center"/>
    </xf>
    <xf numFmtId="0" fontId="55" fillId="32" borderId="17" xfId="0" applyFont="1" applyFill="1" applyBorder="1" applyAlignment="1">
      <alignment horizontal="center" vertical="center"/>
    </xf>
    <xf numFmtId="0" fontId="55" fillId="32" borderId="17" xfId="0" applyFont="1" applyFill="1" applyBorder="1" applyAlignment="1">
      <alignment horizontal="center" vertical="center" wrapText="1"/>
    </xf>
    <xf numFmtId="0" fontId="96" fillId="31" borderId="191" xfId="0" applyFont="1" applyFill="1" applyBorder="1" applyAlignment="1">
      <alignment horizontal="left" wrapText="1"/>
    </xf>
    <xf numFmtId="0" fontId="96" fillId="31" borderId="173" xfId="0" applyFont="1" applyFill="1" applyBorder="1" applyAlignment="1">
      <alignment horizontal="left" wrapText="1"/>
    </xf>
    <xf numFmtId="0" fontId="96" fillId="31" borderId="181" xfId="0" applyFont="1" applyFill="1" applyBorder="1" applyAlignment="1">
      <alignment horizontal="left" wrapText="1"/>
    </xf>
    <xf numFmtId="9" fontId="52" fillId="0" borderId="41" xfId="33" applyFont="1" applyBorder="1" applyAlignment="1">
      <alignment horizontal="center"/>
    </xf>
    <xf numFmtId="9" fontId="52" fillId="0" borderId="40" xfId="33" applyFont="1" applyBorder="1" applyAlignment="1">
      <alignment horizontal="center"/>
    </xf>
    <xf numFmtId="9" fontId="52" fillId="0" borderId="64" xfId="33" applyFont="1" applyBorder="1" applyAlignment="1">
      <alignment horizontal="center"/>
    </xf>
    <xf numFmtId="176" fontId="52" fillId="0" borderId="41" xfId="3" applyNumberFormat="1" applyFont="1" applyBorder="1" applyAlignment="1">
      <alignment horizontal="center"/>
    </xf>
    <xf numFmtId="176" fontId="52" fillId="0" borderId="40" xfId="3" applyNumberFormat="1" applyFont="1" applyBorder="1" applyAlignment="1">
      <alignment horizontal="center"/>
    </xf>
    <xf numFmtId="176" fontId="52" fillId="0" borderId="288" xfId="3" applyNumberFormat="1" applyFont="1" applyBorder="1" applyAlignment="1">
      <alignment horizontal="center"/>
    </xf>
    <xf numFmtId="176" fontId="52" fillId="0" borderId="64" xfId="3" applyNumberFormat="1" applyFont="1" applyBorder="1" applyAlignment="1">
      <alignment horizontal="center"/>
    </xf>
    <xf numFmtId="0" fontId="52" fillId="0" borderId="41" xfId="0" applyFont="1" applyBorder="1" applyAlignment="1">
      <alignment horizontal="center"/>
    </xf>
    <xf numFmtId="0" fontId="52" fillId="0" borderId="40" xfId="0" applyFont="1" applyBorder="1" applyAlignment="1">
      <alignment horizontal="center"/>
    </xf>
    <xf numFmtId="0" fontId="52" fillId="0" borderId="288" xfId="0" applyFont="1" applyBorder="1" applyAlignment="1">
      <alignment horizontal="center"/>
    </xf>
    <xf numFmtId="0" fontId="52" fillId="0" borderId="64" xfId="0" applyFont="1" applyBorder="1" applyAlignment="1">
      <alignment horizontal="center"/>
    </xf>
    <xf numFmtId="176" fontId="52" fillId="0" borderId="290" xfId="3" applyNumberFormat="1" applyFont="1" applyBorder="1" applyAlignment="1">
      <alignment horizontal="center"/>
    </xf>
    <xf numFmtId="176" fontId="52" fillId="0" borderId="291" xfId="3" applyNumberFormat="1" applyFont="1" applyBorder="1" applyAlignment="1">
      <alignment horizontal="center"/>
    </xf>
    <xf numFmtId="176" fontId="52" fillId="0" borderId="354" xfId="3" applyNumberFormat="1" applyFont="1" applyBorder="1" applyAlignment="1">
      <alignment horizontal="center"/>
    </xf>
    <xf numFmtId="176" fontId="52" fillId="0" borderId="292" xfId="3" applyNumberFormat="1" applyFont="1" applyBorder="1" applyAlignment="1">
      <alignment horizontal="center"/>
    </xf>
    <xf numFmtId="9" fontId="52" fillId="0" borderId="288" xfId="33" applyFont="1" applyBorder="1" applyAlignment="1">
      <alignment horizontal="center"/>
    </xf>
    <xf numFmtId="176" fontId="52" fillId="0" borderId="136" xfId="3" applyNumberFormat="1" applyFont="1" applyBorder="1" applyAlignment="1">
      <alignment horizontal="center"/>
    </xf>
    <xf numFmtId="176" fontId="52" fillId="0" borderId="134" xfId="3" applyNumberFormat="1" applyFont="1" applyBorder="1" applyAlignment="1">
      <alignment horizontal="center"/>
    </xf>
    <xf numFmtId="176" fontId="52" fillId="0" borderId="287" xfId="3" applyNumberFormat="1" applyFont="1" applyBorder="1" applyAlignment="1">
      <alignment horizontal="center"/>
    </xf>
    <xf numFmtId="176" fontId="52" fillId="0" borderId="15" xfId="3" applyNumberFormat="1" applyFont="1" applyBorder="1" applyAlignment="1">
      <alignment horizontal="center"/>
    </xf>
    <xf numFmtId="176" fontId="52" fillId="0" borderId="299" xfId="3" applyNumberFormat="1" applyFont="1" applyBorder="1" applyAlignment="1">
      <alignment horizontal="center"/>
    </xf>
    <xf numFmtId="176" fontId="52" fillId="0" borderId="300" xfId="3" applyNumberFormat="1" applyFont="1" applyBorder="1" applyAlignment="1">
      <alignment horizontal="center"/>
    </xf>
    <xf numFmtId="0" fontId="0" fillId="0" borderId="0" xfId="0" applyAlignment="1">
      <alignment horizontal="center"/>
    </xf>
    <xf numFmtId="0" fontId="52" fillId="0" borderId="385" xfId="0" applyFont="1" applyBorder="1" applyAlignment="1">
      <alignment horizontal="center"/>
    </xf>
    <xf numFmtId="0" fontId="52" fillId="0" borderId="0" xfId="0" applyFont="1" applyBorder="1" applyAlignment="1">
      <alignment horizontal="center"/>
    </xf>
    <xf numFmtId="0" fontId="52" fillId="0" borderId="220" xfId="0" applyFont="1" applyBorder="1" applyAlignment="1">
      <alignment horizontal="center"/>
    </xf>
    <xf numFmtId="0" fontId="52" fillId="0" borderId="0" xfId="0" applyFont="1" applyBorder="1" applyAlignment="1">
      <alignment horizontal="center" wrapText="1"/>
    </xf>
    <xf numFmtId="0" fontId="52" fillId="0" borderId="220" xfId="0" applyFont="1" applyBorder="1" applyAlignment="1">
      <alignment horizontal="center" wrapText="1"/>
    </xf>
    <xf numFmtId="9" fontId="52" fillId="0" borderId="385" xfId="33" applyFont="1" applyBorder="1" applyAlignment="1">
      <alignment horizontal="center" wrapText="1"/>
    </xf>
    <xf numFmtId="9" fontId="52" fillId="0" borderId="0" xfId="33" applyFont="1" applyBorder="1" applyAlignment="1">
      <alignment horizontal="center" wrapText="1"/>
    </xf>
    <xf numFmtId="9" fontId="52" fillId="0" borderId="220" xfId="33" applyFont="1" applyBorder="1" applyAlignment="1">
      <alignment horizontal="center" wrapText="1"/>
    </xf>
    <xf numFmtId="0" fontId="126" fillId="0" borderId="0" xfId="0" applyFont="1" applyAlignment="1">
      <alignment horizontal="left" vertical="top" wrapText="1"/>
    </xf>
    <xf numFmtId="0" fontId="53" fillId="0" borderId="385" xfId="0" applyFont="1" applyBorder="1" applyAlignment="1">
      <alignment horizontal="center"/>
    </xf>
    <xf numFmtId="0" fontId="53" fillId="0" borderId="0" xfId="0" applyFont="1" applyBorder="1" applyAlignment="1">
      <alignment horizontal="center"/>
    </xf>
    <xf numFmtId="0" fontId="53" fillId="0" borderId="220" xfId="0" applyFont="1" applyBorder="1" applyAlignment="1">
      <alignment horizontal="center"/>
    </xf>
    <xf numFmtId="0" fontId="69" fillId="0" borderId="4" xfId="16" applyFont="1" applyBorder="1" applyAlignment="1">
      <alignment horizontal="center"/>
    </xf>
    <xf numFmtId="0" fontId="52" fillId="0" borderId="160" xfId="0" applyFont="1" applyBorder="1" applyAlignment="1">
      <alignment horizontal="center"/>
    </xf>
    <xf numFmtId="0" fontId="30" fillId="0" borderId="12" xfId="0" applyFont="1" applyBorder="1" applyAlignment="1">
      <alignment horizontal="center"/>
    </xf>
    <xf numFmtId="0" fontId="30" fillId="0" borderId="0" xfId="0" applyFont="1" applyAlignment="1">
      <alignment horizontal="center"/>
    </xf>
    <xf numFmtId="16" fontId="30" fillId="0" borderId="12" xfId="0" applyNumberFormat="1" applyFont="1" applyBorder="1" applyAlignment="1">
      <alignment horizontal="center"/>
    </xf>
    <xf numFmtId="0" fontId="67" fillId="0" borderId="310" xfId="14" applyFont="1" applyBorder="1" applyAlignment="1">
      <alignment horizontal="center"/>
    </xf>
    <xf numFmtId="0" fontId="67" fillId="0" borderId="160" xfId="14" applyFont="1" applyBorder="1" applyAlignment="1">
      <alignment horizontal="center"/>
    </xf>
    <xf numFmtId="0" fontId="67" fillId="0" borderId="157" xfId="14" applyFont="1" applyBorder="1" applyAlignment="1">
      <alignment horizontal="center"/>
    </xf>
    <xf numFmtId="0" fontId="67" fillId="0" borderId="159" xfId="14" applyFont="1" applyBorder="1" applyAlignment="1">
      <alignment horizontal="center"/>
    </xf>
    <xf numFmtId="0" fontId="67" fillId="0" borderId="194" xfId="14" applyFont="1" applyBorder="1" applyAlignment="1">
      <alignment horizontal="center"/>
    </xf>
    <xf numFmtId="0" fontId="67" fillId="0" borderId="316" xfId="14" applyFont="1" applyBorder="1" applyAlignment="1">
      <alignment horizontal="center"/>
    </xf>
    <xf numFmtId="0" fontId="67" fillId="0" borderId="305" xfId="14" applyFont="1" applyBorder="1" applyAlignment="1">
      <alignment horizontal="center"/>
    </xf>
    <xf numFmtId="0" fontId="67" fillId="0" borderId="0" xfId="14" applyFont="1" applyBorder="1" applyAlignment="1">
      <alignment horizontal="center"/>
    </xf>
    <xf numFmtId="0" fontId="67" fillId="0" borderId="220" xfId="14" applyFont="1" applyBorder="1" applyAlignment="1">
      <alignment horizontal="center"/>
    </xf>
    <xf numFmtId="0" fontId="60" fillId="0" borderId="0" xfId="0" applyFont="1" applyAlignment="1">
      <alignment horizontal="left" vertical="top" wrapText="1"/>
    </xf>
    <xf numFmtId="172" fontId="23" fillId="0" borderId="13" xfId="0" applyNumberFormat="1" applyFont="1" applyFill="1" applyBorder="1" applyAlignment="1" applyProtection="1">
      <alignment horizontal="center" vertical="center"/>
    </xf>
    <xf numFmtId="172" fontId="23" fillId="0" borderId="14" xfId="0" applyNumberFormat="1" applyFont="1" applyFill="1" applyBorder="1" applyAlignment="1" applyProtection="1">
      <alignment horizontal="center" vertical="center"/>
    </xf>
    <xf numFmtId="172" fontId="23" fillId="0" borderId="15" xfId="0" applyNumberFormat="1" applyFont="1" applyFill="1" applyBorder="1" applyAlignment="1" applyProtection="1">
      <alignment horizontal="center" vertical="center"/>
    </xf>
    <xf numFmtId="0" fontId="59" fillId="0" borderId="12" xfId="0" applyFont="1" applyBorder="1" applyAlignment="1">
      <alignment horizontal="center" wrapText="1"/>
    </xf>
    <xf numFmtId="49" fontId="23" fillId="0" borderId="29" xfId="0" applyNumberFormat="1" applyFont="1" applyFill="1" applyBorder="1" applyAlignment="1">
      <alignment horizontal="center" vertical="center"/>
    </xf>
    <xf numFmtId="49" fontId="23" fillId="0" borderId="31" xfId="0" applyNumberFormat="1" applyFont="1" applyFill="1" applyBorder="1" applyAlignment="1">
      <alignment horizontal="center" vertical="center"/>
    </xf>
    <xf numFmtId="172" fontId="23" fillId="0" borderId="29" xfId="0" applyNumberFormat="1" applyFont="1" applyFill="1" applyBorder="1" applyAlignment="1" applyProtection="1">
      <alignment horizontal="center" vertical="center"/>
    </xf>
    <xf numFmtId="172" fontId="23" fillId="0" borderId="31" xfId="0" applyNumberFormat="1" applyFont="1" applyFill="1" applyBorder="1" applyAlignment="1" applyProtection="1">
      <alignment horizontal="center" vertical="center"/>
    </xf>
    <xf numFmtId="0" fontId="112" fillId="0" borderId="137" xfId="0" applyFont="1" applyBorder="1" applyAlignment="1">
      <alignment horizontal="center"/>
    </xf>
    <xf numFmtId="0" fontId="112" fillId="0" borderId="20" xfId="0" applyFont="1" applyBorder="1" applyAlignment="1">
      <alignment horizontal="center"/>
    </xf>
    <xf numFmtId="0" fontId="112" fillId="0" borderId="21" xfId="0" applyFont="1" applyBorder="1" applyAlignment="1">
      <alignment horizontal="center"/>
    </xf>
    <xf numFmtId="0" fontId="112" fillId="0" borderId="134" xfId="0" applyFont="1" applyBorder="1" applyAlignment="1">
      <alignment horizontal="center"/>
    </xf>
    <xf numFmtId="0" fontId="66" fillId="0" borderId="160" xfId="0" applyFont="1" applyBorder="1" applyAlignment="1">
      <alignment horizontal="center" wrapText="1"/>
    </xf>
    <xf numFmtId="0" fontId="66" fillId="0" borderId="160" xfId="0" applyFont="1" applyBorder="1" applyAlignment="1">
      <alignment horizontal="center"/>
    </xf>
    <xf numFmtId="0" fontId="66" fillId="0" borderId="0" xfId="0" applyFont="1" applyBorder="1" applyAlignment="1">
      <alignment horizontal="center"/>
    </xf>
    <xf numFmtId="0" fontId="66" fillId="0" borderId="12" xfId="0" applyFont="1" applyBorder="1" applyAlignment="1">
      <alignment horizontal="center"/>
    </xf>
    <xf numFmtId="0" fontId="29" fillId="0" borderId="0" xfId="15" applyFont="1" applyAlignment="1">
      <alignment horizontal="left" wrapText="1"/>
    </xf>
    <xf numFmtId="0" fontId="73" fillId="0" borderId="0" xfId="15" applyFont="1" applyAlignment="1">
      <alignment horizontal="left" wrapText="1"/>
    </xf>
    <xf numFmtId="0" fontId="52" fillId="0" borderId="0" xfId="0" applyFont="1" applyAlignment="1">
      <alignment horizontal="center"/>
    </xf>
    <xf numFmtId="0" fontId="52" fillId="0" borderId="398" xfId="15" applyFont="1" applyBorder="1" applyAlignment="1">
      <alignment horizontal="center" wrapText="1"/>
    </xf>
    <xf numFmtId="0" fontId="52" fillId="0" borderId="399" xfId="15" applyFont="1" applyBorder="1" applyAlignment="1">
      <alignment horizontal="center" wrapText="1"/>
    </xf>
    <xf numFmtId="0" fontId="52" fillId="0" borderId="384" xfId="15" applyFont="1" applyBorder="1" applyAlignment="1">
      <alignment horizontal="center"/>
    </xf>
    <xf numFmtId="0" fontId="52" fillId="0" borderId="287" xfId="15" applyFont="1" applyBorder="1" applyAlignment="1">
      <alignment horizontal="center"/>
    </xf>
    <xf numFmtId="0" fontId="52" fillId="0" borderId="399" xfId="15" applyFont="1" applyBorder="1" applyAlignment="1">
      <alignment horizontal="center"/>
    </xf>
    <xf numFmtId="0" fontId="52" fillId="0" borderId="398" xfId="15" applyFont="1" applyBorder="1" applyAlignment="1">
      <alignment horizontal="center"/>
    </xf>
    <xf numFmtId="0" fontId="52" fillId="0" borderId="305" xfId="15" applyFont="1" applyBorder="1" applyAlignment="1">
      <alignment horizontal="center"/>
    </xf>
    <xf numFmtId="0" fontId="52" fillId="0" borderId="0" xfId="15" applyFont="1" applyBorder="1" applyAlignment="1">
      <alignment horizontal="center"/>
    </xf>
    <xf numFmtId="0" fontId="52" fillId="0" borderId="220" xfId="15" applyFont="1" applyBorder="1" applyAlignment="1">
      <alignment horizontal="center"/>
    </xf>
    <xf numFmtId="0" fontId="29" fillId="0" borderId="0" xfId="0" applyFont="1" applyAlignment="1">
      <alignment horizontal="left" vertical="top" wrapText="1"/>
    </xf>
    <xf numFmtId="49" fontId="81" fillId="0" borderId="305" xfId="19" applyNumberFormat="1" applyFont="1" applyBorder="1" applyAlignment="1">
      <alignment horizontal="center" wrapText="1"/>
    </xf>
    <xf numFmtId="49" fontId="81" fillId="0" borderId="0" xfId="19" applyNumberFormat="1" applyFont="1" applyBorder="1" applyAlignment="1">
      <alignment horizontal="center" wrapText="1"/>
    </xf>
    <xf numFmtId="49" fontId="81" fillId="0" borderId="220" xfId="19" applyNumberFormat="1" applyFont="1" applyBorder="1" applyAlignment="1">
      <alignment horizontal="center" wrapText="1"/>
    </xf>
    <xf numFmtId="0" fontId="67" fillId="0" borderId="305" xfId="19" applyFont="1" applyBorder="1" applyAlignment="1">
      <alignment horizontal="center" vertical="top" wrapText="1"/>
    </xf>
    <xf numFmtId="0" fontId="67" fillId="0" borderId="283" xfId="19" applyFont="1" applyBorder="1" applyAlignment="1">
      <alignment horizontal="center" vertical="top" wrapText="1"/>
    </xf>
    <xf numFmtId="49" fontId="81" fillId="0" borderId="283" xfId="19" applyNumberFormat="1" applyFont="1" applyBorder="1" applyAlignment="1">
      <alignment horizontal="center" wrapText="1"/>
    </xf>
    <xf numFmtId="49" fontId="81" fillId="0" borderId="309" xfId="19" applyNumberFormat="1" applyFont="1" applyBorder="1" applyAlignment="1">
      <alignment horizontal="center" wrapText="1"/>
    </xf>
    <xf numFmtId="0" fontId="58" fillId="0" borderId="0" xfId="0" applyFont="1" applyAlignment="1">
      <alignment horizontal="center"/>
    </xf>
    <xf numFmtId="0" fontId="76" fillId="0" borderId="0" xfId="0" applyFont="1" applyAlignment="1">
      <alignment horizontal="center"/>
    </xf>
    <xf numFmtId="0" fontId="27" fillId="0" borderId="0" xfId="9" applyFont="1" applyAlignment="1">
      <alignment horizontal="left" vertical="top" wrapText="1"/>
    </xf>
    <xf numFmtId="0" fontId="67" fillId="0" borderId="155" xfId="0" applyFont="1" applyBorder="1" applyAlignment="1">
      <alignment horizontal="center" wrapText="1"/>
    </xf>
    <xf numFmtId="0" fontId="67" fillId="0" borderId="220" xfId="0" applyFont="1" applyBorder="1" applyAlignment="1">
      <alignment horizontal="center" wrapText="1"/>
    </xf>
    <xf numFmtId="0" fontId="66" fillId="0" borderId="0" xfId="9" applyFont="1" applyAlignment="1">
      <alignment horizontal="left" vertical="top" wrapText="1"/>
    </xf>
    <xf numFmtId="0" fontId="66" fillId="0" borderId="12" xfId="9" applyFont="1" applyBorder="1" applyAlignment="1">
      <alignment horizontal="center" wrapText="1"/>
    </xf>
    <xf numFmtId="0" fontId="66" fillId="0" borderId="287" xfId="9" applyFont="1" applyBorder="1" applyAlignment="1">
      <alignment horizontal="center"/>
    </xf>
    <xf numFmtId="0" fontId="70" fillId="0" borderId="0" xfId="16" applyFont="1" applyAlignment="1">
      <alignment horizontal="left" wrapText="1"/>
    </xf>
    <xf numFmtId="0" fontId="29" fillId="0" borderId="0" xfId="16" applyFont="1" applyAlignment="1">
      <alignment horizontal="left" wrapText="1"/>
    </xf>
    <xf numFmtId="0" fontId="31" fillId="0" borderId="0" xfId="14" applyFont="1" applyFill="1" applyBorder="1" applyAlignment="1">
      <alignment horizontal="left" wrapText="1"/>
    </xf>
    <xf numFmtId="0" fontId="79" fillId="0" borderId="0" xfId="14" applyFont="1" applyAlignment="1">
      <alignment horizontal="left" vertical="top" wrapText="1"/>
    </xf>
    <xf numFmtId="0" fontId="29" fillId="0" borderId="0" xfId="14" applyFont="1" applyFill="1" applyBorder="1" applyAlignment="1">
      <alignment horizontal="left" wrapText="1"/>
    </xf>
    <xf numFmtId="0" fontId="52" fillId="0" borderId="312" xfId="0" applyFont="1" applyBorder="1" applyAlignment="1">
      <alignment horizontal="center"/>
    </xf>
    <xf numFmtId="0" fontId="52" fillId="0" borderId="289" xfId="0" applyFont="1" applyBorder="1" applyAlignment="1">
      <alignment horizontal="center"/>
    </xf>
    <xf numFmtId="0" fontId="52" fillId="0" borderId="311" xfId="0" applyFont="1" applyBorder="1" applyAlignment="1">
      <alignment horizontal="center"/>
    </xf>
    <xf numFmtId="0" fontId="52" fillId="0" borderId="310" xfId="0" applyFont="1" applyBorder="1" applyAlignment="1">
      <alignment horizontal="center"/>
    </xf>
    <xf numFmtId="0" fontId="66" fillId="0" borderId="0" xfId="9" applyFont="1" applyBorder="1" applyAlignment="1">
      <alignment horizontal="left"/>
    </xf>
    <xf numFmtId="0" fontId="16" fillId="0" borderId="4" xfId="18" applyFont="1" applyBorder="1" applyAlignment="1">
      <alignment horizontal="center"/>
    </xf>
    <xf numFmtId="0" fontId="17" fillId="0" borderId="0" xfId="18" applyFont="1" applyBorder="1" applyAlignment="1">
      <alignment horizontal="center"/>
    </xf>
    <xf numFmtId="0" fontId="10" fillId="0" borderId="0" xfId="18" applyFont="1" applyFill="1" applyBorder="1" applyAlignment="1">
      <alignment horizontal="left" wrapText="1"/>
    </xf>
    <xf numFmtId="0" fontId="10" fillId="0" borderId="33" xfId="18" applyFont="1" applyFill="1" applyBorder="1" applyAlignment="1">
      <alignment horizontal="left" wrapText="1"/>
    </xf>
    <xf numFmtId="0" fontId="17" fillId="0" borderId="12" xfId="18" applyFont="1" applyBorder="1" applyAlignment="1">
      <alignment horizontal="center"/>
    </xf>
    <xf numFmtId="0" fontId="17" fillId="0" borderId="4" xfId="18" applyFont="1" applyBorder="1" applyAlignment="1">
      <alignment horizontal="center"/>
    </xf>
    <xf numFmtId="0" fontId="16" fillId="0" borderId="65" xfId="18" applyFont="1" applyBorder="1" applyAlignment="1">
      <alignment horizontal="center"/>
    </xf>
    <xf numFmtId="0" fontId="73" fillId="0" borderId="0" xfId="0" applyFont="1" applyAlignment="1">
      <alignment horizontal="center"/>
    </xf>
    <xf numFmtId="0" fontId="52" fillId="0" borderId="19" xfId="0" applyFont="1" applyBorder="1" applyAlignment="1">
      <alignment horizontal="center"/>
    </xf>
    <xf numFmtId="0" fontId="52" fillId="0" borderId="74" xfId="0" applyFont="1" applyBorder="1" applyAlignment="1">
      <alignment horizontal="center"/>
    </xf>
    <xf numFmtId="0" fontId="52" fillId="0" borderId="20" xfId="0" applyFont="1" applyBorder="1" applyAlignment="1">
      <alignment horizontal="center"/>
    </xf>
    <xf numFmtId="0" fontId="52" fillId="0" borderId="21" xfId="0" applyFont="1" applyBorder="1" applyAlignment="1">
      <alignment horizontal="center"/>
    </xf>
    <xf numFmtId="0" fontId="52" fillId="0" borderId="29" xfId="0" applyFont="1" applyBorder="1" applyAlignment="1">
      <alignment horizontal="center" wrapText="1"/>
    </xf>
    <xf numFmtId="0" fontId="52" fillId="0" borderId="31" xfId="0" applyFont="1" applyBorder="1" applyAlignment="1">
      <alignment horizontal="center" wrapText="1"/>
    </xf>
    <xf numFmtId="0" fontId="52" fillId="0" borderId="28" xfId="0" applyFont="1" applyBorder="1" applyAlignment="1">
      <alignment horizontal="center" wrapText="1"/>
    </xf>
    <xf numFmtId="0" fontId="52" fillId="0" borderId="41" xfId="0" applyFont="1" applyBorder="1" applyAlignment="1">
      <alignment horizontal="center" wrapText="1"/>
    </xf>
    <xf numFmtId="0" fontId="52" fillId="0" borderId="40" xfId="0" applyFont="1" applyBorder="1" applyAlignment="1">
      <alignment horizontal="center" wrapText="1"/>
    </xf>
    <xf numFmtId="0" fontId="52" fillId="0" borderId="64" xfId="0" applyFont="1" applyBorder="1" applyAlignment="1">
      <alignment horizontal="center" wrapText="1"/>
    </xf>
    <xf numFmtId="0" fontId="59" fillId="0" borderId="28" xfId="0" applyFont="1" applyBorder="1" applyAlignment="1">
      <alignment horizontal="center" wrapText="1"/>
    </xf>
    <xf numFmtId="0" fontId="23" fillId="0" borderId="0" xfId="0" applyFont="1" applyBorder="1" applyAlignment="1">
      <alignment horizontal="left" vertical="top" wrapText="1"/>
    </xf>
    <xf numFmtId="0" fontId="24" fillId="0" borderId="0" xfId="4" applyFont="1" applyFill="1" applyBorder="1" applyAlignment="1" applyProtection="1">
      <alignment horizontal="left" wrapText="1"/>
    </xf>
    <xf numFmtId="0" fontId="66" fillId="0" borderId="0" xfId="0" applyFont="1" applyBorder="1" applyAlignment="1">
      <alignment horizontal="left" wrapText="1"/>
    </xf>
    <xf numFmtId="0" fontId="53" fillId="0" borderId="14" xfId="0" applyFont="1" applyBorder="1" applyAlignment="1">
      <alignment horizontal="center" wrapText="1"/>
    </xf>
    <xf numFmtId="0" fontId="27" fillId="0" borderId="0" xfId="14" applyFont="1" applyAlignment="1">
      <alignment horizontal="left" vertical="top" wrapText="1"/>
    </xf>
    <xf numFmtId="1" fontId="52" fillId="0" borderId="12" xfId="0" applyNumberFormat="1" applyFont="1" applyBorder="1" applyAlignment="1">
      <alignment horizontal="center"/>
    </xf>
    <xf numFmtId="1" fontId="52" fillId="0" borderId="0" xfId="0" applyNumberFormat="1" applyFont="1" applyAlignment="1">
      <alignment horizontal="center"/>
    </xf>
    <xf numFmtId="0" fontId="73" fillId="0" borderId="0" xfId="9" applyFont="1" applyAlignment="1">
      <alignment horizontal="left" vertical="top" wrapText="1"/>
    </xf>
    <xf numFmtId="0" fontId="79" fillId="0" borderId="0" xfId="9" applyFont="1" applyAlignment="1">
      <alignment horizontal="left" vertical="top" wrapText="1"/>
    </xf>
  </cellXfs>
  <cellStyles count="36">
    <cellStyle name="Comma" xfId="1" builtinId="3"/>
    <cellStyle name="Comma 2" xfId="2"/>
    <cellStyle name="Currency" xfId="3" builtinId="4"/>
    <cellStyle name="Hyperlink" xfId="4" builtinId="8"/>
    <cellStyle name="Hyperlink 2" xfId="5"/>
    <cellStyle name="Normal" xfId="0" builtinId="0"/>
    <cellStyle name="Normal 10" xfId="6"/>
    <cellStyle name="Normal 11" xfId="7"/>
    <cellStyle name="Normal 12" xfId="8"/>
    <cellStyle name="Normal 13" xfId="34"/>
    <cellStyle name="Normal 14" xfId="35"/>
    <cellStyle name="Normal 2" xfId="9"/>
    <cellStyle name="Normal 2 2" xfId="10"/>
    <cellStyle name="Normal 2 3" xfId="11"/>
    <cellStyle name="Normal 2 4" xfId="12"/>
    <cellStyle name="Normal 3" xfId="13"/>
    <cellStyle name="Normal 4" xfId="14"/>
    <cellStyle name="Normal 5" xfId="15"/>
    <cellStyle name="Normal 6" xfId="16"/>
    <cellStyle name="Normal 7" xfId="17"/>
    <cellStyle name="Normal 8" xfId="18"/>
    <cellStyle name="Normal 9" xfId="19"/>
    <cellStyle name="Normal_5 Medicaid &amp; FAMIS 2011" xfId="20"/>
    <cellStyle name="Normal_6 SNAP LASER 2011" xfId="21"/>
    <cellStyle name="Normal_7 LIHEAP LASER 2011" xfId="22"/>
    <cellStyle name="Normal_Sheet1" xfId="23"/>
    <cellStyle name="Normal_Sheet2" xfId="24"/>
    <cellStyle name="Normal_Sheet2_1" xfId="25"/>
    <cellStyle name="Normal_Sheet4" xfId="26"/>
    <cellStyle name="Normal_Sheet4_1" xfId="27"/>
    <cellStyle name="Normal_Sheet4_2" xfId="28"/>
    <cellStyle name="Normal_Sheet5" xfId="29"/>
    <cellStyle name="Normal_Sheet6" xfId="30"/>
    <cellStyle name="Normal_Sheet7" xfId="31"/>
    <cellStyle name="Normal_Sheet8" xfId="32"/>
    <cellStyle name="Percent" xfId="33" builtinId="5"/>
  </cellStyles>
  <dxfs count="6">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000">
                <a:latin typeface="+mj-lt"/>
              </a:defRPr>
            </a:pPr>
            <a:r>
              <a:rPr lang="en-US" sz="1000">
                <a:latin typeface="+mj-lt"/>
              </a:rPr>
              <a:t>Percent of Labor Workforce Who are Unemployed (unadjusted), CY</a:t>
            </a:r>
            <a:r>
              <a:rPr lang="en-US" sz="1000" baseline="0">
                <a:latin typeface="+mj-lt"/>
              </a:rPr>
              <a:t> </a:t>
            </a:r>
            <a:r>
              <a:rPr lang="en-US" sz="1000">
                <a:latin typeface="+mj-lt"/>
              </a:rPr>
              <a:t>2000-2018</a:t>
            </a:r>
          </a:p>
        </c:rich>
      </c:tx>
      <c:layout>
        <c:manualLayout>
          <c:xMode val="edge"/>
          <c:yMode val="edge"/>
          <c:x val="0.13318706419182633"/>
          <c:y val="2.8542182227221592E-2"/>
        </c:manualLayout>
      </c:layout>
      <c:overlay val="0"/>
    </c:title>
    <c:autoTitleDeleted val="0"/>
    <c:plotArea>
      <c:layout>
        <c:manualLayout>
          <c:layoutTarget val="inner"/>
          <c:xMode val="edge"/>
          <c:yMode val="edge"/>
          <c:x val="0.13897504893237494"/>
          <c:y val="0.1526807893783152"/>
          <c:w val="0.80175410152944593"/>
          <c:h val="0.55575478065241846"/>
        </c:manualLayout>
      </c:layout>
      <c:lineChart>
        <c:grouping val="standard"/>
        <c:varyColors val="0"/>
        <c:ser>
          <c:idx val="0"/>
          <c:order val="0"/>
          <c:tx>
            <c:strRef>
              <c:f>Profile!$D$3</c:f>
              <c:strCache>
                <c:ptCount val="1"/>
                <c:pt idx="0">
                  <c:v>Accomack</c:v>
                </c:pt>
              </c:strCache>
            </c:strRef>
          </c:tx>
          <c:marker>
            <c:symbol val="none"/>
          </c:marker>
          <c:cat>
            <c:numRef>
              <c:f>Profile!$B$44:$B$55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Profile!$D$44:$D$55</c:f>
              <c:numCache>
                <c:formatCode>0.0%</c:formatCode>
                <c:ptCount val="12"/>
                <c:pt idx="0">
                  <c:v>4.1361228530151423E-2</c:v>
                </c:pt>
                <c:pt idx="1">
                  <c:v>4.9915842625710076E-2</c:v>
                </c:pt>
                <c:pt idx="2">
                  <c:v>6.7361708588491317E-2</c:v>
                </c:pt>
                <c:pt idx="3">
                  <c:v>7.0492496300993454E-2</c:v>
                </c:pt>
                <c:pt idx="4">
                  <c:v>7.280433499651269E-2</c:v>
                </c:pt>
                <c:pt idx="5">
                  <c:v>6.8050561185572622E-2</c:v>
                </c:pt>
                <c:pt idx="6">
                  <c:v>6.469613259668508E-2</c:v>
                </c:pt>
                <c:pt idx="7">
                  <c:v>6.4902646030953567E-2</c:v>
                </c:pt>
                <c:pt idx="8">
                  <c:v>5.4219884798397198E-2</c:v>
                </c:pt>
                <c:pt idx="9">
                  <c:v>4.8167605544654726E-2</c:v>
                </c:pt>
                <c:pt idx="10">
                  <c:v>4.8219212440431404E-2</c:v>
                </c:pt>
                <c:pt idx="11">
                  <c:v>3.8121942488963133E-2</c:v>
                </c:pt>
              </c:numCache>
            </c:numRef>
          </c:val>
          <c:smooth val="0"/>
          <c:extLst>
            <c:ext xmlns:c16="http://schemas.microsoft.com/office/drawing/2014/chart" uri="{C3380CC4-5D6E-409C-BE32-E72D297353CC}">
              <c16:uniqueId val="{00000000-4BAF-469D-8304-B3688D2A69D9}"/>
            </c:ext>
          </c:extLst>
        </c:ser>
        <c:ser>
          <c:idx val="1"/>
          <c:order val="1"/>
          <c:tx>
            <c:strRef>
              <c:f>Profile!$E$41</c:f>
              <c:strCache>
                <c:ptCount val="1"/>
                <c:pt idx="0">
                  <c:v>Eastern</c:v>
                </c:pt>
              </c:strCache>
            </c:strRef>
          </c:tx>
          <c:spPr>
            <a:ln>
              <a:prstDash val="sysDot"/>
            </a:ln>
          </c:spPr>
          <c:marker>
            <c:symbol val="none"/>
          </c:marker>
          <c:cat>
            <c:numRef>
              <c:f>Profile!$B$44:$B$55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Profile!$E$44:$E$55</c:f>
              <c:numCache>
                <c:formatCode>0.0%</c:formatCode>
                <c:ptCount val="12"/>
                <c:pt idx="0">
                  <c:v>3.3091630916195276E-2</c:v>
                </c:pt>
                <c:pt idx="1">
                  <c:v>4.2744274872914149E-2</c:v>
                </c:pt>
                <c:pt idx="2">
                  <c:v>7.2502585768335376E-2</c:v>
                </c:pt>
                <c:pt idx="3">
                  <c:v>7.6663536748089484E-2</c:v>
                </c:pt>
                <c:pt idx="4">
                  <c:v>7.2411265556543009E-2</c:v>
                </c:pt>
                <c:pt idx="5">
                  <c:v>6.6414075961871114E-2</c:v>
                </c:pt>
                <c:pt idx="6">
                  <c:v>6.1377424762512969E-2</c:v>
                </c:pt>
                <c:pt idx="7">
                  <c:v>5.7334382521145637E-2</c:v>
                </c:pt>
                <c:pt idx="8">
                  <c:v>4.9696849219759469E-2</c:v>
                </c:pt>
                <c:pt idx="9">
                  <c:v>4.6246224883036681E-2</c:v>
                </c:pt>
                <c:pt idx="10">
                  <c:v>4.2082256014724574E-2</c:v>
                </c:pt>
                <c:pt idx="11">
                  <c:v>4.2082256014724574E-2</c:v>
                </c:pt>
              </c:numCache>
            </c:numRef>
          </c:val>
          <c:smooth val="0"/>
          <c:extLst>
            <c:ext xmlns:c16="http://schemas.microsoft.com/office/drawing/2014/chart" uri="{C3380CC4-5D6E-409C-BE32-E72D297353CC}">
              <c16:uniqueId val="{00000001-4BAF-469D-8304-B3688D2A69D9}"/>
            </c:ext>
          </c:extLst>
        </c:ser>
        <c:ser>
          <c:idx val="2"/>
          <c:order val="2"/>
          <c:tx>
            <c:strRef>
              <c:f>Profile!$F$41</c:f>
              <c:strCache>
                <c:ptCount val="1"/>
                <c:pt idx="0">
                  <c:v>Statewide</c:v>
                </c:pt>
              </c:strCache>
            </c:strRef>
          </c:tx>
          <c:marker>
            <c:symbol val="none"/>
          </c:marker>
          <c:cat>
            <c:numRef>
              <c:f>Profile!$B$44:$B$55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Profile!$F$44:$F$55</c:f>
              <c:numCache>
                <c:formatCode>0.0%</c:formatCode>
                <c:ptCount val="12"/>
                <c:pt idx="0">
                  <c:v>3.0637117624127935E-2</c:v>
                </c:pt>
                <c:pt idx="1">
                  <c:v>3.9533104507533175E-2</c:v>
                </c:pt>
                <c:pt idx="2">
                  <c:v>6.9500899241383113E-2</c:v>
                </c:pt>
                <c:pt idx="3">
                  <c:v>7.0996273411972191E-2</c:v>
                </c:pt>
                <c:pt idx="4">
                  <c:v>6.4437374190308969E-2</c:v>
                </c:pt>
                <c:pt idx="5">
                  <c:v>5.8774345474193433E-2</c:v>
                </c:pt>
                <c:pt idx="6">
                  <c:v>5.5454654156622714E-2</c:v>
                </c:pt>
                <c:pt idx="7">
                  <c:v>5.1645529339042547E-2</c:v>
                </c:pt>
                <c:pt idx="8">
                  <c:v>4.4467413563948954E-2</c:v>
                </c:pt>
                <c:pt idx="9">
                  <c:v>4.0126015938058909E-2</c:v>
                </c:pt>
                <c:pt idx="10">
                  <c:v>3.7519052834444275E-2</c:v>
                </c:pt>
                <c:pt idx="11">
                  <c:v>2.9686816038476387E-2</c:v>
                </c:pt>
              </c:numCache>
            </c:numRef>
          </c:val>
          <c:smooth val="0"/>
          <c:extLst>
            <c:ext xmlns:c16="http://schemas.microsoft.com/office/drawing/2014/chart" uri="{C3380CC4-5D6E-409C-BE32-E72D297353CC}">
              <c16:uniqueId val="{00000002-4BAF-469D-8304-B3688D2A69D9}"/>
            </c:ext>
          </c:extLst>
        </c:ser>
        <c:dLbls>
          <c:showLegendKey val="0"/>
          <c:showVal val="0"/>
          <c:showCatName val="0"/>
          <c:showSerName val="0"/>
          <c:showPercent val="0"/>
          <c:showBubbleSize val="0"/>
        </c:dLbls>
        <c:smooth val="0"/>
        <c:axId val="58059776"/>
        <c:axId val="58061568"/>
      </c:lineChart>
      <c:catAx>
        <c:axId val="58059776"/>
        <c:scaling>
          <c:orientation val="minMax"/>
        </c:scaling>
        <c:delete val="0"/>
        <c:axPos val="b"/>
        <c:numFmt formatCode="General" sourceLinked="1"/>
        <c:majorTickMark val="out"/>
        <c:minorTickMark val="none"/>
        <c:tickLblPos val="nextTo"/>
        <c:txPr>
          <a:bodyPr rot="-1500000" vert="horz"/>
          <a:lstStyle/>
          <a:p>
            <a:pPr>
              <a:defRPr/>
            </a:pPr>
            <a:endParaRPr lang="en-US"/>
          </a:p>
        </c:txPr>
        <c:crossAx val="58061568"/>
        <c:crosses val="autoZero"/>
        <c:auto val="1"/>
        <c:lblAlgn val="ctr"/>
        <c:lblOffset val="100"/>
        <c:tickLblSkip val="1"/>
        <c:tickMarkSkip val="1"/>
        <c:noMultiLvlLbl val="0"/>
      </c:catAx>
      <c:valAx>
        <c:axId val="58061568"/>
        <c:scaling>
          <c:orientation val="minMax"/>
        </c:scaling>
        <c:delete val="0"/>
        <c:axPos val="l"/>
        <c:majorGridlines>
          <c:spPr>
            <a:ln>
              <a:solidFill>
                <a:schemeClr val="bg1"/>
              </a:solidFill>
            </a:ln>
          </c:spPr>
        </c:majorGridlines>
        <c:title>
          <c:tx>
            <c:rich>
              <a:bodyPr/>
              <a:lstStyle/>
              <a:p>
                <a:pPr>
                  <a:defRPr/>
                </a:pPr>
                <a:r>
                  <a:rPr lang="en-US"/>
                  <a:t>Percentage (%)</a:t>
                </a:r>
              </a:p>
            </c:rich>
          </c:tx>
          <c:layout>
            <c:manualLayout>
              <c:xMode val="edge"/>
              <c:yMode val="edge"/>
              <c:x val="3.704058731788961E-2"/>
              <c:y val="0.22067119472661337"/>
            </c:manualLayout>
          </c:layout>
          <c:overlay val="0"/>
        </c:title>
        <c:numFmt formatCode="0%" sourceLinked="0"/>
        <c:majorTickMark val="out"/>
        <c:minorTickMark val="none"/>
        <c:tickLblPos val="nextTo"/>
        <c:spPr>
          <a:ln>
            <a:noFill/>
          </a:ln>
        </c:spPr>
        <c:txPr>
          <a:bodyPr rot="0" vert="horz"/>
          <a:lstStyle/>
          <a:p>
            <a:pPr>
              <a:defRPr/>
            </a:pPr>
            <a:endParaRPr lang="en-US"/>
          </a:p>
        </c:txPr>
        <c:crossAx val="58059776"/>
        <c:crosses val="autoZero"/>
        <c:crossBetween val="midCat"/>
      </c:valAx>
      <c:spPr>
        <a:noFill/>
        <a:ln>
          <a:solidFill>
            <a:schemeClr val="accent5">
              <a:lumMod val="75000"/>
            </a:schemeClr>
          </a:solidFill>
        </a:ln>
      </c:spPr>
    </c:plotArea>
    <c:legend>
      <c:legendPos val="b"/>
      <c:layout>
        <c:manualLayout>
          <c:xMode val="edge"/>
          <c:yMode val="edge"/>
          <c:x val="1.9698765199260272E-2"/>
          <c:y val="0.82830258717660288"/>
          <c:w val="0.97708775533493097"/>
          <c:h val="8.8239065536656933E-2"/>
        </c:manualLayout>
      </c:layout>
      <c:overlay val="0"/>
    </c:legend>
    <c:plotVisOnly val="1"/>
    <c:dispBlanksAs val="gap"/>
    <c:showDLblsOverMax val="0"/>
  </c:chart>
  <c:spPr>
    <a:ln w="15875">
      <a:solidFill>
        <a:schemeClr val="accent5">
          <a:lumMod val="75000"/>
        </a:schemeClr>
      </a:solidFill>
    </a:ln>
  </c:spPr>
  <c:printSettings>
    <c:headerFooter/>
    <c:pageMargins b="0.75000000000001465" l="0.70000000000000062" r="0.70000000000000062" t="0.75000000000001465" header="0.30000000000000032" footer="0.30000000000000032"/>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Monthly Number of Medical</a:t>
            </a:r>
            <a:r>
              <a:rPr lang="en-US" sz="1200" baseline="0"/>
              <a:t> Assistance</a:t>
            </a:r>
            <a:r>
              <a:rPr lang="en-US" sz="1200"/>
              <a:t> Applications </a:t>
            </a:r>
          </a:p>
          <a:p>
            <a:pPr>
              <a:defRPr sz="1200"/>
            </a:pPr>
            <a:r>
              <a:rPr lang="en-US" sz="1200"/>
              <a:t>Received and Disposed, SFY 2019</a:t>
            </a:r>
          </a:p>
        </c:rich>
      </c:tx>
      <c:layout>
        <c:manualLayout>
          <c:xMode val="edge"/>
          <c:yMode val="edge"/>
          <c:x val="0.11138579231206602"/>
          <c:y val="3.4353187965699562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20907634218344939"/>
          <c:w val="0.87455722301670713"/>
          <c:h val="0.58762886249358837"/>
        </c:manualLayout>
      </c:layout>
      <c:barChart>
        <c:barDir val="col"/>
        <c:grouping val="clustered"/>
        <c:varyColors val="0"/>
        <c:ser>
          <c:idx val="0"/>
          <c:order val="0"/>
          <c:tx>
            <c:strRef>
              <c:f>'Data for Graphs'!$P$3</c:f>
              <c:strCache>
                <c:ptCount val="1"/>
                <c:pt idx="0">
                  <c:v>Received</c:v>
                </c:pt>
              </c:strCache>
            </c:strRef>
          </c:tx>
          <c:spPr>
            <a:solidFill>
              <a:schemeClr val="accent6"/>
            </a:solidFill>
            <a:ln>
              <a:noFill/>
            </a:ln>
            <a:effectLst/>
          </c:spPr>
          <c:invertIfNegative val="0"/>
          <c:cat>
            <c:numRef>
              <c:f>'Data for Graphs'!$K$4:$K$15</c:f>
              <c:numCache>
                <c:formatCode>mmm\-yy</c:formatCode>
                <c:ptCount val="12"/>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numCache>
            </c:numRef>
          </c:cat>
          <c:val>
            <c:numRef>
              <c:f>'Data for Graphs'!$P$4:$P$15</c:f>
              <c:numCache>
                <c:formatCode>General</c:formatCode>
                <c:ptCount val="12"/>
                <c:pt idx="0">
                  <c:v>136</c:v>
                </c:pt>
                <c:pt idx="1">
                  <c:v>143</c:v>
                </c:pt>
                <c:pt idx="2">
                  <c:v>133</c:v>
                </c:pt>
                <c:pt idx="3">
                  <c:v>157</c:v>
                </c:pt>
                <c:pt idx="4">
                  <c:v>368</c:v>
                </c:pt>
                <c:pt idx="5">
                  <c:v>304</c:v>
                </c:pt>
                <c:pt idx="6">
                  <c:v>233</c:v>
                </c:pt>
                <c:pt idx="7">
                  <c:v>157</c:v>
                </c:pt>
                <c:pt idx="8">
                  <c:v>187</c:v>
                </c:pt>
                <c:pt idx="9">
                  <c:v>169</c:v>
                </c:pt>
                <c:pt idx="10">
                  <c:v>164</c:v>
                </c:pt>
                <c:pt idx="11">
                  <c:v>162</c:v>
                </c:pt>
              </c:numCache>
            </c:numRef>
          </c:val>
          <c:extLst>
            <c:ext xmlns:c16="http://schemas.microsoft.com/office/drawing/2014/chart" uri="{C3380CC4-5D6E-409C-BE32-E72D297353CC}">
              <c16:uniqueId val="{00000000-43AC-417B-97BE-93B3C711C734}"/>
            </c:ext>
          </c:extLst>
        </c:ser>
        <c:ser>
          <c:idx val="1"/>
          <c:order val="1"/>
          <c:tx>
            <c:strRef>
              <c:f>'Data for Graphs'!$Q$3</c:f>
              <c:strCache>
                <c:ptCount val="1"/>
                <c:pt idx="0">
                  <c:v>Disposed</c:v>
                </c:pt>
              </c:strCache>
            </c:strRef>
          </c:tx>
          <c:spPr>
            <a:solidFill>
              <a:schemeClr val="accent5"/>
            </a:solidFill>
            <a:ln>
              <a:noFill/>
            </a:ln>
            <a:effectLst/>
          </c:spPr>
          <c:invertIfNegative val="0"/>
          <c:cat>
            <c:numRef>
              <c:f>'Data for Graphs'!$K$4:$K$15</c:f>
              <c:numCache>
                <c:formatCode>mmm\-yy</c:formatCode>
                <c:ptCount val="12"/>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numCache>
            </c:numRef>
          </c:cat>
          <c:val>
            <c:numRef>
              <c:f>'Data for Graphs'!$Q$4:$Q$15</c:f>
              <c:numCache>
                <c:formatCode>General</c:formatCode>
                <c:ptCount val="12"/>
                <c:pt idx="0">
                  <c:v>125</c:v>
                </c:pt>
                <c:pt idx="1">
                  <c:v>135</c:v>
                </c:pt>
                <c:pt idx="2">
                  <c:v>123</c:v>
                </c:pt>
                <c:pt idx="3">
                  <c:v>133</c:v>
                </c:pt>
                <c:pt idx="4">
                  <c:v>233</c:v>
                </c:pt>
                <c:pt idx="5">
                  <c:v>323</c:v>
                </c:pt>
                <c:pt idx="6">
                  <c:v>260</c:v>
                </c:pt>
                <c:pt idx="7">
                  <c:v>208</c:v>
                </c:pt>
                <c:pt idx="8">
                  <c:v>224</c:v>
                </c:pt>
                <c:pt idx="9">
                  <c:v>183</c:v>
                </c:pt>
                <c:pt idx="10">
                  <c:v>175</c:v>
                </c:pt>
                <c:pt idx="11">
                  <c:v>155</c:v>
                </c:pt>
              </c:numCache>
            </c:numRef>
          </c:val>
          <c:extLst>
            <c:ext xmlns:c16="http://schemas.microsoft.com/office/drawing/2014/chart" uri="{C3380CC4-5D6E-409C-BE32-E72D297353CC}">
              <c16:uniqueId val="{00000001-43AC-417B-97BE-93B3C711C734}"/>
            </c:ext>
          </c:extLst>
        </c:ser>
        <c:dLbls>
          <c:showLegendKey val="0"/>
          <c:showVal val="0"/>
          <c:showCatName val="0"/>
          <c:showSerName val="0"/>
          <c:showPercent val="0"/>
          <c:showBubbleSize val="0"/>
        </c:dLbls>
        <c:gapWidth val="150"/>
        <c:axId val="80999168"/>
        <c:axId val="81000704"/>
      </c:barChart>
      <c:dateAx>
        <c:axId val="80999168"/>
        <c:scaling>
          <c:orientation val="minMax"/>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000704"/>
        <c:crosses val="autoZero"/>
        <c:auto val="1"/>
        <c:lblOffset val="100"/>
        <c:baseTimeUnit val="months"/>
        <c:majorUnit val="1"/>
        <c:majorTimeUnit val="months"/>
      </c:dateAx>
      <c:valAx>
        <c:axId val="81000704"/>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99168"/>
        <c:crosses val="autoZero"/>
        <c:crossBetween val="between"/>
      </c:valAx>
      <c:spPr>
        <a:solidFill>
          <a:schemeClr val="bg1"/>
        </a:solidFill>
        <a:ln>
          <a:noFill/>
        </a:ln>
        <a:effectLst/>
      </c:spPr>
    </c:plotArea>
    <c:legend>
      <c:legendPos val="r"/>
      <c:layout>
        <c:manualLayout>
          <c:xMode val="edge"/>
          <c:yMode val="edge"/>
          <c:x val="0.48356036458243595"/>
          <c:y val="0.16306234325935337"/>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Monthly Number of Child Care Applications </a:t>
            </a:r>
          </a:p>
          <a:p>
            <a:pPr>
              <a:defRPr sz="1200"/>
            </a:pPr>
            <a:r>
              <a:rPr lang="en-US" sz="1200"/>
              <a:t>Received and Disposed, SFY 2019</a:t>
            </a:r>
          </a:p>
          <a:p>
            <a:pPr>
              <a:defRPr sz="1200"/>
            </a:pPr>
            <a:endParaRPr lang="en-US" sz="1200"/>
          </a:p>
        </c:rich>
      </c:tx>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20907634218344939"/>
          <c:w val="0.87455722301670713"/>
          <c:h val="0.58762886249358837"/>
        </c:manualLayout>
      </c:layout>
      <c:barChart>
        <c:barDir val="col"/>
        <c:grouping val="clustered"/>
        <c:varyColors val="0"/>
        <c:ser>
          <c:idx val="0"/>
          <c:order val="0"/>
          <c:tx>
            <c:strRef>
              <c:f>'Data for Graphs'!$R$3</c:f>
              <c:strCache>
                <c:ptCount val="1"/>
                <c:pt idx="0">
                  <c:v>Received</c:v>
                </c:pt>
              </c:strCache>
            </c:strRef>
          </c:tx>
          <c:spPr>
            <a:solidFill>
              <a:schemeClr val="accent6"/>
            </a:solidFill>
            <a:ln>
              <a:noFill/>
            </a:ln>
            <a:effectLst/>
          </c:spPr>
          <c:invertIfNegative val="0"/>
          <c:cat>
            <c:numRef>
              <c:f>'Data for Graphs'!$K$4:$K$15</c:f>
              <c:numCache>
                <c:formatCode>mmm\-yy</c:formatCode>
                <c:ptCount val="12"/>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numCache>
            </c:numRef>
          </c:cat>
          <c:val>
            <c:numRef>
              <c:f>'Data for Graphs'!$R$4:$R$15</c:f>
              <c:numCache>
                <c:formatCode>General</c:formatCode>
                <c:ptCount val="12"/>
                <c:pt idx="0">
                  <c:v>4</c:v>
                </c:pt>
                <c:pt idx="1">
                  <c:v>10</c:v>
                </c:pt>
                <c:pt idx="2">
                  <c:v>4</c:v>
                </c:pt>
                <c:pt idx="3">
                  <c:v>6</c:v>
                </c:pt>
                <c:pt idx="4">
                  <c:v>3</c:v>
                </c:pt>
                <c:pt idx="5">
                  <c:v>3</c:v>
                </c:pt>
                <c:pt idx="6">
                  <c:v>4</c:v>
                </c:pt>
                <c:pt idx="7">
                  <c:v>5</c:v>
                </c:pt>
                <c:pt idx="8">
                  <c:v>0</c:v>
                </c:pt>
                <c:pt idx="9">
                  <c:v>2</c:v>
                </c:pt>
                <c:pt idx="10">
                  <c:v>10</c:v>
                </c:pt>
                <c:pt idx="11">
                  <c:v>7</c:v>
                </c:pt>
              </c:numCache>
            </c:numRef>
          </c:val>
          <c:extLst>
            <c:ext xmlns:c16="http://schemas.microsoft.com/office/drawing/2014/chart" uri="{C3380CC4-5D6E-409C-BE32-E72D297353CC}">
              <c16:uniqueId val="{00000000-DB8A-4A0D-ADF5-9D30E840E845}"/>
            </c:ext>
          </c:extLst>
        </c:ser>
        <c:ser>
          <c:idx val="1"/>
          <c:order val="1"/>
          <c:tx>
            <c:strRef>
              <c:f>'Data for Graphs'!$S$3</c:f>
              <c:strCache>
                <c:ptCount val="1"/>
                <c:pt idx="0">
                  <c:v>Disposed</c:v>
                </c:pt>
              </c:strCache>
            </c:strRef>
          </c:tx>
          <c:spPr>
            <a:solidFill>
              <a:schemeClr val="accent5"/>
            </a:solidFill>
            <a:ln>
              <a:noFill/>
            </a:ln>
            <a:effectLst/>
          </c:spPr>
          <c:invertIfNegative val="0"/>
          <c:cat>
            <c:numRef>
              <c:f>'Data for Graphs'!$K$4:$K$15</c:f>
              <c:numCache>
                <c:formatCode>mmm\-yy</c:formatCode>
                <c:ptCount val="12"/>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numCache>
            </c:numRef>
          </c:cat>
          <c:val>
            <c:numRef>
              <c:f>'Data for Graphs'!$S$4:$S$15</c:f>
              <c:numCache>
                <c:formatCode>General</c:formatCode>
                <c:ptCount val="12"/>
                <c:pt idx="0">
                  <c:v>4</c:v>
                </c:pt>
                <c:pt idx="1">
                  <c:v>10</c:v>
                </c:pt>
                <c:pt idx="2">
                  <c:v>2</c:v>
                </c:pt>
                <c:pt idx="3">
                  <c:v>10</c:v>
                </c:pt>
                <c:pt idx="4">
                  <c:v>0</c:v>
                </c:pt>
                <c:pt idx="5">
                  <c:v>6</c:v>
                </c:pt>
                <c:pt idx="6">
                  <c:v>3</c:v>
                </c:pt>
                <c:pt idx="7">
                  <c:v>3</c:v>
                </c:pt>
                <c:pt idx="8">
                  <c:v>3</c:v>
                </c:pt>
                <c:pt idx="9">
                  <c:v>2</c:v>
                </c:pt>
                <c:pt idx="10">
                  <c:v>5</c:v>
                </c:pt>
                <c:pt idx="11">
                  <c:v>7</c:v>
                </c:pt>
              </c:numCache>
            </c:numRef>
          </c:val>
          <c:extLst>
            <c:ext xmlns:c16="http://schemas.microsoft.com/office/drawing/2014/chart" uri="{C3380CC4-5D6E-409C-BE32-E72D297353CC}">
              <c16:uniqueId val="{00000001-DB8A-4A0D-ADF5-9D30E840E845}"/>
            </c:ext>
          </c:extLst>
        </c:ser>
        <c:dLbls>
          <c:showLegendKey val="0"/>
          <c:showVal val="0"/>
          <c:showCatName val="0"/>
          <c:showSerName val="0"/>
          <c:showPercent val="0"/>
          <c:showBubbleSize val="0"/>
        </c:dLbls>
        <c:gapWidth val="150"/>
        <c:axId val="81091584"/>
        <c:axId val="81101568"/>
      </c:barChart>
      <c:dateAx>
        <c:axId val="81091584"/>
        <c:scaling>
          <c:orientation val="minMax"/>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1101568"/>
        <c:crosses val="autoZero"/>
        <c:auto val="1"/>
        <c:lblOffset val="100"/>
        <c:baseTimeUnit val="months"/>
        <c:majorUnit val="1"/>
        <c:majorTimeUnit val="months"/>
      </c:dateAx>
      <c:valAx>
        <c:axId val="81101568"/>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1091584"/>
        <c:crosses val="autoZero"/>
        <c:crossBetween val="between"/>
      </c:valAx>
      <c:spPr>
        <a:solidFill>
          <a:schemeClr val="bg1"/>
        </a:solidFill>
        <a:ln>
          <a:noFill/>
        </a:ln>
        <a:effectLst/>
      </c:spPr>
    </c:plotArea>
    <c:legend>
      <c:legendPos val="r"/>
      <c:layout>
        <c:manualLayout>
          <c:xMode val="edge"/>
          <c:yMode val="edge"/>
          <c:x val="0.48356036458243595"/>
          <c:y val="0.16306234325935337"/>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TANF Clients</a:t>
            </a:r>
          </a:p>
        </c:rich>
      </c:tx>
      <c:layout>
        <c:manualLayout>
          <c:xMode val="edge"/>
          <c:yMode val="edge"/>
          <c:x val="0.27140500955899033"/>
          <c:y val="2.916346593368801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870127345192964"/>
          <c:y val="0.16463268228884667"/>
          <c:w val="0.78993810958815336"/>
          <c:h val="0.64352878758683019"/>
        </c:manualLayout>
      </c:layout>
      <c:barChart>
        <c:barDir val="col"/>
        <c:grouping val="clustered"/>
        <c:varyColors val="0"/>
        <c:ser>
          <c:idx val="0"/>
          <c:order val="0"/>
          <c:tx>
            <c:strRef>
              <c:f>Profile!$E$116</c:f>
              <c:strCache>
                <c:ptCount val="1"/>
                <c:pt idx="0">
                  <c:v>TANF</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Profile!$B$117:$C$124</c:f>
              <c:strCache>
                <c:ptCount val="8"/>
                <c:pt idx="0">
                  <c:v>2012</c:v>
                </c:pt>
                <c:pt idx="1">
                  <c:v>2013</c:v>
                </c:pt>
                <c:pt idx="2">
                  <c:v>2014</c:v>
                </c:pt>
                <c:pt idx="3">
                  <c:v>2015</c:v>
                </c:pt>
                <c:pt idx="4">
                  <c:v>2016</c:v>
                </c:pt>
                <c:pt idx="5">
                  <c:v>2017</c:v>
                </c:pt>
                <c:pt idx="6">
                  <c:v>2018</c:v>
                </c:pt>
                <c:pt idx="7">
                  <c:v>2019</c:v>
                </c:pt>
              </c:strCache>
            </c:strRef>
          </c:cat>
          <c:val>
            <c:numRef>
              <c:f>Profile!$E$117:$E$124</c:f>
              <c:numCache>
                <c:formatCode>#,##0</c:formatCode>
                <c:ptCount val="8"/>
                <c:pt idx="0">
                  <c:v>859</c:v>
                </c:pt>
                <c:pt idx="1">
                  <c:v>835</c:v>
                </c:pt>
                <c:pt idx="2">
                  <c:v>728</c:v>
                </c:pt>
                <c:pt idx="3">
                  <c:v>640</c:v>
                </c:pt>
                <c:pt idx="4">
                  <c:v>581</c:v>
                </c:pt>
                <c:pt idx="5">
                  <c:v>520</c:v>
                </c:pt>
                <c:pt idx="6">
                  <c:v>382</c:v>
                </c:pt>
                <c:pt idx="7">
                  <c:v>374</c:v>
                </c:pt>
              </c:numCache>
            </c:numRef>
          </c:val>
          <c:extLst>
            <c:ext xmlns:c16="http://schemas.microsoft.com/office/drawing/2014/chart" uri="{C3380CC4-5D6E-409C-BE32-E72D297353CC}">
              <c16:uniqueId val="{00000000-B2DD-4A2A-89CA-CB1A4A2F42E0}"/>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Medical Assistance Clients</a:t>
            </a:r>
          </a:p>
        </c:rich>
      </c:tx>
      <c:layout>
        <c:manualLayout>
          <c:xMode val="edge"/>
          <c:yMode val="edge"/>
          <c:x val="0.14418687025823901"/>
          <c:y val="2.916346593368801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75217747463096"/>
          <c:y val="0.16463268228884667"/>
          <c:w val="0.79111790962435424"/>
          <c:h val="0.64352878758683019"/>
        </c:manualLayout>
      </c:layout>
      <c:barChart>
        <c:barDir val="col"/>
        <c:grouping val="clustered"/>
        <c:varyColors val="0"/>
        <c:ser>
          <c:idx val="0"/>
          <c:order val="0"/>
          <c:tx>
            <c:v>Medical Assistance</c:v>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Profile!$B$117:$C$124</c:f>
              <c:strCache>
                <c:ptCount val="8"/>
                <c:pt idx="0">
                  <c:v>2012</c:v>
                </c:pt>
                <c:pt idx="1">
                  <c:v>2013</c:v>
                </c:pt>
                <c:pt idx="2">
                  <c:v>2014</c:v>
                </c:pt>
                <c:pt idx="3">
                  <c:v>2015</c:v>
                </c:pt>
                <c:pt idx="4">
                  <c:v>2016</c:v>
                </c:pt>
                <c:pt idx="5">
                  <c:v>2017</c:v>
                </c:pt>
                <c:pt idx="6">
                  <c:v>2018</c:v>
                </c:pt>
                <c:pt idx="7">
                  <c:v>2019</c:v>
                </c:pt>
              </c:strCache>
            </c:strRef>
          </c:cat>
          <c:val>
            <c:numRef>
              <c:f>Profile!$F$117:$F$124</c:f>
              <c:numCache>
                <c:formatCode>#,##0</c:formatCode>
                <c:ptCount val="8"/>
                <c:pt idx="0">
                  <c:v>7700</c:v>
                </c:pt>
                <c:pt idx="1">
                  <c:v>8722</c:v>
                </c:pt>
                <c:pt idx="2">
                  <c:v>8891</c:v>
                </c:pt>
                <c:pt idx="3">
                  <c:v>9155</c:v>
                </c:pt>
                <c:pt idx="4">
                  <c:v>9712</c:v>
                </c:pt>
                <c:pt idx="5">
                  <c:v>9581</c:v>
                </c:pt>
                <c:pt idx="6">
                  <c:v>9533</c:v>
                </c:pt>
                <c:pt idx="7">
                  <c:v>10729</c:v>
                </c:pt>
              </c:numCache>
            </c:numRef>
          </c:val>
          <c:extLst>
            <c:ext xmlns:c16="http://schemas.microsoft.com/office/drawing/2014/chart" uri="{C3380CC4-5D6E-409C-BE32-E72D297353CC}">
              <c16:uniqueId val="{00000000-A7F1-44C2-8C7D-BD3513433E02}"/>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Total Social Services Spending by Funding Source, SFY 2019</a:t>
            </a:r>
          </a:p>
          <a:p>
            <a:pPr>
              <a:defRPr sz="1000"/>
            </a:pPr>
            <a:endParaRPr lang="en-US" sz="1000"/>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6314116985376831"/>
          <c:y val="0.23071449402158065"/>
          <c:w val="0.50667729033870768"/>
          <c:h val="0.61019200556919628"/>
        </c:manualLayout>
      </c:layout>
      <c:pieChart>
        <c:varyColors val="1"/>
        <c:ser>
          <c:idx val="1"/>
          <c:order val="0"/>
          <c:tx>
            <c:v>Total SS Spending</c:v>
          </c:tx>
          <c:dPt>
            <c:idx val="0"/>
            <c:bubble3D val="0"/>
            <c:spPr>
              <a:solidFill>
                <a:schemeClr val="accent2"/>
              </a:solidFill>
              <a:ln>
                <a:noFill/>
              </a:ln>
              <a:effectLst/>
            </c:spPr>
            <c:extLst>
              <c:ext xmlns:c16="http://schemas.microsoft.com/office/drawing/2014/chart" uri="{C3380CC4-5D6E-409C-BE32-E72D297353CC}">
                <c16:uniqueId val="{0000000E-042B-4F9C-A0DC-768B43DEE1E9}"/>
              </c:ext>
            </c:extLst>
          </c:dPt>
          <c:dPt>
            <c:idx val="1"/>
            <c:bubble3D val="0"/>
            <c:spPr>
              <a:solidFill>
                <a:schemeClr val="accent4"/>
              </a:solidFill>
              <a:ln>
                <a:noFill/>
              </a:ln>
              <a:effectLst/>
            </c:spPr>
            <c:extLst>
              <c:ext xmlns:c16="http://schemas.microsoft.com/office/drawing/2014/chart" uri="{C3380CC4-5D6E-409C-BE32-E72D297353CC}">
                <c16:uniqueId val="{0000000F-042B-4F9C-A0DC-768B43DEE1E9}"/>
              </c:ext>
            </c:extLst>
          </c:dPt>
          <c:dPt>
            <c:idx val="2"/>
            <c:bubble3D val="0"/>
            <c:spPr>
              <a:solidFill>
                <a:schemeClr val="accent6"/>
              </a:solidFill>
              <a:ln>
                <a:noFill/>
              </a:ln>
              <a:effectLst/>
            </c:spPr>
            <c:extLst>
              <c:ext xmlns:c16="http://schemas.microsoft.com/office/drawing/2014/chart" uri="{C3380CC4-5D6E-409C-BE32-E72D297353CC}">
                <c16:uniqueId val="{00000010-042B-4F9C-A0DC-768B43DEE1E9}"/>
              </c:ext>
            </c:extLst>
          </c:dPt>
          <c:dPt>
            <c:idx val="3"/>
            <c:bubble3D val="0"/>
            <c:spPr>
              <a:solidFill>
                <a:schemeClr val="accent2">
                  <a:lumMod val="60000"/>
                </a:schemeClr>
              </a:solidFill>
              <a:ln>
                <a:noFill/>
              </a:ln>
              <a:effectLst/>
            </c:spPr>
            <c:extLst>
              <c:ext xmlns:c16="http://schemas.microsoft.com/office/drawing/2014/chart" uri="{C3380CC4-5D6E-409C-BE32-E72D297353CC}">
                <c16:uniqueId val="{00000011-042B-4F9C-A0DC-768B43DEE1E9}"/>
              </c:ext>
            </c:extLst>
          </c:dPt>
          <c:dLbls>
            <c:dLbl>
              <c:idx val="0"/>
              <c:layout>
                <c:manualLayout>
                  <c:x val="1.7816679165104356E-2"/>
                  <c:y val="-1.7158769132353081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3193650793650793"/>
                      <c:h val="0.24764635603345281"/>
                    </c:manualLayout>
                  </c15:layout>
                </c:ext>
                <c:ext xmlns:c16="http://schemas.microsoft.com/office/drawing/2014/chart" uri="{C3380CC4-5D6E-409C-BE32-E72D297353CC}">
                  <c16:uniqueId val="{0000000E-042B-4F9C-A0DC-768B43DEE1E9}"/>
                </c:ext>
              </c:extLst>
            </c:dLbl>
            <c:dLbl>
              <c:idx val="1"/>
              <c:layout>
                <c:manualLayout>
                  <c:x val="0.15059273840769888"/>
                  <c:y val="0.1229610814777185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9555555555555552"/>
                      <c:h val="0.24764635603345281"/>
                    </c:manualLayout>
                  </c15:layout>
                </c:ext>
                <c:ext xmlns:c16="http://schemas.microsoft.com/office/drawing/2014/chart" uri="{C3380CC4-5D6E-409C-BE32-E72D297353CC}">
                  <c16:uniqueId val="{0000000F-042B-4F9C-A0DC-768B43DEE1E9}"/>
                </c:ext>
              </c:extLst>
            </c:dLbl>
            <c:dLbl>
              <c:idx val="2"/>
              <c:layout>
                <c:manualLayout>
                  <c:x val="7.1482470941132387E-2"/>
                  <c:y val="-9.0096802415827057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8549650043744534"/>
                      <c:h val="0.18931918456429506"/>
                    </c:manualLayout>
                  </c15:layout>
                </c:ext>
                <c:ext xmlns:c16="http://schemas.microsoft.com/office/drawing/2014/chart" uri="{C3380CC4-5D6E-409C-BE32-E72D297353CC}">
                  <c16:uniqueId val="{00000010-042B-4F9C-A0DC-768B43DEE1E9}"/>
                </c:ext>
              </c:extLst>
            </c:dLbl>
            <c:dLbl>
              <c:idx val="3"/>
              <c:layout>
                <c:manualLayout>
                  <c:x val="5.1584176977877635E-3"/>
                  <c:y val="8.1362571614032111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6380952380952377"/>
                      <c:h val="0.18931918456429506"/>
                    </c:manualLayout>
                  </c15:layout>
                </c:ext>
                <c:ext xmlns:c16="http://schemas.microsoft.com/office/drawing/2014/chart" uri="{C3380CC4-5D6E-409C-BE32-E72D297353CC}">
                  <c16:uniqueId val="{00000011-042B-4F9C-A0DC-768B43DEE1E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'Spending By Region'!$D$3:$G$3</c:f>
              <c:strCache>
                <c:ptCount val="4"/>
                <c:pt idx="0">
                  <c:v>Federal</c:v>
                </c:pt>
                <c:pt idx="1">
                  <c:v>State</c:v>
                </c:pt>
                <c:pt idx="2">
                  <c:v>Local</c:v>
                </c:pt>
                <c:pt idx="3">
                  <c:v>NER</c:v>
                </c:pt>
              </c:strCache>
            </c:strRef>
          </c:cat>
          <c:val>
            <c:numRef>
              <c:f>'Spending By Region'!$D$24:$G$24</c:f>
              <c:numCache>
                <c:formatCode>"$"#,##0</c:formatCode>
                <c:ptCount val="4"/>
                <c:pt idx="0">
                  <c:v>6890100248.4933605</c:v>
                </c:pt>
                <c:pt idx="1">
                  <c:v>5505302563.5188608</c:v>
                </c:pt>
                <c:pt idx="2">
                  <c:v>383634933.20999998</c:v>
                </c:pt>
                <c:pt idx="3">
                  <c:v>45836243.559999995</c:v>
                </c:pt>
              </c:numCache>
            </c:numRef>
          </c:val>
          <c:extLst>
            <c:ext xmlns:c16="http://schemas.microsoft.com/office/drawing/2014/chart" uri="{C3380CC4-5D6E-409C-BE32-E72D297353CC}">
              <c16:uniqueId val="{0000000B-042B-4F9C-A0DC-768B43DEE1E9}"/>
            </c:ext>
          </c:extLst>
        </c:ser>
        <c:dLbls>
          <c:showLegendKey val="0"/>
          <c:showVal val="0"/>
          <c:showCatName val="0"/>
          <c:showSerName val="0"/>
          <c:showPercent val="0"/>
          <c:showBubbleSize val="0"/>
          <c:showLeaderLines val="1"/>
        </c:dLbls>
        <c:firstSliceAng val="129"/>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Social Services Spending by Category, SFY 2019	</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7110181702064695"/>
          <c:y val="0.25713777835724783"/>
          <c:w val="0.50216313465267881"/>
          <c:h val="0.61093470121959081"/>
        </c:manualLayout>
      </c:layout>
      <c:pieChart>
        <c:varyColors val="1"/>
        <c:ser>
          <c:idx val="4"/>
          <c:order val="4"/>
          <c:tx>
            <c:strRef>
              <c:f>'Data for Graphs'!$A$31</c:f>
              <c:strCache>
                <c:ptCount val="1"/>
                <c:pt idx="0">
                  <c:v>Total</c:v>
                </c:pt>
              </c:strCache>
            </c:strRef>
          </c:tx>
          <c:dPt>
            <c:idx val="0"/>
            <c:bubble3D val="0"/>
            <c:spPr>
              <a:solidFill>
                <a:schemeClr val="accent2"/>
              </a:solidFill>
              <a:ln>
                <a:noFill/>
              </a:ln>
              <a:effectLst/>
            </c:spPr>
            <c:extLst>
              <c:ext xmlns:c16="http://schemas.microsoft.com/office/drawing/2014/chart" uri="{C3380CC4-5D6E-409C-BE32-E72D297353CC}">
                <c16:uniqueId val="{0000000C-584C-4903-872A-4C9AC43B9A6A}"/>
              </c:ext>
            </c:extLst>
          </c:dPt>
          <c:dPt>
            <c:idx val="1"/>
            <c:bubble3D val="0"/>
            <c:spPr>
              <a:solidFill>
                <a:schemeClr val="accent4"/>
              </a:solidFill>
              <a:ln>
                <a:noFill/>
              </a:ln>
              <a:effectLst/>
            </c:spPr>
            <c:extLst>
              <c:ext xmlns:c16="http://schemas.microsoft.com/office/drawing/2014/chart" uri="{C3380CC4-5D6E-409C-BE32-E72D297353CC}">
                <c16:uniqueId val="{0000000B-584C-4903-872A-4C9AC43B9A6A}"/>
              </c:ext>
            </c:extLst>
          </c:dPt>
          <c:dPt>
            <c:idx val="2"/>
            <c:bubble3D val="0"/>
            <c:spPr>
              <a:solidFill>
                <a:schemeClr val="accent6"/>
              </a:solidFill>
              <a:ln>
                <a:noFill/>
              </a:ln>
              <a:effectLst/>
            </c:spPr>
            <c:extLst>
              <c:ext xmlns:c16="http://schemas.microsoft.com/office/drawing/2014/chart" uri="{C3380CC4-5D6E-409C-BE32-E72D297353CC}">
                <c16:uniqueId val="{0000000D-584C-4903-872A-4C9AC43B9A6A}"/>
              </c:ext>
            </c:extLst>
          </c:dPt>
          <c:dLbls>
            <c:dLbl>
              <c:idx val="0"/>
              <c:layout>
                <c:manualLayout>
                  <c:x val="7.91295746785361E-3"/>
                  <c:y val="-7.2846083232957853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34520276953511375"/>
                      <c:h val="0.15764133616027132"/>
                    </c:manualLayout>
                  </c15:layout>
                </c:ext>
                <c:ext xmlns:c16="http://schemas.microsoft.com/office/drawing/2014/chart" uri="{C3380CC4-5D6E-409C-BE32-E72D297353CC}">
                  <c16:uniqueId val="{0000000C-584C-4903-872A-4C9AC43B9A6A}"/>
                </c:ext>
              </c:extLst>
            </c:dLbl>
            <c:dLbl>
              <c:idx val="1"/>
              <c:layout>
                <c:manualLayout>
                  <c:x val="5.0257249001144873E-2"/>
                  <c:y val="0.3492912061964216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28280909990108799"/>
                      <c:h val="0.20031298963851932"/>
                    </c:manualLayout>
                  </c15:layout>
                </c:ext>
                <c:ext xmlns:c16="http://schemas.microsoft.com/office/drawing/2014/chart" uri="{C3380CC4-5D6E-409C-BE32-E72D297353CC}">
                  <c16:uniqueId val="{0000000B-584C-4903-872A-4C9AC43B9A6A}"/>
                </c:ext>
              </c:extLst>
            </c:dLbl>
            <c:dLbl>
              <c:idx val="2"/>
              <c:layout>
                <c:manualLayout>
                  <c:x val="2.427299703264095E-2"/>
                  <c:y val="8.4380990787689236E-2"/>
                </c:manualLayout>
              </c:layout>
              <c:showLegendKey val="0"/>
              <c:showVal val="1"/>
              <c:showCatName val="1"/>
              <c:showSerName val="0"/>
              <c:showPercent val="1"/>
              <c:showBubbleSize val="0"/>
              <c:separator>; </c:separator>
              <c:extLst>
                <c:ext xmlns:c15="http://schemas.microsoft.com/office/drawing/2012/chart" uri="{CE6537A1-D6FC-4f65-9D91-7224C49458BB}">
                  <c15:layout>
                    <c:manualLayout>
                      <c:w val="0.29467853610286843"/>
                      <c:h val="0.19068603781193788"/>
                    </c:manualLayout>
                  </c15:layout>
                </c:ext>
                <c:ext xmlns:c16="http://schemas.microsoft.com/office/drawing/2014/chart" uri="{C3380CC4-5D6E-409C-BE32-E72D297353CC}">
                  <c16:uniqueId val="{0000000D-584C-4903-872A-4C9AC43B9A6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'Data for Graphs'!$B$26:$D$26</c:f>
              <c:strCache>
                <c:ptCount val="3"/>
                <c:pt idx="0">
                  <c:v>Administration</c:v>
                </c:pt>
                <c:pt idx="1">
                  <c:v>Services</c:v>
                </c:pt>
                <c:pt idx="2">
                  <c:v>Benefits</c:v>
                </c:pt>
              </c:strCache>
            </c:strRef>
          </c:cat>
          <c:val>
            <c:numRef>
              <c:f>'Data for Graphs'!$B$31:$D$31</c:f>
              <c:numCache>
                <c:formatCode>_("$"* #,##0_);_("$"* \(#,##0\);_("$"* "-"??_);_(@_)</c:formatCode>
                <c:ptCount val="3"/>
                <c:pt idx="0">
                  <c:v>722848374.25999999</c:v>
                </c:pt>
                <c:pt idx="1">
                  <c:v>29037521.700000003</c:v>
                </c:pt>
                <c:pt idx="2">
                  <c:v>12072988092.822222</c:v>
                </c:pt>
              </c:numCache>
            </c:numRef>
          </c:val>
          <c:extLst>
            <c:ext xmlns:c16="http://schemas.microsoft.com/office/drawing/2014/chart" uri="{C3380CC4-5D6E-409C-BE32-E72D297353CC}">
              <c16:uniqueId val="{0000000A-584C-4903-872A-4C9AC43B9A6A}"/>
            </c:ext>
          </c:extLst>
        </c:ser>
        <c:dLbls>
          <c:showLegendKey val="0"/>
          <c:showVal val="0"/>
          <c:showCatName val="0"/>
          <c:showSerName val="0"/>
          <c:showPercent val="0"/>
          <c:showBubbleSize val="0"/>
          <c:showLeaderLines val="1"/>
        </c:dLbls>
        <c:firstSliceAng val="45"/>
        <c:extLst>
          <c:ext xmlns:c15="http://schemas.microsoft.com/office/drawing/2012/chart" uri="{02D57815-91ED-43cb-92C2-25804820EDAC}">
            <c15:filteredPieSeries>
              <c15:ser>
                <c:idx val="2"/>
                <c:order val="0"/>
                <c:tx>
                  <c:strRef>
                    <c:extLst>
                      <c:ext uri="{02D57815-91ED-43cb-92C2-25804820EDAC}">
                        <c15:formulaRef>
                          <c15:sqref>'Data for Graphs'!$A$27</c15:sqref>
                        </c15:formulaRef>
                      </c:ext>
                    </c:extLst>
                    <c:strCache>
                      <c:ptCount val="1"/>
                      <c:pt idx="0">
                        <c:v>Federal</c:v>
                      </c:pt>
                    </c:strCache>
                  </c:strRef>
                </c:tx>
                <c:dPt>
                  <c:idx val="0"/>
                  <c:bubble3D val="0"/>
                  <c:spPr>
                    <a:solidFill>
                      <a:schemeClr val="accent2"/>
                    </a:solidFill>
                    <a:ln>
                      <a:noFill/>
                    </a:ln>
                    <a:effectLst/>
                  </c:spPr>
                  <c:extLst>
                    <c:ext xmlns:c16="http://schemas.microsoft.com/office/drawing/2014/chart" uri="{C3380CC4-5D6E-409C-BE32-E72D297353CC}">
                      <c16:uniqueId val="{00000007-D5AC-4D52-A08A-B816757ABD20}"/>
                    </c:ext>
                  </c:extLst>
                </c:dPt>
                <c:dPt>
                  <c:idx val="1"/>
                  <c:bubble3D val="0"/>
                  <c:spPr>
                    <a:solidFill>
                      <a:schemeClr val="accent4"/>
                    </a:solidFill>
                    <a:ln>
                      <a:noFill/>
                    </a:ln>
                    <a:effectLst/>
                  </c:spPr>
                  <c:extLst>
                    <c:ext xmlns:c16="http://schemas.microsoft.com/office/drawing/2014/chart" uri="{C3380CC4-5D6E-409C-BE32-E72D297353CC}">
                      <c16:uniqueId val="{00000009-D5AC-4D52-A08A-B816757ABD20}"/>
                    </c:ext>
                  </c:extLst>
                </c:dPt>
                <c:dPt>
                  <c:idx val="2"/>
                  <c:bubble3D val="0"/>
                  <c:spPr>
                    <a:solidFill>
                      <a:schemeClr val="accent6"/>
                    </a:solidFill>
                    <a:ln>
                      <a:noFill/>
                    </a:ln>
                    <a:effectLst/>
                  </c:spPr>
                  <c:extLst>
                    <c:ext xmlns:c16="http://schemas.microsoft.com/office/drawing/2014/chart" uri="{C3380CC4-5D6E-409C-BE32-E72D297353CC}">
                      <c16:uniqueId val="{0000000B-D5AC-4D52-A08A-B816757ABD2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uri="{CE6537A1-D6FC-4f65-9D91-7224C49458BB}"/>
                  </c:extLst>
                </c:dLbls>
                <c:cat>
                  <c:strRef>
                    <c:extLst>
                      <c:ext uri="{02D57815-91ED-43cb-92C2-25804820EDAC}">
                        <c15:formulaRef>
                          <c15:sqref>'Data for Graphs'!$B$26:$D$26</c15:sqref>
                        </c15:formulaRef>
                      </c:ext>
                    </c:extLst>
                    <c:strCache>
                      <c:ptCount val="3"/>
                      <c:pt idx="0">
                        <c:v>Administration</c:v>
                      </c:pt>
                      <c:pt idx="1">
                        <c:v>Services</c:v>
                      </c:pt>
                      <c:pt idx="2">
                        <c:v>Benefits</c:v>
                      </c:pt>
                    </c:strCache>
                  </c:strRef>
                </c:cat>
                <c:val>
                  <c:numRef>
                    <c:extLst>
                      <c:ext uri="{02D57815-91ED-43cb-92C2-25804820EDAC}">
                        <c15:formulaRef>
                          <c15:sqref>'Data for Graphs'!$B$27:$D$27</c15:sqref>
                        </c15:formulaRef>
                      </c:ext>
                    </c:extLst>
                    <c:numCache>
                      <c:formatCode>_("$"* #,##0_);_("$"* \(#,##0\);_("$"* "-"??_);_(@_)</c:formatCode>
                      <c:ptCount val="3"/>
                      <c:pt idx="0">
                        <c:v>341173709.11590004</c:v>
                      </c:pt>
                      <c:pt idx="1">
                        <c:v>12276416.750000002</c:v>
                      </c:pt>
                      <c:pt idx="2">
                        <c:v>6536650122.6274605</c:v>
                      </c:pt>
                    </c:numCache>
                  </c:numRef>
                </c:val>
                <c:extLst>
                  <c:ext xmlns:c16="http://schemas.microsoft.com/office/drawing/2014/chart" uri="{C3380CC4-5D6E-409C-BE32-E72D297353CC}">
                    <c16:uniqueId val="{00000004-584C-4903-872A-4C9AC43B9A6A}"/>
                  </c:ext>
                </c:extLst>
              </c15:ser>
            </c15:filteredPieSeries>
            <c15:filteredPieSeries>
              <c15:ser>
                <c:idx val="0"/>
                <c:order val="1"/>
                <c:tx>
                  <c:strRef>
                    <c:extLst xmlns:c15="http://schemas.microsoft.com/office/drawing/2012/chart">
                      <c:ext xmlns:c15="http://schemas.microsoft.com/office/drawing/2012/chart" uri="{02D57815-91ED-43cb-92C2-25804820EDAC}">
                        <c15:formulaRef>
                          <c15:sqref>'Data for Graphs'!$A$28</c15:sqref>
                        </c15:formulaRef>
                      </c:ext>
                    </c:extLst>
                    <c:strCache>
                      <c:ptCount val="1"/>
                      <c:pt idx="0">
                        <c:v>State</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0D-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0F-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1-D5AC-4D52-A08A-B816757ABD20}"/>
                    </c:ext>
                  </c:extLst>
                </c:dPt>
                <c:cat>
                  <c:strRef>
                    <c:extLst xmlns:c15="http://schemas.microsoft.com/office/drawing/2012/chart">
                      <c:ext xmlns:c15="http://schemas.microsoft.com/office/drawing/2012/chart" uri="{02D57815-91ED-43cb-92C2-25804820EDAC}">
                        <c15:formulaRef>
                          <c15:sqref>'Data for Graphs'!$B$26:$D$26</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Graphs'!$B$28:$D$28</c15:sqref>
                        </c15:formulaRef>
                      </c:ext>
                    </c:extLst>
                    <c:numCache>
                      <c:formatCode>_("$"* #,##0_);_("$"* \(#,##0\);_("$"* "-"??_);_(@_)</c:formatCode>
                      <c:ptCount val="3"/>
                      <c:pt idx="0">
                        <c:v>124318479.13409998</c:v>
                      </c:pt>
                      <c:pt idx="1">
                        <c:v>8133023.4599999981</c:v>
                      </c:pt>
                      <c:pt idx="2">
                        <c:v>5372851060.9247608</c:v>
                      </c:pt>
                    </c:numCache>
                  </c:numRef>
                </c:val>
                <c:extLst xmlns:c15="http://schemas.microsoft.com/office/drawing/2012/chart">
                  <c:ext xmlns:c16="http://schemas.microsoft.com/office/drawing/2014/chart" uri="{C3380CC4-5D6E-409C-BE32-E72D297353CC}">
                    <c16:uniqueId val="{00000007-584C-4903-872A-4C9AC43B9A6A}"/>
                  </c:ext>
                </c:extLst>
              </c15:ser>
            </c15:filteredPieSeries>
            <c15:filteredPieSeries>
              <c15:ser>
                <c:idx val="1"/>
                <c:order val="2"/>
                <c:tx>
                  <c:strRef>
                    <c:extLst xmlns:c15="http://schemas.microsoft.com/office/drawing/2012/chart">
                      <c:ext xmlns:c15="http://schemas.microsoft.com/office/drawing/2012/chart" uri="{02D57815-91ED-43cb-92C2-25804820EDAC}">
                        <c15:formulaRef>
                          <c15:sqref>'Data for Graphs'!$A$29</c15:sqref>
                        </c15:formulaRef>
                      </c:ext>
                    </c:extLst>
                    <c:strCache>
                      <c:ptCount val="1"/>
                      <c:pt idx="0">
                        <c:v>Local</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13-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15-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7-D5AC-4D52-A08A-B816757ABD20}"/>
                    </c:ext>
                  </c:extLst>
                </c:dPt>
                <c:cat>
                  <c:strRef>
                    <c:extLst xmlns:c15="http://schemas.microsoft.com/office/drawing/2012/chart">
                      <c:ext xmlns:c15="http://schemas.microsoft.com/office/drawing/2012/chart" uri="{02D57815-91ED-43cb-92C2-25804820EDAC}">
                        <c15:formulaRef>
                          <c15:sqref>'Data for Graphs'!$B$26:$D$26</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Graphs'!$B$29:$D$29</c15:sqref>
                        </c15:formulaRef>
                      </c:ext>
                    </c:extLst>
                    <c:numCache>
                      <c:formatCode>_("$"* #,##0_);_("$"* \(#,##0\);_("$"* "-"??_);_(@_)</c:formatCode>
                      <c:ptCount val="3"/>
                      <c:pt idx="0">
                        <c:v>217085149.17999998</c:v>
                      </c:pt>
                      <c:pt idx="1">
                        <c:v>4138339.3400000008</c:v>
                      </c:pt>
                      <c:pt idx="2">
                        <c:v>162411444.69</c:v>
                      </c:pt>
                    </c:numCache>
                  </c:numRef>
                </c:val>
                <c:extLst xmlns:c15="http://schemas.microsoft.com/office/drawing/2012/chart">
                  <c:ext xmlns:c16="http://schemas.microsoft.com/office/drawing/2014/chart" uri="{C3380CC4-5D6E-409C-BE32-E72D297353CC}">
                    <c16:uniqueId val="{00000008-584C-4903-872A-4C9AC43B9A6A}"/>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'Data for Graphs'!$A$30</c15:sqref>
                        </c15:formulaRef>
                      </c:ext>
                    </c:extLst>
                    <c:strCache>
                      <c:ptCount val="1"/>
                      <c:pt idx="0">
                        <c:v>NER</c:v>
                      </c:pt>
                    </c:strCache>
                  </c:strRef>
                </c:tx>
                <c:dPt>
                  <c:idx val="0"/>
                  <c:bubble3D val="0"/>
                  <c:spPr>
                    <a:solidFill>
                      <a:schemeClr val="accent2"/>
                    </a:solidFill>
                    <a:ln>
                      <a:noFill/>
                    </a:ln>
                    <a:effectLst/>
                  </c:spPr>
                  <c:extLst xmlns:c15="http://schemas.microsoft.com/office/drawing/2012/chart">
                    <c:ext xmlns:c16="http://schemas.microsoft.com/office/drawing/2014/chart" uri="{C3380CC4-5D6E-409C-BE32-E72D297353CC}">
                      <c16:uniqueId val="{00000019-D5AC-4D52-A08A-B816757ABD20}"/>
                    </c:ext>
                  </c:extLst>
                </c:dPt>
                <c:dPt>
                  <c:idx val="1"/>
                  <c:bubble3D val="0"/>
                  <c:spPr>
                    <a:solidFill>
                      <a:schemeClr val="accent4"/>
                    </a:solidFill>
                    <a:ln>
                      <a:noFill/>
                    </a:ln>
                    <a:effectLst/>
                  </c:spPr>
                  <c:extLst xmlns:c15="http://schemas.microsoft.com/office/drawing/2012/chart">
                    <c:ext xmlns:c16="http://schemas.microsoft.com/office/drawing/2014/chart" uri="{C3380CC4-5D6E-409C-BE32-E72D297353CC}">
                      <c16:uniqueId val="{0000001B-D5AC-4D52-A08A-B816757ABD20}"/>
                    </c:ext>
                  </c:extLst>
                </c:dPt>
                <c:dPt>
                  <c:idx val="2"/>
                  <c:bubble3D val="0"/>
                  <c:spPr>
                    <a:solidFill>
                      <a:schemeClr val="accent6"/>
                    </a:solidFill>
                    <a:ln>
                      <a:noFill/>
                    </a:ln>
                    <a:effectLst/>
                  </c:spPr>
                  <c:extLst xmlns:c15="http://schemas.microsoft.com/office/drawing/2012/chart">
                    <c:ext xmlns:c16="http://schemas.microsoft.com/office/drawing/2014/chart" uri="{C3380CC4-5D6E-409C-BE32-E72D297353CC}">
                      <c16:uniqueId val="{0000001D-D5AC-4D52-A08A-B816757ABD20}"/>
                    </c:ext>
                  </c:extLst>
                </c:dPt>
                <c:cat>
                  <c:strRef>
                    <c:extLst xmlns:c15="http://schemas.microsoft.com/office/drawing/2012/chart">
                      <c:ext xmlns:c15="http://schemas.microsoft.com/office/drawing/2012/chart" uri="{02D57815-91ED-43cb-92C2-25804820EDAC}">
                        <c15:formulaRef>
                          <c15:sqref>'Data for Graphs'!$B$26:$D$26</c15:sqref>
                        </c15:formulaRef>
                      </c:ext>
                    </c:extLst>
                    <c:strCache>
                      <c:ptCount val="3"/>
                      <c:pt idx="0">
                        <c:v>Administration</c:v>
                      </c:pt>
                      <c:pt idx="1">
                        <c:v>Services</c:v>
                      </c:pt>
                      <c:pt idx="2">
                        <c:v>Benefits</c:v>
                      </c:pt>
                    </c:strCache>
                  </c:strRef>
                </c:cat>
                <c:val>
                  <c:numRef>
                    <c:extLst xmlns:c15="http://schemas.microsoft.com/office/drawing/2012/chart">
                      <c:ext xmlns:c15="http://schemas.microsoft.com/office/drawing/2012/chart" uri="{02D57815-91ED-43cb-92C2-25804820EDAC}">
                        <c15:formulaRef>
                          <c15:sqref>'Data for Graphs'!$B$30:$D$30</c15:sqref>
                        </c15:formulaRef>
                      </c:ext>
                    </c:extLst>
                    <c:numCache>
                      <c:formatCode>_("$"* #,##0_);_("$"* \(#,##0\);_("$"* "-"??_);_(@_)</c:formatCode>
                      <c:ptCount val="3"/>
                      <c:pt idx="0">
                        <c:v>40271036.829999998</c:v>
                      </c:pt>
                      <c:pt idx="1">
                        <c:v>4489742.1499999994</c:v>
                      </c:pt>
                      <c:pt idx="2">
                        <c:v>1075464.58</c:v>
                      </c:pt>
                    </c:numCache>
                  </c:numRef>
                </c:val>
                <c:extLst xmlns:c15="http://schemas.microsoft.com/office/drawing/2012/chart">
                  <c:ext xmlns:c16="http://schemas.microsoft.com/office/drawing/2014/chart" uri="{C3380CC4-5D6E-409C-BE32-E72D297353CC}">
                    <c16:uniqueId val="{00000009-584C-4903-872A-4C9AC43B9A6A}"/>
                  </c:ext>
                </c:extLst>
              </c15:ser>
            </c15:filteredPieSeries>
          </c:ext>
        </c:extLst>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r>
              <a:rPr lang="en-US" sz="1200"/>
              <a:t>Percentage of People (All Ages) &amp; children Living in Poverty, 2007-2018</a:t>
            </a:r>
          </a:p>
        </c:rich>
      </c:tx>
      <c:layout/>
      <c:overlay val="0"/>
      <c:spPr>
        <a:noFill/>
        <a:ln>
          <a:noFill/>
        </a:ln>
        <a:effectLst/>
      </c:spPr>
      <c:txPr>
        <a:bodyPr rot="0" spcFirstLastPara="1" vertOverflow="ellipsis" vert="horz" wrap="square" anchor="ctr" anchorCtr="1"/>
        <a:lstStyle/>
        <a:p>
          <a:pPr>
            <a:defRPr sz="12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416343936028979"/>
          <c:y val="0.27186461832131126"/>
          <c:w val="0.80380179750259229"/>
          <c:h val="0.53492061744030261"/>
        </c:manualLayout>
      </c:layout>
      <c:lineChart>
        <c:grouping val="standard"/>
        <c:varyColors val="0"/>
        <c:ser>
          <c:idx val="0"/>
          <c:order val="0"/>
          <c:tx>
            <c:v>All Ages</c:v>
          </c:tx>
          <c:spPr>
            <a:ln w="22225" cap="rnd">
              <a:solidFill>
                <a:schemeClr val="accent6"/>
              </a:solidFill>
              <a:round/>
            </a:ln>
            <a:effectLst/>
          </c:spPr>
          <c:marker>
            <c:symbol val="diamond"/>
            <c:size val="6"/>
            <c:spPr>
              <a:solidFill>
                <a:schemeClr val="accent6"/>
              </a:solidFill>
              <a:ln w="9525">
                <a:solidFill>
                  <a:schemeClr val="accent6"/>
                </a:solidFill>
                <a:round/>
              </a:ln>
              <a:effectLst/>
            </c:spPr>
          </c:marker>
          <c:cat>
            <c:numRef>
              <c:f>Profile!$B$28:$B$39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Profile!$C$28:$C$39</c:f>
              <c:numCache>
                <c:formatCode>0.0%</c:formatCode>
                <c:ptCount val="12"/>
                <c:pt idx="0">
                  <c:v>0.16800000000000001</c:v>
                </c:pt>
                <c:pt idx="1">
                  <c:v>0.20600000000000002</c:v>
                </c:pt>
                <c:pt idx="2">
                  <c:v>0.183</c:v>
                </c:pt>
                <c:pt idx="3">
                  <c:v>0.20499999999999999</c:v>
                </c:pt>
                <c:pt idx="4">
                  <c:v>0.193</c:v>
                </c:pt>
                <c:pt idx="5">
                  <c:v>0.19900000000000001</c:v>
                </c:pt>
                <c:pt idx="6">
                  <c:v>0.19252741881281887</c:v>
                </c:pt>
                <c:pt idx="7">
                  <c:v>0.19371551195585529</c:v>
                </c:pt>
                <c:pt idx="8">
                  <c:v>0.20385040530582166</c:v>
                </c:pt>
                <c:pt idx="9">
                  <c:v>0.19962491545225358</c:v>
                </c:pt>
                <c:pt idx="10">
                  <c:v>0.17779367844698854</c:v>
                </c:pt>
                <c:pt idx="11">
                  <c:v>0.17348373589975941</c:v>
                </c:pt>
              </c:numCache>
            </c:numRef>
          </c:val>
          <c:smooth val="0"/>
          <c:extLst>
            <c:ext xmlns:c16="http://schemas.microsoft.com/office/drawing/2014/chart" uri="{C3380CC4-5D6E-409C-BE32-E72D297353CC}">
              <c16:uniqueId val="{00000000-DBE3-4630-95CA-349749C9B5E1}"/>
            </c:ext>
          </c:extLst>
        </c:ser>
        <c:ser>
          <c:idx val="1"/>
          <c:order val="1"/>
          <c:tx>
            <c:v>Children (0-17)</c:v>
          </c:tx>
          <c:spPr>
            <a:ln w="22225" cap="rnd">
              <a:solidFill>
                <a:schemeClr val="accent5"/>
              </a:solidFill>
              <a:round/>
            </a:ln>
            <a:effectLst/>
          </c:spPr>
          <c:marker>
            <c:symbol val="square"/>
            <c:size val="6"/>
            <c:spPr>
              <a:solidFill>
                <a:schemeClr val="accent5"/>
              </a:solidFill>
              <a:ln w="9525">
                <a:solidFill>
                  <a:schemeClr val="accent5"/>
                </a:solidFill>
                <a:round/>
              </a:ln>
              <a:effectLst/>
            </c:spPr>
          </c:marker>
          <c:cat>
            <c:numRef>
              <c:f>Profile!$B$28:$B$39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Profile!$D$28:$D$39</c:f>
              <c:numCache>
                <c:formatCode>0.0%</c:formatCode>
                <c:ptCount val="12"/>
                <c:pt idx="0">
                  <c:v>0.25100000000000006</c:v>
                </c:pt>
                <c:pt idx="1">
                  <c:v>0.29699999999999999</c:v>
                </c:pt>
                <c:pt idx="2">
                  <c:v>0.27400000000000002</c:v>
                </c:pt>
                <c:pt idx="3">
                  <c:v>0.28699999999999998</c:v>
                </c:pt>
                <c:pt idx="4">
                  <c:v>0.30499999999999999</c:v>
                </c:pt>
                <c:pt idx="5">
                  <c:v>0.314</c:v>
                </c:pt>
                <c:pt idx="6">
                  <c:v>0.29439930354033661</c:v>
                </c:pt>
                <c:pt idx="7">
                  <c:v>0.30916311222238563</c:v>
                </c:pt>
                <c:pt idx="8">
                  <c:v>0.3097292472478429</c:v>
                </c:pt>
                <c:pt idx="9">
                  <c:v>0.31782713085234093</c:v>
                </c:pt>
                <c:pt idx="10">
                  <c:v>0.27984344422700586</c:v>
                </c:pt>
                <c:pt idx="11">
                  <c:v>0.26963711529627926</c:v>
                </c:pt>
              </c:numCache>
            </c:numRef>
          </c:val>
          <c:smooth val="0"/>
          <c:extLst>
            <c:ext xmlns:c16="http://schemas.microsoft.com/office/drawing/2014/chart" uri="{C3380CC4-5D6E-409C-BE32-E72D297353CC}">
              <c16:uniqueId val="{00000001-DBE3-4630-95CA-349749C9B5E1}"/>
            </c:ext>
          </c:extLst>
        </c:ser>
        <c:dLbls>
          <c:showLegendKey val="0"/>
          <c:showVal val="0"/>
          <c:showCatName val="0"/>
          <c:showSerName val="0"/>
          <c:showPercent val="0"/>
          <c:showBubbleSize val="0"/>
        </c:dLbls>
        <c:marker val="1"/>
        <c:smooth val="0"/>
        <c:axId val="80497664"/>
        <c:axId val="80507648"/>
      </c:lineChart>
      <c:catAx>
        <c:axId val="804976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80507648"/>
        <c:crosses val="autoZero"/>
        <c:auto val="1"/>
        <c:lblAlgn val="ctr"/>
        <c:lblOffset val="100"/>
        <c:tickLblSkip val="1"/>
        <c:noMultiLvlLbl val="0"/>
      </c:catAx>
      <c:valAx>
        <c:axId val="80507648"/>
        <c:scaling>
          <c:orientation val="minMax"/>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Percentage (%)</a:t>
                </a:r>
              </a:p>
            </c:rich>
          </c:tx>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497664"/>
        <c:crosses val="autoZero"/>
        <c:crossBetween val="midCat"/>
      </c:valAx>
      <c:spPr>
        <a:noFill/>
        <a:ln>
          <a:noFill/>
        </a:ln>
        <a:effectLst/>
      </c:spPr>
    </c:plotArea>
    <c:legend>
      <c:legendPos val="t"/>
      <c:layout>
        <c:manualLayout>
          <c:xMode val="edge"/>
          <c:yMode val="edge"/>
          <c:x val="0.23981742365711592"/>
          <c:y val="0.18787878787878787"/>
          <c:w val="0.43921599570408598"/>
          <c:h val="7.867187930180057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19050" cap="flat" cmpd="sng" algn="ctr">
      <a:solidFill>
        <a:schemeClr val="accent5">
          <a:lumMod val="75000"/>
        </a:schemeClr>
      </a:solidFill>
      <a:round/>
    </a:ln>
    <a:effectLst/>
  </c:spPr>
  <c:txPr>
    <a:bodyPr/>
    <a:lstStyle/>
    <a:p>
      <a:pPr>
        <a:defRPr/>
      </a:pPr>
      <a:endParaRPr lang="en-US"/>
    </a:p>
  </c:txPr>
  <c:printSettings>
    <c:headerFooter/>
    <c:pageMargins b="0.5" l="0.45" r="0.45" t="0.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Total Social Services Spending by Funding Source in Locality, SFY 2019</a:t>
            </a:r>
          </a:p>
          <a:p>
            <a:pPr>
              <a:defRPr sz="1000"/>
            </a:pPr>
            <a:endParaRPr lang="en-US" sz="1000"/>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3124144672531768"/>
          <c:y val="0.2254273332112556"/>
          <c:w val="0.52431616135959547"/>
          <c:h val="0.68989562351217726"/>
        </c:manualLayout>
      </c:layout>
      <c:ofPieChart>
        <c:ofPieType val="bar"/>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43AE-4C3D-8DF6-AD76D8F6D3C2}"/>
              </c:ext>
            </c:extLst>
          </c:dPt>
          <c:dPt>
            <c:idx val="1"/>
            <c:bubble3D val="0"/>
            <c:spPr>
              <a:solidFill>
                <a:schemeClr val="accent5"/>
              </a:solidFill>
              <a:ln>
                <a:noFill/>
              </a:ln>
              <a:effectLst/>
            </c:spPr>
            <c:extLst>
              <c:ext xmlns:c16="http://schemas.microsoft.com/office/drawing/2014/chart" uri="{C3380CC4-5D6E-409C-BE32-E72D297353CC}">
                <c16:uniqueId val="{00000003-0008-4016-9383-0528D2A71665}"/>
              </c:ext>
            </c:extLst>
          </c:dPt>
          <c:dPt>
            <c:idx val="2"/>
            <c:bubble3D val="0"/>
            <c:spPr>
              <a:solidFill>
                <a:schemeClr val="accent4"/>
              </a:solidFill>
              <a:ln>
                <a:noFill/>
              </a:ln>
              <a:effectLst/>
            </c:spPr>
            <c:extLst>
              <c:ext xmlns:c16="http://schemas.microsoft.com/office/drawing/2014/chart" uri="{C3380CC4-5D6E-409C-BE32-E72D297353CC}">
                <c16:uniqueId val="{00000006-BC8B-432A-8FC4-6884352D21E5}"/>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5-BC8B-432A-8FC4-6884352D21E5}"/>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2-0008-4016-9383-0528D2A71665}"/>
              </c:ext>
            </c:extLst>
          </c:dPt>
          <c:dLbls>
            <c:dLbl>
              <c:idx val="0"/>
              <c:layout>
                <c:manualLayout>
                  <c:x val="-7.0381231671554259E-2"/>
                  <c:y val="-6.2015503875967855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490728981457963"/>
                      <c:h val="0.10176744186046512"/>
                    </c:manualLayout>
                  </c15:layout>
                </c:ext>
                <c:ext xmlns:c16="http://schemas.microsoft.com/office/drawing/2014/chart" uri="{C3380CC4-5D6E-409C-BE32-E72D297353CC}">
                  <c16:uniqueId val="{00000001-43AE-4C3D-8DF6-AD76D8F6D3C2}"/>
                </c:ext>
              </c:extLst>
            </c:dLbl>
            <c:dLbl>
              <c:idx val="1"/>
              <c:layout>
                <c:manualLayout>
                  <c:x val="-0.31671554252199413"/>
                  <c:y val="2.4806201550387597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6152508062591884"/>
                      <c:h val="8.3162790697674419E-2"/>
                    </c:manualLayout>
                  </c15:layout>
                </c:ext>
                <c:ext xmlns:c16="http://schemas.microsoft.com/office/drawing/2014/chart" uri="{C3380CC4-5D6E-409C-BE32-E72D297353CC}">
                  <c16:uniqueId val="{00000003-0008-4016-9383-0528D2A71665}"/>
                </c:ext>
              </c:extLst>
            </c:dLbl>
            <c:dLbl>
              <c:idx val="2"/>
              <c:layout>
                <c:manualLayout>
                  <c:x val="6.8426197458455518E-2"/>
                  <c:y val="-9.0614886731391592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18099706744868035"/>
                      <c:h val="0.16998449612403102"/>
                    </c:manualLayout>
                  </c15:layout>
                </c:ext>
                <c:ext xmlns:c16="http://schemas.microsoft.com/office/drawing/2014/chart" uri="{C3380CC4-5D6E-409C-BE32-E72D297353CC}">
                  <c16:uniqueId val="{00000006-BC8B-432A-8FC4-6884352D21E5}"/>
                </c:ext>
              </c:extLst>
            </c:dLbl>
            <c:dLbl>
              <c:idx val="3"/>
              <c:layout>
                <c:manualLayout>
                  <c:x val="6.7597540043564927E-2"/>
                  <c:y val="2.360202649087468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1120681029240845"/>
                      <c:h val="0.16505450772141855"/>
                    </c:manualLayout>
                  </c15:layout>
                </c:ext>
                <c:ext xmlns:c16="http://schemas.microsoft.com/office/drawing/2014/chart" uri="{C3380CC4-5D6E-409C-BE32-E72D297353CC}">
                  <c16:uniqueId val="{00000005-BC8B-432A-8FC4-6884352D21E5}"/>
                </c:ext>
              </c:extLst>
            </c:dLbl>
            <c:dLbl>
              <c:idx val="4"/>
              <c:delete val="1"/>
              <c:extLst>
                <c:ext xmlns:c15="http://schemas.microsoft.com/office/drawing/2012/chart" uri="{CE6537A1-D6FC-4f65-9D91-7224C49458BB}"/>
                <c:ext xmlns:c16="http://schemas.microsoft.com/office/drawing/2014/chart" uri="{C3380CC4-5D6E-409C-BE32-E72D297353CC}">
                  <c16:uniqueId val="{00000002-0008-4016-9383-0528D2A7166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Profile!$J$187:$M$187</c:f>
              <c:strCache>
                <c:ptCount val="4"/>
                <c:pt idx="0">
                  <c:v>Federal</c:v>
                </c:pt>
                <c:pt idx="1">
                  <c:v>State</c:v>
                </c:pt>
                <c:pt idx="2">
                  <c:v>Local</c:v>
                </c:pt>
                <c:pt idx="3">
                  <c:v>NER</c:v>
                </c:pt>
              </c:strCache>
            </c:strRef>
          </c:cat>
          <c:val>
            <c:numRef>
              <c:f>Profile!$J$209:$M$209</c:f>
              <c:numCache>
                <c:formatCode>0%</c:formatCode>
                <c:ptCount val="4"/>
                <c:pt idx="0">
                  <c:v>0.56031921771814042</c:v>
                </c:pt>
                <c:pt idx="1">
                  <c:v>0.42711984004754761</c:v>
                </c:pt>
                <c:pt idx="2">
                  <c:v>1.0062684393365143E-2</c:v>
                </c:pt>
                <c:pt idx="3">
                  <c:v>2.4982578409463991E-3</c:v>
                </c:pt>
              </c:numCache>
            </c:numRef>
          </c:val>
          <c:extLst>
            <c:ext xmlns:c16="http://schemas.microsoft.com/office/drawing/2014/chart" uri="{C3380CC4-5D6E-409C-BE32-E72D297353CC}">
              <c16:uniqueId val="{00000002-43AE-4C3D-8DF6-AD76D8F6D3C2}"/>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shade val="95000"/>
                  <a:satMod val="105000"/>
                </a:schemeClr>
              </a:solidFill>
              <a:prstDash val="solid"/>
              <a:round/>
            </a:ln>
            <a:effectLst/>
          </c:spPr>
        </c:serLines>
      </c:of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32" l="0.70000000000000062" r="0.70000000000000062" t="0.750000000000013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000"/>
              <a:t>Distribution</a:t>
            </a:r>
            <a:r>
              <a:rPr lang="en-US" sz="1000" baseline="0"/>
              <a:t> of </a:t>
            </a:r>
            <a:r>
              <a:rPr lang="en-US" sz="1000"/>
              <a:t>Social Services Spending  in Locality, SFY 2019</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23836208157264949"/>
          <c:y val="0.29413666575260572"/>
          <c:w val="0.38742528151723316"/>
          <c:h val="0.65727373630535424"/>
        </c:manualLayout>
      </c:layout>
      <c:pieChart>
        <c:varyColors val="1"/>
        <c:ser>
          <c:idx val="0"/>
          <c:order val="0"/>
          <c:dPt>
            <c:idx val="0"/>
            <c:bubble3D val="0"/>
            <c:spPr>
              <a:solidFill>
                <a:schemeClr val="accent6"/>
              </a:solidFill>
              <a:ln>
                <a:noFill/>
              </a:ln>
              <a:effectLst/>
            </c:spPr>
            <c:extLst>
              <c:ext xmlns:c16="http://schemas.microsoft.com/office/drawing/2014/chart" uri="{C3380CC4-5D6E-409C-BE32-E72D297353CC}">
                <c16:uniqueId val="{00000001-BD6B-4D64-9BE8-D60F9BE529C4}"/>
              </c:ext>
            </c:extLst>
          </c:dPt>
          <c:dPt>
            <c:idx val="1"/>
            <c:bubble3D val="0"/>
            <c:spPr>
              <a:solidFill>
                <a:schemeClr val="accent5"/>
              </a:solidFill>
              <a:ln>
                <a:noFill/>
              </a:ln>
              <a:effectLst/>
            </c:spPr>
            <c:extLst>
              <c:ext xmlns:c16="http://schemas.microsoft.com/office/drawing/2014/chart" uri="{C3380CC4-5D6E-409C-BE32-E72D297353CC}">
                <c16:uniqueId val="{00000003-BD6B-4D64-9BE8-D60F9BE529C4}"/>
              </c:ext>
            </c:extLst>
          </c:dPt>
          <c:dPt>
            <c:idx val="2"/>
            <c:bubble3D val="0"/>
            <c:spPr>
              <a:solidFill>
                <a:schemeClr val="accent4"/>
              </a:solidFill>
              <a:ln>
                <a:noFill/>
              </a:ln>
              <a:effectLst/>
            </c:spPr>
            <c:extLst>
              <c:ext xmlns:c16="http://schemas.microsoft.com/office/drawing/2014/chart" uri="{C3380CC4-5D6E-409C-BE32-E72D297353CC}">
                <c16:uniqueId val="{00000005-BD6B-4D64-9BE8-D60F9BE529C4}"/>
              </c:ext>
            </c:extLst>
          </c:dPt>
          <c:dLbls>
            <c:dLbl>
              <c:idx val="0"/>
              <c:layout>
                <c:manualLayout>
                  <c:x val="0.20252910693855575"/>
                  <c:y val="7.7670157735137482E-2"/>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815009075841991"/>
                      <c:h val="0.20616188127999152"/>
                    </c:manualLayout>
                  </c15:layout>
                </c:ext>
                <c:ext xmlns:c16="http://schemas.microsoft.com/office/drawing/2014/chart" uri="{C3380CC4-5D6E-409C-BE32-E72D297353CC}">
                  <c16:uniqueId val="{00000001-BD6B-4D64-9BE8-D60F9BE529C4}"/>
                </c:ext>
              </c:extLst>
            </c:dLbl>
            <c:dLbl>
              <c:idx val="1"/>
              <c:layout>
                <c:manualLayout>
                  <c:x val="0.22005757827280137"/>
                  <c:y val="0.27184466019417475"/>
                </c:manualLayout>
              </c:layout>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720926337199303"/>
                      <c:h val="0.2142083938536809"/>
                    </c:manualLayout>
                  </c15:layout>
                </c:ext>
                <c:ext xmlns:c16="http://schemas.microsoft.com/office/drawing/2014/chart" uri="{C3380CC4-5D6E-409C-BE32-E72D297353CC}">
                  <c16:uniqueId val="{00000003-BD6B-4D64-9BE8-D60F9BE529C4}"/>
                </c:ext>
              </c:extLst>
            </c:dLbl>
            <c:dLbl>
              <c:idx val="2"/>
              <c:layout>
                <c:manualLayout>
                  <c:x val="-0.1644797391779019"/>
                  <c:y val="-3.88349514563108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D6B-4D64-9BE8-D60F9BE529C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Profile!$U$196:$W$196</c:f>
              <c:strCache>
                <c:ptCount val="3"/>
                <c:pt idx="0">
                  <c:v>Administration</c:v>
                </c:pt>
                <c:pt idx="1">
                  <c:v>Services</c:v>
                </c:pt>
                <c:pt idx="2">
                  <c:v>Benefits</c:v>
                </c:pt>
              </c:strCache>
            </c:strRef>
          </c:cat>
          <c:val>
            <c:numRef>
              <c:f>Profile!$U$203:$W$203</c:f>
              <c:numCache>
                <c:formatCode>0.0%</c:formatCode>
                <c:ptCount val="3"/>
                <c:pt idx="0">
                  <c:v>4.4965855948324619E-2</c:v>
                </c:pt>
                <c:pt idx="1">
                  <c:v>1.134481602937962E-3</c:v>
                </c:pt>
                <c:pt idx="2">
                  <c:v>0.95389966244873747</c:v>
                </c:pt>
              </c:numCache>
            </c:numRef>
          </c:val>
          <c:extLst>
            <c:ext xmlns:c16="http://schemas.microsoft.com/office/drawing/2014/chart" uri="{C3380CC4-5D6E-409C-BE32-E72D297353CC}">
              <c16:uniqueId val="{00000006-BD6B-4D64-9BE8-D60F9BE529C4}"/>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zero"/>
    <c:showDLblsOverMax val="0"/>
  </c:chart>
  <c:spPr>
    <a:solidFill>
      <a:schemeClr val="bg1"/>
    </a:solidFill>
    <a:ln w="25400" cap="flat" cmpd="sng" algn="ctr">
      <a:solidFill>
        <a:schemeClr val="accent4">
          <a:lumMod val="75000"/>
        </a:schemeClr>
      </a:solidFill>
      <a:prstDash val="solid"/>
      <a:round/>
    </a:ln>
    <a:effectLst/>
  </c:spPr>
  <c:txPr>
    <a:bodyPr/>
    <a:lstStyle/>
    <a:p>
      <a:pPr>
        <a:defRPr/>
      </a:pPr>
      <a:endParaRPr lang="en-US"/>
    </a:p>
  </c:txPr>
  <c:printSettings>
    <c:headerFooter/>
    <c:pageMargins b="0.75000000000001354" l="0.70000000000000062" r="0.70000000000000062" t="0.7500000000000135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SNAP Clients</a:t>
            </a:r>
          </a:p>
        </c:rich>
      </c:tx>
      <c:layout>
        <c:manualLayout>
          <c:xMode val="edge"/>
          <c:yMode val="edge"/>
          <c:x val="0.2590593305466446"/>
          <c:y val="4.013740757478481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81649978937818"/>
          <c:y val="0.16463268228884667"/>
          <c:w val="0.78582288325070482"/>
          <c:h val="0.64352878758683019"/>
        </c:manualLayout>
      </c:layout>
      <c:barChart>
        <c:barDir val="col"/>
        <c:grouping val="clustered"/>
        <c:varyColors val="0"/>
        <c:ser>
          <c:idx val="0"/>
          <c:order val="0"/>
          <c:tx>
            <c:strRef>
              <c:f>Profile!$D$116</c:f>
              <c:strCache>
                <c:ptCount val="1"/>
                <c:pt idx="0">
                  <c:v>SNAP</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Profile!$B$117:$C$124</c:f>
              <c:strCache>
                <c:ptCount val="8"/>
                <c:pt idx="0">
                  <c:v>2012</c:v>
                </c:pt>
                <c:pt idx="1">
                  <c:v>2013</c:v>
                </c:pt>
                <c:pt idx="2">
                  <c:v>2014</c:v>
                </c:pt>
                <c:pt idx="3">
                  <c:v>2015</c:v>
                </c:pt>
                <c:pt idx="4">
                  <c:v>2016</c:v>
                </c:pt>
                <c:pt idx="5">
                  <c:v>2017</c:v>
                </c:pt>
                <c:pt idx="6">
                  <c:v>2018</c:v>
                </c:pt>
                <c:pt idx="7">
                  <c:v>2019</c:v>
                </c:pt>
              </c:strCache>
            </c:strRef>
          </c:cat>
          <c:val>
            <c:numRef>
              <c:f>Profile!$D$117:$D$124</c:f>
              <c:numCache>
                <c:formatCode>#,##0</c:formatCode>
                <c:ptCount val="8"/>
                <c:pt idx="0">
                  <c:v>9085</c:v>
                </c:pt>
                <c:pt idx="1">
                  <c:v>9423</c:v>
                </c:pt>
                <c:pt idx="2">
                  <c:v>9215</c:v>
                </c:pt>
                <c:pt idx="3">
                  <c:v>8673</c:v>
                </c:pt>
                <c:pt idx="4">
                  <c:v>7971</c:v>
                </c:pt>
                <c:pt idx="5">
                  <c:v>7315</c:v>
                </c:pt>
                <c:pt idx="6">
                  <c:v>6811</c:v>
                </c:pt>
                <c:pt idx="7">
                  <c:v>6523</c:v>
                </c:pt>
              </c:numCache>
            </c:numRef>
          </c:val>
          <c:extLst>
            <c:ext xmlns:c16="http://schemas.microsoft.com/office/drawing/2014/chart" uri="{C3380CC4-5D6E-409C-BE32-E72D297353CC}">
              <c16:uniqueId val="{00000000-4618-4E45-99B6-119C04F1B819}"/>
            </c:ext>
          </c:extLst>
        </c:ser>
        <c:dLbls>
          <c:showLegendKey val="0"/>
          <c:showVal val="0"/>
          <c:showCatName val="0"/>
          <c:showSerName val="0"/>
          <c:showPercent val="0"/>
          <c:showBubbleSize val="0"/>
        </c:dLbls>
        <c:gapWidth val="100"/>
        <c:overlap val="-24"/>
        <c:axId val="80320768"/>
        <c:axId val="80334848"/>
      </c:barChart>
      <c:catAx>
        <c:axId val="803207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State Fiscal Year</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34848"/>
        <c:crosses val="autoZero"/>
        <c:auto val="1"/>
        <c:lblAlgn val="ctr"/>
        <c:lblOffset val="100"/>
        <c:noMultiLvlLbl val="0"/>
      </c:catAx>
      <c:valAx>
        <c:axId val="803348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n-US"/>
          </a:p>
        </c:txPr>
        <c:crossAx val="80320768"/>
        <c:crosses val="autoZero"/>
        <c:crossBetween val="between"/>
      </c:valAx>
      <c:spPr>
        <a:noFill/>
        <a:ln>
          <a:noFill/>
        </a:ln>
        <a:effectLst/>
      </c:spPr>
    </c:plotArea>
    <c:plotVisOnly val="1"/>
    <c:dispBlanksAs val="gap"/>
    <c:showDLblsOverMax val="0"/>
  </c:chart>
  <c:spPr>
    <a:solidFill>
      <a:schemeClr val="bg1"/>
    </a:solidFill>
    <a:ln w="15875" cap="flat" cmpd="sng" algn="ctr">
      <a:solidFill>
        <a:schemeClr val="accent4">
          <a:lumMod val="50000"/>
        </a:schemeClr>
      </a:solidFill>
      <a:round/>
    </a:ln>
    <a:effectLst/>
  </c:spPr>
  <c:txPr>
    <a:bodyPr/>
    <a:lstStyle/>
    <a:p>
      <a:pPr>
        <a:defRPr/>
      </a:pPr>
      <a:endParaRPr lang="en-US"/>
    </a:p>
  </c:txPr>
  <c:printSettings>
    <c:headerFooter/>
    <c:pageMargins b="0.75000000000001465" l="0.25" r="0.25" t="0.75000000000001465" header="0.30000000000000032" footer="0.30000000000000032"/>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Non-Marital</a:t>
            </a:r>
            <a:r>
              <a:rPr lang="en-US" sz="1200" baseline="0"/>
              <a:t> </a:t>
            </a:r>
            <a:r>
              <a:rPr lang="en-US" sz="1200"/>
              <a:t>Births, 1998-2018</a:t>
            </a:r>
          </a:p>
        </c:rich>
      </c:tx>
      <c:layout>
        <c:manualLayout>
          <c:xMode val="edge"/>
          <c:yMode val="edge"/>
          <c:x val="0.27221727718817756"/>
          <c:y val="1.666666666666670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2451063829787234"/>
          <c:y val="0.20532280214199244"/>
          <c:w val="0.83010576869380692"/>
          <c:h val="0.5588455818022745"/>
        </c:manualLayout>
      </c:layout>
      <c:lineChart>
        <c:grouping val="standard"/>
        <c:varyColors val="0"/>
        <c:ser>
          <c:idx val="0"/>
          <c:order val="0"/>
          <c:tx>
            <c:strRef>
              <c:f>'Data for Graphs'!$B$2</c:f>
              <c:strCache>
                <c:ptCount val="1"/>
                <c:pt idx="0">
                  <c:v>Accomack</c:v>
                </c:pt>
              </c:strCache>
            </c:strRef>
          </c:tx>
          <c:spPr>
            <a:ln w="28575" cap="rnd" cmpd="sng" algn="ctr">
              <a:solidFill>
                <a:schemeClr val="accent1">
                  <a:shade val="95000"/>
                  <a:satMod val="105000"/>
                </a:schemeClr>
              </a:solidFill>
              <a:prstDash val="solid"/>
              <a:round/>
            </a:ln>
            <a:effectLst/>
          </c:spPr>
          <c:marker>
            <c:symbol val="none"/>
          </c:marker>
          <c:cat>
            <c:numRef>
              <c:f>'Data for Graphs'!$A$3:$A$23</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'Data for Graphs'!$B$3:$B$23</c:f>
              <c:numCache>
                <c:formatCode>0.0%</c:formatCode>
                <c:ptCount val="21"/>
                <c:pt idx="0">
                  <c:v>0.5298329355608592</c:v>
                </c:pt>
                <c:pt idx="1">
                  <c:v>0.51756440281030447</c:v>
                </c:pt>
                <c:pt idx="2">
                  <c:v>0.4946236559139785</c:v>
                </c:pt>
                <c:pt idx="3">
                  <c:v>0.48988764044943822</c:v>
                </c:pt>
                <c:pt idx="4">
                  <c:v>0.54716981132075471</c:v>
                </c:pt>
                <c:pt idx="5">
                  <c:v>0.57236842105263153</c:v>
                </c:pt>
                <c:pt idx="6">
                  <c:v>0.55463917525773199</c:v>
                </c:pt>
                <c:pt idx="7">
                  <c:v>0.59023354564755837</c:v>
                </c:pt>
                <c:pt idx="8">
                  <c:v>0.65638766519823788</c:v>
                </c:pt>
                <c:pt idx="9">
                  <c:v>0.62204724409448819</c:v>
                </c:pt>
                <c:pt idx="10">
                  <c:v>0.61814345991561181</c:v>
                </c:pt>
                <c:pt idx="11">
                  <c:v>0.62383177570093462</c:v>
                </c:pt>
                <c:pt idx="12">
                  <c:v>0.5889145496535797</c:v>
                </c:pt>
                <c:pt idx="13">
                  <c:v>0.57740585774058573</c:v>
                </c:pt>
                <c:pt idx="14">
                  <c:v>0.56060606060606055</c:v>
                </c:pt>
                <c:pt idx="15">
                  <c:v>0.54415954415954415</c:v>
                </c:pt>
                <c:pt idx="16">
                  <c:v>0.55585106382978722</c:v>
                </c:pt>
                <c:pt idx="17">
                  <c:v>0.57622739018087854</c:v>
                </c:pt>
                <c:pt idx="18">
                  <c:v>0.58064516129032262</c:v>
                </c:pt>
                <c:pt idx="19">
                  <c:v>0.54591836734693877</c:v>
                </c:pt>
                <c:pt idx="20">
                  <c:v>0.54415954415954415</c:v>
                </c:pt>
              </c:numCache>
            </c:numRef>
          </c:val>
          <c:smooth val="0"/>
          <c:extLst>
            <c:ext xmlns:c16="http://schemas.microsoft.com/office/drawing/2014/chart" uri="{C3380CC4-5D6E-409C-BE32-E72D297353CC}">
              <c16:uniqueId val="{00000000-99F3-4152-9CC4-DBE3D0E1807B}"/>
            </c:ext>
          </c:extLst>
        </c:ser>
        <c:ser>
          <c:idx val="2"/>
          <c:order val="1"/>
          <c:tx>
            <c:strRef>
              <c:f>'Data for Graphs'!$C$2</c:f>
              <c:strCache>
                <c:ptCount val="1"/>
                <c:pt idx="0">
                  <c:v>Eastern</c:v>
                </c:pt>
              </c:strCache>
            </c:strRef>
          </c:tx>
          <c:spPr>
            <a:ln w="28575" cap="rnd" cmpd="sng" algn="ctr">
              <a:solidFill>
                <a:schemeClr val="accent1"/>
              </a:solidFill>
              <a:prstDash val="sysDot"/>
              <a:round/>
            </a:ln>
            <a:effectLst/>
          </c:spPr>
          <c:marker>
            <c:symbol val="none"/>
          </c:marker>
          <c:cat>
            <c:numRef>
              <c:f>'Data for Graphs'!$A$3:$A$23</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'Data for Graphs'!$C$3:$C$23</c:f>
              <c:numCache>
                <c:formatCode>0.0%</c:formatCode>
                <c:ptCount val="21"/>
                <c:pt idx="0">
                  <c:v>0.37341746714360358</c:v>
                </c:pt>
                <c:pt idx="1">
                  <c:v>0.37722880362269035</c:v>
                </c:pt>
                <c:pt idx="2">
                  <c:v>0.37406208040439143</c:v>
                </c:pt>
                <c:pt idx="3">
                  <c:v>0.3923052157115261</c:v>
                </c:pt>
                <c:pt idx="4">
                  <c:v>0.38504755407520364</c:v>
                </c:pt>
                <c:pt idx="5">
                  <c:v>0.37942966233146402</c:v>
                </c:pt>
                <c:pt idx="6">
                  <c:v>0.37898931075437725</c:v>
                </c:pt>
                <c:pt idx="7">
                  <c:v>0.38483135114057321</c:v>
                </c:pt>
                <c:pt idx="8">
                  <c:v>0.39784905228633538</c:v>
                </c:pt>
                <c:pt idx="9">
                  <c:v>0.40717948717948715</c:v>
                </c:pt>
                <c:pt idx="10">
                  <c:v>0.42314872433105166</c:v>
                </c:pt>
                <c:pt idx="11">
                  <c:v>0.42440128678660788</c:v>
                </c:pt>
                <c:pt idx="12">
                  <c:v>0.42288821653446723</c:v>
                </c:pt>
                <c:pt idx="13">
                  <c:v>0.42436647971506941</c:v>
                </c:pt>
                <c:pt idx="14">
                  <c:v>0.42346055560135193</c:v>
                </c:pt>
                <c:pt idx="15">
                  <c:v>0.40094525403702247</c:v>
                </c:pt>
                <c:pt idx="16">
                  <c:v>0.39805019705455302</c:v>
                </c:pt>
                <c:pt idx="17">
                  <c:v>0.40568625820932747</c:v>
                </c:pt>
                <c:pt idx="18">
                  <c:v>0.39988199098073923</c:v>
                </c:pt>
                <c:pt idx="19">
                  <c:v>0.40467212759502447</c:v>
                </c:pt>
                <c:pt idx="20">
                  <c:v>0.40094525403702247</c:v>
                </c:pt>
              </c:numCache>
            </c:numRef>
          </c:val>
          <c:smooth val="0"/>
          <c:extLst>
            <c:ext xmlns:c16="http://schemas.microsoft.com/office/drawing/2014/chart" uri="{C3380CC4-5D6E-409C-BE32-E72D297353CC}">
              <c16:uniqueId val="{00000001-99F3-4152-9CC4-DBE3D0E1807B}"/>
            </c:ext>
          </c:extLst>
        </c:ser>
        <c:ser>
          <c:idx val="1"/>
          <c:order val="2"/>
          <c:tx>
            <c:strRef>
              <c:f>'Data for Graphs'!$D$2</c:f>
              <c:strCache>
                <c:ptCount val="1"/>
                <c:pt idx="0">
                  <c:v>STATE</c:v>
                </c:pt>
              </c:strCache>
            </c:strRef>
          </c:tx>
          <c:spPr>
            <a:ln w="28575" cap="rnd" cmpd="sng" algn="ctr">
              <a:solidFill>
                <a:schemeClr val="bg1">
                  <a:lumMod val="65000"/>
                </a:schemeClr>
              </a:solidFill>
              <a:prstDash val="dash"/>
              <a:round/>
            </a:ln>
            <a:effectLst/>
          </c:spPr>
          <c:marker>
            <c:symbol val="none"/>
          </c:marker>
          <c:cat>
            <c:numRef>
              <c:f>'Data for Graphs'!$A$3:$A$23</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'Data for Graphs'!$D$3:$D$23</c:f>
              <c:numCache>
                <c:formatCode>0.0%</c:formatCode>
                <c:ptCount val="21"/>
                <c:pt idx="0">
                  <c:v>0.2981171770406103</c:v>
                </c:pt>
                <c:pt idx="1">
                  <c:v>0.29729956830905291</c:v>
                </c:pt>
                <c:pt idx="2">
                  <c:v>0.29975521929114746</c:v>
                </c:pt>
                <c:pt idx="3">
                  <c:v>0.303681074991627</c:v>
                </c:pt>
                <c:pt idx="4">
                  <c:v>0.30455988310575904</c:v>
                </c:pt>
                <c:pt idx="5">
                  <c:v>0.3059734887282346</c:v>
                </c:pt>
                <c:pt idx="6">
                  <c:v>0.31002600404507369</c:v>
                </c:pt>
                <c:pt idx="7">
                  <c:v>0.32234323558686168</c:v>
                </c:pt>
                <c:pt idx="8">
                  <c:v>0.34083438210267297</c:v>
                </c:pt>
                <c:pt idx="9">
                  <c:v>0.35309038250458874</c:v>
                </c:pt>
                <c:pt idx="10">
                  <c:v>0.35843232186755242</c:v>
                </c:pt>
                <c:pt idx="11">
                  <c:v>0.35824307718686593</c:v>
                </c:pt>
                <c:pt idx="12">
                  <c:v>0.35490702780422406</c:v>
                </c:pt>
                <c:pt idx="13">
                  <c:v>0.35493782004389174</c:v>
                </c:pt>
                <c:pt idx="14">
                  <c:v>0.35279298907704426</c:v>
                </c:pt>
                <c:pt idx="15">
                  <c:v>0.33788354796294251</c:v>
                </c:pt>
                <c:pt idx="16">
                  <c:v>0.340045722068194</c:v>
                </c:pt>
                <c:pt idx="17">
                  <c:v>0.34452917321535986</c:v>
                </c:pt>
                <c:pt idx="18">
                  <c:v>0.34030691587688155</c:v>
                </c:pt>
                <c:pt idx="19">
                  <c:v>0.34618124893380031</c:v>
                </c:pt>
                <c:pt idx="20">
                  <c:v>0.33788354796294251</c:v>
                </c:pt>
              </c:numCache>
            </c:numRef>
          </c:val>
          <c:smooth val="0"/>
          <c:extLst>
            <c:ext xmlns:c16="http://schemas.microsoft.com/office/drawing/2014/chart" uri="{C3380CC4-5D6E-409C-BE32-E72D297353CC}">
              <c16:uniqueId val="{00000002-99F3-4152-9CC4-DBE3D0E1807B}"/>
            </c:ext>
          </c:extLst>
        </c:ser>
        <c:dLbls>
          <c:showLegendKey val="0"/>
          <c:showVal val="0"/>
          <c:showCatName val="0"/>
          <c:showSerName val="0"/>
          <c:showPercent val="0"/>
          <c:showBubbleSize val="0"/>
        </c:dLbls>
        <c:smooth val="0"/>
        <c:axId val="80446592"/>
        <c:axId val="80448128"/>
      </c:lineChart>
      <c:catAx>
        <c:axId val="8044659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1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448128"/>
        <c:crosses val="autoZero"/>
        <c:auto val="1"/>
        <c:lblAlgn val="ctr"/>
        <c:lblOffset val="100"/>
        <c:tickLblSkip val="1"/>
        <c:noMultiLvlLbl val="0"/>
      </c:catAx>
      <c:valAx>
        <c:axId val="80448128"/>
        <c:scaling>
          <c:orientation val="minMax"/>
        </c:scaling>
        <c:delete val="0"/>
        <c:axPos val="l"/>
        <c:majorGridlines>
          <c:spPr>
            <a:ln w="9525" cap="flat" cmpd="sng" algn="ctr">
              <a:solidFill>
                <a:schemeClr val="bg1">
                  <a:lumMod val="95000"/>
                </a:schemeClr>
              </a:solidFill>
              <a:prstDash val="lgDash"/>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a:t>
                </a:r>
              </a:p>
            </c:rich>
          </c:tx>
          <c:layout>
            <c:manualLayout>
              <c:xMode val="edge"/>
              <c:yMode val="edge"/>
              <c:x val="2.0830962563246429E-3"/>
              <c:y val="0.3693705161854820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446592"/>
        <c:crosses val="autoZero"/>
        <c:crossBetween val="midCat"/>
      </c:valAx>
      <c:spPr>
        <a:solidFill>
          <a:schemeClr val="bg1"/>
        </a:solidFill>
        <a:ln>
          <a:noFill/>
        </a:ln>
        <a:effectLst/>
      </c:spPr>
    </c:plotArea>
    <c:legend>
      <c:legendPos val="r"/>
      <c:layout>
        <c:manualLayout>
          <c:xMode val="edge"/>
          <c:yMode val="edge"/>
          <c:x val="7.0718083316509014E-2"/>
          <c:y val="0.12406035932814929"/>
          <c:w val="0.91713672154617021"/>
          <c:h val="8.20909886264217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5875" cap="flat" cmpd="sng" algn="ctr">
      <a:solidFill>
        <a:schemeClr val="accent1"/>
      </a:solidFill>
      <a:prstDash val="solid"/>
      <a:round/>
    </a:ln>
    <a:effectLst/>
  </c:spPr>
  <c:txPr>
    <a:bodyPr/>
    <a:lstStyle/>
    <a:p>
      <a:pPr>
        <a:defRPr/>
      </a:pPr>
      <a:endParaRPr lang="en-US"/>
    </a:p>
  </c:txPr>
  <c:printSettings>
    <c:headerFooter/>
    <c:pageMargins b="0.75000000000000688" l="0.70000000000000062" r="0.70000000000000062" t="0.75000000000000688"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Teen Birth</a:t>
            </a:r>
            <a:r>
              <a:rPr lang="en-US" sz="1200" baseline="0"/>
              <a:t> Rate</a:t>
            </a:r>
            <a:r>
              <a:rPr lang="en-US" sz="1200"/>
              <a:t>, 1998-2018</a:t>
            </a:r>
          </a:p>
        </c:rich>
      </c:tx>
      <c:layout>
        <c:manualLayout>
          <c:xMode val="edge"/>
          <c:yMode val="edge"/>
          <c:x val="0.29777777777778142"/>
          <c:y val="1.6666666666666701E-2"/>
        </c:manualLayout>
      </c:layout>
      <c:overlay val="1"/>
    </c:title>
    <c:autoTitleDeleted val="0"/>
    <c:plotArea>
      <c:layout>
        <c:manualLayout>
          <c:layoutTarget val="inner"/>
          <c:xMode val="edge"/>
          <c:yMode val="edge"/>
          <c:x val="0.12800200087622832"/>
          <c:y val="0.20532280214199244"/>
          <c:w val="0.82907992224635541"/>
          <c:h val="0.5588455818022745"/>
        </c:manualLayout>
      </c:layout>
      <c:lineChart>
        <c:grouping val="standard"/>
        <c:varyColors val="0"/>
        <c:ser>
          <c:idx val="0"/>
          <c:order val="0"/>
          <c:tx>
            <c:strRef>
              <c:f>'Data for Graphs'!$G$2</c:f>
              <c:strCache>
                <c:ptCount val="1"/>
                <c:pt idx="0">
                  <c:v>Accomack</c:v>
                </c:pt>
              </c:strCache>
            </c:strRef>
          </c:tx>
          <c:spPr>
            <a:ln>
              <a:solidFill>
                <a:schemeClr val="accent1">
                  <a:lumMod val="75000"/>
                </a:schemeClr>
              </a:solidFill>
            </a:ln>
          </c:spPr>
          <c:marker>
            <c:symbol val="none"/>
          </c:marker>
          <c:cat>
            <c:numRef>
              <c:f>'Data for Graphs'!$F$3:$F$23</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'Data for Graphs'!$G$3:$G$23</c:f>
              <c:numCache>
                <c:formatCode>0.0</c:formatCode>
                <c:ptCount val="21"/>
                <c:pt idx="0">
                  <c:v>33.483258370814596</c:v>
                </c:pt>
                <c:pt idx="1">
                  <c:v>40.520260130065033</c:v>
                </c:pt>
                <c:pt idx="2">
                  <c:v>34.803723188992308</c:v>
                </c:pt>
                <c:pt idx="3">
                  <c:v>23.668639053254438</c:v>
                </c:pt>
                <c:pt idx="4">
                  <c:v>33.307210031347964</c:v>
                </c:pt>
                <c:pt idx="5">
                  <c:v>33.397312859884835</c:v>
                </c:pt>
                <c:pt idx="6">
                  <c:v>28.974158183241972</c:v>
                </c:pt>
                <c:pt idx="7">
                  <c:v>34.194831013916499</c:v>
                </c:pt>
                <c:pt idx="8">
                  <c:v>32.271241830065364</c:v>
                </c:pt>
                <c:pt idx="9">
                  <c:v>37.663986457892513</c:v>
                </c:pt>
                <c:pt idx="10">
                  <c:v>32.77274687365243</c:v>
                </c:pt>
                <c:pt idx="11">
                  <c:v>21.557413110426747</c:v>
                </c:pt>
                <c:pt idx="12">
                  <c:v>29.168959823885526</c:v>
                </c:pt>
                <c:pt idx="13">
                  <c:v>23.982152816508645</c:v>
                </c:pt>
                <c:pt idx="14">
                  <c:v>18.212862834376779</c:v>
                </c:pt>
                <c:pt idx="15">
                  <c:v>13.248847926267281</c:v>
                </c:pt>
                <c:pt idx="16">
                  <c:v>17.793594306049823</c:v>
                </c:pt>
                <c:pt idx="17">
                  <c:v>14.979029358897543</c:v>
                </c:pt>
                <c:pt idx="18">
                  <c:v>12.131715771230503</c:v>
                </c:pt>
                <c:pt idx="19">
                  <c:v>14.697236919459142</c:v>
                </c:pt>
                <c:pt idx="20">
                  <c:v>12.941176470588236</c:v>
                </c:pt>
              </c:numCache>
            </c:numRef>
          </c:val>
          <c:smooth val="0"/>
          <c:extLst>
            <c:ext xmlns:c16="http://schemas.microsoft.com/office/drawing/2014/chart" uri="{C3380CC4-5D6E-409C-BE32-E72D297353CC}">
              <c16:uniqueId val="{00000000-813E-40DD-93CC-C1B38CC60EF0}"/>
            </c:ext>
          </c:extLst>
        </c:ser>
        <c:ser>
          <c:idx val="2"/>
          <c:order val="1"/>
          <c:tx>
            <c:strRef>
              <c:f>'Data for Graphs'!$H$2</c:f>
              <c:strCache>
                <c:ptCount val="1"/>
                <c:pt idx="0">
                  <c:v>Eastern</c:v>
                </c:pt>
              </c:strCache>
            </c:strRef>
          </c:tx>
          <c:spPr>
            <a:ln>
              <a:solidFill>
                <a:schemeClr val="accent1">
                  <a:lumMod val="75000"/>
                </a:schemeClr>
              </a:solidFill>
              <a:prstDash val="sysDot"/>
            </a:ln>
          </c:spPr>
          <c:marker>
            <c:symbol val="none"/>
          </c:marker>
          <c:cat>
            <c:numRef>
              <c:f>'Data for Graphs'!$F$3:$F$23</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'Data for Graphs'!$H$3:$H$23</c:f>
              <c:numCache>
                <c:formatCode>0.0</c:formatCode>
                <c:ptCount val="21"/>
                <c:pt idx="0">
                  <c:v>26.16430374830064</c:v>
                </c:pt>
                <c:pt idx="1">
                  <c:v>25.422437567612867</c:v>
                </c:pt>
                <c:pt idx="2">
                  <c:v>24.942933231881302</c:v>
                </c:pt>
                <c:pt idx="3">
                  <c:v>24.200348308497308</c:v>
                </c:pt>
                <c:pt idx="4">
                  <c:v>23.263812888902788</c:v>
                </c:pt>
                <c:pt idx="5">
                  <c:v>21.303566215447969</c:v>
                </c:pt>
                <c:pt idx="6">
                  <c:v>21.586554001015838</c:v>
                </c:pt>
                <c:pt idx="7">
                  <c:v>21.111042222084446</c:v>
                </c:pt>
                <c:pt idx="8">
                  <c:v>21.461512562932111</c:v>
                </c:pt>
                <c:pt idx="9">
                  <c:v>21.50318710748461</c:v>
                </c:pt>
                <c:pt idx="10">
                  <c:v>20.230346309403437</c:v>
                </c:pt>
                <c:pt idx="11">
                  <c:v>19.306958769150995</c:v>
                </c:pt>
                <c:pt idx="12">
                  <c:v>17.725513398910337</c:v>
                </c:pt>
                <c:pt idx="13">
                  <c:v>15.679046633170904</c:v>
                </c:pt>
                <c:pt idx="14">
                  <c:v>14.462774596119328</c:v>
                </c:pt>
                <c:pt idx="15">
                  <c:v>12.668737947289479</c:v>
                </c:pt>
                <c:pt idx="16">
                  <c:v>10.34276433883238</c:v>
                </c:pt>
                <c:pt idx="17">
                  <c:v>10.234008261187393</c:v>
                </c:pt>
                <c:pt idx="18">
                  <c:v>9.2260560823792961</c:v>
                </c:pt>
                <c:pt idx="19">
                  <c:v>8.7405429461504216</c:v>
                </c:pt>
                <c:pt idx="20">
                  <c:v>8.2672666238125849</c:v>
                </c:pt>
              </c:numCache>
            </c:numRef>
          </c:val>
          <c:smooth val="0"/>
          <c:extLst>
            <c:ext xmlns:c16="http://schemas.microsoft.com/office/drawing/2014/chart" uri="{C3380CC4-5D6E-409C-BE32-E72D297353CC}">
              <c16:uniqueId val="{00000001-813E-40DD-93CC-C1B38CC60EF0}"/>
            </c:ext>
          </c:extLst>
        </c:ser>
        <c:ser>
          <c:idx val="1"/>
          <c:order val="2"/>
          <c:tx>
            <c:strRef>
              <c:f>'Data for Graphs'!$I$2</c:f>
              <c:strCache>
                <c:ptCount val="1"/>
                <c:pt idx="0">
                  <c:v>STATE</c:v>
                </c:pt>
              </c:strCache>
            </c:strRef>
          </c:tx>
          <c:spPr>
            <a:ln>
              <a:solidFill>
                <a:schemeClr val="bg1">
                  <a:lumMod val="65000"/>
                </a:schemeClr>
              </a:solidFill>
              <a:prstDash val="dash"/>
            </a:ln>
          </c:spPr>
          <c:marker>
            <c:symbol val="none"/>
          </c:marker>
          <c:cat>
            <c:numRef>
              <c:f>'Data for Graphs'!$F$3:$F$23</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'Data for Graphs'!$I$3:$I$23</c:f>
              <c:numCache>
                <c:formatCode>0.0</c:formatCode>
                <c:ptCount val="21"/>
                <c:pt idx="0">
                  <c:v>21.993094229370861</c:v>
                </c:pt>
                <c:pt idx="1">
                  <c:v>21.672451714894493</c:v>
                </c:pt>
                <c:pt idx="2">
                  <c:v>20.498076279692203</c:v>
                </c:pt>
                <c:pt idx="3">
                  <c:v>19.688543968751606</c:v>
                </c:pt>
                <c:pt idx="4">
                  <c:v>18.674449210372391</c:v>
                </c:pt>
                <c:pt idx="5">
                  <c:v>17.903555881281065</c:v>
                </c:pt>
                <c:pt idx="6">
                  <c:v>17.707166297187989</c:v>
                </c:pt>
                <c:pt idx="7">
                  <c:v>17.591687162315662</c:v>
                </c:pt>
                <c:pt idx="8">
                  <c:v>18.306180625228926</c:v>
                </c:pt>
                <c:pt idx="9">
                  <c:v>18.39683066850121</c:v>
                </c:pt>
                <c:pt idx="10">
                  <c:v>17.690427455734188</c:v>
                </c:pt>
                <c:pt idx="11">
                  <c:v>16.372318054611284</c:v>
                </c:pt>
                <c:pt idx="12">
                  <c:v>14.340618588477803</c:v>
                </c:pt>
                <c:pt idx="13">
                  <c:v>12.702167795404645</c:v>
                </c:pt>
                <c:pt idx="14">
                  <c:v>11.846432840922917</c:v>
                </c:pt>
                <c:pt idx="15">
                  <c:v>10.25553965050911</c:v>
                </c:pt>
                <c:pt idx="16">
                  <c:v>9.405709207785387</c:v>
                </c:pt>
                <c:pt idx="17">
                  <c:v>8.735085092108628</c:v>
                </c:pt>
                <c:pt idx="18">
                  <c:v>7.9419432438809618</c:v>
                </c:pt>
                <c:pt idx="19">
                  <c:v>7.6474440227776652</c:v>
                </c:pt>
                <c:pt idx="20">
                  <c:v>7.2760622499091445</c:v>
                </c:pt>
              </c:numCache>
            </c:numRef>
          </c:val>
          <c:smooth val="0"/>
          <c:extLst>
            <c:ext xmlns:c16="http://schemas.microsoft.com/office/drawing/2014/chart" uri="{C3380CC4-5D6E-409C-BE32-E72D297353CC}">
              <c16:uniqueId val="{00000002-813E-40DD-93CC-C1B38CC60EF0}"/>
            </c:ext>
          </c:extLst>
        </c:ser>
        <c:dLbls>
          <c:showLegendKey val="0"/>
          <c:showVal val="0"/>
          <c:showCatName val="0"/>
          <c:showSerName val="0"/>
          <c:showPercent val="0"/>
          <c:showBubbleSize val="0"/>
        </c:dLbls>
        <c:smooth val="0"/>
        <c:axId val="80900864"/>
        <c:axId val="80902400"/>
      </c:lineChart>
      <c:catAx>
        <c:axId val="80900864"/>
        <c:scaling>
          <c:orientation val="minMax"/>
        </c:scaling>
        <c:delete val="0"/>
        <c:axPos val="b"/>
        <c:numFmt formatCode="General" sourceLinked="1"/>
        <c:majorTickMark val="out"/>
        <c:minorTickMark val="none"/>
        <c:tickLblPos val="nextTo"/>
        <c:txPr>
          <a:bodyPr rot="-2100000"/>
          <a:lstStyle/>
          <a:p>
            <a:pPr>
              <a:defRPr/>
            </a:pPr>
            <a:endParaRPr lang="en-US"/>
          </a:p>
        </c:txPr>
        <c:crossAx val="80902400"/>
        <c:crosses val="autoZero"/>
        <c:auto val="1"/>
        <c:lblAlgn val="ctr"/>
        <c:lblOffset val="100"/>
        <c:tickLblSkip val="1"/>
        <c:noMultiLvlLbl val="0"/>
      </c:catAx>
      <c:valAx>
        <c:axId val="80902400"/>
        <c:scaling>
          <c:orientation val="minMax"/>
        </c:scaling>
        <c:delete val="0"/>
        <c:axPos val="l"/>
        <c:majorGridlines>
          <c:spPr>
            <a:ln>
              <a:solidFill>
                <a:schemeClr val="bg1">
                  <a:lumMod val="95000"/>
                </a:schemeClr>
              </a:solidFill>
            </a:ln>
          </c:spPr>
        </c:majorGridlines>
        <c:title>
          <c:tx>
            <c:rich>
              <a:bodyPr rot="-5400000" vert="horz"/>
              <a:lstStyle/>
              <a:p>
                <a:pPr>
                  <a:defRPr/>
                </a:pPr>
                <a:r>
                  <a:rPr lang="en-US"/>
                  <a:t>Rate (per 1,000 pop.)</a:t>
                </a:r>
              </a:p>
            </c:rich>
          </c:tx>
          <c:layout>
            <c:manualLayout>
              <c:xMode val="edge"/>
              <c:yMode val="edge"/>
              <c:x val="5.1910993643277123E-3"/>
              <c:y val="0.20270384951881021"/>
            </c:manualLayout>
          </c:layout>
          <c:overlay val="0"/>
        </c:title>
        <c:numFmt formatCode="0" sourceLinked="0"/>
        <c:majorTickMark val="out"/>
        <c:minorTickMark val="none"/>
        <c:tickLblPos val="nextTo"/>
        <c:crossAx val="80900864"/>
        <c:crosses val="autoZero"/>
        <c:crossBetween val="midCat"/>
      </c:valAx>
    </c:plotArea>
    <c:legend>
      <c:legendPos val="r"/>
      <c:layout>
        <c:manualLayout>
          <c:xMode val="edge"/>
          <c:yMode val="edge"/>
          <c:x val="4.2079967276817683E-2"/>
          <c:y val="0.12406035932814929"/>
          <c:w val="0.94577473270387502"/>
          <c:h val="7.0979877515310569E-2"/>
        </c:manualLayout>
      </c:layout>
      <c:overlay val="0"/>
    </c:legend>
    <c:plotVisOnly val="1"/>
    <c:dispBlanksAs val="gap"/>
    <c:showDLblsOverMax val="0"/>
  </c:chart>
  <c:spPr>
    <a:ln w="15875">
      <a:solidFill>
        <a:schemeClr val="accent1"/>
      </a:solidFill>
    </a:ln>
  </c:spPr>
  <c:printSettings>
    <c:headerFooter/>
    <c:pageMargins b="0.75000000000000711" l="0.70000000000000062" r="0.70000000000000062" t="0.75000000000000711"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Monthly Number of SNAP Applications </a:t>
            </a:r>
          </a:p>
          <a:p>
            <a:pPr>
              <a:defRPr sz="1200"/>
            </a:pPr>
            <a:r>
              <a:rPr lang="en-US" sz="1200"/>
              <a:t>Received and Disposed, SFY 2019</a:t>
            </a:r>
          </a:p>
        </c:rich>
      </c:tx>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18760559970488719"/>
          <c:w val="0.87455722301670713"/>
          <c:h val="0.60909960497215054"/>
        </c:manualLayout>
      </c:layout>
      <c:barChart>
        <c:barDir val="col"/>
        <c:grouping val="clustered"/>
        <c:varyColors val="0"/>
        <c:ser>
          <c:idx val="0"/>
          <c:order val="0"/>
          <c:tx>
            <c:strRef>
              <c:f>'Data for Graphs'!$L$3</c:f>
              <c:strCache>
                <c:ptCount val="1"/>
                <c:pt idx="0">
                  <c:v>Received</c:v>
                </c:pt>
              </c:strCache>
            </c:strRef>
          </c:tx>
          <c:spPr>
            <a:solidFill>
              <a:schemeClr val="accent6"/>
            </a:solidFill>
            <a:ln>
              <a:noFill/>
            </a:ln>
            <a:effectLst/>
          </c:spPr>
          <c:invertIfNegative val="0"/>
          <c:cat>
            <c:numRef>
              <c:f>'Data for Graphs'!$K$4:$K$15</c:f>
              <c:numCache>
                <c:formatCode>mmm\-yy</c:formatCode>
                <c:ptCount val="12"/>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numCache>
            </c:numRef>
          </c:cat>
          <c:val>
            <c:numRef>
              <c:f>'Data for Graphs'!$L$4:$L$15</c:f>
              <c:numCache>
                <c:formatCode>General</c:formatCode>
                <c:ptCount val="12"/>
                <c:pt idx="0">
                  <c:v>148</c:v>
                </c:pt>
                <c:pt idx="1">
                  <c:v>142</c:v>
                </c:pt>
                <c:pt idx="2">
                  <c:v>158</c:v>
                </c:pt>
                <c:pt idx="3">
                  <c:v>161</c:v>
                </c:pt>
                <c:pt idx="4">
                  <c:v>150</c:v>
                </c:pt>
                <c:pt idx="5">
                  <c:v>110</c:v>
                </c:pt>
                <c:pt idx="6">
                  <c:v>170</c:v>
                </c:pt>
                <c:pt idx="7">
                  <c:v>112</c:v>
                </c:pt>
                <c:pt idx="8">
                  <c:v>110</c:v>
                </c:pt>
                <c:pt idx="9">
                  <c:v>111</c:v>
                </c:pt>
                <c:pt idx="10">
                  <c:v>98</c:v>
                </c:pt>
                <c:pt idx="11">
                  <c:v>103</c:v>
                </c:pt>
              </c:numCache>
            </c:numRef>
          </c:val>
          <c:extLst>
            <c:ext xmlns:c16="http://schemas.microsoft.com/office/drawing/2014/chart" uri="{C3380CC4-5D6E-409C-BE32-E72D297353CC}">
              <c16:uniqueId val="{00000000-ECBA-48E2-943C-79E902517843}"/>
            </c:ext>
          </c:extLst>
        </c:ser>
        <c:ser>
          <c:idx val="1"/>
          <c:order val="1"/>
          <c:tx>
            <c:strRef>
              <c:f>'Data for Graphs'!$M$3</c:f>
              <c:strCache>
                <c:ptCount val="1"/>
                <c:pt idx="0">
                  <c:v>Disposed</c:v>
                </c:pt>
              </c:strCache>
            </c:strRef>
          </c:tx>
          <c:spPr>
            <a:solidFill>
              <a:schemeClr val="accent5"/>
            </a:solidFill>
            <a:ln>
              <a:noFill/>
            </a:ln>
            <a:effectLst/>
          </c:spPr>
          <c:invertIfNegative val="0"/>
          <c:cat>
            <c:numRef>
              <c:f>'Data for Graphs'!$K$4:$K$15</c:f>
              <c:numCache>
                <c:formatCode>mmm\-yy</c:formatCode>
                <c:ptCount val="12"/>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numCache>
            </c:numRef>
          </c:cat>
          <c:val>
            <c:numRef>
              <c:f>'Data for Graphs'!$M$4:$M$15</c:f>
              <c:numCache>
                <c:formatCode>General</c:formatCode>
                <c:ptCount val="12"/>
                <c:pt idx="0">
                  <c:v>141</c:v>
                </c:pt>
                <c:pt idx="1">
                  <c:v>145</c:v>
                </c:pt>
                <c:pt idx="2">
                  <c:v>132</c:v>
                </c:pt>
                <c:pt idx="3">
                  <c:v>163</c:v>
                </c:pt>
                <c:pt idx="4">
                  <c:v>157</c:v>
                </c:pt>
                <c:pt idx="5">
                  <c:v>133</c:v>
                </c:pt>
                <c:pt idx="6">
                  <c:v>165</c:v>
                </c:pt>
                <c:pt idx="7">
                  <c:v>124</c:v>
                </c:pt>
                <c:pt idx="8">
                  <c:v>101</c:v>
                </c:pt>
                <c:pt idx="9">
                  <c:v>118</c:v>
                </c:pt>
                <c:pt idx="10">
                  <c:v>104</c:v>
                </c:pt>
                <c:pt idx="11">
                  <c:v>91</c:v>
                </c:pt>
              </c:numCache>
            </c:numRef>
          </c:val>
          <c:extLst>
            <c:ext xmlns:c16="http://schemas.microsoft.com/office/drawing/2014/chart" uri="{C3380CC4-5D6E-409C-BE32-E72D297353CC}">
              <c16:uniqueId val="{00000001-ECBA-48E2-943C-79E902517843}"/>
            </c:ext>
          </c:extLst>
        </c:ser>
        <c:dLbls>
          <c:showLegendKey val="0"/>
          <c:showVal val="0"/>
          <c:showCatName val="0"/>
          <c:showSerName val="0"/>
          <c:showPercent val="0"/>
          <c:showBubbleSize val="0"/>
        </c:dLbls>
        <c:gapWidth val="150"/>
        <c:axId val="80932864"/>
        <c:axId val="80934400"/>
      </c:barChart>
      <c:dateAx>
        <c:axId val="80932864"/>
        <c:scaling>
          <c:orientation val="minMax"/>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934400"/>
        <c:crosses val="autoZero"/>
        <c:auto val="1"/>
        <c:lblOffset val="100"/>
        <c:baseTimeUnit val="months"/>
        <c:majorUnit val="1"/>
        <c:majorTimeUnit val="months"/>
      </c:dateAx>
      <c:valAx>
        <c:axId val="80934400"/>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32864"/>
        <c:crosses val="autoZero"/>
        <c:crossBetween val="between"/>
      </c:valAx>
      <c:spPr>
        <a:solidFill>
          <a:schemeClr val="bg1"/>
        </a:solidFill>
        <a:ln>
          <a:noFill/>
        </a:ln>
        <a:effectLst/>
      </c:spPr>
    </c:plotArea>
    <c:legend>
      <c:legendPos val="r"/>
      <c:layout>
        <c:manualLayout>
          <c:xMode val="edge"/>
          <c:yMode val="edge"/>
          <c:x val="0.44854942366339873"/>
          <c:y val="0.15876819476364093"/>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t>Monthly Number of TANF Applications </a:t>
            </a:r>
          </a:p>
          <a:p>
            <a:pPr>
              <a:defRPr sz="1200"/>
            </a:pPr>
            <a:r>
              <a:rPr lang="en-US" sz="1200"/>
              <a:t>Received and Disposed, SFY 2019</a:t>
            </a:r>
          </a:p>
        </c:rich>
      </c:tx>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0403579202490286E-2"/>
          <c:y val="0.18760559970488719"/>
          <c:w val="0.87455722301670713"/>
          <c:h val="0.60909960497215054"/>
        </c:manualLayout>
      </c:layout>
      <c:barChart>
        <c:barDir val="col"/>
        <c:grouping val="clustered"/>
        <c:varyColors val="0"/>
        <c:ser>
          <c:idx val="0"/>
          <c:order val="0"/>
          <c:tx>
            <c:strRef>
              <c:f>'Data for Graphs'!$N$3</c:f>
              <c:strCache>
                <c:ptCount val="1"/>
                <c:pt idx="0">
                  <c:v>Received</c:v>
                </c:pt>
              </c:strCache>
            </c:strRef>
          </c:tx>
          <c:spPr>
            <a:solidFill>
              <a:schemeClr val="accent6"/>
            </a:solidFill>
            <a:ln>
              <a:noFill/>
            </a:ln>
            <a:effectLst/>
          </c:spPr>
          <c:invertIfNegative val="0"/>
          <c:cat>
            <c:numRef>
              <c:f>'Data for Graphs'!$K$4:$K$15</c:f>
              <c:numCache>
                <c:formatCode>mmm\-yy</c:formatCode>
                <c:ptCount val="12"/>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numCache>
            </c:numRef>
          </c:cat>
          <c:val>
            <c:numRef>
              <c:f>'Data for Graphs'!$N$4:$N$15</c:f>
              <c:numCache>
                <c:formatCode>General</c:formatCode>
                <c:ptCount val="12"/>
                <c:pt idx="0">
                  <c:v>26</c:v>
                </c:pt>
                <c:pt idx="1">
                  <c:v>30</c:v>
                </c:pt>
                <c:pt idx="2">
                  <c:v>12</c:v>
                </c:pt>
                <c:pt idx="3">
                  <c:v>27</c:v>
                </c:pt>
                <c:pt idx="4">
                  <c:v>22</c:v>
                </c:pt>
                <c:pt idx="5">
                  <c:v>12</c:v>
                </c:pt>
                <c:pt idx="6">
                  <c:v>12</c:v>
                </c:pt>
                <c:pt idx="7">
                  <c:v>16</c:v>
                </c:pt>
                <c:pt idx="8">
                  <c:v>13</c:v>
                </c:pt>
                <c:pt idx="9">
                  <c:v>14</c:v>
                </c:pt>
                <c:pt idx="10">
                  <c:v>16</c:v>
                </c:pt>
                <c:pt idx="11">
                  <c:v>18</c:v>
                </c:pt>
              </c:numCache>
            </c:numRef>
          </c:val>
          <c:extLst>
            <c:ext xmlns:c16="http://schemas.microsoft.com/office/drawing/2014/chart" uri="{C3380CC4-5D6E-409C-BE32-E72D297353CC}">
              <c16:uniqueId val="{00000000-E7FA-4515-AAE3-E21048CBB521}"/>
            </c:ext>
          </c:extLst>
        </c:ser>
        <c:ser>
          <c:idx val="1"/>
          <c:order val="1"/>
          <c:tx>
            <c:strRef>
              <c:f>'Data for Graphs'!$O$3</c:f>
              <c:strCache>
                <c:ptCount val="1"/>
                <c:pt idx="0">
                  <c:v>Disposed</c:v>
                </c:pt>
              </c:strCache>
            </c:strRef>
          </c:tx>
          <c:spPr>
            <a:solidFill>
              <a:schemeClr val="accent5"/>
            </a:solidFill>
            <a:ln>
              <a:noFill/>
            </a:ln>
            <a:effectLst/>
          </c:spPr>
          <c:invertIfNegative val="0"/>
          <c:cat>
            <c:numRef>
              <c:f>'Data for Graphs'!$K$4:$K$15</c:f>
              <c:numCache>
                <c:formatCode>mmm\-yy</c:formatCode>
                <c:ptCount val="12"/>
                <c:pt idx="0">
                  <c:v>43282</c:v>
                </c:pt>
                <c:pt idx="1">
                  <c:v>43313</c:v>
                </c:pt>
                <c:pt idx="2">
                  <c:v>43344</c:v>
                </c:pt>
                <c:pt idx="3">
                  <c:v>43374</c:v>
                </c:pt>
                <c:pt idx="4">
                  <c:v>43405</c:v>
                </c:pt>
                <c:pt idx="5">
                  <c:v>43435</c:v>
                </c:pt>
                <c:pt idx="6">
                  <c:v>43466</c:v>
                </c:pt>
                <c:pt idx="7">
                  <c:v>43497</c:v>
                </c:pt>
                <c:pt idx="8">
                  <c:v>43525</c:v>
                </c:pt>
                <c:pt idx="9">
                  <c:v>43556</c:v>
                </c:pt>
                <c:pt idx="10">
                  <c:v>43586</c:v>
                </c:pt>
                <c:pt idx="11">
                  <c:v>43617</c:v>
                </c:pt>
              </c:numCache>
            </c:numRef>
          </c:cat>
          <c:val>
            <c:numRef>
              <c:f>'Data for Graphs'!$O$4:$O$15</c:f>
              <c:numCache>
                <c:formatCode>General</c:formatCode>
                <c:ptCount val="12"/>
                <c:pt idx="0">
                  <c:v>29</c:v>
                </c:pt>
                <c:pt idx="1">
                  <c:v>24</c:v>
                </c:pt>
                <c:pt idx="2">
                  <c:v>21</c:v>
                </c:pt>
                <c:pt idx="3">
                  <c:v>14</c:v>
                </c:pt>
                <c:pt idx="4">
                  <c:v>27</c:v>
                </c:pt>
                <c:pt idx="5">
                  <c:v>20</c:v>
                </c:pt>
                <c:pt idx="6">
                  <c:v>13</c:v>
                </c:pt>
                <c:pt idx="7">
                  <c:v>13</c:v>
                </c:pt>
                <c:pt idx="8">
                  <c:v>13</c:v>
                </c:pt>
                <c:pt idx="9">
                  <c:v>15</c:v>
                </c:pt>
                <c:pt idx="10">
                  <c:v>15</c:v>
                </c:pt>
                <c:pt idx="11">
                  <c:v>15</c:v>
                </c:pt>
              </c:numCache>
            </c:numRef>
          </c:val>
          <c:extLst>
            <c:ext xmlns:c16="http://schemas.microsoft.com/office/drawing/2014/chart" uri="{C3380CC4-5D6E-409C-BE32-E72D297353CC}">
              <c16:uniqueId val="{00000001-E7FA-4515-AAE3-E21048CBB521}"/>
            </c:ext>
          </c:extLst>
        </c:ser>
        <c:dLbls>
          <c:showLegendKey val="0"/>
          <c:showVal val="0"/>
          <c:showCatName val="0"/>
          <c:showSerName val="0"/>
          <c:showPercent val="0"/>
          <c:showBubbleSize val="0"/>
        </c:dLbls>
        <c:gapWidth val="150"/>
        <c:axId val="80976128"/>
        <c:axId val="80982016"/>
      </c:barChart>
      <c:dateAx>
        <c:axId val="80976128"/>
        <c:scaling>
          <c:orientation val="minMax"/>
        </c:scaling>
        <c:delete val="0"/>
        <c:axPos val="b"/>
        <c:numFmt formatCode="mmm\-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80982016"/>
        <c:crosses val="autoZero"/>
        <c:auto val="1"/>
        <c:lblOffset val="100"/>
        <c:baseTimeUnit val="months"/>
        <c:majorUnit val="1"/>
        <c:majorTimeUnit val="months"/>
      </c:dateAx>
      <c:valAx>
        <c:axId val="80982016"/>
        <c:scaling>
          <c:orientation val="minMax"/>
        </c:scaling>
        <c:delete val="0"/>
        <c:axPos val="l"/>
        <c:majorGridlines>
          <c:spPr>
            <a:ln w="9525" cap="flat" cmpd="sng" algn="ctr">
              <a:noFill/>
              <a:prstDash val="solid"/>
              <a:round/>
            </a:ln>
            <a:effectLst/>
          </c:spPr>
        </c:majorGridlines>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80976128"/>
        <c:crosses val="autoZero"/>
        <c:crossBetween val="between"/>
      </c:valAx>
      <c:spPr>
        <a:solidFill>
          <a:schemeClr val="bg1"/>
        </a:solidFill>
        <a:ln>
          <a:noFill/>
        </a:ln>
        <a:effectLst/>
      </c:spPr>
    </c:plotArea>
    <c:legend>
      <c:legendPos val="r"/>
      <c:layout>
        <c:manualLayout>
          <c:xMode val="edge"/>
          <c:yMode val="edge"/>
          <c:x val="0.47772520776259642"/>
          <c:y val="0.15447404626792846"/>
          <c:w val="0.4930990081382059"/>
          <c:h val="8.41010498687663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25400" cap="flat" cmpd="sng" algn="ctr">
      <a:solidFill>
        <a:schemeClr val="accent5">
          <a:lumMod val="50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7">
  <a:schemeClr val="accent4"/>
</cs:colorStyle>
</file>

<file path=xl/charts/colors11.xml><?xml version="1.0" encoding="utf-8"?>
<cs:colorStyle xmlns:cs="http://schemas.microsoft.com/office/drawing/2012/chartStyle" xmlns:a="http://schemas.openxmlformats.org/drawingml/2006/main" meth="withinLinear" id="17">
  <a:schemeClr val="accent4"/>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1" Type="http://schemas.openxmlformats.org/officeDocument/2006/relationships/image" Target="http://dssdw.vita.virginia.gov:80/crn/common/images/filter.gif" TargetMode="External"/></Relationships>
</file>

<file path=xl/drawings/drawing1.xml><?xml version="1.0" encoding="utf-8"?>
<xdr:wsDr xmlns:xdr="http://schemas.openxmlformats.org/drawingml/2006/spreadsheetDrawing" xmlns:a="http://schemas.openxmlformats.org/drawingml/2006/main">
  <xdr:twoCellAnchor>
    <xdr:from>
      <xdr:col>9</xdr:col>
      <xdr:colOff>28575</xdr:colOff>
      <xdr:row>167</xdr:row>
      <xdr:rowOff>0</xdr:rowOff>
    </xdr:from>
    <xdr:to>
      <xdr:col>9</xdr:col>
      <xdr:colOff>752475</xdr:colOff>
      <xdr:row>169</xdr:row>
      <xdr:rowOff>161925</xdr:rowOff>
    </xdr:to>
    <xdr:sp macro="" textlink="">
      <xdr:nvSpPr>
        <xdr:cNvPr id="3" name="Rounded Rectangle 2"/>
        <xdr:cNvSpPr/>
      </xdr:nvSpPr>
      <xdr:spPr>
        <a:xfrm>
          <a:off x="5715000" y="27984450"/>
          <a:ext cx="7239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561975</xdr:colOff>
      <xdr:row>40</xdr:row>
      <xdr:rowOff>47625</xdr:rowOff>
    </xdr:from>
    <xdr:to>
      <xdr:col>13</xdr:col>
      <xdr:colOff>790575</xdr:colOff>
      <xdr:row>55</xdr:row>
      <xdr:rowOff>142875</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22</xdr:row>
      <xdr:rowOff>142875</xdr:rowOff>
    </xdr:from>
    <xdr:to>
      <xdr:col>13</xdr:col>
      <xdr:colOff>771525</xdr:colOff>
      <xdr:row>39</xdr:row>
      <xdr:rowOff>123825</xdr:rowOff>
    </xdr:to>
    <xdr:graphicFrame macro="">
      <xdr:nvGraphicFramePr>
        <xdr:cNvPr id="10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28574</xdr:colOff>
      <xdr:row>197</xdr:row>
      <xdr:rowOff>161924</xdr:rowOff>
    </xdr:from>
    <xdr:to>
      <xdr:col>5</xdr:col>
      <xdr:colOff>600075</xdr:colOff>
      <xdr:row>209</xdr:row>
      <xdr:rowOff>152399</xdr:rowOff>
    </xdr:to>
    <xdr:graphicFrame macro="">
      <xdr:nvGraphicFramePr>
        <xdr:cNvPr id="102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186</xdr:row>
      <xdr:rowOff>47625</xdr:rowOff>
    </xdr:from>
    <xdr:to>
      <xdr:col>5</xdr:col>
      <xdr:colOff>600075</xdr:colOff>
      <xdr:row>197</xdr:row>
      <xdr:rowOff>123825</xdr:rowOff>
    </xdr:to>
    <xdr:graphicFrame macro="">
      <xdr:nvGraphicFramePr>
        <xdr:cNvPr id="1030"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9525</xdr:colOff>
      <xdr:row>9</xdr:row>
      <xdr:rowOff>28575</xdr:rowOff>
    </xdr:from>
    <xdr:to>
      <xdr:col>8</xdr:col>
      <xdr:colOff>762000</xdr:colOff>
      <xdr:row>11</xdr:row>
      <xdr:rowOff>161925</xdr:rowOff>
    </xdr:to>
    <xdr:sp macro="" textlink="">
      <xdr:nvSpPr>
        <xdr:cNvPr id="24" name="Rounded Rectangle 23"/>
        <xdr:cNvSpPr/>
      </xdr:nvSpPr>
      <xdr:spPr>
        <a:xfrm>
          <a:off x="4924425" y="1428750"/>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8</xdr:col>
      <xdr:colOff>0</xdr:colOff>
      <xdr:row>15</xdr:row>
      <xdr:rowOff>19050</xdr:rowOff>
    </xdr:from>
    <xdr:to>
      <xdr:col>8</xdr:col>
      <xdr:colOff>742950</xdr:colOff>
      <xdr:row>17</xdr:row>
      <xdr:rowOff>152400</xdr:rowOff>
    </xdr:to>
    <xdr:sp macro="" textlink="">
      <xdr:nvSpPr>
        <xdr:cNvPr id="29" name="Rounded Rectangle 28"/>
        <xdr:cNvSpPr/>
      </xdr:nvSpPr>
      <xdr:spPr>
        <a:xfrm>
          <a:off x="4914900" y="2790825"/>
          <a:ext cx="742950"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12</xdr:row>
      <xdr:rowOff>19050</xdr:rowOff>
    </xdr:from>
    <xdr:to>
      <xdr:col>8</xdr:col>
      <xdr:colOff>752474</xdr:colOff>
      <xdr:row>14</xdr:row>
      <xdr:rowOff>152400</xdr:rowOff>
    </xdr:to>
    <xdr:sp macro="" textlink="">
      <xdr:nvSpPr>
        <xdr:cNvPr id="31" name="Rounded Rectangle 30"/>
        <xdr:cNvSpPr/>
      </xdr:nvSpPr>
      <xdr:spPr>
        <a:xfrm>
          <a:off x="4914899" y="2276475"/>
          <a:ext cx="75247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7</xdr:col>
      <xdr:colOff>685799</xdr:colOff>
      <xdr:row>18</xdr:row>
      <xdr:rowOff>19050</xdr:rowOff>
    </xdr:from>
    <xdr:to>
      <xdr:col>8</xdr:col>
      <xdr:colOff>733424</xdr:colOff>
      <xdr:row>20</xdr:row>
      <xdr:rowOff>152400</xdr:rowOff>
    </xdr:to>
    <xdr:sp macro="" textlink="">
      <xdr:nvSpPr>
        <xdr:cNvPr id="32" name="Rounded Rectangle 31"/>
        <xdr:cNvSpPr/>
      </xdr:nvSpPr>
      <xdr:spPr>
        <a:xfrm>
          <a:off x="4914899" y="3305175"/>
          <a:ext cx="733425" cy="476250"/>
        </a:xfrm>
        <a:prstGeom prst="roundRect">
          <a:avLst/>
        </a:prstGeom>
        <a:no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19050</xdr:colOff>
      <xdr:row>210</xdr:row>
      <xdr:rowOff>28575</xdr:rowOff>
    </xdr:from>
    <xdr:to>
      <xdr:col>3</xdr:col>
      <xdr:colOff>666750</xdr:colOff>
      <xdr:row>213</xdr:row>
      <xdr:rowOff>152400</xdr:rowOff>
    </xdr:to>
    <xdr:sp macro="" textlink="$N$208">
      <xdr:nvSpPr>
        <xdr:cNvPr id="11" name="Rounded Rectangle 10"/>
        <xdr:cNvSpPr/>
      </xdr:nvSpPr>
      <xdr:spPr>
        <a:xfrm>
          <a:off x="95250" y="22174200"/>
          <a:ext cx="2057400" cy="638175"/>
        </a:xfrm>
        <a:prstGeom prst="roundRect">
          <a:avLst/>
        </a:prstGeom>
        <a:solidFill>
          <a:schemeClr val="accent5"/>
        </a:solidFill>
        <a:ln>
          <a:solidFill>
            <a:schemeClr val="accent5"/>
          </a:solidFill>
        </a:ln>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F0BD96E8-E6C8-4F1A-AEE8-8C7C3D486110}" type="TxLink">
            <a:rPr lang="en-US" sz="1800" b="1" i="0" u="none" strike="noStrike">
              <a:solidFill>
                <a:sysClr val="windowText" lastClr="000000"/>
              </a:solidFill>
              <a:latin typeface="+mj-lt"/>
            </a:rPr>
            <a:pPr algn="ctr"/>
            <a:t>$78,500,964</a:t>
          </a:fld>
          <a:endParaRPr lang="en-US" sz="1800" b="1">
            <a:solidFill>
              <a:sysClr val="windowText" lastClr="000000"/>
            </a:solidFill>
            <a:latin typeface="+mj-lt"/>
          </a:endParaRPr>
        </a:p>
      </xdr:txBody>
    </xdr:sp>
    <xdr:clientData/>
  </xdr:twoCellAnchor>
  <xdr:twoCellAnchor>
    <xdr:from>
      <xdr:col>5</xdr:col>
      <xdr:colOff>666750</xdr:colOff>
      <xdr:row>210</xdr:row>
      <xdr:rowOff>38100</xdr:rowOff>
    </xdr:from>
    <xdr:to>
      <xdr:col>8</xdr:col>
      <xdr:colOff>666750</xdr:colOff>
      <xdr:row>213</xdr:row>
      <xdr:rowOff>161925</xdr:rowOff>
    </xdr:to>
    <xdr:sp macro="" textlink="$U$205">
      <xdr:nvSpPr>
        <xdr:cNvPr id="37" name="Rounded Rectangle 36"/>
        <xdr:cNvSpPr/>
      </xdr:nvSpPr>
      <xdr:spPr>
        <a:xfrm>
          <a:off x="3524250" y="27279600"/>
          <a:ext cx="2057400" cy="638175"/>
        </a:xfrm>
        <a:prstGeom prst="roundRect">
          <a:avLst/>
        </a:prstGeom>
        <a:solidFill>
          <a:schemeClr val="accent6"/>
        </a:solidFill>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8BEA3F64-03AE-4223-AEF2-03C983909636}" type="TxLink">
            <a:rPr lang="en-US" sz="1800" b="0" i="0" u="none" strike="noStrike">
              <a:solidFill>
                <a:srgbClr val="000000"/>
              </a:solidFill>
              <a:latin typeface="Cambria"/>
            </a:rPr>
            <a:pPr algn="ctr"/>
            <a:t>$986,046</a:t>
          </a:fld>
          <a:endParaRPr lang="en-US" sz="1800" b="1"/>
        </a:p>
      </xdr:txBody>
    </xdr:sp>
    <xdr:clientData/>
  </xdr:twoCellAnchor>
  <xdr:twoCellAnchor>
    <xdr:from>
      <xdr:col>1</xdr:col>
      <xdr:colOff>28575</xdr:colOff>
      <xdr:row>126</xdr:row>
      <xdr:rowOff>152400</xdr:rowOff>
    </xdr:from>
    <xdr:to>
      <xdr:col>5</xdr:col>
      <xdr:colOff>333375</xdr:colOff>
      <xdr:row>140</xdr:row>
      <xdr:rowOff>66674</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38100</xdr:colOff>
      <xdr:row>64</xdr:row>
      <xdr:rowOff>19050</xdr:rowOff>
    </xdr:from>
    <xdr:to>
      <xdr:col>7</xdr:col>
      <xdr:colOff>200025</xdr:colOff>
      <xdr:row>76</xdr:row>
      <xdr:rowOff>133350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247650</xdr:colOff>
      <xdr:row>64</xdr:row>
      <xdr:rowOff>28575</xdr:rowOff>
    </xdr:from>
    <xdr:to>
      <xdr:col>13</xdr:col>
      <xdr:colOff>209550</xdr:colOff>
      <xdr:row>76</xdr:row>
      <xdr:rowOff>142875</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704850</xdr:colOff>
      <xdr:row>55</xdr:row>
      <xdr:rowOff>171450</xdr:rowOff>
    </xdr:from>
    <xdr:to>
      <xdr:col>13</xdr:col>
      <xdr:colOff>19050</xdr:colOff>
      <xdr:row>58</xdr:row>
      <xdr:rowOff>9525</xdr:rowOff>
    </xdr:to>
    <xdr:sp macro="" textlink="">
      <xdr:nvSpPr>
        <xdr:cNvPr id="23" name="Rounded Rectangle 22"/>
        <xdr:cNvSpPr/>
      </xdr:nvSpPr>
      <xdr:spPr>
        <a:xfrm>
          <a:off x="7677150" y="9458325"/>
          <a:ext cx="733425" cy="476250"/>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solidFill>
              <a:schemeClr val="tx2"/>
            </a:solidFill>
          </a:endParaRPr>
        </a:p>
      </xdr:txBody>
    </xdr:sp>
    <xdr:clientData/>
  </xdr:twoCellAnchor>
  <xdr:twoCellAnchor>
    <xdr:from>
      <xdr:col>10</xdr:col>
      <xdr:colOff>0</xdr:colOff>
      <xdr:row>113</xdr:row>
      <xdr:rowOff>161924</xdr:rowOff>
    </xdr:from>
    <xdr:to>
      <xdr:col>12</xdr:col>
      <xdr:colOff>790575</xdr:colOff>
      <xdr:row>116</xdr:row>
      <xdr:rowOff>133349</xdr:rowOff>
    </xdr:to>
    <xdr:sp macro="" textlink="">
      <xdr:nvSpPr>
        <xdr:cNvPr id="20" name="Rounded Rectangle 19"/>
        <xdr:cNvSpPr/>
      </xdr:nvSpPr>
      <xdr:spPr>
        <a:xfrm>
          <a:off x="6467475" y="19345274"/>
          <a:ext cx="2381250" cy="485775"/>
        </a:xfrm>
        <a:prstGeom prst="roundRect">
          <a:avLst/>
        </a:prstGeom>
        <a:noFill/>
        <a:ln>
          <a:solidFill>
            <a:schemeClr val="accent4">
              <a:lumMod val="75000"/>
            </a:schemeClr>
          </a:solid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endParaRPr lang="en-US"/>
        </a:p>
      </xdr:txBody>
    </xdr:sp>
    <xdr:clientData/>
  </xdr:twoCellAnchor>
  <xdr:twoCellAnchor>
    <xdr:from>
      <xdr:col>1</xdr:col>
      <xdr:colOff>0</xdr:colOff>
      <xdr:row>77</xdr:row>
      <xdr:rowOff>90486</xdr:rowOff>
    </xdr:from>
    <xdr:to>
      <xdr:col>7</xdr:col>
      <xdr:colOff>200025</xdr:colOff>
      <xdr:row>94</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371475</xdr:colOff>
      <xdr:row>77</xdr:row>
      <xdr:rowOff>95250</xdr:rowOff>
    </xdr:from>
    <xdr:to>
      <xdr:col>13</xdr:col>
      <xdr:colOff>85725</xdr:colOff>
      <xdr:row>94</xdr:row>
      <xdr:rowOff>138113</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95</xdr:row>
      <xdr:rowOff>47625</xdr:rowOff>
    </xdr:from>
    <xdr:to>
      <xdr:col>7</xdr:col>
      <xdr:colOff>200025</xdr:colOff>
      <xdr:row>112</xdr:row>
      <xdr:rowOff>90488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400050</xdr:colOff>
      <xdr:row>95</xdr:row>
      <xdr:rowOff>38100</xdr:rowOff>
    </xdr:from>
    <xdr:to>
      <xdr:col>13</xdr:col>
      <xdr:colOff>114300</xdr:colOff>
      <xdr:row>112</xdr:row>
      <xdr:rowOff>80963</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28576</xdr:colOff>
      <xdr:row>167</xdr:row>
      <xdr:rowOff>0</xdr:rowOff>
    </xdr:from>
    <xdr:to>
      <xdr:col>6</xdr:col>
      <xdr:colOff>638176</xdr:colOff>
      <xdr:row>169</xdr:row>
      <xdr:rowOff>161925</xdr:rowOff>
    </xdr:to>
    <xdr:sp macro="" textlink="">
      <xdr:nvSpPr>
        <xdr:cNvPr id="28" name="Rounded Rectangle 27"/>
        <xdr:cNvSpPr/>
      </xdr:nvSpPr>
      <xdr:spPr>
        <a:xfrm>
          <a:off x="3571876" y="28327350"/>
          <a:ext cx="609600"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28575</xdr:colOff>
      <xdr:row>167</xdr:row>
      <xdr:rowOff>9525</xdr:rowOff>
    </xdr:from>
    <xdr:to>
      <xdr:col>3</xdr:col>
      <xdr:colOff>647700</xdr:colOff>
      <xdr:row>170</xdr:row>
      <xdr:rowOff>0</xdr:rowOff>
    </xdr:to>
    <xdr:sp macro="" textlink="">
      <xdr:nvSpPr>
        <xdr:cNvPr id="33" name="Rounded Rectangle 32"/>
        <xdr:cNvSpPr/>
      </xdr:nvSpPr>
      <xdr:spPr>
        <a:xfrm>
          <a:off x="1514475" y="27993975"/>
          <a:ext cx="619125" cy="504825"/>
        </a:xfrm>
        <a:prstGeom prst="round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400050</xdr:colOff>
      <xdr:row>126</xdr:row>
      <xdr:rowOff>161925</xdr:rowOff>
    </xdr:from>
    <xdr:to>
      <xdr:col>9</xdr:col>
      <xdr:colOff>657225</xdr:colOff>
      <xdr:row>140</xdr:row>
      <xdr:rowOff>76199</xdr:rowOff>
    </xdr:to>
    <xdr:graphicFrame macro="">
      <xdr:nvGraphicFramePr>
        <xdr:cNvPr id="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723899</xdr:colOff>
      <xdr:row>126</xdr:row>
      <xdr:rowOff>152400</xdr:rowOff>
    </xdr:from>
    <xdr:to>
      <xdr:col>13</xdr:col>
      <xdr:colOff>771524</xdr:colOff>
      <xdr:row>140</xdr:row>
      <xdr:rowOff>66674</xdr:rowOff>
    </xdr:to>
    <xdr:graphicFrame macro="">
      <xdr:nvGraphicFramePr>
        <xdr:cNvPr id="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0.0361</cdr:x>
      <cdr:y>0.91786</cdr:y>
    </cdr:from>
    <cdr:to>
      <cdr:x>0.98996</cdr:x>
      <cdr:y>0.97956</cdr:y>
    </cdr:to>
    <cdr:sp macro="" textlink="">
      <cdr:nvSpPr>
        <cdr:cNvPr id="3" name="TextBox 2"/>
        <cdr:cNvSpPr txBox="1"/>
      </cdr:nvSpPr>
      <cdr:spPr>
        <a:xfrm xmlns:a="http://schemas.openxmlformats.org/drawingml/2006/main">
          <a:off x="172270" y="2447925"/>
          <a:ext cx="4551844" cy="164562"/>
        </a:xfrm>
        <a:prstGeom xmlns:a="http://schemas.openxmlformats.org/drawingml/2006/main" prst="rect">
          <a:avLst/>
        </a:prstGeom>
      </cdr:spPr>
      <cdr:txBody>
        <a:bodyPr xmlns:a="http://schemas.openxmlformats.org/drawingml/2006/main" vertOverflow="clip" horzOverflow="clip" wrap="squar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 Rates per</a:t>
          </a:r>
          <a:r>
            <a:rPr lang="en-US" sz="800" baseline="0">
              <a:latin typeface="+mj-lt"/>
              <a:cs typeface="Arial" pitchFamily="34" charset="0"/>
            </a:rPr>
            <a:t> calendar year </a:t>
          </a:r>
          <a:r>
            <a:rPr lang="en-US" sz="800">
              <a:latin typeface="+mj-lt"/>
              <a:cs typeface="Arial" pitchFamily="34" charset="0"/>
            </a:rPr>
            <a:t>are not seasonally</a:t>
          </a:r>
          <a:r>
            <a:rPr lang="en-US" sz="800" baseline="0">
              <a:latin typeface="+mj-lt"/>
              <a:cs typeface="Arial" pitchFamily="34" charset="0"/>
            </a:rPr>
            <a:t> adjusted. </a:t>
          </a:r>
        </a:p>
        <a:p xmlns:a="http://schemas.openxmlformats.org/drawingml/2006/main">
          <a:r>
            <a:rPr lang="en-US" sz="800" baseline="0">
              <a:latin typeface="+mj-lt"/>
              <a:cs typeface="Arial" pitchFamily="34" charset="0"/>
            </a:rPr>
            <a:t>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0.03107</cdr:x>
      <cdr:y>0.93073</cdr:y>
    </cdr:from>
    <cdr:to>
      <cdr:x>0.94664</cdr:x>
      <cdr:y>0.99584</cdr:y>
    </cdr:to>
    <cdr:sp macro="" textlink="">
      <cdr:nvSpPr>
        <cdr:cNvPr id="3" name="TextBox 2"/>
        <cdr:cNvSpPr txBox="1"/>
      </cdr:nvSpPr>
      <cdr:spPr>
        <a:xfrm xmlns:a="http://schemas.openxmlformats.org/drawingml/2006/main">
          <a:off x="126091" y="2411324"/>
          <a:ext cx="3715062" cy="168687"/>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U.S.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 (SAIPE).</a:t>
          </a:r>
          <a:endParaRPr lang="en-US" sz="7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15-44 years.</a:t>
          </a:r>
          <a:endParaRPr lang="en-US" sz="800"/>
        </a:p>
      </cdr:txBody>
    </cdr:sp>
  </cdr:relSizeAnchor>
</c:userShapes>
</file>

<file path=xl/drawings/drawing5.xml><?xml version="1.0" encoding="utf-8"?>
<c:userShapes xmlns:c="http://schemas.openxmlformats.org/drawingml/2006/chart">
  <cdr:relSizeAnchor xmlns:cdr="http://schemas.openxmlformats.org/drawingml/2006/chartDrawing">
    <cdr:from>
      <cdr:x>0.0085</cdr:x>
      <cdr:y>0.92057</cdr:y>
    </cdr:from>
    <cdr:to>
      <cdr:x>1</cdr:x>
      <cdr:y>1</cdr:y>
    </cdr:to>
    <cdr:sp macro="" textlink="">
      <cdr:nvSpPr>
        <cdr:cNvPr id="2" name="TextBox 1"/>
        <cdr:cNvSpPr txBox="1"/>
      </cdr:nvSpPr>
      <cdr:spPr>
        <a:xfrm xmlns:a="http://schemas.openxmlformats.org/drawingml/2006/main">
          <a:off x="533400" y="3400425"/>
          <a:ext cx="5080872" cy="2920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VDH, Division of Health Statistics.</a:t>
          </a:r>
          <a:r>
            <a:rPr lang="en-US" sz="800" baseline="0"/>
            <a:t>  Refers to live births to females aged 10-19 years.</a:t>
          </a:r>
          <a:endParaRPr lang="en-US" sz="8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38100</xdr:colOff>
      <xdr:row>30</xdr:row>
      <xdr:rowOff>57149</xdr:rowOff>
    </xdr:from>
    <xdr:to>
      <xdr:col>4</xdr:col>
      <xdr:colOff>228600</xdr:colOff>
      <xdr:row>43</xdr:row>
      <xdr:rowOff>142874</xdr:rowOff>
    </xdr:to>
    <xdr:graphicFrame macro="">
      <xdr:nvGraphicFramePr>
        <xdr:cNvPr id="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30</xdr:row>
      <xdr:rowOff>57149</xdr:rowOff>
    </xdr:from>
    <xdr:to>
      <xdr:col>7</xdr:col>
      <xdr:colOff>895350</xdr:colOff>
      <xdr:row>43</xdr:row>
      <xdr:rowOff>123825</xdr:rowOff>
    </xdr:to>
    <xdr:graphicFrame macro="">
      <xdr:nvGraphicFramePr>
        <xdr:cNvPr id="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66675</xdr:colOff>
      <xdr:row>26</xdr:row>
      <xdr:rowOff>9525</xdr:rowOff>
    </xdr:from>
    <xdr:to>
      <xdr:col>4</xdr:col>
      <xdr:colOff>819150</xdr:colOff>
      <xdr:row>29</xdr:row>
      <xdr:rowOff>133350</xdr:rowOff>
    </xdr:to>
    <xdr:sp macro="" textlink="$H$24">
      <xdr:nvSpPr>
        <xdr:cNvPr id="4" name="Rounded Rectangle 3"/>
        <xdr:cNvSpPr/>
      </xdr:nvSpPr>
      <xdr:spPr>
        <a:xfrm>
          <a:off x="2190750" y="4524375"/>
          <a:ext cx="1638300" cy="638175"/>
        </a:xfrm>
        <a:prstGeom prst="roundRect">
          <a:avLst/>
        </a:prstGeom>
        <a:solidFill>
          <a:schemeClr val="accent6">
            <a:lumMod val="60000"/>
            <a:lumOff val="40000"/>
          </a:schemeClr>
        </a:solidFill>
        <a:effectLst>
          <a:softEdge rad="63500"/>
        </a:effectLst>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fld id="{4DF10B21-1497-4A82-834F-CF2F964EB970}" type="TxLink">
            <a:rPr lang="en-US" sz="1600" b="1" i="0" u="none" strike="noStrike">
              <a:solidFill>
                <a:schemeClr val="accent4">
                  <a:lumMod val="50000"/>
                </a:schemeClr>
              </a:solidFill>
              <a:latin typeface="+mn-lt"/>
              <a:cs typeface="Times New Roman"/>
            </a:rPr>
            <a:pPr algn="ctr"/>
            <a:t>$12,824,873,989</a:t>
          </a:fld>
          <a:endParaRPr lang="en-US" sz="1600" b="1">
            <a:solidFill>
              <a:schemeClr val="accent4">
                <a:lumMod val="50000"/>
              </a:schemeClr>
            </a:solidFill>
            <a:latin typeface="+mn-lt"/>
          </a:endParaRPr>
        </a:p>
      </xdr:txBody>
    </xdr:sp>
    <xdr:clientData/>
  </xdr:twoCellAnchor>
  <xdr:twoCellAnchor>
    <xdr:from>
      <xdr:col>4</xdr:col>
      <xdr:colOff>847725</xdr:colOff>
      <xdr:row>26</xdr:row>
      <xdr:rowOff>47626</xdr:rowOff>
    </xdr:from>
    <xdr:to>
      <xdr:col>6</xdr:col>
      <xdr:colOff>657225</xdr:colOff>
      <xdr:row>29</xdr:row>
      <xdr:rowOff>133350</xdr:rowOff>
    </xdr:to>
    <xdr:sp macro="" textlink="">
      <xdr:nvSpPr>
        <xdr:cNvPr id="8" name="TextBox 7"/>
        <xdr:cNvSpPr txBox="1"/>
      </xdr:nvSpPr>
      <xdr:spPr>
        <a:xfrm>
          <a:off x="3857625" y="4562476"/>
          <a:ext cx="1581150" cy="600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solidFill>
                <a:schemeClr val="accent4">
                  <a:lumMod val="75000"/>
                </a:schemeClr>
              </a:solidFill>
              <a:latin typeface="+mj-lt"/>
            </a:rPr>
            <a:t>Total amount spent on Social Services in region/state</a:t>
          </a:r>
          <a:r>
            <a:rPr lang="en-US" sz="900" b="1" i="1" baseline="0">
              <a:solidFill>
                <a:schemeClr val="accent4">
                  <a:lumMod val="75000"/>
                </a:schemeClr>
              </a:solidFill>
              <a:latin typeface="+mj-lt"/>
            </a:rPr>
            <a:t> </a:t>
          </a:r>
          <a:r>
            <a:rPr lang="en-US" sz="900" b="1" baseline="0">
              <a:solidFill>
                <a:schemeClr val="accent4">
                  <a:lumMod val="75000"/>
                </a:schemeClr>
              </a:solidFill>
              <a:latin typeface="+mj-lt"/>
            </a:rPr>
            <a:t>(SFY 2019)</a:t>
          </a:r>
          <a:endParaRPr lang="en-US" sz="900" b="1">
            <a:solidFill>
              <a:schemeClr val="accent4">
                <a:lumMod val="75000"/>
              </a:schemeClr>
            </a:solidFill>
            <a:latin typeface="+mj-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pic>
      <xdr:nvPicPr>
        <xdr:cNvPr id="929793" name="Picture 1" descr="http://dssdw.vita.virginia.gov:80/crn/common/images/filter.gif"/>
        <xdr:cNvPicPr>
          <a:picLocks noChangeAspect="1" noChangeArrowheads="1"/>
        </xdr:cNvPicPr>
      </xdr:nvPicPr>
      <xdr:blipFill>
        <a:blip xmlns:r="http://schemas.openxmlformats.org/officeDocument/2006/relationships" r:link="rId1" cstate="print">
          <a:extLst>
            <a:ext uri="{28A0092B-C50C-407E-A947-70E740481C1C}">
              <a14:useLocalDpi xmlns:a14="http://schemas.microsoft.com/office/drawing/2010/main" val="0"/>
            </a:ext>
          </a:extLst>
        </a:blip>
        <a:srcRect/>
        <a:stretch>
          <a:fillRect/>
        </a:stretch>
      </xdr:blipFill>
      <xdr:spPr bwMode="auto">
        <a:xfrm>
          <a:off x="34290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Research@dss.virginia.gov"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Research@dss.virginia.gov"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Research@dss.virginia.gov" TargetMode="External"/></Relationships>
</file>

<file path=xl/worksheets/_rels/sheet4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Research@dss.virginia.gov"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mailto:Research@dss.virginia.gov"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esearch@dss.virginia.gov"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Research@dss.virginia.gov"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Research@dss.virginia.gov"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mailto:Research@dss.virginia.gov"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mailto:Research@dss.virginia.gov"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mailto:Research@dss.virginia.gov"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mailto:Research@dss.virginia.gov"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Research@dss.virginia.gov"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mailto:Research@dss.virginia.gov"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mailto:Research@dss.virginia.gov"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mailto:Research@dss.virginia.gov"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esearch@dss.virginia.gov" TargetMode="External"/></Relationships>
</file>

<file path=xl/worksheets/_rels/sheet70.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mailto:Research@dss.virginia.gov"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mailto:Research@dss.virginia.gov"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mailto:Research@dss.virgini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AF278"/>
  <sheetViews>
    <sheetView showGridLines="0" tabSelected="1" zoomScaleNormal="100" zoomScaleSheetLayoutView="100" workbookViewId="0">
      <pane ySplit="4" topLeftCell="A5" activePane="bottomLeft" state="frozen"/>
      <selection pane="bottomLeft" activeCell="D3" sqref="D3:G3"/>
    </sheetView>
  </sheetViews>
  <sheetFormatPr defaultColWidth="9" defaultRowHeight="11.4" x14ac:dyDescent="0.2"/>
  <cols>
    <col min="1" max="1" width="1" style="66" customWidth="1"/>
    <col min="2" max="2" width="9.5" style="66" customWidth="1"/>
    <col min="3" max="8" width="9" style="66" customWidth="1"/>
    <col min="9" max="9" width="10.09765625" style="66" customWidth="1"/>
    <col min="10" max="11" width="10.19921875" style="66" customWidth="1"/>
    <col min="12" max="12" width="10.59765625" style="66" customWidth="1"/>
    <col min="13" max="13" width="9.296875" style="66" customWidth="1"/>
    <col min="14" max="14" width="11.296875" style="66" customWidth="1"/>
    <col min="15" max="16" width="10" style="66" customWidth="1"/>
    <col min="17" max="17" width="9.09765625" style="66" bestFit="1" customWidth="1"/>
    <col min="18" max="18" width="6.5" style="66" bestFit="1" customWidth="1"/>
    <col min="19" max="19" width="9.09765625" style="66" bestFit="1" customWidth="1"/>
    <col min="20" max="20" width="12" style="66" customWidth="1"/>
    <col min="21" max="21" width="12.69921875" style="66" customWidth="1"/>
    <col min="22" max="22" width="11" style="66" bestFit="1" customWidth="1"/>
    <col min="23" max="23" width="12" style="66" customWidth="1"/>
    <col min="24" max="24" width="10.796875" style="66" bestFit="1" customWidth="1"/>
    <col min="25" max="16384" width="9" style="66"/>
  </cols>
  <sheetData>
    <row r="1" spans="2:32" ht="15" x14ac:dyDescent="0.25">
      <c r="B1" s="2513" t="s">
        <v>1135</v>
      </c>
      <c r="C1" s="2513"/>
      <c r="D1" s="2513"/>
      <c r="E1" s="2513"/>
      <c r="F1" s="2513"/>
      <c r="G1" s="2513"/>
      <c r="H1" s="2513"/>
      <c r="I1" s="2513"/>
      <c r="J1" s="2513"/>
      <c r="K1" s="2513"/>
      <c r="L1" s="2513"/>
      <c r="M1" s="2513"/>
      <c r="N1" s="2513"/>
      <c r="O1" s="170"/>
      <c r="P1" s="67"/>
      <c r="Q1" s="67"/>
      <c r="R1" s="67"/>
      <c r="AF1" s="68" t="s">
        <v>8</v>
      </c>
    </row>
    <row r="2" spans="2:32" ht="8.25" customHeight="1" x14ac:dyDescent="0.2"/>
    <row r="3" spans="2:32" ht="15.75" customHeight="1" x14ac:dyDescent="0.25">
      <c r="B3" s="2519" t="s">
        <v>1</v>
      </c>
      <c r="C3" s="2519"/>
      <c r="D3" s="2514" t="s">
        <v>11</v>
      </c>
      <c r="E3" s="2515"/>
      <c r="F3" s="2515"/>
      <c r="G3" s="2516"/>
      <c r="H3" s="160" t="s">
        <v>0</v>
      </c>
      <c r="I3" s="1896" t="str">
        <f>VLOOKUP(D3,Loc_Name,2,FALSE)</f>
        <v>001</v>
      </c>
      <c r="J3" s="160" t="s">
        <v>475</v>
      </c>
      <c r="K3" s="1897" t="str">
        <f>VLOOKUP(+I3,Agency_Level,3,FALSE)</f>
        <v>Eastern</v>
      </c>
      <c r="L3" s="161"/>
      <c r="M3" s="161"/>
      <c r="N3" s="161"/>
      <c r="O3" s="161"/>
      <c r="R3" s="71"/>
      <c r="S3" s="71"/>
      <c r="T3" s="71"/>
    </row>
    <row r="4" spans="2:32" ht="9" customHeight="1" x14ac:dyDescent="0.2">
      <c r="J4" s="72"/>
      <c r="Q4" s="71"/>
      <c r="R4" s="71"/>
      <c r="S4" s="71"/>
      <c r="T4" s="71"/>
    </row>
    <row r="5" spans="2:32" ht="13.5" customHeight="1" x14ac:dyDescent="0.2">
      <c r="B5" s="2517" t="s">
        <v>476</v>
      </c>
      <c r="C5" s="2517"/>
      <c r="D5" s="326" t="str">
        <f>VLOOKUP(I3,Agency_Level,5,FALSE)</f>
        <v>II (Two)</v>
      </c>
      <c r="E5" s="69" t="s">
        <v>477</v>
      </c>
      <c r="F5" s="2518" t="str">
        <f>VLOOKUP(I3,Agency_Level,9,FALSE)</f>
        <v>Partial deviating</v>
      </c>
      <c r="G5" s="2518"/>
      <c r="H5" s="69" t="s">
        <v>478</v>
      </c>
      <c r="I5" s="327" t="str">
        <f>VLOOKUP(+I3,IT_Support,4,)</f>
        <v>Shared</v>
      </c>
      <c r="J5" s="2524" t="s">
        <v>587</v>
      </c>
      <c r="K5" s="2524"/>
      <c r="L5" s="328" t="str">
        <f>VLOOKUP(I3,Agency_Level,6,FALSE)</f>
        <v>Administrative</v>
      </c>
      <c r="M5" s="2544" t="str">
        <f>IF((VLOOKUP(I3,Agency_Level,6,FALSE))="Administrative"," ",VLOOKUP(I3,Agency_Level,7,FALSE))</f>
        <v xml:space="preserve"> </v>
      </c>
      <c r="N5" s="2544"/>
      <c r="O5" s="259"/>
      <c r="P5" s="259"/>
      <c r="R5" s="74"/>
      <c r="S5" s="74"/>
      <c r="T5" s="74"/>
    </row>
    <row r="6" spans="2:32" ht="7.5" customHeight="1" x14ac:dyDescent="0.2">
      <c r="J6" s="73"/>
      <c r="L6" s="171"/>
      <c r="M6" s="2544"/>
      <c r="N6" s="2544"/>
      <c r="O6" s="171"/>
      <c r="Q6" s="74"/>
      <c r="R6" s="74"/>
      <c r="S6" s="74"/>
      <c r="T6" s="74"/>
    </row>
    <row r="7" spans="2:32" ht="13.5" customHeight="1" x14ac:dyDescent="0.2">
      <c r="B7" s="2530" t="s">
        <v>1117</v>
      </c>
      <c r="C7" s="2531"/>
      <c r="D7" s="2538" t="str">
        <f>D3</f>
        <v>Accomack</v>
      </c>
      <c r="E7" s="2539"/>
      <c r="F7" s="2536" t="str">
        <f>K3</f>
        <v>Eastern</v>
      </c>
      <c r="G7" s="2536" t="s">
        <v>9</v>
      </c>
    </row>
    <row r="8" spans="2:32" ht="13.5" customHeight="1" x14ac:dyDescent="0.2">
      <c r="B8" s="2532"/>
      <c r="C8" s="2533"/>
      <c r="D8" s="2540"/>
      <c r="E8" s="2541"/>
      <c r="F8" s="2537"/>
      <c r="G8" s="2537"/>
      <c r="I8" s="1738"/>
      <c r="J8" s="1739"/>
      <c r="K8" s="902"/>
      <c r="L8" s="902"/>
      <c r="M8" s="902"/>
    </row>
    <row r="9" spans="2:32" ht="13.5" customHeight="1" x14ac:dyDescent="0.25">
      <c r="B9" s="2534"/>
      <c r="C9" s="2535"/>
      <c r="D9" s="318" t="s">
        <v>481</v>
      </c>
      <c r="E9" s="319" t="s">
        <v>268</v>
      </c>
      <c r="F9" s="320" t="s">
        <v>268</v>
      </c>
      <c r="G9" s="330" t="s">
        <v>268</v>
      </c>
      <c r="I9" s="1738"/>
      <c r="J9" s="902"/>
      <c r="K9" s="902"/>
      <c r="L9" s="902"/>
      <c r="M9" s="902"/>
    </row>
    <row r="10" spans="2:32" ht="13.5" customHeight="1" x14ac:dyDescent="0.25">
      <c r="B10" s="331" t="s">
        <v>317</v>
      </c>
      <c r="C10" s="321"/>
      <c r="D10" s="322">
        <f>VLOOKUP(I3,Pop_Estimates,5,FALSE)</f>
        <v>32412</v>
      </c>
      <c r="E10" s="317"/>
      <c r="F10" s="323"/>
      <c r="G10" s="332"/>
      <c r="I10" s="1738"/>
      <c r="J10" s="2479" t="s">
        <v>630</v>
      </c>
      <c r="K10" s="2479"/>
      <c r="L10" s="2479"/>
      <c r="M10" s="2479"/>
    </row>
    <row r="11" spans="2:32" ht="13.5" customHeight="1" x14ac:dyDescent="0.25">
      <c r="B11" s="2475" t="s">
        <v>417</v>
      </c>
      <c r="C11" s="2476"/>
      <c r="D11" s="1740">
        <f>VLOOKUP($I$3,Pop_Estimates,6,FALSE)</f>
        <v>15817</v>
      </c>
      <c r="E11" s="1742">
        <f>VLOOKUP($I$3,Pop_Estimates, 22,FALSE)</f>
        <v>0.4879982722448476</v>
      </c>
      <c r="F11" s="1746">
        <f>VLOOKUP($K$3,Pop_Estimates, 22, FALSE)</f>
        <v>0.49430241923455537</v>
      </c>
      <c r="G11" s="1744">
        <f>'2018 Population'!V5</f>
        <v>0.49199377530397048</v>
      </c>
      <c r="I11" s="1716">
        <f>VLOOKUP(I3,Poverty,5,FALSE)</f>
        <v>5552</v>
      </c>
      <c r="J11" s="2479"/>
      <c r="K11" s="2479"/>
      <c r="L11" s="2479"/>
      <c r="M11" s="2479"/>
    </row>
    <row r="12" spans="2:32" ht="13.5" customHeight="1" x14ac:dyDescent="0.25">
      <c r="B12" s="2477" t="s">
        <v>418</v>
      </c>
      <c r="C12" s="2478"/>
      <c r="D12" s="1741">
        <f>VLOOKUP($I$3,Pop_Estimates,7,FALSE)</f>
        <v>16595</v>
      </c>
      <c r="E12" s="1743">
        <f>VLOOKUP($I$3,Pop_Estimates,23,FALSE)</f>
        <v>0.5120017277551524</v>
      </c>
      <c r="F12" s="1747">
        <f>VLOOKUP($K$3,Pop_Estimates,23,FALSE)</f>
        <v>0.50569758076544458</v>
      </c>
      <c r="G12" s="1745">
        <f>'2018 Population'!W5</f>
        <v>0.50800622469602952</v>
      </c>
      <c r="I12" s="1716"/>
      <c r="J12" s="2480"/>
      <c r="K12" s="2480"/>
      <c r="L12" s="2480"/>
      <c r="M12" s="2480"/>
    </row>
    <row r="13" spans="2:32" ht="13.5" customHeight="1" x14ac:dyDescent="0.25">
      <c r="B13" s="1714" t="s">
        <v>480</v>
      </c>
      <c r="C13" s="1715"/>
      <c r="D13" s="324">
        <f>VLOOKUP($I$3,Pop_Estimates,13,FALSE)</f>
        <v>6656</v>
      </c>
      <c r="E13" s="268">
        <f>VLOOKUP($I$3,Pop_Estimates,29,FALSE)</f>
        <v>0.20535604097247934</v>
      </c>
      <c r="F13" s="1748">
        <f>VLOOKUP($K$3,Pop_Estimates,29,FALSE)</f>
        <v>0.2174764873583595</v>
      </c>
      <c r="G13" s="333">
        <f>'2018 Population'!AC5</f>
        <v>0.21951880117661077</v>
      </c>
      <c r="I13" s="2523">
        <f>VLOOKUP(I3,Poverty,6,FALSE)</f>
        <v>0.17348373589975941</v>
      </c>
      <c r="J13" s="2479" t="s">
        <v>631</v>
      </c>
      <c r="K13" s="2479"/>
      <c r="L13" s="2479"/>
      <c r="M13" s="2479"/>
    </row>
    <row r="14" spans="2:32" ht="13.5" customHeight="1" x14ac:dyDescent="0.25">
      <c r="B14" s="1714" t="s">
        <v>579</v>
      </c>
      <c r="C14" s="1715"/>
      <c r="D14" s="324">
        <f>VLOOKUP($I$3,Pop_Estimates,14,FALSE)</f>
        <v>18118</v>
      </c>
      <c r="E14" s="268">
        <f>VLOOKUP($I$3,Pop_Estimates,30,FALSE)</f>
        <v>0.55899049734666173</v>
      </c>
      <c r="F14" s="1748">
        <f>VLOOKUP($K$3,Pop_Estimates,30,FALSE)</f>
        <v>0.63182473866556432</v>
      </c>
      <c r="G14" s="333">
        <f>'2018 Population'!AD5</f>
        <v>0.62604944888194392</v>
      </c>
      <c r="I14" s="2523"/>
      <c r="J14" s="2479"/>
      <c r="K14" s="2479"/>
      <c r="L14" s="2479"/>
      <c r="M14" s="2479"/>
    </row>
    <row r="15" spans="2:32" ht="13.5" customHeight="1" x14ac:dyDescent="0.25">
      <c r="B15" s="2525" t="s">
        <v>593</v>
      </c>
      <c r="C15" s="2526"/>
      <c r="D15" s="324">
        <f>VLOOKUP($I$3,Pop_Estimates,15,FALSE)</f>
        <v>7638</v>
      </c>
      <c r="E15" s="268">
        <f>VLOOKUP($I$3,Pop_Estimates,31,FALSE)</f>
        <v>0.23565346168085893</v>
      </c>
      <c r="F15" s="1748">
        <f>VLOOKUP($K$3,Pop_Estimates,31,FALSE)</f>
        <v>0.15069877397607612</v>
      </c>
      <c r="G15" s="333">
        <f>'2018 Population'!AE5</f>
        <v>0.15443174994144535</v>
      </c>
      <c r="I15" s="2523"/>
      <c r="J15" s="2479"/>
      <c r="K15" s="2479"/>
      <c r="L15" s="2479"/>
      <c r="M15" s="2479"/>
    </row>
    <row r="16" spans="2:32" ht="13.5" customHeight="1" x14ac:dyDescent="0.25">
      <c r="B16" s="2527" t="s">
        <v>966</v>
      </c>
      <c r="C16" s="2528"/>
      <c r="D16" s="1732">
        <f>VLOOKUP($I$3,Pop_Estimates,8,FALSE)</f>
        <v>22067</v>
      </c>
      <c r="E16" s="1733">
        <f>VLOOKUP($I$3,Pop_Estimates,24,FALSE)</f>
        <v>0.68082808836233488</v>
      </c>
      <c r="F16" s="1749">
        <f>VLOOKUP($K$3,Pop_Estimates,24,FALSE)</f>
        <v>0.59163431503317554</v>
      </c>
      <c r="G16" s="1734">
        <f>'2018 Population'!X5</f>
        <v>0.69486838266500817</v>
      </c>
      <c r="I16" s="2529">
        <f>VLOOKUP(I3,Poverty,8,FALSE)</f>
        <v>1761</v>
      </c>
      <c r="J16" s="2520" t="s">
        <v>632</v>
      </c>
      <c r="K16" s="2520"/>
      <c r="L16" s="2520"/>
      <c r="M16" s="2520"/>
    </row>
    <row r="17" spans="2:17" ht="13.5" customHeight="1" x14ac:dyDescent="0.25">
      <c r="B17" s="2525" t="s">
        <v>968</v>
      </c>
      <c r="C17" s="2526"/>
      <c r="D17" s="325">
        <f>VLOOKUP($I$3,Pop_Estimates,9,FALSE)</f>
        <v>9262</v>
      </c>
      <c r="E17" s="268">
        <f>VLOOKUP($I$3,Pop_Estimates,25,FALSE)</f>
        <v>0.28575836110082686</v>
      </c>
      <c r="F17" s="1748">
        <f>VLOOKUP($K$3,Pop_Estimates,25,FALSE)</f>
        <v>0.32629729695177301</v>
      </c>
      <c r="G17" s="333">
        <f>'2018 Population'!Y5</f>
        <v>0.19855946774270239</v>
      </c>
      <c r="I17" s="2529"/>
      <c r="J17" s="2479"/>
      <c r="K17" s="2479"/>
      <c r="L17" s="2479"/>
      <c r="M17" s="2479"/>
    </row>
    <row r="18" spans="2:17" ht="13.5" customHeight="1" x14ac:dyDescent="0.25">
      <c r="B18" s="2525" t="s">
        <v>964</v>
      </c>
      <c r="C18" s="2526"/>
      <c r="D18" s="325">
        <f>VLOOKUP($I$3,Pop_Estimates,10,FALSE)</f>
        <v>253</v>
      </c>
      <c r="E18" s="268">
        <f>VLOOKUP($I$3,Pop_Estimates,26,FALSE)</f>
        <v>7.8057509564358881E-3</v>
      </c>
      <c r="F18" s="1748">
        <f>VLOOKUP($K$3,Pop_Estimates,26,FALSE)</f>
        <v>3.9382343039533627E-2</v>
      </c>
      <c r="G18" s="333">
        <f>'2018 Population'!Z5</f>
        <v>6.9155644990393519E-2</v>
      </c>
      <c r="I18" s="2529"/>
      <c r="J18" s="2521"/>
      <c r="K18" s="2521"/>
      <c r="L18" s="2521"/>
      <c r="M18" s="2521"/>
    </row>
    <row r="19" spans="2:17" ht="13.5" customHeight="1" x14ac:dyDescent="0.25">
      <c r="B19" s="2525" t="s">
        <v>450</v>
      </c>
      <c r="C19" s="2526"/>
      <c r="D19" s="325">
        <f>VLOOKUP($I$3,Pop_Estimates,11,FALSE)</f>
        <v>281</v>
      </c>
      <c r="E19" s="268">
        <f>VLOOKUP($I$3,Pop_Estimates,27,FALSE)</f>
        <v>8.6696285326422311E-3</v>
      </c>
      <c r="F19" s="1748">
        <f>VLOOKUP($K$3,Pop_Estimates,27,FALSE)</f>
        <v>6.8897260303160731E-3</v>
      </c>
      <c r="G19" s="333">
        <f>'2018 Population'!AA5</f>
        <v>6.6223392858505564E-3</v>
      </c>
      <c r="I19" s="2523">
        <f>VLOOKUP(I3,Poverty,9,FALSE)</f>
        <v>0.26963711529627926</v>
      </c>
      <c r="J19" s="2522" t="s">
        <v>633</v>
      </c>
      <c r="K19" s="2522"/>
      <c r="L19" s="2522"/>
      <c r="M19" s="2522"/>
      <c r="Q19" s="80"/>
    </row>
    <row r="20" spans="2:17" ht="13.5" customHeight="1" x14ac:dyDescent="0.25">
      <c r="B20" s="2525" t="s">
        <v>958</v>
      </c>
      <c r="C20" s="2526"/>
      <c r="D20" s="325">
        <f>VLOOKUP($I$3,Pop_Estimates,12,FALSE)</f>
        <v>549</v>
      </c>
      <c r="E20" s="268">
        <f>VLOOKUP($I$3,Pop_Estimates,28,FALSE)</f>
        <v>1.6938171047760089E-2</v>
      </c>
      <c r="F20" s="1748">
        <f>VLOOKUP($K$3,Pop_Estimates,28,FALSE)</f>
        <v>3.5796318945201799E-2</v>
      </c>
      <c r="G20" s="333">
        <f>'2018 Population'!AB5</f>
        <v>3.0794165316045379E-2</v>
      </c>
      <c r="I20" s="2523"/>
      <c r="J20" s="2479"/>
      <c r="K20" s="2479"/>
      <c r="L20" s="2479"/>
      <c r="M20" s="2479"/>
    </row>
    <row r="21" spans="2:17" ht="13.5" customHeight="1" x14ac:dyDescent="0.25">
      <c r="B21" s="2542" t="s">
        <v>969</v>
      </c>
      <c r="C21" s="2543"/>
      <c r="D21" s="1735">
        <f>VLOOKUP($I$3,Pop_Estimates,32,FALSE)</f>
        <v>3027</v>
      </c>
      <c r="E21" s="1736">
        <f>VLOOKUP(I3,Pop_Estimates,33,FALSE)</f>
        <v>9.3391336542021475E-2</v>
      </c>
      <c r="F21" s="1750">
        <f>VLOOKUP($K$3,Pop_Estimates,33,FALSE)</f>
        <v>6.9538078334277956E-2</v>
      </c>
      <c r="G21" s="1737">
        <f>'2018 Population'!AG5</f>
        <v>9.6372899443921675E-2</v>
      </c>
      <c r="H21" s="78"/>
      <c r="I21" s="2523"/>
      <c r="J21" s="2479"/>
      <c r="K21" s="2479"/>
      <c r="L21" s="2479"/>
      <c r="M21" s="2479"/>
    </row>
    <row r="22" spans="2:17" ht="13.5" customHeight="1" x14ac:dyDescent="0.2">
      <c r="B22" s="2421" t="s">
        <v>1123</v>
      </c>
      <c r="C22" s="2421"/>
      <c r="D22" s="2421"/>
      <c r="E22" s="2421"/>
      <c r="F22" s="2421"/>
      <c r="G22" s="2421"/>
      <c r="H22" s="269"/>
      <c r="I22" s="269"/>
      <c r="J22" s="2482" t="s">
        <v>1140</v>
      </c>
      <c r="K22" s="2482"/>
      <c r="L22" s="2482"/>
      <c r="M22" s="2482"/>
    </row>
    <row r="23" spans="2:17" ht="13.5" customHeight="1" x14ac:dyDescent="0.2">
      <c r="B23" s="2421"/>
      <c r="C23" s="2421"/>
      <c r="D23" s="2421"/>
      <c r="E23" s="2421"/>
      <c r="F23" s="2421"/>
      <c r="G23" s="2421"/>
      <c r="H23" s="269"/>
      <c r="I23" s="269"/>
      <c r="J23" s="2482"/>
      <c r="K23" s="2482"/>
      <c r="L23" s="2482"/>
      <c r="M23" s="2482"/>
    </row>
    <row r="24" spans="2:17" ht="13.5" customHeight="1" x14ac:dyDescent="0.2">
      <c r="B24" s="2421"/>
      <c r="C24" s="2421"/>
      <c r="D24" s="2421"/>
      <c r="E24" s="2421"/>
      <c r="F24" s="2421"/>
      <c r="G24" s="2421"/>
      <c r="H24" s="269"/>
      <c r="I24" s="269"/>
    </row>
    <row r="25" spans="2:17" ht="13.5" customHeight="1" x14ac:dyDescent="0.2">
      <c r="B25" s="2498" t="s">
        <v>595</v>
      </c>
      <c r="C25" s="2586" t="str">
        <f>D3</f>
        <v>Accomack</v>
      </c>
      <c r="D25" s="2587"/>
      <c r="E25" s="2586" t="str">
        <f>K3</f>
        <v>Eastern</v>
      </c>
      <c r="F25" s="2587"/>
      <c r="G25" s="2502" t="s">
        <v>9</v>
      </c>
      <c r="H25" s="2503"/>
      <c r="J25" s="169"/>
    </row>
    <row r="26" spans="2:17" ht="13.5" customHeight="1" x14ac:dyDescent="0.2">
      <c r="B26" s="2499"/>
      <c r="C26" s="2588"/>
      <c r="D26" s="2589"/>
      <c r="E26" s="2588"/>
      <c r="F26" s="2589"/>
      <c r="G26" s="2504"/>
      <c r="H26" s="2505"/>
      <c r="J26" s="169"/>
    </row>
    <row r="27" spans="2:17" ht="13.5" customHeight="1" x14ac:dyDescent="0.2">
      <c r="B27" s="2499"/>
      <c r="C27" s="1948" t="s">
        <v>596</v>
      </c>
      <c r="D27" s="1949" t="s">
        <v>7</v>
      </c>
      <c r="E27" s="1948" t="s">
        <v>596</v>
      </c>
      <c r="F27" s="1949" t="s">
        <v>7</v>
      </c>
      <c r="G27" s="1948" t="s">
        <v>596</v>
      </c>
      <c r="H27" s="1949" t="s">
        <v>7</v>
      </c>
    </row>
    <row r="28" spans="2:17" ht="13.5" customHeight="1" x14ac:dyDescent="0.2">
      <c r="B28" s="1954">
        <v>2007</v>
      </c>
      <c r="C28" s="1955">
        <f>VLOOKUP(I3,Poverty_AllAges,11,FALSE)</f>
        <v>0.16800000000000001</v>
      </c>
      <c r="D28" s="1956">
        <f>VLOOKUP(I3,Poverty_Child,11,FALSE)</f>
        <v>0.25100000000000006</v>
      </c>
      <c r="E28" s="1955">
        <f>VLOOKUP(K3,Poverty_AllAges,11,FALSE)</f>
        <v>0.11202655946373949</v>
      </c>
      <c r="F28" s="1956">
        <f>VLOOKUP(K3,Poverty_Child,11,FALSE)</f>
        <v>0.15611975749596346</v>
      </c>
      <c r="G28" s="1955">
        <f>'Poverty_All ages'!K4</f>
        <v>9.9000000000000005E-2</v>
      </c>
      <c r="H28" s="1957">
        <f>Poverty_Child!K5</f>
        <v>0.12930216566469369</v>
      </c>
    </row>
    <row r="29" spans="2:17" ht="13.5" customHeight="1" x14ac:dyDescent="0.2">
      <c r="B29" s="1950">
        <v>2008</v>
      </c>
      <c r="C29" s="1951">
        <f>VLOOKUP(I3,Poverty_AllAges,12,FALSE)</f>
        <v>0.20600000000000002</v>
      </c>
      <c r="D29" s="1952">
        <f>VLOOKUP(I3,Poverty_Child,12,FALSE)</f>
        <v>0.29699999999999999</v>
      </c>
      <c r="E29" s="1951">
        <f>VLOOKUP(K3,Poverty_AllAges,12,FALSE)</f>
        <v>0.11571808952754851</v>
      </c>
      <c r="F29" s="1952">
        <f>VLOOKUP(K3,Poverty_Child,12,FALSE)</f>
        <v>0.16549851613310601</v>
      </c>
      <c r="G29" s="1951">
        <f>'Poverty_All ages'!L4</f>
        <v>0.10210000000000001</v>
      </c>
      <c r="H29" s="1953">
        <f>Poverty_Child!L5</f>
        <v>0.13580226821250407</v>
      </c>
    </row>
    <row r="30" spans="2:17" ht="13.5" customHeight="1" x14ac:dyDescent="0.2">
      <c r="B30" s="1954">
        <v>2009</v>
      </c>
      <c r="C30" s="1955">
        <f>VLOOKUP(I3,Poverty_AllAges,13,FALSE)</f>
        <v>0.183</v>
      </c>
      <c r="D30" s="1956">
        <f>VLOOKUP(I3,Poverty_Child,13,FALSE)</f>
        <v>0.27400000000000002</v>
      </c>
      <c r="E30" s="1955">
        <f>VLOOKUP(K3,Poverty_AllAges,13,FALSE)</f>
        <v>0.11429957969100746</v>
      </c>
      <c r="F30" s="1956">
        <f>VLOOKUP(K3,Poverty_Child,13,FALSE)</f>
        <v>0.16261973561466178</v>
      </c>
      <c r="G30" s="1955">
        <f>'Poverty_All ages'!M4</f>
        <v>0.1057</v>
      </c>
      <c r="H30" s="1957">
        <f>Poverty_Child!M5</f>
        <v>0.14000000000000001</v>
      </c>
    </row>
    <row r="31" spans="2:17" ht="13.5" customHeight="1" x14ac:dyDescent="0.2">
      <c r="B31" s="1950">
        <v>2010</v>
      </c>
      <c r="C31" s="1951">
        <f>VLOOKUP(I3,Poverty_AllAges,14,FALSE)</f>
        <v>0.20499999999999999</v>
      </c>
      <c r="D31" s="1952">
        <f>VLOOKUP(I3,Poverty_Child,14,FALSE)</f>
        <v>0.28699999999999998</v>
      </c>
      <c r="E31" s="1951">
        <f>VLOOKUP(K3,Poverty_AllAges,14,FALSE)</f>
        <v>0.12023872863352066</v>
      </c>
      <c r="F31" s="1952">
        <f>VLOOKUP(K3,Poverty_Child,14,FALSE)</f>
        <v>0.16684839324070738</v>
      </c>
      <c r="G31" s="1951">
        <f>'Poverty_All ages'!N4</f>
        <v>0.11118840014389482</v>
      </c>
      <c r="H31" s="1953">
        <f>Poverty_Child!N5</f>
        <v>0.14555376556266278</v>
      </c>
    </row>
    <row r="32" spans="2:17" ht="13.5" customHeight="1" x14ac:dyDescent="0.2">
      <c r="B32" s="1954">
        <v>2011</v>
      </c>
      <c r="C32" s="1955">
        <f>VLOOKUP(I3,Poverty_AllAges,15,FALSE)</f>
        <v>0.193</v>
      </c>
      <c r="D32" s="1956">
        <f>VLOOKUP(I3,Poverty_Child,15,FALSE)</f>
        <v>0.30499999999999999</v>
      </c>
      <c r="E32" s="1955">
        <f>VLOOKUP(K3,Poverty_AllAges,15,FALSE)</f>
        <v>0.12870004950966066</v>
      </c>
      <c r="F32" s="1956">
        <f>VLOOKUP(K3,Poverty_Child,15,FALSE)</f>
        <v>0.18344688787599084</v>
      </c>
      <c r="G32" s="1955">
        <f>'Poverty_All ages'!O4</f>
        <v>0.11600000000000001</v>
      </c>
      <c r="H32" s="1957">
        <f>Poverty_Child!O5</f>
        <v>0.156</v>
      </c>
    </row>
    <row r="33" spans="2:8" ht="13.5" customHeight="1" x14ac:dyDescent="0.2">
      <c r="B33" s="1950">
        <v>2012</v>
      </c>
      <c r="C33" s="1951">
        <f>VLOOKUP(I3,Poverty_AllAges,16,FALSE)</f>
        <v>0.19900000000000001</v>
      </c>
      <c r="D33" s="1952">
        <f>VLOOKUP(I3,Poverty_Child,16,FALSE)</f>
        <v>0.314</v>
      </c>
      <c r="E33" s="1951">
        <f>VLOOKUP(K3,Poverty_AllAges,16,FALSE)</f>
        <v>0.13600000000000001</v>
      </c>
      <c r="F33" s="1952">
        <f>VLOOKUP(K3,Poverty_Child,16,FALSE)</f>
        <v>0.19465468306527908</v>
      </c>
      <c r="G33" s="1951">
        <f>'Poverty_All ages'!P4</f>
        <v>0.11799999999999999</v>
      </c>
      <c r="H33" s="1953">
        <f>Poverty_Child!P5</f>
        <v>0.155</v>
      </c>
    </row>
    <row r="34" spans="2:8" ht="13.5" customHeight="1" x14ac:dyDescent="0.2">
      <c r="B34" s="1954">
        <v>2013</v>
      </c>
      <c r="C34" s="1955">
        <f>VLOOKUP(I3,Poverty_AllAges,17,FALSE)</f>
        <v>0.19252741881281887</v>
      </c>
      <c r="D34" s="1956">
        <f>VLOOKUP(I3,Poverty_Child,17,FALSE)</f>
        <v>0.29439930354033661</v>
      </c>
      <c r="E34" s="1955">
        <f>VLOOKUP(K3,Poverty_AllAges,17,FALSE)</f>
        <v>0.13722953804582269</v>
      </c>
      <c r="F34" s="1956">
        <f>VLOOKUP(K3,Poverty_Child,17,FALSE)</f>
        <v>0.19731917697955095</v>
      </c>
      <c r="G34" s="1955">
        <f>'Poverty_All ages'!Q4</f>
        <v>0.11747751027208382</v>
      </c>
      <c r="H34" s="1957">
        <f>Poverty_Child!Q5</f>
        <v>0.15745553871615489</v>
      </c>
    </row>
    <row r="35" spans="2:8" ht="13.5" customHeight="1" x14ac:dyDescent="0.2">
      <c r="B35" s="1950">
        <v>2014</v>
      </c>
      <c r="C35" s="1951">
        <f>VLOOKUP(I3,Poverty_AllAges,18,FALSE)</f>
        <v>0.19371551195585529</v>
      </c>
      <c r="D35" s="1953">
        <f>VLOOKUP(I3,Poverty_Child,18,FALSE)</f>
        <v>0.30916311222238563</v>
      </c>
      <c r="E35" s="1951">
        <f>VLOOKUP(K3,Poverty_AllAges,18,FALSE)</f>
        <v>0.13349245196423984</v>
      </c>
      <c r="F35" s="1953">
        <f>VLOOKUP(K3,Poverty_Child,18,FALSE)</f>
        <v>0.1918605782799529</v>
      </c>
      <c r="G35" s="1951">
        <f>'Poverty_All ages'!R4</f>
        <v>0.1182560438559494</v>
      </c>
      <c r="H35" s="1953">
        <f>Poverty_Child!R5</f>
        <v>0.15872305329925826</v>
      </c>
    </row>
    <row r="36" spans="2:8" ht="13.5" customHeight="1" x14ac:dyDescent="0.2">
      <c r="B36" s="1954">
        <v>2015</v>
      </c>
      <c r="C36" s="1223">
        <f>VLOOKUP(I3,Poverty_AllAges,19,FALSE)</f>
        <v>0.20385040530582166</v>
      </c>
      <c r="D36" s="1224">
        <f>VLOOKUP(I3,Poverty_Child,19,FALSE)</f>
        <v>0.3097292472478429</v>
      </c>
      <c r="E36" s="1958">
        <f>VLOOKUP(K3,Poverty_AllAges,19,FALSE)</f>
        <v>0.12957719229379919</v>
      </c>
      <c r="F36" s="1959">
        <f>VLOOKUP(K3,Poverty_Child,19,FALSE)</f>
        <v>0.18934995181748365</v>
      </c>
      <c r="G36" s="1958">
        <f>'Poverty_All ages'!S4</f>
        <v>0.11243251566072024</v>
      </c>
      <c r="H36" s="1959">
        <f>Poverty_Child!S5</f>
        <v>0.14973262322463776</v>
      </c>
    </row>
    <row r="37" spans="2:8" ht="13.5" customHeight="1" x14ac:dyDescent="0.2">
      <c r="B37" s="2172">
        <v>2016</v>
      </c>
      <c r="C37" s="2173">
        <f>VLOOKUP($I$3,Poverty_AllAges,20,FALSE)</f>
        <v>0.19962491545225358</v>
      </c>
      <c r="D37" s="2174">
        <f>VLOOKUP($I$3,Poverty_Child,20,FALSE)</f>
        <v>0.31782713085234093</v>
      </c>
      <c r="E37" s="1951">
        <f>VLOOKUP($K$3,Poverty_AllAges,20,FALSE)</f>
        <v>0.12507315600745675</v>
      </c>
      <c r="F37" s="1953">
        <f>VLOOKUP($K$3,Poverty_Child,20,FALSE)</f>
        <v>0.18052845987901542</v>
      </c>
      <c r="G37" s="1951">
        <f>'Poverty_All ages'!T4</f>
        <v>0.11</v>
      </c>
      <c r="H37" s="1953">
        <f>Poverty_Child!T5</f>
        <v>0.14299999999999999</v>
      </c>
    </row>
    <row r="38" spans="2:8" ht="13.5" customHeight="1" x14ac:dyDescent="0.2">
      <c r="B38" s="2368">
        <v>2017</v>
      </c>
      <c r="C38" s="2369">
        <f>VLOOKUP($I$3,Poverty_AllAges,21,FALSE)</f>
        <v>0.17779367844698854</v>
      </c>
      <c r="D38" s="2370">
        <f>VLOOKUP($I$3,Poverty_Child,21,FALSE)</f>
        <v>0.27984344422700586</v>
      </c>
      <c r="E38" s="2369">
        <f>VLOOKUP($K$3,Poverty_AllAges,21,FALSE)</f>
        <v>0.12629211243904365</v>
      </c>
      <c r="F38" s="2370">
        <f>VLOOKUP($K$3,Poverty_Child,21,FALSE)</f>
        <v>0.17975348545277525</v>
      </c>
      <c r="G38" s="2369">
        <f>'Poverty_All ages'!U4</f>
        <v>0.10660964522446841</v>
      </c>
      <c r="H38" s="2370">
        <f>Poverty_Child!U5</f>
        <v>0.14008988319961607</v>
      </c>
    </row>
    <row r="39" spans="2:8" ht="13.5" customHeight="1" x14ac:dyDescent="0.2">
      <c r="B39" s="2175">
        <v>2018</v>
      </c>
      <c r="C39" s="2176">
        <f>VLOOKUP($I$3,Poverty_AllAges,22,FALSE)</f>
        <v>0.17348373589975941</v>
      </c>
      <c r="D39" s="2177">
        <f>VLOOKUP($I$3,Poverty_Child,22,FALSE)</f>
        <v>0.26963711529627926</v>
      </c>
      <c r="E39" s="2176">
        <f>VLOOKUP($K$3,Poverty_AllAges,22,FALSE)</f>
        <v>0.12021782421909961</v>
      </c>
      <c r="F39" s="2177">
        <f>VLOOKUP($K$3,Poverty_Child,22,FALSE)</f>
        <v>0.17058048380708499</v>
      </c>
      <c r="G39" s="2176">
        <f>'Poverty_All ages'!V4</f>
        <v>0.10707738460991145</v>
      </c>
      <c r="H39" s="2177">
        <f>Poverty_Child!V5</f>
        <v>0.13783587437996395</v>
      </c>
    </row>
    <row r="40" spans="2:8" ht="13.5" customHeight="1" x14ac:dyDescent="0.2">
      <c r="B40" s="270" t="s">
        <v>594</v>
      </c>
      <c r="C40" s="90"/>
    </row>
    <row r="41" spans="2:8" ht="13.5" customHeight="1" x14ac:dyDescent="0.2">
      <c r="B41" s="2509" t="s">
        <v>597</v>
      </c>
      <c r="C41" s="2511" t="str">
        <f>D3</f>
        <v>Accomack</v>
      </c>
      <c r="D41" s="2511"/>
      <c r="E41" s="2506" t="str">
        <f>K3</f>
        <v>Eastern</v>
      </c>
      <c r="F41" s="2508" t="s">
        <v>9</v>
      </c>
      <c r="G41" s="2481"/>
      <c r="H41" s="2481"/>
    </row>
    <row r="42" spans="2:8" ht="13.5" customHeight="1" x14ac:dyDescent="0.2">
      <c r="B42" s="2510"/>
      <c r="C42" s="2507"/>
      <c r="D42" s="2507"/>
      <c r="E42" s="2507"/>
      <c r="F42" s="2507"/>
      <c r="G42" s="2481"/>
      <c r="H42" s="2481"/>
    </row>
    <row r="43" spans="2:8" ht="13.5" customHeight="1" x14ac:dyDescent="0.2">
      <c r="B43" s="2510"/>
      <c r="C43" s="2026" t="s">
        <v>481</v>
      </c>
      <c r="D43" s="2027" t="s">
        <v>598</v>
      </c>
      <c r="E43" s="2028" t="s">
        <v>598</v>
      </c>
      <c r="F43" s="2272" t="s">
        <v>598</v>
      </c>
      <c r="G43" s="295"/>
      <c r="H43" s="295"/>
    </row>
    <row r="44" spans="2:8" ht="13.5" customHeight="1" x14ac:dyDescent="0.2">
      <c r="B44" s="2018">
        <v>2007</v>
      </c>
      <c r="C44" s="2019">
        <f>VLOOKUP(I3,Employment,26,FALSE)</f>
        <v>773</v>
      </c>
      <c r="D44" s="1957">
        <f>VLOOKUP($I$3,Employment,27,FALSE)</f>
        <v>4.1361228530151423E-2</v>
      </c>
      <c r="E44" s="2024">
        <f>VLOOKUP($K$3,Employment,27,FALSE)</f>
        <v>3.3091630916195276E-2</v>
      </c>
      <c r="F44" s="2273">
        <f>Unemployment!AA4</f>
        <v>3.0637117624127935E-2</v>
      </c>
      <c r="G44" s="297"/>
      <c r="H44" s="296"/>
    </row>
    <row r="45" spans="2:8" ht="13.5" customHeight="1" x14ac:dyDescent="0.2">
      <c r="B45" s="2017">
        <v>2008</v>
      </c>
      <c r="C45" s="2020">
        <f>VLOOKUP(I3,Employment,29,FALSE)</f>
        <v>949</v>
      </c>
      <c r="D45" s="1953">
        <f>VLOOKUP($I$3,Employment,30,FALSE)</f>
        <v>4.9915842625710076E-2</v>
      </c>
      <c r="E45" s="2023">
        <f>VLOOKUP($K$3,Employment,30,FALSE)</f>
        <v>4.2744274872914149E-2</v>
      </c>
      <c r="F45" s="2274">
        <f>Unemployment!AD4</f>
        <v>3.9533104507533175E-2</v>
      </c>
      <c r="G45" s="297"/>
      <c r="H45" s="296"/>
    </row>
    <row r="46" spans="2:8" ht="13.5" customHeight="1" x14ac:dyDescent="0.2">
      <c r="B46" s="2018">
        <v>2009</v>
      </c>
      <c r="C46" s="2019">
        <f>VLOOKUP(I3,Employment,32,FALSE)</f>
        <v>1331</v>
      </c>
      <c r="D46" s="1957">
        <f>VLOOKUP($I$3,Employment,33,FALSE)</f>
        <v>6.7361708588491317E-2</v>
      </c>
      <c r="E46" s="2024">
        <f>VLOOKUP($K$3,Employment,33,FALSE)</f>
        <v>7.2502585768335376E-2</v>
      </c>
      <c r="F46" s="2273">
        <f>Unemployment!AG4</f>
        <v>6.9500899241383113E-2</v>
      </c>
      <c r="G46" s="297"/>
      <c r="H46" s="296"/>
    </row>
    <row r="47" spans="2:8" ht="13.5" customHeight="1" x14ac:dyDescent="0.2">
      <c r="B47" s="2017">
        <v>2010</v>
      </c>
      <c r="C47" s="2020">
        <f>VLOOKUP(I3,Employment,35,FALSE)</f>
        <v>1334</v>
      </c>
      <c r="D47" s="1953">
        <f>VLOOKUP($I$3,Employment,36,FALSE)</f>
        <v>7.0492496300993454E-2</v>
      </c>
      <c r="E47" s="2023">
        <f>VLOOKUP($K$3,Employment,36,FALSE)</f>
        <v>7.6663536748089484E-2</v>
      </c>
      <c r="F47" s="2274">
        <f>Unemployment!AJ4</f>
        <v>7.0996273411972191E-2</v>
      </c>
      <c r="G47" s="297"/>
      <c r="H47" s="296"/>
    </row>
    <row r="48" spans="2:8" ht="13.5" customHeight="1" x14ac:dyDescent="0.2">
      <c r="B48" s="2018">
        <v>2011</v>
      </c>
      <c r="C48" s="2019">
        <f>VLOOKUP(I3,Employment,38,FALSE)</f>
        <v>1357</v>
      </c>
      <c r="D48" s="1957">
        <f>VLOOKUP($I$3,Employment,39,FALSE)</f>
        <v>7.280433499651269E-2</v>
      </c>
      <c r="E48" s="2024">
        <f>VLOOKUP($K$3,Employment,39,FALSE)</f>
        <v>7.2411265556543009E-2</v>
      </c>
      <c r="F48" s="2273">
        <f>Unemployment!AM4</f>
        <v>6.4437374190308969E-2</v>
      </c>
      <c r="G48" s="297"/>
      <c r="H48" s="296"/>
    </row>
    <row r="49" spans="2:14" ht="13.5" customHeight="1" x14ac:dyDescent="0.2">
      <c r="B49" s="2017">
        <v>2012</v>
      </c>
      <c r="C49" s="2020">
        <f>VLOOKUP(I3,Employment,41,FALSE)</f>
        <v>1249</v>
      </c>
      <c r="D49" s="1953">
        <f>VLOOKUP($I$3,Employment,42,FALSE)</f>
        <v>6.8050561185572622E-2</v>
      </c>
      <c r="E49" s="2023">
        <f>VLOOKUP($K$3,Employment,42,FALSE)</f>
        <v>6.6414075961871114E-2</v>
      </c>
      <c r="F49" s="2274">
        <f>Unemployment!AP4</f>
        <v>5.8774345474193433E-2</v>
      </c>
      <c r="G49" s="297"/>
      <c r="H49" s="296"/>
    </row>
    <row r="50" spans="2:14" ht="13.5" customHeight="1" x14ac:dyDescent="0.2">
      <c r="B50" s="2018">
        <v>2013</v>
      </c>
      <c r="C50" s="2019">
        <f>VLOOKUP(I3,Employment,44,FALSE)</f>
        <v>1171</v>
      </c>
      <c r="D50" s="1957">
        <f>VLOOKUP($I$3,Employment,45,FALSE)</f>
        <v>6.469613259668508E-2</v>
      </c>
      <c r="E50" s="2024">
        <f>VLOOKUP($K$3,Employment,45,FALSE)</f>
        <v>6.1377424762512969E-2</v>
      </c>
      <c r="F50" s="2273">
        <f>Unemployment!AS4</f>
        <v>5.5454654156622714E-2</v>
      </c>
      <c r="G50" s="297"/>
      <c r="H50" s="296"/>
    </row>
    <row r="51" spans="2:14" ht="13.5" customHeight="1" x14ac:dyDescent="0.2">
      <c r="B51" s="2017">
        <v>2014</v>
      </c>
      <c r="C51" s="2020">
        <f>VLOOKUP(I3,Employment,47,FALSE)</f>
        <v>1040</v>
      </c>
      <c r="D51" s="1953">
        <f>VLOOKUP($I$3,Employment,48,FALSE)</f>
        <v>6.4902646030953567E-2</v>
      </c>
      <c r="E51" s="2023">
        <f>VLOOKUP($K$3,Employment,48,FALSE)</f>
        <v>5.7334382521145637E-2</v>
      </c>
      <c r="F51" s="2274">
        <f>Unemployment!AV4</f>
        <v>5.1645529339042547E-2</v>
      </c>
      <c r="G51" s="297"/>
      <c r="H51" s="295"/>
    </row>
    <row r="52" spans="2:14" ht="13.5" customHeight="1" x14ac:dyDescent="0.2">
      <c r="B52" s="2018">
        <v>2015</v>
      </c>
      <c r="C52" s="2021">
        <f>VLOOKUP(I3,Employment,50,FALSE)</f>
        <v>866</v>
      </c>
      <c r="D52" s="2022">
        <f>VLOOKUP(I3,Employment,51,FALSE)</f>
        <v>5.4219884798397198E-2</v>
      </c>
      <c r="E52" s="2025">
        <f>VLOOKUP(K3,Employment,51,FALSE)</f>
        <v>4.9696849219759469E-2</v>
      </c>
      <c r="F52" s="2273">
        <f>Unemployment!AY4</f>
        <v>4.4467413563948954E-2</v>
      </c>
      <c r="G52" s="297"/>
      <c r="H52" s="822"/>
    </row>
    <row r="53" spans="2:14" ht="13.5" customHeight="1" x14ac:dyDescent="0.2">
      <c r="B53" s="2017">
        <v>2016</v>
      </c>
      <c r="C53" s="2020">
        <f>VLOOKUP(I3,Employment,53,FALSE)</f>
        <v>761</v>
      </c>
      <c r="D53" s="1953">
        <f>VLOOKUP(I3,Employment,54,FALSE)</f>
        <v>4.8167605544654726E-2</v>
      </c>
      <c r="E53" s="2023">
        <f>VLOOKUP(K3,Employment,54,FALSE)</f>
        <v>4.6246224883036681E-2</v>
      </c>
      <c r="F53" s="2274">
        <f>Unemployment!BB4</f>
        <v>4.0126015938058909E-2</v>
      </c>
      <c r="G53" s="297"/>
      <c r="H53" s="295"/>
    </row>
    <row r="54" spans="2:14" ht="13.5" customHeight="1" x14ac:dyDescent="0.2">
      <c r="B54" s="2269">
        <v>2017</v>
      </c>
      <c r="C54" s="2270">
        <f>VLOOKUP($I$3,Employment,56,FALSE)</f>
        <v>769</v>
      </c>
      <c r="D54" s="1959">
        <f>VLOOKUP($I$3,Employment,57,FALSE)</f>
        <v>4.8219212440431404E-2</v>
      </c>
      <c r="E54" s="2271">
        <f>VLOOKUP($K$3,Employment,57,FALSE)</f>
        <v>4.2082256014724574E-2</v>
      </c>
      <c r="F54" s="2275">
        <f>Unemployment!BE4</f>
        <v>3.7519052834444275E-2</v>
      </c>
      <c r="G54" s="297"/>
      <c r="H54" s="822"/>
    </row>
    <row r="55" spans="2:14" ht="13.5" customHeight="1" x14ac:dyDescent="0.2">
      <c r="B55" s="2276">
        <v>2018</v>
      </c>
      <c r="C55" s="2277">
        <f>VLOOKUP($I$3,Employment,59,FALSE)</f>
        <v>639</v>
      </c>
      <c r="D55" s="2278">
        <f>VLOOKUP($I$3,Employment,60,FALSE)</f>
        <v>3.8121942488963133E-2</v>
      </c>
      <c r="E55" s="2279">
        <f>VLOOKUP($K$3,Employment,57,FALSE)</f>
        <v>4.2082256014724574E-2</v>
      </c>
      <c r="F55" s="2280">
        <f>Unemployment!BH4</f>
        <v>2.9686816038476387E-2</v>
      </c>
      <c r="G55" s="297"/>
      <c r="H55" s="822"/>
    </row>
    <row r="56" spans="2:14" ht="14.25" customHeight="1" x14ac:dyDescent="0.2">
      <c r="B56" s="2579" t="s">
        <v>675</v>
      </c>
      <c r="C56" s="2579"/>
      <c r="D56" s="2579"/>
      <c r="E56" s="2579"/>
      <c r="F56" s="2579"/>
    </row>
    <row r="57" spans="2:14" ht="14.25" customHeight="1" x14ac:dyDescent="0.2">
      <c r="B57" s="2489" t="s">
        <v>1126</v>
      </c>
      <c r="C57" s="2581" t="s">
        <v>708</v>
      </c>
      <c r="D57" s="2581"/>
      <c r="E57" s="2581"/>
      <c r="F57" s="2581"/>
      <c r="G57" s="2582" t="s">
        <v>709</v>
      </c>
      <c r="H57" s="2583"/>
      <c r="I57" s="2583"/>
      <c r="J57" s="2584"/>
      <c r="K57" s="916"/>
      <c r="M57" s="2585">
        <f>VLOOKUP(I3,Child_SingleParentHH,11,FALSE)</f>
        <v>0.40877842411422527</v>
      </c>
      <c r="N57" s="1031"/>
    </row>
    <row r="58" spans="2:14" ht="21.75" customHeight="1" x14ac:dyDescent="0.2">
      <c r="B58" s="2490"/>
      <c r="C58" s="2580" t="str">
        <f>D3</f>
        <v>Accomack</v>
      </c>
      <c r="D58" s="2580"/>
      <c r="E58" s="973" t="str">
        <f>K3</f>
        <v>Eastern</v>
      </c>
      <c r="F58" s="973" t="s">
        <v>9</v>
      </c>
      <c r="G58" s="2580" t="str">
        <f>D3</f>
        <v>Accomack</v>
      </c>
      <c r="H58" s="2580"/>
      <c r="I58" s="973" t="str">
        <f>K3</f>
        <v>Eastern</v>
      </c>
      <c r="J58" s="973" t="s">
        <v>9</v>
      </c>
      <c r="K58" s="916"/>
      <c r="L58" s="1031"/>
      <c r="M58" s="2585"/>
      <c r="N58" s="1031"/>
    </row>
    <row r="59" spans="2:14" ht="14.25" customHeight="1" x14ac:dyDescent="0.25">
      <c r="B59" s="2491"/>
      <c r="C59" s="974" t="s">
        <v>481</v>
      </c>
      <c r="D59" s="974" t="s">
        <v>268</v>
      </c>
      <c r="E59" s="974" t="s">
        <v>268</v>
      </c>
      <c r="F59" s="974" t="s">
        <v>268</v>
      </c>
      <c r="G59" s="974" t="s">
        <v>481</v>
      </c>
      <c r="H59" s="974" t="s">
        <v>710</v>
      </c>
      <c r="I59" s="974" t="s">
        <v>710</v>
      </c>
      <c r="J59" s="974" t="s">
        <v>710</v>
      </c>
      <c r="K59" s="916"/>
      <c r="L59" s="2512" t="s">
        <v>1159</v>
      </c>
      <c r="M59" s="2512"/>
      <c r="N59" s="2512"/>
    </row>
    <row r="60" spans="2:14" ht="14.25" customHeight="1" x14ac:dyDescent="0.25">
      <c r="B60" s="912" t="s">
        <v>269</v>
      </c>
      <c r="C60" s="918">
        <f>VLOOKUP(I3,NonMaritalBirths,8,FALSE)</f>
        <v>191</v>
      </c>
      <c r="D60" s="919">
        <f>VLOOKUP(I3,NonMaritalBirths,12,FALSE)</f>
        <v>0.54415954415954415</v>
      </c>
      <c r="E60" s="920">
        <f>VLOOKUP(K3,NonMaritalBirths,12,FALSE)</f>
        <v>0.40094525403702247</v>
      </c>
      <c r="F60" s="919">
        <f>'Non-marital births'!L6</f>
        <v>0.33788354796294251</v>
      </c>
      <c r="G60" s="918">
        <f>VLOOKUP(I3,TeenBirths, 4, FALSE)</f>
        <v>22</v>
      </c>
      <c r="H60" s="1014">
        <f>VLOOKUP(I3,TeenBirths, 12, FALSE)</f>
        <v>12.941176470588236</v>
      </c>
      <c r="I60" s="1014">
        <f>VLOOKUP(K3,TeenBirths, 12, FALSE)</f>
        <v>8.2672666238125849</v>
      </c>
      <c r="J60" s="1014">
        <f>'Teen births'!L5</f>
        <v>7.2760622499091445</v>
      </c>
      <c r="K60" s="917"/>
      <c r="L60" s="2512"/>
      <c r="M60" s="2512"/>
      <c r="N60" s="2512"/>
    </row>
    <row r="61" spans="2:14" ht="14.25" customHeight="1" x14ac:dyDescent="0.25">
      <c r="B61" s="913" t="s">
        <v>2</v>
      </c>
      <c r="C61" s="921">
        <f>VLOOKUP(I3,NonMaritalBirths,9,FALSE)</f>
        <v>89</v>
      </c>
      <c r="D61" s="922">
        <f>VLOOKUP(I3,NonMaritalBirths,13,FALSE)</f>
        <v>0.41784037558685444</v>
      </c>
      <c r="E61" s="923">
        <f>VLOOKUP(K3,NonMaritalBirths,13,FALSE)</f>
        <v>0.23222434248734755</v>
      </c>
      <c r="F61" s="922">
        <f>'Non-marital births'!M6</f>
        <v>0.24224995125755508</v>
      </c>
      <c r="G61" s="921">
        <f>VLOOKUP(I3,TeenBirths, 5, FALSE)</f>
        <v>10</v>
      </c>
      <c r="H61" s="1015">
        <f>VLOOKUP(I3,TeenBirths, 13, FALSE)</f>
        <v>9.3984962406015029</v>
      </c>
      <c r="I61" s="1017">
        <f>VLOOKUP(K3,TeenBirths, 13, FALSE)</f>
        <v>4.9689032215604332</v>
      </c>
      <c r="J61" s="1015">
        <f>'Teen births'!M5</f>
        <v>5.6514189057974891</v>
      </c>
      <c r="K61" s="913"/>
      <c r="L61" s="2512"/>
      <c r="M61" s="2512"/>
      <c r="N61" s="2512"/>
    </row>
    <row r="62" spans="2:14" ht="14.25" customHeight="1" x14ac:dyDescent="0.25">
      <c r="B62" s="913" t="s">
        <v>314</v>
      </c>
      <c r="C62" s="921">
        <f>VLOOKUP(I3,NonMaritalBirths,10,FALSE)</f>
        <v>95</v>
      </c>
      <c r="D62" s="922">
        <f>VLOOKUP(I3,NonMaritalBirths,14,FALSE)</f>
        <v>0.76</v>
      </c>
      <c r="E62" s="923">
        <f>VLOOKUP(K3,NonMaritalBirths,14,FALSE)</f>
        <v>0.66384284837323515</v>
      </c>
      <c r="F62" s="922">
        <f>'Non-marital births'!N6</f>
        <v>0.63255592574964303</v>
      </c>
      <c r="G62" s="921">
        <f>VLOOKUP(I3,TeenBirths, 6, FALSE)</f>
        <v>12</v>
      </c>
      <c r="H62" s="1015">
        <f>VLOOKUP(I3,TeenBirths, 14, FALSE)</f>
        <v>20.373514431239389</v>
      </c>
      <c r="I62" s="1017">
        <f>VLOOKUP(K3,TeenBirths, 14, FALSE)</f>
        <v>12.295899151472184</v>
      </c>
      <c r="J62" s="1015">
        <f>'Teen births'!N5</f>
        <v>9.9079344093129738</v>
      </c>
      <c r="K62" s="913"/>
      <c r="L62" s="2512"/>
      <c r="M62" s="2512"/>
      <c r="N62" s="2512"/>
    </row>
    <row r="63" spans="2:14" ht="14.25" customHeight="1" x14ac:dyDescent="0.25">
      <c r="B63" s="914" t="s">
        <v>450</v>
      </c>
      <c r="C63" s="924">
        <f>VLOOKUP(I3,NonMaritalBirths,11,FALSE)</f>
        <v>7</v>
      </c>
      <c r="D63" s="925">
        <f>VLOOKUP(I3,NonMaritalBirths,15,FALSE)</f>
        <v>0.53846153846153844</v>
      </c>
      <c r="E63" s="926">
        <f>VLOOKUP(K3,NonMaritalBirths,15,FALSE)</f>
        <v>0.36034677723332076</v>
      </c>
      <c r="F63" s="925">
        <f>'Non-marital births'!O6</f>
        <v>0.32001640208540799</v>
      </c>
      <c r="G63" s="924">
        <f>VLOOKUP(I3,TeenBirths, 7, FALSE)</f>
        <v>0</v>
      </c>
      <c r="H63" s="1016">
        <f>VLOOKUP(I3,TeenBirths, 15, FALSE)</f>
        <v>0</v>
      </c>
      <c r="I63" s="1018">
        <f>VLOOKUP(K3,TeenBirths, 15, FALSE)</f>
        <v>11.324470704086657</v>
      </c>
      <c r="J63" s="1016">
        <f>'Teen births'!O5</f>
        <v>12.703427977839336</v>
      </c>
      <c r="K63" s="913"/>
      <c r="L63" s="2512"/>
      <c r="M63" s="2512"/>
      <c r="N63" s="2512"/>
    </row>
    <row r="64" spans="2:14" ht="14.25" customHeight="1" x14ac:dyDescent="0.2">
      <c r="B64" s="2488" t="s">
        <v>721</v>
      </c>
      <c r="C64" s="2488"/>
      <c r="D64" s="2488"/>
      <c r="E64" s="2488"/>
      <c r="F64" s="2488"/>
      <c r="G64" s="2488"/>
      <c r="H64" s="2488"/>
      <c r="I64" s="2488"/>
      <c r="J64" s="2488"/>
      <c r="K64" s="2488"/>
      <c r="L64" s="2488"/>
      <c r="M64" s="2488"/>
      <c r="N64" s="2488"/>
    </row>
    <row r="65" spans="2:8" ht="14.25" customHeight="1" x14ac:dyDescent="0.2">
      <c r="B65" s="915"/>
      <c r="C65" s="915"/>
      <c r="D65" s="915"/>
      <c r="E65" s="915"/>
      <c r="F65" s="915"/>
      <c r="G65" s="915"/>
      <c r="H65" s="915"/>
    </row>
    <row r="66" spans="2:8" ht="14.25" customHeight="1" x14ac:dyDescent="0.2">
      <c r="B66" s="915"/>
      <c r="C66" s="915"/>
      <c r="D66" s="915"/>
      <c r="E66" s="915"/>
      <c r="F66" s="915"/>
      <c r="G66" s="915"/>
      <c r="H66" s="915"/>
    </row>
    <row r="67" spans="2:8" ht="14.25" customHeight="1" x14ac:dyDescent="0.2">
      <c r="B67" s="915"/>
      <c r="C67" s="915"/>
      <c r="D67" s="915"/>
      <c r="E67" s="915"/>
      <c r="F67" s="915"/>
      <c r="G67" s="915"/>
      <c r="H67" s="915"/>
    </row>
    <row r="68" spans="2:8" ht="14.25" customHeight="1" x14ac:dyDescent="0.2">
      <c r="B68" s="915"/>
      <c r="C68" s="915"/>
      <c r="D68" s="915"/>
      <c r="E68" s="915"/>
      <c r="F68" s="915"/>
      <c r="G68" s="915"/>
      <c r="H68" s="915"/>
    </row>
    <row r="69" spans="2:8" ht="14.25" customHeight="1" x14ac:dyDescent="0.2">
      <c r="B69" s="915"/>
      <c r="C69" s="915"/>
      <c r="D69" s="915"/>
      <c r="E69" s="915"/>
      <c r="F69" s="915"/>
      <c r="G69" s="915"/>
      <c r="H69" s="915"/>
    </row>
    <row r="70" spans="2:8" ht="14.25" customHeight="1" x14ac:dyDescent="0.2">
      <c r="B70" s="904"/>
      <c r="C70" s="904"/>
      <c r="D70" s="904"/>
      <c r="E70" s="904"/>
      <c r="F70" s="904"/>
    </row>
    <row r="71" spans="2:8" ht="14.25" customHeight="1" x14ac:dyDescent="0.2">
      <c r="B71" s="904"/>
      <c r="C71" s="904"/>
      <c r="D71" s="904"/>
      <c r="E71" s="904"/>
      <c r="F71" s="904"/>
    </row>
    <row r="72" spans="2:8" ht="14.25" customHeight="1" x14ac:dyDescent="0.2">
      <c r="B72" s="904"/>
      <c r="C72" s="904"/>
      <c r="D72" s="904"/>
      <c r="E72" s="904"/>
      <c r="F72" s="904"/>
    </row>
    <row r="73" spans="2:8" ht="14.25" customHeight="1" x14ac:dyDescent="0.2">
      <c r="B73" s="904"/>
      <c r="C73" s="904"/>
      <c r="D73" s="904"/>
      <c r="E73" s="904"/>
      <c r="F73" s="904"/>
    </row>
    <row r="74" spans="2:8" ht="14.25" customHeight="1" x14ac:dyDescent="0.2">
      <c r="B74" s="904"/>
      <c r="C74" s="904"/>
      <c r="D74" s="904"/>
      <c r="E74" s="904"/>
      <c r="F74" s="904"/>
    </row>
    <row r="75" spans="2:8" ht="14.25" customHeight="1" x14ac:dyDescent="0.2">
      <c r="B75" s="904"/>
      <c r="C75" s="904"/>
      <c r="D75" s="904"/>
      <c r="E75" s="904"/>
      <c r="F75" s="904"/>
    </row>
    <row r="76" spans="2:8" ht="14.25" customHeight="1" x14ac:dyDescent="0.2">
      <c r="B76" s="904"/>
      <c r="C76" s="904"/>
      <c r="D76" s="904"/>
      <c r="E76" s="904"/>
      <c r="F76" s="904"/>
    </row>
    <row r="77" spans="2:8" ht="13.5" customHeight="1" x14ac:dyDescent="0.2">
      <c r="B77" s="270"/>
      <c r="C77" s="90"/>
    </row>
    <row r="78" spans="2:8" ht="13.5" customHeight="1" x14ac:dyDescent="0.2">
      <c r="B78" s="270"/>
      <c r="C78" s="90"/>
    </row>
    <row r="79" spans="2:8" ht="13.5" customHeight="1" x14ac:dyDescent="0.2">
      <c r="B79" s="270"/>
      <c r="C79" s="90"/>
    </row>
    <row r="80" spans="2:8" ht="13.5" customHeight="1" x14ac:dyDescent="0.2">
      <c r="B80" s="270"/>
      <c r="C80" s="90"/>
    </row>
    <row r="81" spans="2:3" ht="13.5" customHeight="1" x14ac:dyDescent="0.2">
      <c r="B81" s="270"/>
      <c r="C81" s="90"/>
    </row>
    <row r="82" spans="2:3" ht="13.5" customHeight="1" x14ac:dyDescent="0.2">
      <c r="B82" s="270"/>
      <c r="C82" s="90"/>
    </row>
    <row r="83" spans="2:3" ht="13.5" customHeight="1" x14ac:dyDescent="0.2">
      <c r="B83" s="270"/>
      <c r="C83" s="90"/>
    </row>
    <row r="84" spans="2:3" ht="13.5" customHeight="1" x14ac:dyDescent="0.2">
      <c r="B84" s="270"/>
      <c r="C84" s="90"/>
    </row>
    <row r="85" spans="2:3" ht="13.5" customHeight="1" x14ac:dyDescent="0.2">
      <c r="B85" s="270"/>
      <c r="C85" s="90"/>
    </row>
    <row r="86" spans="2:3" ht="13.5" customHeight="1" x14ac:dyDescent="0.2">
      <c r="B86" s="270"/>
      <c r="C86" s="90"/>
    </row>
    <row r="87" spans="2:3" ht="13.5" customHeight="1" x14ac:dyDescent="0.2">
      <c r="B87" s="270"/>
      <c r="C87" s="90"/>
    </row>
    <row r="88" spans="2:3" ht="13.5" customHeight="1" x14ac:dyDescent="0.2">
      <c r="B88" s="270"/>
      <c r="C88" s="90"/>
    </row>
    <row r="89" spans="2:3" ht="13.5" customHeight="1" x14ac:dyDescent="0.2">
      <c r="B89" s="270"/>
      <c r="C89" s="90"/>
    </row>
    <row r="90" spans="2:3" ht="13.5" customHeight="1" x14ac:dyDescent="0.2">
      <c r="B90" s="270"/>
      <c r="C90" s="90"/>
    </row>
    <row r="91" spans="2:3" ht="13.5" customHeight="1" x14ac:dyDescent="0.2">
      <c r="B91" s="270"/>
      <c r="C91" s="90"/>
    </row>
    <row r="92" spans="2:3" ht="13.5" customHeight="1" x14ac:dyDescent="0.2">
      <c r="B92" s="270"/>
      <c r="C92" s="90"/>
    </row>
    <row r="93" spans="2:3" ht="13.5" customHeight="1" x14ac:dyDescent="0.2">
      <c r="B93" s="270"/>
      <c r="C93" s="90"/>
    </row>
    <row r="94" spans="2:3" ht="13.5" customHeight="1" x14ac:dyDescent="0.2">
      <c r="B94" s="270"/>
      <c r="C94" s="90"/>
    </row>
    <row r="95" spans="2:3" ht="13.5" customHeight="1" x14ac:dyDescent="0.2">
      <c r="B95" s="270"/>
      <c r="C95" s="90"/>
    </row>
    <row r="96" spans="2:3" ht="13.5" customHeight="1" x14ac:dyDescent="0.2">
      <c r="B96" s="270"/>
      <c r="C96" s="90"/>
    </row>
    <row r="97" spans="2:3" ht="13.5" customHeight="1" x14ac:dyDescent="0.2">
      <c r="B97" s="270"/>
      <c r="C97" s="90"/>
    </row>
    <row r="98" spans="2:3" ht="13.5" customHeight="1" x14ac:dyDescent="0.2">
      <c r="B98" s="270"/>
      <c r="C98" s="90"/>
    </row>
    <row r="99" spans="2:3" ht="13.5" customHeight="1" x14ac:dyDescent="0.2">
      <c r="B99" s="270"/>
      <c r="C99" s="90"/>
    </row>
    <row r="100" spans="2:3" ht="13.5" customHeight="1" x14ac:dyDescent="0.2">
      <c r="B100" s="270"/>
      <c r="C100" s="90"/>
    </row>
    <row r="101" spans="2:3" ht="13.5" customHeight="1" x14ac:dyDescent="0.2">
      <c r="B101" s="270"/>
      <c r="C101" s="90"/>
    </row>
    <row r="102" spans="2:3" ht="13.5" customHeight="1" x14ac:dyDescent="0.2">
      <c r="B102" s="270"/>
      <c r="C102" s="90"/>
    </row>
    <row r="103" spans="2:3" ht="13.5" customHeight="1" x14ac:dyDescent="0.2">
      <c r="B103" s="270"/>
      <c r="C103" s="90"/>
    </row>
    <row r="104" spans="2:3" ht="13.5" customHeight="1" x14ac:dyDescent="0.2">
      <c r="B104" s="270"/>
      <c r="C104" s="90"/>
    </row>
    <row r="105" spans="2:3" ht="13.5" customHeight="1" x14ac:dyDescent="0.2">
      <c r="B105" s="270"/>
      <c r="C105" s="90"/>
    </row>
    <row r="106" spans="2:3" ht="13.5" customHeight="1" x14ac:dyDescent="0.2">
      <c r="B106" s="270"/>
      <c r="C106" s="90"/>
    </row>
    <row r="107" spans="2:3" ht="13.5" customHeight="1" x14ac:dyDescent="0.2">
      <c r="B107" s="270"/>
      <c r="C107" s="90"/>
    </row>
    <row r="108" spans="2:3" ht="13.5" customHeight="1" x14ac:dyDescent="0.2">
      <c r="B108" s="270"/>
      <c r="C108" s="90"/>
    </row>
    <row r="109" spans="2:3" ht="13.5" customHeight="1" x14ac:dyDescent="0.2">
      <c r="B109" s="270"/>
      <c r="C109" s="90"/>
    </row>
    <row r="110" spans="2:3" ht="13.5" customHeight="1" x14ac:dyDescent="0.2">
      <c r="B110" s="270"/>
      <c r="C110" s="90"/>
    </row>
    <row r="111" spans="2:3" ht="13.5" customHeight="1" x14ac:dyDescent="0.2">
      <c r="B111" s="270"/>
      <c r="C111" s="90"/>
    </row>
    <row r="112" spans="2:3" ht="13.5" customHeight="1" x14ac:dyDescent="0.2">
      <c r="B112" s="270"/>
      <c r="C112" s="90"/>
    </row>
    <row r="113" spans="2:16" ht="13.5" customHeight="1" x14ac:dyDescent="0.2">
      <c r="B113" s="270"/>
      <c r="C113" s="90"/>
    </row>
    <row r="114" spans="2:16" ht="13.5" customHeight="1" x14ac:dyDescent="0.2">
      <c r="B114" s="906"/>
      <c r="C114" s="906"/>
      <c r="D114" s="906"/>
      <c r="E114" s="906"/>
      <c r="F114" s="906"/>
      <c r="G114" s="906"/>
      <c r="H114" s="269"/>
      <c r="I114" s="269"/>
      <c r="J114" s="269"/>
      <c r="K114" s="87"/>
      <c r="L114" s="87"/>
    </row>
    <row r="115" spans="2:16" ht="13.5" customHeight="1" x14ac:dyDescent="0.2">
      <c r="B115" s="2438" t="s">
        <v>1010</v>
      </c>
      <c r="C115" s="2439"/>
      <c r="D115" s="2494" t="s">
        <v>696</v>
      </c>
      <c r="E115" s="2495"/>
      <c r="F115" s="2495"/>
      <c r="G115" s="2496"/>
      <c r="H115" s="2434" t="s">
        <v>700</v>
      </c>
      <c r="I115" s="2435"/>
      <c r="K115" s="2433">
        <f>G124</f>
        <v>11662</v>
      </c>
      <c r="L115" s="2433"/>
      <c r="M115" s="2433"/>
      <c r="O115" s="1193"/>
      <c r="P115" s="1193"/>
    </row>
    <row r="116" spans="2:16" ht="13.5" customHeight="1" x14ac:dyDescent="0.2">
      <c r="B116" s="2440"/>
      <c r="C116" s="2427"/>
      <c r="D116" s="1882" t="s">
        <v>306</v>
      </c>
      <c r="E116" s="1877" t="s">
        <v>312</v>
      </c>
      <c r="F116" s="1878" t="s">
        <v>695</v>
      </c>
      <c r="G116" s="1891" t="s">
        <v>712</v>
      </c>
      <c r="H116" s="2052" t="s">
        <v>1011</v>
      </c>
      <c r="I116" s="2053" t="s">
        <v>7</v>
      </c>
      <c r="K116" s="2433"/>
      <c r="L116" s="2433"/>
      <c r="M116" s="2433"/>
      <c r="O116" s="1193"/>
      <c r="P116" s="1193"/>
    </row>
    <row r="117" spans="2:16" ht="13.5" customHeight="1" x14ac:dyDescent="0.2">
      <c r="B117" s="2422">
        <v>2012</v>
      </c>
      <c r="C117" s="2423"/>
      <c r="D117" s="1883">
        <f>VLOOKUP($I$3,SNAPClnts_Yearly,4, FALSE)</f>
        <v>9085</v>
      </c>
      <c r="E117" s="1879">
        <f>VLOOKUP($I$3,TANFClnts_Yearly,4,FALSE)</f>
        <v>859</v>
      </c>
      <c r="F117" s="1888">
        <f>VLOOKUP(I3,MAClnts_Annual,4,FALSE)</f>
        <v>7700</v>
      </c>
      <c r="G117" s="1892">
        <f>VLOOKUP(I3,BenefitClnts_Annual,4,FALSE)</f>
        <v>11400</v>
      </c>
      <c r="H117" s="2054" t="s">
        <v>831</v>
      </c>
      <c r="I117" s="2055" t="s">
        <v>831</v>
      </c>
      <c r="K117" s="2433"/>
      <c r="L117" s="2433"/>
      <c r="M117" s="2433"/>
      <c r="O117" s="1194"/>
      <c r="P117" s="1194"/>
    </row>
    <row r="118" spans="2:16" ht="13.5" customHeight="1" x14ac:dyDescent="0.2">
      <c r="B118" s="2436">
        <v>2013</v>
      </c>
      <c r="C118" s="2437"/>
      <c r="D118" s="1884">
        <f>VLOOKUP($I$3,SNAPClnts_Yearly,5, FALSE)</f>
        <v>9423</v>
      </c>
      <c r="E118" s="1880">
        <f>VLOOKUP($I$3,TANFClnts_Yearly,5,FALSE)</f>
        <v>835</v>
      </c>
      <c r="F118" s="1889">
        <f>VLOOKUP(I3,MAClnts_Annual,5,FALSE)</f>
        <v>8722</v>
      </c>
      <c r="G118" s="1893">
        <f>VLOOKUP(I3,BenefitClnts_Annual,5,FALSE)</f>
        <v>12029</v>
      </c>
      <c r="H118" s="2056">
        <f>VLOOKUP($I$3,ChildCareClients_Annual,4,FALSE)</f>
        <v>102</v>
      </c>
      <c r="I118" s="1295">
        <f>VLOOKUP($I$3,ChildCareClients_Annual,5,FALSE)</f>
        <v>156</v>
      </c>
      <c r="K118" s="2432" t="s">
        <v>1069</v>
      </c>
      <c r="L118" s="2432"/>
      <c r="M118" s="2432"/>
      <c r="O118" s="1194"/>
      <c r="P118" s="1194"/>
    </row>
    <row r="119" spans="2:16" ht="13.5" customHeight="1" x14ac:dyDescent="0.2">
      <c r="B119" s="2497">
        <v>2014</v>
      </c>
      <c r="C119" s="2429"/>
      <c r="D119" s="1885">
        <f>VLOOKUP($I$3,SNAPClnts_Yearly,6, FALSE)</f>
        <v>9215</v>
      </c>
      <c r="E119" s="1881">
        <f>VLOOKUP($I$3,TANFClnts_Yearly,6,FALSE)</f>
        <v>728</v>
      </c>
      <c r="F119" s="1890">
        <f>VLOOKUP(I3,MAClnts_Annual,6,FALSE)</f>
        <v>8891</v>
      </c>
      <c r="G119" s="1894">
        <f>VLOOKUP(I3,BenefitClnts_Annual,6,FALSE)</f>
        <v>11868</v>
      </c>
      <c r="H119" s="2057">
        <f>VLOOKUP($I$3,ChildCareClients_Annual,6,FALSE)</f>
        <v>68</v>
      </c>
      <c r="I119" s="1296">
        <f>VLOOKUP($I$3,ChildCareClients_Annual,7,FALSE)</f>
        <v>101</v>
      </c>
      <c r="K119" s="2432"/>
      <c r="L119" s="2432"/>
      <c r="M119" s="2432"/>
      <c r="O119" s="1194"/>
      <c r="P119" s="1194"/>
    </row>
    <row r="120" spans="2:16" ht="13.5" customHeight="1" x14ac:dyDescent="0.2">
      <c r="B120" s="2436">
        <v>2015</v>
      </c>
      <c r="C120" s="2437"/>
      <c r="D120" s="1884">
        <f>VLOOKUP($I$3,SNAPClnts_Yearly,7, FALSE)</f>
        <v>8673</v>
      </c>
      <c r="E120" s="1880">
        <f>VLOOKUP($I$3,TANFClnts_Yearly,7,FALSE)</f>
        <v>640</v>
      </c>
      <c r="F120" s="1889">
        <f>VLOOKUP(I3,MAClnts_Annual,7,FALSE)</f>
        <v>9155</v>
      </c>
      <c r="G120" s="1893">
        <f>VLOOKUP(I3,BenefitClnts_Annual,7,FALSE)</f>
        <v>11785</v>
      </c>
      <c r="H120" s="2056">
        <f>VLOOKUP($I$3,ChildCareClients_Annual,8,FALSE)</f>
        <v>67</v>
      </c>
      <c r="I120" s="1295">
        <f>VLOOKUP($I$3,ChildCareClients_Annual,9,FALSE)</f>
        <v>95</v>
      </c>
      <c r="K120" s="2432"/>
      <c r="L120" s="2432"/>
      <c r="M120" s="2432"/>
      <c r="O120" s="1194"/>
      <c r="P120" s="1194"/>
    </row>
    <row r="121" spans="2:16" ht="13.5" customHeight="1" x14ac:dyDescent="0.2">
      <c r="B121" s="2422">
        <v>2016</v>
      </c>
      <c r="C121" s="2423"/>
      <c r="D121" s="1787">
        <f>VLOOKUP($I$3,SNAPClnts_Yearly,8, FALSE)</f>
        <v>7971</v>
      </c>
      <c r="E121" s="1704">
        <f>VLOOKUP($I$3,TANFClnts_Yearly,8,FALSE)</f>
        <v>581</v>
      </c>
      <c r="F121" s="1890">
        <f>VLOOKUP(I3,MAClnts_Annual,8,FALSE)</f>
        <v>9712</v>
      </c>
      <c r="G121" s="1706">
        <f>VLOOKUP(I3,BenefitClnts_Annual,8,FALSE)</f>
        <v>11816</v>
      </c>
      <c r="H121" s="2058">
        <f>VLOOKUP($I$3,ChildCareClients_Annual,10,FALSE)</f>
        <v>62</v>
      </c>
      <c r="I121" s="2059">
        <f>VLOOKUP($I$3,ChildCareClients_Annual,11,FALSE)</f>
        <v>90</v>
      </c>
      <c r="K121" s="2432"/>
      <c r="L121" s="2432"/>
      <c r="M121" s="2432"/>
      <c r="O121" s="1194"/>
      <c r="P121" s="1194"/>
    </row>
    <row r="122" spans="2:16" ht="13.5" customHeight="1" x14ac:dyDescent="0.2">
      <c r="B122" s="2436" t="s">
        <v>1005</v>
      </c>
      <c r="C122" s="2437"/>
      <c r="D122" s="1884">
        <f>VLOOKUP($I$3,SNAPClnts_Yearly,9, FALSE)</f>
        <v>7315</v>
      </c>
      <c r="E122" s="1880">
        <f>VLOOKUP($I$3,TANFClnts_Yearly,9,FALSE)</f>
        <v>520</v>
      </c>
      <c r="F122" s="1889">
        <f>VLOOKUP(I3,MAClnts_Annual,9,FALSE)</f>
        <v>9581</v>
      </c>
      <c r="G122" s="1893">
        <f>VLOOKUP(I3,BenefitClnts_Annual,9,FALSE)</f>
        <v>11303</v>
      </c>
      <c r="H122" s="2060">
        <f>VLOOKUP($I$3,ChildCareClients_Annual,12,FALSE)</f>
        <v>36</v>
      </c>
      <c r="I122" s="1297">
        <f>VLOOKUP($I$3,ChildCareClients_Annual,13,FALSE)</f>
        <v>50</v>
      </c>
      <c r="K122" s="2432"/>
      <c r="L122" s="2432"/>
      <c r="M122" s="2432"/>
      <c r="O122" s="1194"/>
      <c r="P122" s="1194"/>
    </row>
    <row r="123" spans="2:16" ht="13.5" customHeight="1" x14ac:dyDescent="0.2">
      <c r="B123" s="2430">
        <v>2018</v>
      </c>
      <c r="C123" s="2431"/>
      <c r="D123" s="1886">
        <f>VLOOKUP($I$3,SNAPClnts_Yearly,10, FALSE)</f>
        <v>6811</v>
      </c>
      <c r="E123" s="1288">
        <f>VLOOKUP($I$3,TANFClnts_Yearly,10,FALSE)</f>
        <v>382</v>
      </c>
      <c r="F123" s="1887">
        <f>VLOOKUP(I3,MAClnts_Annual,10,FALSE)</f>
        <v>9533</v>
      </c>
      <c r="G123" s="1895">
        <f>VLOOKUP(I3,BenefitClnts_Annual,10,FALSE)</f>
        <v>10951</v>
      </c>
      <c r="H123" s="2061">
        <f>VLOOKUP($I$3,ChildCareClients_Annual,14,FALSE)</f>
        <v>21</v>
      </c>
      <c r="I123" s="2062">
        <f>VLOOKUP($I$3,ChildCareClients_Annual,15,FALSE)</f>
        <v>36</v>
      </c>
      <c r="L123" s="1135"/>
      <c r="M123" s="1135"/>
      <c r="O123" s="1194"/>
      <c r="P123" s="1194"/>
    </row>
    <row r="124" spans="2:16" ht="13.5" customHeight="1" x14ac:dyDescent="0.2">
      <c r="B124" s="2444">
        <v>2019</v>
      </c>
      <c r="C124" s="2445"/>
      <c r="D124" s="2281">
        <f>VLOOKUP($I$3,SNAPClnts_Yearly,11, FALSE)</f>
        <v>6523</v>
      </c>
      <c r="E124" s="2282">
        <f>VLOOKUP($I$3,TANFClnts_Yearly,11,FALSE)</f>
        <v>374</v>
      </c>
      <c r="F124" s="2283">
        <f>VLOOKUP($I$3,MAClnts_Annual,11,FALSE)</f>
        <v>10729</v>
      </c>
      <c r="G124" s="2284">
        <f>VLOOKUP($I$3,BenefitClnts_Annual,11,FALSE)</f>
        <v>11662</v>
      </c>
      <c r="H124" s="2285">
        <f>VLOOKUP($I$3,ChildCareClients_Annual,16,FALSE)</f>
        <v>20</v>
      </c>
      <c r="I124" s="2286">
        <f>VLOOKUP($I$3,ChildCareClients_Annual,17,FALSE)</f>
        <v>35</v>
      </c>
      <c r="L124" s="1135"/>
      <c r="M124" s="1135"/>
      <c r="O124" s="1194"/>
      <c r="P124" s="1194"/>
    </row>
    <row r="125" spans="2:16" ht="13.5" customHeight="1" x14ac:dyDescent="0.2">
      <c r="B125" s="2421" t="s">
        <v>1068</v>
      </c>
      <c r="C125" s="2421"/>
      <c r="D125" s="2421"/>
      <c r="E125" s="2421"/>
      <c r="F125" s="2421"/>
      <c r="G125" s="2421"/>
      <c r="H125" s="2421"/>
      <c r="I125" s="2421"/>
      <c r="J125" s="2421"/>
      <c r="L125" s="1135"/>
      <c r="M125" s="1135"/>
      <c r="O125" s="1194"/>
      <c r="P125" s="1194"/>
    </row>
    <row r="126" spans="2:16" ht="13.5" customHeight="1" x14ac:dyDescent="0.2">
      <c r="B126" s="2421"/>
      <c r="C126" s="2421"/>
      <c r="D126" s="2421"/>
      <c r="E126" s="2421"/>
      <c r="F126" s="2421"/>
      <c r="G126" s="2421"/>
      <c r="H126" s="2421"/>
      <c r="I126" s="2421"/>
      <c r="J126" s="2421"/>
      <c r="L126" s="1135"/>
      <c r="M126" s="1135"/>
      <c r="O126" s="1194"/>
      <c r="P126" s="1194"/>
    </row>
    <row r="127" spans="2:16" ht="13.5" customHeight="1" x14ac:dyDescent="0.2">
      <c r="B127" s="2421"/>
      <c r="C127" s="2421"/>
      <c r="D127" s="2421"/>
      <c r="E127" s="2421"/>
      <c r="F127" s="2421"/>
      <c r="G127" s="2421"/>
      <c r="H127" s="2421"/>
      <c r="I127" s="2421"/>
      <c r="J127" s="2421"/>
      <c r="L127" s="1135"/>
      <c r="M127" s="1135"/>
      <c r="N127" s="87"/>
      <c r="O127" s="1194"/>
      <c r="P127" s="1194"/>
    </row>
    <row r="128" spans="2:16" ht="13.5" customHeight="1" x14ac:dyDescent="0.2">
      <c r="B128" s="893"/>
      <c r="C128" s="893"/>
      <c r="D128" s="893"/>
      <c r="E128" s="893"/>
      <c r="F128" s="893"/>
      <c r="G128" s="893"/>
      <c r="H128" s="893"/>
      <c r="I128" s="126"/>
      <c r="J128" s="126"/>
      <c r="K128" s="87"/>
      <c r="L128" s="87"/>
      <c r="M128" s="87"/>
      <c r="N128" s="87"/>
    </row>
    <row r="129" spans="2:28" ht="13.5" customHeight="1" x14ac:dyDescent="0.2">
      <c r="B129" s="893"/>
      <c r="C129" s="893"/>
      <c r="D129" s="893"/>
      <c r="E129" s="893"/>
      <c r="F129" s="893"/>
      <c r="G129" s="893"/>
      <c r="H129" s="893"/>
      <c r="I129" s="126"/>
      <c r="J129" s="126"/>
      <c r="K129" s="87"/>
      <c r="L129" s="87"/>
      <c r="M129" s="87"/>
      <c r="N129" s="87"/>
    </row>
    <row r="130" spans="2:28" ht="13.5" customHeight="1" x14ac:dyDescent="0.2">
      <c r="B130" s="893"/>
      <c r="C130" s="893"/>
      <c r="D130" s="893"/>
      <c r="E130" s="893"/>
      <c r="F130" s="893"/>
      <c r="G130" s="893"/>
      <c r="H130" s="893"/>
      <c r="I130" s="126"/>
      <c r="J130" s="126"/>
      <c r="K130" s="87"/>
      <c r="L130" s="87"/>
      <c r="M130" s="87"/>
      <c r="N130" s="87"/>
    </row>
    <row r="131" spans="2:28" ht="13.5" customHeight="1" x14ac:dyDescent="0.2">
      <c r="B131" s="893"/>
      <c r="C131" s="893"/>
      <c r="D131" s="893"/>
      <c r="E131" s="893"/>
      <c r="F131" s="893"/>
      <c r="G131" s="893"/>
      <c r="H131" s="893"/>
      <c r="I131" s="126"/>
      <c r="J131" s="126"/>
      <c r="K131" s="87"/>
      <c r="L131" s="87"/>
      <c r="M131" s="87"/>
      <c r="N131" s="87"/>
    </row>
    <row r="132" spans="2:28" ht="13.5" customHeight="1" x14ac:dyDescent="0.2">
      <c r="B132" s="893"/>
      <c r="C132" s="893"/>
      <c r="D132" s="893"/>
      <c r="E132" s="893"/>
      <c r="F132" s="893"/>
      <c r="G132" s="893"/>
      <c r="H132" s="893"/>
      <c r="I132" s="126"/>
      <c r="J132" s="126"/>
      <c r="K132" s="87"/>
      <c r="L132" s="87"/>
      <c r="M132" s="87"/>
      <c r="N132" s="87"/>
    </row>
    <row r="133" spans="2:28" ht="13.5" customHeight="1" x14ac:dyDescent="0.2">
      <c r="B133" s="893"/>
      <c r="C133" s="893"/>
      <c r="D133" s="893"/>
      <c r="E133" s="893"/>
      <c r="F133" s="893"/>
      <c r="G133" s="893"/>
      <c r="H133" s="893"/>
      <c r="I133" s="126"/>
      <c r="J133" s="126"/>
      <c r="K133" s="87"/>
      <c r="L133" s="87"/>
      <c r="M133" s="87"/>
      <c r="N133" s="87"/>
    </row>
    <row r="134" spans="2:28" ht="13.5" customHeight="1" x14ac:dyDescent="0.2">
      <c r="B134" s="893"/>
      <c r="C134" s="893"/>
      <c r="D134" s="893"/>
      <c r="E134" s="893"/>
      <c r="F134" s="893"/>
      <c r="G134" s="893"/>
      <c r="H134" s="893"/>
      <c r="I134" s="126"/>
      <c r="J134" s="126"/>
      <c r="K134" s="87"/>
      <c r="L134" s="87"/>
      <c r="M134" s="87"/>
      <c r="N134" s="87"/>
    </row>
    <row r="135" spans="2:28" ht="13.5" customHeight="1" x14ac:dyDescent="0.2">
      <c r="B135" s="893"/>
      <c r="C135" s="893"/>
      <c r="D135" s="893"/>
      <c r="E135" s="893"/>
      <c r="F135" s="893"/>
      <c r="G135" s="893"/>
      <c r="H135" s="893"/>
      <c r="I135" s="126"/>
      <c r="J135" s="126"/>
      <c r="K135" s="87"/>
      <c r="L135" s="87"/>
      <c r="M135" s="87"/>
      <c r="N135" s="87"/>
    </row>
    <row r="136" spans="2:28" ht="13.5" customHeight="1" x14ac:dyDescent="0.2">
      <c r="B136" s="893"/>
      <c r="C136" s="893"/>
      <c r="D136" s="893"/>
      <c r="E136" s="893"/>
      <c r="F136" s="893"/>
      <c r="G136" s="893"/>
      <c r="H136" s="893"/>
      <c r="I136" s="126"/>
      <c r="J136" s="126"/>
      <c r="K136" s="87"/>
      <c r="L136" s="87"/>
      <c r="M136" s="87"/>
      <c r="N136" s="87"/>
    </row>
    <row r="137" spans="2:28" ht="13.5" customHeight="1" x14ac:dyDescent="0.2">
      <c r="B137" s="893"/>
      <c r="C137" s="893"/>
      <c r="D137" s="893"/>
      <c r="E137" s="893"/>
      <c r="F137" s="893"/>
      <c r="G137" s="893"/>
      <c r="H137" s="893"/>
      <c r="I137" s="126"/>
      <c r="J137" s="126"/>
      <c r="K137" s="87"/>
      <c r="L137" s="87"/>
      <c r="M137" s="87"/>
      <c r="N137" s="87"/>
    </row>
    <row r="138" spans="2:28" ht="13.5" customHeight="1" x14ac:dyDescent="0.2">
      <c r="B138" s="893"/>
      <c r="C138" s="893"/>
      <c r="D138" s="893"/>
      <c r="E138" s="893"/>
      <c r="F138" s="893"/>
      <c r="G138" s="893"/>
      <c r="H138" s="893"/>
      <c r="I138" s="126"/>
      <c r="J138" s="126"/>
      <c r="K138" s="87"/>
      <c r="L138" s="87"/>
      <c r="M138" s="87"/>
      <c r="N138" s="87"/>
    </row>
    <row r="139" spans="2:28" ht="13.5" customHeight="1" x14ac:dyDescent="0.2">
      <c r="B139" s="893"/>
      <c r="C139" s="893"/>
      <c r="D139" s="893"/>
      <c r="E139" s="893"/>
      <c r="F139" s="893"/>
      <c r="G139" s="893"/>
      <c r="H139" s="893"/>
      <c r="I139" s="126"/>
      <c r="J139" s="126"/>
      <c r="K139" s="87"/>
      <c r="L139" s="87"/>
      <c r="M139" s="87"/>
      <c r="N139" s="87"/>
    </row>
    <row r="140" spans="2:28" ht="13.5" customHeight="1" x14ac:dyDescent="0.2">
      <c r="B140" s="1867"/>
      <c r="C140" s="1867"/>
      <c r="D140" s="1867"/>
      <c r="E140" s="1867"/>
      <c r="F140" s="1867"/>
      <c r="G140" s="1867"/>
      <c r="H140" s="1867"/>
      <c r="I140" s="126"/>
      <c r="J140" s="126"/>
      <c r="K140" s="87"/>
      <c r="L140" s="87"/>
      <c r="M140" s="87"/>
      <c r="N140" s="87"/>
    </row>
    <row r="141" spans="2:28" ht="13.5" customHeight="1" x14ac:dyDescent="0.2">
      <c r="B141" s="269"/>
      <c r="C141" s="269"/>
      <c r="D141" s="269"/>
      <c r="E141" s="269"/>
      <c r="F141" s="269"/>
      <c r="G141" s="269"/>
      <c r="H141" s="893"/>
      <c r="I141" s="126"/>
      <c r="J141" s="126"/>
      <c r="K141" s="87"/>
      <c r="L141" s="87"/>
      <c r="M141" s="87"/>
      <c r="N141" s="87"/>
    </row>
    <row r="142" spans="2:28" ht="13.5" customHeight="1" x14ac:dyDescent="0.2">
      <c r="B142" s="2492" t="s">
        <v>1070</v>
      </c>
      <c r="C142" s="2493"/>
      <c r="D142" s="2483" t="s">
        <v>680</v>
      </c>
      <c r="E142" s="2483"/>
      <c r="F142" s="2483"/>
      <c r="G142" s="2483"/>
      <c r="H142" s="2500" t="s">
        <v>706</v>
      </c>
      <c r="I142" s="2501"/>
      <c r="J142" s="2500" t="s">
        <v>626</v>
      </c>
      <c r="K142" s="2483"/>
      <c r="L142" s="2501"/>
      <c r="M142" s="2486" t="s">
        <v>979</v>
      </c>
      <c r="P142" s="169"/>
      <c r="Q142" s="169"/>
      <c r="S142" s="78"/>
      <c r="T142" s="169"/>
      <c r="X142" s="75"/>
      <c r="Y142" s="76"/>
      <c r="Z142" s="76"/>
      <c r="AA142" s="77"/>
      <c r="AB142" s="76"/>
    </row>
    <row r="143" spans="2:28" ht="13.5" customHeight="1" x14ac:dyDescent="0.2">
      <c r="B143" s="2492"/>
      <c r="C143" s="2493"/>
      <c r="D143" s="1788" t="s">
        <v>682</v>
      </c>
      <c r="E143" s="1285" t="s">
        <v>984</v>
      </c>
      <c r="F143" s="1788" t="s">
        <v>985</v>
      </c>
      <c r="G143" s="1784" t="s">
        <v>681</v>
      </c>
      <c r="H143" s="1785" t="s">
        <v>418</v>
      </c>
      <c r="I143" s="1285" t="s">
        <v>417</v>
      </c>
      <c r="J143" s="1783" t="s">
        <v>2</v>
      </c>
      <c r="K143" s="1285" t="s">
        <v>314</v>
      </c>
      <c r="L143" s="1813" t="s">
        <v>315</v>
      </c>
      <c r="M143" s="2487"/>
      <c r="P143" s="267"/>
      <c r="Q143" s="267"/>
      <c r="S143" s="78"/>
      <c r="T143" s="267"/>
      <c r="X143" s="75"/>
      <c r="Y143" s="76"/>
      <c r="Z143" s="76"/>
      <c r="AA143" s="77"/>
      <c r="AB143" s="76"/>
    </row>
    <row r="144" spans="2:28" ht="13.5" customHeight="1" x14ac:dyDescent="0.2">
      <c r="B144" s="1792" t="s">
        <v>977</v>
      </c>
      <c r="C144" s="1793"/>
      <c r="D144" s="1789">
        <f>VLOOKUP(I3,BenefitClient_Demo,5,FALSE)</f>
        <v>5127</v>
      </c>
      <c r="E144" s="1310">
        <f>VLOOKUP(I3,BenefitClient_Demo,6,FALSE)</f>
        <v>2317</v>
      </c>
      <c r="F144" s="1789">
        <f>VLOOKUP(I3,BenefitClient_Demo,7,FALSE)</f>
        <v>3014</v>
      </c>
      <c r="G144" s="1946">
        <f>VLOOKUP(I3,BenefitClient_Demo,8,FALSE)</f>
        <v>1204</v>
      </c>
      <c r="H144" s="1786">
        <f>VLOOKUP(I3,BenefitClient_Demo,10,FALSE)</f>
        <v>6590</v>
      </c>
      <c r="I144" s="1310">
        <f>VLOOKUP(I3,BenefitClient_Demo,11,FALSE)</f>
        <v>5072</v>
      </c>
      <c r="J144" s="1287">
        <f>VLOOKUP(I3,BenefitClient_Demo,13,FALSE)</f>
        <v>6150</v>
      </c>
      <c r="K144" s="1288">
        <f>VLOOKUP(I3,BenefitClient_Demo,14,FALSE)</f>
        <v>5260</v>
      </c>
      <c r="L144" s="1814">
        <f>VLOOKUP(I3,BenefitClient_Demo,15,FALSE)</f>
        <v>126</v>
      </c>
      <c r="M144" s="1819">
        <f>VLOOKUP(I3,BenefitClient_Demo,17,FALSE)</f>
        <v>702</v>
      </c>
      <c r="O144" s="907"/>
      <c r="P144" s="261"/>
      <c r="Q144" s="261"/>
      <c r="S144" s="78"/>
      <c r="T144" s="162"/>
      <c r="X144" s="75"/>
      <c r="Y144" s="76"/>
      <c r="Z144" s="76"/>
      <c r="AA144" s="77"/>
      <c r="AB144" s="76"/>
    </row>
    <row r="145" spans="2:28" ht="13.5" customHeight="1" x14ac:dyDescent="0.2">
      <c r="B145" s="1794" t="s">
        <v>306</v>
      </c>
      <c r="C145" s="1795"/>
      <c r="D145" s="262">
        <f>VLOOKUP($I$3,SNAPClient_Demo,5,FALSE)</f>
        <v>2899</v>
      </c>
      <c r="E145" s="1704">
        <f>VLOOKUP($I$3,SNAPClient_Demo,6,FALSE)</f>
        <v>1361</v>
      </c>
      <c r="F145" s="262">
        <f>VLOOKUP($I$3,SNAPClient_Demo,7,FALSE)</f>
        <v>1748</v>
      </c>
      <c r="G145" s="1947">
        <f>VLOOKUP($I$3,SNAPClient_Demo,8,FALSE)</f>
        <v>515</v>
      </c>
      <c r="H145" s="1787">
        <f>VLOOKUP($I$3,SNAPClient_Demo,10,FALSE)</f>
        <v>3738</v>
      </c>
      <c r="I145" s="1704">
        <f>VLOOKUP($I$3,SNAPClient_Demo,11,FALSE)</f>
        <v>2785</v>
      </c>
      <c r="J145" s="1791">
        <f>VLOOKUP($I$3,SNAPClient_Demo,13,FALSE)</f>
        <v>3192</v>
      </c>
      <c r="K145" s="1790">
        <f>VLOOKUP($I$3,SNAPClient_Demo,14,FALSE)</f>
        <v>3290</v>
      </c>
      <c r="L145" s="1815">
        <f>VLOOKUP($I$3,SNAPClient_Demo,15,FALSE)</f>
        <v>36</v>
      </c>
      <c r="M145" s="1820">
        <f>VLOOKUP($I$3,SNAPClient_Demo,17,FALSE)</f>
        <v>324</v>
      </c>
      <c r="P145" s="261"/>
      <c r="Q145" s="261"/>
      <c r="S145" s="78"/>
      <c r="T145" s="162"/>
      <c r="V145" s="79"/>
      <c r="W145" s="79"/>
      <c r="X145" s="79"/>
      <c r="Y145" s="79"/>
      <c r="Z145" s="79"/>
      <c r="AA145" s="79"/>
      <c r="AB145" s="79"/>
    </row>
    <row r="146" spans="2:28" ht="13.5" customHeight="1" x14ac:dyDescent="0.2">
      <c r="B146" s="1794" t="s">
        <v>312</v>
      </c>
      <c r="C146" s="1795"/>
      <c r="D146" s="262">
        <f>VLOOKUP(I3,TANFClient_Demo,5,FALSE)</f>
        <v>269</v>
      </c>
      <c r="E146" s="1704">
        <f>VLOOKUP(I3,TANFClient_Demo,6,FALSE)</f>
        <v>74</v>
      </c>
      <c r="F146" s="262">
        <f>VLOOKUP(I3,TANFClient_Demo,7,FALSE)</f>
        <v>31</v>
      </c>
      <c r="G146" s="1947">
        <f>VLOOKUP(I3,TANFClient_Demo,8,FALSE)</f>
        <v>0</v>
      </c>
      <c r="H146" s="1787">
        <f>VLOOKUP(I3,TANFClient_Demo,10,FALSE)</f>
        <v>231</v>
      </c>
      <c r="I146" s="1704">
        <f>VLOOKUP(I3,TANFClient_Demo,11,FALSE)</f>
        <v>143</v>
      </c>
      <c r="J146" s="1703">
        <f>VLOOKUP(I3,TANFClient_Demo,13,FALSE)</f>
        <v>166</v>
      </c>
      <c r="K146" s="1704">
        <f>VLOOKUP(I3,TANFClient_Demo,14,FALSE)</f>
        <v>206</v>
      </c>
      <c r="L146" s="1816">
        <f>VLOOKUP(I3,TANFClient_Demo,15,FALSE)</f>
        <v>2</v>
      </c>
      <c r="M146" s="1820">
        <f>VLOOKUP(I3,TANFClient_Demo,17,FALSE)</f>
        <v>14</v>
      </c>
      <c r="P146" s="261"/>
      <c r="Q146" s="261"/>
      <c r="S146" s="78"/>
      <c r="T146" s="162"/>
      <c r="V146" s="79"/>
      <c r="W146" s="79"/>
      <c r="X146" s="79"/>
      <c r="Y146" s="79"/>
      <c r="Z146" s="79"/>
      <c r="AA146" s="79"/>
      <c r="AB146" s="79"/>
    </row>
    <row r="147" spans="2:28" ht="13.5" customHeight="1" x14ac:dyDescent="0.2">
      <c r="B147" s="1794" t="s">
        <v>695</v>
      </c>
      <c r="C147" s="1795"/>
      <c r="D147" s="262">
        <f>VLOOKUP(I3,MedicaidClient_Demo,5,FALSE)</f>
        <v>4982</v>
      </c>
      <c r="E147" s="1704">
        <f>VLOOKUP(I3,MedicaidClient_Demo,6,FALSE)</f>
        <v>2027</v>
      </c>
      <c r="F147" s="262">
        <f>VLOOKUP(I3,MedicaidClient_Demo,7,FALSE)</f>
        <v>2595</v>
      </c>
      <c r="G147" s="1812">
        <f>VLOOKUP(I3,MedicaidClient_Demo,8,FALSE)</f>
        <v>1125</v>
      </c>
      <c r="H147" s="1787">
        <f>VLOOKUP(I3,MedicaidClient_Demo,10,FALSE)</f>
        <v>6156</v>
      </c>
      <c r="I147" s="1704">
        <f>VLOOKUP(I3,MedicaidClient_Demo,11,FALSE)</f>
        <v>4573</v>
      </c>
      <c r="J147" s="1703">
        <f>VLOOKUP(I3,MedicaidClient_Demo,13,FALSE)</f>
        <v>5680</v>
      </c>
      <c r="K147" s="1704">
        <f>VLOOKUP(I3,MedicaidClient_Demo,14,FALSE)</f>
        <v>4806</v>
      </c>
      <c r="L147" s="1816">
        <f>VLOOKUP(I3,MedicaidClient_Demo,15,FALSE)</f>
        <v>119</v>
      </c>
      <c r="M147" s="1820">
        <f>VLOOKUP(I3,MedicaidClient_Demo,17,FALSE)</f>
        <v>672</v>
      </c>
      <c r="P147" s="261"/>
      <c r="Q147" s="261"/>
      <c r="S147" s="78"/>
      <c r="T147" s="162"/>
      <c r="X147" s="75"/>
      <c r="Y147" s="76"/>
      <c r="Z147" s="76"/>
      <c r="AA147" s="77"/>
      <c r="AB147" s="76"/>
    </row>
    <row r="148" spans="2:28" ht="13.5" customHeight="1" x14ac:dyDescent="0.2">
      <c r="B148" s="2484"/>
      <c r="C148" s="2485"/>
      <c r="D148" s="1788" t="s">
        <v>981</v>
      </c>
      <c r="E148" s="1285" t="s">
        <v>982</v>
      </c>
      <c r="F148" s="1788" t="s">
        <v>983</v>
      </c>
      <c r="G148" s="1784" t="s">
        <v>976</v>
      </c>
      <c r="H148" s="1785" t="s">
        <v>418</v>
      </c>
      <c r="I148" s="1285" t="s">
        <v>417</v>
      </c>
      <c r="J148" s="1783" t="s">
        <v>2</v>
      </c>
      <c r="K148" s="1285" t="s">
        <v>314</v>
      </c>
      <c r="L148" s="1813" t="s">
        <v>315</v>
      </c>
      <c r="M148" s="1818" t="s">
        <v>420</v>
      </c>
      <c r="P148" s="261"/>
      <c r="Q148" s="261"/>
      <c r="S148" s="78"/>
      <c r="T148" s="162"/>
      <c r="X148" s="75"/>
      <c r="Y148" s="76"/>
      <c r="Z148" s="76"/>
      <c r="AA148" s="77"/>
      <c r="AB148" s="76"/>
    </row>
    <row r="149" spans="2:28" ht="13.5" customHeight="1" x14ac:dyDescent="0.2">
      <c r="B149" s="1792" t="s">
        <v>975</v>
      </c>
      <c r="C149" s="1793"/>
      <c r="D149" s="262">
        <f>VLOOKUP(I3,CCClient_Demo,5,FALSE)</f>
        <v>3</v>
      </c>
      <c r="E149" s="1288">
        <f>VLOOKUP(I3,CCClient_Demo,6,FALSE)</f>
        <v>7</v>
      </c>
      <c r="F149" s="262">
        <f>VLOOKUP(I3,CCClient_Demo,7,FALSE)</f>
        <v>15</v>
      </c>
      <c r="G149" s="1782">
        <f>VLOOKUP(I3,CCClient_Demo,8,FALSE)</f>
        <v>9</v>
      </c>
      <c r="H149" s="66">
        <f>VLOOKUP(I3,CCClient_Demo,10,FALSE)</f>
        <v>19</v>
      </c>
      <c r="I149" s="1288">
        <f>VLOOKUP(I3,CCClient_Demo,11,FALSE)</f>
        <v>15</v>
      </c>
      <c r="J149" s="1775">
        <f>VLOOKUP(I3,CCClient_Demo,13,FALSE)</f>
        <v>10</v>
      </c>
      <c r="K149" s="1310">
        <f>VLOOKUP(I3,CCClient_Demo,14,FALSE)</f>
        <v>23</v>
      </c>
      <c r="L149" s="1817">
        <f>VLOOKUP(I3,CCClient_Demo,15,FALSE)</f>
        <v>1</v>
      </c>
      <c r="M149" s="1821">
        <f>VLOOKUP(I3,CCClient_Demo,17,FALSE)</f>
        <v>0</v>
      </c>
      <c r="P149" s="261"/>
      <c r="Q149" s="261"/>
      <c r="S149" s="78"/>
      <c r="T149" s="162"/>
      <c r="X149" s="75"/>
      <c r="Y149" s="76"/>
      <c r="Z149" s="76"/>
      <c r="AA149" s="77"/>
      <c r="AB149" s="76"/>
    </row>
    <row r="150" spans="2:28" ht="13.5" customHeight="1" x14ac:dyDescent="0.2">
      <c r="B150" s="2610" t="s">
        <v>1023</v>
      </c>
      <c r="C150" s="2610"/>
      <c r="D150" s="2610"/>
      <c r="E150" s="2610"/>
      <c r="F150" s="2610"/>
      <c r="G150" s="2610"/>
      <c r="H150" s="2610"/>
      <c r="I150" s="2610"/>
      <c r="J150" s="2610"/>
      <c r="K150" s="2557"/>
      <c r="L150" s="2557"/>
      <c r="M150" s="2557"/>
      <c r="N150" s="271"/>
      <c r="O150" s="271"/>
      <c r="P150" s="260"/>
    </row>
    <row r="151" spans="2:28" ht="13.5" customHeight="1" x14ac:dyDescent="0.2">
      <c r="B151" s="2557"/>
      <c r="C151" s="2557"/>
      <c r="D151" s="2557"/>
      <c r="E151" s="2557"/>
      <c r="F151" s="2557"/>
      <c r="G151" s="2557"/>
      <c r="H151" s="2557"/>
      <c r="I151" s="2557"/>
      <c r="J151" s="2557"/>
      <c r="K151" s="2557"/>
      <c r="L151" s="2557"/>
      <c r="M151" s="2557"/>
      <c r="N151" s="271"/>
      <c r="O151" s="271"/>
      <c r="P151" s="260"/>
    </row>
    <row r="152" spans="2:28" ht="13.5" customHeight="1" x14ac:dyDescent="0.2">
      <c r="B152" s="2424" t="s">
        <v>1004</v>
      </c>
      <c r="C152" s="2425"/>
      <c r="D152" s="2452" t="s">
        <v>696</v>
      </c>
      <c r="E152" s="2453"/>
      <c r="F152" s="2454"/>
      <c r="G152" s="2441" t="s">
        <v>701</v>
      </c>
      <c r="H152" s="2442"/>
      <c r="I152" s="2443"/>
      <c r="J152" s="2235"/>
      <c r="K152" s="2481"/>
      <c r="L152" s="903"/>
      <c r="M152" s="902"/>
      <c r="N152" s="902"/>
      <c r="O152" s="902"/>
      <c r="P152" s="902"/>
      <c r="Q152" s="87"/>
      <c r="R152" s="80"/>
    </row>
    <row r="153" spans="2:28" ht="13.5" customHeight="1" x14ac:dyDescent="0.2">
      <c r="B153" s="2426"/>
      <c r="C153" s="2427"/>
      <c r="D153" s="2455" t="s">
        <v>306</v>
      </c>
      <c r="E153" s="2456" t="s">
        <v>1054</v>
      </c>
      <c r="F153" s="2457" t="s">
        <v>695</v>
      </c>
      <c r="G153" s="2446" t="s">
        <v>697</v>
      </c>
      <c r="H153" s="2448" t="s">
        <v>698</v>
      </c>
      <c r="I153" s="2450" t="s">
        <v>699</v>
      </c>
      <c r="J153" s="2600"/>
      <c r="K153" s="2481"/>
      <c r="L153" s="903"/>
      <c r="M153" s="902"/>
      <c r="N153" s="902"/>
      <c r="O153" s="902"/>
      <c r="P153" s="902"/>
      <c r="Q153" s="87"/>
      <c r="R153" s="80"/>
    </row>
    <row r="154" spans="2:28" ht="13.5" customHeight="1" x14ac:dyDescent="0.2">
      <c r="B154" s="2426"/>
      <c r="C154" s="2427"/>
      <c r="D154" s="2455"/>
      <c r="E154" s="2456"/>
      <c r="F154" s="2457"/>
      <c r="G154" s="2447"/>
      <c r="H154" s="2449"/>
      <c r="I154" s="2451"/>
      <c r="J154" s="2600"/>
      <c r="K154" s="2481"/>
      <c r="L154" s="903"/>
      <c r="M154" s="902"/>
      <c r="N154" s="902"/>
      <c r="O154" s="902"/>
      <c r="P154" s="902"/>
      <c r="Q154" s="87"/>
      <c r="R154" s="80"/>
    </row>
    <row r="155" spans="2:28" ht="13.5" customHeight="1" x14ac:dyDescent="0.2">
      <c r="B155" s="2428">
        <v>2010</v>
      </c>
      <c r="C155" s="2429"/>
      <c r="D155" s="1252">
        <f>VLOOKUP(I3,SNAPCases_Annual, 4,FALSE)</f>
        <v>3524</v>
      </c>
      <c r="E155" s="1253">
        <f>VLOOKUP(I3,TANFCases_Annual,4,FALSE)</f>
        <v>375</v>
      </c>
      <c r="F155" s="1254">
        <f>VLOOKUP(I3,MedicaidCases_Annual,4,FALSE)</f>
        <v>5061</v>
      </c>
      <c r="G155" s="2236" t="s">
        <v>732</v>
      </c>
      <c r="H155" s="2237" t="s">
        <v>732</v>
      </c>
      <c r="I155" s="2238" t="s">
        <v>732</v>
      </c>
      <c r="J155" s="2233"/>
      <c r="K155" s="2233"/>
      <c r="L155" s="901"/>
      <c r="M155" s="902"/>
      <c r="N155" s="902"/>
      <c r="O155" s="902"/>
      <c r="P155" s="902"/>
      <c r="Q155" s="87"/>
      <c r="R155" s="80"/>
    </row>
    <row r="156" spans="2:28" ht="13.5" customHeight="1" x14ac:dyDescent="0.2">
      <c r="B156" s="2459">
        <v>2011</v>
      </c>
      <c r="C156" s="2437"/>
      <c r="D156" s="1133">
        <f>VLOOKUP(I3,SNAPCases_Annual, 5,FALSE)</f>
        <v>3901</v>
      </c>
      <c r="E156" s="1255">
        <f>VLOOKUP(I3,TANFCases_Annual,5,FALSE)</f>
        <v>374</v>
      </c>
      <c r="F156" s="1256">
        <f>VLOOKUP(I3,MedicaidCases_Annual,5,FALSE)</f>
        <v>5183</v>
      </c>
      <c r="G156" s="2239" t="s">
        <v>732</v>
      </c>
      <c r="H156" s="2240" t="s">
        <v>732</v>
      </c>
      <c r="I156" s="2241" t="s">
        <v>732</v>
      </c>
      <c r="J156" s="2233"/>
      <c r="K156" s="2233"/>
      <c r="L156" s="901"/>
      <c r="M156" s="902"/>
      <c r="N156" s="902"/>
      <c r="O156" s="902"/>
      <c r="P156" s="902"/>
      <c r="Q156" s="87"/>
      <c r="R156" s="80"/>
    </row>
    <row r="157" spans="2:28" ht="13.5" customHeight="1" x14ac:dyDescent="0.2">
      <c r="B157" s="2428">
        <v>2012</v>
      </c>
      <c r="C157" s="2429"/>
      <c r="D157" s="1134">
        <f>VLOOKUP(I3,SNAPCases_Annual, 6,FALSE)</f>
        <v>4257</v>
      </c>
      <c r="E157" s="1257">
        <f>VLOOKUP(I3,TANFCases_Annual,6,FALSE)</f>
        <v>387</v>
      </c>
      <c r="F157" s="1258">
        <f>VLOOKUP(I3,MedicaidCases_Annual,6,FALSE)</f>
        <v>5235</v>
      </c>
      <c r="G157" s="2242" t="s">
        <v>732</v>
      </c>
      <c r="H157" s="2243" t="s">
        <v>732</v>
      </c>
      <c r="I157" s="2244" t="s">
        <v>732</v>
      </c>
      <c r="J157" s="2233"/>
      <c r="K157" s="2233"/>
      <c r="L157" s="901"/>
      <c r="M157" s="902"/>
      <c r="N157" s="2209"/>
      <c r="O157" s="902"/>
      <c r="P157" s="902"/>
      <c r="Q157" s="87"/>
      <c r="R157" s="80"/>
    </row>
    <row r="158" spans="2:28" ht="13.5" customHeight="1" x14ac:dyDescent="0.2">
      <c r="B158" s="2459">
        <v>2013</v>
      </c>
      <c r="C158" s="2437"/>
      <c r="D158" s="1133">
        <f>VLOOKUP(I3,SNAPCases_Annual, 7,FALSE)</f>
        <v>4419</v>
      </c>
      <c r="E158" s="1255">
        <f>VLOOKUP(I3,TANFCases_Annual,7,FALSE)</f>
        <v>379</v>
      </c>
      <c r="F158" s="1256">
        <f>VLOOKUP(I3,MedicaidCases_Annual,7,FALSE)</f>
        <v>5244</v>
      </c>
      <c r="G158" s="2239">
        <f>VLOOKUP(I3,EACases_Annual,4,FALSE)</f>
        <v>1949</v>
      </c>
      <c r="H158" s="2240">
        <f>VLOOKUP(I3,EACases_Annual,11,FALSE)</f>
        <v>593</v>
      </c>
      <c r="I158" s="2241">
        <f>VLOOKUP(I3,EACases_Annual,18,FALSE)</f>
        <v>831</v>
      </c>
      <c r="J158" s="2233"/>
      <c r="K158" s="2233"/>
      <c r="L158" s="901"/>
      <c r="M158" s="87"/>
      <c r="N158" s="87"/>
      <c r="O158" s="87"/>
      <c r="P158" s="87"/>
      <c r="Q158" s="87"/>
      <c r="R158" s="80"/>
    </row>
    <row r="159" spans="2:28" ht="13.5" customHeight="1" x14ac:dyDescent="0.2">
      <c r="B159" s="2464">
        <v>2014</v>
      </c>
      <c r="C159" s="2465"/>
      <c r="D159" s="1132">
        <f>VLOOKUP(I3,SNAPCases_Annual, 8,FALSE)</f>
        <v>4404</v>
      </c>
      <c r="E159" s="1293">
        <f>VLOOKUP(I3,TANFCases_Annual,8,FALSE)</f>
        <v>321</v>
      </c>
      <c r="F159" s="1294">
        <f>VLOOKUP(I3,MedicaidCases_Annual,8,FALSE)</f>
        <v>5279</v>
      </c>
      <c r="G159" s="2245">
        <f>VLOOKUP(I3,EACases_Annual,5,FALSE)</f>
        <v>1818</v>
      </c>
      <c r="H159" s="2246">
        <f>VLOOKUP(I3,EACases_Annual,12,FALSE)</f>
        <v>659</v>
      </c>
      <c r="I159" s="2247">
        <f>VLOOKUP(I3,EACases_Annual,19,FALSE)</f>
        <v>883</v>
      </c>
      <c r="J159" s="2233"/>
      <c r="K159" s="2233"/>
      <c r="L159" s="901"/>
      <c r="M159" s="87"/>
      <c r="N159" s="87"/>
      <c r="O159" s="87"/>
      <c r="P159" s="87"/>
      <c r="Q159" s="87"/>
      <c r="R159" s="80"/>
    </row>
    <row r="160" spans="2:28" ht="13.5" customHeight="1" x14ac:dyDescent="0.2">
      <c r="B160" s="2459">
        <v>2015</v>
      </c>
      <c r="C160" s="2437"/>
      <c r="D160" s="1133">
        <f>VLOOKUP(I3,SNAPCases_Annual, 9,FALSE)</f>
        <v>4081</v>
      </c>
      <c r="E160" s="1255">
        <f>VLOOKUP(I3,TANFCases_Annual,9,FALSE)</f>
        <v>275</v>
      </c>
      <c r="F160" s="1256">
        <f>VLOOKUP(I3,MedicaidCases_Annual,9,FALSE)</f>
        <v>5412</v>
      </c>
      <c r="G160" s="2239">
        <f>VLOOKUP(I3,EACases_Annual,6,FALSE)</f>
        <v>1821</v>
      </c>
      <c r="H160" s="2240">
        <f>VLOOKUP(I3,EACases_Annual,13,FALSE)</f>
        <v>586</v>
      </c>
      <c r="I160" s="2241">
        <f>VLOOKUP(I3,EACases_Annual,20,FALSE)</f>
        <v>819</v>
      </c>
      <c r="J160" s="2233"/>
      <c r="K160" s="2233"/>
      <c r="L160" s="901"/>
      <c r="M160" s="87"/>
      <c r="N160" s="87"/>
      <c r="O160" s="87"/>
      <c r="P160" s="87"/>
      <c r="Q160" s="87"/>
      <c r="R160" s="80"/>
    </row>
    <row r="161" spans="2:24" ht="13.5" customHeight="1" x14ac:dyDescent="0.2">
      <c r="B161" s="2422">
        <v>2016</v>
      </c>
      <c r="C161" s="2599"/>
      <c r="D161" s="1703">
        <f>VLOOKUP(I3,SNAPCases_Annual,10,FALSE)</f>
        <v>3754</v>
      </c>
      <c r="E161" s="1704">
        <f>VLOOKUP(I3,TANFCases_Annual,10,FALSE)</f>
        <v>245</v>
      </c>
      <c r="F161" s="1705">
        <f>VLOOKUP(I3,MedicaidCases_Annual,10,FALSE)</f>
        <v>5483</v>
      </c>
      <c r="G161" s="2248">
        <f>VLOOKUP($I$3,EACases_Annual,7,FALSE)</f>
        <v>1680</v>
      </c>
      <c r="H161" s="2249">
        <f>VLOOKUP($I$3,EACases_Annual,14,FALSE)</f>
        <v>528</v>
      </c>
      <c r="I161" s="2250">
        <f>VLOOKUP($I$3,EACases_Annual,21,FALSE)</f>
        <v>582</v>
      </c>
      <c r="J161" s="2233"/>
      <c r="K161" s="2233"/>
      <c r="L161" s="901"/>
      <c r="M161" s="87"/>
      <c r="N161" s="87"/>
      <c r="O161" s="87"/>
      <c r="P161" s="87"/>
      <c r="Q161" s="87"/>
      <c r="R161" s="80"/>
    </row>
    <row r="162" spans="2:24" ht="13.5" customHeight="1" x14ac:dyDescent="0.2">
      <c r="B162" s="2468">
        <v>2017</v>
      </c>
      <c r="C162" s="2437"/>
      <c r="D162" s="2204">
        <f>VLOOKUP($I$3,SNAPCases_Annual,11,FALSE)</f>
        <v>3482</v>
      </c>
      <c r="E162" s="1880">
        <f>VLOOKUP($I$3,TANFCases_Annual,11,FALSE)</f>
        <v>141</v>
      </c>
      <c r="F162" s="2205">
        <f>VLOOKUP($I$3,MedicaidCases_Annual,11,FALSE)</f>
        <v>5110</v>
      </c>
      <c r="G162" s="2251">
        <f>VLOOKUP($I$3,EACases_Annual,8,FALSE)</f>
        <v>1505</v>
      </c>
      <c r="H162" s="2252">
        <f>VLOOKUP($I$3,EACases_Annual,15,FALSE)</f>
        <v>513</v>
      </c>
      <c r="I162" s="2253">
        <f>VLOOKUP($I$3,EACases_Annual,22,FALSE)</f>
        <v>458</v>
      </c>
      <c r="J162" s="2234"/>
      <c r="K162" s="2234"/>
      <c r="L162" s="901"/>
      <c r="M162" s="87"/>
      <c r="N162" s="87"/>
      <c r="O162" s="87"/>
      <c r="P162" s="87"/>
      <c r="Q162" s="87"/>
      <c r="R162" s="80"/>
    </row>
    <row r="163" spans="2:24" ht="13.5" customHeight="1" x14ac:dyDescent="0.2">
      <c r="B163" s="2608">
        <v>2018</v>
      </c>
      <c r="C163" s="2609"/>
      <c r="D163" s="2206">
        <f>VLOOKUP($I$3,SNAPCases_Annual,12,FALSE)</f>
        <v>3191</v>
      </c>
      <c r="E163" s="2207">
        <f>VLOOKUP($I$3,TANFCases_Annual,12,FALSE)</f>
        <v>150</v>
      </c>
      <c r="F163" s="2208">
        <f>VLOOKUP($I$3,MedicaidCases_Annual,12,FALSE)</f>
        <v>5331</v>
      </c>
      <c r="G163" s="2254">
        <f>VLOOKUP($I$3,EACases_Annual,9,FALSE)</f>
        <v>1440</v>
      </c>
      <c r="H163" s="2255">
        <f>VLOOKUP($I$3,EACases_Annual,16,FALSE)</f>
        <v>533</v>
      </c>
      <c r="I163" s="2256">
        <f>VLOOKUP($I$3,EACases_Annual,23,FALSE)</f>
        <v>504</v>
      </c>
      <c r="J163" s="2234"/>
      <c r="K163" s="2234"/>
      <c r="L163" s="901"/>
      <c r="M163" s="87"/>
      <c r="N163" s="87"/>
      <c r="O163" s="87"/>
      <c r="P163" s="87"/>
      <c r="Q163" s="87"/>
      <c r="R163" s="80"/>
    </row>
    <row r="164" spans="2:24" ht="13.5" customHeight="1" x14ac:dyDescent="0.2">
      <c r="B164" s="2444">
        <v>2019</v>
      </c>
      <c r="C164" s="2445"/>
      <c r="D164" s="2301">
        <f>VLOOKUP($I$3,SNAPCases_Annual,13,FALSE)</f>
        <v>3160</v>
      </c>
      <c r="E164" s="2302">
        <f>VLOOKUP($I$3,TANFCases_Annual,13,FALSE)</f>
        <v>151</v>
      </c>
      <c r="F164" s="2303">
        <f>VLOOKUP($I$3,MedicaidCases_Annual,13,FALSE)</f>
        <v>6168</v>
      </c>
      <c r="G164" s="2304">
        <f>VLOOKUP($I$3,EACases_Annual,10,FALSE)</f>
        <v>1399</v>
      </c>
      <c r="H164" s="2305">
        <f>VLOOKUP($I$3,EACases_Annual,17,FALSE)</f>
        <v>533</v>
      </c>
      <c r="I164" s="2306">
        <f>VLOOKUP($I$3,EACases_Annual,24,FALSE)</f>
        <v>514</v>
      </c>
      <c r="J164" s="2234"/>
      <c r="K164" s="2234"/>
      <c r="L164" s="901"/>
      <c r="M164" s="87"/>
      <c r="N164" s="87"/>
      <c r="O164" s="87"/>
      <c r="P164" s="87"/>
      <c r="Q164" s="87"/>
      <c r="R164" s="80"/>
    </row>
    <row r="165" spans="2:24" ht="13.5" customHeight="1" x14ac:dyDescent="0.2">
      <c r="B165" s="2421" t="s">
        <v>1149</v>
      </c>
      <c r="C165" s="2421"/>
      <c r="D165" s="2421"/>
      <c r="E165" s="2421"/>
      <c r="F165" s="2421"/>
      <c r="G165" s="2421"/>
      <c r="H165" s="2421"/>
      <c r="I165" s="2421"/>
      <c r="J165" s="2421"/>
      <c r="K165" s="2421"/>
      <c r="L165" s="2421"/>
      <c r="M165" s="2421"/>
      <c r="N165" s="2421"/>
      <c r="O165" s="87"/>
      <c r="P165" s="87"/>
      <c r="Q165" s="87"/>
      <c r="R165" s="80"/>
    </row>
    <row r="166" spans="2:24" ht="13.5" customHeight="1" x14ac:dyDescent="0.2">
      <c r="B166" s="2421"/>
      <c r="C166" s="2421"/>
      <c r="D166" s="2421"/>
      <c r="E166" s="2421"/>
      <c r="F166" s="2421"/>
      <c r="G166" s="2421"/>
      <c r="H166" s="2421"/>
      <c r="I166" s="2421"/>
      <c r="J166" s="2421"/>
      <c r="K166" s="2421"/>
      <c r="L166" s="2421"/>
      <c r="M166" s="2421"/>
      <c r="N166" s="2421"/>
      <c r="O166" s="87"/>
      <c r="P166" s="87"/>
      <c r="Q166" s="87"/>
      <c r="R166" s="80"/>
    </row>
    <row r="167" spans="2:24" ht="18" hidden="1" customHeight="1" x14ac:dyDescent="0.2">
      <c r="B167" s="2461" t="s">
        <v>1008</v>
      </c>
      <c r="C167" s="2461"/>
      <c r="D167" s="2461"/>
      <c r="E167" s="2461"/>
      <c r="F167" s="2461"/>
      <c r="G167" s="2461"/>
      <c r="H167" s="2461"/>
      <c r="I167" s="2461"/>
      <c r="J167" s="2461"/>
      <c r="K167" s="2461"/>
      <c r="L167" s="87"/>
      <c r="M167" s="87"/>
      <c r="N167" s="87"/>
      <c r="O167" s="87"/>
      <c r="P167" s="87"/>
      <c r="Q167" s="87"/>
      <c r="R167" s="80"/>
    </row>
    <row r="168" spans="2:24" ht="13.5" hidden="1" customHeight="1" x14ac:dyDescent="0.2">
      <c r="B168" s="2458" t="s">
        <v>944</v>
      </c>
      <c r="C168" s="2458"/>
      <c r="D168" s="2460">
        <f>VLOOKUP(I3,fs_caseload,4,FALSE)</f>
        <v>104</v>
      </c>
      <c r="E168" s="2458" t="s">
        <v>945</v>
      </c>
      <c r="F168" s="2458"/>
      <c r="G168" s="2460">
        <f>VLOOKUP(I3,fs_caseload,5,FALSE)</f>
        <v>31</v>
      </c>
      <c r="H168" s="2458" t="s">
        <v>946</v>
      </c>
      <c r="I168" s="2458"/>
      <c r="J168" s="2607">
        <f>VLOOKUP(I3,fs_caseload,6,FALSE)</f>
        <v>3.3548387096774195</v>
      </c>
      <c r="K168" s="269"/>
      <c r="L168" s="87"/>
      <c r="M168" s="87"/>
      <c r="N168" s="87"/>
      <c r="O168" s="87"/>
      <c r="P168" s="87"/>
      <c r="Q168" s="87"/>
      <c r="R168" s="80"/>
    </row>
    <row r="169" spans="2:24" ht="13.5" hidden="1" customHeight="1" x14ac:dyDescent="0.2">
      <c r="B169" s="2458"/>
      <c r="C169" s="2458"/>
      <c r="D169" s="2460"/>
      <c r="E169" s="2458"/>
      <c r="F169" s="2458"/>
      <c r="G169" s="2460"/>
      <c r="H169" s="2458"/>
      <c r="I169" s="2458"/>
      <c r="J169" s="2607"/>
      <c r="K169" s="269"/>
      <c r="L169" s="87"/>
      <c r="M169" s="87"/>
      <c r="N169" s="87"/>
      <c r="O169" s="87"/>
      <c r="P169" s="87"/>
      <c r="Q169" s="87"/>
      <c r="R169" s="80"/>
    </row>
    <row r="170" spans="2:24" ht="13.5" hidden="1" customHeight="1" x14ac:dyDescent="0.2">
      <c r="B170" s="2458"/>
      <c r="C170" s="2458"/>
      <c r="D170" s="2460"/>
      <c r="E170" s="2458"/>
      <c r="F170" s="2458"/>
      <c r="G170" s="2460"/>
      <c r="H170" s="2458"/>
      <c r="I170" s="2458"/>
      <c r="J170" s="2607"/>
      <c r="K170" s="269"/>
      <c r="L170" s="87"/>
      <c r="M170" s="87"/>
      <c r="N170" s="87"/>
      <c r="O170" s="87"/>
      <c r="P170" s="87"/>
      <c r="Q170" s="87"/>
      <c r="R170" s="80"/>
    </row>
    <row r="171" spans="2:24" ht="13.5" hidden="1" customHeight="1" x14ac:dyDescent="0.2">
      <c r="B171" s="2421" t="s">
        <v>1009</v>
      </c>
      <c r="C171" s="2421"/>
      <c r="D171" s="2421"/>
      <c r="E171" s="2421"/>
      <c r="F171" s="2421"/>
      <c r="G171" s="2421"/>
      <c r="H171" s="2421"/>
      <c r="I171" s="2421"/>
      <c r="J171" s="2421"/>
      <c r="K171" s="2421"/>
      <c r="L171" s="87"/>
      <c r="M171" s="87"/>
      <c r="N171" s="87"/>
      <c r="O171" s="87"/>
      <c r="P171" s="87"/>
      <c r="Q171" s="87"/>
      <c r="R171" s="80"/>
    </row>
    <row r="172" spans="2:24" ht="13.5" customHeight="1" x14ac:dyDescent="0.2">
      <c r="B172" s="2466" t="s">
        <v>919</v>
      </c>
      <c r="C172" s="2467"/>
      <c r="D172" s="2467"/>
      <c r="E172" s="2462" t="s">
        <v>451</v>
      </c>
      <c r="F172" s="2472" t="s">
        <v>626</v>
      </c>
      <c r="G172" s="2473"/>
      <c r="H172" s="2473"/>
      <c r="I172" s="2474"/>
      <c r="J172" s="2469" t="s">
        <v>618</v>
      </c>
      <c r="K172" s="2470"/>
      <c r="L172" s="2470"/>
      <c r="M172" s="2470"/>
      <c r="N172" s="2471"/>
      <c r="O172" s="85"/>
      <c r="P172" s="260"/>
    </row>
    <row r="173" spans="2:24" ht="13.5" customHeight="1" x14ac:dyDescent="0.2">
      <c r="B173" s="2466"/>
      <c r="C173" s="2467"/>
      <c r="D173" s="2467"/>
      <c r="E173" s="2463"/>
      <c r="F173" s="334" t="s">
        <v>2</v>
      </c>
      <c r="G173" s="335" t="s">
        <v>314</v>
      </c>
      <c r="H173" s="1303" t="s">
        <v>315</v>
      </c>
      <c r="I173" s="1304" t="s">
        <v>621</v>
      </c>
      <c r="J173" s="334" t="s">
        <v>784</v>
      </c>
      <c r="K173" s="1019" t="s">
        <v>785</v>
      </c>
      <c r="L173" s="1080" t="s">
        <v>908</v>
      </c>
      <c r="M173" s="336" t="s">
        <v>909</v>
      </c>
      <c r="N173" s="336" t="s">
        <v>786</v>
      </c>
      <c r="O173" s="261"/>
      <c r="P173" s="261"/>
      <c r="X173" s="81"/>
    </row>
    <row r="174" spans="2:24" ht="13.5" customHeight="1" x14ac:dyDescent="0.2">
      <c r="B174" s="2597" t="s">
        <v>787</v>
      </c>
      <c r="C174" s="2598"/>
      <c r="D174" s="2598"/>
      <c r="E174" s="312">
        <f>VLOOKUP(I3,FC_DEMO,4,FALSE)</f>
        <v>14</v>
      </c>
      <c r="F174" s="312">
        <f>VLOOKUP(I3,FC_DEMO,5,FALSE)</f>
        <v>9</v>
      </c>
      <c r="G174" s="1020">
        <f>VLOOKUP(I3,FC_DEMO,6,FALSE)</f>
        <v>5</v>
      </c>
      <c r="H174" s="1286">
        <f>VLOOKUP(I3,FC_DEMO,15,FALSE)</f>
        <v>0</v>
      </c>
      <c r="I174" s="1301">
        <f>VLOOKUP(I3,FC_DEMO,16,FALSE)</f>
        <v>0</v>
      </c>
      <c r="J174" s="1081">
        <f>VLOOKUP(I3,FC_DEMO,29,FALSE)</f>
        <v>4</v>
      </c>
      <c r="K174" s="1082">
        <f>VLOOKUP(I3,FC_DEMO,30,FALSE)</f>
        <v>5</v>
      </c>
      <c r="L174" s="1083">
        <f>VLOOKUP(I3,FC_DEMO,31,FALSE)</f>
        <v>3</v>
      </c>
      <c r="M174" s="1083">
        <f>VLOOKUP(I3,FC_DEMO,32,FALSE)</f>
        <v>2</v>
      </c>
      <c r="N174" s="1083">
        <f>VLOOKUP(I3,FC_DEMO,33,FALSE)</f>
        <v>0</v>
      </c>
      <c r="O174" s="261"/>
      <c r="P174" s="162"/>
      <c r="T174" s="82"/>
      <c r="U174" s="81"/>
      <c r="V174" s="81"/>
      <c r="W174" s="81"/>
      <c r="X174" s="81"/>
    </row>
    <row r="175" spans="2:24" ht="13.5" customHeight="1" x14ac:dyDescent="0.2">
      <c r="B175" s="2597" t="s">
        <v>1145</v>
      </c>
      <c r="C175" s="2598"/>
      <c r="D175" s="2613"/>
      <c r="E175" s="908">
        <f>VLOOKUP(I3,Adoption_Child_Demo,4,FALSE)</f>
        <v>3</v>
      </c>
      <c r="F175" s="312">
        <f>VLOOKUP(I3,Adoption_Child_Demo,5,FALSE)</f>
        <v>2</v>
      </c>
      <c r="G175" s="1020">
        <f>VLOOKUP(I3,Adoption_Child_Demo,6,FALSE)</f>
        <v>1</v>
      </c>
      <c r="H175" s="1286">
        <f>VLOOKUP(I3,Adoption_Child_Demo,13,FALSE)</f>
        <v>0</v>
      </c>
      <c r="I175" s="1300">
        <f>VLOOKUP(I3,Adoption_Child_Demo,12,FALSE)</f>
        <v>0</v>
      </c>
      <c r="J175" s="1081">
        <f>VLOOKUP(I3,Adoption_Child_Demo,23,FALSE)</f>
        <v>2</v>
      </c>
      <c r="K175" s="1082">
        <f>VLOOKUP(I3,Adoption_Child_Demo,24,FALSE)</f>
        <v>1</v>
      </c>
      <c r="L175" s="1083">
        <f>VLOOKUP(I3,Adoption_Child_Demo,25,FALSE)</f>
        <v>0</v>
      </c>
      <c r="M175" s="1083">
        <f>VLOOKUP(I3,Adoption_Child_Demo,26,FALSE)</f>
        <v>0</v>
      </c>
      <c r="N175" s="1083">
        <f>VLOOKUP(I3,Adoption_Child_Demo,27,FALSE)</f>
        <v>0</v>
      </c>
      <c r="O175" s="261"/>
      <c r="P175" s="162"/>
      <c r="T175" s="82"/>
      <c r="U175" s="81"/>
      <c r="V175" s="81"/>
      <c r="W175" s="81"/>
      <c r="X175" s="81"/>
    </row>
    <row r="176" spans="2:24" ht="13.5" customHeight="1" x14ac:dyDescent="0.2">
      <c r="B176" s="2611" t="s">
        <v>707</v>
      </c>
      <c r="C176" s="2612"/>
      <c r="D176" s="2612"/>
      <c r="E176" s="329">
        <f>VLOOKUP(I3,AdoptionServices,4,FALSE)</f>
        <v>14</v>
      </c>
      <c r="F176" s="1021">
        <f>VLOOKUP(I3,AdoptionServices,5,FALSE)</f>
        <v>9</v>
      </c>
      <c r="G176" s="1022">
        <f>VLOOKUP(I3,AdoptionServices,6,FALSE)</f>
        <v>2</v>
      </c>
      <c r="H176" s="1022">
        <f>VLOOKUP(I3,AdoptionServices,12,FALSE)</f>
        <v>3</v>
      </c>
      <c r="I176" s="1302">
        <f>VLOOKUP(I3,AdoptionServices,11)</f>
        <v>0</v>
      </c>
      <c r="J176" s="1084">
        <f>VLOOKUP(I3,AdoptionServices,14,FALSE)</f>
        <v>3</v>
      </c>
      <c r="K176" s="1085">
        <f>VLOOKUP(I3,AdoptionServices,15,FALSE)</f>
        <v>5</v>
      </c>
      <c r="L176" s="1086">
        <f>VLOOKUP(I3,AdoptionServices,16,FALSE)</f>
        <v>4</v>
      </c>
      <c r="M176" s="1086">
        <f>VLOOKUP(I3,AdoptionServices,17,FALSE)</f>
        <v>2</v>
      </c>
      <c r="N176" s="1086">
        <f>VLOOKUP(I3,AdoptionServices,18,FALSE)</f>
        <v>0</v>
      </c>
      <c r="O176" s="261"/>
      <c r="P176" s="162"/>
      <c r="T176" s="82"/>
      <c r="U176" s="81"/>
      <c r="V176" s="81"/>
      <c r="W176" s="81"/>
      <c r="X176" s="81"/>
    </row>
    <row r="177" spans="2:25" ht="13.5" customHeight="1" x14ac:dyDescent="0.2">
      <c r="B177" s="2557" t="s">
        <v>1152</v>
      </c>
      <c r="C177" s="2557"/>
      <c r="D177" s="2557"/>
      <c r="E177" s="2557"/>
      <c r="F177" s="2557"/>
      <c r="G177" s="2557"/>
      <c r="H177" s="2557"/>
      <c r="I177" s="2557"/>
      <c r="J177" s="2557"/>
      <c r="K177" s="2557"/>
      <c r="L177" s="2557"/>
      <c r="M177" s="2557"/>
      <c r="N177" s="2557"/>
      <c r="O177" s="261"/>
      <c r="P177" s="162"/>
      <c r="T177" s="82"/>
      <c r="U177" s="81"/>
      <c r="V177" s="81"/>
      <c r="W177" s="81"/>
      <c r="X177" s="81"/>
    </row>
    <row r="178" spans="2:25" ht="13.5" customHeight="1" x14ac:dyDescent="0.2">
      <c r="B178" s="2557"/>
      <c r="C178" s="2557"/>
      <c r="D178" s="2557"/>
      <c r="E178" s="2557"/>
      <c r="F178" s="2557"/>
      <c r="G178" s="2557"/>
      <c r="H178" s="2557"/>
      <c r="I178" s="2557"/>
      <c r="J178" s="2557"/>
      <c r="K178" s="2557"/>
      <c r="L178" s="2557"/>
      <c r="M178" s="2557"/>
      <c r="N178" s="2557"/>
      <c r="O178" s="261"/>
      <c r="P178" s="162"/>
      <c r="T178" s="82"/>
      <c r="U178" s="81"/>
      <c r="V178" s="81"/>
      <c r="W178" s="81"/>
      <c r="X178" s="81"/>
    </row>
    <row r="179" spans="2:25" ht="13.5" customHeight="1" x14ac:dyDescent="0.2">
      <c r="B179" s="2601" t="s">
        <v>890</v>
      </c>
      <c r="C179" s="2602"/>
      <c r="D179" s="2603"/>
      <c r="E179" s="2590" t="s">
        <v>318</v>
      </c>
      <c r="F179" s="2595" t="s">
        <v>902</v>
      </c>
      <c r="G179" s="2596"/>
      <c r="H179" s="2596"/>
      <c r="I179" s="2596"/>
      <c r="J179" s="2596"/>
      <c r="K179" s="2592" t="s">
        <v>901</v>
      </c>
      <c r="L179" s="2593"/>
      <c r="M179" s="2593"/>
      <c r="N179" s="2594"/>
      <c r="O179" s="261"/>
      <c r="P179" s="162"/>
      <c r="T179" s="82"/>
      <c r="U179" s="81"/>
      <c r="V179" s="81"/>
      <c r="W179" s="81"/>
      <c r="X179" s="81"/>
    </row>
    <row r="180" spans="2:25" ht="13.5" customHeight="1" x14ac:dyDescent="0.2">
      <c r="B180" s="2604"/>
      <c r="C180" s="2605"/>
      <c r="D180" s="2606"/>
      <c r="E180" s="2591"/>
      <c r="F180" s="1305" t="s">
        <v>2</v>
      </c>
      <c r="G180" s="1306" t="s">
        <v>314</v>
      </c>
      <c r="H180" s="1306" t="s">
        <v>315</v>
      </c>
      <c r="I180" s="1313" t="s">
        <v>621</v>
      </c>
      <c r="J180" s="1315" t="s">
        <v>420</v>
      </c>
      <c r="K180" s="1232" t="s">
        <v>818</v>
      </c>
      <c r="L180" s="1232" t="s">
        <v>900</v>
      </c>
      <c r="M180" s="1232" t="s">
        <v>899</v>
      </c>
      <c r="N180" s="1232" t="s">
        <v>621</v>
      </c>
      <c r="O180" s="261"/>
      <c r="P180" s="162"/>
      <c r="T180" s="82"/>
      <c r="U180" s="81"/>
      <c r="V180" s="81"/>
      <c r="W180" s="81"/>
      <c r="X180" s="81"/>
    </row>
    <row r="181" spans="2:25" ht="13.5" customHeight="1" x14ac:dyDescent="0.2">
      <c r="B181" s="2633" t="s">
        <v>1090</v>
      </c>
      <c r="C181" s="2634"/>
      <c r="D181" s="2635"/>
      <c r="E181" s="1233">
        <f>VLOOKUP(I3,CPSReferrals,4,FALSE)</f>
        <v>363</v>
      </c>
      <c r="F181" s="1309">
        <f>VLOOKUP(I3,CPSReferrals,17,FALSE)</f>
        <v>187</v>
      </c>
      <c r="G181" s="1310">
        <f>VLOOKUP(I3,CPSReferrals,18,FALSE)</f>
        <v>175</v>
      </c>
      <c r="H181" s="1310">
        <f>VLOOKUP(I3,CPSReferrals,19,FALSE)</f>
        <v>0</v>
      </c>
      <c r="I181" s="1314">
        <f>VLOOKUP(I3,Children_CPS_Referrals,14,FALSE)</f>
        <v>4</v>
      </c>
      <c r="J181" s="1316">
        <f>VLOOKUP(I3, Children_CPS_Referrals,15,FALSE)</f>
        <v>29</v>
      </c>
      <c r="K181" s="1234">
        <f>VLOOKUP(I3,Children_CPS_Referrals,29,FALSE)</f>
        <v>87</v>
      </c>
      <c r="L181" s="1340">
        <f>VLOOKUP(I3,Children_CPS_Referrals,30,FALSE)</f>
        <v>191</v>
      </c>
      <c r="M181" s="1340">
        <f>VLOOKUP(I3,Children_CPS_Referrals, 31,FALSE)</f>
        <v>68</v>
      </c>
      <c r="N181" s="1340">
        <f>VLOOKUP(I3,Children_CPS_Referrals,27,FALSE)</f>
        <v>17</v>
      </c>
      <c r="O181" s="261"/>
      <c r="P181" s="162"/>
      <c r="T181" s="82"/>
      <c r="U181" s="81"/>
      <c r="V181" s="81"/>
      <c r="W181" s="81"/>
      <c r="X181" s="81"/>
    </row>
    <row r="182" spans="2:25" ht="13.5" customHeight="1" x14ac:dyDescent="0.2">
      <c r="B182" s="2557" t="s">
        <v>903</v>
      </c>
      <c r="C182" s="2557"/>
      <c r="D182" s="2557"/>
      <c r="E182" s="2557"/>
      <c r="F182" s="2557"/>
      <c r="G182" s="2557"/>
      <c r="H182" s="2557"/>
      <c r="I182" s="2557"/>
      <c r="J182" s="2557"/>
      <c r="K182" s="2557"/>
      <c r="L182" s="2557"/>
      <c r="M182" s="2557"/>
      <c r="N182" s="2557"/>
      <c r="O182" s="261"/>
      <c r="P182" s="162"/>
      <c r="T182" s="82"/>
      <c r="U182" s="81"/>
      <c r="V182" s="81"/>
      <c r="W182" s="81"/>
      <c r="X182" s="81"/>
    </row>
    <row r="183" spans="2:25" ht="13.5" customHeight="1" x14ac:dyDescent="0.2">
      <c r="B183" s="2601" t="s">
        <v>817</v>
      </c>
      <c r="C183" s="2602"/>
      <c r="D183" s="2603"/>
      <c r="E183" s="2590" t="s">
        <v>828</v>
      </c>
      <c r="F183" s="2624" t="s">
        <v>827</v>
      </c>
      <c r="G183" s="2596"/>
      <c r="H183" s="2596"/>
      <c r="I183" s="2625"/>
      <c r="J183" s="2626" t="s">
        <v>973</v>
      </c>
      <c r="K183" s="2627"/>
      <c r="L183" s="2628" t="s">
        <v>972</v>
      </c>
      <c r="M183" s="2629"/>
      <c r="N183" s="2630"/>
      <c r="O183" s="261"/>
      <c r="P183" s="162"/>
      <c r="T183" s="82"/>
      <c r="U183" s="81"/>
      <c r="V183" s="81"/>
      <c r="W183" s="81"/>
      <c r="X183" s="81"/>
    </row>
    <row r="184" spans="2:25" ht="13.5" customHeight="1" x14ac:dyDescent="0.2">
      <c r="B184" s="2604"/>
      <c r="C184" s="2605"/>
      <c r="D184" s="2606"/>
      <c r="E184" s="2591"/>
      <c r="F184" s="1305" t="s">
        <v>2</v>
      </c>
      <c r="G184" s="1306" t="s">
        <v>314</v>
      </c>
      <c r="H184" s="1306" t="s">
        <v>315</v>
      </c>
      <c r="I184" s="1308" t="s">
        <v>621</v>
      </c>
      <c r="J184" s="1773" t="s">
        <v>825</v>
      </c>
      <c r="K184" s="1774" t="s">
        <v>629</v>
      </c>
      <c r="L184" s="1755" t="s">
        <v>417</v>
      </c>
      <c r="M184" s="1717" t="s">
        <v>418</v>
      </c>
      <c r="N184" s="1717" t="s">
        <v>621</v>
      </c>
      <c r="O184" s="261"/>
      <c r="P184" s="261"/>
      <c r="T184" s="82"/>
      <c r="U184" s="81"/>
      <c r="V184" s="81"/>
      <c r="W184" s="81"/>
      <c r="X184" s="81"/>
    </row>
    <row r="185" spans="2:25" ht="13.5" customHeight="1" x14ac:dyDescent="0.2">
      <c r="B185" s="2633" t="s">
        <v>1046</v>
      </c>
      <c r="C185" s="2634"/>
      <c r="D185" s="2635"/>
      <c r="E185" s="1233">
        <f>VLOOKUP(I3,APS_Reports,4,FALSE)</f>
        <v>166</v>
      </c>
      <c r="F185" s="1287">
        <f>VLOOKUP(I3,APS_Reports,5,FALSE)</f>
        <v>99</v>
      </c>
      <c r="G185" s="1288">
        <f>VLOOKUP(I3,APS_Reports,6,FALSE)</f>
        <v>55</v>
      </c>
      <c r="H185" s="1288">
        <f>VLOOKUP(I3,APS_Reports,7,FALSE)</f>
        <v>10</v>
      </c>
      <c r="I185" s="1307">
        <f>VLOOKUP(I3,APS_Reports,8,FALSE)</f>
        <v>2</v>
      </c>
      <c r="J185" s="1775">
        <f>VLOOKUP(I3,APS_Reports,9,FALSE)</f>
        <v>38</v>
      </c>
      <c r="K185" s="1776">
        <f>VLOOKUP(I3,APS_Reports,10,FALSE)</f>
        <v>127</v>
      </c>
      <c r="L185" s="1772">
        <f>VLOOKUP(I3,APS_Reports,12,FALSE)</f>
        <v>79</v>
      </c>
      <c r="M185" s="1339">
        <f>VLOOKUP(I3,APS_Reports,13,FALSE)</f>
        <v>86</v>
      </c>
      <c r="N185" s="1339">
        <f>VLOOKUP(I3,APS_Reports,14,FALSE)</f>
        <v>1</v>
      </c>
      <c r="O185" s="78"/>
      <c r="P185" s="162"/>
      <c r="T185" s="82"/>
      <c r="U185" s="81"/>
      <c r="V185" s="81"/>
      <c r="W185" s="81"/>
      <c r="X185" s="81"/>
    </row>
    <row r="186" spans="2:25" ht="13.5" customHeight="1" thickBot="1" x14ac:dyDescent="0.25">
      <c r="B186" s="2557" t="s">
        <v>1116</v>
      </c>
      <c r="C186" s="2557"/>
      <c r="D186" s="2557"/>
      <c r="E186" s="2557"/>
      <c r="F186" s="2557"/>
      <c r="G186" s="2557"/>
      <c r="H186" s="2557"/>
      <c r="I186" s="2557"/>
      <c r="J186" s="2557"/>
      <c r="K186" s="2557"/>
      <c r="L186" s="2557"/>
      <c r="M186" s="2557"/>
      <c r="N186" s="2557"/>
      <c r="O186" s="125"/>
      <c r="P186" s="83"/>
      <c r="Q186" s="83"/>
      <c r="T186" s="82"/>
      <c r="U186" s="81"/>
      <c r="V186" s="81"/>
      <c r="W186" s="81"/>
      <c r="X186" s="81"/>
    </row>
    <row r="187" spans="2:25" ht="13.5" customHeight="1" x14ac:dyDescent="0.25">
      <c r="G187" s="2614" t="s">
        <v>1107</v>
      </c>
      <c r="H187" s="2615"/>
      <c r="I187" s="2616"/>
      <c r="J187" s="2636" t="s">
        <v>302</v>
      </c>
      <c r="K187" s="2638" t="s">
        <v>303</v>
      </c>
      <c r="L187" s="2640" t="s">
        <v>304</v>
      </c>
      <c r="M187" s="2622" t="s">
        <v>292</v>
      </c>
      <c r="N187" s="2631" t="s">
        <v>775</v>
      </c>
      <c r="O187" s="83"/>
      <c r="T187" s="82"/>
      <c r="U187" s="92"/>
      <c r="V187" s="127"/>
      <c r="W187" s="80"/>
      <c r="X187" s="80"/>
      <c r="Y187" s="87"/>
    </row>
    <row r="188" spans="2:25" ht="13.5" customHeight="1" x14ac:dyDescent="0.25">
      <c r="G188" s="2619" t="str">
        <f>D3</f>
        <v>Accomack</v>
      </c>
      <c r="H188" s="2620"/>
      <c r="I188" s="2621"/>
      <c r="J188" s="2637"/>
      <c r="K188" s="2639"/>
      <c r="L188" s="2641"/>
      <c r="M188" s="2623"/>
      <c r="N188" s="2632"/>
      <c r="O188" s="83"/>
      <c r="T188" s="82"/>
      <c r="U188" s="92"/>
      <c r="V188" s="127"/>
      <c r="W188" s="80"/>
      <c r="X188" s="80"/>
      <c r="Y188" s="87"/>
    </row>
    <row r="189" spans="2:25" ht="13.5" customHeight="1" x14ac:dyDescent="0.2">
      <c r="G189" s="2617" t="s">
        <v>305</v>
      </c>
      <c r="H189" s="2618"/>
      <c r="I189" s="2618"/>
      <c r="J189" s="2105">
        <f>J190+J191</f>
        <v>1877594.3594016205</v>
      </c>
      <c r="K189" s="2106">
        <f t="shared" ref="K189:M189" si="0">K190+K191</f>
        <v>912748.93059837946</v>
      </c>
      <c r="L189" s="2106">
        <f t="shared" si="0"/>
        <v>543403.94000000006</v>
      </c>
      <c r="M189" s="2107">
        <f t="shared" si="0"/>
        <v>196115.83000000002</v>
      </c>
      <c r="N189" s="2110">
        <f>N190+N191</f>
        <v>3529863.0599999996</v>
      </c>
      <c r="O189" s="83"/>
      <c r="T189" s="82"/>
      <c r="V189" s="87"/>
      <c r="W189" s="87"/>
      <c r="X189" s="87"/>
      <c r="Y189" s="87"/>
    </row>
    <row r="190" spans="2:25" ht="13.5" customHeight="1" x14ac:dyDescent="0.2">
      <c r="G190" s="2576" t="s">
        <v>738</v>
      </c>
      <c r="H190" s="2577"/>
      <c r="I190" s="2577"/>
      <c r="J190" s="2073">
        <f>VLOOKUP($I$3,Admin_Costs_LASER,4,FALSE)</f>
        <v>1823160.2594016204</v>
      </c>
      <c r="K190" s="2074">
        <f>VLOOKUP($I$3,Admin_Costs_LASER,5,FALSE)</f>
        <v>912748.93059837946</v>
      </c>
      <c r="L190" s="2074">
        <f>VLOOKUP($I$3,Admin_Costs_LASER,6,FALSE)</f>
        <v>488969.84</v>
      </c>
      <c r="M190" s="2086">
        <f>VLOOKUP($I$3,Admin_Costs_LASER,10,FALSE)</f>
        <v>123255.03</v>
      </c>
      <c r="N190" s="2111">
        <f>VLOOKUP($I$3,Admin_Costs_LASER,9,FALSE)</f>
        <v>3348134.0599999996</v>
      </c>
      <c r="O190" s="83"/>
      <c r="T190" s="82"/>
      <c r="V190" s="128"/>
      <c r="W190" s="80"/>
      <c r="X190" s="80"/>
      <c r="Y190" s="87"/>
    </row>
    <row r="191" spans="2:25" ht="13.5" customHeight="1" x14ac:dyDescent="0.2">
      <c r="G191" s="2576" t="s">
        <v>743</v>
      </c>
      <c r="H191" s="2577"/>
      <c r="I191" s="2577"/>
      <c r="J191" s="2073">
        <f>VLOOKUP($I$3,Other_Oper_Exp_LASER,4,FALSE)</f>
        <v>54434.1</v>
      </c>
      <c r="K191" s="2074">
        <f>VLOOKUP($I$3,Other_Oper_Exp_LASER,5,FALSE)</f>
        <v>0</v>
      </c>
      <c r="L191" s="2074">
        <f>VLOOKUP($I$3,Other_Oper_Exp_LASER,6,FALSE)</f>
        <v>54434.1</v>
      </c>
      <c r="M191" s="2087">
        <f>VLOOKUP($I$3,Other_Oper_Exp_LASER,10,FALSE)</f>
        <v>72860.800000000017</v>
      </c>
      <c r="N191" s="2111">
        <f>VLOOKUP($I$3,Other_Oper_Exp_LASER,9,FALSE)</f>
        <v>181729</v>
      </c>
      <c r="P191" s="300"/>
      <c r="Q191" s="300"/>
      <c r="R191" s="290"/>
      <c r="S191" s="289"/>
      <c r="T191" s="82"/>
      <c r="U191" s="81"/>
      <c r="V191" s="81"/>
      <c r="W191" s="81"/>
      <c r="X191" s="81"/>
    </row>
    <row r="192" spans="2:25" ht="13.5" customHeight="1" x14ac:dyDescent="0.2">
      <c r="G192" s="2571" t="s">
        <v>769</v>
      </c>
      <c r="H192" s="2572"/>
      <c r="I192" s="2572"/>
      <c r="J192" s="2097">
        <f>J189/N189</f>
        <v>0.53191705385920007</v>
      </c>
      <c r="K192" s="2098">
        <f>K189/N189</f>
        <v>0.25857913326484105</v>
      </c>
      <c r="L192" s="2098">
        <f>L189/N189</f>
        <v>0.15394476521137343</v>
      </c>
      <c r="M192" s="2099">
        <f>M189/N189</f>
        <v>5.5559047664585616E-2</v>
      </c>
      <c r="N192" s="2112">
        <f>N189/N189</f>
        <v>1</v>
      </c>
      <c r="P192" s="300"/>
      <c r="Q192" s="300"/>
      <c r="R192" s="290"/>
      <c r="S192" s="289"/>
      <c r="T192" s="82"/>
    </row>
    <row r="193" spans="7:25" ht="13.5" customHeight="1" x14ac:dyDescent="0.2">
      <c r="G193" s="2569" t="s">
        <v>766</v>
      </c>
      <c r="H193" s="2570"/>
      <c r="I193" s="2570"/>
      <c r="J193" s="2075">
        <f>J189/J208</f>
        <v>4.2686570197779002E-2</v>
      </c>
      <c r="K193" s="2092">
        <f>K189/K208</f>
        <v>2.7222411528191045E-2</v>
      </c>
      <c r="L193" s="2092">
        <f>L189/L208</f>
        <v>0.68791366854926705</v>
      </c>
      <c r="M193" s="2092">
        <f>M189/M208</f>
        <v>1.0000009178257829</v>
      </c>
      <c r="N193" s="2113">
        <f>N189/N208</f>
        <v>4.4965855948324619E-2</v>
      </c>
      <c r="P193" s="300"/>
      <c r="Q193" s="300"/>
      <c r="R193" s="291"/>
      <c r="S193" s="289"/>
      <c r="T193" s="82"/>
    </row>
    <row r="194" spans="7:25" ht="13.5" customHeight="1" x14ac:dyDescent="0.2">
      <c r="G194" s="2567" t="s">
        <v>744</v>
      </c>
      <c r="H194" s="2568"/>
      <c r="I194" s="2568"/>
      <c r="J194" s="2105">
        <f>VLOOKUP($I$3,Client_Svcs_LASER,4,FALSE)</f>
        <v>62569.990782588786</v>
      </c>
      <c r="K194" s="2106">
        <f>VLOOKUP($I$3,Client_Svcs_LASER,5,FALSE)</f>
        <v>7810.7092174112195</v>
      </c>
      <c r="L194" s="2106">
        <f>VLOOKUP($I$3,Client_Svcs_LASER,6,FALSE)</f>
        <v>18677.370000000003</v>
      </c>
      <c r="M194" s="2107">
        <f>VLOOKUP($I$3,Client_Svcs_LASER,10,FALSE)</f>
        <v>-0.17</v>
      </c>
      <c r="N194" s="2110">
        <f>VLOOKUP(I3,Client_Svcs_LASER,9, FALSE)</f>
        <v>89057.900000000009</v>
      </c>
      <c r="P194" s="300"/>
      <c r="Q194" s="300"/>
      <c r="R194" s="291"/>
      <c r="S194" s="289"/>
      <c r="T194" s="82"/>
    </row>
    <row r="195" spans="7:25" ht="13.5" customHeight="1" x14ac:dyDescent="0.2">
      <c r="G195" s="2114" t="s">
        <v>770</v>
      </c>
      <c r="H195" s="1061"/>
      <c r="I195" s="1061"/>
      <c r="J195" s="2094">
        <f>J194/N194</f>
        <v>0.70257653484518257</v>
      </c>
      <c r="K195" s="2095">
        <f>K194/N194</f>
        <v>8.7703721033296531E-2</v>
      </c>
      <c r="L195" s="2095">
        <f>L194/N194</f>
        <v>0.20972165299204226</v>
      </c>
      <c r="M195" s="2096">
        <f>M194/N194</f>
        <v>-1.9088705213125392E-6</v>
      </c>
      <c r="N195" s="2112">
        <f>N194/N194</f>
        <v>1</v>
      </c>
      <c r="P195" s="300"/>
      <c r="Q195" s="300"/>
      <c r="R195" s="291"/>
      <c r="S195" s="289"/>
      <c r="T195" s="82"/>
    </row>
    <row r="196" spans="7:25" ht="13.5" customHeight="1" x14ac:dyDescent="0.2">
      <c r="G196" s="2569" t="s">
        <v>767</v>
      </c>
      <c r="H196" s="2570"/>
      <c r="I196" s="2570"/>
      <c r="J196" s="2133">
        <f>J194/J208</f>
        <v>1.4225108263888067E-3</v>
      </c>
      <c r="K196" s="2134">
        <f>K194/K208</f>
        <v>2.3295161847410742E-4</v>
      </c>
      <c r="L196" s="2134">
        <f>L194/L208</f>
        <v>2.364432270320312E-2</v>
      </c>
      <c r="M196" s="2103">
        <f>M194/M208</f>
        <v>-8.6683546162685139E-7</v>
      </c>
      <c r="N196" s="2115">
        <f>N194/N208</f>
        <v>1.134481602937962E-3</v>
      </c>
      <c r="P196" s="299"/>
      <c r="Q196" s="299"/>
      <c r="T196" s="81"/>
      <c r="U196" s="81" t="s">
        <v>1038</v>
      </c>
      <c r="V196" s="81" t="s">
        <v>774</v>
      </c>
      <c r="W196" s="81" t="s">
        <v>773</v>
      </c>
      <c r="Y196" s="87"/>
    </row>
    <row r="197" spans="7:25" ht="13.5" customHeight="1" x14ac:dyDescent="0.2">
      <c r="G197" s="2567" t="s">
        <v>895</v>
      </c>
      <c r="H197" s="2568"/>
      <c r="I197" s="2568"/>
      <c r="J197" s="2105">
        <f>SUM(J198:J205)</f>
        <v>42045434.649739951</v>
      </c>
      <c r="K197" s="2106">
        <f>SUM(K198:K205)</f>
        <v>32608759.74664462</v>
      </c>
      <c r="L197" s="2106">
        <f>SUM(L198:L205)</f>
        <v>227849.12</v>
      </c>
      <c r="M197" s="2106">
        <f>SUM(M198:M205)</f>
        <v>-0.01</v>
      </c>
      <c r="N197" s="2110">
        <f>SUM(N198:N205)</f>
        <v>74882043.506384611</v>
      </c>
      <c r="P197" s="299"/>
      <c r="Q197" s="299"/>
      <c r="T197" s="81"/>
      <c r="U197" s="81"/>
      <c r="V197" s="81"/>
      <c r="W197" s="81"/>
      <c r="Y197" s="87"/>
    </row>
    <row r="198" spans="7:25" ht="13.5" customHeight="1" x14ac:dyDescent="0.2">
      <c r="G198" s="2576" t="s">
        <v>893</v>
      </c>
      <c r="H198" s="2577"/>
      <c r="I198" s="2577"/>
      <c r="J198" s="2073">
        <f>VLOOKUP($I$3,Medicaid_FAMIS_LASER,5,FALSE)</f>
        <v>34125299.544171035</v>
      </c>
      <c r="K198" s="2074">
        <f>VLOOKUP($I$3,Medicaid_FAMIS_LASER,6,FALSE)</f>
        <v>31766856.842213541</v>
      </c>
      <c r="L198" s="2074">
        <f>VLOOKUP($I$3,Medicaid_FAMIS_LASER,7,FALSE)</f>
        <v>67158.27</v>
      </c>
      <c r="M198" s="2089" t="s">
        <v>831</v>
      </c>
      <c r="N198" s="2111">
        <f>VLOOKUP($I$3,Medicaid_FAMIS_LASER,4,FALSE)</f>
        <v>65959314.656384587</v>
      </c>
      <c r="P198" s="299"/>
      <c r="Q198" s="299"/>
      <c r="T198" s="81" t="s">
        <v>302</v>
      </c>
      <c r="U198" s="1062">
        <f>J193</f>
        <v>4.2686570197779002E-2</v>
      </c>
      <c r="V198" s="1062">
        <f>J196</f>
        <v>1.4225108263888067E-3</v>
      </c>
      <c r="W198" s="1062">
        <f>J207</f>
        <v>0.95589091897583223</v>
      </c>
      <c r="Y198" s="87"/>
    </row>
    <row r="199" spans="7:25" ht="13.5" customHeight="1" x14ac:dyDescent="0.2">
      <c r="G199" s="2576" t="s">
        <v>306</v>
      </c>
      <c r="H199" s="2577"/>
      <c r="I199" s="2577"/>
      <c r="J199" s="2073">
        <f>VLOOKUP($I$3,SNAP_LASER,5,FALSE)</f>
        <v>6663255</v>
      </c>
      <c r="K199" s="2088" t="s">
        <v>831</v>
      </c>
      <c r="L199" s="2088" t="s">
        <v>831</v>
      </c>
      <c r="M199" s="2089" t="s">
        <v>831</v>
      </c>
      <c r="N199" s="2111">
        <f>VLOOKUP($I$3,SNAP_LASER,4,FALSE)</f>
        <v>6663255</v>
      </c>
      <c r="O199" s="83"/>
      <c r="P199" s="83"/>
      <c r="Q199" s="83"/>
      <c r="T199" s="81" t="s">
        <v>303</v>
      </c>
      <c r="U199" s="1062">
        <f>K193</f>
        <v>2.7222411528191045E-2</v>
      </c>
      <c r="V199" s="1062">
        <f>K196</f>
        <v>2.3295161847410742E-4</v>
      </c>
      <c r="W199" s="1062">
        <f>K207</f>
        <v>0.97254463685333481</v>
      </c>
      <c r="Y199" s="87"/>
    </row>
    <row r="200" spans="7:25" ht="13.5" customHeight="1" x14ac:dyDescent="0.2">
      <c r="G200" s="2576" t="s">
        <v>312</v>
      </c>
      <c r="H200" s="2577"/>
      <c r="I200" s="2577"/>
      <c r="J200" s="2073">
        <f>VLOOKUP(I3,TANF_LASER,4,FALSE)</f>
        <v>99271.605210000009</v>
      </c>
      <c r="K200" s="2074">
        <f>VLOOKUP(I3,TANF_LASER,5,FALSE)</f>
        <v>137946.29479000001</v>
      </c>
      <c r="L200" s="2074">
        <f>VLOOKUP($I$3,TANF_LASER,6,FALSE)</f>
        <v>0</v>
      </c>
      <c r="M200" s="2093">
        <f>VLOOKUP($I$3,TANF_LASER,7,FALSE)</f>
        <v>0</v>
      </c>
      <c r="N200" s="2111">
        <f>VLOOKUP($I$3,TANF_LASER,8,FALSE)</f>
        <v>237217.90000000002</v>
      </c>
      <c r="O200" s="83"/>
      <c r="P200" s="83"/>
      <c r="Q200" s="83"/>
      <c r="T200" s="81" t="s">
        <v>304</v>
      </c>
      <c r="U200" s="1062">
        <f>L193</f>
        <v>0.68791366854926705</v>
      </c>
      <c r="V200" s="1062">
        <f>L196</f>
        <v>2.364432270320312E-2</v>
      </c>
      <c r="W200" s="1062">
        <f>L207</f>
        <v>0.28844200874752979</v>
      </c>
      <c r="X200" s="81"/>
    </row>
    <row r="201" spans="7:25" ht="13.5" customHeight="1" x14ac:dyDescent="0.2">
      <c r="G201" s="2576" t="s">
        <v>896</v>
      </c>
      <c r="H201" s="2577"/>
      <c r="I201" s="2577"/>
      <c r="J201" s="2073">
        <f>VLOOKUP($I$3,EA_LASER,5,FALSE)</f>
        <v>980946.86</v>
      </c>
      <c r="K201" s="2088" t="s">
        <v>831</v>
      </c>
      <c r="L201" s="2088" t="s">
        <v>831</v>
      </c>
      <c r="M201" s="2132" t="s">
        <v>831</v>
      </c>
      <c r="N201" s="2111">
        <f>VLOOKUP($I$3,EA_LASER,4,FALSE)</f>
        <v>980946.86</v>
      </c>
      <c r="O201" s="83"/>
      <c r="P201" s="83"/>
      <c r="Q201" s="83"/>
      <c r="T201" s="66" t="s">
        <v>1034</v>
      </c>
      <c r="U201" s="2104">
        <f>M193</f>
        <v>1.0000009178257829</v>
      </c>
      <c r="V201" s="2104">
        <f>M196</f>
        <v>-8.6683546162685139E-7</v>
      </c>
      <c r="W201" s="2104">
        <f>M207</f>
        <v>-5.0990321272167728E-8</v>
      </c>
      <c r="X201" s="81"/>
    </row>
    <row r="202" spans="7:25" ht="13.5" customHeight="1" x14ac:dyDescent="0.2">
      <c r="G202" s="2576" t="s">
        <v>897</v>
      </c>
      <c r="H202" s="2577"/>
      <c r="I202" s="2577"/>
      <c r="J202" s="2073">
        <f>VLOOKUP($I$3,FC_Adop_LASER,4,FALSE)</f>
        <v>122534.32999999999</v>
      </c>
      <c r="K202" s="2074">
        <f>VLOOKUP($I$3,FC_Adop_LASER,5,FALSE)</f>
        <v>187674.33000000002</v>
      </c>
      <c r="L202" s="2074">
        <f>VLOOKUP($I$3,FC_Adop_LASER,6,FALSE)</f>
        <v>0</v>
      </c>
      <c r="M202" s="2093">
        <f>VLOOKUP($I$3,FC_Adop_LASER,10,FALSE)</f>
        <v>-0.01</v>
      </c>
      <c r="N202" s="2111">
        <f>VLOOKUP($I$3,FC_Adop_LASER,9,FALSE)</f>
        <v>310208.65000000002</v>
      </c>
      <c r="O202" s="83"/>
      <c r="P202" s="83"/>
      <c r="Q202" s="83"/>
      <c r="T202" s="81" t="s">
        <v>269</v>
      </c>
      <c r="U202" s="1062">
        <f>N193</f>
        <v>4.4965855948324619E-2</v>
      </c>
      <c r="V202" s="1062">
        <f>N196</f>
        <v>1.134481602937962E-3</v>
      </c>
      <c r="W202" s="1062">
        <f>N207</f>
        <v>0.95389966244873747</v>
      </c>
      <c r="X202" s="81"/>
    </row>
    <row r="203" spans="7:25" ht="13.5" customHeight="1" x14ac:dyDescent="0.2">
      <c r="G203" s="2576" t="s">
        <v>1056</v>
      </c>
      <c r="H203" s="2577"/>
      <c r="I203" s="2578"/>
      <c r="J203" s="2073">
        <f>VLOOKUP($I$3,CSA_LASER,4,FALSE)</f>
        <v>0</v>
      </c>
      <c r="K203" s="2074">
        <f>VLOOKUP($I$3,CSA_LASER,5,FALSE)</f>
        <v>443382.21</v>
      </c>
      <c r="L203" s="2074">
        <f>VLOOKUP($I$3,CSA_LASER,6,FALSE)</f>
        <v>145281.04999999999</v>
      </c>
      <c r="M203" s="2093">
        <f>VLOOKUP($I$3,CSA_LASER,7,FALSE)</f>
        <v>0</v>
      </c>
      <c r="N203" s="2111">
        <f>VLOOKUP($I$3,CSA_LASER,8,FALSE)</f>
        <v>588663.26</v>
      </c>
      <c r="O203" s="83"/>
      <c r="P203" s="83"/>
      <c r="Q203" s="83"/>
      <c r="T203" s="81" t="s">
        <v>1055</v>
      </c>
      <c r="U203" s="1062">
        <f>N189/N208</f>
        <v>4.4965855948324619E-2</v>
      </c>
      <c r="V203" s="1062">
        <f>N194/N208</f>
        <v>1.134481602937962E-3</v>
      </c>
      <c r="W203" s="1062">
        <f>N197/N208</f>
        <v>0.95389966244873747</v>
      </c>
      <c r="X203" s="81"/>
    </row>
    <row r="204" spans="7:25" ht="13.5" customHeight="1" x14ac:dyDescent="0.2">
      <c r="G204" s="2116" t="s">
        <v>764</v>
      </c>
      <c r="H204" s="2090"/>
      <c r="I204" s="2090"/>
      <c r="J204" s="2073">
        <f>VLOOKUP($I$3,ChildCareLASER,9,FALSE)</f>
        <v>56598.170358917087</v>
      </c>
      <c r="K204" s="2074">
        <f>VLOOKUP($I$3,ChildCareLASER,10,FALSE)</f>
        <v>13634.829641082913</v>
      </c>
      <c r="L204" s="2088" t="s">
        <v>831</v>
      </c>
      <c r="M204" s="2089" t="s">
        <v>831</v>
      </c>
      <c r="N204" s="2111">
        <f>VLOOKUP($I$3,ChildCareLASER,8,FALSE)</f>
        <v>70233</v>
      </c>
      <c r="O204" s="83"/>
      <c r="P204" s="83"/>
      <c r="Q204" s="83"/>
      <c r="T204" s="82"/>
      <c r="U204" s="81"/>
      <c r="V204" s="81"/>
      <c r="W204" s="81"/>
      <c r="X204" s="81"/>
    </row>
    <row r="205" spans="7:25" ht="13.5" customHeight="1" x14ac:dyDescent="0.2">
      <c r="G205" s="2576" t="s">
        <v>765</v>
      </c>
      <c r="H205" s="2577"/>
      <c r="I205" s="2577"/>
      <c r="J205" s="2073">
        <f>VLOOKUP($I$3,OT_BENE_LASER,4,FALSE)</f>
        <v>-2470.86</v>
      </c>
      <c r="K205" s="2074">
        <f>VLOOKUP($I$3,OT_BENE_LASER,5,FALSE)</f>
        <v>59265.24</v>
      </c>
      <c r="L205" s="2074">
        <f>VLOOKUP($I$3,OT_BENE_LASER,6,FALSE)</f>
        <v>15409.8</v>
      </c>
      <c r="M205" s="2087">
        <f>VLOOKUP($I$3,OT_BENE_LASER,10,FALSE)</f>
        <v>0</v>
      </c>
      <c r="N205" s="2111">
        <f>VLOOKUP($I$3,OT_BENE_LASER,9,FALSE)</f>
        <v>72204.179999999993</v>
      </c>
      <c r="O205" s="83"/>
      <c r="P205" s="83"/>
      <c r="Q205" s="83"/>
      <c r="T205" s="82" t="s">
        <v>1039</v>
      </c>
      <c r="U205" s="81">
        <f>L208+M208</f>
        <v>986046.08000000007</v>
      </c>
      <c r="V205" s="81"/>
      <c r="W205" s="81"/>
      <c r="X205" s="81"/>
    </row>
    <row r="206" spans="7:25" ht="13.5" customHeight="1" x14ac:dyDescent="0.2">
      <c r="G206" s="2571" t="s">
        <v>771</v>
      </c>
      <c r="H206" s="2572"/>
      <c r="I206" s="2572"/>
      <c r="J206" s="2100">
        <f>J197/$N$197</f>
        <v>0.56148887878781062</v>
      </c>
      <c r="K206" s="2101">
        <f>K197/$N$197</f>
        <v>0.4354683475466895</v>
      </c>
      <c r="L206" s="2095">
        <f>L197/$N$197</f>
        <v>3.0427737990426644E-3</v>
      </c>
      <c r="M206" s="2095">
        <f>M197/$N$197</f>
        <v>-1.3354336409298683E-10</v>
      </c>
      <c r="N206" s="2112">
        <f>N197/N197</f>
        <v>1</v>
      </c>
      <c r="O206" s="83"/>
      <c r="P206" s="83"/>
      <c r="Q206" s="83"/>
      <c r="T206" s="82"/>
      <c r="U206" s="81"/>
      <c r="V206" s="81"/>
      <c r="W206" s="81"/>
      <c r="X206" s="81"/>
    </row>
    <row r="207" spans="7:25" ht="13.5" customHeight="1" x14ac:dyDescent="0.2">
      <c r="G207" s="2569" t="s">
        <v>768</v>
      </c>
      <c r="H207" s="2570"/>
      <c r="I207" s="2570"/>
      <c r="J207" s="2102">
        <f>J197/J208</f>
        <v>0.95589091897583223</v>
      </c>
      <c r="K207" s="2103">
        <f>K197/K208</f>
        <v>0.97254463685333481</v>
      </c>
      <c r="L207" s="2103">
        <f>L197/L208</f>
        <v>0.28844200874752979</v>
      </c>
      <c r="M207" s="2103">
        <f>M197/M208</f>
        <v>-5.0990321272167728E-8</v>
      </c>
      <c r="N207" s="2117">
        <f>N197/N208</f>
        <v>0.95389966244873747</v>
      </c>
      <c r="O207" s="83"/>
      <c r="P207" s="83"/>
      <c r="Q207" s="83"/>
      <c r="T207" s="82"/>
      <c r="U207" s="81"/>
      <c r="V207" s="81"/>
      <c r="W207" s="81"/>
      <c r="X207" s="81"/>
    </row>
    <row r="208" spans="7:25" ht="13.5" customHeight="1" x14ac:dyDescent="0.2">
      <c r="G208" s="2574" t="s">
        <v>776</v>
      </c>
      <c r="H208" s="2575"/>
      <c r="I208" s="2575"/>
      <c r="J208" s="2108">
        <f>J189+J194+J197</f>
        <v>43985598.999924161</v>
      </c>
      <c r="K208" s="2109">
        <f>K189+K194+K197</f>
        <v>33529319.386460412</v>
      </c>
      <c r="L208" s="2109">
        <f>L189+L194+L197</f>
        <v>789930.43</v>
      </c>
      <c r="M208" s="2109">
        <f>M189+M194+M197</f>
        <v>196115.65</v>
      </c>
      <c r="N208" s="2118">
        <f>N189+N194+N197</f>
        <v>78500964.466384605</v>
      </c>
      <c r="O208" s="92"/>
      <c r="P208" s="83"/>
      <c r="Q208" s="83"/>
      <c r="T208" s="82"/>
      <c r="U208" s="81"/>
      <c r="V208" s="81"/>
      <c r="W208" s="81"/>
      <c r="X208" s="81"/>
    </row>
    <row r="209" spans="2:25" ht="13.5" customHeight="1" thickBot="1" x14ac:dyDescent="0.25">
      <c r="G209" s="2119" t="s">
        <v>772</v>
      </c>
      <c r="H209" s="2120"/>
      <c r="I209" s="2121"/>
      <c r="J209" s="2122">
        <f>J208/$N208</f>
        <v>0.56031921771814042</v>
      </c>
      <c r="K209" s="2123">
        <f>K208/$N208</f>
        <v>0.42711984004754761</v>
      </c>
      <c r="L209" s="2123">
        <f>L208/$N208</f>
        <v>1.0062684393365143E-2</v>
      </c>
      <c r="M209" s="2123">
        <f>M208/$N208</f>
        <v>2.4982578409463991E-3</v>
      </c>
      <c r="N209" s="2124">
        <f>SUM(J209:L209)</f>
        <v>0.99750174215905307</v>
      </c>
      <c r="O209" s="92"/>
      <c r="Q209" s="83"/>
      <c r="T209" s="82"/>
      <c r="U209" s="81"/>
      <c r="V209" s="81"/>
      <c r="W209" s="81"/>
      <c r="X209" s="81"/>
    </row>
    <row r="210" spans="2:25" ht="13.5" customHeight="1" x14ac:dyDescent="0.2">
      <c r="C210" s="91"/>
      <c r="D210" s="91"/>
      <c r="E210" s="133"/>
      <c r="F210" s="133"/>
      <c r="G210" s="2573" t="s">
        <v>1041</v>
      </c>
      <c r="H210" s="2573"/>
      <c r="I210" s="2573"/>
      <c r="J210" s="2573"/>
      <c r="K210" s="2573"/>
      <c r="L210" s="2573"/>
      <c r="M210" s="2573"/>
      <c r="N210" s="92"/>
      <c r="O210" s="92"/>
      <c r="P210" s="83"/>
      <c r="Q210" s="83"/>
      <c r="T210" s="82"/>
      <c r="U210" s="81"/>
      <c r="V210" s="81"/>
      <c r="W210" s="81"/>
      <c r="X210" s="81"/>
    </row>
    <row r="211" spans="2:25" ht="13.5" customHeight="1" x14ac:dyDescent="0.2">
      <c r="B211" s="2566"/>
      <c r="C211" s="2566"/>
      <c r="D211" s="2566"/>
      <c r="E211" s="2565" t="s">
        <v>1108</v>
      </c>
      <c r="F211" s="2565"/>
      <c r="G211" s="91"/>
      <c r="H211" s="133"/>
      <c r="J211" s="2565" t="s">
        <v>1109</v>
      </c>
      <c r="K211" s="2565"/>
      <c r="N211" s="92"/>
      <c r="O211" s="92"/>
      <c r="P211" s="83"/>
      <c r="Q211" s="83"/>
      <c r="T211" s="82"/>
      <c r="U211" s="81"/>
    </row>
    <row r="212" spans="2:25" ht="13.5" customHeight="1" x14ac:dyDescent="0.2">
      <c r="B212" s="2566"/>
      <c r="C212" s="2566"/>
      <c r="D212" s="2566"/>
      <c r="E212" s="2565"/>
      <c r="F212" s="2565"/>
      <c r="G212" s="91"/>
      <c r="H212" s="133"/>
      <c r="J212" s="2565"/>
      <c r="K212" s="2565"/>
      <c r="N212" s="92"/>
      <c r="O212" s="92"/>
      <c r="P212" s="83"/>
      <c r="Q212" s="83"/>
      <c r="T212" s="82"/>
      <c r="U212" s="81"/>
    </row>
    <row r="213" spans="2:25" ht="13.5" customHeight="1" x14ac:dyDescent="0.2">
      <c r="B213" s="2566"/>
      <c r="C213" s="2566"/>
      <c r="D213" s="2566"/>
      <c r="E213" s="2565"/>
      <c r="F213" s="2565"/>
      <c r="G213" s="91"/>
      <c r="H213" s="133"/>
      <c r="J213" s="2565"/>
      <c r="K213" s="2565"/>
      <c r="N213" s="92"/>
      <c r="O213" s="92"/>
      <c r="P213" s="83"/>
      <c r="Q213" s="83"/>
      <c r="T213" s="82"/>
      <c r="U213" s="81"/>
    </row>
    <row r="214" spans="2:25" ht="13.5" customHeight="1" x14ac:dyDescent="0.2">
      <c r="B214" s="2566"/>
      <c r="C214" s="2566"/>
      <c r="D214" s="2566"/>
      <c r="E214" s="2565"/>
      <c r="F214" s="2565"/>
      <c r="G214" s="91"/>
      <c r="H214" s="133"/>
      <c r="J214" s="2565"/>
      <c r="K214" s="2565"/>
      <c r="N214" s="92"/>
      <c r="O214" s="92"/>
      <c r="P214" s="83"/>
      <c r="Q214" s="83"/>
      <c r="T214" s="82"/>
      <c r="U214" s="81"/>
    </row>
    <row r="215" spans="2:25" ht="13.5" customHeight="1" x14ac:dyDescent="0.2">
      <c r="C215" s="91"/>
      <c r="D215" s="91"/>
      <c r="E215" s="133"/>
      <c r="F215" s="133"/>
      <c r="G215" s="91"/>
      <c r="H215" s="133"/>
      <c r="N215" s="92"/>
      <c r="O215" s="92"/>
      <c r="P215" s="83"/>
      <c r="Q215" s="83"/>
      <c r="T215" s="82"/>
      <c r="U215" s="81"/>
    </row>
    <row r="216" spans="2:25" ht="13.5" customHeight="1" x14ac:dyDescent="0.25">
      <c r="B216" s="2554" t="s">
        <v>1073</v>
      </c>
      <c r="C216" s="2555"/>
      <c r="D216" s="2556"/>
      <c r="E216" s="2562"/>
      <c r="F216" s="2563"/>
      <c r="G216" s="2564"/>
      <c r="H216" s="2559" t="s">
        <v>1021</v>
      </c>
      <c r="I216" s="2560"/>
      <c r="J216" s="2561"/>
      <c r="K216" s="2549" t="s">
        <v>496</v>
      </c>
      <c r="U216" s="159"/>
    </row>
    <row r="217" spans="2:25" ht="13.5" customHeight="1" x14ac:dyDescent="0.2">
      <c r="B217" s="2554"/>
      <c r="C217" s="2555"/>
      <c r="D217" s="2556"/>
      <c r="E217" s="2041" t="s">
        <v>678</v>
      </c>
      <c r="F217" s="2037" t="s">
        <v>677</v>
      </c>
      <c r="G217" s="2042" t="s">
        <v>292</v>
      </c>
      <c r="H217" s="2036" t="s">
        <v>1016</v>
      </c>
      <c r="I217" s="2037" t="s">
        <v>773</v>
      </c>
      <c r="J217" s="2040" t="s">
        <v>774</v>
      </c>
      <c r="K217" s="2550"/>
      <c r="U217" s="69"/>
      <c r="V217" s="69"/>
      <c r="W217" s="69"/>
      <c r="X217" s="69"/>
      <c r="Y217" s="69"/>
    </row>
    <row r="218" spans="2:25" ht="13.5" customHeight="1" x14ac:dyDescent="0.2">
      <c r="B218" s="1794" t="s">
        <v>588</v>
      </c>
      <c r="C218" s="173"/>
      <c r="D218" s="173"/>
      <c r="E218" s="272">
        <f>VLOOKUP($I$3,Staffing,4,FALSE)</f>
        <v>40</v>
      </c>
      <c r="F218" s="273">
        <f>VLOOKUP($I$3,Staffing,5,FALSE)</f>
        <v>18</v>
      </c>
      <c r="G218" s="2032">
        <f>VLOOKUP($I$3,Staffing,6,FALSE)</f>
        <v>0</v>
      </c>
      <c r="H218" s="2048">
        <f>VLOOKUP($I$3,Staffing,25,FALSE)</f>
        <v>13</v>
      </c>
      <c r="I218" s="2044">
        <f>VLOOKUP($I$3,Staffing,26,FALSE)</f>
        <v>31</v>
      </c>
      <c r="J218" s="2044">
        <f>VLOOKUP($I$3,Staffing,27,FALSE)</f>
        <v>14</v>
      </c>
      <c r="K218" s="2038">
        <f>E218+F218+G218</f>
        <v>58</v>
      </c>
      <c r="U218" s="86"/>
      <c r="V218" s="86"/>
      <c r="W218" s="86"/>
      <c r="X218" s="86"/>
      <c r="Y218" s="86"/>
    </row>
    <row r="219" spans="2:25" ht="13.5" customHeight="1" x14ac:dyDescent="0.2">
      <c r="B219" s="1794" t="s">
        <v>589</v>
      </c>
      <c r="C219" s="173"/>
      <c r="D219" s="173"/>
      <c r="E219" s="272">
        <f>VLOOKUP($I$3,Staffing,8,FALSE)</f>
        <v>4</v>
      </c>
      <c r="F219" s="273">
        <f>VLOOKUP($I$3,Staffing,9,FALSE)</f>
        <v>2</v>
      </c>
      <c r="G219" s="2032">
        <f>VLOOKUP($I$3,Staffing,10,FALSE)</f>
        <v>0</v>
      </c>
      <c r="H219" s="2048">
        <f>VLOOKUP($I$3,Staffing,28,FALSE)</f>
        <v>1</v>
      </c>
      <c r="I219" s="2044">
        <f>VLOOKUP($I$3,Staffing,29,FALSE)</f>
        <v>4</v>
      </c>
      <c r="J219" s="2044">
        <f>VLOOKUP($I$3,Staffing,30,FALSE)</f>
        <v>1</v>
      </c>
      <c r="K219" s="2038">
        <f>E219+F219+G219</f>
        <v>6</v>
      </c>
      <c r="U219" s="86"/>
      <c r="V219" s="86"/>
      <c r="W219" s="86"/>
      <c r="X219" s="86"/>
      <c r="Y219" s="86"/>
    </row>
    <row r="220" spans="2:25" ht="13.5" customHeight="1" x14ac:dyDescent="0.2">
      <c r="B220" s="1794" t="s">
        <v>590</v>
      </c>
      <c r="C220" s="173"/>
      <c r="D220" s="173"/>
      <c r="E220" s="272">
        <f>+E219+E218</f>
        <v>44</v>
      </c>
      <c r="F220" s="273">
        <f>+F219+F218</f>
        <v>20</v>
      </c>
      <c r="G220" s="2032">
        <f>+G219+G218</f>
        <v>0</v>
      </c>
      <c r="H220" s="2048">
        <f>+H219+H218</f>
        <v>14</v>
      </c>
      <c r="I220" s="2044">
        <f t="shared" ref="I220:J220" si="1">+I219+I218</f>
        <v>35</v>
      </c>
      <c r="J220" s="2045">
        <f t="shared" si="1"/>
        <v>15</v>
      </c>
      <c r="K220" s="2038">
        <f>+K219+K218</f>
        <v>64</v>
      </c>
      <c r="U220" s="86"/>
      <c r="V220" s="86"/>
      <c r="W220" s="86"/>
      <c r="X220" s="86"/>
      <c r="Y220" s="86"/>
    </row>
    <row r="221" spans="2:25" ht="13.5" customHeight="1" x14ac:dyDescent="0.2">
      <c r="B221" s="2546" t="s">
        <v>489</v>
      </c>
      <c r="C221" s="2547"/>
      <c r="D221" s="2548"/>
      <c r="E221" s="2033">
        <f>IF(E220=0,"NA",(E219/E220))</f>
        <v>9.0909090909090912E-2</v>
      </c>
      <c r="F221" s="316">
        <f>IF(F220=0,"NA",(F219/F220))</f>
        <v>0.1</v>
      </c>
      <c r="G221" s="2034" t="str">
        <f>IF(G220=0,"NA",(G219/G220))</f>
        <v>NA</v>
      </c>
      <c r="H221" s="2049">
        <f t="shared" ref="H221:J221" si="2">IF(H220=0,"NA",(H219/H220))</f>
        <v>7.1428571428571425E-2</v>
      </c>
      <c r="I221" s="2029">
        <f t="shared" si="2"/>
        <v>0.11428571428571428</v>
      </c>
      <c r="J221" s="2030">
        <f t="shared" si="2"/>
        <v>6.6666666666666666E-2</v>
      </c>
      <c r="K221" s="2039">
        <f>IF(K220=0,"NA",(K219/K220))</f>
        <v>9.375E-2</v>
      </c>
    </row>
    <row r="222" spans="2:25" ht="13.5" customHeight="1" x14ac:dyDescent="0.2">
      <c r="B222" s="2546" t="s">
        <v>490</v>
      </c>
      <c r="C222" s="2547"/>
      <c r="D222" s="2548"/>
      <c r="E222" s="2033">
        <f>Staffing!U6</f>
        <v>0.18076868928621709</v>
      </c>
      <c r="F222" s="2033">
        <f>Staffing!V6</f>
        <v>0.15157651142609199</v>
      </c>
      <c r="G222" s="2035">
        <f>Staffing!W6</f>
        <v>0.23181818181818181</v>
      </c>
      <c r="H222" s="2047">
        <f>Staffing!AH6</f>
        <v>0.17019319227230911</v>
      </c>
      <c r="I222" s="2047">
        <f>Staffing!AI6</f>
        <v>0.16850158611681285</v>
      </c>
      <c r="J222" s="2047">
        <f>Staffing!AJ6</f>
        <v>0.18373233342947792</v>
      </c>
      <c r="K222" s="2039">
        <f>Staffing!X6</f>
        <v>0.17363636363636364</v>
      </c>
      <c r="O222" s="87"/>
      <c r="P222" s="87"/>
      <c r="R222" s="80"/>
    </row>
    <row r="223" spans="2:25" ht="23.25" customHeight="1" x14ac:dyDescent="0.2">
      <c r="B223" s="2557" t="s">
        <v>1083</v>
      </c>
      <c r="C223" s="2557"/>
      <c r="D223" s="2557"/>
      <c r="E223" s="2557"/>
      <c r="F223" s="2557"/>
      <c r="G223" s="2557"/>
      <c r="H223" s="2557"/>
      <c r="I223" s="2557"/>
      <c r="J223" s="2557"/>
      <c r="K223" s="2557"/>
      <c r="L223" s="271"/>
      <c r="O223" s="87"/>
      <c r="P223" s="87"/>
      <c r="R223" s="80"/>
    </row>
    <row r="224" spans="2:25" x14ac:dyDescent="0.2">
      <c r="B224" s="131"/>
      <c r="C224" s="131"/>
      <c r="D224" s="131"/>
      <c r="E224" s="131"/>
      <c r="F224" s="131"/>
      <c r="G224" s="131"/>
      <c r="H224" s="131"/>
      <c r="I224" s="132"/>
      <c r="J224" s="132"/>
      <c r="K224" s="132"/>
      <c r="L224" s="132"/>
      <c r="M224" s="132"/>
      <c r="N224" s="132"/>
      <c r="O224" s="132"/>
    </row>
    <row r="225" spans="2:20" ht="12" customHeight="1" x14ac:dyDescent="0.2">
      <c r="B225" s="2558" t="s">
        <v>971</v>
      </c>
      <c r="C225" s="2558"/>
      <c r="D225" s="2558"/>
      <c r="E225" s="131"/>
      <c r="F225" s="131"/>
      <c r="G225" s="131"/>
      <c r="H225" s="131"/>
      <c r="I225" s="132"/>
      <c r="J225" s="132"/>
      <c r="K225" s="132"/>
      <c r="L225" s="132"/>
      <c r="M225" s="132"/>
      <c r="N225" s="132"/>
      <c r="O225" s="132"/>
    </row>
    <row r="226" spans="2:20" ht="13.5" customHeight="1" x14ac:dyDescent="0.2">
      <c r="B226" s="1089" t="s">
        <v>1136</v>
      </c>
      <c r="C226" s="163"/>
      <c r="D226" s="163"/>
      <c r="E226" s="163"/>
      <c r="F226" s="163"/>
      <c r="G226" s="163"/>
      <c r="H226" s="163"/>
      <c r="I226" s="163"/>
      <c r="M226" s="1091"/>
      <c r="N226" s="1091"/>
      <c r="Q226" s="74"/>
      <c r="R226" s="74"/>
      <c r="S226" s="74"/>
      <c r="T226" s="74"/>
    </row>
    <row r="227" spans="2:20" ht="13.5" customHeight="1" x14ac:dyDescent="0.2">
      <c r="B227" s="1090" t="s">
        <v>1137</v>
      </c>
      <c r="C227" s="168"/>
      <c r="D227" s="168"/>
      <c r="E227" s="168"/>
      <c r="F227" s="168"/>
      <c r="G227" s="168"/>
      <c r="H227" s="163"/>
      <c r="I227" s="163"/>
      <c r="J227" s="163"/>
      <c r="K227" s="163"/>
      <c r="L227" s="163"/>
      <c r="M227" s="172"/>
      <c r="N227" s="163"/>
      <c r="O227" s="163"/>
      <c r="Q227" s="74"/>
      <c r="R227" s="74"/>
      <c r="S227" s="74"/>
      <c r="T227" s="74"/>
    </row>
    <row r="228" spans="2:20" ht="13.5" customHeight="1" x14ac:dyDescent="0.2">
      <c r="B228" s="90" t="s">
        <v>578</v>
      </c>
      <c r="C228" s="90"/>
      <c r="D228" s="90"/>
    </row>
    <row r="229" spans="2:20" ht="13.5" customHeight="1" x14ac:dyDescent="0.2">
      <c r="B229" s="1088" t="s">
        <v>1138</v>
      </c>
      <c r="C229" s="90"/>
      <c r="D229" s="90"/>
      <c r="E229" s="90"/>
      <c r="F229" s="90"/>
      <c r="G229" s="90"/>
      <c r="H229" s="90"/>
      <c r="I229" s="90"/>
      <c r="J229" s="90"/>
      <c r="K229" s="90"/>
      <c r="L229" s="90"/>
    </row>
    <row r="230" spans="2:20" x14ac:dyDescent="0.2">
      <c r="B230" s="131"/>
      <c r="C230" s="131"/>
      <c r="D230" s="131"/>
      <c r="E230" s="131"/>
      <c r="F230" s="131"/>
      <c r="G230" s="131"/>
      <c r="H230" s="131"/>
      <c r="I230" s="132"/>
      <c r="J230" s="132"/>
      <c r="K230" s="132"/>
      <c r="L230" s="132"/>
      <c r="M230" s="132"/>
      <c r="N230" s="132"/>
      <c r="O230" s="132"/>
    </row>
    <row r="231" spans="2:20" x14ac:dyDescent="0.2">
      <c r="B231" s="70" t="s">
        <v>1074</v>
      </c>
      <c r="C231" s="70"/>
      <c r="D231" s="70"/>
      <c r="E231" s="70"/>
      <c r="F231" s="70"/>
      <c r="G231" s="70"/>
      <c r="H231" s="70"/>
      <c r="I231" s="67"/>
      <c r="J231" s="67"/>
      <c r="K231" s="67"/>
      <c r="L231" s="67"/>
      <c r="M231" s="67"/>
    </row>
    <row r="232" spans="2:20" x14ac:dyDescent="0.2">
      <c r="B232" s="66" t="s">
        <v>434</v>
      </c>
      <c r="I232" s="67"/>
      <c r="J232" s="67"/>
      <c r="K232" s="67"/>
      <c r="L232" s="67"/>
      <c r="M232" s="67"/>
    </row>
    <row r="233" spans="2:20" s="133" customFormat="1" ht="24.75" customHeight="1" x14ac:dyDescent="0.2">
      <c r="B233" s="2552" t="s">
        <v>1110</v>
      </c>
      <c r="C233" s="2552"/>
      <c r="D233" s="2552"/>
      <c r="E233" s="2552"/>
      <c r="F233" s="2552"/>
      <c r="G233" s="2552"/>
      <c r="H233" s="2552"/>
      <c r="I233" s="2552"/>
      <c r="J233" s="2552"/>
      <c r="K233" s="2552"/>
      <c r="L233" s="2552"/>
      <c r="M233" s="2552"/>
      <c r="N233" s="2552"/>
      <c r="O233" s="84"/>
    </row>
    <row r="234" spans="2:20" ht="12" customHeight="1" x14ac:dyDescent="0.2">
      <c r="B234" s="2552" t="s">
        <v>949</v>
      </c>
      <c r="C234" s="2552"/>
      <c r="D234" s="2552"/>
      <c r="E234" s="2552"/>
      <c r="F234" s="2552"/>
      <c r="G234" s="2552"/>
      <c r="H234" s="2552"/>
      <c r="I234" s="2552"/>
      <c r="J234" s="2552"/>
      <c r="K234" s="2552"/>
      <c r="L234" s="2552"/>
      <c r="M234" s="2552"/>
      <c r="N234" s="2552"/>
      <c r="O234" s="84"/>
    </row>
    <row r="235" spans="2:20" ht="63" customHeight="1" x14ac:dyDescent="0.2">
      <c r="B235" s="2551" t="s">
        <v>1052</v>
      </c>
      <c r="C235" s="2551"/>
      <c r="D235" s="2551"/>
      <c r="E235" s="2551"/>
      <c r="F235" s="2551"/>
      <c r="G235" s="2551"/>
      <c r="H235" s="2551"/>
      <c r="I235" s="2551"/>
      <c r="J235" s="2551"/>
      <c r="K235" s="2551"/>
      <c r="L235" s="2551"/>
      <c r="M235" s="2551"/>
      <c r="N235" s="2551"/>
      <c r="O235" s="1050"/>
    </row>
    <row r="236" spans="2:20" ht="25.5" customHeight="1" x14ac:dyDescent="0.2">
      <c r="B236" s="2552" t="s">
        <v>894</v>
      </c>
      <c r="C236" s="2552"/>
      <c r="D236" s="2552"/>
      <c r="E236" s="2552"/>
      <c r="F236" s="2552"/>
      <c r="G236" s="2552"/>
      <c r="H236" s="2552"/>
      <c r="I236" s="2552"/>
      <c r="J236" s="2552"/>
      <c r="K236" s="2552"/>
      <c r="L236" s="2552"/>
      <c r="M236" s="2552"/>
      <c r="N236" s="2552"/>
      <c r="O236" s="1050"/>
    </row>
    <row r="237" spans="2:20" x14ac:dyDescent="0.2">
      <c r="B237" s="133" t="s">
        <v>1111</v>
      </c>
      <c r="C237" s="1050"/>
      <c r="D237" s="1050"/>
      <c r="E237" s="1050"/>
      <c r="F237" s="1050"/>
      <c r="G237" s="1050"/>
      <c r="H237" s="1050"/>
      <c r="I237" s="1050"/>
      <c r="J237" s="1050"/>
      <c r="K237" s="1050"/>
      <c r="L237" s="1050"/>
      <c r="M237" s="1050"/>
      <c r="N237" s="1050"/>
      <c r="O237" s="1050"/>
    </row>
    <row r="238" spans="2:20" ht="25.5" customHeight="1" x14ac:dyDescent="0.2">
      <c r="B238" s="2552" t="s">
        <v>1112</v>
      </c>
      <c r="C238" s="2552"/>
      <c r="D238" s="2552"/>
      <c r="E238" s="2552"/>
      <c r="F238" s="2552"/>
      <c r="G238" s="2552"/>
      <c r="H238" s="2552"/>
      <c r="I238" s="2552"/>
      <c r="J238" s="2552"/>
      <c r="K238" s="2552"/>
      <c r="L238" s="2552"/>
      <c r="M238" s="2552"/>
      <c r="N238" s="2552"/>
      <c r="O238" s="84"/>
    </row>
    <row r="239" spans="2:20" x14ac:dyDescent="0.2">
      <c r="B239" s="133" t="s">
        <v>898</v>
      </c>
      <c r="C239" s="1052"/>
      <c r="D239" s="1052"/>
      <c r="E239" s="1052"/>
      <c r="F239" s="1052"/>
      <c r="G239" s="1052"/>
      <c r="H239" s="1052"/>
      <c r="I239" s="1052"/>
      <c r="J239" s="1052"/>
      <c r="K239" s="1052"/>
      <c r="L239" s="1052"/>
      <c r="M239" s="1052"/>
      <c r="N239" s="1052"/>
      <c r="O239" s="1052"/>
    </row>
    <row r="240" spans="2:20" x14ac:dyDescent="0.2">
      <c r="B240" s="133" t="s">
        <v>1113</v>
      </c>
      <c r="C240" s="1056"/>
      <c r="D240" s="1056"/>
      <c r="E240" s="1056"/>
      <c r="F240" s="1056"/>
      <c r="G240" s="1056"/>
      <c r="H240" s="1056"/>
      <c r="I240" s="1056"/>
      <c r="J240" s="1056"/>
      <c r="K240" s="1056"/>
      <c r="L240" s="1056"/>
      <c r="M240" s="1056"/>
      <c r="N240" s="1056"/>
      <c r="O240" s="1056"/>
    </row>
    <row r="241" spans="2:15" ht="24" customHeight="1" x14ac:dyDescent="0.2">
      <c r="B241" s="2553" t="s">
        <v>1040</v>
      </c>
      <c r="C241" s="2553"/>
      <c r="D241" s="2553"/>
      <c r="E241" s="2553"/>
      <c r="F241" s="2553"/>
      <c r="G241" s="2553"/>
      <c r="H241" s="2553"/>
      <c r="I241" s="2553"/>
      <c r="J241" s="2553"/>
      <c r="K241" s="2553"/>
      <c r="L241" s="2553"/>
      <c r="M241" s="2553"/>
      <c r="N241" s="2553"/>
    </row>
    <row r="242" spans="2:15" x14ac:dyDescent="0.2">
      <c r="B242" s="70"/>
      <c r="C242" s="70"/>
      <c r="D242" s="70"/>
      <c r="E242" s="70"/>
      <c r="F242" s="70"/>
      <c r="G242" s="70"/>
      <c r="H242" s="70"/>
      <c r="I242" s="67"/>
      <c r="J242" s="67"/>
      <c r="K242" s="67"/>
      <c r="L242" s="67"/>
      <c r="M242" s="67"/>
    </row>
    <row r="247" spans="2:15" ht="12.75" customHeight="1" x14ac:dyDescent="0.2">
      <c r="B247" s="256"/>
      <c r="C247" s="256"/>
      <c r="D247" s="256"/>
      <c r="E247" s="256"/>
      <c r="F247" s="256"/>
      <c r="G247" s="256"/>
      <c r="H247" s="256"/>
      <c r="I247" s="256"/>
      <c r="J247" s="256"/>
      <c r="K247" s="256"/>
      <c r="L247" s="258"/>
      <c r="M247" s="258"/>
      <c r="N247" s="258"/>
    </row>
    <row r="248" spans="2:15" ht="12.75" customHeight="1" x14ac:dyDescent="0.2">
      <c r="B248" s="255"/>
      <c r="C248" s="255"/>
      <c r="D248" s="255"/>
      <c r="E248" s="255"/>
      <c r="F248" s="255"/>
      <c r="G248" s="255"/>
      <c r="H248" s="255"/>
      <c r="I248" s="256"/>
      <c r="J248" s="256"/>
      <c r="K248" s="256"/>
      <c r="L248" s="130"/>
      <c r="M248" s="130"/>
      <c r="N248" s="130"/>
    </row>
    <row r="249" spans="2:15" x14ac:dyDescent="0.2">
      <c r="B249" s="256"/>
      <c r="C249" s="256"/>
      <c r="D249" s="255"/>
      <c r="E249" s="255"/>
      <c r="F249" s="255"/>
      <c r="G249" s="255"/>
      <c r="H249" s="255"/>
      <c r="I249" s="256"/>
      <c r="J249" s="255"/>
      <c r="K249" s="255"/>
      <c r="L249" s="255"/>
      <c r="M249" s="255"/>
      <c r="N249" s="255"/>
      <c r="O249" s="255"/>
    </row>
    <row r="250" spans="2:15" x14ac:dyDescent="0.2">
      <c r="B250" s="68"/>
      <c r="L250" s="73"/>
      <c r="M250" s="73"/>
      <c r="N250" s="88"/>
      <c r="O250" s="88"/>
    </row>
    <row r="251" spans="2:15" x14ac:dyDescent="0.2">
      <c r="B251" s="73"/>
      <c r="C251" s="73"/>
      <c r="D251" s="73"/>
      <c r="E251" s="73"/>
      <c r="F251" s="73"/>
      <c r="G251" s="73"/>
      <c r="H251" s="73"/>
      <c r="I251" s="89"/>
      <c r="J251" s="88"/>
      <c r="K251" s="88"/>
      <c r="L251" s="73"/>
      <c r="M251" s="73"/>
      <c r="N251" s="88"/>
      <c r="O251" s="88"/>
    </row>
    <row r="252" spans="2:15" x14ac:dyDescent="0.2">
      <c r="B252" s="73"/>
      <c r="C252" s="73"/>
      <c r="D252" s="73"/>
      <c r="E252" s="73"/>
      <c r="F252" s="73"/>
      <c r="G252" s="73"/>
      <c r="H252" s="73"/>
      <c r="I252" s="89"/>
      <c r="J252" s="88"/>
      <c r="K252" s="88"/>
      <c r="L252" s="73"/>
      <c r="M252" s="73"/>
      <c r="N252" s="88"/>
      <c r="O252" s="88"/>
    </row>
    <row r="253" spans="2:15" x14ac:dyDescent="0.2">
      <c r="B253" s="73"/>
      <c r="C253" s="73"/>
      <c r="D253" s="73"/>
      <c r="E253" s="73"/>
      <c r="F253" s="73"/>
      <c r="G253" s="73"/>
      <c r="H253" s="73"/>
      <c r="I253" s="89"/>
      <c r="J253" s="88"/>
      <c r="K253" s="88"/>
      <c r="L253" s="73"/>
      <c r="M253" s="73"/>
      <c r="N253" s="88"/>
      <c r="O253" s="88"/>
    </row>
    <row r="254" spans="2:15" x14ac:dyDescent="0.2">
      <c r="B254" s="73"/>
      <c r="C254" s="73"/>
      <c r="D254" s="73"/>
      <c r="E254" s="73"/>
      <c r="F254" s="73"/>
      <c r="G254" s="73"/>
      <c r="H254" s="73"/>
      <c r="I254" s="89"/>
      <c r="J254" s="88"/>
      <c r="K254" s="88"/>
      <c r="L254" s="73"/>
      <c r="M254" s="73"/>
      <c r="N254" s="88"/>
      <c r="O254" s="88"/>
    </row>
    <row r="255" spans="2:15" x14ac:dyDescent="0.2">
      <c r="B255" s="73"/>
      <c r="C255" s="73"/>
      <c r="D255" s="73"/>
      <c r="E255" s="73"/>
      <c r="F255" s="73"/>
      <c r="G255" s="73"/>
      <c r="H255" s="73"/>
      <c r="I255" s="89"/>
      <c r="J255" s="88"/>
      <c r="K255" s="88"/>
      <c r="L255" s="73"/>
      <c r="M255" s="73"/>
      <c r="N255" s="88"/>
      <c r="O255" s="88"/>
    </row>
    <row r="256" spans="2:15" x14ac:dyDescent="0.2">
      <c r="B256" s="73"/>
      <c r="C256" s="73"/>
      <c r="D256" s="73"/>
      <c r="E256" s="73"/>
      <c r="F256" s="73"/>
      <c r="G256" s="73"/>
      <c r="H256" s="73"/>
      <c r="I256" s="89"/>
      <c r="J256" s="88"/>
      <c r="K256" s="88"/>
      <c r="L256" s="73"/>
      <c r="M256" s="73"/>
      <c r="N256" s="88"/>
      <c r="O256" s="88"/>
    </row>
    <row r="257" spans="2:25" x14ac:dyDescent="0.2">
      <c r="B257" s="73"/>
      <c r="C257" s="73"/>
      <c r="D257" s="73"/>
      <c r="E257" s="73"/>
      <c r="F257" s="73"/>
      <c r="G257" s="73"/>
      <c r="H257" s="73"/>
      <c r="I257" s="89"/>
      <c r="J257" s="88"/>
      <c r="K257" s="88"/>
      <c r="L257" s="73"/>
      <c r="M257" s="73"/>
      <c r="N257" s="88"/>
      <c r="O257" s="88"/>
    </row>
    <row r="258" spans="2:25" x14ac:dyDescent="0.2">
      <c r="B258" s="73"/>
      <c r="C258" s="73"/>
      <c r="D258" s="73"/>
      <c r="E258" s="73"/>
      <c r="F258" s="73"/>
      <c r="G258" s="73"/>
      <c r="H258" s="73"/>
      <c r="I258" s="89"/>
      <c r="J258" s="88"/>
      <c r="K258" s="88"/>
      <c r="L258" s="73"/>
      <c r="M258" s="73"/>
      <c r="N258" s="88"/>
      <c r="O258" s="88"/>
    </row>
    <row r="259" spans="2:25" x14ac:dyDescent="0.2">
      <c r="B259" s="73"/>
      <c r="C259" s="73"/>
      <c r="D259" s="73"/>
      <c r="E259" s="73"/>
      <c r="F259" s="73"/>
      <c r="G259" s="73"/>
      <c r="H259" s="73"/>
      <c r="I259" s="89"/>
      <c r="J259" s="88"/>
      <c r="K259" s="88"/>
      <c r="L259" s="73"/>
      <c r="M259" s="73"/>
      <c r="N259" s="88"/>
      <c r="O259" s="88"/>
    </row>
    <row r="260" spans="2:25" x14ac:dyDescent="0.2">
      <c r="B260" s="73"/>
      <c r="C260" s="73"/>
      <c r="D260" s="73"/>
      <c r="E260" s="73"/>
      <c r="F260" s="73"/>
      <c r="G260" s="73"/>
      <c r="H260" s="73"/>
      <c r="I260" s="89"/>
      <c r="J260" s="88"/>
      <c r="K260" s="88"/>
      <c r="L260" s="73"/>
      <c r="M260" s="73"/>
      <c r="N260" s="88"/>
      <c r="O260" s="88"/>
    </row>
    <row r="261" spans="2:25" x14ac:dyDescent="0.2">
      <c r="B261" s="73"/>
      <c r="C261" s="73"/>
      <c r="D261" s="73"/>
      <c r="E261" s="73"/>
      <c r="F261" s="73"/>
      <c r="G261" s="73"/>
      <c r="H261" s="73"/>
      <c r="I261" s="89"/>
      <c r="J261" s="88"/>
      <c r="K261" s="88"/>
    </row>
    <row r="265" spans="2:25" x14ac:dyDescent="0.2">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row>
    <row r="266" spans="2:25" x14ac:dyDescent="0.2">
      <c r="B266" s="78"/>
      <c r="C266" s="78"/>
      <c r="D266" s="78"/>
      <c r="E266" s="78"/>
      <c r="F266" s="78"/>
      <c r="G266" s="78"/>
      <c r="H266" s="78"/>
      <c r="I266" s="78"/>
      <c r="J266" s="78"/>
      <c r="K266" s="78"/>
      <c r="L266" s="78"/>
      <c r="M266" s="78"/>
      <c r="N266" s="78"/>
      <c r="O266" s="78"/>
      <c r="P266" s="78"/>
      <c r="Q266" s="78"/>
      <c r="R266" s="78"/>
      <c r="S266" s="2545"/>
      <c r="T266" s="2545"/>
      <c r="U266" s="2545"/>
      <c r="V266" s="2545"/>
      <c r="W266" s="2545"/>
      <c r="X266" s="2545"/>
      <c r="Y266" s="2545"/>
    </row>
    <row r="267" spans="2:25" x14ac:dyDescent="0.2">
      <c r="B267" s="78"/>
      <c r="C267" s="78"/>
      <c r="D267" s="78"/>
      <c r="E267" s="78"/>
      <c r="F267" s="78"/>
      <c r="G267" s="78"/>
      <c r="H267" s="78"/>
      <c r="I267" s="78"/>
      <c r="J267" s="78"/>
      <c r="K267" s="78"/>
      <c r="L267" s="78"/>
      <c r="M267" s="78"/>
      <c r="N267" s="78"/>
      <c r="O267" s="78"/>
      <c r="P267" s="78"/>
      <c r="Q267" s="78"/>
      <c r="R267" s="78"/>
      <c r="S267" s="2545"/>
      <c r="T267" s="2545"/>
      <c r="U267" s="2545"/>
      <c r="V267" s="129"/>
      <c r="W267" s="2545"/>
      <c r="X267" s="2545"/>
      <c r="Y267" s="2545"/>
    </row>
    <row r="268" spans="2:25" x14ac:dyDescent="0.2">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row>
    <row r="269" spans="2:25" x14ac:dyDescent="0.2">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row>
    <row r="270" spans="2:25" x14ac:dyDescent="0.2">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row>
    <row r="271" spans="2:25" x14ac:dyDescent="0.2">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row>
    <row r="272" spans="2:25" x14ac:dyDescent="0.2">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row>
    <row r="273" spans="2:25" x14ac:dyDescent="0.2">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row>
    <row r="274" spans="2:25" x14ac:dyDescent="0.2">
      <c r="B274" s="78"/>
      <c r="C274" s="78"/>
      <c r="D274" s="78"/>
      <c r="E274" s="78"/>
      <c r="F274" s="78"/>
      <c r="G274" s="78"/>
      <c r="H274" s="78"/>
      <c r="I274" s="78"/>
      <c r="J274" s="78"/>
      <c r="K274" s="78"/>
      <c r="L274" s="78"/>
      <c r="M274" s="78"/>
      <c r="N274" s="78"/>
      <c r="O274" s="78"/>
      <c r="P274" s="78"/>
      <c r="Q274" s="78"/>
      <c r="R274" s="78"/>
      <c r="S274" s="78"/>
      <c r="T274" s="78"/>
      <c r="U274" s="78"/>
      <c r="V274" s="78"/>
      <c r="W274" s="83"/>
      <c r="X274" s="83"/>
      <c r="Y274" s="83"/>
    </row>
    <row r="275" spans="2:25" x14ac:dyDescent="0.2">
      <c r="B275" s="78"/>
      <c r="C275" s="78"/>
      <c r="D275" s="78"/>
      <c r="E275" s="78"/>
      <c r="F275" s="78"/>
      <c r="G275" s="78"/>
      <c r="H275" s="78"/>
      <c r="I275" s="78"/>
      <c r="J275" s="78"/>
      <c r="K275" s="78"/>
      <c r="L275" s="78"/>
      <c r="M275" s="78"/>
      <c r="N275" s="78"/>
      <c r="O275" s="78"/>
      <c r="P275" s="78"/>
      <c r="Q275" s="78"/>
      <c r="R275" s="78"/>
      <c r="S275" s="78"/>
      <c r="T275" s="78"/>
      <c r="U275" s="78"/>
      <c r="V275" s="78"/>
      <c r="W275" s="83"/>
      <c r="X275" s="83"/>
      <c r="Y275" s="83"/>
    </row>
    <row r="276" spans="2:25" x14ac:dyDescent="0.2">
      <c r="B276" s="78"/>
      <c r="C276" s="78"/>
      <c r="D276" s="78"/>
      <c r="E276" s="78"/>
      <c r="F276" s="78"/>
      <c r="G276" s="78"/>
      <c r="H276" s="78"/>
      <c r="I276" s="78"/>
      <c r="J276" s="78"/>
      <c r="K276" s="78"/>
      <c r="L276" s="78"/>
      <c r="M276" s="78"/>
      <c r="N276" s="78"/>
      <c r="O276" s="78"/>
      <c r="P276" s="78"/>
      <c r="Q276" s="78"/>
      <c r="R276" s="78"/>
      <c r="S276" s="78"/>
      <c r="T276" s="78"/>
      <c r="U276" s="78"/>
      <c r="V276" s="78"/>
      <c r="W276" s="83"/>
      <c r="X276" s="83"/>
      <c r="Y276" s="83"/>
    </row>
    <row r="277" spans="2:25" x14ac:dyDescent="0.2">
      <c r="N277" s="78"/>
    </row>
    <row r="278" spans="2:25" x14ac:dyDescent="0.2">
      <c r="I278" s="84"/>
      <c r="J278" s="84"/>
      <c r="K278" s="84"/>
      <c r="L278" s="84"/>
      <c r="M278" s="84"/>
      <c r="N278" s="84"/>
      <c r="O278" s="84"/>
      <c r="P278" s="84"/>
      <c r="Q278" s="84"/>
      <c r="R278" s="84"/>
      <c r="S278" s="84"/>
      <c r="T278" s="84"/>
      <c r="U278" s="84"/>
      <c r="V278" s="84"/>
      <c r="W278" s="84"/>
      <c r="X278" s="84"/>
      <c r="Y278" s="84"/>
    </row>
  </sheetData>
  <mergeCells count="165">
    <mergeCell ref="B186:N186"/>
    <mergeCell ref="B177:N178"/>
    <mergeCell ref="B176:D176"/>
    <mergeCell ref="B175:D175"/>
    <mergeCell ref="G193:I193"/>
    <mergeCell ref="E183:E184"/>
    <mergeCell ref="G187:I187"/>
    <mergeCell ref="G191:I191"/>
    <mergeCell ref="G190:I190"/>
    <mergeCell ref="G189:I189"/>
    <mergeCell ref="G188:I188"/>
    <mergeCell ref="M187:M188"/>
    <mergeCell ref="B183:D184"/>
    <mergeCell ref="F183:I183"/>
    <mergeCell ref="J183:K183"/>
    <mergeCell ref="L183:N183"/>
    <mergeCell ref="G192:I192"/>
    <mergeCell ref="N187:N188"/>
    <mergeCell ref="B185:D185"/>
    <mergeCell ref="J187:J188"/>
    <mergeCell ref="B182:N182"/>
    <mergeCell ref="K187:K188"/>
    <mergeCell ref="B181:D181"/>
    <mergeCell ref="L187:L188"/>
    <mergeCell ref="B56:F56"/>
    <mergeCell ref="C58:D58"/>
    <mergeCell ref="C57:F57"/>
    <mergeCell ref="G58:H58"/>
    <mergeCell ref="G57:J57"/>
    <mergeCell ref="M57:M58"/>
    <mergeCell ref="C25:D26"/>
    <mergeCell ref="E25:F26"/>
    <mergeCell ref="E179:E180"/>
    <mergeCell ref="B118:C118"/>
    <mergeCell ref="D168:D170"/>
    <mergeCell ref="K179:N179"/>
    <mergeCell ref="F179:J179"/>
    <mergeCell ref="B156:C156"/>
    <mergeCell ref="B157:C157"/>
    <mergeCell ref="B174:D174"/>
    <mergeCell ref="B161:C161"/>
    <mergeCell ref="K152:K154"/>
    <mergeCell ref="J153:J154"/>
    <mergeCell ref="B179:D180"/>
    <mergeCell ref="J168:J170"/>
    <mergeCell ref="B163:C163"/>
    <mergeCell ref="B150:M151"/>
    <mergeCell ref="E168:F170"/>
    <mergeCell ref="J211:K214"/>
    <mergeCell ref="B211:D214"/>
    <mergeCell ref="G197:I197"/>
    <mergeCell ref="E211:F214"/>
    <mergeCell ref="G196:I196"/>
    <mergeCell ref="G194:I194"/>
    <mergeCell ref="G206:I206"/>
    <mergeCell ref="G210:M210"/>
    <mergeCell ref="G208:I208"/>
    <mergeCell ref="G207:I207"/>
    <mergeCell ref="G198:I198"/>
    <mergeCell ref="G205:I205"/>
    <mergeCell ref="G201:I201"/>
    <mergeCell ref="G200:I200"/>
    <mergeCell ref="G202:I202"/>
    <mergeCell ref="G203:I203"/>
    <mergeCell ref="G199:I199"/>
    <mergeCell ref="W267:Y267"/>
    <mergeCell ref="S266:Y266"/>
    <mergeCell ref="S267:U267"/>
    <mergeCell ref="B221:D221"/>
    <mergeCell ref="B222:D222"/>
    <mergeCell ref="K216:K217"/>
    <mergeCell ref="B235:N235"/>
    <mergeCell ref="B238:N238"/>
    <mergeCell ref="B234:N234"/>
    <mergeCell ref="B233:N233"/>
    <mergeCell ref="B241:N241"/>
    <mergeCell ref="B236:N236"/>
    <mergeCell ref="B216:D217"/>
    <mergeCell ref="B223:K223"/>
    <mergeCell ref="B225:D225"/>
    <mergeCell ref="H216:J216"/>
    <mergeCell ref="E216:G216"/>
    <mergeCell ref="B1:N1"/>
    <mergeCell ref="D3:G3"/>
    <mergeCell ref="B5:C5"/>
    <mergeCell ref="F5:G5"/>
    <mergeCell ref="B3:C3"/>
    <mergeCell ref="J16:M18"/>
    <mergeCell ref="J19:M21"/>
    <mergeCell ref="I13:I15"/>
    <mergeCell ref="J5:K5"/>
    <mergeCell ref="B15:C15"/>
    <mergeCell ref="B16:C16"/>
    <mergeCell ref="I16:I18"/>
    <mergeCell ref="I19:I21"/>
    <mergeCell ref="B7:C9"/>
    <mergeCell ref="F7:F8"/>
    <mergeCell ref="D7:E8"/>
    <mergeCell ref="B21:C21"/>
    <mergeCell ref="B18:C18"/>
    <mergeCell ref="B17:C17"/>
    <mergeCell ref="J13:M15"/>
    <mergeCell ref="G7:G8"/>
    <mergeCell ref="B19:C19"/>
    <mergeCell ref="M5:N6"/>
    <mergeCell ref="B20:C20"/>
    <mergeCell ref="B11:C11"/>
    <mergeCell ref="B12:C12"/>
    <mergeCell ref="J10:M12"/>
    <mergeCell ref="G41:H42"/>
    <mergeCell ref="B22:G24"/>
    <mergeCell ref="J22:M23"/>
    <mergeCell ref="D142:G142"/>
    <mergeCell ref="B148:C148"/>
    <mergeCell ref="M142:M143"/>
    <mergeCell ref="B64:N64"/>
    <mergeCell ref="B57:B59"/>
    <mergeCell ref="B142:C143"/>
    <mergeCell ref="D115:G115"/>
    <mergeCell ref="B119:C119"/>
    <mergeCell ref="B121:C121"/>
    <mergeCell ref="B25:B27"/>
    <mergeCell ref="J142:L142"/>
    <mergeCell ref="H142:I142"/>
    <mergeCell ref="G25:H26"/>
    <mergeCell ref="E41:E42"/>
    <mergeCell ref="F41:F42"/>
    <mergeCell ref="B41:B43"/>
    <mergeCell ref="C41:D42"/>
    <mergeCell ref="L59:N63"/>
    <mergeCell ref="H168:I170"/>
    <mergeCell ref="B160:C160"/>
    <mergeCell ref="G168:G170"/>
    <mergeCell ref="B171:K171"/>
    <mergeCell ref="B167:K167"/>
    <mergeCell ref="E172:E173"/>
    <mergeCell ref="B159:C159"/>
    <mergeCell ref="B158:C158"/>
    <mergeCell ref="B172:D173"/>
    <mergeCell ref="B162:C162"/>
    <mergeCell ref="J172:N172"/>
    <mergeCell ref="F172:I172"/>
    <mergeCell ref="B168:C170"/>
    <mergeCell ref="B164:C164"/>
    <mergeCell ref="B165:N166"/>
    <mergeCell ref="B125:J127"/>
    <mergeCell ref="B117:C117"/>
    <mergeCell ref="B152:C154"/>
    <mergeCell ref="B155:C155"/>
    <mergeCell ref="B123:C123"/>
    <mergeCell ref="K118:M122"/>
    <mergeCell ref="K115:M117"/>
    <mergeCell ref="H115:I115"/>
    <mergeCell ref="B120:C120"/>
    <mergeCell ref="B122:C122"/>
    <mergeCell ref="B115:C116"/>
    <mergeCell ref="G152:I152"/>
    <mergeCell ref="B124:C124"/>
    <mergeCell ref="G153:G154"/>
    <mergeCell ref="H153:H154"/>
    <mergeCell ref="I153:I154"/>
    <mergeCell ref="D152:F152"/>
    <mergeCell ref="D153:D154"/>
    <mergeCell ref="E153:E154"/>
    <mergeCell ref="F153:F154"/>
  </mergeCells>
  <dataValidations count="1">
    <dataValidation type="list" allowBlank="1" showInputMessage="1" showErrorMessage="1" sqref="D3">
      <formula1>Locality</formula1>
    </dataValidation>
  </dataValidations>
  <printOptions horizontalCentered="1"/>
  <pageMargins left="0.25" right="0.25" top="0.5" bottom="0.5" header="0.3" footer="0.3"/>
  <pageSetup scale="98" orientation="landscape" r:id="rId1"/>
  <headerFooter>
    <oddFooter>&amp;L&amp;"Cambria,Regular"&amp;9Compiled by the VDSS Office of Research and Planning.  For more information, contact research@dss.virginia.gov.&amp;R&amp;"Cambria,Regular"&amp;9&amp;P of &amp;N</oddFooter>
  </headerFooter>
  <rowBreaks count="5" manualBreakCount="5">
    <brk id="40" max="16383" man="1"/>
    <brk id="77" max="13" man="1"/>
    <brk id="113" min="1" max="13" man="1"/>
    <brk id="151" min="1" max="13" man="1"/>
    <brk id="18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G137"/>
  <sheetViews>
    <sheetView workbookViewId="0">
      <pane ySplit="5" topLeftCell="A6" activePane="bottomLeft" state="frozen"/>
      <selection pane="bottomLeft" activeCell="AO128" sqref="AO128:AO132"/>
    </sheetView>
  </sheetViews>
  <sheetFormatPr defaultColWidth="9" defaultRowHeight="15.6" x14ac:dyDescent="0.3"/>
  <cols>
    <col min="1" max="1" width="11.09765625" style="339" customWidth="1"/>
    <col min="2" max="2" width="33.09765625" style="339" customWidth="1"/>
    <col min="3" max="3" width="16.69921875" style="339" customWidth="1"/>
    <col min="4" max="22" width="9.796875" style="339" customWidth="1"/>
    <col min="23" max="23" width="4.19921875" style="339" customWidth="1"/>
    <col min="24" max="42" width="9.796875" style="263" customWidth="1"/>
    <col min="43" max="43" width="2.69921875" style="263" customWidth="1"/>
    <col min="44" max="58" width="9" style="263"/>
    <col min="59" max="59" width="4.5" style="263" customWidth="1"/>
    <col min="60" max="16384" width="9" style="263"/>
  </cols>
  <sheetData>
    <row r="1" spans="1:59" x14ac:dyDescent="0.3">
      <c r="A1" s="189" t="s">
        <v>1142</v>
      </c>
    </row>
    <row r="2" spans="1:59" x14ac:dyDescent="0.3">
      <c r="A2" s="189"/>
    </row>
    <row r="3" spans="1:59" x14ac:dyDescent="0.3">
      <c r="D3" s="2707" t="s">
        <v>611</v>
      </c>
      <c r="E3" s="2707"/>
      <c r="F3" s="2707"/>
      <c r="G3" s="2707"/>
      <c r="H3" s="2707"/>
      <c r="I3" s="2707"/>
      <c r="J3" s="2707"/>
      <c r="K3" s="2707"/>
      <c r="L3" s="2707"/>
      <c r="M3" s="2707"/>
      <c r="N3" s="2707"/>
      <c r="O3" s="2707"/>
      <c r="P3" s="2707"/>
      <c r="Q3" s="2707"/>
      <c r="R3" s="2707"/>
      <c r="S3" s="1342"/>
      <c r="T3" s="1689"/>
      <c r="U3" s="2160"/>
      <c r="V3" s="2371"/>
      <c r="W3" s="1203"/>
      <c r="X3" s="2707" t="s">
        <v>610</v>
      </c>
      <c r="Y3" s="2707"/>
      <c r="Z3" s="2707"/>
      <c r="AA3" s="2707"/>
      <c r="AB3" s="2707"/>
      <c r="AC3" s="2707"/>
      <c r="AD3" s="2707"/>
      <c r="AE3" s="2707"/>
      <c r="AF3" s="2707"/>
      <c r="AG3" s="2707"/>
      <c r="AH3" s="2707"/>
      <c r="AI3" s="2707"/>
      <c r="AJ3" s="2707"/>
      <c r="AK3" s="2707"/>
      <c r="AL3" s="2707"/>
      <c r="AM3" s="1342"/>
      <c r="AN3" s="1689"/>
      <c r="AO3" s="2160"/>
      <c r="AP3" s="2371"/>
      <c r="BG3" s="298"/>
    </row>
    <row r="4" spans="1:59" x14ac:dyDescent="0.3">
      <c r="A4" s="421" t="s">
        <v>4</v>
      </c>
      <c r="B4" s="422" t="s">
        <v>5</v>
      </c>
      <c r="C4" s="1700" t="s">
        <v>251</v>
      </c>
      <c r="D4" s="340">
        <v>2000</v>
      </c>
      <c r="E4" s="341">
        <v>2001</v>
      </c>
      <c r="F4" s="341">
        <v>2002</v>
      </c>
      <c r="G4" s="341">
        <v>2003</v>
      </c>
      <c r="H4" s="341">
        <v>2004</v>
      </c>
      <c r="I4" s="341">
        <v>2005</v>
      </c>
      <c r="J4" s="341">
        <v>2006</v>
      </c>
      <c r="K4" s="341">
        <v>2007</v>
      </c>
      <c r="L4" s="341">
        <v>2008</v>
      </c>
      <c r="M4" s="341">
        <v>2009</v>
      </c>
      <c r="N4" s="342">
        <v>2010</v>
      </c>
      <c r="O4" s="342">
        <v>2011</v>
      </c>
      <c r="P4" s="1048">
        <v>2012</v>
      </c>
      <c r="Q4" s="1215">
        <v>2013</v>
      </c>
      <c r="R4" s="1353">
        <v>2014</v>
      </c>
      <c r="S4" s="1353">
        <v>2015</v>
      </c>
      <c r="T4" s="2164">
        <v>2016</v>
      </c>
      <c r="U4" s="2391">
        <v>2017</v>
      </c>
      <c r="V4" s="2394">
        <v>2018</v>
      </c>
      <c r="W4" s="1355"/>
      <c r="X4" s="341">
        <v>2000</v>
      </c>
      <c r="Y4" s="341">
        <v>2001</v>
      </c>
      <c r="Z4" s="341">
        <v>2002</v>
      </c>
      <c r="AA4" s="341">
        <v>2003</v>
      </c>
      <c r="AB4" s="341">
        <v>2004</v>
      </c>
      <c r="AC4" s="341">
        <v>2005</v>
      </c>
      <c r="AD4" s="341">
        <v>2006</v>
      </c>
      <c r="AE4" s="341">
        <v>2007</v>
      </c>
      <c r="AF4" s="341">
        <v>2008</v>
      </c>
      <c r="AG4" s="341">
        <v>2009</v>
      </c>
      <c r="AH4" s="341">
        <v>2010</v>
      </c>
      <c r="AI4" s="341">
        <v>2011</v>
      </c>
      <c r="AJ4" s="341">
        <v>2012</v>
      </c>
      <c r="AK4" s="341">
        <v>2013</v>
      </c>
      <c r="AL4" s="1357">
        <v>2014</v>
      </c>
      <c r="AM4" s="1357">
        <v>2015</v>
      </c>
      <c r="AN4" s="2167">
        <v>2016</v>
      </c>
      <c r="AO4" s="2396">
        <v>2017</v>
      </c>
      <c r="AP4" s="2399">
        <v>2018</v>
      </c>
      <c r="BG4" s="64"/>
    </row>
    <row r="5" spans="1:59" x14ac:dyDescent="0.3">
      <c r="A5" s="344" t="s">
        <v>8</v>
      </c>
      <c r="B5" s="345" t="s">
        <v>9</v>
      </c>
      <c r="C5" s="1206"/>
      <c r="D5" s="346">
        <v>0.12155565230837527</v>
      </c>
      <c r="E5" s="347">
        <v>0.112</v>
      </c>
      <c r="F5" s="347">
        <v>0.12495566815144066</v>
      </c>
      <c r="G5" s="347">
        <v>0.13600000000000001</v>
      </c>
      <c r="H5" s="347">
        <v>0.12190485917712804</v>
      </c>
      <c r="I5" s="347">
        <v>0.13300000000000001</v>
      </c>
      <c r="J5" s="347">
        <v>0.12322064717116948</v>
      </c>
      <c r="K5" s="347">
        <v>0.12930216566469369</v>
      </c>
      <c r="L5" s="347">
        <v>0.13580226821250407</v>
      </c>
      <c r="M5" s="347">
        <v>0.14000000000000001</v>
      </c>
      <c r="N5" s="348">
        <v>0.14555376556266278</v>
      </c>
      <c r="O5" s="838">
        <v>0.156</v>
      </c>
      <c r="P5" s="1049">
        <v>0.155</v>
      </c>
      <c r="Q5" s="1049">
        <v>0.15745553871615489</v>
      </c>
      <c r="R5" s="1354">
        <v>0.15872305329925826</v>
      </c>
      <c r="S5" s="1354">
        <v>0.14973262322463776</v>
      </c>
      <c r="T5" s="2165">
        <v>0.14299999999999999</v>
      </c>
      <c r="U5" s="2392">
        <v>0.14008988319961607</v>
      </c>
      <c r="V5" s="2395">
        <v>0.13783587437996395</v>
      </c>
      <c r="W5" s="1356"/>
      <c r="X5" s="1211">
        <v>211862</v>
      </c>
      <c r="Y5" s="1211">
        <v>195437</v>
      </c>
      <c r="Z5" s="1211">
        <v>224014</v>
      </c>
      <c r="AA5" s="1211">
        <v>243635</v>
      </c>
      <c r="AB5" s="1211">
        <v>221675</v>
      </c>
      <c r="AC5" s="1211">
        <v>237858</v>
      </c>
      <c r="AD5" s="1211">
        <v>219261</v>
      </c>
      <c r="AE5" s="1211">
        <v>232569</v>
      </c>
      <c r="AF5" s="1211">
        <v>244210</v>
      </c>
      <c r="AG5" s="1211">
        <v>255156</v>
      </c>
      <c r="AH5" s="1211">
        <v>266606</v>
      </c>
      <c r="AI5" s="1212">
        <v>284561</v>
      </c>
      <c r="AJ5" s="1211">
        <v>283035</v>
      </c>
      <c r="AK5" s="1213">
        <v>289032</v>
      </c>
      <c r="AL5" s="1358">
        <v>292525</v>
      </c>
      <c r="AM5" s="1358">
        <v>275747</v>
      </c>
      <c r="AN5" s="2168">
        <v>262642</v>
      </c>
      <c r="AO5" s="2397">
        <v>258038</v>
      </c>
      <c r="AP5" s="2400">
        <v>253481</v>
      </c>
    </row>
    <row r="6" spans="1:59" x14ac:dyDescent="0.3">
      <c r="A6" s="349" t="s">
        <v>10</v>
      </c>
      <c r="B6" s="350" t="s">
        <v>319</v>
      </c>
      <c r="C6" s="357" t="s">
        <v>252</v>
      </c>
      <c r="D6" s="354">
        <v>0.255</v>
      </c>
      <c r="E6" s="355">
        <v>0.22199999999999998</v>
      </c>
      <c r="F6" s="355">
        <v>0.23600000000000002</v>
      </c>
      <c r="G6" s="355">
        <v>0.24399999999999999</v>
      </c>
      <c r="H6" s="355">
        <v>0.2</v>
      </c>
      <c r="I6" s="355">
        <v>0.26399999999999996</v>
      </c>
      <c r="J6" s="355">
        <v>0.23199999999999998</v>
      </c>
      <c r="K6" s="355">
        <v>0.25100000000000006</v>
      </c>
      <c r="L6" s="355">
        <v>0.29699999999999999</v>
      </c>
      <c r="M6" s="355">
        <v>0.27400000000000002</v>
      </c>
      <c r="N6" s="356">
        <v>0.28699999999999998</v>
      </c>
      <c r="O6" s="356">
        <v>0.30499999999999999</v>
      </c>
      <c r="P6" s="356">
        <v>0.314</v>
      </c>
      <c r="Q6" s="1216">
        <v>0.29439930354033661</v>
      </c>
      <c r="R6" s="1352">
        <v>0.30916311222238563</v>
      </c>
      <c r="S6" s="1217">
        <v>0.3097292472478429</v>
      </c>
      <c r="T6" s="2166">
        <v>0.31782713085234093</v>
      </c>
      <c r="U6" s="1352">
        <v>0.27984344422700586</v>
      </c>
      <c r="V6" s="2393">
        <v>0.26963711529627926</v>
      </c>
      <c r="W6" s="1047"/>
      <c r="X6" s="1214">
        <v>2334</v>
      </c>
      <c r="Y6" s="1214">
        <v>2014</v>
      </c>
      <c r="Z6" s="1214">
        <v>2153</v>
      </c>
      <c r="AA6" s="1214">
        <v>2232</v>
      </c>
      <c r="AB6" s="1214">
        <v>1811</v>
      </c>
      <c r="AC6" s="1214">
        <v>2347</v>
      </c>
      <c r="AD6" s="1214">
        <v>2041</v>
      </c>
      <c r="AE6" s="1214">
        <v>2156</v>
      </c>
      <c r="AF6" s="1214">
        <v>2507</v>
      </c>
      <c r="AG6" s="1214">
        <v>2272</v>
      </c>
      <c r="AH6" s="1214">
        <v>1956</v>
      </c>
      <c r="AI6" s="1214">
        <v>2111</v>
      </c>
      <c r="AJ6" s="1140">
        <v>2184</v>
      </c>
      <c r="AK6" s="1140">
        <v>2029</v>
      </c>
      <c r="AL6" s="1359">
        <v>2102</v>
      </c>
      <c r="AM6" s="1137">
        <v>2082</v>
      </c>
      <c r="AN6" s="2169">
        <v>2118</v>
      </c>
      <c r="AO6" s="1359">
        <v>1859</v>
      </c>
      <c r="AP6" s="2398">
        <v>1761</v>
      </c>
    </row>
    <row r="7" spans="1:59" x14ac:dyDescent="0.3">
      <c r="A7" s="349" t="s">
        <v>12</v>
      </c>
      <c r="B7" s="350" t="s">
        <v>320</v>
      </c>
      <c r="C7" s="357" t="s">
        <v>253</v>
      </c>
      <c r="D7" s="354">
        <v>0.08</v>
      </c>
      <c r="E7" s="355">
        <v>7.3000000000000009E-2</v>
      </c>
      <c r="F7" s="355">
        <v>0.08</v>
      </c>
      <c r="G7" s="355">
        <v>9.0999999999999984E-2</v>
      </c>
      <c r="H7" s="355">
        <v>8.199999999999999E-2</v>
      </c>
      <c r="I7" s="355">
        <v>7.9000000000000001E-2</v>
      </c>
      <c r="J7" s="355">
        <v>7.3999999999999996E-2</v>
      </c>
      <c r="K7" s="355">
        <v>9.1999999999999998E-2</v>
      </c>
      <c r="L7" s="355">
        <v>8.3000000000000004E-2</v>
      </c>
      <c r="M7" s="355">
        <v>9.0999999999999984E-2</v>
      </c>
      <c r="N7" s="356">
        <v>0.1</v>
      </c>
      <c r="O7" s="356">
        <v>0.106</v>
      </c>
      <c r="P7" s="356">
        <v>0.11</v>
      </c>
      <c r="Q7" s="1217">
        <v>0.11561847296356463</v>
      </c>
      <c r="R7" s="1352">
        <v>0.10301495972382048</v>
      </c>
      <c r="S7" s="1217">
        <v>9.6280188766540209E-2</v>
      </c>
      <c r="T7" s="2166">
        <v>9.3825778772617052E-2</v>
      </c>
      <c r="U7" s="1352">
        <v>8.79510760468699E-2</v>
      </c>
      <c r="V7" s="2393">
        <v>9.6323805942083493E-2</v>
      </c>
      <c r="W7" s="1047"/>
      <c r="X7" s="1214">
        <v>1584</v>
      </c>
      <c r="Y7" s="1214">
        <v>1444</v>
      </c>
      <c r="Z7" s="1214">
        <v>1613</v>
      </c>
      <c r="AA7" s="1214">
        <v>1812</v>
      </c>
      <c r="AB7" s="1214">
        <v>1646</v>
      </c>
      <c r="AC7" s="1214">
        <v>1561</v>
      </c>
      <c r="AD7" s="1214">
        <v>1446</v>
      </c>
      <c r="AE7" s="1214">
        <v>1831</v>
      </c>
      <c r="AF7" s="1214">
        <v>1642</v>
      </c>
      <c r="AG7" s="1214">
        <v>1836</v>
      </c>
      <c r="AH7" s="1214">
        <v>2107</v>
      </c>
      <c r="AI7" s="1214">
        <v>2249</v>
      </c>
      <c r="AJ7" s="1140">
        <v>2350</v>
      </c>
      <c r="AK7" s="1140">
        <v>2491</v>
      </c>
      <c r="AL7" s="1359">
        <v>2238</v>
      </c>
      <c r="AM7" s="1137">
        <v>2081</v>
      </c>
      <c r="AN7" s="2169">
        <v>2012</v>
      </c>
      <c r="AO7" s="1359">
        <v>1884</v>
      </c>
      <c r="AP7" s="2398">
        <v>2049</v>
      </c>
    </row>
    <row r="8" spans="1:59" ht="31.2" x14ac:dyDescent="0.3">
      <c r="A8" s="349" t="s">
        <v>16</v>
      </c>
      <c r="B8" s="350" t="s">
        <v>599</v>
      </c>
      <c r="C8" s="357" t="s">
        <v>253</v>
      </c>
      <c r="D8" s="354">
        <v>0.15374659685863876</v>
      </c>
      <c r="E8" s="355">
        <v>0.13747924528301886</v>
      </c>
      <c r="F8" s="355">
        <v>0.15099499374217773</v>
      </c>
      <c r="G8" s="355">
        <v>0.18230162900683131</v>
      </c>
      <c r="H8" s="355">
        <v>0.16216525696558184</v>
      </c>
      <c r="I8" s="355">
        <v>0.18170718813046882</v>
      </c>
      <c r="J8" s="355">
        <v>0.17695105515380732</v>
      </c>
      <c r="K8" s="355">
        <v>0.18159462861938733</v>
      </c>
      <c r="L8" s="355">
        <v>0.1933776793706129</v>
      </c>
      <c r="M8" s="355">
        <v>0.20131421510384487</v>
      </c>
      <c r="N8" s="356">
        <v>0.21467522545308657</v>
      </c>
      <c r="O8" s="356">
        <v>0.21782397169394074</v>
      </c>
      <c r="P8" s="356">
        <v>0.216</v>
      </c>
      <c r="Q8" s="1217">
        <v>0.22026128810451523</v>
      </c>
      <c r="R8" s="1352">
        <v>0.23280548333727252</v>
      </c>
      <c r="S8" s="1217">
        <v>0.25324834518264283</v>
      </c>
      <c r="T8" s="2166">
        <v>0.22964669738863286</v>
      </c>
      <c r="U8" s="1352">
        <v>0.2180293501048218</v>
      </c>
      <c r="V8" s="2393">
        <v>0.22437824542224652</v>
      </c>
      <c r="W8" s="1047"/>
      <c r="X8" s="1214">
        <v>781</v>
      </c>
      <c r="Y8" s="1214">
        <v>690</v>
      </c>
      <c r="Z8" s="1214">
        <v>766</v>
      </c>
      <c r="AA8" s="1214">
        <v>890</v>
      </c>
      <c r="AB8" s="1214">
        <v>790</v>
      </c>
      <c r="AC8" s="1214">
        <v>875</v>
      </c>
      <c r="AD8" s="1214">
        <v>832</v>
      </c>
      <c r="AE8" s="1214">
        <v>843</v>
      </c>
      <c r="AF8" s="1214">
        <v>882</v>
      </c>
      <c r="AG8" s="1214">
        <v>922</v>
      </c>
      <c r="AH8" s="1214">
        <v>989</v>
      </c>
      <c r="AI8" s="1214">
        <v>985</v>
      </c>
      <c r="AJ8" s="1140">
        <v>962</v>
      </c>
      <c r="AK8" s="1140">
        <v>961</v>
      </c>
      <c r="AL8" s="1359">
        <v>985</v>
      </c>
      <c r="AM8" s="1137">
        <v>1033</v>
      </c>
      <c r="AN8" s="2169">
        <v>897</v>
      </c>
      <c r="AO8" s="1359">
        <v>832</v>
      </c>
      <c r="AP8" s="2398">
        <v>821</v>
      </c>
    </row>
    <row r="9" spans="1:59" x14ac:dyDescent="0.3">
      <c r="A9" s="349" t="s">
        <v>18</v>
      </c>
      <c r="B9" s="350" t="s">
        <v>321</v>
      </c>
      <c r="C9" s="357" t="s">
        <v>254</v>
      </c>
      <c r="D9" s="354">
        <v>0.12400000000000001</v>
      </c>
      <c r="E9" s="355">
        <v>0.113</v>
      </c>
      <c r="F9" s="355">
        <v>0.129</v>
      </c>
      <c r="G9" s="355">
        <v>0.14199999999999999</v>
      </c>
      <c r="H9" s="355">
        <v>0.124</v>
      </c>
      <c r="I9" s="355">
        <v>0.13400000000000001</v>
      </c>
      <c r="J9" s="355">
        <v>0.125</v>
      </c>
      <c r="K9" s="355">
        <v>0.125</v>
      </c>
      <c r="L9" s="355">
        <v>0.13100000000000001</v>
      </c>
      <c r="M9" s="355">
        <v>0.16499999999999998</v>
      </c>
      <c r="N9" s="356">
        <v>0.16800000000000001</v>
      </c>
      <c r="O9" s="356">
        <v>0.184</v>
      </c>
      <c r="P9" s="356">
        <v>0.19</v>
      </c>
      <c r="Q9" s="1217">
        <v>0.18205904617713853</v>
      </c>
      <c r="R9" s="1352">
        <v>0.18928035982008995</v>
      </c>
      <c r="S9" s="1217">
        <v>0.16991017964071856</v>
      </c>
      <c r="T9" s="2166">
        <v>0.15471273000375516</v>
      </c>
      <c r="U9" s="1352">
        <v>0.1440329218106996</v>
      </c>
      <c r="V9" s="2393">
        <v>0.1321114929362352</v>
      </c>
      <c r="W9" s="1047"/>
      <c r="X9" s="1214">
        <v>352</v>
      </c>
      <c r="Y9" s="1214">
        <v>315</v>
      </c>
      <c r="Z9" s="1214">
        <v>356</v>
      </c>
      <c r="AA9" s="1214">
        <v>394</v>
      </c>
      <c r="AB9" s="1214">
        <v>349</v>
      </c>
      <c r="AC9" s="1214">
        <v>372</v>
      </c>
      <c r="AD9" s="1214">
        <v>352</v>
      </c>
      <c r="AE9" s="1214">
        <v>358</v>
      </c>
      <c r="AF9" s="1214">
        <v>373</v>
      </c>
      <c r="AG9" s="1214">
        <v>475</v>
      </c>
      <c r="AH9" s="1214">
        <v>467</v>
      </c>
      <c r="AI9" s="1214">
        <v>505</v>
      </c>
      <c r="AJ9" s="1140">
        <v>516</v>
      </c>
      <c r="AK9" s="1140">
        <v>481</v>
      </c>
      <c r="AL9" s="1359">
        <v>505</v>
      </c>
      <c r="AM9" s="1137">
        <v>454</v>
      </c>
      <c r="AN9" s="2169">
        <v>412</v>
      </c>
      <c r="AO9" s="1359">
        <v>385</v>
      </c>
      <c r="AP9" s="2398">
        <v>346</v>
      </c>
    </row>
    <row r="10" spans="1:59" x14ac:dyDescent="0.3">
      <c r="A10" s="349" t="s">
        <v>20</v>
      </c>
      <c r="B10" s="350" t="s">
        <v>322</v>
      </c>
      <c r="C10" s="357" t="s">
        <v>253</v>
      </c>
      <c r="D10" s="354">
        <v>0.14300000000000002</v>
      </c>
      <c r="E10" s="355">
        <v>0.129</v>
      </c>
      <c r="F10" s="355">
        <v>0.152</v>
      </c>
      <c r="G10" s="355">
        <v>0.17199999999999999</v>
      </c>
      <c r="H10" s="355">
        <v>0.155</v>
      </c>
      <c r="I10" s="355">
        <v>0.16300000000000001</v>
      </c>
      <c r="J10" s="355">
        <v>0.16</v>
      </c>
      <c r="K10" s="355">
        <v>0.161</v>
      </c>
      <c r="L10" s="355">
        <v>0.17399999999999999</v>
      </c>
      <c r="M10" s="355">
        <v>0.17699999999999999</v>
      </c>
      <c r="N10" s="356">
        <v>0.18899999999999997</v>
      </c>
      <c r="O10" s="356">
        <v>0.20199999999999999</v>
      </c>
      <c r="P10" s="356">
        <v>0.20300000000000001</v>
      </c>
      <c r="Q10" s="1217">
        <v>0.20759453946336107</v>
      </c>
      <c r="R10" s="1352">
        <v>0.2047923322683706</v>
      </c>
      <c r="S10" s="1217">
        <v>0.20623193061355605</v>
      </c>
      <c r="T10" s="2166">
        <v>0.20932120818447547</v>
      </c>
      <c r="U10" s="1352">
        <v>0.18271999999999999</v>
      </c>
      <c r="V10" s="2393">
        <v>0.18515484188104211</v>
      </c>
      <c r="W10" s="1047"/>
      <c r="X10" s="1214">
        <v>1046</v>
      </c>
      <c r="Y10" s="1214">
        <v>930</v>
      </c>
      <c r="Z10" s="1214">
        <v>1101</v>
      </c>
      <c r="AA10" s="1214">
        <v>1219</v>
      </c>
      <c r="AB10" s="1214">
        <v>1086</v>
      </c>
      <c r="AC10" s="1214">
        <v>1104</v>
      </c>
      <c r="AD10" s="1214">
        <v>1068</v>
      </c>
      <c r="AE10" s="1214">
        <v>1072</v>
      </c>
      <c r="AF10" s="1214">
        <v>1131</v>
      </c>
      <c r="AG10" s="1214">
        <v>1184</v>
      </c>
      <c r="AH10" s="1214">
        <v>1291</v>
      </c>
      <c r="AI10" s="1214">
        <v>1333</v>
      </c>
      <c r="AJ10" s="1140">
        <v>1333</v>
      </c>
      <c r="AK10" s="1140">
        <v>1323</v>
      </c>
      <c r="AL10" s="1359">
        <v>1282</v>
      </c>
      <c r="AM10" s="1137">
        <v>1284</v>
      </c>
      <c r="AN10" s="2169">
        <v>1289</v>
      </c>
      <c r="AO10" s="1359">
        <v>1142</v>
      </c>
      <c r="AP10" s="2398">
        <v>1130</v>
      </c>
    </row>
    <row r="11" spans="1:59" x14ac:dyDescent="0.3">
      <c r="A11" s="349" t="s">
        <v>22</v>
      </c>
      <c r="B11" s="350" t="s">
        <v>323</v>
      </c>
      <c r="C11" s="357" t="s">
        <v>253</v>
      </c>
      <c r="D11" s="354">
        <v>0.157</v>
      </c>
      <c r="E11" s="355">
        <v>0.15</v>
      </c>
      <c r="F11" s="355">
        <v>0.17100000000000001</v>
      </c>
      <c r="G11" s="355">
        <v>0.189</v>
      </c>
      <c r="H11" s="355">
        <v>0.161</v>
      </c>
      <c r="I11" s="355">
        <v>0.17599999999999999</v>
      </c>
      <c r="J11" s="355">
        <v>0.17899999999999999</v>
      </c>
      <c r="K11" s="355">
        <v>0.18</v>
      </c>
      <c r="L11" s="355">
        <v>0.2</v>
      </c>
      <c r="M11" s="355">
        <v>0.219</v>
      </c>
      <c r="N11" s="356">
        <v>0.21800000000000003</v>
      </c>
      <c r="O11" s="356">
        <v>0.223</v>
      </c>
      <c r="P11" s="356">
        <v>0.24</v>
      </c>
      <c r="Q11" s="1217">
        <v>0.24047546479731788</v>
      </c>
      <c r="R11" s="1352">
        <v>0.21868365180467092</v>
      </c>
      <c r="S11" s="1217">
        <v>0.20921770770163736</v>
      </c>
      <c r="T11" s="2166">
        <v>0.19577677224736048</v>
      </c>
      <c r="U11" s="1352">
        <v>0.17462235649546828</v>
      </c>
      <c r="V11" s="2393">
        <v>0.19373479318734793</v>
      </c>
      <c r="W11" s="1047"/>
      <c r="X11" s="1214">
        <v>520</v>
      </c>
      <c r="Y11" s="1214">
        <v>482</v>
      </c>
      <c r="Z11" s="1214">
        <v>548</v>
      </c>
      <c r="AA11" s="1214">
        <v>598</v>
      </c>
      <c r="AB11" s="1214">
        <v>510</v>
      </c>
      <c r="AC11" s="1214">
        <v>553</v>
      </c>
      <c r="AD11" s="1214">
        <v>551</v>
      </c>
      <c r="AE11" s="1214">
        <v>557</v>
      </c>
      <c r="AF11" s="1214">
        <v>629</v>
      </c>
      <c r="AG11" s="1214">
        <v>689</v>
      </c>
      <c r="AH11" s="1214">
        <v>717</v>
      </c>
      <c r="AI11" s="1214">
        <v>725</v>
      </c>
      <c r="AJ11" s="1140">
        <v>783</v>
      </c>
      <c r="AK11" s="1140">
        <v>789</v>
      </c>
      <c r="AL11" s="1359">
        <v>721</v>
      </c>
      <c r="AM11" s="1137">
        <v>690</v>
      </c>
      <c r="AN11" s="2169">
        <v>649</v>
      </c>
      <c r="AO11" s="1359">
        <v>578</v>
      </c>
      <c r="AP11" s="2398">
        <v>637</v>
      </c>
    </row>
    <row r="12" spans="1:59" x14ac:dyDescent="0.3">
      <c r="A12" s="349" t="s">
        <v>24</v>
      </c>
      <c r="B12" s="350" t="s">
        <v>324</v>
      </c>
      <c r="C12" s="357" t="s">
        <v>255</v>
      </c>
      <c r="D12" s="354">
        <v>0.1</v>
      </c>
      <c r="E12" s="355">
        <v>8.8999999999999996E-2</v>
      </c>
      <c r="F12" s="355">
        <v>9.5000000000000001E-2</v>
      </c>
      <c r="G12" s="355">
        <v>9.5000000000000001E-2</v>
      </c>
      <c r="H12" s="355">
        <v>9.0999999999999984E-2</v>
      </c>
      <c r="I12" s="355">
        <v>9.5999999999999988E-2</v>
      </c>
      <c r="J12" s="355">
        <v>8.4999999999999992E-2</v>
      </c>
      <c r="K12" s="355">
        <v>8.3999999999999991E-2</v>
      </c>
      <c r="L12" s="355">
        <v>8.8000000000000009E-2</v>
      </c>
      <c r="M12" s="355">
        <v>9.2999999999999999E-2</v>
      </c>
      <c r="N12" s="356">
        <v>0.10400000000000001</v>
      </c>
      <c r="O12" s="356">
        <v>0.10099999999999999</v>
      </c>
      <c r="P12" s="356">
        <v>9.1999999999999998E-2</v>
      </c>
      <c r="Q12" s="1217">
        <v>0.11150041775597661</v>
      </c>
      <c r="R12" s="1352">
        <v>0.11036771951662258</v>
      </c>
      <c r="S12" s="1217">
        <v>8.7848766680145574E-2</v>
      </c>
      <c r="T12" s="2166">
        <v>8.4126077345321779E-2</v>
      </c>
      <c r="U12" s="1352">
        <v>7.3202425642506494E-2</v>
      </c>
      <c r="V12" s="2393">
        <v>7.3094867807153963E-2</v>
      </c>
      <c r="W12" s="1047"/>
      <c r="X12" s="1214">
        <v>3124</v>
      </c>
      <c r="Y12" s="1214">
        <v>2830</v>
      </c>
      <c r="Z12" s="1214">
        <v>3092</v>
      </c>
      <c r="AA12" s="1214">
        <v>3195</v>
      </c>
      <c r="AB12" s="1214">
        <v>3170</v>
      </c>
      <c r="AC12" s="1214">
        <v>3308</v>
      </c>
      <c r="AD12" s="1214">
        <v>2955</v>
      </c>
      <c r="AE12" s="1214">
        <v>3004</v>
      </c>
      <c r="AF12" s="1214">
        <v>3348</v>
      </c>
      <c r="AG12" s="1214">
        <v>3284</v>
      </c>
      <c r="AH12" s="1214">
        <v>3392</v>
      </c>
      <c r="AI12" s="1214">
        <v>3451</v>
      </c>
      <c r="AJ12" s="1140">
        <v>3261</v>
      </c>
      <c r="AK12" s="1140">
        <v>4137</v>
      </c>
      <c r="AL12" s="1359">
        <v>4256</v>
      </c>
      <c r="AM12" s="1137">
        <v>3476</v>
      </c>
      <c r="AN12" s="2169">
        <v>3387</v>
      </c>
      <c r="AO12" s="1359">
        <v>3042</v>
      </c>
      <c r="AP12" s="2398">
        <v>3102</v>
      </c>
    </row>
    <row r="13" spans="1:59" x14ac:dyDescent="0.3">
      <c r="A13" s="349" t="s">
        <v>26</v>
      </c>
      <c r="B13" s="395" t="s">
        <v>600</v>
      </c>
      <c r="C13" s="395" t="s">
        <v>253</v>
      </c>
      <c r="D13" s="354">
        <v>0.13087876336093662</v>
      </c>
      <c r="E13" s="355">
        <v>0.12328640660095588</v>
      </c>
      <c r="F13" s="355">
        <v>0.1346739708466082</v>
      </c>
      <c r="G13" s="355">
        <v>0.14416955964817399</v>
      </c>
      <c r="H13" s="355">
        <v>0.13188270816880912</v>
      </c>
      <c r="I13" s="355">
        <v>0.14273149548278821</v>
      </c>
      <c r="J13" s="355">
        <v>0.14512539405354707</v>
      </c>
      <c r="K13" s="355">
        <v>0.14915355306345557</v>
      </c>
      <c r="L13" s="355">
        <v>0.15178195639792957</v>
      </c>
      <c r="M13" s="355">
        <v>0.16398952402216457</v>
      </c>
      <c r="N13" s="356">
        <v>0.17830952995295352</v>
      </c>
      <c r="O13" s="356">
        <v>0.18582548136009833</v>
      </c>
      <c r="P13" s="356">
        <v>0.17899999999999999</v>
      </c>
      <c r="Q13" s="1217">
        <v>0.17762635341331884</v>
      </c>
      <c r="R13" s="1352">
        <v>0.18326239939319877</v>
      </c>
      <c r="S13" s="1217">
        <v>0.17564988762139011</v>
      </c>
      <c r="T13" s="2166">
        <v>0.16416077252128244</v>
      </c>
      <c r="U13" s="1352">
        <v>0.15500376222723852</v>
      </c>
      <c r="V13" s="2393">
        <v>0.16322529512368081</v>
      </c>
      <c r="W13" s="1047"/>
      <c r="X13" s="1214">
        <v>3191</v>
      </c>
      <c r="Y13" s="1214">
        <v>2991</v>
      </c>
      <c r="Z13" s="1214">
        <v>3298</v>
      </c>
      <c r="AA13" s="1214">
        <v>3529</v>
      </c>
      <c r="AB13" s="1214">
        <v>3272</v>
      </c>
      <c r="AC13" s="1214">
        <v>3505</v>
      </c>
      <c r="AD13" s="1214">
        <v>3505</v>
      </c>
      <c r="AE13" s="1214">
        <v>3697</v>
      </c>
      <c r="AF13" s="1214">
        <v>3724</v>
      </c>
      <c r="AG13" s="1214">
        <v>4096</v>
      </c>
      <c r="AH13" s="1214">
        <v>4400</v>
      </c>
      <c r="AI13" s="1214">
        <v>4536</v>
      </c>
      <c r="AJ13" s="1140">
        <v>4306</v>
      </c>
      <c r="AK13" s="1140">
        <v>4249</v>
      </c>
      <c r="AL13" s="1359">
        <v>4349</v>
      </c>
      <c r="AM13" s="1137">
        <v>4142</v>
      </c>
      <c r="AN13" s="2169">
        <v>3876</v>
      </c>
      <c r="AO13" s="1359">
        <v>3708</v>
      </c>
      <c r="AP13" s="2398">
        <v>3913</v>
      </c>
    </row>
    <row r="14" spans="1:59" x14ac:dyDescent="0.3">
      <c r="A14" s="349" t="s">
        <v>27</v>
      </c>
      <c r="B14" s="350" t="s">
        <v>325</v>
      </c>
      <c r="C14" s="357" t="s">
        <v>253</v>
      </c>
      <c r="D14" s="354">
        <v>0.10099999999999999</v>
      </c>
      <c r="E14" s="355">
        <v>9.8000000000000004E-2</v>
      </c>
      <c r="F14" s="355">
        <v>9.9000000000000005E-2</v>
      </c>
      <c r="G14" s="355">
        <v>0.106</v>
      </c>
      <c r="H14" s="355">
        <v>9.1999999999999985E-2</v>
      </c>
      <c r="I14" s="355">
        <v>0.1</v>
      </c>
      <c r="J14" s="355">
        <v>0.106</v>
      </c>
      <c r="K14" s="355">
        <v>0.10300000000000001</v>
      </c>
      <c r="L14" s="355">
        <v>0.12300000000000001</v>
      </c>
      <c r="M14" s="355">
        <v>0.14799999999999999</v>
      </c>
      <c r="N14" s="356">
        <v>0.157</v>
      </c>
      <c r="O14" s="356">
        <v>0.159</v>
      </c>
      <c r="P14" s="356">
        <v>0.16400000000000001</v>
      </c>
      <c r="Q14" s="1217">
        <v>0.17886178861788618</v>
      </c>
      <c r="R14" s="1352">
        <v>0.15642458100558659</v>
      </c>
      <c r="S14" s="1217">
        <v>0.14595375722543352</v>
      </c>
      <c r="T14" s="2166">
        <v>0.17681159420289855</v>
      </c>
      <c r="U14" s="1352">
        <v>0.14152410575427682</v>
      </c>
      <c r="V14" s="2393">
        <v>0.14849921011058451</v>
      </c>
      <c r="W14" s="1047"/>
      <c r="X14" s="1214">
        <v>102</v>
      </c>
      <c r="Y14" s="1214">
        <v>97</v>
      </c>
      <c r="Z14" s="1214">
        <v>95</v>
      </c>
      <c r="AA14" s="1214">
        <v>99</v>
      </c>
      <c r="AB14" s="1214">
        <v>83</v>
      </c>
      <c r="AC14" s="1214">
        <v>89</v>
      </c>
      <c r="AD14" s="1214">
        <v>88</v>
      </c>
      <c r="AE14" s="1214">
        <v>80</v>
      </c>
      <c r="AF14" s="1214">
        <v>89</v>
      </c>
      <c r="AG14" s="1214">
        <v>117</v>
      </c>
      <c r="AH14" s="1214">
        <v>123</v>
      </c>
      <c r="AI14" s="1214">
        <v>122</v>
      </c>
      <c r="AJ14" s="1140">
        <v>124</v>
      </c>
      <c r="AK14" s="1140">
        <v>132</v>
      </c>
      <c r="AL14" s="1359">
        <v>112</v>
      </c>
      <c r="AM14" s="1137">
        <v>101</v>
      </c>
      <c r="AN14" s="2169">
        <v>122</v>
      </c>
      <c r="AO14" s="1359">
        <v>91</v>
      </c>
      <c r="AP14" s="2398">
        <v>94</v>
      </c>
    </row>
    <row r="15" spans="1:59" x14ac:dyDescent="0.3">
      <c r="A15" s="349" t="s">
        <v>29</v>
      </c>
      <c r="B15" s="350" t="s">
        <v>736</v>
      </c>
      <c r="C15" s="357" t="s">
        <v>253</v>
      </c>
      <c r="D15" s="354">
        <v>0.10357569534845344</v>
      </c>
      <c r="E15" s="355">
        <v>9.7851076521047547E-2</v>
      </c>
      <c r="F15" s="355">
        <v>0.10470836582956378</v>
      </c>
      <c r="G15" s="355">
        <v>0.11985001266072082</v>
      </c>
      <c r="H15" s="355">
        <v>0.11006986120613819</v>
      </c>
      <c r="I15" s="355">
        <v>0.11585807105652593</v>
      </c>
      <c r="J15" s="355">
        <v>0.10915386192773553</v>
      </c>
      <c r="K15" s="355">
        <v>0.11852155883037152</v>
      </c>
      <c r="L15" s="355">
        <v>0.11587898985228509</v>
      </c>
      <c r="M15" s="355">
        <v>0.12334881658541039</v>
      </c>
      <c r="N15" s="356">
        <v>0.14051075101595445</v>
      </c>
      <c r="O15" s="356">
        <v>0.14869402985074626</v>
      </c>
      <c r="P15" s="356">
        <v>0.14499999999999999</v>
      </c>
      <c r="Q15" s="1217">
        <v>0.13675599072404018</v>
      </c>
      <c r="R15" s="1352">
        <v>0.13628123786093488</v>
      </c>
      <c r="S15" s="1217">
        <v>0.12843393460386257</v>
      </c>
      <c r="T15" s="2166">
        <v>0.12682074189162945</v>
      </c>
      <c r="U15" s="1352">
        <v>0.12451970042331488</v>
      </c>
      <c r="V15" s="2393">
        <v>0.13124349635796045</v>
      </c>
      <c r="W15" s="1047"/>
      <c r="X15" s="1214">
        <v>1623</v>
      </c>
      <c r="Y15" s="1214">
        <v>1526</v>
      </c>
      <c r="Z15" s="1214">
        <v>1664</v>
      </c>
      <c r="AA15" s="1214">
        <v>1861</v>
      </c>
      <c r="AB15" s="1214">
        <v>1732</v>
      </c>
      <c r="AC15" s="1214">
        <v>1803</v>
      </c>
      <c r="AD15" s="1214">
        <v>1685</v>
      </c>
      <c r="AE15" s="1214">
        <v>1839</v>
      </c>
      <c r="AF15" s="1214">
        <v>1773</v>
      </c>
      <c r="AG15" s="1214">
        <v>1987</v>
      </c>
      <c r="AH15" s="1214">
        <v>2297</v>
      </c>
      <c r="AI15" s="1214">
        <v>2391</v>
      </c>
      <c r="AJ15" s="1140">
        <v>2277</v>
      </c>
      <c r="AK15" s="1140">
        <v>2123</v>
      </c>
      <c r="AL15" s="1359">
        <v>2105</v>
      </c>
      <c r="AM15" s="1137">
        <v>2015</v>
      </c>
      <c r="AN15" s="2169">
        <v>1959</v>
      </c>
      <c r="AO15" s="1359">
        <v>1912</v>
      </c>
      <c r="AP15" s="2398">
        <v>2018</v>
      </c>
    </row>
    <row r="16" spans="1:59" x14ac:dyDescent="0.3">
      <c r="A16" s="349" t="s">
        <v>30</v>
      </c>
      <c r="B16" s="350" t="s">
        <v>326</v>
      </c>
      <c r="C16" s="357" t="s">
        <v>256</v>
      </c>
      <c r="D16" s="354">
        <v>0.14099999999999999</v>
      </c>
      <c r="E16" s="355">
        <v>0.13499999999999998</v>
      </c>
      <c r="F16" s="355">
        <v>0.14399999999999999</v>
      </c>
      <c r="G16" s="355">
        <v>0.16800000000000001</v>
      </c>
      <c r="H16" s="355">
        <v>0.14500000000000002</v>
      </c>
      <c r="I16" s="355">
        <v>0.16899999999999998</v>
      </c>
      <c r="J16" s="355">
        <v>0.16500000000000001</v>
      </c>
      <c r="K16" s="355">
        <v>0.17500000000000002</v>
      </c>
      <c r="L16" s="355">
        <v>0.18000000000000002</v>
      </c>
      <c r="M16" s="355">
        <v>0.17800000000000002</v>
      </c>
      <c r="N16" s="356">
        <v>0.18</v>
      </c>
      <c r="O16" s="356">
        <v>0.187</v>
      </c>
      <c r="P16" s="356">
        <v>0.187</v>
      </c>
      <c r="Q16" s="1217">
        <v>0.2017467248908297</v>
      </c>
      <c r="R16" s="1352">
        <v>0.17387304507819687</v>
      </c>
      <c r="S16" s="1217">
        <v>0.17784256559766765</v>
      </c>
      <c r="T16" s="2166">
        <v>0.16699029126213591</v>
      </c>
      <c r="U16" s="1352">
        <v>0.17220543806646527</v>
      </c>
      <c r="V16" s="2393">
        <v>0.14952279957582185</v>
      </c>
      <c r="W16" s="1047"/>
      <c r="X16" s="1214">
        <v>186</v>
      </c>
      <c r="Y16" s="1214">
        <v>172</v>
      </c>
      <c r="Z16" s="1214">
        <v>184</v>
      </c>
      <c r="AA16" s="1214">
        <v>209</v>
      </c>
      <c r="AB16" s="1214">
        <v>177</v>
      </c>
      <c r="AC16" s="1214">
        <v>204</v>
      </c>
      <c r="AD16" s="1214">
        <v>191</v>
      </c>
      <c r="AE16" s="1214">
        <v>202</v>
      </c>
      <c r="AF16" s="1214">
        <v>204</v>
      </c>
      <c r="AG16" s="1214">
        <v>214</v>
      </c>
      <c r="AH16" s="1214">
        <v>214</v>
      </c>
      <c r="AI16" s="1214">
        <v>221</v>
      </c>
      <c r="AJ16" s="1140">
        <v>215</v>
      </c>
      <c r="AK16" s="1140">
        <v>231</v>
      </c>
      <c r="AL16" s="1359">
        <v>189</v>
      </c>
      <c r="AM16" s="1137">
        <v>183</v>
      </c>
      <c r="AN16" s="2169">
        <v>172</v>
      </c>
      <c r="AO16" s="1359">
        <v>171</v>
      </c>
      <c r="AP16" s="2398">
        <v>141</v>
      </c>
    </row>
    <row r="17" spans="1:42" x14ac:dyDescent="0.3">
      <c r="A17" s="349" t="s">
        <v>32</v>
      </c>
      <c r="B17" s="350" t="s">
        <v>327</v>
      </c>
      <c r="C17" s="357" t="s">
        <v>253</v>
      </c>
      <c r="D17" s="354">
        <v>6.8000000000000005E-2</v>
      </c>
      <c r="E17" s="355">
        <v>6.6000000000000003E-2</v>
      </c>
      <c r="F17" s="355">
        <v>7.2999999999999995E-2</v>
      </c>
      <c r="G17" s="355">
        <v>8.199999999999999E-2</v>
      </c>
      <c r="H17" s="355">
        <v>7.3999999999999996E-2</v>
      </c>
      <c r="I17" s="355">
        <v>7.400000000000001E-2</v>
      </c>
      <c r="J17" s="355">
        <v>6.9000000000000006E-2</v>
      </c>
      <c r="K17" s="355">
        <v>7.3999999999999996E-2</v>
      </c>
      <c r="L17" s="355">
        <v>0.08</v>
      </c>
      <c r="M17" s="355">
        <v>8.5000000000000006E-2</v>
      </c>
      <c r="N17" s="356">
        <v>8.8000000000000009E-2</v>
      </c>
      <c r="O17" s="356">
        <v>0.10099999999999999</v>
      </c>
      <c r="P17" s="356">
        <v>0.10100000000000001</v>
      </c>
      <c r="Q17" s="1217">
        <v>0.10003003905076599</v>
      </c>
      <c r="R17" s="1352">
        <v>0.10581039755351682</v>
      </c>
      <c r="S17" s="1217">
        <v>9.3436293436293436E-2</v>
      </c>
      <c r="T17" s="2166">
        <v>9.4071146245059287E-2</v>
      </c>
      <c r="U17" s="1352">
        <v>8.2727419615446759E-2</v>
      </c>
      <c r="V17" s="2393">
        <v>8.614536015574302E-2</v>
      </c>
      <c r="W17" s="1047"/>
      <c r="X17" s="1214">
        <v>473</v>
      </c>
      <c r="Y17" s="1214">
        <v>453</v>
      </c>
      <c r="Z17" s="1214">
        <v>497</v>
      </c>
      <c r="AA17" s="1214">
        <v>556</v>
      </c>
      <c r="AB17" s="1214">
        <v>501</v>
      </c>
      <c r="AC17" s="1214">
        <v>493</v>
      </c>
      <c r="AD17" s="1214">
        <v>440</v>
      </c>
      <c r="AE17" s="1214">
        <v>476</v>
      </c>
      <c r="AF17" s="1214">
        <v>501</v>
      </c>
      <c r="AG17" s="1214">
        <v>578</v>
      </c>
      <c r="AH17" s="1214">
        <v>646</v>
      </c>
      <c r="AI17" s="1214">
        <v>715</v>
      </c>
      <c r="AJ17" s="1140">
        <v>700</v>
      </c>
      <c r="AK17" s="1140">
        <v>666</v>
      </c>
      <c r="AL17" s="1359">
        <v>692</v>
      </c>
      <c r="AM17" s="1137">
        <v>605</v>
      </c>
      <c r="AN17" s="2169">
        <v>595</v>
      </c>
      <c r="AO17" s="1359">
        <v>512</v>
      </c>
      <c r="AP17" s="2398">
        <v>531</v>
      </c>
    </row>
    <row r="18" spans="1:42" x14ac:dyDescent="0.3">
      <c r="A18" s="349" t="s">
        <v>36</v>
      </c>
      <c r="B18" s="350" t="s">
        <v>328</v>
      </c>
      <c r="C18" s="357" t="s">
        <v>252</v>
      </c>
      <c r="D18" s="354">
        <v>0.20200000000000001</v>
      </c>
      <c r="E18" s="355">
        <v>0.18600000000000003</v>
      </c>
      <c r="F18" s="355">
        <v>0.22199999999999998</v>
      </c>
      <c r="G18" s="355">
        <v>0.24199999999999999</v>
      </c>
      <c r="H18" s="355">
        <v>0.217</v>
      </c>
      <c r="I18" s="355">
        <v>0.245</v>
      </c>
      <c r="J18" s="355">
        <v>0.24199999999999999</v>
      </c>
      <c r="K18" s="355">
        <v>0.26300000000000001</v>
      </c>
      <c r="L18" s="355">
        <v>0.248</v>
      </c>
      <c r="M18" s="355">
        <v>0.26300000000000001</v>
      </c>
      <c r="N18" s="356">
        <v>0.26899999999999996</v>
      </c>
      <c r="O18" s="356">
        <v>0.31</v>
      </c>
      <c r="P18" s="356">
        <v>0.30499999999999999</v>
      </c>
      <c r="Q18" s="1217">
        <v>0.28860172299536119</v>
      </c>
      <c r="R18" s="1352">
        <v>0.31456378171706639</v>
      </c>
      <c r="S18" s="1217">
        <v>0.2921708185053381</v>
      </c>
      <c r="T18" s="2166">
        <v>0.29996346364632809</v>
      </c>
      <c r="U18" s="1352">
        <v>0.30068419157364062</v>
      </c>
      <c r="V18" s="2393">
        <v>0.27044503613541271</v>
      </c>
      <c r="W18" s="1047"/>
      <c r="X18" s="1214">
        <v>737</v>
      </c>
      <c r="Y18" s="1214">
        <v>665</v>
      </c>
      <c r="Z18" s="1214">
        <v>787</v>
      </c>
      <c r="AA18" s="1214">
        <v>847</v>
      </c>
      <c r="AB18" s="1214">
        <v>742</v>
      </c>
      <c r="AC18" s="1214">
        <v>828</v>
      </c>
      <c r="AD18" s="1214">
        <v>792</v>
      </c>
      <c r="AE18" s="1214">
        <v>834</v>
      </c>
      <c r="AF18" s="1214">
        <v>761</v>
      </c>
      <c r="AG18" s="1214">
        <v>816</v>
      </c>
      <c r="AH18" s="1214">
        <v>888</v>
      </c>
      <c r="AI18" s="1214">
        <v>979</v>
      </c>
      <c r="AJ18" s="1140">
        <v>931</v>
      </c>
      <c r="AK18" s="1140">
        <v>871</v>
      </c>
      <c r="AL18" s="1359">
        <v>905</v>
      </c>
      <c r="AM18" s="1137">
        <v>821</v>
      </c>
      <c r="AN18" s="2169">
        <v>821</v>
      </c>
      <c r="AO18" s="1359">
        <v>835</v>
      </c>
      <c r="AP18" s="2398">
        <v>711</v>
      </c>
    </row>
    <row r="19" spans="1:42" x14ac:dyDescent="0.3">
      <c r="A19" s="349" t="s">
        <v>38</v>
      </c>
      <c r="B19" s="350" t="s">
        <v>329</v>
      </c>
      <c r="C19" s="357" t="s">
        <v>256</v>
      </c>
      <c r="D19" s="354">
        <v>0.28999999999999998</v>
      </c>
      <c r="E19" s="355">
        <v>0.25600000000000001</v>
      </c>
      <c r="F19" s="355">
        <v>0.29600000000000004</v>
      </c>
      <c r="G19" s="355">
        <v>0.318</v>
      </c>
      <c r="H19" s="355">
        <v>0.28100000000000003</v>
      </c>
      <c r="I19" s="355">
        <v>0.34500000000000003</v>
      </c>
      <c r="J19" s="355">
        <v>0.30899999999999994</v>
      </c>
      <c r="K19" s="355">
        <v>0.3</v>
      </c>
      <c r="L19" s="355">
        <v>0.33100000000000002</v>
      </c>
      <c r="M19" s="355">
        <v>0.34299999999999997</v>
      </c>
      <c r="N19" s="356">
        <v>0.34900000000000003</v>
      </c>
      <c r="O19" s="356">
        <v>0.308</v>
      </c>
      <c r="P19" s="356">
        <v>0.29099999999999998</v>
      </c>
      <c r="Q19" s="1217">
        <v>0.32803180914512925</v>
      </c>
      <c r="R19" s="1352">
        <v>0.31325611325611324</v>
      </c>
      <c r="S19" s="1217">
        <v>0.33645102624058199</v>
      </c>
      <c r="T19" s="2166">
        <v>0.30667743672590198</v>
      </c>
      <c r="U19" s="1352">
        <v>0.40318524727577537</v>
      </c>
      <c r="V19" s="2393">
        <v>0.32434000580214678</v>
      </c>
      <c r="W19" s="1047"/>
      <c r="X19" s="1214">
        <v>1507</v>
      </c>
      <c r="Y19" s="1214">
        <v>1287</v>
      </c>
      <c r="Z19" s="1214">
        <v>1473</v>
      </c>
      <c r="AA19" s="1214">
        <v>1531</v>
      </c>
      <c r="AB19" s="1214">
        <v>1333</v>
      </c>
      <c r="AC19" s="1214">
        <v>1593</v>
      </c>
      <c r="AD19" s="1214">
        <v>1402</v>
      </c>
      <c r="AE19" s="1214">
        <v>1284</v>
      </c>
      <c r="AF19" s="1214">
        <v>1365</v>
      </c>
      <c r="AG19" s="1214">
        <v>1464</v>
      </c>
      <c r="AH19" s="1214">
        <v>1497</v>
      </c>
      <c r="AI19" s="1214">
        <v>1268</v>
      </c>
      <c r="AJ19" s="1140">
        <v>1200</v>
      </c>
      <c r="AK19" s="1140">
        <v>1320</v>
      </c>
      <c r="AL19" s="1359">
        <v>1217</v>
      </c>
      <c r="AM19" s="1137">
        <v>1295</v>
      </c>
      <c r="AN19" s="2169">
        <v>1139</v>
      </c>
      <c r="AO19" s="1359">
        <v>1443</v>
      </c>
      <c r="AP19" s="2398">
        <v>1118</v>
      </c>
    </row>
    <row r="20" spans="1:42" x14ac:dyDescent="0.3">
      <c r="A20" s="349" t="s">
        <v>40</v>
      </c>
      <c r="B20" s="350" t="s">
        <v>330</v>
      </c>
      <c r="C20" s="357" t="s">
        <v>254</v>
      </c>
      <c r="D20" s="354">
        <v>0.20299999999999999</v>
      </c>
      <c r="E20" s="355">
        <v>0.182</v>
      </c>
      <c r="F20" s="355">
        <v>0.19700000000000001</v>
      </c>
      <c r="G20" s="355">
        <v>0.21999999999999997</v>
      </c>
      <c r="H20" s="355">
        <v>0.20600000000000002</v>
      </c>
      <c r="I20" s="355">
        <v>0.24500000000000002</v>
      </c>
      <c r="J20" s="355">
        <v>0.21899999999999997</v>
      </c>
      <c r="K20" s="355">
        <v>0.24199999999999999</v>
      </c>
      <c r="L20" s="355">
        <v>0.248</v>
      </c>
      <c r="M20" s="355">
        <v>0.26300000000000001</v>
      </c>
      <c r="N20" s="356">
        <v>0.252</v>
      </c>
      <c r="O20" s="356">
        <v>0.26300000000000001</v>
      </c>
      <c r="P20" s="356">
        <v>0.28299999999999997</v>
      </c>
      <c r="Q20" s="1217">
        <v>0.28427355814686417</v>
      </c>
      <c r="R20" s="1352">
        <v>0.27098014093529788</v>
      </c>
      <c r="S20" s="1217">
        <v>0.27459807073954984</v>
      </c>
      <c r="T20" s="2166">
        <v>0.24338282763072949</v>
      </c>
      <c r="U20" s="1352">
        <v>0.22693850267379678</v>
      </c>
      <c r="V20" s="2393">
        <v>0.24889191953631096</v>
      </c>
      <c r="W20" s="1047"/>
      <c r="X20" s="1214">
        <v>682</v>
      </c>
      <c r="Y20" s="1214">
        <v>594</v>
      </c>
      <c r="Z20" s="1214">
        <v>641</v>
      </c>
      <c r="AA20" s="1214">
        <v>710</v>
      </c>
      <c r="AB20" s="1214">
        <v>658</v>
      </c>
      <c r="AC20" s="1214">
        <v>771</v>
      </c>
      <c r="AD20" s="1214">
        <v>667</v>
      </c>
      <c r="AE20" s="1214">
        <v>717</v>
      </c>
      <c r="AF20" s="1214">
        <v>713</v>
      </c>
      <c r="AG20" s="1214">
        <v>775</v>
      </c>
      <c r="AH20" s="1214">
        <v>814</v>
      </c>
      <c r="AI20" s="1214">
        <v>843</v>
      </c>
      <c r="AJ20" s="1140">
        <v>899</v>
      </c>
      <c r="AK20" s="1140">
        <v>902</v>
      </c>
      <c r="AL20" s="1359">
        <v>846</v>
      </c>
      <c r="AM20" s="1137">
        <v>854</v>
      </c>
      <c r="AN20" s="2169">
        <v>754</v>
      </c>
      <c r="AO20" s="1359">
        <v>679</v>
      </c>
      <c r="AP20" s="2398">
        <v>730</v>
      </c>
    </row>
    <row r="21" spans="1:42" x14ac:dyDescent="0.3">
      <c r="A21" s="349" t="s">
        <v>42</v>
      </c>
      <c r="B21" s="350" t="s">
        <v>331</v>
      </c>
      <c r="C21" s="357" t="s">
        <v>253</v>
      </c>
      <c r="D21" s="354">
        <v>0.14099999999999999</v>
      </c>
      <c r="E21" s="355">
        <v>0.129</v>
      </c>
      <c r="F21" s="355">
        <v>0.15</v>
      </c>
      <c r="G21" s="355">
        <v>0.16800000000000001</v>
      </c>
      <c r="H21" s="355">
        <v>0.15</v>
      </c>
      <c r="I21" s="355">
        <v>0.154</v>
      </c>
      <c r="J21" s="355">
        <v>0.153</v>
      </c>
      <c r="K21" s="355">
        <v>0.153</v>
      </c>
      <c r="L21" s="355">
        <v>0.16200000000000001</v>
      </c>
      <c r="M21" s="355">
        <v>0.17799999999999999</v>
      </c>
      <c r="N21" s="356">
        <v>0.18600000000000003</v>
      </c>
      <c r="O21" s="356">
        <v>0.23</v>
      </c>
      <c r="P21" s="356">
        <v>0.192</v>
      </c>
      <c r="Q21" s="1217">
        <v>0.18702392687516803</v>
      </c>
      <c r="R21" s="1352">
        <v>0.19370194068106922</v>
      </c>
      <c r="S21" s="1217">
        <v>0.16260612772240679</v>
      </c>
      <c r="T21" s="2166">
        <v>0.18388775320572384</v>
      </c>
      <c r="U21" s="1352">
        <v>0.15768407335008844</v>
      </c>
      <c r="V21" s="2393">
        <v>0.16566466265865062</v>
      </c>
      <c r="W21" s="1047"/>
      <c r="X21" s="1214">
        <v>1693</v>
      </c>
      <c r="Y21" s="1214">
        <v>1540</v>
      </c>
      <c r="Z21" s="1214">
        <v>1797</v>
      </c>
      <c r="AA21" s="1214">
        <v>2001</v>
      </c>
      <c r="AB21" s="1214">
        <v>1800</v>
      </c>
      <c r="AC21" s="1214">
        <v>1823</v>
      </c>
      <c r="AD21" s="1214">
        <v>1756</v>
      </c>
      <c r="AE21" s="1214">
        <v>1759</v>
      </c>
      <c r="AF21" s="1214">
        <v>1816</v>
      </c>
      <c r="AG21" s="1214">
        <v>1996</v>
      </c>
      <c r="AH21" s="1214">
        <v>2211</v>
      </c>
      <c r="AI21" s="1214">
        <v>2674</v>
      </c>
      <c r="AJ21" s="1140">
        <v>2199</v>
      </c>
      <c r="AK21" s="1140">
        <v>2087</v>
      </c>
      <c r="AL21" s="1359">
        <v>2116</v>
      </c>
      <c r="AM21" s="1137">
        <v>1762</v>
      </c>
      <c r="AN21" s="2169">
        <v>1979</v>
      </c>
      <c r="AO21" s="1359">
        <v>1694</v>
      </c>
      <c r="AP21" s="2398">
        <v>1736</v>
      </c>
    </row>
    <row r="22" spans="1:42" x14ac:dyDescent="0.3">
      <c r="A22" s="349" t="s">
        <v>44</v>
      </c>
      <c r="B22" s="350" t="s">
        <v>332</v>
      </c>
      <c r="C22" s="357" t="s">
        <v>254</v>
      </c>
      <c r="D22" s="354">
        <v>0.14099999999999999</v>
      </c>
      <c r="E22" s="355">
        <v>0.13</v>
      </c>
      <c r="F22" s="355">
        <v>0.15</v>
      </c>
      <c r="G22" s="355">
        <v>0.14699999999999999</v>
      </c>
      <c r="H22" s="355">
        <v>0.13300000000000001</v>
      </c>
      <c r="I22" s="355">
        <v>0.14599999999999999</v>
      </c>
      <c r="J22" s="355">
        <v>0.126</v>
      </c>
      <c r="K22" s="355">
        <v>0.13300000000000001</v>
      </c>
      <c r="L22" s="355">
        <v>0.14199999999999999</v>
      </c>
      <c r="M22" s="355">
        <v>0.16500000000000001</v>
      </c>
      <c r="N22" s="356">
        <v>0.16600000000000001</v>
      </c>
      <c r="O22" s="356">
        <v>0.18899999999999997</v>
      </c>
      <c r="P22" s="356">
        <v>0.182</v>
      </c>
      <c r="Q22" s="1217">
        <v>0.21008778455586966</v>
      </c>
      <c r="R22" s="1352">
        <v>0.17336829836829837</v>
      </c>
      <c r="S22" s="1217">
        <v>0.17193534544414246</v>
      </c>
      <c r="T22" s="2166">
        <v>0.15039768618944324</v>
      </c>
      <c r="U22" s="1352">
        <v>0.15015700827861833</v>
      </c>
      <c r="V22" s="2393">
        <v>0.1521927293710329</v>
      </c>
      <c r="W22" s="1047"/>
      <c r="X22" s="1214">
        <v>750</v>
      </c>
      <c r="Y22" s="1214">
        <v>699</v>
      </c>
      <c r="Z22" s="1214">
        <v>823</v>
      </c>
      <c r="AA22" s="1214">
        <v>827</v>
      </c>
      <c r="AB22" s="1214">
        <v>797</v>
      </c>
      <c r="AC22" s="1214">
        <v>862</v>
      </c>
      <c r="AD22" s="1214">
        <v>753</v>
      </c>
      <c r="AE22" s="1214">
        <v>864</v>
      </c>
      <c r="AF22" s="1214">
        <v>927</v>
      </c>
      <c r="AG22" s="1214">
        <v>1058</v>
      </c>
      <c r="AH22" s="1214">
        <v>1116</v>
      </c>
      <c r="AI22" s="1214">
        <v>1252</v>
      </c>
      <c r="AJ22" s="1140">
        <v>1225</v>
      </c>
      <c r="AK22" s="1140">
        <v>1412</v>
      </c>
      <c r="AL22" s="1359">
        <v>1190</v>
      </c>
      <c r="AM22" s="1137">
        <v>1202</v>
      </c>
      <c r="AN22" s="2169">
        <v>1040</v>
      </c>
      <c r="AO22" s="1359">
        <v>1052</v>
      </c>
      <c r="AP22" s="2398">
        <v>1055</v>
      </c>
    </row>
    <row r="23" spans="1:42" x14ac:dyDescent="0.3">
      <c r="A23" s="349" t="s">
        <v>46</v>
      </c>
      <c r="B23" s="350" t="s">
        <v>333</v>
      </c>
      <c r="C23" s="357" t="s">
        <v>256</v>
      </c>
      <c r="D23" s="354">
        <v>0.186</v>
      </c>
      <c r="E23" s="355">
        <v>0.18300000000000002</v>
      </c>
      <c r="F23" s="355">
        <v>0.20600000000000002</v>
      </c>
      <c r="G23" s="355">
        <v>0.22600000000000001</v>
      </c>
      <c r="H23" s="355">
        <v>0.18899999999999997</v>
      </c>
      <c r="I23" s="355">
        <v>0.23100000000000004</v>
      </c>
      <c r="J23" s="355">
        <v>0.20500000000000002</v>
      </c>
      <c r="K23" s="355">
        <v>0.20300000000000001</v>
      </c>
      <c r="L23" s="355">
        <v>0.22500000000000001</v>
      </c>
      <c r="M23" s="355">
        <v>0.26100000000000001</v>
      </c>
      <c r="N23" s="356">
        <v>0.249</v>
      </c>
      <c r="O23" s="356">
        <v>0.29399999999999998</v>
      </c>
      <c r="P23" s="356">
        <v>0.26400000000000001</v>
      </c>
      <c r="Q23" s="1217">
        <v>0.25639241607236041</v>
      </c>
      <c r="R23" s="1352">
        <v>0.24964336661911554</v>
      </c>
      <c r="S23" s="1217">
        <v>0.24252252252252252</v>
      </c>
      <c r="T23" s="2166">
        <v>0.22641853676336435</v>
      </c>
      <c r="U23" s="1352">
        <v>0.22685355957211362</v>
      </c>
      <c r="V23" s="2393">
        <v>0.2304628224582701</v>
      </c>
      <c r="W23" s="1047"/>
      <c r="X23" s="1214">
        <v>1114</v>
      </c>
      <c r="Y23" s="1214">
        <v>1082</v>
      </c>
      <c r="Z23" s="1214">
        <v>1233</v>
      </c>
      <c r="AA23" s="1214">
        <v>1354</v>
      </c>
      <c r="AB23" s="1214">
        <v>1122</v>
      </c>
      <c r="AC23" s="1214">
        <v>1357</v>
      </c>
      <c r="AD23" s="1214">
        <v>1186</v>
      </c>
      <c r="AE23" s="1214">
        <v>1154</v>
      </c>
      <c r="AF23" s="1214">
        <v>1262</v>
      </c>
      <c r="AG23" s="1214">
        <v>1467</v>
      </c>
      <c r="AH23" s="1214">
        <v>1518</v>
      </c>
      <c r="AI23" s="1214">
        <v>1755</v>
      </c>
      <c r="AJ23" s="1140">
        <v>1541</v>
      </c>
      <c r="AK23" s="1140">
        <v>1474</v>
      </c>
      <c r="AL23" s="1359">
        <v>1400</v>
      </c>
      <c r="AM23" s="1137">
        <v>1346</v>
      </c>
      <c r="AN23" s="2169">
        <v>1241</v>
      </c>
      <c r="AO23" s="1359">
        <v>1230</v>
      </c>
      <c r="AP23" s="2398">
        <v>1215</v>
      </c>
    </row>
    <row r="24" spans="1:42" x14ac:dyDescent="0.3">
      <c r="A24" s="349" t="s">
        <v>48</v>
      </c>
      <c r="B24" s="350" t="s">
        <v>334</v>
      </c>
      <c r="C24" s="357" t="s">
        <v>254</v>
      </c>
      <c r="D24" s="354">
        <v>0.14100000000000001</v>
      </c>
      <c r="E24" s="355">
        <v>0.126</v>
      </c>
      <c r="F24" s="355">
        <v>0.14699999999999999</v>
      </c>
      <c r="G24" s="355">
        <v>0.15699999999999997</v>
      </c>
      <c r="H24" s="355">
        <v>0.13099999999999998</v>
      </c>
      <c r="I24" s="355">
        <v>0.14900000000000002</v>
      </c>
      <c r="J24" s="355">
        <v>0.152</v>
      </c>
      <c r="K24" s="355">
        <v>0.15000000000000002</v>
      </c>
      <c r="L24" s="355">
        <v>0.16699999999999998</v>
      </c>
      <c r="M24" s="355">
        <v>0.17200000000000001</v>
      </c>
      <c r="N24" s="356">
        <v>0.184</v>
      </c>
      <c r="O24" s="356">
        <v>0.18100000000000002</v>
      </c>
      <c r="P24" s="356">
        <v>0.20100000000000001</v>
      </c>
      <c r="Q24" s="1217">
        <v>0.19565217391304349</v>
      </c>
      <c r="R24" s="1352">
        <v>0.19121683440073192</v>
      </c>
      <c r="S24" s="1217">
        <v>0.19537037037037036</v>
      </c>
      <c r="T24" s="2166">
        <v>0.19981412639405205</v>
      </c>
      <c r="U24" s="1352">
        <v>0.17537313432835822</v>
      </c>
      <c r="V24" s="2393">
        <v>0.18798449612403101</v>
      </c>
      <c r="W24" s="1047"/>
      <c r="X24" s="1214">
        <v>207</v>
      </c>
      <c r="Y24" s="1214">
        <v>182</v>
      </c>
      <c r="Z24" s="1214">
        <v>213</v>
      </c>
      <c r="AA24" s="1214">
        <v>223</v>
      </c>
      <c r="AB24" s="1214">
        <v>179</v>
      </c>
      <c r="AC24" s="1214">
        <v>201</v>
      </c>
      <c r="AD24" s="1214">
        <v>204</v>
      </c>
      <c r="AE24" s="1214">
        <v>200</v>
      </c>
      <c r="AF24" s="1214">
        <v>227</v>
      </c>
      <c r="AG24" s="1214">
        <v>225</v>
      </c>
      <c r="AH24" s="1214">
        <v>238</v>
      </c>
      <c r="AI24" s="1214">
        <v>223</v>
      </c>
      <c r="AJ24" s="1140">
        <v>234</v>
      </c>
      <c r="AK24" s="1140">
        <v>225</v>
      </c>
      <c r="AL24" s="1359">
        <v>209</v>
      </c>
      <c r="AM24" s="1137">
        <v>211</v>
      </c>
      <c r="AN24" s="2169">
        <v>215</v>
      </c>
      <c r="AO24" s="1359">
        <v>188</v>
      </c>
      <c r="AP24" s="2398">
        <v>194</v>
      </c>
    </row>
    <row r="25" spans="1:42" x14ac:dyDescent="0.3">
      <c r="A25" s="349" t="s">
        <v>50</v>
      </c>
      <c r="B25" s="350" t="s">
        <v>335</v>
      </c>
      <c r="C25" s="357" t="s">
        <v>253</v>
      </c>
      <c r="D25" s="354">
        <v>0.21100000000000002</v>
      </c>
      <c r="E25" s="355">
        <v>0.2</v>
      </c>
      <c r="F25" s="355">
        <v>0.22</v>
      </c>
      <c r="G25" s="355">
        <v>0.23799999999999999</v>
      </c>
      <c r="H25" s="355">
        <v>0.20300000000000001</v>
      </c>
      <c r="I25" s="355">
        <v>0.23499999999999999</v>
      </c>
      <c r="J25" s="355">
        <v>0.23500000000000001</v>
      </c>
      <c r="K25" s="355">
        <v>0.26100000000000001</v>
      </c>
      <c r="L25" s="355">
        <v>0.25900000000000001</v>
      </c>
      <c r="M25" s="355">
        <v>0.27199999999999996</v>
      </c>
      <c r="N25" s="356">
        <v>0.28100000000000003</v>
      </c>
      <c r="O25" s="356">
        <v>0.30499999999999999</v>
      </c>
      <c r="P25" s="356">
        <v>0.28399999999999997</v>
      </c>
      <c r="Q25" s="1217">
        <v>0.27573253193087904</v>
      </c>
      <c r="R25" s="1352">
        <v>0.30421337456513337</v>
      </c>
      <c r="S25" s="1217">
        <v>0.28385826771653544</v>
      </c>
      <c r="T25" s="2166">
        <v>0.29333852746396571</v>
      </c>
      <c r="U25" s="1352">
        <v>0.26158680282796543</v>
      </c>
      <c r="V25" s="2393">
        <v>0.2969647251845775</v>
      </c>
      <c r="W25" s="1047"/>
      <c r="X25" s="1214">
        <v>618</v>
      </c>
      <c r="Y25" s="1214">
        <v>581</v>
      </c>
      <c r="Z25" s="1214">
        <v>638</v>
      </c>
      <c r="AA25" s="1214">
        <v>682</v>
      </c>
      <c r="AB25" s="1214">
        <v>580</v>
      </c>
      <c r="AC25" s="1214">
        <v>662</v>
      </c>
      <c r="AD25" s="1214">
        <v>646</v>
      </c>
      <c r="AE25" s="1214">
        <v>691</v>
      </c>
      <c r="AF25" s="1214">
        <v>674</v>
      </c>
      <c r="AG25" s="1214">
        <v>724</v>
      </c>
      <c r="AH25" s="1214">
        <v>796</v>
      </c>
      <c r="AI25" s="1214">
        <v>830</v>
      </c>
      <c r="AJ25" s="1140">
        <v>756</v>
      </c>
      <c r="AK25" s="1140">
        <v>734</v>
      </c>
      <c r="AL25" s="1359">
        <v>787</v>
      </c>
      <c r="AM25" s="1137">
        <v>721</v>
      </c>
      <c r="AN25" s="2169">
        <v>753</v>
      </c>
      <c r="AO25" s="1359">
        <v>666</v>
      </c>
      <c r="AP25" s="2398">
        <v>724</v>
      </c>
    </row>
    <row r="26" spans="1:42" x14ac:dyDescent="0.3">
      <c r="A26" s="349" t="s">
        <v>56</v>
      </c>
      <c r="B26" s="350" t="s">
        <v>601</v>
      </c>
      <c r="C26" s="357" t="s">
        <v>254</v>
      </c>
      <c r="D26" s="354">
        <v>6.6162592847827204E-2</v>
      </c>
      <c r="E26" s="355">
        <v>6.1985132760176691E-2</v>
      </c>
      <c r="F26" s="355">
        <v>7.6745253964520699E-2</v>
      </c>
      <c r="G26" s="355">
        <v>8.9098295969368371E-2</v>
      </c>
      <c r="H26" s="355">
        <v>8.4639475052664961E-2</v>
      </c>
      <c r="I26" s="355">
        <v>8.5835080186892287E-2</v>
      </c>
      <c r="J26" s="355">
        <v>7.5312499027605631E-2</v>
      </c>
      <c r="K26" s="355">
        <v>7.7429640998764648E-2</v>
      </c>
      <c r="L26" s="355">
        <v>8.2993030907240153E-2</v>
      </c>
      <c r="M26" s="355">
        <v>8.8543304157549227E-2</v>
      </c>
      <c r="N26" s="356">
        <v>9.271632452521289E-2</v>
      </c>
      <c r="O26" s="356">
        <v>0.10659729250258962</v>
      </c>
      <c r="P26" s="356">
        <v>0.1</v>
      </c>
      <c r="Q26" s="1217">
        <v>0.11103941881444838</v>
      </c>
      <c r="R26" s="1352">
        <v>0.11519602008997644</v>
      </c>
      <c r="S26" s="1217">
        <v>9.8614439251227787E-2</v>
      </c>
      <c r="T26" s="2166">
        <v>9.6206785599370778E-2</v>
      </c>
      <c r="U26" s="1352">
        <v>9.090587985965573E-2</v>
      </c>
      <c r="V26" s="2393">
        <v>0.10282437041536233</v>
      </c>
      <c r="W26" s="1047"/>
      <c r="X26" s="1214">
        <v>5095</v>
      </c>
      <c r="Y26" s="1214">
        <v>4754</v>
      </c>
      <c r="Z26" s="1214">
        <v>5992</v>
      </c>
      <c r="AA26" s="1214">
        <v>6928</v>
      </c>
      <c r="AB26" s="1214">
        <v>6652</v>
      </c>
      <c r="AC26" s="1214">
        <v>6664</v>
      </c>
      <c r="AD26" s="1214">
        <v>5829</v>
      </c>
      <c r="AE26" s="1214">
        <v>6162</v>
      </c>
      <c r="AF26" s="1214">
        <v>6555</v>
      </c>
      <c r="AG26" s="1214">
        <v>7447</v>
      </c>
      <c r="AH26" s="1214">
        <v>7901</v>
      </c>
      <c r="AI26" s="1214">
        <v>8953</v>
      </c>
      <c r="AJ26" s="1140">
        <v>8309</v>
      </c>
      <c r="AK26" s="1140">
        <v>9293</v>
      </c>
      <c r="AL26" s="1359">
        <v>9679</v>
      </c>
      <c r="AM26" s="1137">
        <v>8313</v>
      </c>
      <c r="AN26" s="2169">
        <v>8073</v>
      </c>
      <c r="AO26" s="1359">
        <v>7721</v>
      </c>
      <c r="AP26" s="2398">
        <v>8803</v>
      </c>
    </row>
    <row r="27" spans="1:42" x14ac:dyDescent="0.3">
      <c r="A27" s="349" t="s">
        <v>58</v>
      </c>
      <c r="B27" s="350" t="s">
        <v>336</v>
      </c>
      <c r="C27" s="357" t="s">
        <v>255</v>
      </c>
      <c r="D27" s="354">
        <v>0.09</v>
      </c>
      <c r="E27" s="355">
        <v>7.4999999999999997E-2</v>
      </c>
      <c r="F27" s="355">
        <v>7.1999999999999995E-2</v>
      </c>
      <c r="G27" s="355">
        <v>8.4000000000000005E-2</v>
      </c>
      <c r="H27" s="355">
        <v>7.2999999999999995E-2</v>
      </c>
      <c r="I27" s="355">
        <v>7.9000000000000001E-2</v>
      </c>
      <c r="J27" s="355">
        <v>7.3000000000000009E-2</v>
      </c>
      <c r="K27" s="355">
        <v>7.3999999999999996E-2</v>
      </c>
      <c r="L27" s="355">
        <v>9.4E-2</v>
      </c>
      <c r="M27" s="355">
        <v>9.4E-2</v>
      </c>
      <c r="N27" s="356">
        <v>0.10099999999999999</v>
      </c>
      <c r="O27" s="356">
        <v>0.10300000000000001</v>
      </c>
      <c r="P27" s="356">
        <v>0.105</v>
      </c>
      <c r="Q27" s="1217">
        <v>9.8662207357859535E-2</v>
      </c>
      <c r="R27" s="1352">
        <v>0.10641835716661124</v>
      </c>
      <c r="S27" s="1217">
        <v>0.10434197239986537</v>
      </c>
      <c r="T27" s="2166">
        <v>9.1283459162663005E-2</v>
      </c>
      <c r="U27" s="1352">
        <v>8.0600139567341245E-2</v>
      </c>
      <c r="V27" s="2393">
        <v>8.0156750979693617E-2</v>
      </c>
      <c r="W27" s="1047"/>
      <c r="X27" s="1214">
        <v>264</v>
      </c>
      <c r="Y27" s="1214">
        <v>221</v>
      </c>
      <c r="Z27" s="1214">
        <v>216</v>
      </c>
      <c r="AA27" s="1214">
        <v>250</v>
      </c>
      <c r="AB27" s="1214">
        <v>223</v>
      </c>
      <c r="AC27" s="1214">
        <v>238</v>
      </c>
      <c r="AD27" s="1214">
        <v>217</v>
      </c>
      <c r="AE27" s="1214">
        <v>222</v>
      </c>
      <c r="AF27" s="1214">
        <v>278</v>
      </c>
      <c r="AG27" s="1214">
        <v>286</v>
      </c>
      <c r="AH27" s="1214">
        <v>316</v>
      </c>
      <c r="AI27" s="1214">
        <v>318</v>
      </c>
      <c r="AJ27" s="1140">
        <v>323</v>
      </c>
      <c r="AK27" s="1140">
        <v>295</v>
      </c>
      <c r="AL27" s="1359">
        <v>320</v>
      </c>
      <c r="AM27" s="1137">
        <v>310</v>
      </c>
      <c r="AN27" s="2169">
        <v>266</v>
      </c>
      <c r="AO27" s="1359">
        <v>231</v>
      </c>
      <c r="AP27" s="2398">
        <v>225</v>
      </c>
    </row>
    <row r="28" spans="1:42" x14ac:dyDescent="0.3">
      <c r="A28" s="349" t="s">
        <v>60</v>
      </c>
      <c r="B28" s="350" t="s">
        <v>337</v>
      </c>
      <c r="C28" s="357" t="s">
        <v>253</v>
      </c>
      <c r="D28" s="354">
        <v>0.127</v>
      </c>
      <c r="E28" s="355">
        <v>0.10900000000000001</v>
      </c>
      <c r="F28" s="355">
        <v>0.11800000000000001</v>
      </c>
      <c r="G28" s="355">
        <v>0.14800000000000002</v>
      </c>
      <c r="H28" s="355">
        <v>0.127</v>
      </c>
      <c r="I28" s="355">
        <v>0.15300000000000002</v>
      </c>
      <c r="J28" s="355">
        <v>0.15</v>
      </c>
      <c r="K28" s="355">
        <v>0.14900000000000002</v>
      </c>
      <c r="L28" s="355">
        <v>0.17100000000000001</v>
      </c>
      <c r="M28" s="355">
        <v>0.185</v>
      </c>
      <c r="N28" s="356">
        <v>0.17899999999999999</v>
      </c>
      <c r="O28" s="356">
        <v>0.19899999999999998</v>
      </c>
      <c r="P28" s="356">
        <v>0.221</v>
      </c>
      <c r="Q28" s="1217">
        <v>0.21725888324873097</v>
      </c>
      <c r="R28" s="1352">
        <v>0.21031344792719919</v>
      </c>
      <c r="S28" s="1217">
        <v>0.21658031088082902</v>
      </c>
      <c r="T28" s="2166">
        <v>0.22280887011615627</v>
      </c>
      <c r="U28" s="1352">
        <v>0.1925601750547046</v>
      </c>
      <c r="V28" s="2393">
        <v>0.21180555555555555</v>
      </c>
      <c r="W28" s="1047"/>
      <c r="X28" s="1214">
        <v>146</v>
      </c>
      <c r="Y28" s="1214">
        <v>126</v>
      </c>
      <c r="Z28" s="1214">
        <v>138</v>
      </c>
      <c r="AA28" s="1214">
        <v>170</v>
      </c>
      <c r="AB28" s="1214">
        <v>146</v>
      </c>
      <c r="AC28" s="1214">
        <v>173</v>
      </c>
      <c r="AD28" s="1214">
        <v>162</v>
      </c>
      <c r="AE28" s="1214">
        <v>159</v>
      </c>
      <c r="AF28" s="1214">
        <v>172</v>
      </c>
      <c r="AG28" s="1214">
        <v>183</v>
      </c>
      <c r="AH28" s="1214">
        <v>197</v>
      </c>
      <c r="AI28" s="1214">
        <v>214</v>
      </c>
      <c r="AJ28" s="1140">
        <v>234</v>
      </c>
      <c r="AK28" s="1140">
        <v>214</v>
      </c>
      <c r="AL28" s="1359">
        <v>208</v>
      </c>
      <c r="AM28" s="1137">
        <v>209</v>
      </c>
      <c r="AN28" s="2169">
        <v>211</v>
      </c>
      <c r="AO28" s="1359">
        <v>176</v>
      </c>
      <c r="AP28" s="2398">
        <v>183</v>
      </c>
    </row>
    <row r="29" spans="1:42" x14ac:dyDescent="0.3">
      <c r="A29" s="349" t="s">
        <v>62</v>
      </c>
      <c r="B29" s="350" t="s">
        <v>338</v>
      </c>
      <c r="C29" s="357" t="s">
        <v>255</v>
      </c>
      <c r="D29" s="354">
        <v>0.122</v>
      </c>
      <c r="E29" s="355">
        <v>0.11</v>
      </c>
      <c r="F29" s="355">
        <v>0.114</v>
      </c>
      <c r="G29" s="355">
        <v>0.121</v>
      </c>
      <c r="H29" s="355">
        <v>0.10400000000000001</v>
      </c>
      <c r="I29" s="355">
        <v>0.111</v>
      </c>
      <c r="J29" s="355">
        <v>0.10100000000000001</v>
      </c>
      <c r="K29" s="355">
        <v>0.10800000000000001</v>
      </c>
      <c r="L29" s="355">
        <v>0.11099999999999999</v>
      </c>
      <c r="M29" s="355">
        <v>0.14000000000000001</v>
      </c>
      <c r="N29" s="356">
        <v>0.14800000000000002</v>
      </c>
      <c r="O29" s="356">
        <v>0.16399999999999998</v>
      </c>
      <c r="P29" s="356">
        <v>0.155</v>
      </c>
      <c r="Q29" s="1217">
        <v>0.15169243627246135</v>
      </c>
      <c r="R29" s="1352">
        <v>0.15268304708686006</v>
      </c>
      <c r="S29" s="1217">
        <v>0.14883951433055256</v>
      </c>
      <c r="T29" s="2166">
        <v>0.1341513292433538</v>
      </c>
      <c r="U29" s="1352">
        <v>0.13168364099299809</v>
      </c>
      <c r="V29" s="2393">
        <v>0.11310377809660449</v>
      </c>
      <c r="W29" s="1047"/>
      <c r="X29" s="1214">
        <v>1068</v>
      </c>
      <c r="Y29" s="1214">
        <v>979</v>
      </c>
      <c r="Z29" s="1214">
        <v>1066</v>
      </c>
      <c r="AA29" s="1214">
        <v>1169</v>
      </c>
      <c r="AB29" s="1214">
        <v>1059</v>
      </c>
      <c r="AC29" s="1214">
        <v>1114</v>
      </c>
      <c r="AD29" s="1214">
        <v>1025</v>
      </c>
      <c r="AE29" s="1214">
        <v>1194</v>
      </c>
      <c r="AF29" s="1214">
        <v>1230</v>
      </c>
      <c r="AG29" s="1214">
        <v>1639</v>
      </c>
      <c r="AH29" s="1214">
        <v>1746</v>
      </c>
      <c r="AI29" s="1214">
        <v>1926</v>
      </c>
      <c r="AJ29" s="1140">
        <v>1830</v>
      </c>
      <c r="AK29" s="1140">
        <v>1815</v>
      </c>
      <c r="AL29" s="1359">
        <v>1858</v>
      </c>
      <c r="AM29" s="1137">
        <v>1802</v>
      </c>
      <c r="AN29" s="2169">
        <v>1640</v>
      </c>
      <c r="AO29" s="1359">
        <v>1655</v>
      </c>
      <c r="AP29" s="2398">
        <v>1419</v>
      </c>
    </row>
    <row r="30" spans="1:42" x14ac:dyDescent="0.3">
      <c r="A30" s="349" t="s">
        <v>64</v>
      </c>
      <c r="B30" s="350" t="s">
        <v>339</v>
      </c>
      <c r="C30" s="357" t="s">
        <v>254</v>
      </c>
      <c r="D30" s="354">
        <v>0.19899999999999995</v>
      </c>
      <c r="E30" s="355">
        <v>0.18500000000000003</v>
      </c>
      <c r="F30" s="355">
        <v>0.20199999999999999</v>
      </c>
      <c r="G30" s="355">
        <v>0.222</v>
      </c>
      <c r="H30" s="355">
        <v>0.19800000000000001</v>
      </c>
      <c r="I30" s="355">
        <v>0.24600000000000002</v>
      </c>
      <c r="J30" s="355">
        <v>0.22399999999999998</v>
      </c>
      <c r="K30" s="355">
        <v>0.217</v>
      </c>
      <c r="L30" s="355">
        <v>0.22899999999999995</v>
      </c>
      <c r="M30" s="355">
        <v>0.24899999999999997</v>
      </c>
      <c r="N30" s="356">
        <v>0.26</v>
      </c>
      <c r="O30" s="356">
        <v>0.27100000000000002</v>
      </c>
      <c r="P30" s="356">
        <v>0.25800000000000001</v>
      </c>
      <c r="Q30" s="1217">
        <v>0.27826941986234022</v>
      </c>
      <c r="R30" s="1352">
        <v>0.29348358647721706</v>
      </c>
      <c r="S30" s="1217">
        <v>0.30792529025744575</v>
      </c>
      <c r="T30" s="2166">
        <v>0.26354550236717517</v>
      </c>
      <c r="U30" s="1352">
        <v>0.23655352480417755</v>
      </c>
      <c r="V30" s="2393">
        <v>0.2516025641025641</v>
      </c>
      <c r="W30" s="1047"/>
      <c r="X30" s="1214">
        <v>422</v>
      </c>
      <c r="Y30" s="1214">
        <v>395</v>
      </c>
      <c r="Z30" s="1214">
        <v>445</v>
      </c>
      <c r="AA30" s="1214">
        <v>479</v>
      </c>
      <c r="AB30" s="1214">
        <v>434</v>
      </c>
      <c r="AC30" s="1214">
        <v>532</v>
      </c>
      <c r="AD30" s="1214">
        <v>466</v>
      </c>
      <c r="AE30" s="1214">
        <v>473</v>
      </c>
      <c r="AF30" s="1214">
        <v>493</v>
      </c>
      <c r="AG30" s="1214">
        <v>529</v>
      </c>
      <c r="AH30" s="1214">
        <v>588</v>
      </c>
      <c r="AI30" s="1214">
        <v>598</v>
      </c>
      <c r="AJ30" s="1140">
        <v>550</v>
      </c>
      <c r="AK30" s="1140">
        <v>566</v>
      </c>
      <c r="AL30" s="1359">
        <v>599</v>
      </c>
      <c r="AM30" s="1137">
        <v>610</v>
      </c>
      <c r="AN30" s="2169">
        <v>501</v>
      </c>
      <c r="AO30" s="1359">
        <v>453</v>
      </c>
      <c r="AP30" s="2398">
        <v>471</v>
      </c>
    </row>
    <row r="31" spans="1:42" x14ac:dyDescent="0.3">
      <c r="A31" s="349" t="s">
        <v>68</v>
      </c>
      <c r="B31" s="350" t="s">
        <v>340</v>
      </c>
      <c r="C31" s="357" t="s">
        <v>256</v>
      </c>
      <c r="D31" s="354">
        <v>0.26</v>
      </c>
      <c r="E31" s="355">
        <v>0.22699999999999998</v>
      </c>
      <c r="F31" s="355">
        <v>0.246</v>
      </c>
      <c r="G31" s="355">
        <v>0.27300000000000002</v>
      </c>
      <c r="H31" s="355">
        <v>0.24199999999999997</v>
      </c>
      <c r="I31" s="355">
        <v>0.3</v>
      </c>
      <c r="J31" s="355">
        <v>0.25600000000000001</v>
      </c>
      <c r="K31" s="355">
        <v>0.27899999999999997</v>
      </c>
      <c r="L31" s="355">
        <v>0.28999999999999998</v>
      </c>
      <c r="M31" s="355">
        <v>0.27</v>
      </c>
      <c r="N31" s="356">
        <v>0.26600000000000001</v>
      </c>
      <c r="O31" s="356">
        <v>0.26899999999999996</v>
      </c>
      <c r="P31" s="356">
        <v>0.26900000000000002</v>
      </c>
      <c r="Q31" s="1217">
        <v>0.27476340694006307</v>
      </c>
      <c r="R31" s="1352">
        <v>0.27092016672010261</v>
      </c>
      <c r="S31" s="1217">
        <v>0.33029315960912053</v>
      </c>
      <c r="T31" s="2166">
        <v>0.29867030344357315</v>
      </c>
      <c r="U31" s="1352">
        <v>0.30735042735042734</v>
      </c>
      <c r="V31" s="2393">
        <v>0.2874779541446208</v>
      </c>
      <c r="W31" s="1047"/>
      <c r="X31" s="1214">
        <v>889</v>
      </c>
      <c r="Y31" s="1214">
        <v>759</v>
      </c>
      <c r="Z31" s="1214">
        <v>816</v>
      </c>
      <c r="AA31" s="1214">
        <v>903</v>
      </c>
      <c r="AB31" s="1214">
        <v>803</v>
      </c>
      <c r="AC31" s="1214">
        <v>982</v>
      </c>
      <c r="AD31" s="1214">
        <v>808</v>
      </c>
      <c r="AE31" s="1214">
        <v>866</v>
      </c>
      <c r="AF31" s="1214">
        <v>901</v>
      </c>
      <c r="AG31" s="1214">
        <v>874</v>
      </c>
      <c r="AH31" s="1214">
        <v>874</v>
      </c>
      <c r="AI31" s="1214">
        <v>859</v>
      </c>
      <c r="AJ31" s="1140">
        <v>860</v>
      </c>
      <c r="AK31" s="1140">
        <v>871</v>
      </c>
      <c r="AL31" s="1359">
        <v>845</v>
      </c>
      <c r="AM31" s="1137">
        <v>1014</v>
      </c>
      <c r="AN31" s="2169">
        <v>876</v>
      </c>
      <c r="AO31" s="1359">
        <v>899</v>
      </c>
      <c r="AP31" s="2398">
        <v>815</v>
      </c>
    </row>
    <row r="32" spans="1:42" x14ac:dyDescent="0.3">
      <c r="A32" s="349" t="s">
        <v>70</v>
      </c>
      <c r="B32" s="350" t="s">
        <v>341</v>
      </c>
      <c r="C32" s="357" t="s">
        <v>252</v>
      </c>
      <c r="D32" s="354">
        <v>0.129</v>
      </c>
      <c r="E32" s="355">
        <v>0.11199999999999999</v>
      </c>
      <c r="F32" s="355">
        <v>0.127</v>
      </c>
      <c r="G32" s="355">
        <v>0.151</v>
      </c>
      <c r="H32" s="355">
        <v>0.13499999999999998</v>
      </c>
      <c r="I32" s="355">
        <v>0.13900000000000001</v>
      </c>
      <c r="J32" s="355">
        <v>0.152</v>
      </c>
      <c r="K32" s="355">
        <v>0.14199999999999999</v>
      </c>
      <c r="L32" s="355">
        <v>0.14900000000000002</v>
      </c>
      <c r="M32" s="355">
        <v>0.151</v>
      </c>
      <c r="N32" s="356">
        <v>0.16600000000000001</v>
      </c>
      <c r="O32" s="356">
        <v>0.18899999999999997</v>
      </c>
      <c r="P32" s="356">
        <v>0.17199999999999999</v>
      </c>
      <c r="Q32" s="1217">
        <v>0.20202378838984555</v>
      </c>
      <c r="R32" s="1352">
        <v>0.17710389377355104</v>
      </c>
      <c r="S32" s="1217">
        <v>0.17527442864855139</v>
      </c>
      <c r="T32" s="2166">
        <v>0.18381690394665706</v>
      </c>
      <c r="U32" s="1352">
        <v>0.1601576495879613</v>
      </c>
      <c r="V32" s="2393">
        <v>0.17792068595927116</v>
      </c>
      <c r="W32" s="1047"/>
      <c r="X32" s="1214">
        <v>739</v>
      </c>
      <c r="Y32" s="1214">
        <v>635</v>
      </c>
      <c r="Z32" s="1214">
        <v>727</v>
      </c>
      <c r="AA32" s="1214">
        <v>863</v>
      </c>
      <c r="AB32" s="1214">
        <v>763</v>
      </c>
      <c r="AC32" s="1214">
        <v>779</v>
      </c>
      <c r="AD32" s="1214">
        <v>847</v>
      </c>
      <c r="AE32" s="1214">
        <v>805</v>
      </c>
      <c r="AF32" s="1214">
        <v>842</v>
      </c>
      <c r="AG32" s="1214">
        <v>871</v>
      </c>
      <c r="AH32" s="1214">
        <v>1043</v>
      </c>
      <c r="AI32" s="1214">
        <v>1141</v>
      </c>
      <c r="AJ32" s="1140">
        <v>991</v>
      </c>
      <c r="AK32" s="1140">
        <v>1138</v>
      </c>
      <c r="AL32" s="1359">
        <v>987</v>
      </c>
      <c r="AM32" s="1137">
        <v>974</v>
      </c>
      <c r="AN32" s="2169">
        <v>1020</v>
      </c>
      <c r="AO32" s="1359">
        <v>894</v>
      </c>
      <c r="AP32" s="2398">
        <v>996</v>
      </c>
    </row>
    <row r="33" spans="1:42" x14ac:dyDescent="0.3">
      <c r="A33" s="349" t="s">
        <v>72</v>
      </c>
      <c r="B33" s="350" t="s">
        <v>342</v>
      </c>
      <c r="C33" s="357" t="s">
        <v>254</v>
      </c>
      <c r="D33" s="354">
        <v>0.18300000000000002</v>
      </c>
      <c r="E33" s="355">
        <v>0.153</v>
      </c>
      <c r="F33" s="355">
        <v>0.188</v>
      </c>
      <c r="G33" s="355">
        <v>0.20599999999999999</v>
      </c>
      <c r="H33" s="355">
        <v>0.17799999999999999</v>
      </c>
      <c r="I33" s="355">
        <v>0.20799999999999999</v>
      </c>
      <c r="J33" s="355">
        <v>0.19299999999999998</v>
      </c>
      <c r="K33" s="355">
        <v>0.18500000000000003</v>
      </c>
      <c r="L33" s="355">
        <v>0.20499999999999999</v>
      </c>
      <c r="M33" s="355">
        <v>0.217</v>
      </c>
      <c r="N33" s="356">
        <v>0.23600000000000002</v>
      </c>
      <c r="O33" s="356">
        <v>0.247</v>
      </c>
      <c r="P33" s="356">
        <v>0.26</v>
      </c>
      <c r="Q33" s="1217">
        <v>0.26057906458797325</v>
      </c>
      <c r="R33" s="1352">
        <v>0.24559777571825764</v>
      </c>
      <c r="S33" s="1217">
        <v>0.26745283018867927</v>
      </c>
      <c r="T33" s="2166">
        <v>0.23986804901036757</v>
      </c>
      <c r="U33" s="1352">
        <v>0.2339913336543091</v>
      </c>
      <c r="V33" s="2393">
        <v>0.2344546381243629</v>
      </c>
      <c r="W33" s="1047"/>
      <c r="X33" s="1214">
        <v>412</v>
      </c>
      <c r="Y33" s="1214">
        <v>344</v>
      </c>
      <c r="Z33" s="1214">
        <v>429</v>
      </c>
      <c r="AA33" s="1214">
        <v>475</v>
      </c>
      <c r="AB33" s="1214">
        <v>401</v>
      </c>
      <c r="AC33" s="1214">
        <v>463</v>
      </c>
      <c r="AD33" s="1214">
        <v>431</v>
      </c>
      <c r="AE33" s="1214">
        <v>430</v>
      </c>
      <c r="AF33" s="1214">
        <v>472</v>
      </c>
      <c r="AG33" s="1214">
        <v>511</v>
      </c>
      <c r="AH33" s="1214">
        <v>562</v>
      </c>
      <c r="AI33" s="1214">
        <v>581</v>
      </c>
      <c r="AJ33" s="1140">
        <v>608</v>
      </c>
      <c r="AK33" s="1140">
        <v>585</v>
      </c>
      <c r="AL33" s="1359">
        <v>530</v>
      </c>
      <c r="AM33" s="1137">
        <v>567</v>
      </c>
      <c r="AN33" s="2169">
        <v>509</v>
      </c>
      <c r="AO33" s="1359">
        <v>486</v>
      </c>
      <c r="AP33" s="2398">
        <v>460</v>
      </c>
    </row>
    <row r="34" spans="1:42" x14ac:dyDescent="0.3">
      <c r="A34" s="349" t="s">
        <v>74</v>
      </c>
      <c r="B34" s="350" t="s">
        <v>472</v>
      </c>
      <c r="C34" s="357" t="s">
        <v>255</v>
      </c>
      <c r="D34" s="354">
        <v>5.6980692580757518E-2</v>
      </c>
      <c r="E34" s="355">
        <v>5.4791857402856935E-2</v>
      </c>
      <c r="F34" s="355">
        <v>6.0754586948858096E-2</v>
      </c>
      <c r="G34" s="355">
        <v>6.8447406952050621E-2</v>
      </c>
      <c r="H34" s="355">
        <v>6.3557765840483643E-2</v>
      </c>
      <c r="I34" s="355">
        <v>6.3590983205997847E-2</v>
      </c>
      <c r="J34" s="355">
        <v>5.775728967223534E-2</v>
      </c>
      <c r="K34" s="355">
        <v>6.1628252698446059E-2</v>
      </c>
      <c r="L34" s="355">
        <v>6.3773625796764905E-2</v>
      </c>
      <c r="M34" s="355">
        <v>6.8738335644825926E-2</v>
      </c>
      <c r="N34" s="356">
        <v>7.2617408043070833E-2</v>
      </c>
      <c r="O34" s="356">
        <v>8.9207187298385601E-2</v>
      </c>
      <c r="P34" s="356">
        <v>7.8E-2</v>
      </c>
      <c r="Q34" s="1217">
        <v>7.6301450489454428E-2</v>
      </c>
      <c r="R34" s="1352">
        <v>8.5946163927815303E-2</v>
      </c>
      <c r="S34" s="1217">
        <v>7.4455229829706343E-2</v>
      </c>
      <c r="T34" s="2166">
        <v>7.1185987044598845E-2</v>
      </c>
      <c r="U34" s="1352">
        <v>8.5432317518181922E-2</v>
      </c>
      <c r="V34" s="2393">
        <v>7.1389440153249481E-2</v>
      </c>
      <c r="W34" s="1047"/>
      <c r="X34" s="1214">
        <v>14781</v>
      </c>
      <c r="Y34" s="1214">
        <v>14104</v>
      </c>
      <c r="Z34" s="1214">
        <v>15917</v>
      </c>
      <c r="AA34" s="1214">
        <v>18019</v>
      </c>
      <c r="AB34" s="1214">
        <v>16697</v>
      </c>
      <c r="AC34" s="1214">
        <v>16645</v>
      </c>
      <c r="AD34" s="1214">
        <v>14925</v>
      </c>
      <c r="AE34" s="1214">
        <v>15368</v>
      </c>
      <c r="AF34" s="1214">
        <v>16089</v>
      </c>
      <c r="AG34" s="1214">
        <v>17979</v>
      </c>
      <c r="AH34" s="1214">
        <v>19599</v>
      </c>
      <c r="AI34" s="1214">
        <v>24059</v>
      </c>
      <c r="AJ34" s="1140">
        <v>21279</v>
      </c>
      <c r="AK34" s="1140">
        <v>21131</v>
      </c>
      <c r="AL34" s="1359">
        <v>23870</v>
      </c>
      <c r="AM34" s="1137">
        <v>20641</v>
      </c>
      <c r="AN34" s="2169">
        <v>19682</v>
      </c>
      <c r="AO34" s="1359">
        <v>23529</v>
      </c>
      <c r="AP34" s="2398">
        <v>19677</v>
      </c>
    </row>
    <row r="35" spans="1:42" x14ac:dyDescent="0.3">
      <c r="A35" s="349" t="s">
        <v>76</v>
      </c>
      <c r="B35" s="350" t="s">
        <v>343</v>
      </c>
      <c r="C35" s="357" t="s">
        <v>255</v>
      </c>
      <c r="D35" s="354">
        <v>6.5000000000000002E-2</v>
      </c>
      <c r="E35" s="355">
        <v>5.4000000000000006E-2</v>
      </c>
      <c r="F35" s="355">
        <v>6.0999999999999999E-2</v>
      </c>
      <c r="G35" s="355">
        <v>6.9999999999999993E-2</v>
      </c>
      <c r="H35" s="355">
        <v>6.4000000000000001E-2</v>
      </c>
      <c r="I35" s="355">
        <v>0.06</v>
      </c>
      <c r="J35" s="355">
        <v>5.9000000000000004E-2</v>
      </c>
      <c r="K35" s="355">
        <v>0.06</v>
      </c>
      <c r="L35" s="355">
        <v>7.2999999999999995E-2</v>
      </c>
      <c r="M35" s="355">
        <v>0.08</v>
      </c>
      <c r="N35" s="356">
        <v>9.0999999999999998E-2</v>
      </c>
      <c r="O35" s="356">
        <v>8.8000000000000009E-2</v>
      </c>
      <c r="P35" s="356">
        <v>8.5999999999999993E-2</v>
      </c>
      <c r="Q35" s="1217">
        <v>8.8117573483427136E-2</v>
      </c>
      <c r="R35" s="1352">
        <v>9.4386487829110785E-2</v>
      </c>
      <c r="S35" s="1217">
        <v>8.3208955223880596E-2</v>
      </c>
      <c r="T35" s="2166">
        <v>7.1558825378859339E-2</v>
      </c>
      <c r="U35" s="1352">
        <v>6.6291783817557015E-2</v>
      </c>
      <c r="V35" s="2393">
        <v>6.8083795440542202E-2</v>
      </c>
      <c r="W35" s="1047"/>
      <c r="X35" s="1214">
        <v>975</v>
      </c>
      <c r="Y35" s="1214">
        <v>814</v>
      </c>
      <c r="Z35" s="1214">
        <v>945</v>
      </c>
      <c r="AA35" s="1214">
        <v>1101</v>
      </c>
      <c r="AB35" s="1214">
        <v>1017</v>
      </c>
      <c r="AC35" s="1214">
        <v>948</v>
      </c>
      <c r="AD35" s="1214">
        <v>917</v>
      </c>
      <c r="AE35" s="1214">
        <v>966</v>
      </c>
      <c r="AF35" s="1214">
        <v>1162</v>
      </c>
      <c r="AG35" s="1214">
        <v>1350</v>
      </c>
      <c r="AH35" s="1214">
        <v>1480</v>
      </c>
      <c r="AI35" s="1214">
        <v>1421</v>
      </c>
      <c r="AJ35" s="1140">
        <v>1364</v>
      </c>
      <c r="AK35" s="1140">
        <v>1409</v>
      </c>
      <c r="AL35" s="1359">
        <v>1520</v>
      </c>
      <c r="AM35" s="1137">
        <v>1338</v>
      </c>
      <c r="AN35" s="2169">
        <v>1138</v>
      </c>
      <c r="AO35" s="1359">
        <v>1061</v>
      </c>
      <c r="AP35" s="2398">
        <v>1105</v>
      </c>
    </row>
    <row r="36" spans="1:42" x14ac:dyDescent="0.3">
      <c r="A36" s="349" t="s">
        <v>78</v>
      </c>
      <c r="B36" s="350" t="s">
        <v>344</v>
      </c>
      <c r="C36" s="357" t="s">
        <v>256</v>
      </c>
      <c r="D36" s="354">
        <v>0.14499999999999999</v>
      </c>
      <c r="E36" s="355">
        <v>0.13</v>
      </c>
      <c r="F36" s="355">
        <v>0.14800000000000002</v>
      </c>
      <c r="G36" s="355">
        <v>0.16</v>
      </c>
      <c r="H36" s="355">
        <v>0.14199999999999999</v>
      </c>
      <c r="I36" s="355">
        <v>0.16</v>
      </c>
      <c r="J36" s="355">
        <v>0.187</v>
      </c>
      <c r="K36" s="355">
        <v>0.16</v>
      </c>
      <c r="L36" s="355">
        <v>0.16699999999999998</v>
      </c>
      <c r="M36" s="355">
        <v>0.192</v>
      </c>
      <c r="N36" s="356">
        <v>0.19600000000000001</v>
      </c>
      <c r="O36" s="356">
        <v>0.20899999999999999</v>
      </c>
      <c r="P36" s="356">
        <v>0.20100000000000001</v>
      </c>
      <c r="Q36" s="1217">
        <v>0.21148989898989898</v>
      </c>
      <c r="R36" s="1352">
        <v>0.19955513187162377</v>
      </c>
      <c r="S36" s="1217">
        <v>0.18199052132701421</v>
      </c>
      <c r="T36" s="2166">
        <v>0.1722702529618956</v>
      </c>
      <c r="U36" s="1352">
        <v>0.17742966751918157</v>
      </c>
      <c r="V36" s="2393">
        <v>0.18303425774877652</v>
      </c>
      <c r="W36" s="1047"/>
      <c r="X36" s="1214">
        <v>442</v>
      </c>
      <c r="Y36" s="1214">
        <v>397</v>
      </c>
      <c r="Z36" s="1214">
        <v>451</v>
      </c>
      <c r="AA36" s="1214">
        <v>493</v>
      </c>
      <c r="AB36" s="1214">
        <v>443</v>
      </c>
      <c r="AC36" s="1214">
        <v>492</v>
      </c>
      <c r="AD36" s="1214">
        <v>568</v>
      </c>
      <c r="AE36" s="1214">
        <v>487</v>
      </c>
      <c r="AF36" s="1214">
        <v>511</v>
      </c>
      <c r="AG36" s="1214">
        <v>591</v>
      </c>
      <c r="AH36" s="1214">
        <v>650</v>
      </c>
      <c r="AI36" s="1214">
        <v>682</v>
      </c>
      <c r="AJ36" s="1140">
        <v>643</v>
      </c>
      <c r="AK36" s="1140">
        <v>670</v>
      </c>
      <c r="AL36" s="1359">
        <v>628</v>
      </c>
      <c r="AM36" s="1137">
        <v>576</v>
      </c>
      <c r="AN36" s="2169">
        <v>538</v>
      </c>
      <c r="AO36" s="1359">
        <v>555</v>
      </c>
      <c r="AP36" s="2398">
        <v>561</v>
      </c>
    </row>
    <row r="37" spans="1:42" x14ac:dyDescent="0.3">
      <c r="A37" s="349" t="s">
        <v>80</v>
      </c>
      <c r="B37" s="350" t="s">
        <v>345</v>
      </c>
      <c r="C37" s="357" t="s">
        <v>254</v>
      </c>
      <c r="D37" s="354">
        <v>0.09</v>
      </c>
      <c r="E37" s="355">
        <v>7.0000000000000007E-2</v>
      </c>
      <c r="F37" s="355">
        <v>7.8E-2</v>
      </c>
      <c r="G37" s="355">
        <v>8.4000000000000005E-2</v>
      </c>
      <c r="H37" s="355">
        <v>7.4999999999999997E-2</v>
      </c>
      <c r="I37" s="355">
        <v>0.109</v>
      </c>
      <c r="J37" s="355">
        <v>7.6999999999999999E-2</v>
      </c>
      <c r="K37" s="355">
        <v>7.9000000000000001E-2</v>
      </c>
      <c r="L37" s="355">
        <v>8.3000000000000004E-2</v>
      </c>
      <c r="M37" s="355">
        <v>9.0999999999999998E-2</v>
      </c>
      <c r="N37" s="356">
        <v>9.1999999999999985E-2</v>
      </c>
      <c r="O37" s="356">
        <v>0.10199999999999999</v>
      </c>
      <c r="P37" s="356">
        <v>0.108</v>
      </c>
      <c r="Q37" s="1217">
        <v>0.10471392587261605</v>
      </c>
      <c r="R37" s="1352">
        <v>0.10674465362822153</v>
      </c>
      <c r="S37" s="1217">
        <v>0.1036653091447612</v>
      </c>
      <c r="T37" s="2166">
        <v>9.7776940467219298E-2</v>
      </c>
      <c r="U37" s="1352">
        <v>9.0235562310030396E-2</v>
      </c>
      <c r="V37" s="2393">
        <v>9.026173979984603E-2</v>
      </c>
      <c r="W37" s="1047"/>
      <c r="X37" s="1214">
        <v>438</v>
      </c>
      <c r="Y37" s="1214">
        <v>356</v>
      </c>
      <c r="Z37" s="1214">
        <v>412</v>
      </c>
      <c r="AA37" s="1214">
        <v>465</v>
      </c>
      <c r="AB37" s="1214">
        <v>427</v>
      </c>
      <c r="AC37" s="1214">
        <v>615</v>
      </c>
      <c r="AD37" s="1214">
        <v>435</v>
      </c>
      <c r="AE37" s="1214">
        <v>468</v>
      </c>
      <c r="AF37" s="1214">
        <v>491</v>
      </c>
      <c r="AG37" s="1214">
        <v>525</v>
      </c>
      <c r="AH37" s="1214">
        <v>540</v>
      </c>
      <c r="AI37" s="1214">
        <v>589</v>
      </c>
      <c r="AJ37" s="1140">
        <v>614</v>
      </c>
      <c r="AK37" s="1140">
        <v>582</v>
      </c>
      <c r="AL37" s="1359">
        <v>584</v>
      </c>
      <c r="AM37" s="1137">
        <v>560</v>
      </c>
      <c r="AN37" s="2169">
        <v>519</v>
      </c>
      <c r="AO37" s="1359">
        <v>475</v>
      </c>
      <c r="AP37" s="2398">
        <v>469</v>
      </c>
    </row>
    <row r="38" spans="1:42" x14ac:dyDescent="0.3">
      <c r="A38" s="349" t="s">
        <v>84</v>
      </c>
      <c r="B38" s="350" t="s">
        <v>85</v>
      </c>
      <c r="C38" s="357" t="s">
        <v>253</v>
      </c>
      <c r="D38" s="354">
        <v>0.14800000000000002</v>
      </c>
      <c r="E38" s="355">
        <v>0.14300000000000002</v>
      </c>
      <c r="F38" s="355">
        <v>0.16999999999999998</v>
      </c>
      <c r="G38" s="355">
        <v>0.18</v>
      </c>
      <c r="H38" s="355">
        <v>0.154</v>
      </c>
      <c r="I38" s="355">
        <v>0.161</v>
      </c>
      <c r="J38" s="355">
        <v>0.159</v>
      </c>
      <c r="K38" s="355">
        <v>0.17300000000000001</v>
      </c>
      <c r="L38" s="355">
        <v>0.18699999999999997</v>
      </c>
      <c r="M38" s="355">
        <v>0.21699999999999997</v>
      </c>
      <c r="N38" s="356">
        <v>0.21600000000000003</v>
      </c>
      <c r="O38" s="356">
        <v>0.217</v>
      </c>
      <c r="P38" s="356">
        <v>0.21</v>
      </c>
      <c r="Q38" s="1217">
        <v>0.22638749199963426</v>
      </c>
      <c r="R38" s="1352">
        <v>0.23911452616172704</v>
      </c>
      <c r="S38" s="1217">
        <v>0.19117921883760045</v>
      </c>
      <c r="T38" s="2166">
        <v>0.18407960199004975</v>
      </c>
      <c r="U38" s="1352">
        <v>0.18447777881300662</v>
      </c>
      <c r="V38" s="2393">
        <v>0.22952677812411448</v>
      </c>
      <c r="W38" s="1047"/>
      <c r="X38" s="1214">
        <v>1545</v>
      </c>
      <c r="Y38" s="1214">
        <v>1497</v>
      </c>
      <c r="Z38" s="1214">
        <v>1809</v>
      </c>
      <c r="AA38" s="1214">
        <v>1906</v>
      </c>
      <c r="AB38" s="1214">
        <v>1633</v>
      </c>
      <c r="AC38" s="1214">
        <v>1690</v>
      </c>
      <c r="AD38" s="1214">
        <v>1647</v>
      </c>
      <c r="AE38" s="1214">
        <v>1818</v>
      </c>
      <c r="AF38" s="1214">
        <v>1945</v>
      </c>
      <c r="AG38" s="1214">
        <v>2267</v>
      </c>
      <c r="AH38" s="1214">
        <v>2478</v>
      </c>
      <c r="AI38" s="1214">
        <v>2460</v>
      </c>
      <c r="AJ38" s="1140">
        <v>2332</v>
      </c>
      <c r="AK38" s="1140">
        <v>2476</v>
      </c>
      <c r="AL38" s="1359">
        <v>2614</v>
      </c>
      <c r="AM38" s="1137">
        <v>2046</v>
      </c>
      <c r="AN38" s="2169">
        <v>1961</v>
      </c>
      <c r="AO38" s="1359">
        <v>1980</v>
      </c>
      <c r="AP38" s="2398">
        <v>2430</v>
      </c>
    </row>
    <row r="39" spans="1:42" x14ac:dyDescent="0.3">
      <c r="A39" s="349" t="s">
        <v>86</v>
      </c>
      <c r="B39" s="350" t="s">
        <v>346</v>
      </c>
      <c r="C39" s="357" t="s">
        <v>255</v>
      </c>
      <c r="D39" s="354">
        <v>8.4000000000000005E-2</v>
      </c>
      <c r="E39" s="355">
        <v>7.4999999999999997E-2</v>
      </c>
      <c r="F39" s="355">
        <v>8.1000000000000003E-2</v>
      </c>
      <c r="G39" s="355">
        <v>9.1999999999999998E-2</v>
      </c>
      <c r="H39" s="355">
        <v>0.08</v>
      </c>
      <c r="I39" s="355">
        <v>7.9000000000000015E-2</v>
      </c>
      <c r="J39" s="355">
        <v>8.3000000000000004E-2</v>
      </c>
      <c r="K39" s="355">
        <v>8.8000000000000009E-2</v>
      </c>
      <c r="L39" s="355">
        <v>9.8000000000000004E-2</v>
      </c>
      <c r="M39" s="355">
        <v>0.11800000000000001</v>
      </c>
      <c r="N39" s="356">
        <v>0.10999999999999999</v>
      </c>
      <c r="O39" s="356">
        <v>0.124</v>
      </c>
      <c r="P39" s="356">
        <v>0.12</v>
      </c>
      <c r="Q39" s="1217">
        <v>0.11627662371811727</v>
      </c>
      <c r="R39" s="1352">
        <v>0.11542899097965177</v>
      </c>
      <c r="S39" s="1217">
        <v>0.10672890334085068</v>
      </c>
      <c r="T39" s="2166">
        <v>9.9329070133137645E-2</v>
      </c>
      <c r="U39" s="1352">
        <v>8.8426066686936255E-2</v>
      </c>
      <c r="V39" s="2393">
        <v>9.7868507955568895E-2</v>
      </c>
      <c r="W39" s="1047"/>
      <c r="X39" s="1214">
        <v>1306</v>
      </c>
      <c r="Y39" s="1214">
        <v>1168</v>
      </c>
      <c r="Z39" s="1214">
        <v>1295</v>
      </c>
      <c r="AA39" s="1214">
        <v>1490</v>
      </c>
      <c r="AB39" s="1214">
        <v>1347</v>
      </c>
      <c r="AC39" s="1214">
        <v>1314</v>
      </c>
      <c r="AD39" s="1214">
        <v>1385</v>
      </c>
      <c r="AE39" s="1214">
        <v>1559</v>
      </c>
      <c r="AF39" s="1214">
        <v>1733</v>
      </c>
      <c r="AG39" s="1214">
        <v>2218</v>
      </c>
      <c r="AH39" s="1214">
        <v>2140</v>
      </c>
      <c r="AI39" s="1214">
        <v>2396</v>
      </c>
      <c r="AJ39" s="1140">
        <v>2303</v>
      </c>
      <c r="AK39" s="1140">
        <v>2211</v>
      </c>
      <c r="AL39" s="1359">
        <v>2201</v>
      </c>
      <c r="AM39" s="1137">
        <v>2035</v>
      </c>
      <c r="AN39" s="2169">
        <v>1895</v>
      </c>
      <c r="AO39" s="1359">
        <v>1745</v>
      </c>
      <c r="AP39" s="2398">
        <v>1956</v>
      </c>
    </row>
    <row r="40" spans="1:42" x14ac:dyDescent="0.3">
      <c r="A40" s="349" t="s">
        <v>92</v>
      </c>
      <c r="B40" s="350" t="s">
        <v>347</v>
      </c>
      <c r="C40" s="357" t="s">
        <v>256</v>
      </c>
      <c r="D40" s="354">
        <v>0.13300000000000001</v>
      </c>
      <c r="E40" s="355">
        <v>0.125</v>
      </c>
      <c r="F40" s="355">
        <v>0.14799999999999999</v>
      </c>
      <c r="G40" s="355">
        <v>0.16499999999999998</v>
      </c>
      <c r="H40" s="355">
        <v>0.14000000000000001</v>
      </c>
      <c r="I40" s="355">
        <v>0.16300000000000001</v>
      </c>
      <c r="J40" s="355">
        <v>0.153</v>
      </c>
      <c r="K40" s="355">
        <v>0.14400000000000002</v>
      </c>
      <c r="L40" s="355">
        <v>0.16699999999999998</v>
      </c>
      <c r="M40" s="355">
        <v>0.18300000000000002</v>
      </c>
      <c r="N40" s="356">
        <v>0.18899999999999997</v>
      </c>
      <c r="O40" s="356">
        <v>0.191</v>
      </c>
      <c r="P40" s="356">
        <v>0.17699999999999999</v>
      </c>
      <c r="Q40" s="1217">
        <v>0.17842799770510614</v>
      </c>
      <c r="R40" s="1352">
        <v>0.18221574344023322</v>
      </c>
      <c r="S40" s="1217">
        <v>0.17620751341681573</v>
      </c>
      <c r="T40" s="2166">
        <v>0.17701953922426364</v>
      </c>
      <c r="U40" s="1352">
        <v>0.16245277535600117</v>
      </c>
      <c r="V40" s="2393">
        <v>0.17992978349912228</v>
      </c>
      <c r="W40" s="1047"/>
      <c r="X40" s="1214">
        <v>492</v>
      </c>
      <c r="Y40" s="1214">
        <v>455</v>
      </c>
      <c r="Z40" s="1214">
        <v>550</v>
      </c>
      <c r="AA40" s="1214">
        <v>615</v>
      </c>
      <c r="AB40" s="1214">
        <v>525</v>
      </c>
      <c r="AC40" s="1214">
        <v>600</v>
      </c>
      <c r="AD40" s="1214">
        <v>561</v>
      </c>
      <c r="AE40" s="1214">
        <v>524</v>
      </c>
      <c r="AF40" s="1214">
        <v>597</v>
      </c>
      <c r="AG40" s="1214">
        <v>675</v>
      </c>
      <c r="AH40" s="1214">
        <v>696</v>
      </c>
      <c r="AI40" s="1214">
        <v>677</v>
      </c>
      <c r="AJ40" s="1140">
        <v>613</v>
      </c>
      <c r="AK40" s="1140">
        <v>622</v>
      </c>
      <c r="AL40" s="1359">
        <v>625</v>
      </c>
      <c r="AM40" s="1137">
        <v>591</v>
      </c>
      <c r="AN40" s="2169">
        <v>607</v>
      </c>
      <c r="AO40" s="1359">
        <v>559</v>
      </c>
      <c r="AP40" s="2398">
        <v>615</v>
      </c>
    </row>
    <row r="41" spans="1:42" x14ac:dyDescent="0.3">
      <c r="A41" s="349" t="s">
        <v>94</v>
      </c>
      <c r="B41" s="350" t="s">
        <v>348</v>
      </c>
      <c r="C41" s="357" t="s">
        <v>252</v>
      </c>
      <c r="D41" s="354">
        <v>0.11900000000000001</v>
      </c>
      <c r="E41" s="355">
        <v>0.10400000000000001</v>
      </c>
      <c r="F41" s="355">
        <v>0.11899999999999999</v>
      </c>
      <c r="G41" s="355">
        <v>0.129</v>
      </c>
      <c r="H41" s="355">
        <v>0.11700000000000001</v>
      </c>
      <c r="I41" s="355">
        <v>0.126</v>
      </c>
      <c r="J41" s="355">
        <v>0.125</v>
      </c>
      <c r="K41" s="355">
        <v>0.12000000000000001</v>
      </c>
      <c r="L41" s="355">
        <v>0.13300000000000001</v>
      </c>
      <c r="M41" s="355">
        <v>0.13499999999999998</v>
      </c>
      <c r="N41" s="356">
        <v>0.14099999999999999</v>
      </c>
      <c r="O41" s="356">
        <v>0.151</v>
      </c>
      <c r="P41" s="356">
        <v>0.151</v>
      </c>
      <c r="Q41" s="1217">
        <v>0.16014570966001079</v>
      </c>
      <c r="R41" s="1352">
        <v>0.15231345279486494</v>
      </c>
      <c r="S41" s="1217">
        <v>0.14701542588866531</v>
      </c>
      <c r="T41" s="2166">
        <v>0.13656505975560629</v>
      </c>
      <c r="U41" s="1352">
        <v>0.13755754129434064</v>
      </c>
      <c r="V41" s="2393">
        <v>0.1337510215200218</v>
      </c>
      <c r="W41" s="1047"/>
      <c r="X41" s="1214">
        <v>1069</v>
      </c>
      <c r="Y41" s="1214">
        <v>919</v>
      </c>
      <c r="Z41" s="1214">
        <v>1073</v>
      </c>
      <c r="AA41" s="1214">
        <v>1136</v>
      </c>
      <c r="AB41" s="1214">
        <v>1032</v>
      </c>
      <c r="AC41" s="1214">
        <v>1093</v>
      </c>
      <c r="AD41" s="1214">
        <v>1066</v>
      </c>
      <c r="AE41" s="1214">
        <v>1028</v>
      </c>
      <c r="AF41" s="1214">
        <v>1118</v>
      </c>
      <c r="AG41" s="1214">
        <v>1156</v>
      </c>
      <c r="AH41" s="1214">
        <v>1134</v>
      </c>
      <c r="AI41" s="1214">
        <v>1175</v>
      </c>
      <c r="AJ41" s="1140">
        <v>1154</v>
      </c>
      <c r="AK41" s="1140">
        <v>1187</v>
      </c>
      <c r="AL41" s="1359">
        <v>1139</v>
      </c>
      <c r="AM41" s="1137">
        <v>1096</v>
      </c>
      <c r="AN41" s="2169">
        <v>1017</v>
      </c>
      <c r="AO41" s="1359">
        <v>1016</v>
      </c>
      <c r="AP41" s="2398">
        <v>982</v>
      </c>
    </row>
    <row r="42" spans="1:42" x14ac:dyDescent="0.3">
      <c r="A42" s="349" t="s">
        <v>96</v>
      </c>
      <c r="B42" s="350" t="s">
        <v>349</v>
      </c>
      <c r="C42" s="357" t="s">
        <v>254</v>
      </c>
      <c r="D42" s="354">
        <v>8.6999999999999994E-2</v>
      </c>
      <c r="E42" s="355">
        <v>6.8000000000000005E-2</v>
      </c>
      <c r="F42" s="355">
        <v>7.8E-2</v>
      </c>
      <c r="G42" s="355">
        <v>9.0999999999999998E-2</v>
      </c>
      <c r="H42" s="355">
        <v>0.08</v>
      </c>
      <c r="I42" s="355">
        <v>7.9000000000000001E-2</v>
      </c>
      <c r="J42" s="355">
        <v>7.4999999999999997E-2</v>
      </c>
      <c r="K42" s="355">
        <v>6.9999999999999993E-2</v>
      </c>
      <c r="L42" s="355">
        <v>7.4999999999999997E-2</v>
      </c>
      <c r="M42" s="355">
        <v>8.8000000000000009E-2</v>
      </c>
      <c r="N42" s="356">
        <v>9.8000000000000004E-2</v>
      </c>
      <c r="O42" s="356">
        <v>0.10400000000000001</v>
      </c>
      <c r="P42" s="356">
        <v>9.2999999999999999E-2</v>
      </c>
      <c r="Q42" s="1217">
        <v>9.4548133595284869E-2</v>
      </c>
      <c r="R42" s="1352">
        <v>0.10357403355215171</v>
      </c>
      <c r="S42" s="1217">
        <v>9.837278106508876E-2</v>
      </c>
      <c r="T42" s="2166">
        <v>8.5521561069621777E-2</v>
      </c>
      <c r="U42" s="1352">
        <v>7.9013588324106696E-2</v>
      </c>
      <c r="V42" s="2393">
        <v>7.9097446069923139E-2</v>
      </c>
      <c r="W42" s="1047"/>
      <c r="X42" s="1214">
        <v>304</v>
      </c>
      <c r="Y42" s="1214">
        <v>243</v>
      </c>
      <c r="Z42" s="1214">
        <v>293</v>
      </c>
      <c r="AA42" s="1214">
        <v>349</v>
      </c>
      <c r="AB42" s="1214">
        <v>309</v>
      </c>
      <c r="AC42" s="1214">
        <v>301</v>
      </c>
      <c r="AD42" s="1214">
        <v>291</v>
      </c>
      <c r="AE42" s="1214">
        <v>292</v>
      </c>
      <c r="AF42" s="1214">
        <v>314</v>
      </c>
      <c r="AG42" s="1214">
        <v>361</v>
      </c>
      <c r="AH42" s="1214">
        <v>423</v>
      </c>
      <c r="AI42" s="1214">
        <v>437</v>
      </c>
      <c r="AJ42" s="1140">
        <v>382</v>
      </c>
      <c r="AK42" s="1140">
        <v>385</v>
      </c>
      <c r="AL42" s="1359">
        <v>426</v>
      </c>
      <c r="AM42" s="1137">
        <v>399</v>
      </c>
      <c r="AN42" s="2169">
        <v>355</v>
      </c>
      <c r="AO42" s="1359">
        <v>314</v>
      </c>
      <c r="AP42" s="2398">
        <v>319</v>
      </c>
    </row>
    <row r="43" spans="1:42" x14ac:dyDescent="0.3">
      <c r="A43" s="349" t="s">
        <v>98</v>
      </c>
      <c r="B43" s="350" t="s">
        <v>350</v>
      </c>
      <c r="C43" s="357" t="s">
        <v>256</v>
      </c>
      <c r="D43" s="354">
        <v>0.19900000000000001</v>
      </c>
      <c r="E43" s="355">
        <v>0.19</v>
      </c>
      <c r="F43" s="355">
        <v>0.217</v>
      </c>
      <c r="G43" s="355">
        <v>0.24100000000000002</v>
      </c>
      <c r="H43" s="355">
        <v>0.20699999999999999</v>
      </c>
      <c r="I43" s="355">
        <v>0.255</v>
      </c>
      <c r="J43" s="355">
        <v>0.23299999999999998</v>
      </c>
      <c r="K43" s="355">
        <v>0.23199999999999998</v>
      </c>
      <c r="L43" s="355">
        <v>0.25700000000000001</v>
      </c>
      <c r="M43" s="355">
        <v>0.25600000000000001</v>
      </c>
      <c r="N43" s="356">
        <v>0.27400000000000002</v>
      </c>
      <c r="O43" s="356">
        <v>0.28999999999999998</v>
      </c>
      <c r="P43" s="356">
        <v>0.27</v>
      </c>
      <c r="Q43" s="1217">
        <v>0.29069767441860467</v>
      </c>
      <c r="R43" s="1352">
        <v>0.29037092544023979</v>
      </c>
      <c r="S43" s="1217">
        <v>0.29437545653761871</v>
      </c>
      <c r="T43" s="2166">
        <v>0.25854383358098071</v>
      </c>
      <c r="U43" s="1352">
        <v>0.26551724137931032</v>
      </c>
      <c r="V43" s="2393">
        <v>0.27463965718737826</v>
      </c>
      <c r="W43" s="1047"/>
      <c r="X43" s="1214">
        <v>672</v>
      </c>
      <c r="Y43" s="1214">
        <v>629</v>
      </c>
      <c r="Z43" s="1214">
        <v>718</v>
      </c>
      <c r="AA43" s="1214">
        <v>794</v>
      </c>
      <c r="AB43" s="1214">
        <v>668</v>
      </c>
      <c r="AC43" s="1214">
        <v>812</v>
      </c>
      <c r="AD43" s="1214">
        <v>716</v>
      </c>
      <c r="AE43" s="1214">
        <v>694</v>
      </c>
      <c r="AF43" s="1214">
        <v>752</v>
      </c>
      <c r="AG43" s="1214">
        <v>739</v>
      </c>
      <c r="AH43" s="1214">
        <v>796</v>
      </c>
      <c r="AI43" s="1214">
        <v>816</v>
      </c>
      <c r="AJ43" s="1140">
        <v>735</v>
      </c>
      <c r="AK43" s="1140">
        <v>775</v>
      </c>
      <c r="AL43" s="1359">
        <v>775</v>
      </c>
      <c r="AM43" s="1137">
        <v>806</v>
      </c>
      <c r="AN43" s="2169">
        <v>696</v>
      </c>
      <c r="AO43" s="1359">
        <v>693</v>
      </c>
      <c r="AP43" s="2398">
        <v>705</v>
      </c>
    </row>
    <row r="44" spans="1:42" x14ac:dyDescent="0.3">
      <c r="A44" s="349" t="s">
        <v>100</v>
      </c>
      <c r="B44" s="350" t="s">
        <v>351</v>
      </c>
      <c r="C44" s="357" t="s">
        <v>255</v>
      </c>
      <c r="D44" s="354">
        <v>9.5999999999999988E-2</v>
      </c>
      <c r="E44" s="355">
        <v>8.7000000000000008E-2</v>
      </c>
      <c r="F44" s="355">
        <v>9.9000000000000005E-2</v>
      </c>
      <c r="G44" s="355">
        <v>0.10900000000000001</v>
      </c>
      <c r="H44" s="355">
        <v>0.10099999999999999</v>
      </c>
      <c r="I44" s="355">
        <v>0.11099999999999999</v>
      </c>
      <c r="J44" s="355">
        <v>0.10300000000000001</v>
      </c>
      <c r="K44" s="355">
        <v>0.10100000000000001</v>
      </c>
      <c r="L44" s="355">
        <v>0.109</v>
      </c>
      <c r="M44" s="355">
        <v>0.12099999999999998</v>
      </c>
      <c r="N44" s="356">
        <v>0.13300000000000001</v>
      </c>
      <c r="O44" s="356">
        <v>0.13900000000000001</v>
      </c>
      <c r="P44" s="356">
        <v>0.13600000000000001</v>
      </c>
      <c r="Q44" s="1217">
        <v>0.1660746003552398</v>
      </c>
      <c r="R44" s="1352">
        <v>0.13803680981595093</v>
      </c>
      <c r="S44" s="1217">
        <v>0.13877281724213766</v>
      </c>
      <c r="T44" s="2166">
        <v>0.12766884531590414</v>
      </c>
      <c r="U44" s="1352">
        <v>0.12290027641930683</v>
      </c>
      <c r="V44" s="2393">
        <v>0.1224271012006861</v>
      </c>
      <c r="W44" s="1047"/>
      <c r="X44" s="1214">
        <v>409</v>
      </c>
      <c r="Y44" s="1214">
        <v>383</v>
      </c>
      <c r="Z44" s="1214">
        <v>454</v>
      </c>
      <c r="AA44" s="1214">
        <v>505</v>
      </c>
      <c r="AB44" s="1214">
        <v>475</v>
      </c>
      <c r="AC44" s="1214">
        <v>518</v>
      </c>
      <c r="AD44" s="1214">
        <v>476</v>
      </c>
      <c r="AE44" s="1214">
        <v>473</v>
      </c>
      <c r="AF44" s="1214">
        <v>507</v>
      </c>
      <c r="AG44" s="1214">
        <v>559</v>
      </c>
      <c r="AH44" s="1214">
        <v>607</v>
      </c>
      <c r="AI44" s="1214">
        <v>639</v>
      </c>
      <c r="AJ44" s="1140">
        <v>616</v>
      </c>
      <c r="AK44" s="1140">
        <v>748</v>
      </c>
      <c r="AL44" s="1359">
        <v>630</v>
      </c>
      <c r="AM44" s="1137">
        <v>631</v>
      </c>
      <c r="AN44" s="2169">
        <v>586</v>
      </c>
      <c r="AO44" s="1359">
        <v>578</v>
      </c>
      <c r="AP44" s="2398">
        <v>571</v>
      </c>
    </row>
    <row r="45" spans="1:42" x14ac:dyDescent="0.3">
      <c r="A45" s="349" t="s">
        <v>102</v>
      </c>
      <c r="B45" s="350" t="s">
        <v>602</v>
      </c>
      <c r="C45" s="357" t="s">
        <v>252</v>
      </c>
      <c r="D45" s="354">
        <v>0.20724231754161332</v>
      </c>
      <c r="E45" s="355">
        <v>0.19890120481927712</v>
      </c>
      <c r="F45" s="355">
        <v>0.20426443081771778</v>
      </c>
      <c r="G45" s="355">
        <v>0.21502171135061685</v>
      </c>
      <c r="H45" s="355">
        <v>0.19648156474820144</v>
      </c>
      <c r="I45" s="355">
        <v>0.23248045054375974</v>
      </c>
      <c r="J45" s="355">
        <v>0.23066181801881558</v>
      </c>
      <c r="K45" s="355">
        <v>0.22627145085803432</v>
      </c>
      <c r="L45" s="355">
        <v>0.25454693004130152</v>
      </c>
      <c r="M45" s="355">
        <v>0.27317842460121688</v>
      </c>
      <c r="N45" s="356">
        <v>0.28265350547965773</v>
      </c>
      <c r="O45" s="356">
        <v>0.29271916790490343</v>
      </c>
      <c r="P45" s="356">
        <v>0.29899999999999999</v>
      </c>
      <c r="Q45" s="1217">
        <v>0.33878292461398729</v>
      </c>
      <c r="R45" s="1352">
        <v>0.3291526460691343</v>
      </c>
      <c r="S45" s="1217">
        <v>0.32730109204368174</v>
      </c>
      <c r="T45" s="2166">
        <v>0.31385696040868455</v>
      </c>
      <c r="U45" s="1352">
        <v>0.29821769573520052</v>
      </c>
      <c r="V45" s="2393">
        <v>0.30789648307896483</v>
      </c>
      <c r="W45" s="1047"/>
      <c r="X45" s="1214">
        <v>705</v>
      </c>
      <c r="Y45" s="1214">
        <v>670</v>
      </c>
      <c r="Z45" s="1214">
        <v>695</v>
      </c>
      <c r="AA45" s="1214">
        <v>731</v>
      </c>
      <c r="AB45" s="1214">
        <v>660</v>
      </c>
      <c r="AC45" s="1214">
        <v>773</v>
      </c>
      <c r="AD45" s="1214">
        <v>752</v>
      </c>
      <c r="AE45" s="1214">
        <v>740</v>
      </c>
      <c r="AF45" s="1214">
        <v>830</v>
      </c>
      <c r="AG45" s="1214">
        <v>938</v>
      </c>
      <c r="AH45" s="1214">
        <v>973</v>
      </c>
      <c r="AI45" s="1214">
        <v>985</v>
      </c>
      <c r="AJ45" s="1140">
        <v>992</v>
      </c>
      <c r="AK45" s="1140">
        <v>1119</v>
      </c>
      <c r="AL45" s="1359">
        <v>1076</v>
      </c>
      <c r="AM45" s="1137">
        <v>1049</v>
      </c>
      <c r="AN45" s="2169">
        <v>983</v>
      </c>
      <c r="AO45" s="1359">
        <v>937</v>
      </c>
      <c r="AP45" s="2398">
        <v>928</v>
      </c>
    </row>
    <row r="46" spans="1:42" x14ac:dyDescent="0.3">
      <c r="A46" s="349" t="s">
        <v>104</v>
      </c>
      <c r="B46" s="350" t="s">
        <v>603</v>
      </c>
      <c r="C46" s="357" t="s">
        <v>253</v>
      </c>
      <c r="D46" s="354">
        <v>0.19500000000000001</v>
      </c>
      <c r="E46" s="355">
        <v>0.191</v>
      </c>
      <c r="F46" s="355">
        <v>0.22399999999999998</v>
      </c>
      <c r="G46" s="355">
        <v>0.24000000000000002</v>
      </c>
      <c r="H46" s="355">
        <v>0.21000000000000002</v>
      </c>
      <c r="I46" s="355">
        <v>0.21100000000000002</v>
      </c>
      <c r="J46" s="355">
        <v>0.24299999999999999</v>
      </c>
      <c r="K46" s="355">
        <v>0.22100000000000003</v>
      </c>
      <c r="L46" s="355">
        <v>0.23399999999999999</v>
      </c>
      <c r="M46" s="355">
        <v>0.27800000000000002</v>
      </c>
      <c r="N46" s="356">
        <v>0.28299999999999997</v>
      </c>
      <c r="O46" s="356">
        <v>0.26200000000000001</v>
      </c>
      <c r="P46" s="356">
        <v>0.28699999999999998</v>
      </c>
      <c r="Q46" s="1217">
        <v>0.28868518265152554</v>
      </c>
      <c r="R46" s="1352">
        <v>0.25322245322245324</v>
      </c>
      <c r="S46" s="1217">
        <v>0.25613154960981049</v>
      </c>
      <c r="T46" s="2166">
        <v>0.25817872822546384</v>
      </c>
      <c r="U46" s="1352">
        <v>0.24407212835439443</v>
      </c>
      <c r="V46" s="2393">
        <v>0.22354322618523412</v>
      </c>
      <c r="W46" s="1047"/>
      <c r="X46" s="1214">
        <v>1650</v>
      </c>
      <c r="Y46" s="1214">
        <v>1584</v>
      </c>
      <c r="Z46" s="1214">
        <v>1864</v>
      </c>
      <c r="AA46" s="1214">
        <v>1972</v>
      </c>
      <c r="AB46" s="1214">
        <v>1734</v>
      </c>
      <c r="AC46" s="1214">
        <v>1721</v>
      </c>
      <c r="AD46" s="1214">
        <v>1915</v>
      </c>
      <c r="AE46" s="1214">
        <v>1706</v>
      </c>
      <c r="AF46" s="1214">
        <v>1764</v>
      </c>
      <c r="AG46" s="1214">
        <v>2128</v>
      </c>
      <c r="AH46" s="1214">
        <v>2225</v>
      </c>
      <c r="AI46" s="1214">
        <v>2028</v>
      </c>
      <c r="AJ46" s="1140">
        <v>2170</v>
      </c>
      <c r="AK46" s="1140">
        <v>2110</v>
      </c>
      <c r="AL46" s="1359">
        <v>1827</v>
      </c>
      <c r="AM46" s="1137">
        <v>1838</v>
      </c>
      <c r="AN46" s="2169">
        <v>1823</v>
      </c>
      <c r="AO46" s="1359">
        <v>1719</v>
      </c>
      <c r="AP46" s="2398">
        <v>1523</v>
      </c>
    </row>
    <row r="47" spans="1:42" x14ac:dyDescent="0.3">
      <c r="A47" s="349" t="s">
        <v>108</v>
      </c>
      <c r="B47" s="350" t="s">
        <v>352</v>
      </c>
      <c r="C47" s="357" t="s">
        <v>254</v>
      </c>
      <c r="D47" s="354">
        <v>4.5999999999999999E-2</v>
      </c>
      <c r="E47" s="355">
        <v>0.04</v>
      </c>
      <c r="F47" s="355">
        <v>0.05</v>
      </c>
      <c r="G47" s="355">
        <v>5.9000000000000004E-2</v>
      </c>
      <c r="H47" s="355">
        <v>5.5999999999999994E-2</v>
      </c>
      <c r="I47" s="355">
        <v>5.5000000000000007E-2</v>
      </c>
      <c r="J47" s="355">
        <v>5.0999999999999997E-2</v>
      </c>
      <c r="K47" s="355">
        <v>5.5999999999999994E-2</v>
      </c>
      <c r="L47" s="355">
        <v>5.5E-2</v>
      </c>
      <c r="M47" s="355">
        <v>6.0999999999999992E-2</v>
      </c>
      <c r="N47" s="356">
        <v>6.4000000000000001E-2</v>
      </c>
      <c r="O47" s="356">
        <v>7.2999999999999995E-2</v>
      </c>
      <c r="P47" s="356">
        <v>7.4999999999999997E-2</v>
      </c>
      <c r="Q47" s="1217">
        <v>6.7997075394606685E-2</v>
      </c>
      <c r="R47" s="1352">
        <v>7.851149850019562E-2</v>
      </c>
      <c r="S47" s="1217">
        <v>7.1185405027932955E-2</v>
      </c>
      <c r="T47" s="2166">
        <v>6.5137934035331996E-2</v>
      </c>
      <c r="U47" s="1352">
        <v>5.9337272026714613E-2</v>
      </c>
      <c r="V47" s="2393">
        <v>6.1728395061728392E-2</v>
      </c>
      <c r="W47" s="1047"/>
      <c r="X47" s="1214">
        <v>1074</v>
      </c>
      <c r="Y47" s="1214">
        <v>943</v>
      </c>
      <c r="Z47" s="1214">
        <v>1198</v>
      </c>
      <c r="AA47" s="1214">
        <v>1391</v>
      </c>
      <c r="AB47" s="1214">
        <v>1329</v>
      </c>
      <c r="AC47" s="1214">
        <v>1286</v>
      </c>
      <c r="AD47" s="1214">
        <v>1196</v>
      </c>
      <c r="AE47" s="1214">
        <v>1308</v>
      </c>
      <c r="AF47" s="1214">
        <v>1274</v>
      </c>
      <c r="AG47" s="1214">
        <v>1494</v>
      </c>
      <c r="AH47" s="1214">
        <v>1582</v>
      </c>
      <c r="AI47" s="1214">
        <v>1764</v>
      </c>
      <c r="AJ47" s="1140">
        <v>1746</v>
      </c>
      <c r="AK47" s="1140">
        <v>1581</v>
      </c>
      <c r="AL47" s="1359">
        <v>1806</v>
      </c>
      <c r="AM47" s="1137">
        <v>1631</v>
      </c>
      <c r="AN47" s="2169">
        <v>1497</v>
      </c>
      <c r="AO47" s="1359">
        <v>1386</v>
      </c>
      <c r="AP47" s="2398">
        <v>1440</v>
      </c>
    </row>
    <row r="48" spans="1:42" x14ac:dyDescent="0.3">
      <c r="A48" s="349" t="s">
        <v>110</v>
      </c>
      <c r="B48" s="350" t="s">
        <v>353</v>
      </c>
      <c r="C48" s="357" t="s">
        <v>254</v>
      </c>
      <c r="D48" s="354">
        <v>8.5000000000000006E-2</v>
      </c>
      <c r="E48" s="355">
        <v>0.08</v>
      </c>
      <c r="F48" s="355">
        <v>9.0999999999999998E-2</v>
      </c>
      <c r="G48" s="355">
        <v>0.10400000000000001</v>
      </c>
      <c r="H48" s="355">
        <v>9.5999999999999988E-2</v>
      </c>
      <c r="I48" s="355">
        <v>0.10299999999999999</v>
      </c>
      <c r="J48" s="355">
        <v>0.10200000000000001</v>
      </c>
      <c r="K48" s="355">
        <v>0.11800000000000001</v>
      </c>
      <c r="L48" s="355">
        <v>0.115</v>
      </c>
      <c r="M48" s="355">
        <v>0.12699999999999997</v>
      </c>
      <c r="N48" s="356">
        <v>0.13400000000000001</v>
      </c>
      <c r="O48" s="356">
        <v>0.14899999999999999</v>
      </c>
      <c r="P48" s="356">
        <v>0.13600000000000001</v>
      </c>
      <c r="Q48" s="1217">
        <v>0.14602973657275226</v>
      </c>
      <c r="R48" s="1352">
        <v>0.17245258759241403</v>
      </c>
      <c r="S48" s="1217">
        <v>0.13011650823870111</v>
      </c>
      <c r="T48" s="2166">
        <v>0.118393036491463</v>
      </c>
      <c r="U48" s="1352">
        <v>0.13908488635139502</v>
      </c>
      <c r="V48" s="2393">
        <v>0.1261434433492836</v>
      </c>
      <c r="W48" s="1047"/>
      <c r="X48" s="1214">
        <v>5536</v>
      </c>
      <c r="Y48" s="1214">
        <v>5204</v>
      </c>
      <c r="Z48" s="1214">
        <v>6080</v>
      </c>
      <c r="AA48" s="1214">
        <v>7045</v>
      </c>
      <c r="AB48" s="1214">
        <v>6637</v>
      </c>
      <c r="AC48" s="1214">
        <v>7048</v>
      </c>
      <c r="AD48" s="1214">
        <v>6972</v>
      </c>
      <c r="AE48" s="1214">
        <v>8246</v>
      </c>
      <c r="AF48" s="1214">
        <v>8042</v>
      </c>
      <c r="AG48" s="1214">
        <v>8813</v>
      </c>
      <c r="AH48" s="1214">
        <v>9849</v>
      </c>
      <c r="AI48" s="1214">
        <v>10914</v>
      </c>
      <c r="AJ48" s="1140">
        <v>10016</v>
      </c>
      <c r="AK48" s="1140">
        <v>10843</v>
      </c>
      <c r="AL48" s="1359">
        <v>12876</v>
      </c>
      <c r="AM48" s="1137">
        <v>9705</v>
      </c>
      <c r="AN48" s="2169">
        <v>8841</v>
      </c>
      <c r="AO48" s="1359">
        <v>10329</v>
      </c>
      <c r="AP48" s="2398">
        <v>9253</v>
      </c>
    </row>
    <row r="49" spans="1:42" x14ac:dyDescent="0.3">
      <c r="A49" s="349" t="s">
        <v>112</v>
      </c>
      <c r="B49" s="350" t="s">
        <v>604</v>
      </c>
      <c r="C49" s="357" t="s">
        <v>253</v>
      </c>
      <c r="D49" s="354">
        <v>0.18630603454114458</v>
      </c>
      <c r="E49" s="355">
        <v>0.18404195178590124</v>
      </c>
      <c r="F49" s="355">
        <v>0.20421486172728284</v>
      </c>
      <c r="G49" s="355">
        <v>0.22610694318889932</v>
      </c>
      <c r="H49" s="355">
        <v>0.20544691510861401</v>
      </c>
      <c r="I49" s="355">
        <v>0.23930468656616982</v>
      </c>
      <c r="J49" s="355">
        <v>0.23114323370386328</v>
      </c>
      <c r="K49" s="355">
        <v>0.27677925198745235</v>
      </c>
      <c r="L49" s="355">
        <v>0.26291531358477926</v>
      </c>
      <c r="M49" s="355">
        <v>0.29257510477431536</v>
      </c>
      <c r="N49" s="356">
        <v>0.29068673718230797</v>
      </c>
      <c r="O49" s="356">
        <v>0.34396022228721856</v>
      </c>
      <c r="P49" s="356">
        <v>0.30599999999999999</v>
      </c>
      <c r="Q49" s="1217">
        <v>0.31474459067588667</v>
      </c>
      <c r="R49" s="1352">
        <v>0.32255892255892255</v>
      </c>
      <c r="S49" s="1217">
        <v>0.32013201320132012</v>
      </c>
      <c r="T49" s="2166">
        <v>0.29813098313326242</v>
      </c>
      <c r="U49" s="1352">
        <v>0.2720661410089566</v>
      </c>
      <c r="V49" s="2393">
        <v>0.29400821641733199</v>
      </c>
      <c r="W49" s="1047"/>
      <c r="X49" s="1214">
        <v>2979</v>
      </c>
      <c r="Y49" s="1214">
        <v>2892</v>
      </c>
      <c r="Z49" s="1214">
        <v>3231</v>
      </c>
      <c r="AA49" s="1214">
        <v>3497</v>
      </c>
      <c r="AB49" s="1214">
        <v>3140</v>
      </c>
      <c r="AC49" s="1214">
        <v>3600</v>
      </c>
      <c r="AD49" s="1214">
        <v>3363</v>
      </c>
      <c r="AE49" s="1214">
        <v>3904</v>
      </c>
      <c r="AF49" s="1214">
        <v>3649</v>
      </c>
      <c r="AG49" s="1214">
        <v>4171</v>
      </c>
      <c r="AH49" s="1214">
        <v>4023</v>
      </c>
      <c r="AI49" s="1214">
        <v>4704</v>
      </c>
      <c r="AJ49" s="1140">
        <v>4158</v>
      </c>
      <c r="AK49" s="1140">
        <v>4233</v>
      </c>
      <c r="AL49" s="1359">
        <v>4311</v>
      </c>
      <c r="AM49" s="1137">
        <v>4268</v>
      </c>
      <c r="AN49" s="2169">
        <v>3924</v>
      </c>
      <c r="AO49" s="1359">
        <v>3554</v>
      </c>
      <c r="AP49" s="2398">
        <v>3793</v>
      </c>
    </row>
    <row r="50" spans="1:42" x14ac:dyDescent="0.3">
      <c r="A50" s="349" t="s">
        <v>114</v>
      </c>
      <c r="B50" s="350" t="s">
        <v>354</v>
      </c>
      <c r="C50" s="357" t="s">
        <v>253</v>
      </c>
      <c r="D50" s="354">
        <v>0.18600000000000003</v>
      </c>
      <c r="E50" s="355">
        <v>0.14699999999999999</v>
      </c>
      <c r="F50" s="355">
        <v>0.158</v>
      </c>
      <c r="G50" s="355">
        <v>0.16500000000000001</v>
      </c>
      <c r="H50" s="355">
        <v>0.13900000000000001</v>
      </c>
      <c r="I50" s="355">
        <v>0.17300000000000001</v>
      </c>
      <c r="J50" s="355">
        <v>0.16899999999999998</v>
      </c>
      <c r="K50" s="355">
        <v>0.17800000000000002</v>
      </c>
      <c r="L50" s="355">
        <v>0.187</v>
      </c>
      <c r="M50" s="355">
        <v>0.221</v>
      </c>
      <c r="N50" s="356">
        <v>0.22800000000000001</v>
      </c>
      <c r="O50" s="356">
        <v>0.22899999999999998</v>
      </c>
      <c r="P50" s="356">
        <v>0.21199999999999999</v>
      </c>
      <c r="Q50" s="1217">
        <v>0.24275362318840579</v>
      </c>
      <c r="R50" s="1352">
        <v>0.21843003412969283</v>
      </c>
      <c r="S50" s="1217">
        <v>0.24221453287197231</v>
      </c>
      <c r="T50" s="2166">
        <v>0.19191919191919191</v>
      </c>
      <c r="U50" s="1352">
        <v>0.18027210884353742</v>
      </c>
      <c r="V50" s="2393">
        <v>0.21201413427561838</v>
      </c>
      <c r="W50" s="1047"/>
      <c r="X50" s="1214">
        <v>91</v>
      </c>
      <c r="Y50" s="1214">
        <v>68</v>
      </c>
      <c r="Z50" s="1214">
        <v>74</v>
      </c>
      <c r="AA50" s="1214">
        <v>74</v>
      </c>
      <c r="AB50" s="1214">
        <v>59</v>
      </c>
      <c r="AC50" s="1214">
        <v>73</v>
      </c>
      <c r="AD50" s="1214">
        <v>67</v>
      </c>
      <c r="AE50" s="1214">
        <v>67</v>
      </c>
      <c r="AF50" s="1214">
        <v>67</v>
      </c>
      <c r="AG50" s="1214">
        <v>83</v>
      </c>
      <c r="AH50" s="1214">
        <v>78</v>
      </c>
      <c r="AI50" s="1214">
        <v>72</v>
      </c>
      <c r="AJ50" s="1140">
        <v>62</v>
      </c>
      <c r="AK50" s="1140">
        <v>67</v>
      </c>
      <c r="AL50" s="1359">
        <v>64</v>
      </c>
      <c r="AM50" s="1137">
        <v>70</v>
      </c>
      <c r="AN50" s="2169">
        <v>57</v>
      </c>
      <c r="AO50" s="1359">
        <v>53</v>
      </c>
      <c r="AP50" s="2398">
        <v>60</v>
      </c>
    </row>
    <row r="51" spans="1:42" x14ac:dyDescent="0.3">
      <c r="A51" s="349" t="s">
        <v>118</v>
      </c>
      <c r="B51" s="350" t="s">
        <v>605</v>
      </c>
      <c r="C51" s="357" t="s">
        <v>252</v>
      </c>
      <c r="D51" s="354">
        <v>0.115</v>
      </c>
      <c r="E51" s="355">
        <v>0.10099999999999999</v>
      </c>
      <c r="F51" s="355">
        <v>0.121</v>
      </c>
      <c r="G51" s="355">
        <v>0.13500000000000001</v>
      </c>
      <c r="H51" s="355">
        <v>0.115</v>
      </c>
      <c r="I51" s="355">
        <v>0.114</v>
      </c>
      <c r="J51" s="355">
        <v>0.11</v>
      </c>
      <c r="K51" s="355">
        <v>0.10699999999999998</v>
      </c>
      <c r="L51" s="355">
        <v>0.106</v>
      </c>
      <c r="M51" s="355">
        <v>0.14699999999999999</v>
      </c>
      <c r="N51" s="356">
        <v>0.12300000000000001</v>
      </c>
      <c r="O51" s="356">
        <v>0.156</v>
      </c>
      <c r="P51" s="356">
        <v>0.13300000000000001</v>
      </c>
      <c r="Q51" s="1217">
        <v>0.1397286040575037</v>
      </c>
      <c r="R51" s="1352">
        <v>0.13696084936960851</v>
      </c>
      <c r="S51" s="1217">
        <v>0.13055518923908743</v>
      </c>
      <c r="T51" s="2166">
        <v>0.12396585686145765</v>
      </c>
      <c r="U51" s="1352">
        <v>0.11190006574621959</v>
      </c>
      <c r="V51" s="2393">
        <v>0.12106856165284906</v>
      </c>
      <c r="W51" s="1047"/>
      <c r="X51" s="1214">
        <v>859</v>
      </c>
      <c r="Y51" s="1214">
        <v>747</v>
      </c>
      <c r="Z51" s="1214">
        <v>929</v>
      </c>
      <c r="AA51" s="1214">
        <v>1034</v>
      </c>
      <c r="AB51" s="1214">
        <v>880</v>
      </c>
      <c r="AC51" s="1214">
        <v>862</v>
      </c>
      <c r="AD51" s="1214">
        <v>837</v>
      </c>
      <c r="AE51" s="1214">
        <v>851</v>
      </c>
      <c r="AF51" s="1214">
        <v>830</v>
      </c>
      <c r="AG51" s="1214">
        <v>1179</v>
      </c>
      <c r="AH51" s="1214">
        <v>975</v>
      </c>
      <c r="AI51" s="1214">
        <v>1213</v>
      </c>
      <c r="AJ51" s="1140">
        <v>1016</v>
      </c>
      <c r="AK51" s="1140">
        <v>1040</v>
      </c>
      <c r="AL51" s="1359">
        <v>1032</v>
      </c>
      <c r="AM51" s="1137">
        <v>990</v>
      </c>
      <c r="AN51" s="2169">
        <v>944</v>
      </c>
      <c r="AO51" s="1359">
        <v>851</v>
      </c>
      <c r="AP51" s="2398">
        <v>920</v>
      </c>
    </row>
    <row r="52" spans="1:42" x14ac:dyDescent="0.3">
      <c r="A52" s="349" t="s">
        <v>120</v>
      </c>
      <c r="B52" s="350" t="s">
        <v>273</v>
      </c>
      <c r="C52" s="357" t="s">
        <v>252</v>
      </c>
      <c r="D52" s="354">
        <v>8.4999999999999992E-2</v>
      </c>
      <c r="E52" s="355">
        <v>7.6999999999999999E-2</v>
      </c>
      <c r="F52" s="355">
        <v>8.8000000000000009E-2</v>
      </c>
      <c r="G52" s="355">
        <v>9.5999999999999988E-2</v>
      </c>
      <c r="H52" s="355">
        <v>8.3000000000000004E-2</v>
      </c>
      <c r="I52" s="355">
        <v>8.0999999999999989E-2</v>
      </c>
      <c r="J52" s="355">
        <v>8.199999999999999E-2</v>
      </c>
      <c r="K52" s="355">
        <v>7.9000000000000001E-2</v>
      </c>
      <c r="L52" s="355">
        <v>0.09</v>
      </c>
      <c r="M52" s="355">
        <v>0.10300000000000001</v>
      </c>
      <c r="N52" s="356">
        <v>0.10300000000000001</v>
      </c>
      <c r="O52" s="356">
        <v>0.11199999999999999</v>
      </c>
      <c r="P52" s="356">
        <v>0.114</v>
      </c>
      <c r="Q52" s="1217">
        <v>0.1123213070115725</v>
      </c>
      <c r="R52" s="1352">
        <v>0.11459437963944857</v>
      </c>
      <c r="S52" s="1217">
        <v>0.102105762069199</v>
      </c>
      <c r="T52" s="2166">
        <v>9.3798397414315532E-2</v>
      </c>
      <c r="U52" s="1352">
        <v>9.1175101416505949E-2</v>
      </c>
      <c r="V52" s="2393">
        <v>9.2630603191418928E-2</v>
      </c>
      <c r="W52" s="1047"/>
      <c r="X52" s="1214">
        <v>946</v>
      </c>
      <c r="Y52" s="1214">
        <v>872</v>
      </c>
      <c r="Z52" s="1214">
        <v>1030</v>
      </c>
      <c r="AA52" s="1214">
        <v>1108</v>
      </c>
      <c r="AB52" s="1214">
        <v>989</v>
      </c>
      <c r="AC52" s="1214">
        <v>947</v>
      </c>
      <c r="AD52" s="1214">
        <v>947</v>
      </c>
      <c r="AE52" s="1214">
        <v>986</v>
      </c>
      <c r="AF52" s="1214">
        <v>1120</v>
      </c>
      <c r="AG52" s="1214">
        <v>1354</v>
      </c>
      <c r="AH52" s="1214">
        <v>1475</v>
      </c>
      <c r="AI52" s="1214">
        <v>1595</v>
      </c>
      <c r="AJ52" s="1140">
        <v>1611</v>
      </c>
      <c r="AK52" s="1140">
        <v>1650</v>
      </c>
      <c r="AL52" s="1359">
        <v>1729</v>
      </c>
      <c r="AM52" s="1137">
        <v>1508</v>
      </c>
      <c r="AN52" s="2169">
        <v>1393</v>
      </c>
      <c r="AO52" s="1359">
        <v>1371</v>
      </c>
      <c r="AP52" s="2398">
        <v>1399</v>
      </c>
    </row>
    <row r="53" spans="1:42" x14ac:dyDescent="0.3">
      <c r="A53" s="349" t="s">
        <v>122</v>
      </c>
      <c r="B53" s="350" t="s">
        <v>606</v>
      </c>
      <c r="C53" s="357" t="s">
        <v>254</v>
      </c>
      <c r="D53" s="354">
        <v>0.151</v>
      </c>
      <c r="E53" s="355">
        <v>0.13300000000000001</v>
      </c>
      <c r="F53" s="355">
        <v>0.15300000000000002</v>
      </c>
      <c r="G53" s="355">
        <v>0.16200000000000001</v>
      </c>
      <c r="H53" s="355">
        <v>0.13700000000000001</v>
      </c>
      <c r="I53" s="355">
        <v>0.17600000000000002</v>
      </c>
      <c r="J53" s="355">
        <v>0.16</v>
      </c>
      <c r="K53" s="355">
        <v>0.16300000000000001</v>
      </c>
      <c r="L53" s="355">
        <v>0.16600000000000001</v>
      </c>
      <c r="M53" s="355">
        <v>0.2</v>
      </c>
      <c r="N53" s="356">
        <v>0.19400000000000001</v>
      </c>
      <c r="O53" s="356">
        <v>0.20300000000000001</v>
      </c>
      <c r="P53" s="356">
        <v>0.20899999999999999</v>
      </c>
      <c r="Q53" s="1217">
        <v>0.21143717080511662</v>
      </c>
      <c r="R53" s="1352">
        <v>0.22874341610233259</v>
      </c>
      <c r="S53" s="1217">
        <v>0.20477290223248654</v>
      </c>
      <c r="T53" s="2166">
        <v>0.18683001531393567</v>
      </c>
      <c r="U53" s="1352">
        <v>0.18124006359300476</v>
      </c>
      <c r="V53" s="2393">
        <v>0.19293924466338258</v>
      </c>
      <c r="W53" s="1047"/>
      <c r="X53" s="1214">
        <v>216</v>
      </c>
      <c r="Y53" s="1214">
        <v>190</v>
      </c>
      <c r="Z53" s="1214">
        <v>217</v>
      </c>
      <c r="AA53" s="1214">
        <v>233</v>
      </c>
      <c r="AB53" s="1214">
        <v>199</v>
      </c>
      <c r="AC53" s="1214">
        <v>251</v>
      </c>
      <c r="AD53" s="1214">
        <v>221</v>
      </c>
      <c r="AE53" s="1214">
        <v>228</v>
      </c>
      <c r="AF53" s="1214">
        <v>226</v>
      </c>
      <c r="AG53" s="1214">
        <v>258</v>
      </c>
      <c r="AH53" s="1214">
        <v>276</v>
      </c>
      <c r="AI53" s="1214">
        <v>278</v>
      </c>
      <c r="AJ53" s="1140">
        <v>278</v>
      </c>
      <c r="AK53" s="1140">
        <v>281</v>
      </c>
      <c r="AL53" s="1359">
        <v>304</v>
      </c>
      <c r="AM53" s="1137">
        <v>266</v>
      </c>
      <c r="AN53" s="2169">
        <v>244</v>
      </c>
      <c r="AO53" s="1359">
        <v>228</v>
      </c>
      <c r="AP53" s="2398">
        <v>235</v>
      </c>
    </row>
    <row r="54" spans="1:42" x14ac:dyDescent="0.3">
      <c r="A54" s="349" t="s">
        <v>124</v>
      </c>
      <c r="B54" s="350" t="s">
        <v>357</v>
      </c>
      <c r="C54" s="357" t="s">
        <v>255</v>
      </c>
      <c r="D54" s="354">
        <v>9.0000000000000011E-2</v>
      </c>
      <c r="E54" s="355">
        <v>7.5999999999999984E-2</v>
      </c>
      <c r="F54" s="355">
        <v>8.5999999999999993E-2</v>
      </c>
      <c r="G54" s="355">
        <v>9.5000000000000001E-2</v>
      </c>
      <c r="H54" s="355">
        <v>0.08</v>
      </c>
      <c r="I54" s="355">
        <v>8.3000000000000004E-2</v>
      </c>
      <c r="J54" s="355">
        <v>7.6999999999999999E-2</v>
      </c>
      <c r="K54" s="355">
        <v>7.5999999999999998E-2</v>
      </c>
      <c r="L54" s="355">
        <v>0.08</v>
      </c>
      <c r="M54" s="355">
        <v>9.2999999999999999E-2</v>
      </c>
      <c r="N54" s="356">
        <v>9.0000000000000011E-2</v>
      </c>
      <c r="O54" s="356">
        <v>9.6999999999999989E-2</v>
      </c>
      <c r="P54" s="356">
        <v>0.10299999999999999</v>
      </c>
      <c r="Q54" s="1217">
        <v>0.10768522779567419</v>
      </c>
      <c r="R54" s="1352">
        <v>0.10508681084374048</v>
      </c>
      <c r="S54" s="1217">
        <v>9.5759444872783345E-2</v>
      </c>
      <c r="T54" s="2166">
        <v>8.9018943477591247E-2</v>
      </c>
      <c r="U54" s="1352">
        <v>8.4941498252545211E-2</v>
      </c>
      <c r="V54" s="2393">
        <v>9.1174213353798925E-2</v>
      </c>
      <c r="W54" s="1047"/>
      <c r="X54" s="1214">
        <v>417</v>
      </c>
      <c r="Y54" s="1214">
        <v>354</v>
      </c>
      <c r="Z54" s="1214">
        <v>413</v>
      </c>
      <c r="AA54" s="1214">
        <v>476</v>
      </c>
      <c r="AB54" s="1214">
        <v>425</v>
      </c>
      <c r="AC54" s="1214">
        <v>438</v>
      </c>
      <c r="AD54" s="1214">
        <v>415</v>
      </c>
      <c r="AE54" s="1214">
        <v>450</v>
      </c>
      <c r="AF54" s="1214">
        <v>484</v>
      </c>
      <c r="AG54" s="1214">
        <v>577</v>
      </c>
      <c r="AH54" s="1214">
        <v>583</v>
      </c>
      <c r="AI54" s="1214">
        <v>627</v>
      </c>
      <c r="AJ54" s="1140">
        <v>659</v>
      </c>
      <c r="AK54" s="1140">
        <v>702</v>
      </c>
      <c r="AL54" s="1359">
        <v>690</v>
      </c>
      <c r="AM54" s="1137">
        <v>621</v>
      </c>
      <c r="AN54" s="2169">
        <v>578</v>
      </c>
      <c r="AO54" s="1359">
        <v>559</v>
      </c>
      <c r="AP54" s="2398">
        <v>594</v>
      </c>
    </row>
    <row r="55" spans="1:42" x14ac:dyDescent="0.3">
      <c r="A55" s="349" t="s">
        <v>126</v>
      </c>
      <c r="B55" s="350" t="s">
        <v>358</v>
      </c>
      <c r="C55" s="357" t="s">
        <v>254</v>
      </c>
      <c r="D55" s="354">
        <v>9.4E-2</v>
      </c>
      <c r="E55" s="355">
        <v>7.8E-2</v>
      </c>
      <c r="F55" s="355">
        <v>8.6999999999999994E-2</v>
      </c>
      <c r="G55" s="355">
        <v>0.1</v>
      </c>
      <c r="H55" s="355">
        <v>9.0999999999999998E-2</v>
      </c>
      <c r="I55" s="355">
        <v>9.5000000000000001E-2</v>
      </c>
      <c r="J55" s="355">
        <v>9.4E-2</v>
      </c>
      <c r="K55" s="355">
        <v>8.5999999999999993E-2</v>
      </c>
      <c r="L55" s="355">
        <v>8.199999999999999E-2</v>
      </c>
      <c r="M55" s="355">
        <v>9.9000000000000005E-2</v>
      </c>
      <c r="N55" s="356">
        <v>0.11</v>
      </c>
      <c r="O55" s="356">
        <v>0.129</v>
      </c>
      <c r="P55" s="356">
        <v>0.125</v>
      </c>
      <c r="Q55" s="1217">
        <v>0.13313922710428799</v>
      </c>
      <c r="R55" s="1352">
        <v>0.13370547581073897</v>
      </c>
      <c r="S55" s="1217">
        <v>0.12160723789249601</v>
      </c>
      <c r="T55" s="2166">
        <v>0.11463087248322147</v>
      </c>
      <c r="U55" s="1352">
        <v>9.8146697990080925E-2</v>
      </c>
      <c r="V55" s="2393">
        <v>0.10243775933609958</v>
      </c>
      <c r="W55" s="1047"/>
      <c r="X55" s="1214">
        <v>321</v>
      </c>
      <c r="Y55" s="1214">
        <v>270</v>
      </c>
      <c r="Z55" s="1214">
        <v>309</v>
      </c>
      <c r="AA55" s="1214">
        <v>361</v>
      </c>
      <c r="AB55" s="1214">
        <v>331</v>
      </c>
      <c r="AC55" s="1214">
        <v>341</v>
      </c>
      <c r="AD55" s="1214">
        <v>342</v>
      </c>
      <c r="AE55" s="1214">
        <v>328</v>
      </c>
      <c r="AF55" s="1214">
        <v>318</v>
      </c>
      <c r="AG55" s="1214">
        <v>403</v>
      </c>
      <c r="AH55" s="1214">
        <v>429</v>
      </c>
      <c r="AI55" s="1214">
        <v>495</v>
      </c>
      <c r="AJ55" s="1140">
        <v>477</v>
      </c>
      <c r="AK55" s="1140">
        <v>503</v>
      </c>
      <c r="AL55" s="1359">
        <v>503</v>
      </c>
      <c r="AM55" s="1137">
        <v>457</v>
      </c>
      <c r="AN55" s="2169">
        <v>427</v>
      </c>
      <c r="AO55" s="1359">
        <v>376</v>
      </c>
      <c r="AP55" s="2398">
        <v>395</v>
      </c>
    </row>
    <row r="56" spans="1:42" x14ac:dyDescent="0.3">
      <c r="A56" s="349" t="s">
        <v>128</v>
      </c>
      <c r="B56" s="350" t="s">
        <v>359</v>
      </c>
      <c r="C56" s="357" t="s">
        <v>254</v>
      </c>
      <c r="D56" s="354">
        <v>0.21500000000000002</v>
      </c>
      <c r="E56" s="355">
        <v>0.18800000000000003</v>
      </c>
      <c r="F56" s="355">
        <v>0.214</v>
      </c>
      <c r="G56" s="355">
        <v>0.22100000000000003</v>
      </c>
      <c r="H56" s="355">
        <v>0.19299999999999998</v>
      </c>
      <c r="I56" s="355">
        <v>0.22399999999999998</v>
      </c>
      <c r="J56" s="355">
        <v>0.223</v>
      </c>
      <c r="K56" s="355">
        <v>0.215</v>
      </c>
      <c r="L56" s="355">
        <v>0.224</v>
      </c>
      <c r="M56" s="355">
        <v>0.23</v>
      </c>
      <c r="N56" s="356">
        <v>0.26100000000000001</v>
      </c>
      <c r="O56" s="356">
        <v>0.27399999999999997</v>
      </c>
      <c r="P56" s="356">
        <v>0.27600000000000002</v>
      </c>
      <c r="Q56" s="1217">
        <v>0.28352941176470586</v>
      </c>
      <c r="R56" s="1352">
        <v>0.26364193746167996</v>
      </c>
      <c r="S56" s="1217">
        <v>0.26169405815423513</v>
      </c>
      <c r="T56" s="2166">
        <v>0.26958667489204197</v>
      </c>
      <c r="U56" s="1352">
        <v>0.23730886850152905</v>
      </c>
      <c r="V56" s="2393">
        <v>0.24101355332940483</v>
      </c>
      <c r="W56" s="1047"/>
      <c r="X56" s="1214">
        <v>462</v>
      </c>
      <c r="Y56" s="1214">
        <v>394</v>
      </c>
      <c r="Z56" s="1214">
        <v>454</v>
      </c>
      <c r="AA56" s="1214">
        <v>461</v>
      </c>
      <c r="AB56" s="1214">
        <v>396</v>
      </c>
      <c r="AC56" s="1214">
        <v>454</v>
      </c>
      <c r="AD56" s="1214">
        <v>435</v>
      </c>
      <c r="AE56" s="1214">
        <v>426</v>
      </c>
      <c r="AF56" s="1214">
        <v>428</v>
      </c>
      <c r="AG56" s="1214">
        <v>427</v>
      </c>
      <c r="AH56" s="1214">
        <v>470</v>
      </c>
      <c r="AI56" s="1214">
        <v>483</v>
      </c>
      <c r="AJ56" s="1140">
        <v>470</v>
      </c>
      <c r="AK56" s="1140">
        <v>482</v>
      </c>
      <c r="AL56" s="1359">
        <v>430</v>
      </c>
      <c r="AM56" s="1137">
        <v>414</v>
      </c>
      <c r="AN56" s="2169">
        <v>437</v>
      </c>
      <c r="AO56" s="1359">
        <v>388</v>
      </c>
      <c r="AP56" s="2398">
        <v>409</v>
      </c>
    </row>
    <row r="57" spans="1:42" x14ac:dyDescent="0.3">
      <c r="A57" s="349" t="s">
        <v>130</v>
      </c>
      <c r="B57" s="350" t="s">
        <v>360</v>
      </c>
      <c r="C57" s="357" t="s">
        <v>256</v>
      </c>
      <c r="D57" s="354">
        <v>0.29699999999999999</v>
      </c>
      <c r="E57" s="355">
        <v>0.25800000000000001</v>
      </c>
      <c r="F57" s="355">
        <v>0.308</v>
      </c>
      <c r="G57" s="355">
        <v>0.33099999999999996</v>
      </c>
      <c r="H57" s="355">
        <v>0.28499999999999998</v>
      </c>
      <c r="I57" s="355">
        <v>0.35299999999999998</v>
      </c>
      <c r="J57" s="355">
        <v>0.309</v>
      </c>
      <c r="K57" s="355">
        <v>0.31900000000000001</v>
      </c>
      <c r="L57" s="355">
        <v>0.33799999999999997</v>
      </c>
      <c r="M57" s="355">
        <v>0.33599999999999997</v>
      </c>
      <c r="N57" s="356">
        <v>0.33100000000000002</v>
      </c>
      <c r="O57" s="356">
        <v>0.35600000000000004</v>
      </c>
      <c r="P57" s="356">
        <v>0.372</v>
      </c>
      <c r="Q57" s="1217">
        <v>0.38628382565585623</v>
      </c>
      <c r="R57" s="1352">
        <v>0.31877362452750946</v>
      </c>
      <c r="S57" s="1217">
        <v>0.36342042755344417</v>
      </c>
      <c r="T57" s="2166">
        <v>0.37452428923214687</v>
      </c>
      <c r="U57" s="1352">
        <v>0.32979683972911966</v>
      </c>
      <c r="V57" s="2393">
        <v>0.32505747126436779</v>
      </c>
      <c r="W57" s="1047"/>
      <c r="X57" s="1214">
        <v>1523</v>
      </c>
      <c r="Y57" s="1214">
        <v>1328</v>
      </c>
      <c r="Z57" s="1214">
        <v>1602</v>
      </c>
      <c r="AA57" s="1214">
        <v>1708</v>
      </c>
      <c r="AB57" s="1214">
        <v>1460</v>
      </c>
      <c r="AC57" s="1214">
        <v>1785</v>
      </c>
      <c r="AD57" s="1214">
        <v>1521</v>
      </c>
      <c r="AE57" s="1214">
        <v>1556</v>
      </c>
      <c r="AF57" s="1214">
        <v>1605</v>
      </c>
      <c r="AG57" s="1214">
        <v>1649</v>
      </c>
      <c r="AH57" s="1214">
        <v>1689</v>
      </c>
      <c r="AI57" s="1214">
        <v>1794</v>
      </c>
      <c r="AJ57" s="1140">
        <v>1848</v>
      </c>
      <c r="AK57" s="1140">
        <v>1870</v>
      </c>
      <c r="AL57" s="1359">
        <v>1518</v>
      </c>
      <c r="AM57" s="1137">
        <v>1683</v>
      </c>
      <c r="AN57" s="2169">
        <v>1673</v>
      </c>
      <c r="AO57" s="1359">
        <v>1461</v>
      </c>
      <c r="AP57" s="2398">
        <v>1414</v>
      </c>
    </row>
    <row r="58" spans="1:42" x14ac:dyDescent="0.3">
      <c r="A58" s="349" t="s">
        <v>132</v>
      </c>
      <c r="B58" s="350" t="s">
        <v>361</v>
      </c>
      <c r="C58" s="357" t="s">
        <v>255</v>
      </c>
      <c r="D58" s="354">
        <v>3.1000000000000003E-2</v>
      </c>
      <c r="E58" s="355">
        <v>2.8000000000000001E-2</v>
      </c>
      <c r="F58" s="355">
        <v>3.3000000000000002E-2</v>
      </c>
      <c r="G58" s="355">
        <v>4.0999999999999995E-2</v>
      </c>
      <c r="H58" s="355">
        <v>3.6999999999999998E-2</v>
      </c>
      <c r="I58" s="355">
        <v>2.8000000000000001E-2</v>
      </c>
      <c r="J58" s="355">
        <v>2.8999999999999998E-2</v>
      </c>
      <c r="K58" s="355">
        <v>2.8999999999999998E-2</v>
      </c>
      <c r="L58" s="355">
        <v>3.5000000000000003E-2</v>
      </c>
      <c r="M58" s="355">
        <v>3.9E-2</v>
      </c>
      <c r="N58" s="356">
        <v>4.2000000000000003E-2</v>
      </c>
      <c r="O58" s="356">
        <v>4.4999999999999998E-2</v>
      </c>
      <c r="P58" s="356">
        <v>4.2999999999999997E-2</v>
      </c>
      <c r="Q58" s="1217">
        <v>4.1029470233996952E-2</v>
      </c>
      <c r="R58" s="1352">
        <v>4.3724420835735689E-2</v>
      </c>
      <c r="S58" s="1217">
        <v>3.9522661568160193E-2</v>
      </c>
      <c r="T58" s="2166">
        <v>3.5378778205432226E-2</v>
      </c>
      <c r="U58" s="1352">
        <v>3.0101614080045556E-2</v>
      </c>
      <c r="V58" s="2393">
        <v>3.6153042317588278E-2</v>
      </c>
      <c r="W58" s="1047"/>
      <c r="X58" s="1214">
        <v>1752</v>
      </c>
      <c r="Y58" s="1214">
        <v>1696</v>
      </c>
      <c r="Z58" s="1214">
        <v>2145</v>
      </c>
      <c r="AA58" s="1214">
        <v>2838</v>
      </c>
      <c r="AB58" s="1214">
        <v>2771</v>
      </c>
      <c r="AC58" s="1214">
        <v>2090</v>
      </c>
      <c r="AD58" s="1214">
        <v>2202</v>
      </c>
      <c r="AE58" s="1214">
        <v>2454</v>
      </c>
      <c r="AF58" s="1214">
        <v>3049</v>
      </c>
      <c r="AG58" s="1214">
        <v>3426</v>
      </c>
      <c r="AH58" s="1214">
        <v>4026</v>
      </c>
      <c r="AI58" s="1214">
        <v>4359</v>
      </c>
      <c r="AJ58" s="1140">
        <v>4315</v>
      </c>
      <c r="AK58" s="1140">
        <v>4231</v>
      </c>
      <c r="AL58" s="1359">
        <v>4626</v>
      </c>
      <c r="AM58" s="1137">
        <v>4279</v>
      </c>
      <c r="AN58" s="2169">
        <v>3879</v>
      </c>
      <c r="AO58" s="1359">
        <v>3383</v>
      </c>
      <c r="AP58" s="2398">
        <v>4117</v>
      </c>
    </row>
    <row r="59" spans="1:42" x14ac:dyDescent="0.3">
      <c r="A59" s="349" t="s">
        <v>134</v>
      </c>
      <c r="B59" s="350" t="s">
        <v>362</v>
      </c>
      <c r="C59" s="357" t="s">
        <v>255</v>
      </c>
      <c r="D59" s="354">
        <v>0.13699999999999998</v>
      </c>
      <c r="E59" s="355">
        <v>0.123</v>
      </c>
      <c r="F59" s="355">
        <v>0.14000000000000001</v>
      </c>
      <c r="G59" s="355">
        <v>0.14400000000000002</v>
      </c>
      <c r="H59" s="355">
        <v>0.129</v>
      </c>
      <c r="I59" s="355">
        <v>0.155</v>
      </c>
      <c r="J59" s="355">
        <v>0.13500000000000001</v>
      </c>
      <c r="K59" s="355">
        <v>0.13500000000000001</v>
      </c>
      <c r="L59" s="355">
        <v>0.13899999999999998</v>
      </c>
      <c r="M59" s="355">
        <v>0.16200000000000001</v>
      </c>
      <c r="N59" s="356">
        <v>0.156</v>
      </c>
      <c r="O59" s="356">
        <v>0.17</v>
      </c>
      <c r="P59" s="356">
        <v>0.17399999999999999</v>
      </c>
      <c r="Q59" s="1217">
        <v>0.17671607425528854</v>
      </c>
      <c r="R59" s="1352">
        <v>0.1732127719694829</v>
      </c>
      <c r="S59" s="1217">
        <v>0.16716206652512386</v>
      </c>
      <c r="T59" s="2166">
        <v>0.16017922150658079</v>
      </c>
      <c r="U59" s="1352">
        <v>0.14480836236933797</v>
      </c>
      <c r="V59" s="2393">
        <v>0.14867841409691629</v>
      </c>
      <c r="W59" s="1047"/>
      <c r="X59" s="1214">
        <v>856</v>
      </c>
      <c r="Y59" s="1214">
        <v>777</v>
      </c>
      <c r="Z59" s="1214">
        <v>911</v>
      </c>
      <c r="AA59" s="1214">
        <v>948</v>
      </c>
      <c r="AB59" s="1214">
        <v>864</v>
      </c>
      <c r="AC59" s="1214">
        <v>1022</v>
      </c>
      <c r="AD59" s="1214">
        <v>908</v>
      </c>
      <c r="AE59" s="1214">
        <v>962</v>
      </c>
      <c r="AF59" s="1214">
        <v>998</v>
      </c>
      <c r="AG59" s="1214">
        <v>1152</v>
      </c>
      <c r="AH59" s="1214">
        <v>1128</v>
      </c>
      <c r="AI59" s="1214">
        <v>1214</v>
      </c>
      <c r="AJ59" s="1140">
        <v>1217</v>
      </c>
      <c r="AK59" s="1140">
        <v>1228</v>
      </c>
      <c r="AL59" s="1359">
        <v>1226</v>
      </c>
      <c r="AM59" s="1137">
        <v>1181</v>
      </c>
      <c r="AN59" s="2169">
        <v>1144</v>
      </c>
      <c r="AO59" s="1359">
        <v>1039</v>
      </c>
      <c r="AP59" s="2398">
        <v>1080</v>
      </c>
    </row>
    <row r="60" spans="1:42" x14ac:dyDescent="0.3">
      <c r="A60" s="349" t="s">
        <v>136</v>
      </c>
      <c r="B60" s="350" t="s">
        <v>363</v>
      </c>
      <c r="C60" s="357" t="s">
        <v>254</v>
      </c>
      <c r="D60" s="354">
        <v>0.218</v>
      </c>
      <c r="E60" s="355">
        <v>0.20600000000000002</v>
      </c>
      <c r="F60" s="355">
        <v>0.214</v>
      </c>
      <c r="G60" s="355">
        <v>0.24300000000000002</v>
      </c>
      <c r="H60" s="355">
        <v>0.21800000000000003</v>
      </c>
      <c r="I60" s="355">
        <v>0.30100000000000005</v>
      </c>
      <c r="J60" s="355">
        <v>0.23899999999999999</v>
      </c>
      <c r="K60" s="355">
        <v>0.255</v>
      </c>
      <c r="L60" s="355">
        <v>0.27399999999999997</v>
      </c>
      <c r="M60" s="355">
        <v>0.28800000000000003</v>
      </c>
      <c r="N60" s="356">
        <v>0.28399999999999997</v>
      </c>
      <c r="O60" s="356">
        <v>0.29399999999999998</v>
      </c>
      <c r="P60" s="356">
        <v>0.316</v>
      </c>
      <c r="Q60" s="1217">
        <v>0.29540481400437635</v>
      </c>
      <c r="R60" s="1352">
        <v>0.28677433435181143</v>
      </c>
      <c r="S60" s="1217">
        <v>0.29007971656333037</v>
      </c>
      <c r="T60" s="2166">
        <v>0.26137377341659235</v>
      </c>
      <c r="U60" s="1352">
        <v>0.26890756302521007</v>
      </c>
      <c r="V60" s="2393">
        <v>0.24818181818181817</v>
      </c>
      <c r="W60" s="1047"/>
      <c r="X60" s="1214">
        <v>582</v>
      </c>
      <c r="Y60" s="1214">
        <v>542</v>
      </c>
      <c r="Z60" s="1214">
        <v>563</v>
      </c>
      <c r="AA60" s="1214">
        <v>614</v>
      </c>
      <c r="AB60" s="1214">
        <v>557</v>
      </c>
      <c r="AC60" s="1214">
        <v>760</v>
      </c>
      <c r="AD60" s="1214">
        <v>571</v>
      </c>
      <c r="AE60" s="1214">
        <v>595</v>
      </c>
      <c r="AF60" s="1214">
        <v>618</v>
      </c>
      <c r="AG60" s="1214">
        <v>696</v>
      </c>
      <c r="AH60" s="1214">
        <v>693</v>
      </c>
      <c r="AI60" s="1214">
        <v>715</v>
      </c>
      <c r="AJ60" s="1140">
        <v>754</v>
      </c>
      <c r="AK60" s="1140">
        <v>675</v>
      </c>
      <c r="AL60" s="1359">
        <v>657</v>
      </c>
      <c r="AM60" s="1137">
        <v>655</v>
      </c>
      <c r="AN60" s="2169">
        <v>586</v>
      </c>
      <c r="AO60" s="1359">
        <v>608</v>
      </c>
      <c r="AP60" s="2398">
        <v>546</v>
      </c>
    </row>
    <row r="61" spans="1:42" x14ac:dyDescent="0.3">
      <c r="A61" s="349" t="s">
        <v>140</v>
      </c>
      <c r="B61" s="350" t="s">
        <v>364</v>
      </c>
      <c r="C61" s="357" t="s">
        <v>255</v>
      </c>
      <c r="D61" s="354">
        <v>0.152</v>
      </c>
      <c r="E61" s="355">
        <v>0.125</v>
      </c>
      <c r="F61" s="355">
        <v>0.12199999999999998</v>
      </c>
      <c r="G61" s="355">
        <v>0.13699999999999998</v>
      </c>
      <c r="H61" s="355">
        <v>0.124</v>
      </c>
      <c r="I61" s="355">
        <v>0.14400000000000002</v>
      </c>
      <c r="J61" s="355">
        <v>0.13699999999999998</v>
      </c>
      <c r="K61" s="355">
        <v>0.13699999999999998</v>
      </c>
      <c r="L61" s="355">
        <v>0.151</v>
      </c>
      <c r="M61" s="355">
        <v>0.16199999999999998</v>
      </c>
      <c r="N61" s="356">
        <v>0.17399999999999999</v>
      </c>
      <c r="O61" s="356">
        <v>0.17699999999999999</v>
      </c>
      <c r="P61" s="356">
        <v>0.193</v>
      </c>
      <c r="Q61" s="1217">
        <v>0.18481012658227849</v>
      </c>
      <c r="R61" s="1352">
        <v>0.18315018315018314</v>
      </c>
      <c r="S61" s="1217">
        <v>0.18249534450651769</v>
      </c>
      <c r="T61" s="2166">
        <v>0.17888675623800385</v>
      </c>
      <c r="U61" s="1352">
        <v>0.14977477477477477</v>
      </c>
      <c r="V61" s="2393">
        <v>0.16078136739293764</v>
      </c>
      <c r="W61" s="1047"/>
      <c r="X61" s="1214">
        <v>452</v>
      </c>
      <c r="Y61" s="1214">
        <v>368</v>
      </c>
      <c r="Z61" s="1214">
        <v>361</v>
      </c>
      <c r="AA61" s="1214">
        <v>406</v>
      </c>
      <c r="AB61" s="1214">
        <v>370</v>
      </c>
      <c r="AC61" s="1214">
        <v>424</v>
      </c>
      <c r="AD61" s="1214">
        <v>386</v>
      </c>
      <c r="AE61" s="1214">
        <v>403</v>
      </c>
      <c r="AF61" s="1214">
        <v>435</v>
      </c>
      <c r="AG61" s="1214">
        <v>472</v>
      </c>
      <c r="AH61" s="1214">
        <v>508</v>
      </c>
      <c r="AI61" s="1214">
        <v>497</v>
      </c>
      <c r="AJ61" s="1140">
        <v>545</v>
      </c>
      <c r="AK61" s="1140">
        <v>511</v>
      </c>
      <c r="AL61" s="1359">
        <v>500</v>
      </c>
      <c r="AM61" s="1137">
        <v>490</v>
      </c>
      <c r="AN61" s="2169">
        <v>466</v>
      </c>
      <c r="AO61" s="1359">
        <v>399</v>
      </c>
      <c r="AP61" s="2398">
        <v>428</v>
      </c>
    </row>
    <row r="62" spans="1:42" x14ac:dyDescent="0.3">
      <c r="A62" s="349" t="s">
        <v>146</v>
      </c>
      <c r="B62" s="350" t="s">
        <v>365</v>
      </c>
      <c r="C62" s="357" t="s">
        <v>252</v>
      </c>
      <c r="D62" s="354">
        <v>0.125</v>
      </c>
      <c r="E62" s="355">
        <v>0.115</v>
      </c>
      <c r="F62" s="355">
        <v>0.127</v>
      </c>
      <c r="G62" s="355">
        <v>0.14199999999999999</v>
      </c>
      <c r="H62" s="355">
        <v>0.12</v>
      </c>
      <c r="I62" s="355">
        <v>0.13400000000000001</v>
      </c>
      <c r="J62" s="355">
        <v>0.13300000000000001</v>
      </c>
      <c r="K62" s="355">
        <v>0.125</v>
      </c>
      <c r="L62" s="355">
        <v>0.13800000000000001</v>
      </c>
      <c r="M62" s="355">
        <v>0.158</v>
      </c>
      <c r="N62" s="356">
        <v>0.17100000000000001</v>
      </c>
      <c r="O62" s="356">
        <v>0.18100000000000002</v>
      </c>
      <c r="P62" s="356">
        <v>0.17699999999999999</v>
      </c>
      <c r="Q62" s="1217">
        <v>0.182</v>
      </c>
      <c r="R62" s="1352">
        <v>0.18002717391304349</v>
      </c>
      <c r="S62" s="1217">
        <v>0.17882187938288921</v>
      </c>
      <c r="T62" s="2166">
        <v>0.17655571635311143</v>
      </c>
      <c r="U62" s="1352">
        <v>0.16190476190476191</v>
      </c>
      <c r="V62" s="2393">
        <v>0.16566716641679161</v>
      </c>
      <c r="W62" s="1047"/>
      <c r="X62" s="1214">
        <v>222</v>
      </c>
      <c r="Y62" s="1214">
        <v>198</v>
      </c>
      <c r="Z62" s="1214">
        <v>216</v>
      </c>
      <c r="AA62" s="1214">
        <v>243</v>
      </c>
      <c r="AB62" s="1214">
        <v>201</v>
      </c>
      <c r="AC62" s="1214">
        <v>221</v>
      </c>
      <c r="AD62" s="1214">
        <v>210</v>
      </c>
      <c r="AE62" s="1214">
        <v>190</v>
      </c>
      <c r="AF62" s="1214">
        <v>211</v>
      </c>
      <c r="AG62" s="1214">
        <v>252</v>
      </c>
      <c r="AH62" s="1214">
        <v>274</v>
      </c>
      <c r="AI62" s="1214">
        <v>287</v>
      </c>
      <c r="AJ62" s="1140">
        <v>266</v>
      </c>
      <c r="AK62" s="1140">
        <v>273</v>
      </c>
      <c r="AL62" s="1359">
        <v>265</v>
      </c>
      <c r="AM62" s="1137">
        <v>255</v>
      </c>
      <c r="AN62" s="2169">
        <v>244</v>
      </c>
      <c r="AO62" s="1359">
        <v>221</v>
      </c>
      <c r="AP62" s="2398">
        <v>221</v>
      </c>
    </row>
    <row r="63" spans="1:42" x14ac:dyDescent="0.3">
      <c r="A63" s="349" t="s">
        <v>148</v>
      </c>
      <c r="B63" s="350" t="s">
        <v>366</v>
      </c>
      <c r="C63" s="357" t="s">
        <v>253</v>
      </c>
      <c r="D63" s="354">
        <v>0.20799999999999999</v>
      </c>
      <c r="E63" s="355">
        <v>0.188</v>
      </c>
      <c r="F63" s="355">
        <v>0.21300000000000002</v>
      </c>
      <c r="G63" s="355">
        <v>0.23799999999999999</v>
      </c>
      <c r="H63" s="355">
        <v>0.20699999999999999</v>
      </c>
      <c r="I63" s="355">
        <v>0.24399999999999997</v>
      </c>
      <c r="J63" s="355">
        <v>0.22</v>
      </c>
      <c r="K63" s="355">
        <v>0.23</v>
      </c>
      <c r="L63" s="355">
        <v>0.245</v>
      </c>
      <c r="M63" s="355">
        <v>0.26700000000000002</v>
      </c>
      <c r="N63" s="356">
        <v>0.28399999999999997</v>
      </c>
      <c r="O63" s="356">
        <v>0.28699999999999998</v>
      </c>
      <c r="P63" s="356">
        <v>0.28299999999999997</v>
      </c>
      <c r="Q63" s="1217">
        <v>0.28433494256700514</v>
      </c>
      <c r="R63" s="1352">
        <v>0.3060220525869381</v>
      </c>
      <c r="S63" s="1217">
        <v>0.27461139896373055</v>
      </c>
      <c r="T63" s="2166">
        <v>0.25986441856422737</v>
      </c>
      <c r="U63" s="1352">
        <v>0.2636347486232013</v>
      </c>
      <c r="V63" s="2393">
        <v>0.29775080328454123</v>
      </c>
      <c r="W63" s="1047"/>
      <c r="X63" s="1214">
        <v>1402</v>
      </c>
      <c r="Y63" s="1214">
        <v>1255</v>
      </c>
      <c r="Z63" s="1214">
        <v>1446</v>
      </c>
      <c r="AA63" s="1214">
        <v>1585</v>
      </c>
      <c r="AB63" s="1214">
        <v>1399</v>
      </c>
      <c r="AC63" s="1214">
        <v>1630</v>
      </c>
      <c r="AD63" s="1214">
        <v>1395</v>
      </c>
      <c r="AE63" s="1214">
        <v>1453</v>
      </c>
      <c r="AF63" s="1214">
        <v>1524</v>
      </c>
      <c r="AG63" s="1214">
        <v>1650</v>
      </c>
      <c r="AH63" s="1214">
        <v>1780</v>
      </c>
      <c r="AI63" s="1214">
        <v>1779</v>
      </c>
      <c r="AJ63" s="1140">
        <v>1732</v>
      </c>
      <c r="AK63" s="1140">
        <v>1708</v>
      </c>
      <c r="AL63" s="1359">
        <v>1804</v>
      </c>
      <c r="AM63" s="1137">
        <v>1590</v>
      </c>
      <c r="AN63" s="2169">
        <v>1495</v>
      </c>
      <c r="AO63" s="1359">
        <v>1484</v>
      </c>
      <c r="AP63" s="2398">
        <v>1668</v>
      </c>
    </row>
    <row r="64" spans="1:42" x14ac:dyDescent="0.3">
      <c r="A64" s="349" t="s">
        <v>150</v>
      </c>
      <c r="B64" s="350" t="s">
        <v>367</v>
      </c>
      <c r="C64" s="357" t="s">
        <v>254</v>
      </c>
      <c r="D64" s="354">
        <v>0.19</v>
      </c>
      <c r="E64" s="355">
        <v>0.17199999999999999</v>
      </c>
      <c r="F64" s="355">
        <v>0.18300000000000002</v>
      </c>
      <c r="G64" s="355">
        <v>0.19600000000000001</v>
      </c>
      <c r="H64" s="355">
        <v>0.185</v>
      </c>
      <c r="I64" s="355">
        <v>0.21899999999999997</v>
      </c>
      <c r="J64" s="355">
        <v>0.19699999999999998</v>
      </c>
      <c r="K64" s="355">
        <v>0.20199999999999999</v>
      </c>
      <c r="L64" s="355">
        <v>0.20399999999999999</v>
      </c>
      <c r="M64" s="355">
        <v>0.23</v>
      </c>
      <c r="N64" s="356">
        <v>0.22300000000000003</v>
      </c>
      <c r="O64" s="356">
        <v>0.23899999999999999</v>
      </c>
      <c r="P64" s="356">
        <v>0.25700000000000001</v>
      </c>
      <c r="Q64" s="1217">
        <v>0.26638349514563109</v>
      </c>
      <c r="R64" s="1352">
        <v>0.2598904443091905</v>
      </c>
      <c r="S64" s="1217">
        <v>0.25062499999999999</v>
      </c>
      <c r="T64" s="2166">
        <v>0.24940047961630696</v>
      </c>
      <c r="U64" s="1352">
        <v>0.23631990378833434</v>
      </c>
      <c r="V64" s="2393">
        <v>0.22872032426172553</v>
      </c>
      <c r="W64" s="1047"/>
      <c r="X64" s="1214">
        <v>357</v>
      </c>
      <c r="Y64" s="1214">
        <v>318</v>
      </c>
      <c r="Z64" s="1214">
        <v>344</v>
      </c>
      <c r="AA64" s="1214">
        <v>367</v>
      </c>
      <c r="AB64" s="1214">
        <v>335</v>
      </c>
      <c r="AC64" s="1214">
        <v>392</v>
      </c>
      <c r="AD64" s="1214">
        <v>352</v>
      </c>
      <c r="AE64" s="1214">
        <v>359</v>
      </c>
      <c r="AF64" s="1214">
        <v>351</v>
      </c>
      <c r="AG64" s="1214">
        <v>383</v>
      </c>
      <c r="AH64" s="1214">
        <v>387</v>
      </c>
      <c r="AI64" s="1214">
        <v>397</v>
      </c>
      <c r="AJ64" s="1140">
        <v>426</v>
      </c>
      <c r="AK64" s="1140">
        <v>439</v>
      </c>
      <c r="AL64" s="1359">
        <v>427</v>
      </c>
      <c r="AM64" s="1137">
        <v>401</v>
      </c>
      <c r="AN64" s="2169">
        <v>416</v>
      </c>
      <c r="AO64" s="1359">
        <v>393</v>
      </c>
      <c r="AP64" s="2398">
        <v>395</v>
      </c>
    </row>
    <row r="65" spans="1:42" x14ac:dyDescent="0.3">
      <c r="A65" s="349" t="s">
        <v>152</v>
      </c>
      <c r="B65" s="350" t="s">
        <v>368</v>
      </c>
      <c r="C65" s="357" t="s">
        <v>256</v>
      </c>
      <c r="D65" s="354">
        <v>0.129</v>
      </c>
      <c r="E65" s="355">
        <v>0.12</v>
      </c>
      <c r="F65" s="355">
        <v>0.129</v>
      </c>
      <c r="G65" s="355">
        <v>0.153</v>
      </c>
      <c r="H65" s="355">
        <v>0.14300000000000002</v>
      </c>
      <c r="I65" s="355">
        <v>0.14699999999999999</v>
      </c>
      <c r="J65" s="355">
        <v>0.13499999999999998</v>
      </c>
      <c r="K65" s="355">
        <v>0.13599999999999998</v>
      </c>
      <c r="L65" s="355">
        <v>0.155</v>
      </c>
      <c r="M65" s="355">
        <v>0.154</v>
      </c>
      <c r="N65" s="356">
        <v>0.17199999999999999</v>
      </c>
      <c r="O65" s="356">
        <v>0.17</v>
      </c>
      <c r="P65" s="356">
        <v>0.18099999999999999</v>
      </c>
      <c r="Q65" s="1217">
        <v>0.18324501978670601</v>
      </c>
      <c r="R65" s="1352">
        <v>0.16029585024217829</v>
      </c>
      <c r="S65" s="1217">
        <v>0.15245612890599516</v>
      </c>
      <c r="T65" s="2166">
        <v>0.13447874951556646</v>
      </c>
      <c r="U65" s="1352">
        <v>0.15100959947037404</v>
      </c>
      <c r="V65" s="2393">
        <v>0.14638377368561517</v>
      </c>
      <c r="W65" s="1047"/>
      <c r="X65" s="1214">
        <v>1802</v>
      </c>
      <c r="Y65" s="1214">
        <v>1671</v>
      </c>
      <c r="Z65" s="1214">
        <v>1797</v>
      </c>
      <c r="AA65" s="1214">
        <v>2120</v>
      </c>
      <c r="AB65" s="1214">
        <v>1912</v>
      </c>
      <c r="AC65" s="1214">
        <v>1934</v>
      </c>
      <c r="AD65" s="1214">
        <v>1842</v>
      </c>
      <c r="AE65" s="1214">
        <v>1925</v>
      </c>
      <c r="AF65" s="1214">
        <v>2238</v>
      </c>
      <c r="AG65" s="1214">
        <v>2246</v>
      </c>
      <c r="AH65" s="1214">
        <v>2557</v>
      </c>
      <c r="AI65" s="1214">
        <v>2411</v>
      </c>
      <c r="AJ65" s="1140">
        <v>2682</v>
      </c>
      <c r="AK65" s="1140">
        <v>2732</v>
      </c>
      <c r="AL65" s="1359">
        <v>2449</v>
      </c>
      <c r="AM65" s="1137">
        <v>2337</v>
      </c>
      <c r="AN65" s="2169">
        <v>2082</v>
      </c>
      <c r="AO65" s="1359">
        <v>2281</v>
      </c>
      <c r="AP65" s="2398">
        <v>2194</v>
      </c>
    </row>
    <row r="66" spans="1:42" x14ac:dyDescent="0.3">
      <c r="A66" s="349" t="s">
        <v>154</v>
      </c>
      <c r="B66" s="350" t="s">
        <v>369</v>
      </c>
      <c r="C66" s="357" t="s">
        <v>253</v>
      </c>
      <c r="D66" s="354">
        <v>0.14599999999999999</v>
      </c>
      <c r="E66" s="355">
        <v>0.13700000000000001</v>
      </c>
      <c r="F66" s="355">
        <v>0.151</v>
      </c>
      <c r="G66" s="355">
        <v>0.16700000000000001</v>
      </c>
      <c r="H66" s="355">
        <v>0.14199999999999999</v>
      </c>
      <c r="I66" s="355">
        <v>0.16699999999999998</v>
      </c>
      <c r="J66" s="355">
        <v>0.158</v>
      </c>
      <c r="K66" s="355">
        <v>0.16199999999999998</v>
      </c>
      <c r="L66" s="355">
        <v>0.18100000000000002</v>
      </c>
      <c r="M66" s="355">
        <v>0.18399999999999997</v>
      </c>
      <c r="N66" s="356">
        <v>0.20899999999999999</v>
      </c>
      <c r="O66" s="356">
        <v>0.21</v>
      </c>
      <c r="P66" s="356">
        <v>0.23</v>
      </c>
      <c r="Q66" s="1217">
        <v>0.230741146403797</v>
      </c>
      <c r="R66" s="1352">
        <v>0.21454545454545454</v>
      </c>
      <c r="S66" s="1217">
        <v>0.23229357798165137</v>
      </c>
      <c r="T66" s="2166">
        <v>0.20573294629898403</v>
      </c>
      <c r="U66" s="1352">
        <v>0.20569737328893822</v>
      </c>
      <c r="V66" s="2393">
        <v>0.19922779922779923</v>
      </c>
      <c r="W66" s="1047"/>
      <c r="X66" s="1214">
        <v>454</v>
      </c>
      <c r="Y66" s="1214">
        <v>424</v>
      </c>
      <c r="Z66" s="1214">
        <v>472</v>
      </c>
      <c r="AA66" s="1214">
        <v>512</v>
      </c>
      <c r="AB66" s="1214">
        <v>434</v>
      </c>
      <c r="AC66" s="1214">
        <v>504</v>
      </c>
      <c r="AD66" s="1214">
        <v>463</v>
      </c>
      <c r="AE66" s="1214">
        <v>479</v>
      </c>
      <c r="AF66" s="1214">
        <v>532</v>
      </c>
      <c r="AG66" s="1214">
        <v>536</v>
      </c>
      <c r="AH66" s="1214">
        <v>592</v>
      </c>
      <c r="AI66" s="1214">
        <v>599</v>
      </c>
      <c r="AJ66" s="1140">
        <v>635</v>
      </c>
      <c r="AK66" s="1140">
        <v>632</v>
      </c>
      <c r="AL66" s="1359">
        <v>590</v>
      </c>
      <c r="AM66" s="1137">
        <v>633</v>
      </c>
      <c r="AN66" s="2169">
        <v>567</v>
      </c>
      <c r="AO66" s="1359">
        <v>556</v>
      </c>
      <c r="AP66" s="2398">
        <v>516</v>
      </c>
    </row>
    <row r="67" spans="1:42" x14ac:dyDescent="0.3">
      <c r="A67" s="349" t="s">
        <v>156</v>
      </c>
      <c r="B67" s="350" t="s">
        <v>370</v>
      </c>
      <c r="C67" s="357" t="s">
        <v>254</v>
      </c>
      <c r="D67" s="354">
        <v>7.8E-2</v>
      </c>
      <c r="E67" s="355">
        <v>7.0999999999999994E-2</v>
      </c>
      <c r="F67" s="355">
        <v>0.08</v>
      </c>
      <c r="G67" s="355">
        <v>8.4000000000000005E-2</v>
      </c>
      <c r="H67" s="355">
        <v>7.6999999999999999E-2</v>
      </c>
      <c r="I67" s="355">
        <v>8.1000000000000003E-2</v>
      </c>
      <c r="J67" s="355">
        <v>8.1000000000000003E-2</v>
      </c>
      <c r="K67" s="355">
        <v>7.5999999999999998E-2</v>
      </c>
      <c r="L67" s="355">
        <v>8.0999999999999989E-2</v>
      </c>
      <c r="M67" s="355">
        <v>8.8999999999999996E-2</v>
      </c>
      <c r="N67" s="356">
        <v>8.4000000000000005E-2</v>
      </c>
      <c r="O67" s="356">
        <v>0.10800000000000001</v>
      </c>
      <c r="P67" s="356">
        <v>0.104</v>
      </c>
      <c r="Q67" s="1217">
        <v>9.8985399653551104E-2</v>
      </c>
      <c r="R67" s="1352">
        <v>9.7235932872655473E-2</v>
      </c>
      <c r="S67" s="1217">
        <v>0.10213601767738767</v>
      </c>
      <c r="T67" s="2166">
        <v>8.3472057074910816E-2</v>
      </c>
      <c r="U67" s="1352">
        <v>7.591933570581258E-2</v>
      </c>
      <c r="V67" s="2393">
        <v>7.3350195447229247E-2</v>
      </c>
      <c r="W67" s="1047"/>
      <c r="X67" s="1214">
        <v>257</v>
      </c>
      <c r="Y67" s="1214">
        <v>233</v>
      </c>
      <c r="Z67" s="1214">
        <v>270</v>
      </c>
      <c r="AA67" s="1214">
        <v>291</v>
      </c>
      <c r="AB67" s="1214">
        <v>268</v>
      </c>
      <c r="AC67" s="1214">
        <v>280</v>
      </c>
      <c r="AD67" s="1214">
        <v>285</v>
      </c>
      <c r="AE67" s="1214">
        <v>285</v>
      </c>
      <c r="AF67" s="1214">
        <v>307</v>
      </c>
      <c r="AG67" s="1214">
        <v>341</v>
      </c>
      <c r="AH67" s="1214">
        <v>334</v>
      </c>
      <c r="AI67" s="1214">
        <v>428</v>
      </c>
      <c r="AJ67" s="1140">
        <v>413</v>
      </c>
      <c r="AK67" s="1140">
        <v>400</v>
      </c>
      <c r="AL67" s="1359">
        <v>394</v>
      </c>
      <c r="AM67" s="1137">
        <v>416</v>
      </c>
      <c r="AN67" s="2169">
        <v>351</v>
      </c>
      <c r="AO67" s="1359">
        <v>320</v>
      </c>
      <c r="AP67" s="2398">
        <v>319</v>
      </c>
    </row>
    <row r="68" spans="1:42" x14ac:dyDescent="0.3">
      <c r="A68" s="349" t="s">
        <v>162</v>
      </c>
      <c r="B68" s="350" t="s">
        <v>371</v>
      </c>
      <c r="C68" s="357" t="s">
        <v>252</v>
      </c>
      <c r="D68" s="354">
        <v>0.27100000000000002</v>
      </c>
      <c r="E68" s="355">
        <v>0.24300000000000002</v>
      </c>
      <c r="F68" s="355">
        <v>0.252</v>
      </c>
      <c r="G68" s="355">
        <v>0.28400000000000003</v>
      </c>
      <c r="H68" s="355">
        <v>0.24399999999999997</v>
      </c>
      <c r="I68" s="355">
        <v>0.28500000000000003</v>
      </c>
      <c r="J68" s="355">
        <v>0.28299999999999997</v>
      </c>
      <c r="K68" s="355">
        <v>0.315</v>
      </c>
      <c r="L68" s="355">
        <v>0.30599999999999999</v>
      </c>
      <c r="M68" s="355">
        <v>0.32200000000000006</v>
      </c>
      <c r="N68" s="356">
        <v>0.316</v>
      </c>
      <c r="O68" s="356">
        <v>0.35100000000000003</v>
      </c>
      <c r="P68" s="356">
        <v>0.34599999999999997</v>
      </c>
      <c r="Q68" s="1217">
        <v>0.34269902085994042</v>
      </c>
      <c r="R68" s="1352">
        <v>0.3340283569641368</v>
      </c>
      <c r="S68" s="1217">
        <v>0.33663366336633666</v>
      </c>
      <c r="T68" s="2166">
        <v>0.29377832715286362</v>
      </c>
      <c r="U68" s="1352">
        <v>0.28836206896551725</v>
      </c>
      <c r="V68" s="2393">
        <v>0.29982440737489024</v>
      </c>
      <c r="W68" s="1047"/>
      <c r="X68" s="1214">
        <v>794</v>
      </c>
      <c r="Y68" s="1214">
        <v>719</v>
      </c>
      <c r="Z68" s="1214">
        <v>775</v>
      </c>
      <c r="AA68" s="1214">
        <v>838</v>
      </c>
      <c r="AB68" s="1214">
        <v>743</v>
      </c>
      <c r="AC68" s="1214">
        <v>853</v>
      </c>
      <c r="AD68" s="1214">
        <v>838</v>
      </c>
      <c r="AE68" s="1214">
        <v>922</v>
      </c>
      <c r="AF68" s="1214">
        <v>877</v>
      </c>
      <c r="AG68" s="1214">
        <v>933</v>
      </c>
      <c r="AH68" s="1214">
        <v>760</v>
      </c>
      <c r="AI68" s="1214">
        <v>843</v>
      </c>
      <c r="AJ68" s="1140">
        <v>821</v>
      </c>
      <c r="AK68" s="1140">
        <v>805</v>
      </c>
      <c r="AL68" s="1359">
        <v>801</v>
      </c>
      <c r="AM68" s="1137">
        <v>816</v>
      </c>
      <c r="AN68" s="2169">
        <v>713</v>
      </c>
      <c r="AO68" s="1359">
        <v>669</v>
      </c>
      <c r="AP68" s="2398">
        <v>683</v>
      </c>
    </row>
    <row r="69" spans="1:42" x14ac:dyDescent="0.3">
      <c r="A69" s="349" t="s">
        <v>164</v>
      </c>
      <c r="B69" s="350" t="s">
        <v>372</v>
      </c>
      <c r="C69" s="357" t="s">
        <v>254</v>
      </c>
      <c r="D69" s="354">
        <v>0.20199999999999999</v>
      </c>
      <c r="E69" s="355">
        <v>0.18399999999999997</v>
      </c>
      <c r="F69" s="355">
        <v>0.20199999999999999</v>
      </c>
      <c r="G69" s="355">
        <v>0.218</v>
      </c>
      <c r="H69" s="355">
        <v>0.19</v>
      </c>
      <c r="I69" s="355">
        <v>0.22900000000000001</v>
      </c>
      <c r="J69" s="355">
        <v>0.23700000000000002</v>
      </c>
      <c r="K69" s="355">
        <v>0.23199999999999998</v>
      </c>
      <c r="L69" s="355">
        <v>0.247</v>
      </c>
      <c r="M69" s="355">
        <v>0.26600000000000001</v>
      </c>
      <c r="N69" s="356">
        <v>0.28200000000000003</v>
      </c>
      <c r="O69" s="356">
        <v>0.28300000000000003</v>
      </c>
      <c r="P69" s="356">
        <v>0.28699999999999998</v>
      </c>
      <c r="Q69" s="1217">
        <v>0.31003201707577377</v>
      </c>
      <c r="R69" s="1352">
        <v>0.30355276907001044</v>
      </c>
      <c r="S69" s="1217">
        <v>0.2900804289544236</v>
      </c>
      <c r="T69" s="2166">
        <v>0.2624931356397584</v>
      </c>
      <c r="U69" s="1352">
        <v>0.27796234772978962</v>
      </c>
      <c r="V69" s="2393">
        <v>0.26963048498845266</v>
      </c>
      <c r="W69" s="1047"/>
      <c r="X69" s="1214">
        <v>445</v>
      </c>
      <c r="Y69" s="1214">
        <v>422</v>
      </c>
      <c r="Z69" s="1214">
        <v>472</v>
      </c>
      <c r="AA69" s="1214">
        <v>502</v>
      </c>
      <c r="AB69" s="1214">
        <v>426</v>
      </c>
      <c r="AC69" s="1214">
        <v>506</v>
      </c>
      <c r="AD69" s="1214">
        <v>518</v>
      </c>
      <c r="AE69" s="1214">
        <v>526</v>
      </c>
      <c r="AF69" s="1214">
        <v>555</v>
      </c>
      <c r="AG69" s="1214">
        <v>549</v>
      </c>
      <c r="AH69" s="1214">
        <v>558</v>
      </c>
      <c r="AI69" s="1214">
        <v>559</v>
      </c>
      <c r="AJ69" s="1140">
        <v>558</v>
      </c>
      <c r="AK69" s="1140">
        <v>581</v>
      </c>
      <c r="AL69" s="1359">
        <v>581</v>
      </c>
      <c r="AM69" s="1137">
        <v>541</v>
      </c>
      <c r="AN69" s="2169">
        <v>478</v>
      </c>
      <c r="AO69" s="1359">
        <v>502</v>
      </c>
      <c r="AP69" s="2398">
        <v>467</v>
      </c>
    </row>
    <row r="70" spans="1:42" x14ac:dyDescent="0.3">
      <c r="A70" s="349" t="s">
        <v>168</v>
      </c>
      <c r="B70" s="350" t="s">
        <v>373</v>
      </c>
      <c r="C70" s="357" t="s">
        <v>254</v>
      </c>
      <c r="D70" s="354">
        <v>0.224</v>
      </c>
      <c r="E70" s="355">
        <v>0.20200000000000001</v>
      </c>
      <c r="F70" s="355">
        <v>0.21699999999999997</v>
      </c>
      <c r="G70" s="355">
        <v>0.23899999999999999</v>
      </c>
      <c r="H70" s="355">
        <v>0.218</v>
      </c>
      <c r="I70" s="355">
        <v>0.26300000000000001</v>
      </c>
      <c r="J70" s="355">
        <v>0.25</v>
      </c>
      <c r="K70" s="355">
        <v>0.24899999999999997</v>
      </c>
      <c r="L70" s="355">
        <v>0.27200000000000002</v>
      </c>
      <c r="M70" s="355">
        <v>0.27499999999999997</v>
      </c>
      <c r="N70" s="356">
        <v>0.27900000000000003</v>
      </c>
      <c r="O70" s="356">
        <v>0.29100000000000004</v>
      </c>
      <c r="P70" s="356">
        <v>0.29899999999999999</v>
      </c>
      <c r="Q70" s="1217">
        <v>0.29323797139141744</v>
      </c>
      <c r="R70" s="1352">
        <v>0.30859872611464967</v>
      </c>
      <c r="S70" s="1217">
        <v>0.28728923476005186</v>
      </c>
      <c r="T70" s="2166">
        <v>0.29095762429095762</v>
      </c>
      <c r="U70" s="1352">
        <v>0.25268817204301075</v>
      </c>
      <c r="V70" s="2393">
        <v>0.27913372292884153</v>
      </c>
      <c r="W70" s="1047"/>
      <c r="X70" s="1214">
        <v>799</v>
      </c>
      <c r="Y70" s="1214">
        <v>698</v>
      </c>
      <c r="Z70" s="1214">
        <v>748</v>
      </c>
      <c r="AA70" s="1214">
        <v>826</v>
      </c>
      <c r="AB70" s="1214">
        <v>733</v>
      </c>
      <c r="AC70" s="1214">
        <v>873</v>
      </c>
      <c r="AD70" s="1214">
        <v>811</v>
      </c>
      <c r="AE70" s="1214">
        <v>798</v>
      </c>
      <c r="AF70" s="1214">
        <v>862</v>
      </c>
      <c r="AG70" s="1214">
        <v>901</v>
      </c>
      <c r="AH70" s="1214">
        <v>895</v>
      </c>
      <c r="AI70" s="1214">
        <v>940</v>
      </c>
      <c r="AJ70" s="1140">
        <v>950</v>
      </c>
      <c r="AK70" s="1140">
        <v>902</v>
      </c>
      <c r="AL70" s="1359">
        <v>969</v>
      </c>
      <c r="AM70" s="1137">
        <v>886</v>
      </c>
      <c r="AN70" s="2169">
        <v>872</v>
      </c>
      <c r="AO70" s="1359">
        <v>752</v>
      </c>
      <c r="AP70" s="2398">
        <v>812</v>
      </c>
    </row>
    <row r="71" spans="1:42" x14ac:dyDescent="0.3">
      <c r="A71" s="349" t="s">
        <v>170</v>
      </c>
      <c r="B71" s="350" t="s">
        <v>374</v>
      </c>
      <c r="C71" s="357" t="s">
        <v>255</v>
      </c>
      <c r="D71" s="354">
        <v>0.128</v>
      </c>
      <c r="E71" s="355">
        <v>0.115</v>
      </c>
      <c r="F71" s="355">
        <v>0.11699999999999999</v>
      </c>
      <c r="G71" s="355">
        <v>0.123</v>
      </c>
      <c r="H71" s="355">
        <v>0.112</v>
      </c>
      <c r="I71" s="355">
        <v>0.129</v>
      </c>
      <c r="J71" s="355">
        <v>0.10800000000000001</v>
      </c>
      <c r="K71" s="355">
        <v>0.10800000000000001</v>
      </c>
      <c r="L71" s="355">
        <v>0.11699999999999999</v>
      </c>
      <c r="M71" s="355">
        <v>0.13899999999999998</v>
      </c>
      <c r="N71" s="356">
        <v>0.14799999999999999</v>
      </c>
      <c r="O71" s="356">
        <v>0.17199999999999999</v>
      </c>
      <c r="P71" s="356">
        <v>0.14299999999999999</v>
      </c>
      <c r="Q71" s="1217">
        <v>0.15467720685111991</v>
      </c>
      <c r="R71" s="1352">
        <v>0.15748550342646284</v>
      </c>
      <c r="S71" s="1217">
        <v>0.15186700092360469</v>
      </c>
      <c r="T71" s="2166">
        <v>0.13697356184402817</v>
      </c>
      <c r="U71" s="1352">
        <v>0.1255777102865443</v>
      </c>
      <c r="V71" s="2393">
        <v>0.12861651762230406</v>
      </c>
      <c r="W71" s="1047"/>
      <c r="X71" s="1214">
        <v>767</v>
      </c>
      <c r="Y71" s="1214">
        <v>694</v>
      </c>
      <c r="Z71" s="1214">
        <v>724</v>
      </c>
      <c r="AA71" s="1214">
        <v>778</v>
      </c>
      <c r="AB71" s="1214">
        <v>722</v>
      </c>
      <c r="AC71" s="1214">
        <v>825</v>
      </c>
      <c r="AD71" s="1214">
        <v>706</v>
      </c>
      <c r="AE71" s="1214">
        <v>774</v>
      </c>
      <c r="AF71" s="1214">
        <v>845</v>
      </c>
      <c r="AG71" s="1214">
        <v>1051</v>
      </c>
      <c r="AH71" s="1214">
        <v>1120</v>
      </c>
      <c r="AI71" s="1214">
        <v>1292</v>
      </c>
      <c r="AJ71" s="1140">
        <v>1081</v>
      </c>
      <c r="AK71" s="1140">
        <v>1174</v>
      </c>
      <c r="AL71" s="1359">
        <v>1195</v>
      </c>
      <c r="AM71" s="1137">
        <v>1151</v>
      </c>
      <c r="AN71" s="2169">
        <v>1031</v>
      </c>
      <c r="AO71" s="1359">
        <v>951</v>
      </c>
      <c r="AP71" s="2398">
        <v>978</v>
      </c>
    </row>
    <row r="72" spans="1:42" x14ac:dyDescent="0.3">
      <c r="A72" s="349" t="s">
        <v>172</v>
      </c>
      <c r="B72" s="350" t="s">
        <v>375</v>
      </c>
      <c r="C72" s="357" t="s">
        <v>255</v>
      </c>
      <c r="D72" s="354">
        <v>0.157</v>
      </c>
      <c r="E72" s="355">
        <v>0.14300000000000002</v>
      </c>
      <c r="F72" s="355">
        <v>0.153</v>
      </c>
      <c r="G72" s="355">
        <v>0.17300000000000001</v>
      </c>
      <c r="H72" s="355">
        <v>0.158</v>
      </c>
      <c r="I72" s="355">
        <v>0.19500000000000001</v>
      </c>
      <c r="J72" s="355">
        <v>0.18300000000000002</v>
      </c>
      <c r="K72" s="355">
        <v>0.17899999999999999</v>
      </c>
      <c r="L72" s="355">
        <v>0.20800000000000002</v>
      </c>
      <c r="M72" s="355">
        <v>0.20700000000000002</v>
      </c>
      <c r="N72" s="356">
        <v>0.22700000000000001</v>
      </c>
      <c r="O72" s="356">
        <v>0.23499999999999999</v>
      </c>
      <c r="P72" s="356">
        <v>0.215</v>
      </c>
      <c r="Q72" s="1217">
        <v>0.22322364284217144</v>
      </c>
      <c r="R72" s="1352">
        <v>0.23797574236721036</v>
      </c>
      <c r="S72" s="1217">
        <v>0.23204068658614113</v>
      </c>
      <c r="T72" s="2166">
        <v>0.23856773080241589</v>
      </c>
      <c r="U72" s="1352">
        <v>0.2210144927536232</v>
      </c>
      <c r="V72" s="2393">
        <v>0.18978414191066467</v>
      </c>
      <c r="W72" s="1047"/>
      <c r="X72" s="1214">
        <v>816</v>
      </c>
      <c r="Y72" s="1214">
        <v>734</v>
      </c>
      <c r="Z72" s="1214">
        <v>796</v>
      </c>
      <c r="AA72" s="1214">
        <v>895</v>
      </c>
      <c r="AB72" s="1214">
        <v>819</v>
      </c>
      <c r="AC72" s="1214">
        <v>997</v>
      </c>
      <c r="AD72" s="1214">
        <v>926</v>
      </c>
      <c r="AE72" s="1214">
        <v>899</v>
      </c>
      <c r="AF72" s="1214">
        <v>1035</v>
      </c>
      <c r="AG72" s="1214">
        <v>1031</v>
      </c>
      <c r="AH72" s="1214">
        <v>1159</v>
      </c>
      <c r="AI72" s="1214">
        <v>1172</v>
      </c>
      <c r="AJ72" s="1140">
        <v>1049</v>
      </c>
      <c r="AK72" s="1140">
        <v>1065</v>
      </c>
      <c r="AL72" s="1359">
        <v>1138</v>
      </c>
      <c r="AM72" s="1137">
        <v>1095</v>
      </c>
      <c r="AN72" s="2169">
        <v>1106</v>
      </c>
      <c r="AO72" s="1359">
        <v>1037</v>
      </c>
      <c r="AP72" s="2398">
        <v>888</v>
      </c>
    </row>
    <row r="73" spans="1:42" x14ac:dyDescent="0.3">
      <c r="A73" s="349" t="s">
        <v>174</v>
      </c>
      <c r="B73" s="350" t="s">
        <v>376</v>
      </c>
      <c r="C73" s="357" t="s">
        <v>256</v>
      </c>
      <c r="D73" s="354">
        <v>0.18000000000000002</v>
      </c>
      <c r="E73" s="355">
        <v>0.16899999999999998</v>
      </c>
      <c r="F73" s="355">
        <v>0.18399999999999997</v>
      </c>
      <c r="G73" s="355">
        <v>0.218</v>
      </c>
      <c r="H73" s="355">
        <v>0.19500000000000001</v>
      </c>
      <c r="I73" s="355">
        <v>0.22700000000000001</v>
      </c>
      <c r="J73" s="355">
        <v>0.20799999999999999</v>
      </c>
      <c r="K73" s="355">
        <v>0.221</v>
      </c>
      <c r="L73" s="355">
        <v>0.24399999999999999</v>
      </c>
      <c r="M73" s="355">
        <v>0.26699999999999996</v>
      </c>
      <c r="N73" s="356">
        <v>0.28100000000000003</v>
      </c>
      <c r="O73" s="356">
        <v>0.27</v>
      </c>
      <c r="P73" s="356">
        <v>0.27200000000000002</v>
      </c>
      <c r="Q73" s="1217">
        <v>0.28174123337363965</v>
      </c>
      <c r="R73" s="1352">
        <v>0.31790312691600248</v>
      </c>
      <c r="S73" s="1217">
        <v>0.25541941564561732</v>
      </c>
      <c r="T73" s="2166">
        <v>0.27523229734059595</v>
      </c>
      <c r="U73" s="1352">
        <v>0.22310756972111553</v>
      </c>
      <c r="V73" s="2393">
        <v>0.22667107875579087</v>
      </c>
      <c r="W73" s="1047"/>
      <c r="X73" s="1214">
        <v>736</v>
      </c>
      <c r="Y73" s="1214">
        <v>671</v>
      </c>
      <c r="Z73" s="1214">
        <v>723</v>
      </c>
      <c r="AA73" s="1214">
        <v>848</v>
      </c>
      <c r="AB73" s="1214">
        <v>748</v>
      </c>
      <c r="AC73" s="1214">
        <v>859</v>
      </c>
      <c r="AD73" s="1214">
        <v>767</v>
      </c>
      <c r="AE73" s="1214">
        <v>803</v>
      </c>
      <c r="AF73" s="1214">
        <v>863</v>
      </c>
      <c r="AG73" s="1214">
        <v>928</v>
      </c>
      <c r="AH73" s="1214">
        <v>978</v>
      </c>
      <c r="AI73" s="1214">
        <v>919</v>
      </c>
      <c r="AJ73" s="1140">
        <v>900</v>
      </c>
      <c r="AK73" s="1140">
        <v>932</v>
      </c>
      <c r="AL73" s="1359">
        <v>1037</v>
      </c>
      <c r="AM73" s="1137">
        <v>813</v>
      </c>
      <c r="AN73" s="2169">
        <v>859</v>
      </c>
      <c r="AO73" s="1359">
        <v>672</v>
      </c>
      <c r="AP73" s="2398">
        <v>685</v>
      </c>
    </row>
    <row r="74" spans="1:42" x14ac:dyDescent="0.3">
      <c r="A74" s="349" t="s">
        <v>178</v>
      </c>
      <c r="B74" s="350" t="s">
        <v>179</v>
      </c>
      <c r="C74" s="357" t="s">
        <v>253</v>
      </c>
      <c r="D74" s="354">
        <v>0.14599999999999999</v>
      </c>
      <c r="E74" s="355">
        <v>0.14100000000000001</v>
      </c>
      <c r="F74" s="355">
        <v>0.16500000000000001</v>
      </c>
      <c r="G74" s="355">
        <v>0.182</v>
      </c>
      <c r="H74" s="355">
        <v>0.16300000000000001</v>
      </c>
      <c r="I74" s="355">
        <v>0.19</v>
      </c>
      <c r="J74" s="355">
        <v>0.17599999999999999</v>
      </c>
      <c r="K74" s="355">
        <v>0.17199999999999999</v>
      </c>
      <c r="L74" s="355">
        <v>0.18300000000000002</v>
      </c>
      <c r="M74" s="355">
        <v>0.20499999999999999</v>
      </c>
      <c r="N74" s="356">
        <v>0.224</v>
      </c>
      <c r="O74" s="356">
        <v>0.20800000000000002</v>
      </c>
      <c r="P74" s="356">
        <v>0.21099999999999999</v>
      </c>
      <c r="Q74" s="1217">
        <v>0.21290637985822539</v>
      </c>
      <c r="R74" s="1352">
        <v>0.20068694798822376</v>
      </c>
      <c r="S74" s="1217">
        <v>0.25557742782152232</v>
      </c>
      <c r="T74" s="2166">
        <v>0.18956624672359854</v>
      </c>
      <c r="U74" s="1352">
        <v>0.18773122257592703</v>
      </c>
      <c r="V74" s="2393">
        <v>0.22302538787023976</v>
      </c>
      <c r="W74" s="1047"/>
      <c r="X74" s="1214">
        <v>2045</v>
      </c>
      <c r="Y74" s="1214">
        <v>1937</v>
      </c>
      <c r="Z74" s="1214">
        <v>2274</v>
      </c>
      <c r="AA74" s="1214">
        <v>2478</v>
      </c>
      <c r="AB74" s="1214">
        <v>2214</v>
      </c>
      <c r="AC74" s="1214">
        <v>2542</v>
      </c>
      <c r="AD74" s="1214">
        <v>2278</v>
      </c>
      <c r="AE74" s="1214">
        <v>2198</v>
      </c>
      <c r="AF74" s="1214">
        <v>2305</v>
      </c>
      <c r="AG74" s="1214">
        <v>2664</v>
      </c>
      <c r="AH74" s="1214">
        <v>2968</v>
      </c>
      <c r="AI74" s="1214">
        <v>2694</v>
      </c>
      <c r="AJ74" s="1140">
        <v>2639</v>
      </c>
      <c r="AK74" s="1140">
        <v>2613</v>
      </c>
      <c r="AL74" s="1359">
        <v>2454</v>
      </c>
      <c r="AM74" s="1137">
        <v>3116</v>
      </c>
      <c r="AN74" s="2169">
        <v>2242</v>
      </c>
      <c r="AO74" s="1359">
        <v>2182</v>
      </c>
      <c r="AP74" s="2398">
        <v>2530</v>
      </c>
    </row>
    <row r="75" spans="1:42" x14ac:dyDescent="0.3">
      <c r="A75" s="349" t="s">
        <v>182</v>
      </c>
      <c r="B75" s="350" t="s">
        <v>378</v>
      </c>
      <c r="C75" s="357" t="s">
        <v>254</v>
      </c>
      <c r="D75" s="354">
        <v>7.0000000000000007E-2</v>
      </c>
      <c r="E75" s="355">
        <v>0.06</v>
      </c>
      <c r="F75" s="355">
        <v>6.3E-2</v>
      </c>
      <c r="G75" s="355">
        <v>7.0999999999999994E-2</v>
      </c>
      <c r="H75" s="355">
        <v>6.7000000000000004E-2</v>
      </c>
      <c r="I75" s="355">
        <v>6.9000000000000006E-2</v>
      </c>
      <c r="J75" s="355">
        <v>6.5000000000000002E-2</v>
      </c>
      <c r="K75" s="355">
        <v>6.4000000000000001E-2</v>
      </c>
      <c r="L75" s="355">
        <v>7.400000000000001E-2</v>
      </c>
      <c r="M75" s="355">
        <v>7.6999999999999999E-2</v>
      </c>
      <c r="N75" s="356">
        <v>9.1999999999999985E-2</v>
      </c>
      <c r="O75" s="356">
        <v>9.6999999999999989E-2</v>
      </c>
      <c r="P75" s="356">
        <v>9.2999999999999999E-2</v>
      </c>
      <c r="Q75" s="1217">
        <v>9.1792858478220232E-2</v>
      </c>
      <c r="R75" s="1352">
        <v>9.1012514220705346E-2</v>
      </c>
      <c r="S75" s="1217">
        <v>8.479814564419548E-2</v>
      </c>
      <c r="T75" s="2166">
        <v>8.184292379471228E-2</v>
      </c>
      <c r="U75" s="1352">
        <v>6.8199532346063907E-2</v>
      </c>
      <c r="V75" s="2393">
        <v>8.0543332695618905E-2</v>
      </c>
      <c r="W75" s="1047"/>
      <c r="X75" s="1214">
        <v>373</v>
      </c>
      <c r="Y75" s="1214">
        <v>324</v>
      </c>
      <c r="Z75" s="1214">
        <v>346</v>
      </c>
      <c r="AA75" s="1214">
        <v>403</v>
      </c>
      <c r="AB75" s="1214">
        <v>386</v>
      </c>
      <c r="AC75" s="1214">
        <v>392</v>
      </c>
      <c r="AD75" s="1214">
        <v>373</v>
      </c>
      <c r="AE75" s="1214">
        <v>382</v>
      </c>
      <c r="AF75" s="1214">
        <v>433</v>
      </c>
      <c r="AG75" s="1214">
        <v>472</v>
      </c>
      <c r="AH75" s="1214">
        <v>569</v>
      </c>
      <c r="AI75" s="1214">
        <v>576</v>
      </c>
      <c r="AJ75" s="1140">
        <v>537</v>
      </c>
      <c r="AK75" s="1140">
        <v>491</v>
      </c>
      <c r="AL75" s="1359">
        <v>480</v>
      </c>
      <c r="AM75" s="1137">
        <v>439</v>
      </c>
      <c r="AN75" s="2169">
        <v>421</v>
      </c>
      <c r="AO75" s="1359">
        <v>350</v>
      </c>
      <c r="AP75" s="2398">
        <v>421</v>
      </c>
    </row>
    <row r="76" spans="1:42" x14ac:dyDescent="0.3">
      <c r="A76" s="349" t="s">
        <v>184</v>
      </c>
      <c r="B76" s="350" t="s">
        <v>379</v>
      </c>
      <c r="C76" s="357" t="s">
        <v>254</v>
      </c>
      <c r="D76" s="354">
        <v>0.22399999999999998</v>
      </c>
      <c r="E76" s="355">
        <v>0.20199999999999999</v>
      </c>
      <c r="F76" s="355">
        <v>0.218</v>
      </c>
      <c r="G76" s="355">
        <v>0.23399999999999999</v>
      </c>
      <c r="H76" s="355">
        <v>0.21800000000000003</v>
      </c>
      <c r="I76" s="355">
        <v>0.26</v>
      </c>
      <c r="J76" s="355">
        <v>0.249</v>
      </c>
      <c r="K76" s="355">
        <v>0.23899999999999999</v>
      </c>
      <c r="L76" s="355">
        <v>0.26600000000000001</v>
      </c>
      <c r="M76" s="355">
        <v>0.25600000000000001</v>
      </c>
      <c r="N76" s="356">
        <v>0.27</v>
      </c>
      <c r="O76" s="356">
        <v>0.27300000000000002</v>
      </c>
      <c r="P76" s="356">
        <v>0.28699999999999998</v>
      </c>
      <c r="Q76" s="1217">
        <v>0.29288025889967639</v>
      </c>
      <c r="R76" s="1352">
        <v>0.30136986301369861</v>
      </c>
      <c r="S76" s="1217">
        <v>0.29112524191318773</v>
      </c>
      <c r="T76" s="2166">
        <v>0.28033012379642364</v>
      </c>
      <c r="U76" s="1352">
        <v>0.2714440825190011</v>
      </c>
      <c r="V76" s="2393">
        <v>0.27898747958628201</v>
      </c>
      <c r="W76" s="1047"/>
      <c r="X76" s="1214">
        <v>864</v>
      </c>
      <c r="Y76" s="1214">
        <v>791</v>
      </c>
      <c r="Z76" s="1214">
        <v>876</v>
      </c>
      <c r="AA76" s="1214">
        <v>918</v>
      </c>
      <c r="AB76" s="1214">
        <v>850</v>
      </c>
      <c r="AC76" s="1214">
        <v>1000</v>
      </c>
      <c r="AD76" s="1214">
        <v>935</v>
      </c>
      <c r="AE76" s="1214">
        <v>919</v>
      </c>
      <c r="AF76" s="1214">
        <v>1023</v>
      </c>
      <c r="AG76" s="1214">
        <v>990</v>
      </c>
      <c r="AH76" s="1214">
        <v>1071</v>
      </c>
      <c r="AI76" s="1214">
        <v>1069</v>
      </c>
      <c r="AJ76" s="1140">
        <v>1123</v>
      </c>
      <c r="AK76" s="1140">
        <v>1086</v>
      </c>
      <c r="AL76" s="1359">
        <v>1122</v>
      </c>
      <c r="AM76" s="1137">
        <v>1053</v>
      </c>
      <c r="AN76" s="2169">
        <v>1019</v>
      </c>
      <c r="AO76" s="1359">
        <v>1000</v>
      </c>
      <c r="AP76" s="2398">
        <v>1025</v>
      </c>
    </row>
    <row r="77" spans="1:42" x14ac:dyDescent="0.3">
      <c r="A77" s="349" t="s">
        <v>186</v>
      </c>
      <c r="B77" s="350" t="s">
        <v>380</v>
      </c>
      <c r="C77" s="357" t="s">
        <v>252</v>
      </c>
      <c r="D77" s="354">
        <v>9.6000000000000002E-2</v>
      </c>
      <c r="E77" s="355">
        <v>8.6000000000000007E-2</v>
      </c>
      <c r="F77" s="355">
        <v>8.5000000000000006E-2</v>
      </c>
      <c r="G77" s="355">
        <v>0.115</v>
      </c>
      <c r="H77" s="355">
        <v>9.6999999999999989E-2</v>
      </c>
      <c r="I77" s="355">
        <v>0.10300000000000001</v>
      </c>
      <c r="J77" s="355">
        <v>0.10400000000000001</v>
      </c>
      <c r="K77" s="355">
        <v>0.111</v>
      </c>
      <c r="L77" s="355">
        <v>0.128</v>
      </c>
      <c r="M77" s="355">
        <v>0.11599999999999999</v>
      </c>
      <c r="N77" s="356">
        <v>0.127</v>
      </c>
      <c r="O77" s="356">
        <v>0.13600000000000001</v>
      </c>
      <c r="P77" s="356">
        <v>0.126</v>
      </c>
      <c r="Q77" s="1217">
        <v>0.14816237674478167</v>
      </c>
      <c r="R77" s="1352">
        <v>0.13015710818750797</v>
      </c>
      <c r="S77" s="1217">
        <v>0.12265331664580725</v>
      </c>
      <c r="T77" s="2166">
        <v>0.11555993593692251</v>
      </c>
      <c r="U77" s="1352">
        <v>0.12663755458515283</v>
      </c>
      <c r="V77" s="2393">
        <v>0.11288932660347162</v>
      </c>
      <c r="W77" s="1047"/>
      <c r="X77" s="1214">
        <v>795</v>
      </c>
      <c r="Y77" s="1214">
        <v>708</v>
      </c>
      <c r="Z77" s="1214">
        <v>695</v>
      </c>
      <c r="AA77" s="1214">
        <v>924</v>
      </c>
      <c r="AB77" s="1214">
        <v>778</v>
      </c>
      <c r="AC77" s="1214">
        <v>816</v>
      </c>
      <c r="AD77" s="1214">
        <v>785</v>
      </c>
      <c r="AE77" s="1214">
        <v>819</v>
      </c>
      <c r="AF77" s="1214">
        <v>931</v>
      </c>
      <c r="AG77" s="1214">
        <v>941</v>
      </c>
      <c r="AH77" s="1214">
        <v>1006</v>
      </c>
      <c r="AI77" s="1214">
        <v>1111</v>
      </c>
      <c r="AJ77" s="1140">
        <v>1011</v>
      </c>
      <c r="AK77" s="1140">
        <v>1157</v>
      </c>
      <c r="AL77" s="1359">
        <v>1019</v>
      </c>
      <c r="AM77" s="1137">
        <v>980</v>
      </c>
      <c r="AN77" s="2169">
        <v>938</v>
      </c>
      <c r="AO77" s="1359">
        <v>1015</v>
      </c>
      <c r="AP77" s="2398">
        <v>917</v>
      </c>
    </row>
    <row r="78" spans="1:42" x14ac:dyDescent="0.3">
      <c r="A78" s="349" t="s">
        <v>188</v>
      </c>
      <c r="B78" s="350" t="s">
        <v>381</v>
      </c>
      <c r="C78" s="357" t="s">
        <v>255</v>
      </c>
      <c r="D78" s="354">
        <v>6.4000000000000001E-2</v>
      </c>
      <c r="E78" s="355">
        <v>0.06</v>
      </c>
      <c r="F78" s="355">
        <v>7.2999999999999995E-2</v>
      </c>
      <c r="G78" s="355">
        <v>8.1000000000000003E-2</v>
      </c>
      <c r="H78" s="355">
        <v>7.2000000000000008E-2</v>
      </c>
      <c r="I78" s="355">
        <v>7.0000000000000007E-2</v>
      </c>
      <c r="J78" s="355">
        <v>7.0000000000000007E-2</v>
      </c>
      <c r="K78" s="355">
        <v>6.7999999999999991E-2</v>
      </c>
      <c r="L78" s="355">
        <v>7.4999999999999997E-2</v>
      </c>
      <c r="M78" s="355">
        <v>8.2000000000000003E-2</v>
      </c>
      <c r="N78" s="356">
        <v>8.4999999999999992E-2</v>
      </c>
      <c r="O78" s="356">
        <v>9.6999999999999989E-2</v>
      </c>
      <c r="P78" s="356">
        <v>9.6000000000000002E-2</v>
      </c>
      <c r="Q78" s="1217">
        <v>0.10001145231745824</v>
      </c>
      <c r="R78" s="1352">
        <v>0.10445084594473973</v>
      </c>
      <c r="S78" s="1217">
        <v>8.9921652421652426E-2</v>
      </c>
      <c r="T78" s="2166">
        <v>9.6713348984052455E-2</v>
      </c>
      <c r="U78" s="1352">
        <v>8.0416515900775948E-2</v>
      </c>
      <c r="V78" s="2393">
        <v>8.6601254881874645E-2</v>
      </c>
      <c r="W78" s="1047"/>
      <c r="X78" s="1214">
        <v>5688</v>
      </c>
      <c r="Y78" s="1214">
        <v>5592</v>
      </c>
      <c r="Z78" s="1214">
        <v>7107</v>
      </c>
      <c r="AA78" s="1214">
        <v>8029</v>
      </c>
      <c r="AB78" s="1214">
        <v>7411</v>
      </c>
      <c r="AC78" s="1214">
        <v>7148</v>
      </c>
      <c r="AD78" s="1214">
        <v>7105</v>
      </c>
      <c r="AE78" s="1214">
        <v>7135</v>
      </c>
      <c r="AF78" s="1214">
        <v>7921</v>
      </c>
      <c r="AG78" s="1214">
        <v>9006</v>
      </c>
      <c r="AH78" s="1214">
        <v>9782</v>
      </c>
      <c r="AI78" s="1214">
        <v>11468</v>
      </c>
      <c r="AJ78" s="1140">
        <v>11471</v>
      </c>
      <c r="AK78" s="1140">
        <v>12226</v>
      </c>
      <c r="AL78" s="1359">
        <v>12872</v>
      </c>
      <c r="AM78" s="1137">
        <v>11110</v>
      </c>
      <c r="AN78" s="2169">
        <v>11947</v>
      </c>
      <c r="AO78" s="1359">
        <v>10001</v>
      </c>
      <c r="AP78" s="2398">
        <v>10821</v>
      </c>
    </row>
    <row r="79" spans="1:42" x14ac:dyDescent="0.3">
      <c r="A79" s="349" t="s">
        <v>190</v>
      </c>
      <c r="B79" s="350" t="s">
        <v>382</v>
      </c>
      <c r="C79" s="357" t="s">
        <v>256</v>
      </c>
      <c r="D79" s="354">
        <v>0.16499999999999998</v>
      </c>
      <c r="E79" s="355">
        <v>0.156</v>
      </c>
      <c r="F79" s="355">
        <v>0.17399999999999999</v>
      </c>
      <c r="G79" s="355">
        <v>0.193</v>
      </c>
      <c r="H79" s="355">
        <v>0.18100000000000002</v>
      </c>
      <c r="I79" s="355">
        <v>0.21299999999999999</v>
      </c>
      <c r="J79" s="355">
        <v>0.19</v>
      </c>
      <c r="K79" s="355">
        <v>0.19800000000000001</v>
      </c>
      <c r="L79" s="355">
        <v>0.20799999999999999</v>
      </c>
      <c r="M79" s="355">
        <v>0.20600000000000002</v>
      </c>
      <c r="N79" s="356">
        <v>0.23399999999999999</v>
      </c>
      <c r="O79" s="356">
        <v>0.23899999999999999</v>
      </c>
      <c r="P79" s="356">
        <v>0.23100000000000001</v>
      </c>
      <c r="Q79" s="1217">
        <v>0.22259669394960679</v>
      </c>
      <c r="R79" s="1352">
        <v>0.22134578235672892</v>
      </c>
      <c r="S79" s="1217">
        <v>0.2212303197532868</v>
      </c>
      <c r="T79" s="2166">
        <v>0.20016460905349795</v>
      </c>
      <c r="U79" s="1352">
        <v>0.2111185757473967</v>
      </c>
      <c r="V79" s="2393">
        <v>0.20543755310110451</v>
      </c>
      <c r="W79" s="1047"/>
      <c r="X79" s="1214">
        <v>1182</v>
      </c>
      <c r="Y79" s="1214">
        <v>1105</v>
      </c>
      <c r="Z79" s="1214">
        <v>1244</v>
      </c>
      <c r="AA79" s="1214">
        <v>1354</v>
      </c>
      <c r="AB79" s="1214">
        <v>1250</v>
      </c>
      <c r="AC79" s="1214">
        <v>1456</v>
      </c>
      <c r="AD79" s="1214">
        <v>1284</v>
      </c>
      <c r="AE79" s="1214">
        <v>1334</v>
      </c>
      <c r="AF79" s="1214">
        <v>1377</v>
      </c>
      <c r="AG79" s="1214">
        <v>1352</v>
      </c>
      <c r="AH79" s="1214">
        <v>1557</v>
      </c>
      <c r="AI79" s="1214">
        <v>1564</v>
      </c>
      <c r="AJ79" s="1140">
        <v>1472</v>
      </c>
      <c r="AK79" s="1140">
        <v>1387</v>
      </c>
      <c r="AL79" s="1359">
        <v>1375</v>
      </c>
      <c r="AM79" s="1137">
        <v>1363</v>
      </c>
      <c r="AN79" s="2169">
        <v>1216</v>
      </c>
      <c r="AO79" s="1359">
        <v>1257</v>
      </c>
      <c r="AP79" s="2398">
        <v>1209</v>
      </c>
    </row>
    <row r="80" spans="1:42" x14ac:dyDescent="0.3">
      <c r="A80" s="349" t="s">
        <v>194</v>
      </c>
      <c r="B80" s="350" t="s">
        <v>195</v>
      </c>
      <c r="C80" s="357" t="s">
        <v>255</v>
      </c>
      <c r="D80" s="354">
        <v>0.122</v>
      </c>
      <c r="E80" s="355">
        <v>0.11399999999999999</v>
      </c>
      <c r="F80" s="355">
        <v>0.10500000000000001</v>
      </c>
      <c r="G80" s="355">
        <v>0.109</v>
      </c>
      <c r="H80" s="355">
        <v>0.09</v>
      </c>
      <c r="I80" s="355">
        <v>0.10199999999999998</v>
      </c>
      <c r="J80" s="355">
        <v>0.10300000000000001</v>
      </c>
      <c r="K80" s="355">
        <v>0.11499999999999999</v>
      </c>
      <c r="L80" s="355">
        <v>0.13300000000000001</v>
      </c>
      <c r="M80" s="355">
        <v>0.14199999999999999</v>
      </c>
      <c r="N80" s="356">
        <v>0.155</v>
      </c>
      <c r="O80" s="356">
        <v>0.16200000000000001</v>
      </c>
      <c r="P80" s="356">
        <v>0.17100000000000001</v>
      </c>
      <c r="Q80" s="1217">
        <v>0.17655571635311143</v>
      </c>
      <c r="R80" s="1352">
        <v>0.16562499999999999</v>
      </c>
      <c r="S80" s="1217">
        <v>0.15553809897879026</v>
      </c>
      <c r="T80" s="2166">
        <v>0.1680933852140078</v>
      </c>
      <c r="U80" s="1352">
        <v>0.15166261151662611</v>
      </c>
      <c r="V80" s="2393">
        <v>0.1363244176013805</v>
      </c>
      <c r="W80" s="1047"/>
      <c r="X80" s="1214">
        <v>190</v>
      </c>
      <c r="Y80" s="1214">
        <v>178</v>
      </c>
      <c r="Z80" s="1214">
        <v>161</v>
      </c>
      <c r="AA80" s="1214">
        <v>165</v>
      </c>
      <c r="AB80" s="1214">
        <v>134</v>
      </c>
      <c r="AC80" s="1214">
        <v>149</v>
      </c>
      <c r="AD80" s="1214">
        <v>149</v>
      </c>
      <c r="AE80" s="1214">
        <v>165</v>
      </c>
      <c r="AF80" s="1214">
        <v>186</v>
      </c>
      <c r="AG80" s="1214">
        <v>199</v>
      </c>
      <c r="AH80" s="1214">
        <v>222</v>
      </c>
      <c r="AI80" s="1214">
        <v>231</v>
      </c>
      <c r="AJ80" s="1140">
        <v>235</v>
      </c>
      <c r="AK80" s="1140">
        <v>244</v>
      </c>
      <c r="AL80" s="1359">
        <v>212</v>
      </c>
      <c r="AM80" s="1137">
        <v>198</v>
      </c>
      <c r="AN80" s="2169">
        <v>216</v>
      </c>
      <c r="AO80" s="1359">
        <v>187</v>
      </c>
      <c r="AP80" s="2398">
        <v>158</v>
      </c>
    </row>
    <row r="81" spans="1:42" x14ac:dyDescent="0.3">
      <c r="A81" s="349" t="s">
        <v>198</v>
      </c>
      <c r="B81" s="350" t="s">
        <v>260</v>
      </c>
      <c r="C81" s="357" t="s">
        <v>254</v>
      </c>
      <c r="D81" s="354">
        <v>0.189</v>
      </c>
      <c r="E81" s="355">
        <v>0.17600000000000002</v>
      </c>
      <c r="F81" s="355">
        <v>0.185</v>
      </c>
      <c r="G81" s="355">
        <v>0.20100000000000001</v>
      </c>
      <c r="H81" s="355">
        <v>0.187</v>
      </c>
      <c r="I81" s="355">
        <v>0.21299999999999999</v>
      </c>
      <c r="J81" s="355">
        <v>0.19900000000000001</v>
      </c>
      <c r="K81" s="355">
        <v>0.21500000000000002</v>
      </c>
      <c r="L81" s="355">
        <v>0.20899999999999999</v>
      </c>
      <c r="M81" s="355">
        <v>0.21899999999999997</v>
      </c>
      <c r="N81" s="356">
        <v>0.23799999999999999</v>
      </c>
      <c r="O81" s="356">
        <v>0.25900000000000001</v>
      </c>
      <c r="P81" s="356">
        <v>0.24099999999999999</v>
      </c>
      <c r="Q81" s="1217">
        <v>0.25810810810810808</v>
      </c>
      <c r="R81" s="1352">
        <v>0.23908663532572197</v>
      </c>
      <c r="S81" s="1217">
        <v>0.22988505747126436</v>
      </c>
      <c r="T81" s="2166">
        <v>0.23664122137404581</v>
      </c>
      <c r="U81" s="1352">
        <v>0.22967479674796748</v>
      </c>
      <c r="V81" s="2393">
        <v>0.22486772486772486</v>
      </c>
      <c r="W81" s="1047"/>
      <c r="X81" s="1214">
        <v>293</v>
      </c>
      <c r="Y81" s="1214">
        <v>262</v>
      </c>
      <c r="Z81" s="1214">
        <v>278</v>
      </c>
      <c r="AA81" s="1214">
        <v>304</v>
      </c>
      <c r="AB81" s="1214">
        <v>269</v>
      </c>
      <c r="AC81" s="1214">
        <v>305</v>
      </c>
      <c r="AD81" s="1214">
        <v>284</v>
      </c>
      <c r="AE81" s="1214">
        <v>317</v>
      </c>
      <c r="AF81" s="1214">
        <v>308</v>
      </c>
      <c r="AG81" s="1214">
        <v>325</v>
      </c>
      <c r="AH81" s="1214">
        <v>365</v>
      </c>
      <c r="AI81" s="1214">
        <v>394</v>
      </c>
      <c r="AJ81" s="1140">
        <v>366</v>
      </c>
      <c r="AK81" s="1140">
        <v>382</v>
      </c>
      <c r="AL81" s="1359">
        <v>356</v>
      </c>
      <c r="AM81" s="1137">
        <v>340</v>
      </c>
      <c r="AN81" s="2169">
        <v>341</v>
      </c>
      <c r="AO81" s="1359">
        <v>339</v>
      </c>
      <c r="AP81" s="2398">
        <v>340</v>
      </c>
    </row>
    <row r="82" spans="1:42" x14ac:dyDescent="0.3">
      <c r="A82" s="349" t="s">
        <v>202</v>
      </c>
      <c r="B82" s="350" t="s">
        <v>474</v>
      </c>
      <c r="C82" s="357" t="s">
        <v>253</v>
      </c>
      <c r="D82" s="354">
        <v>6.8193940308644313E-2</v>
      </c>
      <c r="E82" s="355">
        <v>6.5974551764025446E-2</v>
      </c>
      <c r="F82" s="355">
        <v>7.944924009010175E-2</v>
      </c>
      <c r="G82" s="355">
        <v>9.4153362380463512E-2</v>
      </c>
      <c r="H82" s="355">
        <v>8.4813546374689658E-2</v>
      </c>
      <c r="I82" s="355">
        <v>8.02463426937952E-2</v>
      </c>
      <c r="J82" s="355">
        <v>7.7264923917284428E-2</v>
      </c>
      <c r="K82" s="355">
        <v>8.1615503397158728E-2</v>
      </c>
      <c r="L82" s="355">
        <v>8.5679896462467639E-2</v>
      </c>
      <c r="M82" s="355">
        <v>9.3418944062637801E-2</v>
      </c>
      <c r="N82" s="356">
        <v>0.10149676712900199</v>
      </c>
      <c r="O82" s="356">
        <v>0.252</v>
      </c>
      <c r="P82" s="356">
        <v>0.105</v>
      </c>
      <c r="Q82" s="1217">
        <v>0.10698493285293155</v>
      </c>
      <c r="R82" s="1352">
        <v>0.11178384612216319</v>
      </c>
      <c r="S82" s="1217">
        <v>0.10266804550155119</v>
      </c>
      <c r="T82" s="2166">
        <v>9.8830852048111706E-2</v>
      </c>
      <c r="U82" s="1352">
        <v>9.6211261090786759E-2</v>
      </c>
      <c r="V82" s="2393">
        <v>9.1161400512382584E-2</v>
      </c>
      <c r="W82" s="1047"/>
      <c r="X82" s="1214">
        <v>1630</v>
      </c>
      <c r="Y82" s="1214">
        <v>1584</v>
      </c>
      <c r="Z82" s="1214">
        <v>1955</v>
      </c>
      <c r="AA82" s="1214">
        <v>2276</v>
      </c>
      <c r="AB82" s="1214">
        <v>2031</v>
      </c>
      <c r="AC82" s="1214">
        <v>1890</v>
      </c>
      <c r="AD82" s="1214">
        <v>1886</v>
      </c>
      <c r="AE82" s="1214">
        <v>1987</v>
      </c>
      <c r="AF82" s="1214">
        <v>2095</v>
      </c>
      <c r="AG82" s="1214">
        <v>2424</v>
      </c>
      <c r="AH82" s="1214">
        <v>2510</v>
      </c>
      <c r="AI82" s="1214">
        <v>2734</v>
      </c>
      <c r="AJ82" s="1140">
        <v>2531</v>
      </c>
      <c r="AK82" s="1140">
        <v>2613</v>
      </c>
      <c r="AL82" s="1359">
        <v>2714</v>
      </c>
      <c r="AM82" s="1137">
        <v>2482</v>
      </c>
      <c r="AN82" s="2169">
        <v>2350</v>
      </c>
      <c r="AO82" s="1359">
        <v>2288</v>
      </c>
      <c r="AP82" s="2398">
        <v>2135</v>
      </c>
    </row>
    <row r="83" spans="1:42" ht="31.2" x14ac:dyDescent="0.3">
      <c r="A83" s="349" t="s">
        <v>204</v>
      </c>
      <c r="B83" s="350" t="s">
        <v>607</v>
      </c>
      <c r="C83" s="357" t="s">
        <v>253</v>
      </c>
      <c r="D83" s="354">
        <v>0.12251567942620668</v>
      </c>
      <c r="E83" s="355">
        <v>0.11493050403158708</v>
      </c>
      <c r="F83" s="355">
        <v>0.13090330456689325</v>
      </c>
      <c r="G83" s="355">
        <v>0.14345094670059147</v>
      </c>
      <c r="H83" s="355">
        <v>0.12311181521666978</v>
      </c>
      <c r="I83" s="355">
        <v>0.13926536034540019</v>
      </c>
      <c r="J83" s="355">
        <v>0.14667017682672617</v>
      </c>
      <c r="K83" s="355">
        <v>0.13979679129953718</v>
      </c>
      <c r="L83" s="355">
        <v>0.15096898355924435</v>
      </c>
      <c r="M83" s="355">
        <v>0.16557930071263913</v>
      </c>
      <c r="N83" s="356">
        <v>0.18075532332328353</v>
      </c>
      <c r="O83" s="356">
        <v>0.18936066373840899</v>
      </c>
      <c r="P83" s="356">
        <v>0.189</v>
      </c>
      <c r="Q83" s="1217">
        <v>0.19196062346185397</v>
      </c>
      <c r="R83" s="1352">
        <v>0.19739837398373983</v>
      </c>
      <c r="S83" s="1217">
        <v>0.19259381715986112</v>
      </c>
      <c r="T83" s="2166">
        <v>0.19004135079255685</v>
      </c>
      <c r="U83" s="1352">
        <v>0.17375392122690833</v>
      </c>
      <c r="V83" s="2393">
        <v>0.17034421888790821</v>
      </c>
      <c r="W83" s="1047"/>
      <c r="X83" s="1214">
        <v>815</v>
      </c>
      <c r="Y83" s="1214">
        <v>749</v>
      </c>
      <c r="Z83" s="1214">
        <v>865</v>
      </c>
      <c r="AA83" s="1214">
        <v>932</v>
      </c>
      <c r="AB83" s="1214">
        <v>785</v>
      </c>
      <c r="AC83" s="1214">
        <v>876</v>
      </c>
      <c r="AD83" s="1214">
        <v>924</v>
      </c>
      <c r="AE83" s="1214">
        <v>879</v>
      </c>
      <c r="AF83" s="1214">
        <v>938</v>
      </c>
      <c r="AG83" s="1214">
        <v>1017</v>
      </c>
      <c r="AH83" s="1214">
        <v>1130</v>
      </c>
      <c r="AI83" s="1214">
        <v>1164</v>
      </c>
      <c r="AJ83" s="1140">
        <v>1164</v>
      </c>
      <c r="AK83" s="1140">
        <v>1170</v>
      </c>
      <c r="AL83" s="1359">
        <v>1214</v>
      </c>
      <c r="AM83" s="1137">
        <v>1165</v>
      </c>
      <c r="AN83" s="2169">
        <v>1103</v>
      </c>
      <c r="AO83" s="1359">
        <v>997</v>
      </c>
      <c r="AP83" s="2398">
        <v>965</v>
      </c>
    </row>
    <row r="84" spans="1:42" x14ac:dyDescent="0.3">
      <c r="A84" s="349" t="s">
        <v>206</v>
      </c>
      <c r="B84" s="350" t="s">
        <v>608</v>
      </c>
      <c r="C84" s="357" t="s">
        <v>255</v>
      </c>
      <c r="D84" s="354">
        <v>0.12778413353338336</v>
      </c>
      <c r="E84" s="355">
        <v>0.11888582454334963</v>
      </c>
      <c r="F84" s="355">
        <v>0.13148748332417798</v>
      </c>
      <c r="G84" s="355">
        <v>0.1414905487181094</v>
      </c>
      <c r="H84" s="355">
        <v>0.12762551060745816</v>
      </c>
      <c r="I84" s="355">
        <v>0.13042314334320348</v>
      </c>
      <c r="J84" s="355">
        <v>0.12657400610789404</v>
      </c>
      <c r="K84" s="355">
        <v>0.13915740575977523</v>
      </c>
      <c r="L84" s="355">
        <v>0.1465355207875364</v>
      </c>
      <c r="M84" s="355">
        <v>0.15607638752568281</v>
      </c>
      <c r="N84" s="356">
        <v>0.17198822367149413</v>
      </c>
      <c r="O84" s="356">
        <v>0.16272639846129183</v>
      </c>
      <c r="P84" s="356">
        <v>0.183</v>
      </c>
      <c r="Q84" s="1217">
        <v>0.17264150943396225</v>
      </c>
      <c r="R84" s="1352">
        <v>0.1867582760774516</v>
      </c>
      <c r="S84" s="1217">
        <v>0.17144870239167026</v>
      </c>
      <c r="T84" s="2166">
        <v>0.15774352603175837</v>
      </c>
      <c r="U84" s="1352">
        <v>0.14459798041151015</v>
      </c>
      <c r="V84" s="2393">
        <v>0.1283388114397975</v>
      </c>
      <c r="W84" s="1047"/>
      <c r="X84" s="1214">
        <v>2884</v>
      </c>
      <c r="Y84" s="1214">
        <v>2710</v>
      </c>
      <c r="Z84" s="1214">
        <v>3019</v>
      </c>
      <c r="AA84" s="1214">
        <v>3287</v>
      </c>
      <c r="AB84" s="1214">
        <v>2935</v>
      </c>
      <c r="AC84" s="1214">
        <v>2963</v>
      </c>
      <c r="AD84" s="1214">
        <v>2932</v>
      </c>
      <c r="AE84" s="1214">
        <v>3342</v>
      </c>
      <c r="AF84" s="1214">
        <v>3535</v>
      </c>
      <c r="AG84" s="1214">
        <v>3765</v>
      </c>
      <c r="AH84" s="1214">
        <v>4302</v>
      </c>
      <c r="AI84" s="1214">
        <v>4061</v>
      </c>
      <c r="AJ84" s="1140">
        <v>4669</v>
      </c>
      <c r="AK84" s="1140">
        <v>4392</v>
      </c>
      <c r="AL84" s="1359">
        <v>4784</v>
      </c>
      <c r="AM84" s="1137">
        <v>4380</v>
      </c>
      <c r="AN84" s="2169">
        <v>4063</v>
      </c>
      <c r="AO84" s="1359">
        <v>3809</v>
      </c>
      <c r="AP84" s="2398">
        <v>3397</v>
      </c>
    </row>
    <row r="85" spans="1:42" x14ac:dyDescent="0.3">
      <c r="A85" s="349" t="s">
        <v>208</v>
      </c>
      <c r="B85" s="350" t="s">
        <v>384</v>
      </c>
      <c r="C85" s="357" t="s">
        <v>256</v>
      </c>
      <c r="D85" s="354">
        <v>0.22100000000000003</v>
      </c>
      <c r="E85" s="355">
        <v>0.19499999999999998</v>
      </c>
      <c r="F85" s="355">
        <v>0.23</v>
      </c>
      <c r="G85" s="355">
        <v>0.249</v>
      </c>
      <c r="H85" s="355">
        <v>0.218</v>
      </c>
      <c r="I85" s="355">
        <v>0.26699999999999996</v>
      </c>
      <c r="J85" s="355">
        <v>0.22500000000000001</v>
      </c>
      <c r="K85" s="355">
        <v>0.255</v>
      </c>
      <c r="L85" s="355">
        <v>0.251</v>
      </c>
      <c r="M85" s="355">
        <v>0.25600000000000001</v>
      </c>
      <c r="N85" s="356">
        <v>0.252</v>
      </c>
      <c r="O85" s="356">
        <v>0.27200000000000002</v>
      </c>
      <c r="P85" s="356">
        <v>0.23899999999999999</v>
      </c>
      <c r="Q85" s="1217">
        <v>0.26217843459222767</v>
      </c>
      <c r="R85" s="1352">
        <v>0.24550458715596329</v>
      </c>
      <c r="S85" s="1217">
        <v>0.28190127970749546</v>
      </c>
      <c r="T85" s="2166">
        <v>0.23714886298490351</v>
      </c>
      <c r="U85" s="1352">
        <v>0.25034523574669559</v>
      </c>
      <c r="V85" s="2393">
        <v>0.21678040947410679</v>
      </c>
      <c r="W85" s="1047"/>
      <c r="X85" s="1214">
        <v>1360</v>
      </c>
      <c r="Y85" s="1214">
        <v>1181</v>
      </c>
      <c r="Z85" s="1214">
        <v>1396</v>
      </c>
      <c r="AA85" s="1214">
        <v>1499</v>
      </c>
      <c r="AB85" s="1214">
        <v>1321</v>
      </c>
      <c r="AC85" s="1214">
        <v>1596</v>
      </c>
      <c r="AD85" s="1214">
        <v>1295</v>
      </c>
      <c r="AE85" s="1214">
        <v>1476</v>
      </c>
      <c r="AF85" s="1214">
        <v>1428</v>
      </c>
      <c r="AG85" s="1214">
        <v>1500</v>
      </c>
      <c r="AH85" s="1214">
        <v>1464</v>
      </c>
      <c r="AI85" s="1214">
        <v>1546</v>
      </c>
      <c r="AJ85" s="1140">
        <v>1332</v>
      </c>
      <c r="AK85" s="1140">
        <v>1437</v>
      </c>
      <c r="AL85" s="1359">
        <v>1338</v>
      </c>
      <c r="AM85" s="1137">
        <v>1542</v>
      </c>
      <c r="AN85" s="2169">
        <v>1241</v>
      </c>
      <c r="AO85" s="1359">
        <v>1269</v>
      </c>
      <c r="AP85" s="2398">
        <v>1080</v>
      </c>
    </row>
    <row r="86" spans="1:42" x14ac:dyDescent="0.3">
      <c r="A86" s="349" t="s">
        <v>210</v>
      </c>
      <c r="B86" s="350" t="s">
        <v>385</v>
      </c>
      <c r="C86" s="357" t="s">
        <v>256</v>
      </c>
      <c r="D86" s="354">
        <v>0.192</v>
      </c>
      <c r="E86" s="355">
        <v>0.18</v>
      </c>
      <c r="F86" s="355">
        <v>0.191</v>
      </c>
      <c r="G86" s="355">
        <v>0.22100000000000003</v>
      </c>
      <c r="H86" s="355">
        <v>0.19699999999999998</v>
      </c>
      <c r="I86" s="355">
        <v>0.24300000000000002</v>
      </c>
      <c r="J86" s="355">
        <v>0.24000000000000002</v>
      </c>
      <c r="K86" s="355">
        <v>0.221</v>
      </c>
      <c r="L86" s="355">
        <v>0.221</v>
      </c>
      <c r="M86" s="355">
        <v>0.24100000000000002</v>
      </c>
      <c r="N86" s="356">
        <v>0.25</v>
      </c>
      <c r="O86" s="356">
        <v>0.249</v>
      </c>
      <c r="P86" s="356">
        <v>0.28199999999999997</v>
      </c>
      <c r="Q86" s="1217">
        <v>0.26485972420351878</v>
      </c>
      <c r="R86" s="1352">
        <v>0.26053455333493858</v>
      </c>
      <c r="S86" s="1217">
        <v>0.24474841231069858</v>
      </c>
      <c r="T86" s="2166">
        <v>0.23955147808358818</v>
      </c>
      <c r="U86" s="1352">
        <v>0.23056994818652848</v>
      </c>
      <c r="V86" s="2393">
        <v>0.24520766773162939</v>
      </c>
      <c r="W86" s="1047"/>
      <c r="X86" s="1214">
        <v>900</v>
      </c>
      <c r="Y86" s="1214">
        <v>828</v>
      </c>
      <c r="Z86" s="1214">
        <v>877</v>
      </c>
      <c r="AA86" s="1214">
        <v>1004</v>
      </c>
      <c r="AB86" s="1214">
        <v>884</v>
      </c>
      <c r="AC86" s="1214">
        <v>1075</v>
      </c>
      <c r="AD86" s="1214">
        <v>1046</v>
      </c>
      <c r="AE86" s="1214">
        <v>942</v>
      </c>
      <c r="AF86" s="1214">
        <v>936</v>
      </c>
      <c r="AG86" s="1214">
        <v>1035</v>
      </c>
      <c r="AH86" s="1214">
        <v>1094</v>
      </c>
      <c r="AI86" s="1214">
        <v>1076</v>
      </c>
      <c r="AJ86" s="1140">
        <v>1195</v>
      </c>
      <c r="AK86" s="1140">
        <v>1114</v>
      </c>
      <c r="AL86" s="1359">
        <v>1082</v>
      </c>
      <c r="AM86" s="1137">
        <v>1002</v>
      </c>
      <c r="AN86" s="2169">
        <v>940</v>
      </c>
      <c r="AO86" s="1359">
        <v>890</v>
      </c>
      <c r="AP86" s="2398">
        <v>921</v>
      </c>
    </row>
    <row r="87" spans="1:42" x14ac:dyDescent="0.3">
      <c r="A87" s="349" t="s">
        <v>212</v>
      </c>
      <c r="B87" s="350" t="s">
        <v>386</v>
      </c>
      <c r="C87" s="357" t="s">
        <v>255</v>
      </c>
      <c r="D87" s="354">
        <v>0.12300000000000001</v>
      </c>
      <c r="E87" s="355">
        <v>0.11499999999999999</v>
      </c>
      <c r="F87" s="355">
        <v>0.115</v>
      </c>
      <c r="G87" s="355">
        <v>0.13100000000000001</v>
      </c>
      <c r="H87" s="355">
        <v>0.12300000000000001</v>
      </c>
      <c r="I87" s="355">
        <v>0.13100000000000001</v>
      </c>
      <c r="J87" s="355">
        <v>0.12699999999999997</v>
      </c>
      <c r="K87" s="355">
        <v>0.124</v>
      </c>
      <c r="L87" s="355">
        <v>0.14599999999999999</v>
      </c>
      <c r="M87" s="355">
        <v>0.15500000000000003</v>
      </c>
      <c r="N87" s="356">
        <v>0.17199999999999999</v>
      </c>
      <c r="O87" s="356">
        <v>0.20300000000000001</v>
      </c>
      <c r="P87" s="356">
        <v>0.17599999999999999</v>
      </c>
      <c r="Q87" s="1217">
        <v>0.18003783242461333</v>
      </c>
      <c r="R87" s="1352">
        <v>0.17639942813152976</v>
      </c>
      <c r="S87" s="1217">
        <v>0.17720401633013352</v>
      </c>
      <c r="T87" s="2166">
        <v>0.14957312340614259</v>
      </c>
      <c r="U87" s="1352">
        <v>0.13872832369942195</v>
      </c>
      <c r="V87" s="2393">
        <v>0.14866806676246269</v>
      </c>
      <c r="W87" s="1047"/>
      <c r="X87" s="1214">
        <v>952</v>
      </c>
      <c r="Y87" s="1214">
        <v>910</v>
      </c>
      <c r="Z87" s="1214">
        <v>942</v>
      </c>
      <c r="AA87" s="1214">
        <v>1070</v>
      </c>
      <c r="AB87" s="1214">
        <v>1038</v>
      </c>
      <c r="AC87" s="1214">
        <v>1094</v>
      </c>
      <c r="AD87" s="1214">
        <v>1059</v>
      </c>
      <c r="AE87" s="1214">
        <v>1086</v>
      </c>
      <c r="AF87" s="1214">
        <v>1281</v>
      </c>
      <c r="AG87" s="1214">
        <v>1375</v>
      </c>
      <c r="AH87" s="1214">
        <v>1556</v>
      </c>
      <c r="AI87" s="1214">
        <v>1838</v>
      </c>
      <c r="AJ87" s="1140">
        <v>1583</v>
      </c>
      <c r="AK87" s="1140">
        <v>1618</v>
      </c>
      <c r="AL87" s="1359">
        <v>1604</v>
      </c>
      <c r="AM87" s="1137">
        <v>1606</v>
      </c>
      <c r="AN87" s="2169">
        <v>1349</v>
      </c>
      <c r="AO87" s="1359">
        <v>1248</v>
      </c>
      <c r="AP87" s="2398">
        <v>1345</v>
      </c>
    </row>
    <row r="88" spans="1:42" x14ac:dyDescent="0.3">
      <c r="A88" s="349" t="s">
        <v>214</v>
      </c>
      <c r="B88" s="350" t="s">
        <v>387</v>
      </c>
      <c r="C88" s="357" t="s">
        <v>256</v>
      </c>
      <c r="D88" s="354">
        <v>0.18</v>
      </c>
      <c r="E88" s="355">
        <v>0.17500000000000002</v>
      </c>
      <c r="F88" s="355">
        <v>0.19500000000000001</v>
      </c>
      <c r="G88" s="355">
        <v>0.22399999999999998</v>
      </c>
      <c r="H88" s="355">
        <v>0.18600000000000003</v>
      </c>
      <c r="I88" s="355">
        <v>0.19</v>
      </c>
      <c r="J88" s="355">
        <v>0.214</v>
      </c>
      <c r="K88" s="355">
        <v>0.218</v>
      </c>
      <c r="L88" s="355">
        <v>0.24299999999999999</v>
      </c>
      <c r="M88" s="355">
        <v>0.247</v>
      </c>
      <c r="N88" s="356">
        <v>0.28000000000000003</v>
      </c>
      <c r="O88" s="356">
        <v>0.27899999999999997</v>
      </c>
      <c r="P88" s="356">
        <v>0.28000000000000003</v>
      </c>
      <c r="Q88" s="1217">
        <v>0.25925332478769431</v>
      </c>
      <c r="R88" s="1352">
        <v>0.26875502008032126</v>
      </c>
      <c r="S88" s="1217">
        <v>0.27607461476074613</v>
      </c>
      <c r="T88" s="2166">
        <v>0.24247519757861105</v>
      </c>
      <c r="U88" s="1352">
        <v>0.25051229508196721</v>
      </c>
      <c r="V88" s="2393">
        <v>0.25156576200417535</v>
      </c>
      <c r="W88" s="1047"/>
      <c r="X88" s="1214">
        <v>1245</v>
      </c>
      <c r="Y88" s="1214">
        <v>1207</v>
      </c>
      <c r="Z88" s="1214">
        <v>1367</v>
      </c>
      <c r="AA88" s="1214">
        <v>1524</v>
      </c>
      <c r="AB88" s="1214">
        <v>1291</v>
      </c>
      <c r="AC88" s="1214">
        <v>1295</v>
      </c>
      <c r="AD88" s="1214">
        <v>1401</v>
      </c>
      <c r="AE88" s="1214">
        <v>1410</v>
      </c>
      <c r="AF88" s="1214">
        <v>1545</v>
      </c>
      <c r="AG88" s="1214">
        <v>1593</v>
      </c>
      <c r="AH88" s="1214">
        <v>1843</v>
      </c>
      <c r="AI88" s="1214">
        <v>1786</v>
      </c>
      <c r="AJ88" s="1140">
        <v>1764</v>
      </c>
      <c r="AK88" s="1140">
        <v>1618</v>
      </c>
      <c r="AL88" s="1359">
        <v>1673</v>
      </c>
      <c r="AM88" s="1137">
        <v>1702</v>
      </c>
      <c r="AN88" s="2169">
        <v>1442</v>
      </c>
      <c r="AO88" s="1359">
        <v>1467</v>
      </c>
      <c r="AP88" s="2398">
        <v>1446</v>
      </c>
    </row>
    <row r="89" spans="1:42" x14ac:dyDescent="0.3">
      <c r="A89" s="349" t="s">
        <v>216</v>
      </c>
      <c r="B89" s="350" t="s">
        <v>388</v>
      </c>
      <c r="C89" s="357" t="s">
        <v>252</v>
      </c>
      <c r="D89" s="354">
        <v>0.18899999999999997</v>
      </c>
      <c r="E89" s="355">
        <v>0.16399999999999998</v>
      </c>
      <c r="F89" s="355">
        <v>0.17399999999999999</v>
      </c>
      <c r="G89" s="355">
        <v>0.19600000000000001</v>
      </c>
      <c r="H89" s="355">
        <v>0.17499999999999999</v>
      </c>
      <c r="I89" s="355">
        <v>0.19399999999999998</v>
      </c>
      <c r="J89" s="355">
        <v>0.20199999999999999</v>
      </c>
      <c r="K89" s="355">
        <v>0.188</v>
      </c>
      <c r="L89" s="355">
        <v>0.218</v>
      </c>
      <c r="M89" s="355">
        <v>0.19500000000000001</v>
      </c>
      <c r="N89" s="356">
        <v>0.2</v>
      </c>
      <c r="O89" s="356">
        <v>0.221</v>
      </c>
      <c r="P89" s="356">
        <v>0.22500000000000001</v>
      </c>
      <c r="Q89" s="1217">
        <v>0.2248639358350043</v>
      </c>
      <c r="R89" s="1352">
        <v>0.22421921037124337</v>
      </c>
      <c r="S89" s="1217">
        <v>0.20915224405984159</v>
      </c>
      <c r="T89" s="2166">
        <v>0.21129220023282888</v>
      </c>
      <c r="U89" s="1352">
        <v>0.20486322188449849</v>
      </c>
      <c r="V89" s="2393">
        <v>0.20215462610899873</v>
      </c>
      <c r="W89" s="1047"/>
      <c r="X89" s="1214">
        <v>714</v>
      </c>
      <c r="Y89" s="1214">
        <v>607</v>
      </c>
      <c r="Z89" s="1214">
        <v>656</v>
      </c>
      <c r="AA89" s="1214">
        <v>707</v>
      </c>
      <c r="AB89" s="1214">
        <v>640</v>
      </c>
      <c r="AC89" s="1214">
        <v>701</v>
      </c>
      <c r="AD89" s="1214">
        <v>717</v>
      </c>
      <c r="AE89" s="1214">
        <v>662</v>
      </c>
      <c r="AF89" s="1214">
        <v>747</v>
      </c>
      <c r="AG89" s="1214">
        <v>704</v>
      </c>
      <c r="AH89" s="1214">
        <v>768</v>
      </c>
      <c r="AI89" s="1214">
        <v>831</v>
      </c>
      <c r="AJ89" s="1140">
        <v>826</v>
      </c>
      <c r="AK89" s="1140">
        <v>785</v>
      </c>
      <c r="AL89" s="1359">
        <v>761</v>
      </c>
      <c r="AM89" s="1137">
        <v>713</v>
      </c>
      <c r="AN89" s="2169">
        <v>726</v>
      </c>
      <c r="AO89" s="1359">
        <v>674</v>
      </c>
      <c r="AP89" s="2398">
        <v>638</v>
      </c>
    </row>
    <row r="90" spans="1:42" x14ac:dyDescent="0.3">
      <c r="A90" s="349" t="s">
        <v>218</v>
      </c>
      <c r="B90" s="350" t="s">
        <v>389</v>
      </c>
      <c r="C90" s="357" t="s">
        <v>255</v>
      </c>
      <c r="D90" s="354">
        <v>7.2000000000000008E-2</v>
      </c>
      <c r="E90" s="355">
        <v>6.4000000000000001E-2</v>
      </c>
      <c r="F90" s="355">
        <v>7.0999999999999994E-2</v>
      </c>
      <c r="G90" s="355">
        <v>7.8E-2</v>
      </c>
      <c r="H90" s="355">
        <v>7.2999999999999995E-2</v>
      </c>
      <c r="I90" s="355">
        <v>7.4999999999999997E-2</v>
      </c>
      <c r="J90" s="355">
        <v>7.0999999999999994E-2</v>
      </c>
      <c r="K90" s="355">
        <v>7.6999999999999999E-2</v>
      </c>
      <c r="L90" s="355">
        <v>8.6999999999999994E-2</v>
      </c>
      <c r="M90" s="355">
        <v>0.10400000000000001</v>
      </c>
      <c r="N90" s="356">
        <v>0.10500000000000001</v>
      </c>
      <c r="O90" s="356">
        <v>0.11599999999999999</v>
      </c>
      <c r="P90" s="356">
        <v>0.11600000000000001</v>
      </c>
      <c r="Q90" s="1217">
        <v>0.10372299678259538</v>
      </c>
      <c r="R90" s="1352">
        <v>0.12804560360415582</v>
      </c>
      <c r="S90" s="1217">
        <v>0.10882533825338253</v>
      </c>
      <c r="T90" s="2166">
        <v>0.10676668707899571</v>
      </c>
      <c r="U90" s="1352">
        <v>9.9544189176787298E-2</v>
      </c>
      <c r="V90" s="2393">
        <v>0.10114082433758587</v>
      </c>
      <c r="W90" s="1047"/>
      <c r="X90" s="1214">
        <v>2013</v>
      </c>
      <c r="Y90" s="1214">
        <v>1875</v>
      </c>
      <c r="Z90" s="1214">
        <v>2164</v>
      </c>
      <c r="AA90" s="1214">
        <v>2418</v>
      </c>
      <c r="AB90" s="1214">
        <v>2320</v>
      </c>
      <c r="AC90" s="1214">
        <v>2365</v>
      </c>
      <c r="AD90" s="1214">
        <v>2241</v>
      </c>
      <c r="AE90" s="1214">
        <v>2473</v>
      </c>
      <c r="AF90" s="1214">
        <v>2790</v>
      </c>
      <c r="AG90" s="1214">
        <v>3473</v>
      </c>
      <c r="AH90" s="1214">
        <v>3532</v>
      </c>
      <c r="AI90" s="1214">
        <v>3814</v>
      </c>
      <c r="AJ90" s="1140">
        <v>3803</v>
      </c>
      <c r="AK90" s="1140">
        <v>3385</v>
      </c>
      <c r="AL90" s="1359">
        <v>4178</v>
      </c>
      <c r="AM90" s="1137">
        <v>3539</v>
      </c>
      <c r="AN90" s="2169">
        <v>3487</v>
      </c>
      <c r="AO90" s="1359">
        <v>3254</v>
      </c>
      <c r="AP90" s="2398">
        <v>3298</v>
      </c>
    </row>
    <row r="91" spans="1:42" x14ac:dyDescent="0.3">
      <c r="A91" s="349" t="s">
        <v>220</v>
      </c>
      <c r="B91" s="350" t="s">
        <v>390</v>
      </c>
      <c r="C91" s="357" t="s">
        <v>255</v>
      </c>
      <c r="D91" s="354">
        <v>5.2999999999999999E-2</v>
      </c>
      <c r="E91" s="355">
        <v>4.4999999999999998E-2</v>
      </c>
      <c r="F91" s="355">
        <v>5.2999999999999999E-2</v>
      </c>
      <c r="G91" s="355">
        <v>6.2E-2</v>
      </c>
      <c r="H91" s="355">
        <v>5.7999999999999996E-2</v>
      </c>
      <c r="I91" s="355">
        <v>5.2999999999999992E-2</v>
      </c>
      <c r="J91" s="355">
        <v>4.5999999999999999E-2</v>
      </c>
      <c r="K91" s="355">
        <v>5.099999999999999E-2</v>
      </c>
      <c r="L91" s="355">
        <v>5.9000000000000004E-2</v>
      </c>
      <c r="M91" s="355">
        <v>6.2000000000000006E-2</v>
      </c>
      <c r="N91" s="356">
        <v>6.8000000000000005E-2</v>
      </c>
      <c r="O91" s="356">
        <v>7.9000000000000001E-2</v>
      </c>
      <c r="P91" s="356">
        <v>7.0000000000000007E-2</v>
      </c>
      <c r="Q91" s="1217">
        <v>8.0715281765236652E-2</v>
      </c>
      <c r="R91" s="1352">
        <v>7.570247043293192E-2</v>
      </c>
      <c r="S91" s="1217">
        <v>7.1382533032549142E-2</v>
      </c>
      <c r="T91" s="2166">
        <v>6.9618894256575414E-2</v>
      </c>
      <c r="U91" s="1352">
        <v>5.8249105074752582E-2</v>
      </c>
      <c r="V91" s="2393">
        <v>6.5268125713100297E-2</v>
      </c>
      <c r="W91" s="1047"/>
      <c r="X91" s="1214">
        <v>1608</v>
      </c>
      <c r="Y91" s="1214">
        <v>1416</v>
      </c>
      <c r="Z91" s="1214">
        <v>1718</v>
      </c>
      <c r="AA91" s="1214">
        <v>2023</v>
      </c>
      <c r="AB91" s="1214">
        <v>1944</v>
      </c>
      <c r="AC91" s="1214">
        <v>1758</v>
      </c>
      <c r="AD91" s="1214">
        <v>1493</v>
      </c>
      <c r="AE91" s="1214">
        <v>1706</v>
      </c>
      <c r="AF91" s="1214">
        <v>1930</v>
      </c>
      <c r="AG91" s="1214">
        <v>2223</v>
      </c>
      <c r="AH91" s="1214">
        <v>2504</v>
      </c>
      <c r="AI91" s="1214">
        <v>2894</v>
      </c>
      <c r="AJ91" s="1140">
        <v>2549</v>
      </c>
      <c r="AK91" s="1140">
        <v>2952</v>
      </c>
      <c r="AL91" s="1359">
        <v>2810</v>
      </c>
      <c r="AM91" s="1137">
        <v>2658</v>
      </c>
      <c r="AN91" s="2169">
        <v>2594</v>
      </c>
      <c r="AO91" s="1359">
        <v>2213</v>
      </c>
      <c r="AP91" s="2398">
        <v>2517</v>
      </c>
    </row>
    <row r="92" spans="1:42" x14ac:dyDescent="0.3">
      <c r="A92" s="349" t="s">
        <v>224</v>
      </c>
      <c r="B92" s="350" t="s">
        <v>391</v>
      </c>
      <c r="C92" s="357" t="s">
        <v>252</v>
      </c>
      <c r="D92" s="354">
        <v>0.16600000000000001</v>
      </c>
      <c r="E92" s="355">
        <v>0.14199999999999999</v>
      </c>
      <c r="F92" s="355">
        <v>0.15</v>
      </c>
      <c r="G92" s="355">
        <v>0.16200000000000001</v>
      </c>
      <c r="H92" s="355">
        <v>0.14499999999999999</v>
      </c>
      <c r="I92" s="355">
        <v>0.16699999999999998</v>
      </c>
      <c r="J92" s="355">
        <v>0.151</v>
      </c>
      <c r="K92" s="355">
        <v>0.157</v>
      </c>
      <c r="L92" s="355">
        <v>0.16499999999999998</v>
      </c>
      <c r="M92" s="355">
        <v>0.17199999999999999</v>
      </c>
      <c r="N92" s="356">
        <v>0.19700000000000001</v>
      </c>
      <c r="O92" s="356">
        <v>0.20300000000000001</v>
      </c>
      <c r="P92" s="356">
        <v>0.19700000000000001</v>
      </c>
      <c r="Q92" s="1217">
        <v>0.20173364854215919</v>
      </c>
      <c r="R92" s="1352">
        <v>0.20081300813008129</v>
      </c>
      <c r="S92" s="1217">
        <v>0.19967266775777415</v>
      </c>
      <c r="T92" s="2166">
        <v>0.21773485513608429</v>
      </c>
      <c r="U92" s="1352">
        <v>0.19698314108251996</v>
      </c>
      <c r="V92" s="2393">
        <v>0.20204841713221602</v>
      </c>
      <c r="W92" s="1047"/>
      <c r="X92" s="1214">
        <v>279</v>
      </c>
      <c r="Y92" s="1214">
        <v>240</v>
      </c>
      <c r="Z92" s="1214">
        <v>256</v>
      </c>
      <c r="AA92" s="1214">
        <v>265</v>
      </c>
      <c r="AB92" s="1214">
        <v>231</v>
      </c>
      <c r="AC92" s="1214">
        <v>262</v>
      </c>
      <c r="AD92" s="1214">
        <v>232</v>
      </c>
      <c r="AE92" s="1214">
        <v>236</v>
      </c>
      <c r="AF92" s="1214">
        <v>246</v>
      </c>
      <c r="AG92" s="1214">
        <v>240</v>
      </c>
      <c r="AH92" s="1214">
        <v>288</v>
      </c>
      <c r="AI92" s="1214">
        <v>282</v>
      </c>
      <c r="AJ92" s="1140">
        <v>264</v>
      </c>
      <c r="AK92" s="1140">
        <v>256</v>
      </c>
      <c r="AL92" s="1359">
        <v>247</v>
      </c>
      <c r="AM92" s="1137">
        <v>244</v>
      </c>
      <c r="AN92" s="2169">
        <v>248</v>
      </c>
      <c r="AO92" s="1359">
        <v>222</v>
      </c>
      <c r="AP92" s="2398">
        <v>217</v>
      </c>
    </row>
    <row r="93" spans="1:42" x14ac:dyDescent="0.3">
      <c r="A93" s="349" t="s">
        <v>226</v>
      </c>
      <c r="B93" s="350" t="s">
        <v>392</v>
      </c>
      <c r="C93" s="357" t="s">
        <v>252</v>
      </c>
      <c r="D93" s="354">
        <v>0.21100000000000002</v>
      </c>
      <c r="E93" s="355">
        <v>0.188</v>
      </c>
      <c r="F93" s="355">
        <v>0.19399999999999998</v>
      </c>
      <c r="G93" s="355">
        <v>0.22600000000000001</v>
      </c>
      <c r="H93" s="355">
        <v>0.21</v>
      </c>
      <c r="I93" s="355">
        <v>0.245</v>
      </c>
      <c r="J93" s="355">
        <v>0.28000000000000003</v>
      </c>
      <c r="K93" s="355">
        <v>0.24</v>
      </c>
      <c r="L93" s="355">
        <v>0.22800000000000004</v>
      </c>
      <c r="M93" s="355">
        <v>0.23600000000000002</v>
      </c>
      <c r="N93" s="356">
        <v>0.24000000000000002</v>
      </c>
      <c r="O93" s="356">
        <v>0.23199999999999998</v>
      </c>
      <c r="P93" s="356">
        <v>0.27</v>
      </c>
      <c r="Q93" s="1217">
        <v>0.30353319057815847</v>
      </c>
      <c r="R93" s="1352">
        <v>0.30479267635971996</v>
      </c>
      <c r="S93" s="1217">
        <v>0.28968466060929982</v>
      </c>
      <c r="T93" s="2166">
        <v>0.30209481808158767</v>
      </c>
      <c r="U93" s="1352">
        <v>0.2928082191780822</v>
      </c>
      <c r="V93" s="2393">
        <v>0.29642647920328064</v>
      </c>
      <c r="W93" s="1047"/>
      <c r="X93" s="1214">
        <v>504</v>
      </c>
      <c r="Y93" s="1214">
        <v>437</v>
      </c>
      <c r="Z93" s="1214">
        <v>446</v>
      </c>
      <c r="AA93" s="1214">
        <v>513</v>
      </c>
      <c r="AB93" s="1214">
        <v>464</v>
      </c>
      <c r="AC93" s="1214">
        <v>534</v>
      </c>
      <c r="AD93" s="1214">
        <v>610</v>
      </c>
      <c r="AE93" s="1214">
        <v>510</v>
      </c>
      <c r="AF93" s="1214">
        <v>472</v>
      </c>
      <c r="AG93" s="1214">
        <v>481</v>
      </c>
      <c r="AH93" s="1214">
        <v>473</v>
      </c>
      <c r="AI93" s="1214">
        <v>465</v>
      </c>
      <c r="AJ93" s="1140">
        <v>529</v>
      </c>
      <c r="AK93" s="1140">
        <v>567</v>
      </c>
      <c r="AL93" s="1359">
        <v>566</v>
      </c>
      <c r="AM93" s="1137">
        <v>542</v>
      </c>
      <c r="AN93" s="2169">
        <v>548</v>
      </c>
      <c r="AO93" s="1359">
        <v>513</v>
      </c>
      <c r="AP93" s="2398">
        <v>506</v>
      </c>
    </row>
    <row r="94" spans="1:42" x14ac:dyDescent="0.3">
      <c r="A94" s="349" t="s">
        <v>228</v>
      </c>
      <c r="B94" s="350" t="s">
        <v>393</v>
      </c>
      <c r="C94" s="357" t="s">
        <v>256</v>
      </c>
      <c r="D94" s="354">
        <v>0.20699999999999999</v>
      </c>
      <c r="E94" s="355">
        <v>0.18399999999999997</v>
      </c>
      <c r="F94" s="355">
        <v>0.22000000000000003</v>
      </c>
      <c r="G94" s="355">
        <v>0.24</v>
      </c>
      <c r="H94" s="355">
        <v>0.21600000000000003</v>
      </c>
      <c r="I94" s="355">
        <v>0.23700000000000002</v>
      </c>
      <c r="J94" s="355">
        <v>0.21199999999999999</v>
      </c>
      <c r="K94" s="355">
        <v>0.23500000000000001</v>
      </c>
      <c r="L94" s="355">
        <v>0.24199999999999999</v>
      </c>
      <c r="M94" s="355">
        <v>0.21600000000000003</v>
      </c>
      <c r="N94" s="356">
        <v>0.23500000000000001</v>
      </c>
      <c r="O94" s="356">
        <v>0.23100000000000001</v>
      </c>
      <c r="P94" s="356">
        <v>0.26100000000000001</v>
      </c>
      <c r="Q94" s="1217">
        <v>0.22899871480313122</v>
      </c>
      <c r="R94" s="1352">
        <v>0.24681357951161406</v>
      </c>
      <c r="S94" s="1217">
        <v>0.2411071992230181</v>
      </c>
      <c r="T94" s="2166">
        <v>0.24826560951437066</v>
      </c>
      <c r="U94" s="1352">
        <v>0.25556544968833483</v>
      </c>
      <c r="V94" s="2393">
        <v>0.2414059482425647</v>
      </c>
      <c r="W94" s="1047"/>
      <c r="X94" s="1214">
        <v>1886</v>
      </c>
      <c r="Y94" s="1214">
        <v>1666</v>
      </c>
      <c r="Z94" s="1214">
        <v>2007</v>
      </c>
      <c r="AA94" s="1214">
        <v>2172</v>
      </c>
      <c r="AB94" s="1214">
        <v>1979</v>
      </c>
      <c r="AC94" s="1214">
        <v>2139</v>
      </c>
      <c r="AD94" s="1214">
        <v>1865</v>
      </c>
      <c r="AE94" s="1214">
        <v>2038</v>
      </c>
      <c r="AF94" s="1214">
        <v>2088</v>
      </c>
      <c r="AG94" s="1214">
        <v>1961</v>
      </c>
      <c r="AH94" s="1214">
        <v>2127</v>
      </c>
      <c r="AI94" s="1214">
        <v>2038</v>
      </c>
      <c r="AJ94" s="1140">
        <v>2254</v>
      </c>
      <c r="AK94" s="1140">
        <v>1960</v>
      </c>
      <c r="AL94" s="1359">
        <v>2072</v>
      </c>
      <c r="AM94" s="1137">
        <v>1986</v>
      </c>
      <c r="AN94" s="2169">
        <v>2004</v>
      </c>
      <c r="AO94" s="1359">
        <v>2009</v>
      </c>
      <c r="AP94" s="2398">
        <v>1875</v>
      </c>
    </row>
    <row r="95" spans="1:42" x14ac:dyDescent="0.3">
      <c r="A95" s="349" t="s">
        <v>232</v>
      </c>
      <c r="B95" s="350" t="s">
        <v>394</v>
      </c>
      <c r="C95" s="357" t="s">
        <v>255</v>
      </c>
      <c r="D95" s="354">
        <v>0.11599999999999999</v>
      </c>
      <c r="E95" s="355">
        <v>0.105</v>
      </c>
      <c r="F95" s="355">
        <v>0.11699999999999998</v>
      </c>
      <c r="G95" s="355">
        <v>0.13099999999999998</v>
      </c>
      <c r="H95" s="355">
        <v>0.112</v>
      </c>
      <c r="I95" s="355">
        <v>0.127</v>
      </c>
      <c r="J95" s="355">
        <v>0.11800000000000001</v>
      </c>
      <c r="K95" s="355">
        <v>0.114</v>
      </c>
      <c r="L95" s="355">
        <v>0.13100000000000001</v>
      </c>
      <c r="M95" s="355">
        <v>0.13700000000000001</v>
      </c>
      <c r="N95" s="356">
        <v>0.14399999999999999</v>
      </c>
      <c r="O95" s="356">
        <v>0.158</v>
      </c>
      <c r="P95" s="356">
        <v>0.154</v>
      </c>
      <c r="Q95" s="1217">
        <v>0.17012257990606025</v>
      </c>
      <c r="R95" s="1352">
        <v>0.15757296112585073</v>
      </c>
      <c r="S95" s="1217">
        <v>0.15098896044158233</v>
      </c>
      <c r="T95" s="2166">
        <v>0.14439555349698935</v>
      </c>
      <c r="U95" s="1352">
        <v>0.12696015797421303</v>
      </c>
      <c r="V95" s="2393">
        <v>0.13864136095359333</v>
      </c>
      <c r="W95" s="1047"/>
      <c r="X95" s="1214">
        <v>939</v>
      </c>
      <c r="Y95" s="1214">
        <v>861</v>
      </c>
      <c r="Z95" s="1214">
        <v>993</v>
      </c>
      <c r="AA95" s="1214">
        <v>1111</v>
      </c>
      <c r="AB95" s="1214">
        <v>982</v>
      </c>
      <c r="AC95" s="1214">
        <v>1095</v>
      </c>
      <c r="AD95" s="1214">
        <v>1011</v>
      </c>
      <c r="AE95" s="1214">
        <v>1000</v>
      </c>
      <c r="AF95" s="1214">
        <v>1161</v>
      </c>
      <c r="AG95" s="1214">
        <v>1179</v>
      </c>
      <c r="AH95" s="1214">
        <v>1290</v>
      </c>
      <c r="AI95" s="1214">
        <v>1390</v>
      </c>
      <c r="AJ95" s="1140">
        <v>1342</v>
      </c>
      <c r="AK95" s="1140">
        <v>1485</v>
      </c>
      <c r="AL95" s="1359">
        <v>1366</v>
      </c>
      <c r="AM95" s="1137">
        <v>1313</v>
      </c>
      <c r="AN95" s="2169">
        <v>1247</v>
      </c>
      <c r="AO95" s="1359">
        <v>1093</v>
      </c>
      <c r="AP95" s="2398">
        <v>1198</v>
      </c>
    </row>
    <row r="96" spans="1:42" x14ac:dyDescent="0.3">
      <c r="A96" s="349" t="s">
        <v>234</v>
      </c>
      <c r="B96" s="350" t="s">
        <v>395</v>
      </c>
      <c r="C96" s="357" t="s">
        <v>256</v>
      </c>
      <c r="D96" s="354">
        <v>0.157</v>
      </c>
      <c r="E96" s="355">
        <v>0.14499999999999999</v>
      </c>
      <c r="F96" s="355">
        <v>0.16300000000000001</v>
      </c>
      <c r="G96" s="355">
        <v>0.18099999999999999</v>
      </c>
      <c r="H96" s="355">
        <v>0.16499999999999998</v>
      </c>
      <c r="I96" s="355">
        <v>0.16500000000000001</v>
      </c>
      <c r="J96" s="355">
        <v>0.17800000000000002</v>
      </c>
      <c r="K96" s="355">
        <v>0.19100000000000003</v>
      </c>
      <c r="L96" s="355">
        <v>0.19</v>
      </c>
      <c r="M96" s="355">
        <v>0.19600000000000004</v>
      </c>
      <c r="N96" s="356">
        <v>0.193</v>
      </c>
      <c r="O96" s="356">
        <v>0.19800000000000001</v>
      </c>
      <c r="P96" s="356">
        <v>0.19500000000000001</v>
      </c>
      <c r="Q96" s="1217">
        <v>0.212205138000191</v>
      </c>
      <c r="R96" s="1352">
        <v>0.20700048614487118</v>
      </c>
      <c r="S96" s="1217">
        <v>0.22707637934419792</v>
      </c>
      <c r="T96" s="2166">
        <v>0.18913000199084212</v>
      </c>
      <c r="U96" s="1352">
        <v>0.18532275875916074</v>
      </c>
      <c r="V96" s="2393">
        <v>0.2048790363397105</v>
      </c>
      <c r="W96" s="1047"/>
      <c r="X96" s="1214">
        <v>1611</v>
      </c>
      <c r="Y96" s="1214">
        <v>1484</v>
      </c>
      <c r="Z96" s="1214">
        <v>1695</v>
      </c>
      <c r="AA96" s="1214">
        <v>1885</v>
      </c>
      <c r="AB96" s="1214">
        <v>1709</v>
      </c>
      <c r="AC96" s="1214">
        <v>1690</v>
      </c>
      <c r="AD96" s="1214">
        <v>1764</v>
      </c>
      <c r="AE96" s="1214">
        <v>1927</v>
      </c>
      <c r="AF96" s="1214">
        <v>1908</v>
      </c>
      <c r="AG96" s="1214">
        <v>2024</v>
      </c>
      <c r="AH96" s="1214">
        <v>2037</v>
      </c>
      <c r="AI96" s="1214">
        <v>2060</v>
      </c>
      <c r="AJ96" s="1140">
        <v>2038</v>
      </c>
      <c r="AK96" s="1140">
        <v>2222</v>
      </c>
      <c r="AL96" s="1359">
        <v>2129</v>
      </c>
      <c r="AM96" s="1137">
        <v>2313</v>
      </c>
      <c r="AN96" s="2169">
        <v>1900</v>
      </c>
      <c r="AO96" s="1359">
        <v>1846</v>
      </c>
      <c r="AP96" s="2398">
        <v>2024</v>
      </c>
    </row>
    <row r="97" spans="1:42" x14ac:dyDescent="0.3">
      <c r="A97" s="349" t="s">
        <v>236</v>
      </c>
      <c r="B97" s="350" t="s">
        <v>396</v>
      </c>
      <c r="C97" s="357" t="s">
        <v>254</v>
      </c>
      <c r="D97" s="354">
        <v>0.21199999999999999</v>
      </c>
      <c r="E97" s="355">
        <v>0.192</v>
      </c>
      <c r="F97" s="355">
        <v>0.20199999999999999</v>
      </c>
      <c r="G97" s="355">
        <v>0.221</v>
      </c>
      <c r="H97" s="355">
        <v>0.19899999999999998</v>
      </c>
      <c r="I97" s="355">
        <v>0.24500000000000002</v>
      </c>
      <c r="J97" s="355">
        <v>0.22399999999999998</v>
      </c>
      <c r="K97" s="355">
        <v>0.214</v>
      </c>
      <c r="L97" s="355">
        <v>0.24300000000000002</v>
      </c>
      <c r="M97" s="355">
        <v>0.249</v>
      </c>
      <c r="N97" s="356">
        <v>0.26200000000000001</v>
      </c>
      <c r="O97" s="356">
        <v>0.28499999999999998</v>
      </c>
      <c r="P97" s="356">
        <v>0.29399999999999998</v>
      </c>
      <c r="Q97" s="1217">
        <v>0.28540772532188841</v>
      </c>
      <c r="R97" s="1352">
        <v>0.27452209338765277</v>
      </c>
      <c r="S97" s="1217">
        <v>0.28927144174608055</v>
      </c>
      <c r="T97" s="2166">
        <v>0.27829028290282903</v>
      </c>
      <c r="U97" s="1352">
        <v>0.26263237518910743</v>
      </c>
      <c r="V97" s="2393">
        <v>0.26785714285714285</v>
      </c>
      <c r="W97" s="1047"/>
      <c r="X97" s="1214">
        <v>788</v>
      </c>
      <c r="Y97" s="1214">
        <v>711</v>
      </c>
      <c r="Z97" s="1214">
        <v>758</v>
      </c>
      <c r="AA97" s="1214">
        <v>833</v>
      </c>
      <c r="AB97" s="1214">
        <v>733</v>
      </c>
      <c r="AC97" s="1214">
        <v>891</v>
      </c>
      <c r="AD97" s="1214">
        <v>795</v>
      </c>
      <c r="AE97" s="1214">
        <v>765</v>
      </c>
      <c r="AF97" s="1214">
        <v>870</v>
      </c>
      <c r="AG97" s="1214">
        <v>879</v>
      </c>
      <c r="AH97" s="1214">
        <v>897</v>
      </c>
      <c r="AI97" s="1214">
        <v>979</v>
      </c>
      <c r="AJ97" s="1140">
        <v>973</v>
      </c>
      <c r="AK97" s="1140">
        <v>931</v>
      </c>
      <c r="AL97" s="1359">
        <v>876</v>
      </c>
      <c r="AM97" s="1137">
        <v>941</v>
      </c>
      <c r="AN97" s="2169">
        <v>905</v>
      </c>
      <c r="AO97" s="1359">
        <v>868</v>
      </c>
      <c r="AP97" s="2398">
        <v>885</v>
      </c>
    </row>
    <row r="98" spans="1:42" x14ac:dyDescent="0.3">
      <c r="A98" s="349" t="s">
        <v>242</v>
      </c>
      <c r="B98" s="350" t="s">
        <v>397</v>
      </c>
      <c r="C98" s="357" t="s">
        <v>256</v>
      </c>
      <c r="D98" s="354">
        <v>0.24600000000000002</v>
      </c>
      <c r="E98" s="355">
        <v>0.217</v>
      </c>
      <c r="F98" s="355">
        <v>0.25600000000000001</v>
      </c>
      <c r="G98" s="355">
        <v>0.27800000000000002</v>
      </c>
      <c r="H98" s="355">
        <v>0.24399999999999999</v>
      </c>
      <c r="I98" s="355">
        <v>0.30600000000000005</v>
      </c>
      <c r="J98" s="355">
        <v>0.25900000000000001</v>
      </c>
      <c r="K98" s="355">
        <v>0.27800000000000002</v>
      </c>
      <c r="L98" s="355">
        <v>0.29299999999999998</v>
      </c>
      <c r="M98" s="355">
        <v>0.27100000000000002</v>
      </c>
      <c r="N98" s="356">
        <v>0.27500000000000002</v>
      </c>
      <c r="O98" s="356">
        <v>0.27800000000000002</v>
      </c>
      <c r="P98" s="356">
        <v>0.29299999999999998</v>
      </c>
      <c r="Q98" s="1217">
        <v>0.27801294820717132</v>
      </c>
      <c r="R98" s="1352">
        <v>0.28934655479277904</v>
      </c>
      <c r="S98" s="1217">
        <v>0.30902332735196103</v>
      </c>
      <c r="T98" s="2166">
        <v>0.28589959787261643</v>
      </c>
      <c r="U98" s="1352">
        <v>0.29536034229175023</v>
      </c>
      <c r="V98" s="2393">
        <v>0.32456737975200983</v>
      </c>
      <c r="W98" s="1047"/>
      <c r="X98" s="1214">
        <v>2192</v>
      </c>
      <c r="Y98" s="1214">
        <v>1920</v>
      </c>
      <c r="Z98" s="1214">
        <v>2292</v>
      </c>
      <c r="AA98" s="1214">
        <v>2477</v>
      </c>
      <c r="AB98" s="1214">
        <v>2202</v>
      </c>
      <c r="AC98" s="1214">
        <v>2706</v>
      </c>
      <c r="AD98" s="1214">
        <v>2260</v>
      </c>
      <c r="AE98" s="1214">
        <v>2386</v>
      </c>
      <c r="AF98" s="1214">
        <v>2501</v>
      </c>
      <c r="AG98" s="1214">
        <v>2396</v>
      </c>
      <c r="AH98" s="1214">
        <v>2327</v>
      </c>
      <c r="AI98" s="1214">
        <v>2353</v>
      </c>
      <c r="AJ98" s="1140">
        <v>2429</v>
      </c>
      <c r="AK98" s="1140">
        <v>2233</v>
      </c>
      <c r="AL98" s="1359">
        <v>2276</v>
      </c>
      <c r="AM98" s="1137">
        <v>2411</v>
      </c>
      <c r="AN98" s="2169">
        <v>2204</v>
      </c>
      <c r="AO98" s="1359">
        <v>2209</v>
      </c>
      <c r="AP98" s="2398">
        <v>2382</v>
      </c>
    </row>
    <row r="99" spans="1:42" x14ac:dyDescent="0.3">
      <c r="A99" s="349" t="s">
        <v>244</v>
      </c>
      <c r="B99" s="350" t="s">
        <v>398</v>
      </c>
      <c r="C99" s="357" t="s">
        <v>256</v>
      </c>
      <c r="D99" s="354">
        <v>0.16</v>
      </c>
      <c r="E99" s="355">
        <v>0.151</v>
      </c>
      <c r="F99" s="355">
        <v>0.19399999999999998</v>
      </c>
      <c r="G99" s="355">
        <v>0.19500000000000001</v>
      </c>
      <c r="H99" s="355">
        <v>0.16300000000000001</v>
      </c>
      <c r="I99" s="355">
        <v>0.19700000000000001</v>
      </c>
      <c r="J99" s="355">
        <v>0.20199999999999999</v>
      </c>
      <c r="K99" s="355">
        <v>0.17699999999999999</v>
      </c>
      <c r="L99" s="355">
        <v>0.2</v>
      </c>
      <c r="M99" s="355">
        <v>0.21199999999999999</v>
      </c>
      <c r="N99" s="356">
        <v>0.22899999999999998</v>
      </c>
      <c r="O99" s="356">
        <v>0.222</v>
      </c>
      <c r="P99" s="356">
        <v>0.23400000000000001</v>
      </c>
      <c r="Q99" s="1217">
        <v>0.21612349914236706</v>
      </c>
      <c r="R99" s="1352">
        <v>0.2163336229365769</v>
      </c>
      <c r="S99" s="1217">
        <v>0.21255025345219367</v>
      </c>
      <c r="T99" s="2166">
        <v>0.20873362445414848</v>
      </c>
      <c r="U99" s="1352">
        <v>0.20113214222536707</v>
      </c>
      <c r="V99" s="2393">
        <v>0.23847262247838616</v>
      </c>
      <c r="W99" s="1047"/>
      <c r="X99" s="1214">
        <v>945</v>
      </c>
      <c r="Y99" s="1214">
        <v>888</v>
      </c>
      <c r="Z99" s="1214">
        <v>1159</v>
      </c>
      <c r="AA99" s="1214">
        <v>1153</v>
      </c>
      <c r="AB99" s="1214">
        <v>976</v>
      </c>
      <c r="AC99" s="1214">
        <v>1167</v>
      </c>
      <c r="AD99" s="1214">
        <v>1186</v>
      </c>
      <c r="AE99" s="1214">
        <v>1038</v>
      </c>
      <c r="AF99" s="1214">
        <v>1164</v>
      </c>
      <c r="AG99" s="1214">
        <v>1242</v>
      </c>
      <c r="AH99" s="1214">
        <v>1364</v>
      </c>
      <c r="AI99" s="1214">
        <v>1303</v>
      </c>
      <c r="AJ99" s="1140">
        <v>1365</v>
      </c>
      <c r="AK99" s="1140">
        <v>1260</v>
      </c>
      <c r="AL99" s="1359">
        <v>1245</v>
      </c>
      <c r="AM99" s="1137">
        <v>1216</v>
      </c>
      <c r="AN99" s="2169">
        <v>1195</v>
      </c>
      <c r="AO99" s="1359">
        <v>1137</v>
      </c>
      <c r="AP99" s="2398">
        <v>1324</v>
      </c>
    </row>
    <row r="100" spans="1:42" x14ac:dyDescent="0.3">
      <c r="A100" s="349" t="s">
        <v>246</v>
      </c>
      <c r="B100" s="350" t="s">
        <v>609</v>
      </c>
      <c r="C100" s="357" t="s">
        <v>252</v>
      </c>
      <c r="D100" s="354">
        <v>5.6401280791515608E-2</v>
      </c>
      <c r="E100" s="355">
        <v>5.0256129333956845E-2</v>
      </c>
      <c r="F100" s="355">
        <v>5.2533947265540157E-2</v>
      </c>
      <c r="G100" s="355">
        <v>6.0559770540340487E-2</v>
      </c>
      <c r="H100" s="355">
        <v>5.685748279964823E-2</v>
      </c>
      <c r="I100" s="355">
        <v>4.9573310510692706E-2</v>
      </c>
      <c r="J100" s="355">
        <v>5.1145672342404185E-2</v>
      </c>
      <c r="K100" s="355">
        <v>5.3281178762382392E-2</v>
      </c>
      <c r="L100" s="355">
        <v>5.6580193560167996E-2</v>
      </c>
      <c r="M100" s="355">
        <v>6.1533224839921533E-2</v>
      </c>
      <c r="N100" s="356">
        <v>6.7706896551724141E-2</v>
      </c>
      <c r="O100" s="356">
        <v>7.4018979225442427E-2</v>
      </c>
      <c r="P100" s="356">
        <v>8.1000000000000003E-2</v>
      </c>
      <c r="Q100" s="1217">
        <v>7.2314933675652546E-2</v>
      </c>
      <c r="R100" s="1352">
        <v>6.9487221051494033E-2</v>
      </c>
      <c r="S100" s="1217">
        <v>6.7361330386275134E-2</v>
      </c>
      <c r="T100" s="2166">
        <v>6.5986108187749942E-2</v>
      </c>
      <c r="U100" s="1352">
        <v>5.8877102753669773E-2</v>
      </c>
      <c r="V100" s="2393">
        <v>6.3933287004864489E-2</v>
      </c>
      <c r="W100" s="1047"/>
      <c r="X100" s="1214">
        <v>1102</v>
      </c>
      <c r="Y100" s="1214">
        <v>962</v>
      </c>
      <c r="Z100" s="1214">
        <v>1018</v>
      </c>
      <c r="AA100" s="1214">
        <v>1110</v>
      </c>
      <c r="AB100" s="1214">
        <v>1033</v>
      </c>
      <c r="AC100" s="1214">
        <v>881</v>
      </c>
      <c r="AD100" s="1214">
        <v>871</v>
      </c>
      <c r="AE100" s="1214">
        <v>882</v>
      </c>
      <c r="AF100" s="1214">
        <v>906</v>
      </c>
      <c r="AG100" s="1214">
        <v>1106</v>
      </c>
      <c r="AH100" s="1214">
        <v>1351</v>
      </c>
      <c r="AI100" s="1214">
        <v>1443</v>
      </c>
      <c r="AJ100" s="1140">
        <v>1530</v>
      </c>
      <c r="AK100" s="1140">
        <v>1352</v>
      </c>
      <c r="AL100" s="1359">
        <v>1286</v>
      </c>
      <c r="AM100" s="1137">
        <v>1280</v>
      </c>
      <c r="AN100" s="2169">
        <v>1254</v>
      </c>
      <c r="AO100" s="1359">
        <v>1099</v>
      </c>
      <c r="AP100" s="2398">
        <v>1196</v>
      </c>
    </row>
    <row r="101" spans="1:42" x14ac:dyDescent="0.3">
      <c r="A101" s="349" t="s">
        <v>14</v>
      </c>
      <c r="B101" s="350" t="s">
        <v>15</v>
      </c>
      <c r="C101" s="357" t="s">
        <v>255</v>
      </c>
      <c r="D101" s="354">
        <v>0.14199999999999999</v>
      </c>
      <c r="E101" s="355">
        <v>0.126</v>
      </c>
      <c r="F101" s="355">
        <v>0.13599999999999998</v>
      </c>
      <c r="G101" s="355">
        <v>0.13900000000000001</v>
      </c>
      <c r="H101" s="355">
        <v>0.121</v>
      </c>
      <c r="I101" s="355">
        <v>0.13599999999999998</v>
      </c>
      <c r="J101" s="355">
        <v>0.11900000000000001</v>
      </c>
      <c r="K101" s="355">
        <v>0.129</v>
      </c>
      <c r="L101" s="355">
        <v>0.13700000000000001</v>
      </c>
      <c r="M101" s="355">
        <v>0.14800000000000002</v>
      </c>
      <c r="N101" s="356">
        <v>0.14199999999999999</v>
      </c>
      <c r="O101" s="356">
        <v>0.14699999999999999</v>
      </c>
      <c r="P101" s="356">
        <v>0.14199999999999999</v>
      </c>
      <c r="Q101" s="1217">
        <v>0.1532119412316349</v>
      </c>
      <c r="R101" s="1352">
        <v>0.15755664115090204</v>
      </c>
      <c r="S101" s="1217">
        <v>0.14529147982062779</v>
      </c>
      <c r="T101" s="2166">
        <v>0.16419261404779145</v>
      </c>
      <c r="U101" s="1352">
        <v>0.16962088519562038</v>
      </c>
      <c r="V101" s="2393">
        <v>0.16052364450978332</v>
      </c>
      <c r="W101" s="1047"/>
      <c r="X101" s="1214">
        <v>3146</v>
      </c>
      <c r="Y101" s="1214">
        <v>2860</v>
      </c>
      <c r="Z101" s="1214">
        <v>3202</v>
      </c>
      <c r="AA101" s="1214">
        <v>3504</v>
      </c>
      <c r="AB101" s="1214">
        <v>3196</v>
      </c>
      <c r="AC101" s="1214">
        <v>3557</v>
      </c>
      <c r="AD101" s="1214">
        <v>3098</v>
      </c>
      <c r="AE101" s="1214">
        <v>3511</v>
      </c>
      <c r="AF101" s="1214">
        <v>4030</v>
      </c>
      <c r="AG101" s="1214">
        <v>3990</v>
      </c>
      <c r="AH101" s="1214">
        <v>3332</v>
      </c>
      <c r="AI101" s="1214">
        <v>3614</v>
      </c>
      <c r="AJ101" s="1140">
        <v>3578</v>
      </c>
      <c r="AK101" s="1140">
        <v>3921</v>
      </c>
      <c r="AL101" s="1359">
        <v>4096</v>
      </c>
      <c r="AM101" s="1137">
        <v>3888</v>
      </c>
      <c r="AN101" s="2169">
        <v>4535</v>
      </c>
      <c r="AO101" s="1359">
        <v>4756</v>
      </c>
      <c r="AP101" s="2398">
        <v>4586</v>
      </c>
    </row>
    <row r="102" spans="1:42" x14ac:dyDescent="0.3">
      <c r="A102" s="349" t="s">
        <v>34</v>
      </c>
      <c r="B102" s="350" t="s">
        <v>35</v>
      </c>
      <c r="C102" s="357" t="s">
        <v>256</v>
      </c>
      <c r="D102" s="354">
        <v>0.23699999999999999</v>
      </c>
      <c r="E102" s="355">
        <v>0.22</v>
      </c>
      <c r="F102" s="355">
        <v>0.25700000000000001</v>
      </c>
      <c r="G102" s="355">
        <v>0.26899999999999996</v>
      </c>
      <c r="H102" s="355">
        <v>0.245</v>
      </c>
      <c r="I102" s="355">
        <v>0.28800000000000003</v>
      </c>
      <c r="J102" s="355">
        <v>0.317</v>
      </c>
      <c r="K102" s="355">
        <v>0.29100000000000004</v>
      </c>
      <c r="L102" s="355">
        <v>0.36200000000000004</v>
      </c>
      <c r="M102" s="355">
        <v>0.33100000000000002</v>
      </c>
      <c r="N102" s="356">
        <v>0.33899999999999997</v>
      </c>
      <c r="O102" s="356">
        <v>0.35200000000000004</v>
      </c>
      <c r="P102" s="356">
        <v>0.33200000000000002</v>
      </c>
      <c r="Q102" s="1217">
        <v>0.36403897254207263</v>
      </c>
      <c r="R102" s="1352">
        <v>0.34943351222420987</v>
      </c>
      <c r="S102" s="1217">
        <v>0.33373385401021327</v>
      </c>
      <c r="T102" s="2166">
        <v>0.38185140073081608</v>
      </c>
      <c r="U102" s="1352">
        <v>0.30845028366676619</v>
      </c>
      <c r="V102" s="2393">
        <v>0.33086419753086421</v>
      </c>
      <c r="W102" s="1047"/>
      <c r="X102" s="1214">
        <v>817</v>
      </c>
      <c r="Y102" s="1214">
        <v>756</v>
      </c>
      <c r="Z102" s="1214">
        <v>900</v>
      </c>
      <c r="AA102" s="1214">
        <v>929</v>
      </c>
      <c r="AB102" s="1214">
        <v>835</v>
      </c>
      <c r="AC102" s="1214">
        <v>968</v>
      </c>
      <c r="AD102" s="1214">
        <v>1070</v>
      </c>
      <c r="AE102" s="1214">
        <v>1000</v>
      </c>
      <c r="AF102" s="1214">
        <v>1215</v>
      </c>
      <c r="AG102" s="1214">
        <v>1136</v>
      </c>
      <c r="AH102" s="1214">
        <v>1222</v>
      </c>
      <c r="AI102" s="1214">
        <v>1239</v>
      </c>
      <c r="AJ102" s="1140">
        <v>1140</v>
      </c>
      <c r="AK102" s="1140">
        <v>1233</v>
      </c>
      <c r="AL102" s="1359">
        <v>1172</v>
      </c>
      <c r="AM102" s="1137">
        <v>1111</v>
      </c>
      <c r="AN102" s="2169">
        <v>1254</v>
      </c>
      <c r="AO102" s="1359">
        <v>1033</v>
      </c>
      <c r="AP102" s="2398">
        <v>1072</v>
      </c>
    </row>
    <row r="103" spans="1:42" x14ac:dyDescent="0.3">
      <c r="A103" s="349" t="s">
        <v>52</v>
      </c>
      <c r="B103" s="350" t="s">
        <v>53</v>
      </c>
      <c r="C103" s="357" t="s">
        <v>253</v>
      </c>
      <c r="D103" s="354">
        <v>0.20100000000000001</v>
      </c>
      <c r="E103" s="355">
        <v>0.17199999999999999</v>
      </c>
      <c r="F103" s="355">
        <v>0.20499999999999999</v>
      </c>
      <c r="G103" s="355">
        <v>0.22700000000000001</v>
      </c>
      <c r="H103" s="355">
        <v>0.20300000000000001</v>
      </c>
      <c r="I103" s="355">
        <v>0.24</v>
      </c>
      <c r="J103" s="355">
        <v>0.20300000000000001</v>
      </c>
      <c r="K103" s="355">
        <v>0.219</v>
      </c>
      <c r="L103" s="355">
        <v>0.20899999999999999</v>
      </c>
      <c r="M103" s="355">
        <v>0.214</v>
      </c>
      <c r="N103" s="356">
        <v>0.22699999999999998</v>
      </c>
      <c r="O103" s="356">
        <v>0.222</v>
      </c>
      <c r="P103" s="356">
        <v>0.23200000000000001</v>
      </c>
      <c r="Q103" s="1217">
        <v>0.23748125937031483</v>
      </c>
      <c r="R103" s="1352">
        <v>0.24379811804961504</v>
      </c>
      <c r="S103" s="1217">
        <v>0.2260415234428709</v>
      </c>
      <c r="T103" s="2166">
        <v>0.19786457629409379</v>
      </c>
      <c r="U103" s="1352">
        <v>0.1941747572815534</v>
      </c>
      <c r="V103" s="2393">
        <v>0.18336433696518736</v>
      </c>
      <c r="W103" s="1047"/>
      <c r="X103" s="1214">
        <v>1357</v>
      </c>
      <c r="Y103" s="1214">
        <v>1141</v>
      </c>
      <c r="Z103" s="1214">
        <v>1363</v>
      </c>
      <c r="AA103" s="1214">
        <v>1436</v>
      </c>
      <c r="AB103" s="1214">
        <v>1378</v>
      </c>
      <c r="AC103" s="1214">
        <v>1605</v>
      </c>
      <c r="AD103" s="1214">
        <v>1367</v>
      </c>
      <c r="AE103" s="1214">
        <v>1497</v>
      </c>
      <c r="AF103" s="1214">
        <v>1442</v>
      </c>
      <c r="AG103" s="1214">
        <v>1406</v>
      </c>
      <c r="AH103" s="1214">
        <v>1439</v>
      </c>
      <c r="AI103" s="1214">
        <v>1387</v>
      </c>
      <c r="AJ103" s="1140">
        <v>1570</v>
      </c>
      <c r="AK103" s="1140">
        <v>1584</v>
      </c>
      <c r="AL103" s="1359">
        <v>1710</v>
      </c>
      <c r="AM103" s="1137">
        <v>1644</v>
      </c>
      <c r="AN103" s="2169">
        <v>1464</v>
      </c>
      <c r="AO103" s="1359">
        <v>1460</v>
      </c>
      <c r="AP103" s="2398">
        <v>1380</v>
      </c>
    </row>
    <row r="104" spans="1:42" x14ac:dyDescent="0.3">
      <c r="A104" s="349" t="s">
        <v>54</v>
      </c>
      <c r="B104" s="350" t="s">
        <v>55</v>
      </c>
      <c r="C104" s="357" t="s">
        <v>252</v>
      </c>
      <c r="D104" s="354">
        <v>0.10400000000000001</v>
      </c>
      <c r="E104" s="355">
        <v>9.7000000000000003E-2</v>
      </c>
      <c r="F104" s="355">
        <v>0.111</v>
      </c>
      <c r="G104" s="355">
        <v>0.124</v>
      </c>
      <c r="H104" s="355">
        <v>0.11199999999999999</v>
      </c>
      <c r="I104" s="355">
        <v>9.2999999999999999E-2</v>
      </c>
      <c r="J104" s="355">
        <v>9.2999999999999999E-2</v>
      </c>
      <c r="K104" s="355">
        <v>0.109</v>
      </c>
      <c r="L104" s="355">
        <v>0.10999999999999999</v>
      </c>
      <c r="M104" s="355">
        <v>0.104</v>
      </c>
      <c r="N104" s="356">
        <v>0.114</v>
      </c>
      <c r="O104" s="356">
        <v>0.13500000000000001</v>
      </c>
      <c r="P104" s="356">
        <v>0.14399999999999999</v>
      </c>
      <c r="Q104" s="1217">
        <v>0.12580857850562219</v>
      </c>
      <c r="R104" s="1352">
        <v>0.14035429929246537</v>
      </c>
      <c r="S104" s="1217">
        <v>0.13944584921115424</v>
      </c>
      <c r="T104" s="2166">
        <v>0.1292781031684426</v>
      </c>
      <c r="U104" s="1352">
        <v>0.13998579176268777</v>
      </c>
      <c r="V104" s="2393">
        <v>0.11911376580080567</v>
      </c>
      <c r="W104" s="1047"/>
      <c r="X104" s="1214">
        <v>5930</v>
      </c>
      <c r="Y104" s="1214">
        <v>5513</v>
      </c>
      <c r="Z104" s="1214">
        <v>6438</v>
      </c>
      <c r="AA104" s="1214">
        <v>7178</v>
      </c>
      <c r="AB104" s="1214">
        <v>6550</v>
      </c>
      <c r="AC104" s="1214">
        <v>5357</v>
      </c>
      <c r="AD104" s="1214">
        <v>5276</v>
      </c>
      <c r="AE104" s="1214">
        <v>6136</v>
      </c>
      <c r="AF104" s="1214">
        <v>6087</v>
      </c>
      <c r="AG104" s="1214">
        <v>5937</v>
      </c>
      <c r="AH104" s="1214">
        <v>6512</v>
      </c>
      <c r="AI104" s="1214">
        <v>7653</v>
      </c>
      <c r="AJ104" s="1140">
        <v>8034</v>
      </c>
      <c r="AK104" s="1140">
        <v>7060</v>
      </c>
      <c r="AL104" s="1359">
        <v>7915</v>
      </c>
      <c r="AM104" s="1137">
        <v>7831</v>
      </c>
      <c r="AN104" s="2169">
        <v>7328</v>
      </c>
      <c r="AO104" s="1359">
        <v>8079</v>
      </c>
      <c r="AP104" s="2398">
        <v>6860</v>
      </c>
    </row>
    <row r="105" spans="1:42" x14ac:dyDescent="0.3">
      <c r="A105" s="349" t="s">
        <v>66</v>
      </c>
      <c r="B105" s="350" t="s">
        <v>67</v>
      </c>
      <c r="C105" s="357" t="s">
        <v>253</v>
      </c>
      <c r="D105" s="354">
        <v>0.26300000000000001</v>
      </c>
      <c r="E105" s="355">
        <v>0.251</v>
      </c>
      <c r="F105" s="355">
        <v>0.27800000000000002</v>
      </c>
      <c r="G105" s="355">
        <v>0.307</v>
      </c>
      <c r="H105" s="355">
        <v>0.28100000000000003</v>
      </c>
      <c r="I105" s="355">
        <v>0.35100000000000003</v>
      </c>
      <c r="J105" s="355">
        <v>0.35700000000000004</v>
      </c>
      <c r="K105" s="355">
        <v>0.37000000000000005</v>
      </c>
      <c r="L105" s="355">
        <v>0.32400000000000001</v>
      </c>
      <c r="M105" s="355">
        <v>0.37600000000000006</v>
      </c>
      <c r="N105" s="356">
        <v>0.41700000000000004</v>
      </c>
      <c r="O105" s="356">
        <v>0.41299999999999998</v>
      </c>
      <c r="P105" s="356">
        <v>0.40600000000000003</v>
      </c>
      <c r="Q105" s="1217">
        <v>0.39083789292994314</v>
      </c>
      <c r="R105" s="1352">
        <v>0.36625161013310431</v>
      </c>
      <c r="S105" s="1217">
        <v>0.39376988044312822</v>
      </c>
      <c r="T105" s="2166">
        <v>0.3755048575483026</v>
      </c>
      <c r="U105" s="1352">
        <v>0.38495031818689296</v>
      </c>
      <c r="V105" s="2393">
        <v>0.38096335561189215</v>
      </c>
      <c r="W105" s="1047"/>
      <c r="X105" s="1214">
        <v>2860</v>
      </c>
      <c r="Y105" s="1214">
        <v>2683</v>
      </c>
      <c r="Z105" s="1214">
        <v>2994</v>
      </c>
      <c r="AA105" s="1214">
        <v>3217</v>
      </c>
      <c r="AB105" s="1214">
        <v>2948</v>
      </c>
      <c r="AC105" s="1214">
        <v>3628</v>
      </c>
      <c r="AD105" s="1214">
        <v>3560</v>
      </c>
      <c r="AE105" s="1214">
        <v>3593</v>
      </c>
      <c r="AF105" s="1214">
        <v>3075</v>
      </c>
      <c r="AG105" s="1214">
        <v>3443</v>
      </c>
      <c r="AH105" s="1214">
        <v>3778</v>
      </c>
      <c r="AI105" s="1214">
        <v>3791</v>
      </c>
      <c r="AJ105" s="1140">
        <v>3798</v>
      </c>
      <c r="AK105" s="1140">
        <v>3643</v>
      </c>
      <c r="AL105" s="1359">
        <v>3412</v>
      </c>
      <c r="AM105" s="1137">
        <v>3590</v>
      </c>
      <c r="AN105" s="2169">
        <v>3440</v>
      </c>
      <c r="AO105" s="1359">
        <v>3448</v>
      </c>
      <c r="AP105" s="2398">
        <v>3306</v>
      </c>
    </row>
    <row r="106" spans="1:42" x14ac:dyDescent="0.3">
      <c r="A106" s="349" t="s">
        <v>82</v>
      </c>
      <c r="B106" s="350" t="s">
        <v>83</v>
      </c>
      <c r="C106" s="357" t="s">
        <v>252</v>
      </c>
      <c r="D106" s="354">
        <v>0.27700000000000002</v>
      </c>
      <c r="E106" s="355">
        <v>0.23399999999999999</v>
      </c>
      <c r="F106" s="355">
        <v>0.26400000000000001</v>
      </c>
      <c r="G106" s="355">
        <v>0.27199999999999996</v>
      </c>
      <c r="H106" s="355">
        <v>0.23600000000000002</v>
      </c>
      <c r="I106" s="355">
        <v>0.30299999999999999</v>
      </c>
      <c r="J106" s="355">
        <v>0.26900000000000002</v>
      </c>
      <c r="K106" s="355">
        <v>0.28999999999999998</v>
      </c>
      <c r="L106" s="355">
        <v>0.28200000000000003</v>
      </c>
      <c r="M106" s="355">
        <v>0.28600000000000003</v>
      </c>
      <c r="N106" s="356">
        <v>0.33200000000000002</v>
      </c>
      <c r="O106" s="356">
        <v>0.33700000000000002</v>
      </c>
      <c r="P106" s="356">
        <v>0.33100000000000002</v>
      </c>
      <c r="Q106" s="1217">
        <v>0.36555199267063676</v>
      </c>
      <c r="R106" s="1352">
        <v>0.34682860998650472</v>
      </c>
      <c r="S106" s="1217">
        <v>0.35228331780055916</v>
      </c>
      <c r="T106" s="2166">
        <v>0.33811475409836067</v>
      </c>
      <c r="U106" s="1352">
        <v>0.35136527563111797</v>
      </c>
      <c r="V106" s="2393">
        <v>0.34112646121147716</v>
      </c>
      <c r="W106" s="1047"/>
      <c r="X106" s="1214">
        <v>569</v>
      </c>
      <c r="Y106" s="1214">
        <v>472</v>
      </c>
      <c r="Z106" s="1214">
        <v>542</v>
      </c>
      <c r="AA106" s="1214">
        <v>583</v>
      </c>
      <c r="AB106" s="1214">
        <v>517</v>
      </c>
      <c r="AC106" s="1214">
        <v>654</v>
      </c>
      <c r="AD106" s="1214">
        <v>586</v>
      </c>
      <c r="AE106" s="1214">
        <v>652</v>
      </c>
      <c r="AF106" s="1214">
        <v>621</v>
      </c>
      <c r="AG106" s="1214">
        <v>635</v>
      </c>
      <c r="AH106" s="1214">
        <v>671</v>
      </c>
      <c r="AI106" s="1214">
        <v>688</v>
      </c>
      <c r="AJ106" s="1140">
        <v>689</v>
      </c>
      <c r="AK106" s="1140">
        <v>798</v>
      </c>
      <c r="AL106" s="1359">
        <v>771</v>
      </c>
      <c r="AM106" s="1137">
        <v>756</v>
      </c>
      <c r="AN106" s="2169">
        <v>660</v>
      </c>
      <c r="AO106" s="1359">
        <v>682</v>
      </c>
      <c r="AP106" s="2398">
        <v>642</v>
      </c>
    </row>
    <row r="107" spans="1:42" x14ac:dyDescent="0.3">
      <c r="A107" s="349" t="s">
        <v>88</v>
      </c>
      <c r="B107" s="350" t="s">
        <v>89</v>
      </c>
      <c r="C107" s="357" t="s">
        <v>255</v>
      </c>
      <c r="D107" s="354">
        <v>0.17899999999999999</v>
      </c>
      <c r="E107" s="355">
        <v>0.156</v>
      </c>
      <c r="F107" s="355">
        <v>0.18</v>
      </c>
      <c r="G107" s="355">
        <v>0.19699999999999998</v>
      </c>
      <c r="H107" s="355">
        <v>0.18100000000000002</v>
      </c>
      <c r="I107" s="355">
        <v>0.20799999999999999</v>
      </c>
      <c r="J107" s="355">
        <v>0.20200000000000001</v>
      </c>
      <c r="K107" s="355">
        <v>0.193</v>
      </c>
      <c r="L107" s="355">
        <v>0.20300000000000001</v>
      </c>
      <c r="M107" s="355">
        <v>0.23199999999999998</v>
      </c>
      <c r="N107" s="356">
        <v>0.23399999999999999</v>
      </c>
      <c r="O107" s="356">
        <v>0.22899999999999998</v>
      </c>
      <c r="P107" s="356">
        <v>0.21199999999999999</v>
      </c>
      <c r="Q107" s="1217">
        <v>0.23028334235697528</v>
      </c>
      <c r="R107" s="1352">
        <v>0.23432755849258796</v>
      </c>
      <c r="S107" s="1217">
        <v>0.22798019101521047</v>
      </c>
      <c r="T107" s="2166">
        <v>0.20204825551119598</v>
      </c>
      <c r="U107" s="1352">
        <v>0.20255602240896359</v>
      </c>
      <c r="V107" s="2393">
        <v>0.21207508878741754</v>
      </c>
      <c r="W107" s="1047"/>
      <c r="X107" s="1214">
        <v>646</v>
      </c>
      <c r="Y107" s="1214">
        <v>583</v>
      </c>
      <c r="Z107" s="1214">
        <v>715</v>
      </c>
      <c r="AA107" s="1214">
        <v>830</v>
      </c>
      <c r="AB107" s="1214">
        <v>765</v>
      </c>
      <c r="AC107" s="1214">
        <v>871</v>
      </c>
      <c r="AD107" s="1214">
        <v>868</v>
      </c>
      <c r="AE107" s="1214">
        <v>911</v>
      </c>
      <c r="AF107" s="1214">
        <v>995</v>
      </c>
      <c r="AG107" s="1214">
        <v>1060</v>
      </c>
      <c r="AH107" s="1214">
        <v>1092</v>
      </c>
      <c r="AI107" s="1214">
        <v>1183</v>
      </c>
      <c r="AJ107" s="1140">
        <v>1181</v>
      </c>
      <c r="AK107" s="1140">
        <v>1276</v>
      </c>
      <c r="AL107" s="1359">
        <v>1312</v>
      </c>
      <c r="AM107" s="1137">
        <v>1289</v>
      </c>
      <c r="AN107" s="2169">
        <v>1164</v>
      </c>
      <c r="AO107" s="1359">
        <v>1157</v>
      </c>
      <c r="AP107" s="2398">
        <v>1254</v>
      </c>
    </row>
    <row r="108" spans="1:42" x14ac:dyDescent="0.3">
      <c r="A108" s="349" t="s">
        <v>90</v>
      </c>
      <c r="B108" s="350" t="s">
        <v>91</v>
      </c>
      <c r="C108" s="357" t="s">
        <v>256</v>
      </c>
      <c r="D108" s="354">
        <v>0.26899999999999996</v>
      </c>
      <c r="E108" s="355">
        <v>0.24399999999999997</v>
      </c>
      <c r="F108" s="355">
        <v>0.26</v>
      </c>
      <c r="G108" s="355">
        <v>0.29600000000000004</v>
      </c>
      <c r="H108" s="355">
        <v>0.24899999999999997</v>
      </c>
      <c r="I108" s="355">
        <v>0.29499999999999998</v>
      </c>
      <c r="J108" s="355">
        <v>0.29799999999999999</v>
      </c>
      <c r="K108" s="355">
        <v>0.29399999999999998</v>
      </c>
      <c r="L108" s="355">
        <v>0.32400000000000001</v>
      </c>
      <c r="M108" s="355">
        <v>0.34299999999999997</v>
      </c>
      <c r="N108" s="356">
        <v>0.35899999999999999</v>
      </c>
      <c r="O108" s="356">
        <v>0.373</v>
      </c>
      <c r="P108" s="356">
        <v>0.36399999999999999</v>
      </c>
      <c r="Q108" s="1217">
        <v>0.36742192284139619</v>
      </c>
      <c r="R108" s="1352">
        <v>0.34785238959467635</v>
      </c>
      <c r="S108" s="1217">
        <v>0.36538461538461536</v>
      </c>
      <c r="T108" s="2166">
        <v>0.34270414993306558</v>
      </c>
      <c r="U108" s="1352">
        <v>0.35372714486638535</v>
      </c>
      <c r="V108" s="2393">
        <v>0.34687953555878082</v>
      </c>
      <c r="W108" s="1047"/>
      <c r="X108" s="1214">
        <v>412</v>
      </c>
      <c r="Y108" s="1214">
        <v>376</v>
      </c>
      <c r="Z108" s="1214">
        <v>408</v>
      </c>
      <c r="AA108" s="1214">
        <v>464</v>
      </c>
      <c r="AB108" s="1214">
        <v>390</v>
      </c>
      <c r="AC108" s="1214">
        <v>456</v>
      </c>
      <c r="AD108" s="1214">
        <v>459</v>
      </c>
      <c r="AE108" s="1214">
        <v>453</v>
      </c>
      <c r="AF108" s="1214">
        <v>502</v>
      </c>
      <c r="AG108" s="1214">
        <v>533</v>
      </c>
      <c r="AH108" s="1214">
        <v>541</v>
      </c>
      <c r="AI108" s="1214">
        <v>565</v>
      </c>
      <c r="AJ108" s="1140">
        <v>562</v>
      </c>
      <c r="AK108" s="1140">
        <v>600</v>
      </c>
      <c r="AL108" s="1359">
        <v>575</v>
      </c>
      <c r="AM108" s="1137">
        <v>589</v>
      </c>
      <c r="AN108" s="2169">
        <v>512</v>
      </c>
      <c r="AO108" s="1359">
        <v>503</v>
      </c>
      <c r="AP108" s="2398">
        <v>478</v>
      </c>
    </row>
    <row r="109" spans="1:42" x14ac:dyDescent="0.3">
      <c r="A109" s="349" t="s">
        <v>106</v>
      </c>
      <c r="B109" s="350" t="s">
        <v>107</v>
      </c>
      <c r="C109" s="357" t="s">
        <v>252</v>
      </c>
      <c r="D109" s="354">
        <v>0.17500000000000002</v>
      </c>
      <c r="E109" s="355">
        <v>0.16300000000000001</v>
      </c>
      <c r="F109" s="355">
        <v>0.18</v>
      </c>
      <c r="G109" s="355">
        <v>0.18699999999999997</v>
      </c>
      <c r="H109" s="355">
        <v>0.17399999999999999</v>
      </c>
      <c r="I109" s="355">
        <v>0.20300000000000001</v>
      </c>
      <c r="J109" s="355">
        <v>0.16899999999999998</v>
      </c>
      <c r="K109" s="355">
        <v>0.19800000000000001</v>
      </c>
      <c r="L109" s="355">
        <v>0.19899999999999998</v>
      </c>
      <c r="M109" s="355">
        <v>0.20699999999999999</v>
      </c>
      <c r="N109" s="356">
        <v>0.20300000000000001</v>
      </c>
      <c r="O109" s="356">
        <v>0.23699999999999999</v>
      </c>
      <c r="P109" s="356">
        <v>0.253</v>
      </c>
      <c r="Q109" s="1217">
        <v>0.22343621961212784</v>
      </c>
      <c r="R109" s="1352">
        <v>0.2159420784809262</v>
      </c>
      <c r="S109" s="1217">
        <v>0.23530225480702724</v>
      </c>
      <c r="T109" s="2166">
        <v>0.23470573732962349</v>
      </c>
      <c r="U109" s="1352">
        <v>0.23524542968187706</v>
      </c>
      <c r="V109" s="2393">
        <v>0.23737428747776204</v>
      </c>
      <c r="W109" s="1047"/>
      <c r="X109" s="1214">
        <v>6095</v>
      </c>
      <c r="Y109" s="1214">
        <v>5622</v>
      </c>
      <c r="Z109" s="1214">
        <v>6355</v>
      </c>
      <c r="AA109" s="1214">
        <v>6489</v>
      </c>
      <c r="AB109" s="1214">
        <v>5995</v>
      </c>
      <c r="AC109" s="1214">
        <v>6926</v>
      </c>
      <c r="AD109" s="1214">
        <v>5650</v>
      </c>
      <c r="AE109" s="1214">
        <v>6578</v>
      </c>
      <c r="AF109" s="1214">
        <v>6452</v>
      </c>
      <c r="AG109" s="1214">
        <v>6526</v>
      </c>
      <c r="AH109" s="1214">
        <v>6225</v>
      </c>
      <c r="AI109" s="1214">
        <v>7163</v>
      </c>
      <c r="AJ109" s="1140">
        <v>7560</v>
      </c>
      <c r="AK109" s="1140">
        <v>6544</v>
      </c>
      <c r="AL109" s="1359">
        <v>6323</v>
      </c>
      <c r="AM109" s="1137">
        <v>6804</v>
      </c>
      <c r="AN109" s="2169">
        <v>6664</v>
      </c>
      <c r="AO109" s="1359">
        <v>6537</v>
      </c>
      <c r="AP109" s="2398">
        <v>6538</v>
      </c>
    </row>
    <row r="110" spans="1:42" x14ac:dyDescent="0.3">
      <c r="A110" s="349" t="s">
        <v>116</v>
      </c>
      <c r="B110" s="350" t="s">
        <v>117</v>
      </c>
      <c r="C110" s="357" t="s">
        <v>254</v>
      </c>
      <c r="D110" s="354">
        <v>0.22800000000000001</v>
      </c>
      <c r="E110" s="355">
        <v>0.20200000000000001</v>
      </c>
      <c r="F110" s="355">
        <v>0.24200000000000002</v>
      </c>
      <c r="G110" s="355">
        <v>0.26</v>
      </c>
      <c r="H110" s="355">
        <v>0.219</v>
      </c>
      <c r="I110" s="355">
        <v>0.26600000000000001</v>
      </c>
      <c r="J110" s="355">
        <v>0.26100000000000001</v>
      </c>
      <c r="K110" s="355">
        <v>0.24500000000000002</v>
      </c>
      <c r="L110" s="355">
        <v>0.27</v>
      </c>
      <c r="M110" s="355">
        <v>0.29500000000000004</v>
      </c>
      <c r="N110" s="356">
        <v>0.27499999999999997</v>
      </c>
      <c r="O110" s="356">
        <v>0.30199999999999999</v>
      </c>
      <c r="P110" s="356">
        <v>0.29799999999999999</v>
      </c>
      <c r="Q110" s="1217">
        <v>0.34282544378698226</v>
      </c>
      <c r="R110" s="1352">
        <v>0.31276093664911964</v>
      </c>
      <c r="S110" s="1217">
        <v>0.33673104434907009</v>
      </c>
      <c r="T110" s="2166">
        <v>0.30967630257919337</v>
      </c>
      <c r="U110" s="1352">
        <v>0.3253871585174874</v>
      </c>
      <c r="V110" s="2393">
        <v>0.30923344947735193</v>
      </c>
      <c r="W110" s="1047"/>
      <c r="X110" s="1214">
        <v>1348</v>
      </c>
      <c r="Y110" s="1214">
        <v>1213</v>
      </c>
      <c r="Z110" s="1214">
        <v>1480</v>
      </c>
      <c r="AA110" s="1214">
        <v>1567</v>
      </c>
      <c r="AB110" s="1214">
        <v>1342</v>
      </c>
      <c r="AC110" s="1214">
        <v>1611</v>
      </c>
      <c r="AD110" s="1214">
        <v>1546</v>
      </c>
      <c r="AE110" s="1214">
        <v>1488</v>
      </c>
      <c r="AF110" s="1214">
        <v>1655</v>
      </c>
      <c r="AG110" s="1214">
        <v>1758</v>
      </c>
      <c r="AH110" s="1214">
        <v>1535</v>
      </c>
      <c r="AI110" s="1214">
        <v>1664</v>
      </c>
      <c r="AJ110" s="1140">
        <v>1647</v>
      </c>
      <c r="AK110" s="1140">
        <v>1854</v>
      </c>
      <c r="AL110" s="1359">
        <v>1723</v>
      </c>
      <c r="AM110" s="1137">
        <v>1883</v>
      </c>
      <c r="AN110" s="2169">
        <v>1789</v>
      </c>
      <c r="AO110" s="1359">
        <v>1870</v>
      </c>
      <c r="AP110" s="2398">
        <v>1775</v>
      </c>
    </row>
    <row r="111" spans="1:42" x14ac:dyDescent="0.3">
      <c r="A111" s="349" t="s">
        <v>138</v>
      </c>
      <c r="B111" s="350" t="s">
        <v>139</v>
      </c>
      <c r="C111" s="357" t="s">
        <v>253</v>
      </c>
      <c r="D111" s="354">
        <v>0.2</v>
      </c>
      <c r="E111" s="355">
        <v>0.19699999999999998</v>
      </c>
      <c r="F111" s="355">
        <v>0.23500000000000001</v>
      </c>
      <c r="G111" s="355">
        <v>0.253</v>
      </c>
      <c r="H111" s="355">
        <v>0.23100000000000001</v>
      </c>
      <c r="I111" s="355">
        <v>0.25399999999999995</v>
      </c>
      <c r="J111" s="355">
        <v>0.252</v>
      </c>
      <c r="K111" s="355">
        <v>0.27699999999999997</v>
      </c>
      <c r="L111" s="355">
        <v>0.24</v>
      </c>
      <c r="M111" s="355">
        <v>0.26600000000000001</v>
      </c>
      <c r="N111" s="356">
        <v>0.29599999999999999</v>
      </c>
      <c r="O111" s="356">
        <v>0.252</v>
      </c>
      <c r="P111" s="356">
        <v>0.29299999999999998</v>
      </c>
      <c r="Q111" s="1217">
        <v>0.29990634198554988</v>
      </c>
      <c r="R111" s="1352">
        <v>0.31687536495166418</v>
      </c>
      <c r="S111" s="1217">
        <v>0.28444121724206217</v>
      </c>
      <c r="T111" s="2166">
        <v>0.24510129525074725</v>
      </c>
      <c r="U111" s="1352">
        <v>0.25022854904009401</v>
      </c>
      <c r="V111" s="2393">
        <v>0.25099781125273596</v>
      </c>
      <c r="W111" s="1047"/>
      <c r="X111" s="1214">
        <v>2811</v>
      </c>
      <c r="Y111" s="1214">
        <v>2742</v>
      </c>
      <c r="Z111" s="1214">
        <v>3339</v>
      </c>
      <c r="AA111" s="1214">
        <v>3579</v>
      </c>
      <c r="AB111" s="1214">
        <v>3266</v>
      </c>
      <c r="AC111" s="1214">
        <v>3540</v>
      </c>
      <c r="AD111" s="1214">
        <v>3488</v>
      </c>
      <c r="AE111" s="1214">
        <v>4018</v>
      </c>
      <c r="AF111" s="1214">
        <v>3522</v>
      </c>
      <c r="AG111" s="1214">
        <v>3857</v>
      </c>
      <c r="AH111" s="1214">
        <v>4267</v>
      </c>
      <c r="AI111" s="1214">
        <v>3687</v>
      </c>
      <c r="AJ111" s="1140">
        <v>4341</v>
      </c>
      <c r="AK111" s="1140">
        <v>4483</v>
      </c>
      <c r="AL111" s="1359">
        <v>4884</v>
      </c>
      <c r="AM111" s="1137">
        <v>4309</v>
      </c>
      <c r="AN111" s="2169">
        <v>3690</v>
      </c>
      <c r="AO111" s="1359">
        <v>3832</v>
      </c>
      <c r="AP111" s="2398">
        <v>3899</v>
      </c>
    </row>
    <row r="112" spans="1:42" x14ac:dyDescent="0.3">
      <c r="A112" s="349" t="s">
        <v>142</v>
      </c>
      <c r="B112" s="350" t="s">
        <v>143</v>
      </c>
      <c r="C112" s="357" t="s">
        <v>255</v>
      </c>
      <c r="D112" s="354">
        <v>8.1000000000000003E-2</v>
      </c>
      <c r="E112" s="355">
        <v>7.5000000000000011E-2</v>
      </c>
      <c r="F112" s="355">
        <v>8.3999999999999991E-2</v>
      </c>
      <c r="G112" s="355">
        <v>9.5000000000000001E-2</v>
      </c>
      <c r="H112" s="355">
        <v>9.3000000000000013E-2</v>
      </c>
      <c r="I112" s="355">
        <v>9.1999999999999985E-2</v>
      </c>
      <c r="J112" s="355">
        <v>9.8000000000000004E-2</v>
      </c>
      <c r="K112" s="355">
        <v>0.13099999999999998</v>
      </c>
      <c r="L112" s="355">
        <v>0.13100000000000001</v>
      </c>
      <c r="M112" s="355">
        <v>0.14599999999999999</v>
      </c>
      <c r="N112" s="356">
        <v>0.17899999999999999</v>
      </c>
      <c r="O112" s="356">
        <v>0.16699999999999998</v>
      </c>
      <c r="P112" s="356">
        <v>0.17299999999999999</v>
      </c>
      <c r="Q112" s="1217">
        <v>0.167420814479638</v>
      </c>
      <c r="R112" s="1352">
        <v>0.1635738209468634</v>
      </c>
      <c r="S112" s="1217">
        <v>0.15432041961903009</v>
      </c>
      <c r="T112" s="2166">
        <v>0.15744203440538518</v>
      </c>
      <c r="U112" s="1352">
        <v>0.1421691210521441</v>
      </c>
      <c r="V112" s="2393">
        <v>0.1469050894085282</v>
      </c>
      <c r="W112" s="1047"/>
      <c r="X112" s="1214">
        <v>862</v>
      </c>
      <c r="Y112" s="1214">
        <v>803</v>
      </c>
      <c r="Z112" s="1214">
        <v>919</v>
      </c>
      <c r="AA112" s="1214">
        <v>1055</v>
      </c>
      <c r="AB112" s="1214">
        <v>1038</v>
      </c>
      <c r="AC112" s="1214">
        <v>1017</v>
      </c>
      <c r="AD112" s="1214">
        <v>1022</v>
      </c>
      <c r="AE112" s="1214">
        <v>1324</v>
      </c>
      <c r="AF112" s="1214">
        <v>1308</v>
      </c>
      <c r="AG112" s="1214">
        <v>1504</v>
      </c>
      <c r="AH112" s="1214">
        <v>1888</v>
      </c>
      <c r="AI112" s="1214">
        <v>1790</v>
      </c>
      <c r="AJ112" s="1140">
        <v>1882</v>
      </c>
      <c r="AK112" s="1140">
        <v>1850</v>
      </c>
      <c r="AL112" s="1359">
        <v>1807</v>
      </c>
      <c r="AM112" s="1137">
        <v>1677</v>
      </c>
      <c r="AN112" s="2169">
        <v>1684</v>
      </c>
      <c r="AO112" s="1359">
        <v>1535</v>
      </c>
      <c r="AP112" s="2398">
        <v>1602</v>
      </c>
    </row>
    <row r="113" spans="1:43" x14ac:dyDescent="0.3">
      <c r="A113" s="349" t="s">
        <v>144</v>
      </c>
      <c r="B113" s="350" t="s">
        <v>145</v>
      </c>
      <c r="C113" s="357" t="s">
        <v>255</v>
      </c>
      <c r="D113" s="354">
        <v>8.3000000000000004E-2</v>
      </c>
      <c r="E113" s="355">
        <v>7.2999999999999995E-2</v>
      </c>
      <c r="F113" s="355">
        <v>8.4000000000000005E-2</v>
      </c>
      <c r="G113" s="355">
        <v>9.1999999999999998E-2</v>
      </c>
      <c r="H113" s="355">
        <v>7.6999999999999999E-2</v>
      </c>
      <c r="I113" s="355">
        <v>8.6999999999999994E-2</v>
      </c>
      <c r="J113" s="355">
        <v>9.2999999999999999E-2</v>
      </c>
      <c r="K113" s="355">
        <v>0.1</v>
      </c>
      <c r="L113" s="355">
        <v>0.113</v>
      </c>
      <c r="M113" s="355">
        <v>0.126</v>
      </c>
      <c r="N113" s="356">
        <v>0.13599999999999998</v>
      </c>
      <c r="O113" s="356">
        <v>0.14199999999999999</v>
      </c>
      <c r="P113" s="356">
        <v>0.14199999999999999</v>
      </c>
      <c r="Q113" s="1217">
        <v>0.13747954173486088</v>
      </c>
      <c r="R113" s="1352">
        <v>0.14706677480400107</v>
      </c>
      <c r="S113" s="1217">
        <v>0.12679969689315485</v>
      </c>
      <c r="T113" s="2166">
        <v>0.12809607205404053</v>
      </c>
      <c r="U113" s="1352">
        <v>0.11362480935434673</v>
      </c>
      <c r="V113" s="2393">
        <v>0.11867501304121023</v>
      </c>
      <c r="W113" s="1047"/>
      <c r="X113" s="1214">
        <v>275</v>
      </c>
      <c r="Y113" s="1214">
        <v>250</v>
      </c>
      <c r="Z113" s="1214">
        <v>293</v>
      </c>
      <c r="AA113" s="1214">
        <v>339</v>
      </c>
      <c r="AB113" s="1214">
        <v>286</v>
      </c>
      <c r="AC113" s="1214">
        <v>319</v>
      </c>
      <c r="AD113" s="1214">
        <v>349</v>
      </c>
      <c r="AE113" s="1214">
        <v>363</v>
      </c>
      <c r="AF113" s="1214">
        <v>409</v>
      </c>
      <c r="AG113" s="1214">
        <v>452</v>
      </c>
      <c r="AH113" s="1214">
        <v>546</v>
      </c>
      <c r="AI113" s="1214">
        <v>615</v>
      </c>
      <c r="AJ113" s="1140">
        <v>618</v>
      </c>
      <c r="AK113" s="1140">
        <v>588</v>
      </c>
      <c r="AL113" s="1359">
        <v>544</v>
      </c>
      <c r="AM113" s="1137">
        <v>502</v>
      </c>
      <c r="AN113" s="2169">
        <v>512</v>
      </c>
      <c r="AO113" s="1359">
        <v>447</v>
      </c>
      <c r="AP113" s="2398">
        <v>455</v>
      </c>
    </row>
    <row r="114" spans="1:43" x14ac:dyDescent="0.3">
      <c r="A114" s="349" t="s">
        <v>158</v>
      </c>
      <c r="B114" s="350" t="s">
        <v>159</v>
      </c>
      <c r="C114" s="357" t="s">
        <v>252</v>
      </c>
      <c r="D114" s="354">
        <v>0.188</v>
      </c>
      <c r="E114" s="355">
        <v>0.17100000000000001</v>
      </c>
      <c r="F114" s="355">
        <v>0.192</v>
      </c>
      <c r="G114" s="355">
        <v>0.19899999999999998</v>
      </c>
      <c r="H114" s="355">
        <v>0.18399999999999997</v>
      </c>
      <c r="I114" s="355">
        <v>0.21199999999999999</v>
      </c>
      <c r="J114" s="355">
        <v>0.189</v>
      </c>
      <c r="K114" s="355">
        <v>0.20799999999999999</v>
      </c>
      <c r="L114" s="355">
        <v>0.19399999999999998</v>
      </c>
      <c r="M114" s="355">
        <v>0.20600000000000002</v>
      </c>
      <c r="N114" s="356">
        <v>0.23300000000000001</v>
      </c>
      <c r="O114" s="356">
        <v>0.22699999999999998</v>
      </c>
      <c r="P114" s="356">
        <v>0.253</v>
      </c>
      <c r="Q114" s="1217">
        <v>0.27058684335068622</v>
      </c>
      <c r="R114" s="1352">
        <v>0.25797903802020489</v>
      </c>
      <c r="S114" s="1217">
        <v>0.25742337164750956</v>
      </c>
      <c r="T114" s="2166">
        <v>0.21105819210405435</v>
      </c>
      <c r="U114" s="1352">
        <v>0.25165983206405002</v>
      </c>
      <c r="V114" s="2393">
        <v>0.21677578752316246</v>
      </c>
      <c r="W114" s="1047"/>
      <c r="X114" s="1214">
        <v>9366</v>
      </c>
      <c r="Y114" s="1214">
        <v>8608</v>
      </c>
      <c r="Z114" s="1214">
        <v>10012</v>
      </c>
      <c r="AA114" s="1214">
        <v>10363</v>
      </c>
      <c r="AB114" s="1214">
        <v>9610</v>
      </c>
      <c r="AC114" s="1214">
        <v>10934</v>
      </c>
      <c r="AD114" s="1214">
        <v>9486</v>
      </c>
      <c r="AE114" s="1214">
        <v>10346</v>
      </c>
      <c r="AF114" s="1214">
        <v>9552</v>
      </c>
      <c r="AG114" s="1214">
        <v>9976</v>
      </c>
      <c r="AH114" s="1214">
        <v>10038</v>
      </c>
      <c r="AI114" s="1214">
        <v>9700</v>
      </c>
      <c r="AJ114" s="1140">
        <v>10744</v>
      </c>
      <c r="AK114" s="1140">
        <v>11435</v>
      </c>
      <c r="AL114" s="1359">
        <v>10904</v>
      </c>
      <c r="AM114" s="1137">
        <v>10750</v>
      </c>
      <c r="AN114" s="2169">
        <v>8730</v>
      </c>
      <c r="AO114" s="1359">
        <v>10310</v>
      </c>
      <c r="AP114" s="2398">
        <v>8774</v>
      </c>
    </row>
    <row r="115" spans="1:43" x14ac:dyDescent="0.3">
      <c r="A115" s="349" t="s">
        <v>160</v>
      </c>
      <c r="B115" s="350" t="s">
        <v>161</v>
      </c>
      <c r="C115" s="357" t="s">
        <v>252</v>
      </c>
      <c r="D115" s="354">
        <v>0.26399999999999996</v>
      </c>
      <c r="E115" s="355">
        <v>0.24100000000000002</v>
      </c>
      <c r="F115" s="355">
        <v>0.26200000000000001</v>
      </c>
      <c r="G115" s="355">
        <v>0.27100000000000002</v>
      </c>
      <c r="H115" s="355">
        <v>0.24000000000000002</v>
      </c>
      <c r="I115" s="355">
        <v>0.27499999999999997</v>
      </c>
      <c r="J115" s="355">
        <v>0.24000000000000002</v>
      </c>
      <c r="K115" s="355">
        <v>0.24299999999999999</v>
      </c>
      <c r="L115" s="355">
        <v>0.27899999999999997</v>
      </c>
      <c r="M115" s="355">
        <v>0.26700000000000002</v>
      </c>
      <c r="N115" s="356">
        <v>0.255</v>
      </c>
      <c r="O115" s="356">
        <v>0.28000000000000003</v>
      </c>
      <c r="P115" s="356">
        <v>0.27600000000000002</v>
      </c>
      <c r="Q115" s="1217">
        <v>0.33011058193487725</v>
      </c>
      <c r="R115" s="1352">
        <v>0.31745934586113322</v>
      </c>
      <c r="S115" s="1217">
        <v>0.29628789441121883</v>
      </c>
      <c r="T115" s="2166">
        <v>0.31219298975938725</v>
      </c>
      <c r="U115" s="1352">
        <v>0.27900477021035158</v>
      </c>
      <c r="V115" s="2393">
        <v>0.2821153846153846</v>
      </c>
      <c r="W115" s="1047"/>
      <c r="X115" s="1214">
        <v>14823</v>
      </c>
      <c r="Y115" s="1214">
        <v>13868</v>
      </c>
      <c r="Z115" s="1214">
        <v>15592</v>
      </c>
      <c r="AA115" s="1214">
        <v>16014</v>
      </c>
      <c r="AB115" s="1214">
        <v>14146</v>
      </c>
      <c r="AC115" s="1214">
        <v>16042</v>
      </c>
      <c r="AD115" s="1214">
        <v>13864</v>
      </c>
      <c r="AE115" s="1214">
        <v>14375</v>
      </c>
      <c r="AF115" s="1214">
        <v>16416</v>
      </c>
      <c r="AG115" s="1214">
        <v>14190</v>
      </c>
      <c r="AH115" s="1214">
        <v>12663</v>
      </c>
      <c r="AI115" s="1214">
        <v>13951</v>
      </c>
      <c r="AJ115" s="1140">
        <v>13799</v>
      </c>
      <c r="AK115" s="1140">
        <v>16150</v>
      </c>
      <c r="AL115" s="1359">
        <v>15559</v>
      </c>
      <c r="AM115" s="1137">
        <v>14367</v>
      </c>
      <c r="AN115" s="2169">
        <v>14999</v>
      </c>
      <c r="AO115" s="1359">
        <v>13277</v>
      </c>
      <c r="AP115" s="2398">
        <v>13203</v>
      </c>
    </row>
    <row r="116" spans="1:43" x14ac:dyDescent="0.3">
      <c r="A116" s="349" t="s">
        <v>166</v>
      </c>
      <c r="B116" s="350" t="s">
        <v>167</v>
      </c>
      <c r="C116" s="357" t="s">
        <v>256</v>
      </c>
      <c r="D116" s="354">
        <v>0.27100000000000002</v>
      </c>
      <c r="E116" s="355">
        <v>0.25900000000000001</v>
      </c>
      <c r="F116" s="355">
        <v>0.254</v>
      </c>
      <c r="G116" s="355">
        <v>0.28899999999999998</v>
      </c>
      <c r="H116" s="355">
        <v>0.26499999999999996</v>
      </c>
      <c r="I116" s="355">
        <v>0.32600000000000001</v>
      </c>
      <c r="J116" s="355">
        <v>0.28999999999999998</v>
      </c>
      <c r="K116" s="355">
        <v>0.31</v>
      </c>
      <c r="L116" s="355">
        <v>0.32200000000000001</v>
      </c>
      <c r="M116" s="355">
        <v>0.314</v>
      </c>
      <c r="N116" s="356">
        <v>0.316</v>
      </c>
      <c r="O116" s="356">
        <v>0.32100000000000001</v>
      </c>
      <c r="P116" s="356">
        <v>0.312</v>
      </c>
      <c r="Q116" s="1217">
        <v>0.36500579374275782</v>
      </c>
      <c r="R116" s="1352">
        <v>0.32852386237513875</v>
      </c>
      <c r="S116" s="1217">
        <v>0.37485029940119763</v>
      </c>
      <c r="T116" s="2166">
        <v>0.33804627249357327</v>
      </c>
      <c r="U116" s="1352">
        <v>0.33542713567839194</v>
      </c>
      <c r="V116" s="2393">
        <v>0.31347150259067358</v>
      </c>
      <c r="W116" s="1047"/>
      <c r="X116" s="1214">
        <v>231</v>
      </c>
      <c r="Y116" s="1214">
        <v>219</v>
      </c>
      <c r="Z116" s="1214">
        <v>210</v>
      </c>
      <c r="AA116" s="1214">
        <v>221</v>
      </c>
      <c r="AB116" s="1214">
        <v>207</v>
      </c>
      <c r="AC116" s="1214">
        <v>252</v>
      </c>
      <c r="AD116" s="1214">
        <v>211</v>
      </c>
      <c r="AE116" s="1214">
        <v>227</v>
      </c>
      <c r="AF116" s="1214">
        <v>237</v>
      </c>
      <c r="AG116" s="1214">
        <v>232</v>
      </c>
      <c r="AH116" s="1214">
        <v>268</v>
      </c>
      <c r="AI116" s="1214">
        <v>279</v>
      </c>
      <c r="AJ116" s="1140">
        <v>259</v>
      </c>
      <c r="AK116" s="1140">
        <v>315</v>
      </c>
      <c r="AL116" s="1359">
        <v>296</v>
      </c>
      <c r="AM116" s="1137">
        <v>313</v>
      </c>
      <c r="AN116" s="2169">
        <v>263</v>
      </c>
      <c r="AO116" s="1359">
        <v>267</v>
      </c>
      <c r="AP116" s="2398">
        <v>242</v>
      </c>
    </row>
    <row r="117" spans="1:43" x14ac:dyDescent="0.3">
      <c r="A117" s="349" t="s">
        <v>176</v>
      </c>
      <c r="B117" s="350" t="s">
        <v>177</v>
      </c>
      <c r="C117" s="357" t="s">
        <v>254</v>
      </c>
      <c r="D117" s="354">
        <v>0.26600000000000001</v>
      </c>
      <c r="E117" s="355">
        <v>0.247</v>
      </c>
      <c r="F117" s="355">
        <v>0.27100000000000002</v>
      </c>
      <c r="G117" s="355">
        <v>0.28299999999999997</v>
      </c>
      <c r="H117" s="355">
        <v>0.255</v>
      </c>
      <c r="I117" s="355">
        <v>0.308</v>
      </c>
      <c r="J117" s="355">
        <v>0.28499999999999998</v>
      </c>
      <c r="K117" s="355">
        <v>0.28299999999999997</v>
      </c>
      <c r="L117" s="355">
        <v>0.307</v>
      </c>
      <c r="M117" s="355">
        <v>0.34200000000000003</v>
      </c>
      <c r="N117" s="356">
        <v>0.41400000000000003</v>
      </c>
      <c r="O117" s="356">
        <v>0.377</v>
      </c>
      <c r="P117" s="356">
        <v>0.38200000000000001</v>
      </c>
      <c r="Q117" s="1217">
        <v>0.46943295924394568</v>
      </c>
      <c r="R117" s="1352">
        <v>0.37489276522733772</v>
      </c>
      <c r="S117" s="1217">
        <v>0.42969203951191171</v>
      </c>
      <c r="T117" s="2166">
        <v>0.36734077875037729</v>
      </c>
      <c r="U117" s="1352">
        <v>0.34506310319227912</v>
      </c>
      <c r="V117" s="2393">
        <v>0.38867924528301889</v>
      </c>
      <c r="W117" s="1047"/>
      <c r="X117" s="1214">
        <v>2149</v>
      </c>
      <c r="Y117" s="1214">
        <v>2018</v>
      </c>
      <c r="Z117" s="1214">
        <v>2272</v>
      </c>
      <c r="AA117" s="1214">
        <v>2337</v>
      </c>
      <c r="AB117" s="1214">
        <v>2112</v>
      </c>
      <c r="AC117" s="1214">
        <v>2519</v>
      </c>
      <c r="AD117" s="1214">
        <v>2266</v>
      </c>
      <c r="AE117" s="1214">
        <v>2293</v>
      </c>
      <c r="AF117" s="1214">
        <v>2473</v>
      </c>
      <c r="AG117" s="1214">
        <v>2646</v>
      </c>
      <c r="AH117" s="1214">
        <v>2694</v>
      </c>
      <c r="AI117" s="1214">
        <v>2540</v>
      </c>
      <c r="AJ117" s="1140">
        <v>2615</v>
      </c>
      <c r="AK117" s="1140">
        <v>3179</v>
      </c>
      <c r="AL117" s="1359">
        <v>2622</v>
      </c>
      <c r="AM117" s="1137">
        <v>2958</v>
      </c>
      <c r="AN117" s="2169">
        <v>2434</v>
      </c>
      <c r="AO117" s="1359">
        <v>2324</v>
      </c>
      <c r="AP117" s="2398">
        <v>2678</v>
      </c>
    </row>
    <row r="118" spans="1:43" x14ac:dyDescent="0.3">
      <c r="A118" s="349" t="s">
        <v>180</v>
      </c>
      <c r="B118" s="350" t="s">
        <v>181</v>
      </c>
      <c r="C118" s="357" t="s">
        <v>252</v>
      </c>
      <c r="D118" s="354">
        <v>0.23300000000000001</v>
      </c>
      <c r="E118" s="355">
        <v>0.21899999999999997</v>
      </c>
      <c r="F118" s="355">
        <v>0.24100000000000002</v>
      </c>
      <c r="G118" s="355">
        <v>0.251</v>
      </c>
      <c r="H118" s="355">
        <v>0.21600000000000003</v>
      </c>
      <c r="I118" s="355">
        <v>0.27299999999999996</v>
      </c>
      <c r="J118" s="355">
        <v>0.23800000000000002</v>
      </c>
      <c r="K118" s="355">
        <v>0.23500000000000001</v>
      </c>
      <c r="L118" s="355">
        <v>0.28800000000000003</v>
      </c>
      <c r="M118" s="355">
        <v>0.25100000000000006</v>
      </c>
      <c r="N118" s="356">
        <v>0.28500000000000003</v>
      </c>
      <c r="O118" s="356">
        <v>0.28100000000000003</v>
      </c>
      <c r="P118" s="356">
        <v>0.30399999999999999</v>
      </c>
      <c r="Q118" s="1217">
        <v>0.33206280061711591</v>
      </c>
      <c r="R118" s="1352">
        <v>0.28340782632491107</v>
      </c>
      <c r="S118" s="1217">
        <v>0.30528748131031669</v>
      </c>
      <c r="T118" s="2166">
        <v>0.30075430043234291</v>
      </c>
      <c r="U118" s="1352">
        <v>0.30604784600434964</v>
      </c>
      <c r="V118" s="2393">
        <v>0.29086157005507329</v>
      </c>
      <c r="W118" s="1047"/>
      <c r="X118" s="1214">
        <v>5804</v>
      </c>
      <c r="Y118" s="1214">
        <v>5510</v>
      </c>
      <c r="Z118" s="1214">
        <v>6185</v>
      </c>
      <c r="AA118" s="1214">
        <v>6463</v>
      </c>
      <c r="AB118" s="1214">
        <v>5669</v>
      </c>
      <c r="AC118" s="1214">
        <v>7067</v>
      </c>
      <c r="AD118" s="1214">
        <v>6160</v>
      </c>
      <c r="AE118" s="1214">
        <v>6087</v>
      </c>
      <c r="AF118" s="1214">
        <v>7321</v>
      </c>
      <c r="AG118" s="1214">
        <v>5829</v>
      </c>
      <c r="AH118" s="1214">
        <v>6280</v>
      </c>
      <c r="AI118" s="1214">
        <v>6231</v>
      </c>
      <c r="AJ118" s="1140">
        <v>6818</v>
      </c>
      <c r="AK118" s="1140">
        <v>7318</v>
      </c>
      <c r="AL118" s="1359">
        <v>6214</v>
      </c>
      <c r="AM118" s="1137">
        <v>6738</v>
      </c>
      <c r="AN118" s="2169">
        <v>6539</v>
      </c>
      <c r="AO118" s="1359">
        <v>6614</v>
      </c>
      <c r="AP118" s="2398">
        <v>6232</v>
      </c>
    </row>
    <row r="119" spans="1:43" x14ac:dyDescent="0.3">
      <c r="A119" s="349" t="s">
        <v>192</v>
      </c>
      <c r="B119" s="350" t="s">
        <v>193</v>
      </c>
      <c r="C119" s="357" t="s">
        <v>256</v>
      </c>
      <c r="D119" s="354">
        <v>0.13100000000000001</v>
      </c>
      <c r="E119" s="355">
        <v>0.126</v>
      </c>
      <c r="F119" s="355">
        <v>0.158</v>
      </c>
      <c r="G119" s="355">
        <v>0.16</v>
      </c>
      <c r="H119" s="355">
        <v>0.14800000000000002</v>
      </c>
      <c r="I119" s="355">
        <v>0.155</v>
      </c>
      <c r="J119" s="355">
        <v>0.16300000000000001</v>
      </c>
      <c r="K119" s="355">
        <v>0.16699999999999998</v>
      </c>
      <c r="L119" s="355">
        <v>0.16600000000000001</v>
      </c>
      <c r="M119" s="355">
        <v>0.183</v>
      </c>
      <c r="N119" s="356">
        <v>0.193</v>
      </c>
      <c r="O119" s="356">
        <v>0.19399999999999998</v>
      </c>
      <c r="P119" s="356">
        <v>0.20100000000000001</v>
      </c>
      <c r="Q119" s="1217">
        <v>0.20504731861198738</v>
      </c>
      <c r="R119" s="1352">
        <v>0.20581849761181067</v>
      </c>
      <c r="S119" s="1217">
        <v>0.21485411140583555</v>
      </c>
      <c r="T119" s="2166">
        <v>0.19113697403760072</v>
      </c>
      <c r="U119" s="1352">
        <v>0.17531876138433516</v>
      </c>
      <c r="V119" s="2393">
        <v>0.18023255813953487</v>
      </c>
      <c r="W119" s="1047"/>
      <c r="X119" s="1214">
        <v>255</v>
      </c>
      <c r="Y119" s="1214">
        <v>236</v>
      </c>
      <c r="Z119" s="1214">
        <v>285</v>
      </c>
      <c r="AA119" s="1214">
        <v>291</v>
      </c>
      <c r="AB119" s="1214">
        <v>237</v>
      </c>
      <c r="AC119" s="1214">
        <v>245</v>
      </c>
      <c r="AD119" s="1214">
        <v>267</v>
      </c>
      <c r="AE119" s="1214">
        <v>323</v>
      </c>
      <c r="AF119" s="1214">
        <v>331</v>
      </c>
      <c r="AG119" s="1214">
        <v>346</v>
      </c>
      <c r="AH119" s="1214">
        <v>408</v>
      </c>
      <c r="AI119" s="1214">
        <v>391</v>
      </c>
      <c r="AJ119" s="1140">
        <v>489</v>
      </c>
      <c r="AK119" s="1140">
        <v>455</v>
      </c>
      <c r="AL119" s="1359">
        <v>474</v>
      </c>
      <c r="AM119" s="1137">
        <v>486</v>
      </c>
      <c r="AN119" s="2169">
        <v>427</v>
      </c>
      <c r="AO119" s="1359">
        <v>385</v>
      </c>
      <c r="AP119" s="2398">
        <v>403</v>
      </c>
    </row>
    <row r="120" spans="1:43" x14ac:dyDescent="0.3">
      <c r="A120" s="349" t="s">
        <v>196</v>
      </c>
      <c r="B120" s="350" t="s">
        <v>197</v>
      </c>
      <c r="C120" s="357" t="s">
        <v>254</v>
      </c>
      <c r="D120" s="354">
        <v>0.28200000000000003</v>
      </c>
      <c r="E120" s="355">
        <v>0.25700000000000001</v>
      </c>
      <c r="F120" s="355">
        <v>0.29499999999999998</v>
      </c>
      <c r="G120" s="355">
        <v>0.30599999999999999</v>
      </c>
      <c r="H120" s="355">
        <v>0.27499999999999997</v>
      </c>
      <c r="I120" s="355">
        <v>0.29700000000000004</v>
      </c>
      <c r="J120" s="355">
        <v>0.29300000000000004</v>
      </c>
      <c r="K120" s="355">
        <v>0.32299999999999995</v>
      </c>
      <c r="L120" s="355">
        <v>0.35600000000000004</v>
      </c>
      <c r="M120" s="355">
        <v>0.34700000000000003</v>
      </c>
      <c r="N120" s="356">
        <v>0.35000000000000003</v>
      </c>
      <c r="O120" s="356">
        <v>0.36200000000000004</v>
      </c>
      <c r="P120" s="356">
        <v>0.36499999999999999</v>
      </c>
      <c r="Q120" s="1217">
        <v>0.37791192632149212</v>
      </c>
      <c r="R120" s="1352">
        <v>0.38944379658266998</v>
      </c>
      <c r="S120" s="1217">
        <v>0.36339995920864776</v>
      </c>
      <c r="T120" s="2166">
        <v>0.38859311715108136</v>
      </c>
      <c r="U120" s="1352">
        <v>0.35188038289596646</v>
      </c>
      <c r="V120" s="2393">
        <v>0.34511831681907335</v>
      </c>
      <c r="W120" s="1047"/>
      <c r="X120" s="1214">
        <v>11931</v>
      </c>
      <c r="Y120" s="1214">
        <v>10957</v>
      </c>
      <c r="Z120" s="1214">
        <v>12863</v>
      </c>
      <c r="AA120" s="1214">
        <v>13332</v>
      </c>
      <c r="AB120" s="1214">
        <v>12062</v>
      </c>
      <c r="AC120" s="1214">
        <v>12857</v>
      </c>
      <c r="AD120" s="1214">
        <v>12459</v>
      </c>
      <c r="AE120" s="1214">
        <v>14145</v>
      </c>
      <c r="AF120" s="1214">
        <v>15714</v>
      </c>
      <c r="AG120" s="1214">
        <v>13912</v>
      </c>
      <c r="AH120" s="1214">
        <v>13051</v>
      </c>
      <c r="AI120" s="1214">
        <v>14013</v>
      </c>
      <c r="AJ120" s="1140">
        <v>14574</v>
      </c>
      <c r="AK120" s="1140">
        <v>14649</v>
      </c>
      <c r="AL120" s="1359">
        <v>15362</v>
      </c>
      <c r="AM120" s="1137">
        <v>14254</v>
      </c>
      <c r="AN120" s="2169">
        <v>15255</v>
      </c>
      <c r="AO120" s="1359">
        <v>13932</v>
      </c>
      <c r="AP120" s="2398">
        <v>13549</v>
      </c>
    </row>
    <row r="121" spans="1:43" x14ac:dyDescent="0.3">
      <c r="A121" s="349" t="s">
        <v>200</v>
      </c>
      <c r="B121" s="350" t="s">
        <v>201</v>
      </c>
      <c r="C121" s="357" t="s">
        <v>253</v>
      </c>
      <c r="D121" s="354">
        <v>0.23899999999999999</v>
      </c>
      <c r="E121" s="355">
        <v>0.22699999999999998</v>
      </c>
      <c r="F121" s="355">
        <v>0.255</v>
      </c>
      <c r="G121" s="355">
        <v>0.27600000000000002</v>
      </c>
      <c r="H121" s="355">
        <v>0.24300000000000002</v>
      </c>
      <c r="I121" s="355">
        <v>0.25700000000000001</v>
      </c>
      <c r="J121" s="355">
        <v>0.24199999999999999</v>
      </c>
      <c r="K121" s="355">
        <v>0.27600000000000002</v>
      </c>
      <c r="L121" s="355">
        <v>0.27300000000000002</v>
      </c>
      <c r="M121" s="355">
        <v>0.3</v>
      </c>
      <c r="N121" s="356">
        <v>0.33899999999999997</v>
      </c>
      <c r="O121" s="356">
        <v>0.29600000000000004</v>
      </c>
      <c r="P121" s="356">
        <v>0.30299999999999999</v>
      </c>
      <c r="Q121" s="1217">
        <v>0.36543104672631727</v>
      </c>
      <c r="R121" s="1352">
        <v>0.33049744304974432</v>
      </c>
      <c r="S121" s="1217">
        <v>0.32874505110026703</v>
      </c>
      <c r="T121" s="2166">
        <v>0.30615640599001664</v>
      </c>
      <c r="U121" s="1352">
        <v>0.29406952965235172</v>
      </c>
      <c r="V121" s="2393">
        <v>0.32331987112583382</v>
      </c>
      <c r="W121" s="1047"/>
      <c r="X121" s="1214">
        <v>5094</v>
      </c>
      <c r="Y121" s="1214">
        <v>4846</v>
      </c>
      <c r="Z121" s="1214">
        <v>5503</v>
      </c>
      <c r="AA121" s="1214">
        <v>5900</v>
      </c>
      <c r="AB121" s="1214">
        <v>5325</v>
      </c>
      <c r="AC121" s="1214">
        <v>5575</v>
      </c>
      <c r="AD121" s="1214">
        <v>4915</v>
      </c>
      <c r="AE121" s="1214">
        <v>5669</v>
      </c>
      <c r="AF121" s="1214">
        <v>5608</v>
      </c>
      <c r="AG121" s="1214">
        <v>5862</v>
      </c>
      <c r="AH121" s="1214">
        <v>6981</v>
      </c>
      <c r="AI121" s="1214">
        <v>6126</v>
      </c>
      <c r="AJ121" s="1140">
        <v>6335</v>
      </c>
      <c r="AK121" s="1140">
        <v>7719</v>
      </c>
      <c r="AL121" s="1359">
        <v>7109</v>
      </c>
      <c r="AM121" s="1137">
        <v>7141</v>
      </c>
      <c r="AN121" s="2169">
        <v>6624</v>
      </c>
      <c r="AO121" s="1359">
        <v>6471</v>
      </c>
      <c r="AP121" s="2398">
        <v>7125</v>
      </c>
    </row>
    <row r="122" spans="1:43" x14ac:dyDescent="0.3">
      <c r="A122" s="349" t="s">
        <v>222</v>
      </c>
      <c r="B122" s="350" t="s">
        <v>223</v>
      </c>
      <c r="C122" s="357" t="s">
        <v>252</v>
      </c>
      <c r="D122" s="354">
        <v>0.16500000000000001</v>
      </c>
      <c r="E122" s="355">
        <v>0.14200000000000002</v>
      </c>
      <c r="F122" s="355">
        <v>0.15400000000000003</v>
      </c>
      <c r="G122" s="355">
        <v>0.16800000000000001</v>
      </c>
      <c r="H122" s="355">
        <v>0.151</v>
      </c>
      <c r="I122" s="355">
        <v>0.16300000000000001</v>
      </c>
      <c r="J122" s="355">
        <v>0.14599999999999999</v>
      </c>
      <c r="K122" s="355">
        <v>0.151</v>
      </c>
      <c r="L122" s="355">
        <v>0.14499999999999999</v>
      </c>
      <c r="M122" s="355">
        <v>0.17799999999999999</v>
      </c>
      <c r="N122" s="356">
        <v>0.17200000000000001</v>
      </c>
      <c r="O122" s="356">
        <v>0.18100000000000002</v>
      </c>
      <c r="P122" s="356">
        <v>0.182</v>
      </c>
      <c r="Q122" s="1217">
        <v>0.17326569912169462</v>
      </c>
      <c r="R122" s="1352">
        <v>0.20198520460717295</v>
      </c>
      <c r="S122" s="1217">
        <v>0.17998142127264283</v>
      </c>
      <c r="T122" s="2166">
        <v>0.16798637326213056</v>
      </c>
      <c r="U122" s="1352">
        <v>0.16568398921340097</v>
      </c>
      <c r="V122" s="2393">
        <v>0.16089472717251516</v>
      </c>
      <c r="W122" s="1047"/>
      <c r="X122" s="1214">
        <v>2997</v>
      </c>
      <c r="Y122" s="1214">
        <v>2660</v>
      </c>
      <c r="Z122" s="1214">
        <v>3031</v>
      </c>
      <c r="AA122" s="1214">
        <v>3412</v>
      </c>
      <c r="AB122" s="1214">
        <v>3136</v>
      </c>
      <c r="AC122" s="1214">
        <v>3335</v>
      </c>
      <c r="AD122" s="1214">
        <v>3012</v>
      </c>
      <c r="AE122" s="1214">
        <v>3249</v>
      </c>
      <c r="AF122" s="1214">
        <v>3100</v>
      </c>
      <c r="AG122" s="1214">
        <v>3779</v>
      </c>
      <c r="AH122" s="1214">
        <v>3764</v>
      </c>
      <c r="AI122" s="1214">
        <v>3897</v>
      </c>
      <c r="AJ122" s="1140">
        <v>3872</v>
      </c>
      <c r="AK122" s="1140">
        <v>3689</v>
      </c>
      <c r="AL122" s="1359">
        <v>4314</v>
      </c>
      <c r="AM122" s="1137">
        <v>3875</v>
      </c>
      <c r="AN122" s="2169">
        <v>3649</v>
      </c>
      <c r="AO122" s="1359">
        <v>3625</v>
      </c>
      <c r="AP122" s="2398">
        <v>3503</v>
      </c>
    </row>
    <row r="123" spans="1:43" x14ac:dyDescent="0.3">
      <c r="A123" s="349" t="s">
        <v>230</v>
      </c>
      <c r="B123" s="350" t="s">
        <v>231</v>
      </c>
      <c r="C123" s="357" t="s">
        <v>252</v>
      </c>
      <c r="D123" s="354">
        <v>0.10099999999999999</v>
      </c>
      <c r="E123" s="355">
        <v>9.0999999999999998E-2</v>
      </c>
      <c r="F123" s="355">
        <v>0.1</v>
      </c>
      <c r="G123" s="355">
        <v>0.106</v>
      </c>
      <c r="H123" s="355">
        <v>0.10099999999999999</v>
      </c>
      <c r="I123" s="355">
        <v>0.10800000000000001</v>
      </c>
      <c r="J123" s="355">
        <v>9.6000000000000002E-2</v>
      </c>
      <c r="K123" s="355">
        <v>9.9000000000000005E-2</v>
      </c>
      <c r="L123" s="355">
        <v>0.10300000000000001</v>
      </c>
      <c r="M123" s="355">
        <v>0.10400000000000001</v>
      </c>
      <c r="N123" s="356">
        <v>0.11</v>
      </c>
      <c r="O123" s="356">
        <v>0.126</v>
      </c>
      <c r="P123" s="356">
        <v>0.14299999999999999</v>
      </c>
      <c r="Q123" s="1217">
        <v>0.13225130685044148</v>
      </c>
      <c r="R123" s="1352">
        <v>0.123565902142176</v>
      </c>
      <c r="S123" s="1217">
        <v>0.12449990568941041</v>
      </c>
      <c r="T123" s="2166">
        <v>0.11543301110489734</v>
      </c>
      <c r="U123" s="1352">
        <v>0.11192512016190236</v>
      </c>
      <c r="V123" s="2393">
        <v>0.10375838652446112</v>
      </c>
      <c r="W123" s="1047"/>
      <c r="X123" s="1214">
        <v>11838</v>
      </c>
      <c r="Y123" s="1214">
        <v>10658</v>
      </c>
      <c r="Z123" s="1214">
        <v>11881</v>
      </c>
      <c r="AA123" s="1214">
        <v>12534</v>
      </c>
      <c r="AB123" s="1214">
        <v>11858</v>
      </c>
      <c r="AC123" s="1214">
        <v>12423</v>
      </c>
      <c r="AD123" s="1214">
        <v>10822</v>
      </c>
      <c r="AE123" s="1214">
        <v>10830</v>
      </c>
      <c r="AF123" s="1214">
        <v>11069</v>
      </c>
      <c r="AG123" s="1214">
        <v>10958</v>
      </c>
      <c r="AH123" s="1214">
        <v>11472</v>
      </c>
      <c r="AI123" s="1214">
        <v>13019</v>
      </c>
      <c r="AJ123" s="1140">
        <v>14601</v>
      </c>
      <c r="AK123" s="1140">
        <v>13510</v>
      </c>
      <c r="AL123" s="1359">
        <v>12569</v>
      </c>
      <c r="AM123" s="1137">
        <v>12541</v>
      </c>
      <c r="AN123" s="2169">
        <v>11559</v>
      </c>
      <c r="AO123" s="1359">
        <v>11061</v>
      </c>
      <c r="AP123" s="2398">
        <v>10176</v>
      </c>
    </row>
    <row r="124" spans="1:43" x14ac:dyDescent="0.3">
      <c r="A124" s="349" t="s">
        <v>238</v>
      </c>
      <c r="B124" s="350" t="s">
        <v>239</v>
      </c>
      <c r="C124" s="357" t="s">
        <v>252</v>
      </c>
      <c r="D124" s="354">
        <v>0.21199999999999999</v>
      </c>
      <c r="E124" s="355">
        <v>0.20199999999999999</v>
      </c>
      <c r="F124" s="355">
        <v>0.19699999999999998</v>
      </c>
      <c r="G124" s="355">
        <v>0.19800000000000001</v>
      </c>
      <c r="H124" s="355">
        <v>0.182</v>
      </c>
      <c r="I124" s="355">
        <v>0.24500000000000002</v>
      </c>
      <c r="J124" s="355">
        <v>0.19500000000000001</v>
      </c>
      <c r="K124" s="355">
        <v>0.20499999999999999</v>
      </c>
      <c r="L124" s="355">
        <v>0.222</v>
      </c>
      <c r="M124" s="355">
        <v>0.224</v>
      </c>
      <c r="N124" s="356">
        <v>0.22700000000000001</v>
      </c>
      <c r="O124" s="356">
        <v>0.23399999999999999</v>
      </c>
      <c r="P124" s="356">
        <v>0.23499999999999999</v>
      </c>
      <c r="Q124" s="1217">
        <v>0.25660377358490566</v>
      </c>
      <c r="R124" s="1352">
        <v>0.24410994764397906</v>
      </c>
      <c r="S124" s="1217">
        <v>0.25139318885448919</v>
      </c>
      <c r="T124" s="2166">
        <v>0.23053527980535279</v>
      </c>
      <c r="U124" s="1352">
        <v>0.22970535177390258</v>
      </c>
      <c r="V124" s="2393">
        <v>0.28240190249702735</v>
      </c>
      <c r="W124" s="1047"/>
      <c r="X124" s="1214">
        <v>229</v>
      </c>
      <c r="Y124" s="1214">
        <v>210</v>
      </c>
      <c r="Z124" s="1214">
        <v>208</v>
      </c>
      <c r="AA124" s="1214">
        <v>229</v>
      </c>
      <c r="AB124" s="1214">
        <v>241</v>
      </c>
      <c r="AC124" s="1214">
        <v>322</v>
      </c>
      <c r="AD124" s="1214">
        <v>263</v>
      </c>
      <c r="AE124" s="1214">
        <v>324</v>
      </c>
      <c r="AF124" s="1214">
        <v>372</v>
      </c>
      <c r="AG124" s="1214">
        <v>400</v>
      </c>
      <c r="AH124" s="1214">
        <v>319</v>
      </c>
      <c r="AI124" s="1214">
        <v>350</v>
      </c>
      <c r="AJ124" s="1140">
        <v>411</v>
      </c>
      <c r="AK124" s="1140">
        <v>408</v>
      </c>
      <c r="AL124" s="1359">
        <v>373</v>
      </c>
      <c r="AM124" s="1137">
        <v>406</v>
      </c>
      <c r="AN124" s="2169">
        <v>379</v>
      </c>
      <c r="AO124" s="1359">
        <v>382</v>
      </c>
      <c r="AP124" s="2398">
        <v>475</v>
      </c>
    </row>
    <row r="125" spans="1:43" x14ac:dyDescent="0.3">
      <c r="A125" s="349" t="s">
        <v>240</v>
      </c>
      <c r="B125" s="350" t="s">
        <v>241</v>
      </c>
      <c r="C125" s="357" t="s">
        <v>255</v>
      </c>
      <c r="D125" s="354">
        <v>0.16600000000000001</v>
      </c>
      <c r="E125" s="355">
        <v>0.15400000000000003</v>
      </c>
      <c r="F125" s="355">
        <v>0.16399999999999998</v>
      </c>
      <c r="G125" s="355">
        <v>0.17300000000000001</v>
      </c>
      <c r="H125" s="355">
        <v>0.15</v>
      </c>
      <c r="I125" s="355">
        <v>0.17300000000000001</v>
      </c>
      <c r="J125" s="355">
        <v>0.16800000000000001</v>
      </c>
      <c r="K125" s="355">
        <v>0.16600000000000001</v>
      </c>
      <c r="L125" s="355">
        <v>0.18100000000000002</v>
      </c>
      <c r="M125" s="355">
        <v>0.222</v>
      </c>
      <c r="N125" s="356">
        <v>0.247</v>
      </c>
      <c r="O125" s="356">
        <v>0.23600000000000002</v>
      </c>
      <c r="P125" s="356">
        <v>0.22500000000000001</v>
      </c>
      <c r="Q125" s="1217">
        <v>0.23867367038739332</v>
      </c>
      <c r="R125" s="1352">
        <v>0.21692333167743003</v>
      </c>
      <c r="S125" s="1217">
        <v>0.25634430727023322</v>
      </c>
      <c r="T125" s="2166">
        <v>0.22035606315082298</v>
      </c>
      <c r="U125" s="1352">
        <v>0.19695989650711512</v>
      </c>
      <c r="V125" s="2393">
        <v>0.22024002594875122</v>
      </c>
      <c r="W125" s="1047"/>
      <c r="X125" s="1214">
        <v>850</v>
      </c>
      <c r="Y125" s="1214">
        <v>806</v>
      </c>
      <c r="Z125" s="1214">
        <v>887</v>
      </c>
      <c r="AA125" s="1214">
        <v>948</v>
      </c>
      <c r="AB125" s="1214">
        <v>847</v>
      </c>
      <c r="AC125" s="1214">
        <v>963</v>
      </c>
      <c r="AD125" s="1214">
        <v>921</v>
      </c>
      <c r="AE125" s="1214">
        <v>938</v>
      </c>
      <c r="AF125" s="1214">
        <v>1032</v>
      </c>
      <c r="AG125" s="1214">
        <v>1262</v>
      </c>
      <c r="AH125" s="1214">
        <v>1403</v>
      </c>
      <c r="AI125" s="1214">
        <v>1384</v>
      </c>
      <c r="AJ125" s="1140">
        <v>1343</v>
      </c>
      <c r="AK125" s="1140">
        <v>1454</v>
      </c>
      <c r="AL125" s="1359">
        <v>1310</v>
      </c>
      <c r="AM125" s="1137">
        <v>1495</v>
      </c>
      <c r="AN125" s="2169">
        <v>1312</v>
      </c>
      <c r="AO125" s="1359">
        <v>1218</v>
      </c>
      <c r="AP125" s="2398">
        <v>1358</v>
      </c>
    </row>
    <row r="126" spans="1:43" x14ac:dyDescent="0.3">
      <c r="A126" s="357"/>
      <c r="B126" s="357"/>
      <c r="C126" s="357"/>
      <c r="D126" s="1047"/>
      <c r="E126" s="1047"/>
      <c r="F126" s="1047"/>
      <c r="G126" s="1047"/>
      <c r="H126" s="1047"/>
      <c r="I126" s="1047"/>
      <c r="J126" s="1047"/>
      <c r="K126" s="1047"/>
      <c r="L126" s="1047"/>
      <c r="M126" s="1047"/>
      <c r="N126" s="1047"/>
      <c r="O126" s="1047"/>
      <c r="P126" s="1047"/>
      <c r="Q126" s="1047"/>
      <c r="R126" s="1047"/>
      <c r="S126" s="1047"/>
      <c r="T126" s="1047"/>
      <c r="U126" s="1047"/>
      <c r="V126" s="1047"/>
      <c r="W126" s="1047"/>
      <c r="X126" s="1046"/>
      <c r="Y126" s="1046"/>
      <c r="Z126" s="1046"/>
      <c r="AA126" s="1046"/>
      <c r="AB126" s="1046"/>
      <c r="AC126" s="1046"/>
      <c r="AD126" s="1046"/>
      <c r="AE126" s="1046"/>
      <c r="AF126" s="1046"/>
      <c r="AG126" s="1046"/>
      <c r="AH126" s="1046"/>
      <c r="AI126" s="1046"/>
      <c r="AJ126" s="1046"/>
      <c r="AK126" s="1046"/>
      <c r="AL126" s="1046"/>
      <c r="AM126" s="1046"/>
      <c r="AN126" s="1046"/>
      <c r="AO126" s="1046"/>
      <c r="AP126" s="1046"/>
      <c r="AQ126" s="395"/>
    </row>
    <row r="127" spans="1:43" x14ac:dyDescent="0.3">
      <c r="A127" s="358" t="s">
        <v>583</v>
      </c>
      <c r="B127" s="357"/>
      <c r="C127" s="357"/>
      <c r="D127" s="1047"/>
      <c r="E127" s="1047"/>
      <c r="F127" s="1047"/>
      <c r="G127" s="1047"/>
      <c r="H127" s="1047"/>
      <c r="I127" s="1047"/>
      <c r="J127" s="1047"/>
      <c r="K127" s="1047"/>
      <c r="L127" s="1047"/>
      <c r="M127" s="1047"/>
      <c r="N127" s="1047"/>
      <c r="O127" s="1047"/>
      <c r="P127" s="1047"/>
      <c r="Q127" s="1047"/>
      <c r="R127" s="1047"/>
      <c r="S127" s="1047"/>
      <c r="T127" s="1047"/>
      <c r="U127" s="1047"/>
      <c r="W127" s="1047"/>
      <c r="X127" s="1046"/>
      <c r="Y127" s="1046"/>
      <c r="Z127" s="1046"/>
      <c r="AA127" s="1046"/>
      <c r="AB127" s="1046"/>
      <c r="AC127" s="1046"/>
      <c r="AD127" s="1046"/>
      <c r="AE127" s="1046"/>
      <c r="AF127" s="1046"/>
      <c r="AG127" s="1046"/>
      <c r="AH127" s="1046"/>
      <c r="AI127" s="1046"/>
      <c r="AJ127" s="1046"/>
      <c r="AK127" s="1046"/>
      <c r="AL127" s="1046"/>
      <c r="AM127" s="1046"/>
      <c r="AN127" s="1046"/>
      <c r="AO127" s="1046"/>
      <c r="AP127" s="1046"/>
      <c r="AQ127" s="395"/>
    </row>
    <row r="128" spans="1:43" x14ac:dyDescent="0.3">
      <c r="A128" s="526" t="s">
        <v>254</v>
      </c>
      <c r="B128" s="1210"/>
      <c r="C128" s="1218"/>
      <c r="D128" s="1219">
        <v>0.12777045687129379</v>
      </c>
      <c r="E128" s="1220">
        <v>0.11654920477484336</v>
      </c>
      <c r="F128" s="1220">
        <v>0.1354493691697963</v>
      </c>
      <c r="G128" s="1220">
        <v>0.1470167344250537</v>
      </c>
      <c r="H128" s="1220">
        <v>0.13365566375727633</v>
      </c>
      <c r="I128" s="1220">
        <v>0.14388618155624469</v>
      </c>
      <c r="J128" s="1220">
        <v>0.13311676363234895</v>
      </c>
      <c r="K128" s="1220">
        <v>0.14410690731000661</v>
      </c>
      <c r="L128" s="1220">
        <v>0.15284216958699204</v>
      </c>
      <c r="M128" s="1220">
        <v>0.15668623873941231</v>
      </c>
      <c r="N128" s="1217">
        <v>0.15997456515691444</v>
      </c>
      <c r="O128" s="1217">
        <v>0.17401205670921191</v>
      </c>
      <c r="P128" s="1217">
        <v>0.17363851617995266</v>
      </c>
      <c r="Q128" s="1217">
        <v>0.18307861229889996</v>
      </c>
      <c r="R128" s="1352">
        <v>0.19027382241426713</v>
      </c>
      <c r="S128" s="2166">
        <v>0.17148941671145826</v>
      </c>
      <c r="T128" s="2171">
        <v>0.16588591616954154</v>
      </c>
      <c r="U128" s="1352">
        <v>0.16184041838790419</v>
      </c>
      <c r="V128" s="1047">
        <v>0.16246269113357764</v>
      </c>
      <c r="W128" s="1047"/>
      <c r="X128" s="1221">
        <v>36457</v>
      </c>
      <c r="Y128" s="1214">
        <v>33372</v>
      </c>
      <c r="Z128" s="1214">
        <v>39132</v>
      </c>
      <c r="AA128" s="1214">
        <v>42635</v>
      </c>
      <c r="AB128" s="1214">
        <v>39171</v>
      </c>
      <c r="AC128" s="1214">
        <v>42547</v>
      </c>
      <c r="AD128" s="1214">
        <v>39789</v>
      </c>
      <c r="AE128" s="1214">
        <v>43372</v>
      </c>
      <c r="AF128" s="1214">
        <v>46022</v>
      </c>
      <c r="AG128" s="1214">
        <v>47153</v>
      </c>
      <c r="AH128" s="1222">
        <v>48304</v>
      </c>
      <c r="AI128" s="1222">
        <v>52189</v>
      </c>
      <c r="AJ128" s="1222">
        <v>51260</v>
      </c>
      <c r="AK128" s="1222">
        <v>53690</v>
      </c>
      <c r="AL128" s="1360">
        <v>56056</v>
      </c>
      <c r="AM128" s="1222">
        <v>50410</v>
      </c>
      <c r="AN128" s="2170">
        <v>48691</v>
      </c>
      <c r="AO128" s="1360">
        <v>47718</v>
      </c>
      <c r="AP128" s="2401">
        <v>47791</v>
      </c>
      <c r="AQ128" s="64"/>
    </row>
    <row r="129" spans="1:43" x14ac:dyDescent="0.3">
      <c r="A129" s="339" t="s">
        <v>252</v>
      </c>
      <c r="D129" s="354">
        <v>0.15304435972586439</v>
      </c>
      <c r="E129" s="355">
        <v>0.14033358889775141</v>
      </c>
      <c r="F129" s="355">
        <v>0.15771795103044595</v>
      </c>
      <c r="G129" s="355">
        <v>0.16505708289428997</v>
      </c>
      <c r="H129" s="355">
        <v>0.14922302530245857</v>
      </c>
      <c r="I129" s="355">
        <v>0.16352767930188164</v>
      </c>
      <c r="J129" s="355">
        <v>0.14641453075926292</v>
      </c>
      <c r="K129" s="355">
        <v>0.15611975749596346</v>
      </c>
      <c r="L129" s="355">
        <v>0.16549851613310601</v>
      </c>
      <c r="M129" s="355">
        <v>0.16261973561466178</v>
      </c>
      <c r="N129" s="356">
        <v>0.16684839324070738</v>
      </c>
      <c r="O129" s="356">
        <v>0.18344688787599084</v>
      </c>
      <c r="P129" s="356">
        <v>0.19465468306527908</v>
      </c>
      <c r="Q129" s="1217">
        <v>0.19731917697955095</v>
      </c>
      <c r="R129" s="1352">
        <v>0.1918605782799529</v>
      </c>
      <c r="S129" s="2166">
        <v>0.18934995181748365</v>
      </c>
      <c r="T129" s="2171">
        <v>0.18052845987901542</v>
      </c>
      <c r="U129" s="1352">
        <v>0.17975348545277525</v>
      </c>
      <c r="V129" s="2393">
        <v>0.17058048380708499</v>
      </c>
      <c r="W129" s="1047"/>
      <c r="X129" s="351">
        <v>69450</v>
      </c>
      <c r="Y129" s="352">
        <v>63514</v>
      </c>
      <c r="Z129" s="352">
        <v>71700</v>
      </c>
      <c r="AA129" s="352">
        <v>75816</v>
      </c>
      <c r="AB129" s="352">
        <v>68689</v>
      </c>
      <c r="AC129" s="352">
        <v>74957</v>
      </c>
      <c r="AD129" s="352">
        <v>66664</v>
      </c>
      <c r="AE129" s="352">
        <v>70198</v>
      </c>
      <c r="AF129" s="352">
        <v>73388</v>
      </c>
      <c r="AG129" s="352">
        <v>71473</v>
      </c>
      <c r="AH129" s="353">
        <v>71308</v>
      </c>
      <c r="AI129" s="353">
        <v>77113</v>
      </c>
      <c r="AJ129" s="353">
        <v>80654</v>
      </c>
      <c r="AK129" s="1222">
        <v>81141</v>
      </c>
      <c r="AL129" s="1360">
        <v>78857</v>
      </c>
      <c r="AM129" s="1222">
        <v>77418</v>
      </c>
      <c r="AN129" s="2170">
        <v>73474</v>
      </c>
      <c r="AO129" s="1360">
        <v>72743</v>
      </c>
      <c r="AP129" s="2401">
        <v>68478</v>
      </c>
      <c r="AQ129" s="64"/>
    </row>
    <row r="130" spans="1:43" x14ac:dyDescent="0.3">
      <c r="A130" s="339" t="s">
        <v>255</v>
      </c>
      <c r="D130" s="354">
        <v>7.3972848316347151E-2</v>
      </c>
      <c r="E130" s="355">
        <v>6.7403569019439502E-2</v>
      </c>
      <c r="F130" s="355">
        <v>7.5487365161058667E-2</v>
      </c>
      <c r="G130" s="355">
        <v>8.3378188703486691E-2</v>
      </c>
      <c r="H130" s="355">
        <v>7.5877860403686589E-2</v>
      </c>
      <c r="I130" s="355">
        <v>7.4756843456245878E-2</v>
      </c>
      <c r="J130" s="355">
        <v>6.9055752121382249E-2</v>
      </c>
      <c r="K130" s="355">
        <v>7.2126218829321451E-2</v>
      </c>
      <c r="L130" s="355">
        <v>7.8048984786318096E-2</v>
      </c>
      <c r="M130" s="355">
        <v>8.5547995432984622E-2</v>
      </c>
      <c r="N130" s="356">
        <v>9.0402479205067013E-2</v>
      </c>
      <c r="O130" s="356">
        <v>9.8850753222550089E-2</v>
      </c>
      <c r="P130" s="356">
        <v>9.5595160378892069E-2</v>
      </c>
      <c r="Q130" s="1217">
        <v>9.6413769845848013E-2</v>
      </c>
      <c r="R130" s="1352">
        <v>0.10170149715160404</v>
      </c>
      <c r="S130" s="2166">
        <v>9.0957882015598138E-2</v>
      </c>
      <c r="T130" s="2171">
        <v>8.844947722152785E-2</v>
      </c>
      <c r="U130" s="1352">
        <v>8.670435184704367E-2</v>
      </c>
      <c r="V130" s="2393">
        <v>8.3724536946006525E-2</v>
      </c>
      <c r="W130" s="1047"/>
      <c r="X130" s="351">
        <v>47040</v>
      </c>
      <c r="Y130" s="352">
        <v>43966</v>
      </c>
      <c r="Z130" s="352">
        <v>50455</v>
      </c>
      <c r="AA130" s="352">
        <v>56849</v>
      </c>
      <c r="AB130" s="352">
        <v>52855</v>
      </c>
      <c r="AC130" s="352">
        <v>53180</v>
      </c>
      <c r="AD130" s="352">
        <v>49691</v>
      </c>
      <c r="AE130" s="352">
        <v>52682</v>
      </c>
      <c r="AF130" s="352">
        <v>57771</v>
      </c>
      <c r="AG130" s="352">
        <v>64512</v>
      </c>
      <c r="AH130" s="353">
        <v>69253</v>
      </c>
      <c r="AI130" s="353">
        <v>77653</v>
      </c>
      <c r="AJ130" s="353">
        <v>74096</v>
      </c>
      <c r="AK130" s="1222">
        <v>76048</v>
      </c>
      <c r="AL130" s="1360">
        <v>80925</v>
      </c>
      <c r="AM130" s="1222">
        <v>72705</v>
      </c>
      <c r="AN130" s="2170">
        <v>70908</v>
      </c>
      <c r="AO130" s="1360">
        <v>70127</v>
      </c>
      <c r="AP130" s="2401">
        <v>68129</v>
      </c>
      <c r="AQ130" s="64"/>
    </row>
    <row r="131" spans="1:43" x14ac:dyDescent="0.3">
      <c r="A131" s="339" t="s">
        <v>253</v>
      </c>
      <c r="D131" s="354">
        <v>0.14798451654743328</v>
      </c>
      <c r="E131" s="355">
        <v>0.13950212131823031</v>
      </c>
      <c r="F131" s="355">
        <v>0.16081026399794002</v>
      </c>
      <c r="G131" s="355">
        <v>0.17657450171906408</v>
      </c>
      <c r="H131" s="355">
        <v>0.1593198731798578</v>
      </c>
      <c r="I131" s="355">
        <v>0.17241307706364103</v>
      </c>
      <c r="J131" s="355">
        <v>0.16388858883063143</v>
      </c>
      <c r="K131" s="355">
        <v>0.17567876453011166</v>
      </c>
      <c r="L131" s="355">
        <v>0.17290313441355259</v>
      </c>
      <c r="M131" s="355">
        <v>0.19168981558954451</v>
      </c>
      <c r="N131" s="356">
        <v>0.20643619721274198</v>
      </c>
      <c r="O131" s="356">
        <v>0.20991666141864518</v>
      </c>
      <c r="P131" s="356">
        <v>0.21105894093113109</v>
      </c>
      <c r="Q131" s="1217">
        <v>0.21831772489045451</v>
      </c>
      <c r="R131" s="1352">
        <v>0.21606831439052257</v>
      </c>
      <c r="S131" s="2166">
        <v>0.20948611482782731</v>
      </c>
      <c r="T131" s="2171">
        <v>0.19642374757095427</v>
      </c>
      <c r="U131" s="1352">
        <v>0.18830905708223136</v>
      </c>
      <c r="V131" s="2393">
        <v>0.19876864308692993</v>
      </c>
      <c r="W131" s="1047"/>
      <c r="X131" s="351">
        <v>36510</v>
      </c>
      <c r="Y131" s="352">
        <v>34262</v>
      </c>
      <c r="Z131" s="352">
        <v>39344</v>
      </c>
      <c r="AA131" s="352">
        <v>42781</v>
      </c>
      <c r="AB131" s="352">
        <v>38492</v>
      </c>
      <c r="AC131" s="352">
        <v>41515</v>
      </c>
      <c r="AD131" s="352">
        <v>39447</v>
      </c>
      <c r="AE131" s="352">
        <v>42272</v>
      </c>
      <c r="AF131" s="352">
        <v>41499</v>
      </c>
      <c r="AG131" s="352">
        <v>45820</v>
      </c>
      <c r="AH131" s="353">
        <v>50023</v>
      </c>
      <c r="AI131" s="353">
        <v>49999</v>
      </c>
      <c r="AJ131" s="353">
        <v>49491</v>
      </c>
      <c r="AK131" s="1222">
        <v>50820</v>
      </c>
      <c r="AL131" s="1360">
        <v>50302</v>
      </c>
      <c r="AM131" s="1222">
        <v>48535</v>
      </c>
      <c r="AN131" s="2170">
        <v>45082</v>
      </c>
      <c r="AO131" s="1360">
        <v>43219</v>
      </c>
      <c r="AP131" s="2401">
        <v>45166</v>
      </c>
      <c r="AQ131" s="64"/>
    </row>
    <row r="132" spans="1:43" x14ac:dyDescent="0.3">
      <c r="A132" s="339" t="s">
        <v>256</v>
      </c>
      <c r="D132" s="354">
        <v>0.18734683294440402</v>
      </c>
      <c r="E132" s="355">
        <v>0.17247175273134746</v>
      </c>
      <c r="F132" s="355">
        <v>0.20006672597864769</v>
      </c>
      <c r="G132" s="355">
        <v>0.22071896949433689</v>
      </c>
      <c r="H132" s="355">
        <v>0.19469087884668701</v>
      </c>
      <c r="I132" s="355">
        <v>0.22345575814569074</v>
      </c>
      <c r="J132" s="355">
        <v>0.20651927338719528</v>
      </c>
      <c r="K132" s="355">
        <v>0.20957003677431724</v>
      </c>
      <c r="L132" s="355">
        <v>0.22360411648784762</v>
      </c>
      <c r="M132" s="355">
        <v>0.23061145442701456</v>
      </c>
      <c r="N132" s="356">
        <v>0.2390194692096777</v>
      </c>
      <c r="O132" s="356">
        <v>0.24486790511169071</v>
      </c>
      <c r="P132" s="356">
        <v>0.24867022477490902</v>
      </c>
      <c r="Q132" s="1217">
        <v>0.24932721517255221</v>
      </c>
      <c r="R132" s="1352">
        <v>0.24255737644647468</v>
      </c>
      <c r="S132" s="2166">
        <v>0.24754110529636641</v>
      </c>
      <c r="T132" s="2171">
        <v>0.23096808279792061</v>
      </c>
      <c r="U132" s="1352">
        <v>0.23281236491484231</v>
      </c>
      <c r="V132" s="2393">
        <v>0.23349049696898702</v>
      </c>
      <c r="W132" s="1047"/>
      <c r="X132" s="351">
        <v>22399</v>
      </c>
      <c r="Y132" s="352">
        <v>20317</v>
      </c>
      <c r="Z132" s="352">
        <v>23387</v>
      </c>
      <c r="AA132" s="352">
        <v>25548</v>
      </c>
      <c r="AB132" s="352">
        <v>22472</v>
      </c>
      <c r="AC132" s="352">
        <v>25663</v>
      </c>
      <c r="AD132" s="352">
        <v>23670</v>
      </c>
      <c r="AE132" s="352">
        <v>24049</v>
      </c>
      <c r="AF132" s="352">
        <v>25530</v>
      </c>
      <c r="AG132" s="352">
        <v>26197</v>
      </c>
      <c r="AH132" s="353">
        <v>27721</v>
      </c>
      <c r="AI132" s="353">
        <v>27602</v>
      </c>
      <c r="AJ132" s="353">
        <v>27536</v>
      </c>
      <c r="AK132" s="1222">
        <v>27331</v>
      </c>
      <c r="AL132" s="1360">
        <v>26390</v>
      </c>
      <c r="AM132" s="1222">
        <v>26678</v>
      </c>
      <c r="AN132" s="2170">
        <v>24481</v>
      </c>
      <c r="AO132" s="1360">
        <v>24236</v>
      </c>
      <c r="AP132" s="2401">
        <v>23919</v>
      </c>
      <c r="AQ132" s="64"/>
    </row>
    <row r="134" spans="1:43" x14ac:dyDescent="0.3">
      <c r="A134" s="839" t="s">
        <v>911</v>
      </c>
    </row>
    <row r="136" spans="1:43" x14ac:dyDescent="0.3">
      <c r="A136" s="359" t="s">
        <v>248</v>
      </c>
      <c r="B136" s="359"/>
      <c r="C136" s="359"/>
      <c r="D136" s="359"/>
      <c r="E136" s="359"/>
      <c r="F136" s="359"/>
      <c r="G136" s="359"/>
      <c r="H136" s="359"/>
      <c r="I136" s="359"/>
      <c r="J136" s="359"/>
      <c r="K136" s="359"/>
      <c r="L136" s="359"/>
      <c r="M136" s="359"/>
      <c r="N136" s="359"/>
      <c r="O136" s="359"/>
      <c r="P136" s="359"/>
      <c r="Q136" s="359"/>
      <c r="R136" s="359"/>
      <c r="S136" s="359"/>
      <c r="T136" s="359"/>
      <c r="U136" s="359"/>
      <c r="V136" s="359"/>
      <c r="W136" s="359"/>
    </row>
    <row r="137" spans="1:43" x14ac:dyDescent="0.3">
      <c r="A137" s="360" t="s">
        <v>249</v>
      </c>
      <c r="B137" s="361" t="s">
        <v>250</v>
      </c>
      <c r="C137" s="361"/>
      <c r="D137" s="361"/>
      <c r="E137" s="361"/>
      <c r="F137" s="361"/>
      <c r="G137" s="361"/>
      <c r="H137" s="361"/>
      <c r="I137" s="361"/>
      <c r="J137" s="361"/>
      <c r="K137" s="361"/>
      <c r="L137" s="361"/>
      <c r="M137" s="361"/>
      <c r="N137" s="361"/>
      <c r="O137" s="361"/>
      <c r="P137" s="361"/>
      <c r="Q137" s="361"/>
      <c r="R137" s="361"/>
      <c r="S137" s="361"/>
      <c r="T137" s="361"/>
      <c r="U137" s="361"/>
      <c r="V137" s="361"/>
      <c r="W137" s="361"/>
    </row>
  </sheetData>
  <autoFilter ref="A4:C4"/>
  <sortState ref="A6:BC125">
    <sortCondition ref="A6:A125"/>
  </sortState>
  <mergeCells count="2">
    <mergeCell ref="D3:R3"/>
    <mergeCell ref="X3:AL3"/>
  </mergeCells>
  <hyperlinks>
    <hyperlink ref="B137"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C126"/>
  <sheetViews>
    <sheetView workbookViewId="0">
      <selection activeCell="C16" sqref="C16"/>
    </sheetView>
  </sheetViews>
  <sheetFormatPr defaultColWidth="9" defaultRowHeight="13.2" x14ac:dyDescent="0.25"/>
  <cols>
    <col min="1" max="1" width="9" style="783"/>
    <col min="2" max="2" width="30.296875" style="796" customWidth="1"/>
    <col min="3" max="42" width="9" style="783"/>
    <col min="43" max="43" width="2.09765625" style="783" customWidth="1"/>
    <col min="44" max="46" width="9" style="783"/>
    <col min="47" max="47" width="2.5" style="783" customWidth="1"/>
    <col min="48" max="50" width="12" style="784" customWidth="1"/>
    <col min="51" max="51" width="2.796875" style="783" customWidth="1"/>
    <col min="52" max="54" width="9.796875" style="783" bestFit="1" customWidth="1"/>
    <col min="55" max="55" width="14.296875" style="783" customWidth="1"/>
    <col min="56" max="16384" width="9" style="783"/>
  </cols>
  <sheetData>
    <row r="1" spans="1:55" ht="12" customHeight="1" x14ac:dyDescent="0.25">
      <c r="A1" s="788" t="s">
        <v>652</v>
      </c>
      <c r="B1" s="793"/>
    </row>
    <row r="2" spans="1:55" ht="12" customHeight="1" x14ac:dyDescent="0.25">
      <c r="A2" s="788" t="s">
        <v>653</v>
      </c>
      <c r="B2" s="793"/>
    </row>
    <row r="3" spans="1:55" ht="12" customHeight="1" x14ac:dyDescent="0.25">
      <c r="B3" s="794" t="s">
        <v>654</v>
      </c>
      <c r="AZ3" s="2709" t="s">
        <v>655</v>
      </c>
      <c r="BA3" s="2709"/>
      <c r="BB3" s="2709"/>
    </row>
    <row r="4" spans="1:55" ht="12" customHeight="1" x14ac:dyDescent="0.25">
      <c r="B4" s="795"/>
      <c r="C4" s="2708" t="s">
        <v>656</v>
      </c>
      <c r="D4" s="2708"/>
      <c r="E4" s="2708"/>
      <c r="F4" s="2708" t="s">
        <v>657</v>
      </c>
      <c r="G4" s="2708"/>
      <c r="H4" s="2708"/>
      <c r="I4" s="2710" t="s">
        <v>658</v>
      </c>
      <c r="J4" s="2708"/>
      <c r="K4" s="2708"/>
      <c r="L4" s="2710" t="s">
        <v>659</v>
      </c>
      <c r="M4" s="2708"/>
      <c r="N4" s="2708"/>
      <c r="O4" s="2710" t="s">
        <v>660</v>
      </c>
      <c r="P4" s="2708"/>
      <c r="Q4" s="2708"/>
      <c r="R4" s="2710" t="s">
        <v>661</v>
      </c>
      <c r="S4" s="2708"/>
      <c r="T4" s="2708"/>
      <c r="U4" s="2710" t="s">
        <v>662</v>
      </c>
      <c r="V4" s="2708"/>
      <c r="W4" s="2708"/>
      <c r="X4" s="2710" t="s">
        <v>663</v>
      </c>
      <c r="Y4" s="2708"/>
      <c r="Z4" s="2708"/>
      <c r="AA4" s="2710" t="s">
        <v>664</v>
      </c>
      <c r="AB4" s="2708"/>
      <c r="AC4" s="2708"/>
      <c r="AD4" s="2710" t="s">
        <v>665</v>
      </c>
      <c r="AE4" s="2708"/>
      <c r="AF4" s="2708"/>
      <c r="AG4" s="802"/>
      <c r="AH4" s="2708" t="s">
        <v>480</v>
      </c>
      <c r="AI4" s="2708"/>
      <c r="AJ4" s="2708"/>
      <c r="AK4" s="2708" t="s">
        <v>580</v>
      </c>
      <c r="AL4" s="2708"/>
      <c r="AM4" s="2708"/>
      <c r="AN4" s="2708" t="s">
        <v>637</v>
      </c>
      <c r="AO4" s="2708"/>
      <c r="AP4" s="2708"/>
      <c r="AQ4" s="802"/>
      <c r="AR4" s="803" t="s">
        <v>7</v>
      </c>
      <c r="AS4" s="803" t="s">
        <v>6</v>
      </c>
      <c r="AT4" s="803" t="s">
        <v>584</v>
      </c>
      <c r="AU4" s="802"/>
      <c r="AV4" s="804" t="s">
        <v>7</v>
      </c>
      <c r="AW4" s="804" t="s">
        <v>6</v>
      </c>
      <c r="AX4" s="804" t="s">
        <v>584</v>
      </c>
      <c r="AY4" s="802"/>
      <c r="AZ4" s="803" t="s">
        <v>7</v>
      </c>
      <c r="BA4" s="803" t="s">
        <v>6</v>
      </c>
      <c r="BB4" s="803" t="s">
        <v>584</v>
      </c>
      <c r="BC4" s="797" t="s">
        <v>671</v>
      </c>
    </row>
    <row r="5" spans="1:55" ht="12" customHeight="1" x14ac:dyDescent="0.25">
      <c r="A5" s="799" t="s">
        <v>4</v>
      </c>
      <c r="B5" s="800" t="s">
        <v>5</v>
      </c>
      <c r="C5" s="801" t="s">
        <v>666</v>
      </c>
      <c r="D5" s="801" t="s">
        <v>667</v>
      </c>
      <c r="E5" s="801" t="s">
        <v>269</v>
      </c>
      <c r="F5" s="801" t="s">
        <v>666</v>
      </c>
      <c r="G5" s="801" t="s">
        <v>667</v>
      </c>
      <c r="H5" s="801" t="s">
        <v>269</v>
      </c>
      <c r="I5" s="801" t="s">
        <v>666</v>
      </c>
      <c r="J5" s="801" t="s">
        <v>667</v>
      </c>
      <c r="K5" s="801" t="s">
        <v>269</v>
      </c>
      <c r="L5" s="801" t="s">
        <v>666</v>
      </c>
      <c r="M5" s="801" t="s">
        <v>667</v>
      </c>
      <c r="N5" s="801" t="s">
        <v>269</v>
      </c>
      <c r="O5" s="801" t="s">
        <v>666</v>
      </c>
      <c r="P5" s="801" t="s">
        <v>667</v>
      </c>
      <c r="Q5" s="801" t="s">
        <v>269</v>
      </c>
      <c r="R5" s="801" t="s">
        <v>666</v>
      </c>
      <c r="S5" s="801" t="s">
        <v>667</v>
      </c>
      <c r="T5" s="801" t="s">
        <v>269</v>
      </c>
      <c r="U5" s="801" t="s">
        <v>666</v>
      </c>
      <c r="V5" s="801" t="s">
        <v>667</v>
      </c>
      <c r="W5" s="801" t="s">
        <v>269</v>
      </c>
      <c r="X5" s="801" t="s">
        <v>666</v>
      </c>
      <c r="Y5" s="801" t="s">
        <v>667</v>
      </c>
      <c r="Z5" s="801" t="s">
        <v>269</v>
      </c>
      <c r="AA5" s="801" t="s">
        <v>666</v>
      </c>
      <c r="AB5" s="801" t="s">
        <v>667</v>
      </c>
      <c r="AC5" s="801" t="s">
        <v>269</v>
      </c>
      <c r="AD5" s="801" t="s">
        <v>666</v>
      </c>
      <c r="AE5" s="801" t="s">
        <v>667</v>
      </c>
      <c r="AF5" s="801" t="s">
        <v>269</v>
      </c>
      <c r="AH5" s="781" t="s">
        <v>666</v>
      </c>
      <c r="AI5" s="781" t="s">
        <v>667</v>
      </c>
      <c r="AJ5" s="781" t="s">
        <v>269</v>
      </c>
      <c r="AK5" s="781" t="s">
        <v>666</v>
      </c>
      <c r="AL5" s="781" t="s">
        <v>667</v>
      </c>
      <c r="AM5" s="781" t="s">
        <v>269</v>
      </c>
      <c r="AN5" s="781" t="s">
        <v>666</v>
      </c>
      <c r="AO5" s="781" t="s">
        <v>667</v>
      </c>
      <c r="AP5" s="781" t="s">
        <v>269</v>
      </c>
      <c r="AR5" s="781" t="s">
        <v>668</v>
      </c>
      <c r="AS5" s="781" t="s">
        <v>668</v>
      </c>
      <c r="AT5" s="781" t="s">
        <v>668</v>
      </c>
      <c r="AV5" s="782" t="s">
        <v>669</v>
      </c>
      <c r="AW5" s="782" t="s">
        <v>669</v>
      </c>
      <c r="AX5" s="782" t="s">
        <v>669</v>
      </c>
      <c r="AZ5" s="781" t="s">
        <v>668</v>
      </c>
      <c r="BA5" s="781" t="s">
        <v>668</v>
      </c>
      <c r="BB5" s="781" t="s">
        <v>668</v>
      </c>
    </row>
    <row r="6" spans="1:55" ht="12" customHeight="1" x14ac:dyDescent="0.25">
      <c r="A6" s="807">
        <v>999</v>
      </c>
      <c r="B6" s="808" t="s">
        <v>670</v>
      </c>
      <c r="C6" s="805">
        <v>125317</v>
      </c>
      <c r="D6" s="798">
        <v>474351</v>
      </c>
      <c r="E6" s="798">
        <v>599668</v>
      </c>
      <c r="F6" s="798">
        <v>109777</v>
      </c>
      <c r="G6" s="798">
        <v>488763</v>
      </c>
      <c r="H6" s="798">
        <v>598540</v>
      </c>
      <c r="I6" s="798">
        <v>100011</v>
      </c>
      <c r="J6" s="798">
        <v>519188</v>
      </c>
      <c r="K6" s="798">
        <v>619199</v>
      </c>
      <c r="L6" s="798">
        <v>172606</v>
      </c>
      <c r="M6" s="798">
        <v>509335</v>
      </c>
      <c r="N6" s="798">
        <v>681941</v>
      </c>
      <c r="O6" s="798">
        <v>139803</v>
      </c>
      <c r="P6" s="798">
        <v>900533</v>
      </c>
      <c r="Q6" s="798">
        <v>1040336</v>
      </c>
      <c r="R6" s="798">
        <v>116509</v>
      </c>
      <c r="S6" s="798">
        <v>990782</v>
      </c>
      <c r="T6" s="798">
        <v>1107291</v>
      </c>
      <c r="U6" s="798">
        <v>113684</v>
      </c>
      <c r="V6" s="798">
        <v>1067688</v>
      </c>
      <c r="W6" s="798">
        <v>1181372</v>
      </c>
      <c r="X6" s="798">
        <v>86625</v>
      </c>
      <c r="Y6" s="798">
        <v>838307</v>
      </c>
      <c r="Z6" s="798">
        <v>924932</v>
      </c>
      <c r="AA6" s="798">
        <v>54846</v>
      </c>
      <c r="AB6" s="798">
        <v>473761</v>
      </c>
      <c r="AC6" s="798">
        <v>528607</v>
      </c>
      <c r="AD6" s="798">
        <v>64094</v>
      </c>
      <c r="AE6" s="798">
        <v>335413</v>
      </c>
      <c r="AF6" s="798">
        <v>399507</v>
      </c>
      <c r="AH6" s="785">
        <f t="shared" ref="AH6:AH37" si="0">C6+F6+I6</f>
        <v>335105</v>
      </c>
      <c r="AI6" s="785">
        <f t="shared" ref="AI6:AI37" si="1">D6+G6+J6</f>
        <v>1482302</v>
      </c>
      <c r="AJ6" s="785">
        <f t="shared" ref="AJ6:AJ37" si="2">E6+H6+K6</f>
        <v>1817407</v>
      </c>
      <c r="AK6" s="785">
        <f t="shared" ref="AK6:AK37" si="3">L6+O6+R6+U6+X6</f>
        <v>629227</v>
      </c>
      <c r="AL6" s="785">
        <f t="shared" ref="AL6:AL37" si="4">M6+P6+S6+V6+Y6</f>
        <v>4306645</v>
      </c>
      <c r="AM6" s="785">
        <f t="shared" ref="AM6:AM37" si="5">N6+Q6+T6+W6+Z6</f>
        <v>4935872</v>
      </c>
      <c r="AN6" s="785">
        <f t="shared" ref="AN6:AN37" si="6">AA6+AD6</f>
        <v>118940</v>
      </c>
      <c r="AO6" s="785">
        <f t="shared" ref="AO6:AO37" si="7">AB6+AE6</f>
        <v>809174</v>
      </c>
      <c r="AP6" s="785">
        <f t="shared" ref="AP6:AP37" si="8">AC6+AF6</f>
        <v>928114</v>
      </c>
      <c r="AR6" s="786">
        <f t="shared" ref="AR6:AR37" si="9">AH6/AJ6</f>
        <v>0.18438632623292417</v>
      </c>
      <c r="AS6" s="786">
        <f t="shared" ref="AS6:AS37" si="10">AK6/AM6</f>
        <v>0.12748041278217911</v>
      </c>
      <c r="AT6" s="786">
        <f t="shared" ref="AT6:AT37" si="11">AN6/AP6</f>
        <v>0.12815236059363397</v>
      </c>
      <c r="AV6" s="787">
        <v>1853546</v>
      </c>
      <c r="AW6" s="787">
        <v>5231995</v>
      </c>
      <c r="AX6" s="787">
        <v>1011063</v>
      </c>
      <c r="AZ6" s="787">
        <f t="shared" ref="AZ6:AZ37" si="12">AR6*AV6</f>
        <v>341768.53744373168</v>
      </c>
      <c r="BA6" s="787">
        <f t="shared" ref="BA6:BA37" si="13">AS6*AW6</f>
        <v>666976.88227429718</v>
      </c>
      <c r="BB6" s="787">
        <f t="shared" ref="BB6:BB37" si="14">AT6*AX6</f>
        <v>129570.11015888135</v>
      </c>
      <c r="BC6" s="810">
        <f>SUM(AZ6:BB6)</f>
        <v>1138315.5298769102</v>
      </c>
    </row>
    <row r="7" spans="1:55" s="789" customFormat="1" ht="12" customHeight="1" x14ac:dyDescent="0.25">
      <c r="A7" s="789" t="s">
        <v>10</v>
      </c>
      <c r="B7" s="793" t="s">
        <v>319</v>
      </c>
      <c r="C7" s="806">
        <v>1259</v>
      </c>
      <c r="D7" s="790">
        <v>1135</v>
      </c>
      <c r="E7" s="790">
        <v>2394</v>
      </c>
      <c r="F7" s="790">
        <v>716</v>
      </c>
      <c r="G7" s="790">
        <v>1777</v>
      </c>
      <c r="H7" s="790">
        <v>2493</v>
      </c>
      <c r="I7" s="790">
        <v>496</v>
      </c>
      <c r="J7" s="790">
        <v>1833</v>
      </c>
      <c r="K7" s="790">
        <v>2329</v>
      </c>
      <c r="L7" s="790">
        <v>783</v>
      </c>
      <c r="M7" s="790">
        <v>1677</v>
      </c>
      <c r="N7" s="790">
        <v>2460</v>
      </c>
      <c r="O7" s="790">
        <v>806</v>
      </c>
      <c r="P7" s="790">
        <v>2617</v>
      </c>
      <c r="Q7" s="790">
        <v>3423</v>
      </c>
      <c r="R7" s="790">
        <v>623</v>
      </c>
      <c r="S7" s="790">
        <v>3263</v>
      </c>
      <c r="T7" s="790">
        <v>3886</v>
      </c>
      <c r="U7" s="790">
        <v>1058</v>
      </c>
      <c r="V7" s="790">
        <v>4232</v>
      </c>
      <c r="W7" s="790">
        <v>5290</v>
      </c>
      <c r="X7" s="790">
        <v>1083</v>
      </c>
      <c r="Y7" s="790">
        <v>3810</v>
      </c>
      <c r="Z7" s="790">
        <v>4893</v>
      </c>
      <c r="AA7" s="790">
        <v>497</v>
      </c>
      <c r="AB7" s="790">
        <v>2921</v>
      </c>
      <c r="AC7" s="790">
        <v>3418</v>
      </c>
      <c r="AD7" s="790">
        <v>913</v>
      </c>
      <c r="AE7" s="790">
        <v>1739</v>
      </c>
      <c r="AF7" s="790">
        <v>2652</v>
      </c>
      <c r="AH7" s="790">
        <f t="shared" si="0"/>
        <v>2471</v>
      </c>
      <c r="AI7" s="790">
        <f t="shared" si="1"/>
        <v>4745</v>
      </c>
      <c r="AJ7" s="790">
        <f t="shared" si="2"/>
        <v>7216</v>
      </c>
      <c r="AK7" s="790">
        <f t="shared" si="3"/>
        <v>4353</v>
      </c>
      <c r="AL7" s="790">
        <f t="shared" si="4"/>
        <v>15599</v>
      </c>
      <c r="AM7" s="790">
        <f t="shared" si="5"/>
        <v>19952</v>
      </c>
      <c r="AN7" s="790">
        <f t="shared" si="6"/>
        <v>1410</v>
      </c>
      <c r="AO7" s="790">
        <f t="shared" si="7"/>
        <v>4660</v>
      </c>
      <c r="AP7" s="790">
        <f t="shared" si="8"/>
        <v>6070</v>
      </c>
      <c r="AR7" s="791">
        <f t="shared" si="9"/>
        <v>0.34243348115299332</v>
      </c>
      <c r="AS7" s="791">
        <f t="shared" si="10"/>
        <v>0.21817361668003207</v>
      </c>
      <c r="AT7" s="791">
        <f t="shared" si="11"/>
        <v>0.23228995057660626</v>
      </c>
      <c r="AV7" s="792">
        <v>7036</v>
      </c>
      <c r="AW7" s="792">
        <v>19832</v>
      </c>
      <c r="AX7" s="792">
        <v>6468</v>
      </c>
      <c r="AZ7" s="792">
        <f t="shared" si="12"/>
        <v>2409.3619733924611</v>
      </c>
      <c r="BA7" s="792">
        <f t="shared" si="13"/>
        <v>4326.8191659983959</v>
      </c>
      <c r="BB7" s="792">
        <f t="shared" si="14"/>
        <v>1502.4514003294894</v>
      </c>
      <c r="BC7" s="809">
        <f t="shared" ref="BC7:BC70" si="15">SUM(AZ7:BB7)</f>
        <v>8238.6325397203473</v>
      </c>
    </row>
    <row r="8" spans="1:55" s="789" customFormat="1" ht="12" customHeight="1" x14ac:dyDescent="0.25">
      <c r="A8" s="789" t="s">
        <v>12</v>
      </c>
      <c r="B8" s="793" t="s">
        <v>320</v>
      </c>
      <c r="C8" s="806">
        <v>1302</v>
      </c>
      <c r="D8" s="790">
        <v>5120</v>
      </c>
      <c r="E8" s="790">
        <v>6422</v>
      </c>
      <c r="F8" s="790">
        <v>913</v>
      </c>
      <c r="G8" s="790">
        <v>6447</v>
      </c>
      <c r="H8" s="790">
        <v>7360</v>
      </c>
      <c r="I8" s="790">
        <v>1165</v>
      </c>
      <c r="J8" s="790">
        <v>6249</v>
      </c>
      <c r="K8" s="790">
        <v>7414</v>
      </c>
      <c r="L8" s="790">
        <v>2216</v>
      </c>
      <c r="M8" s="790">
        <v>5933</v>
      </c>
      <c r="N8" s="790">
        <v>8149</v>
      </c>
      <c r="O8" s="790">
        <v>1867</v>
      </c>
      <c r="P8" s="790">
        <v>9965</v>
      </c>
      <c r="Q8" s="790">
        <v>11832</v>
      </c>
      <c r="R8" s="790">
        <v>1068</v>
      </c>
      <c r="S8" s="790">
        <v>11128</v>
      </c>
      <c r="T8" s="790">
        <v>12196</v>
      </c>
      <c r="U8" s="790">
        <v>1150</v>
      </c>
      <c r="V8" s="790">
        <v>13176</v>
      </c>
      <c r="W8" s="790">
        <v>14326</v>
      </c>
      <c r="X8" s="790">
        <v>961</v>
      </c>
      <c r="Y8" s="790">
        <v>11026</v>
      </c>
      <c r="Z8" s="790">
        <v>11987</v>
      </c>
      <c r="AA8" s="790">
        <v>440</v>
      </c>
      <c r="AB8" s="790">
        <v>6378</v>
      </c>
      <c r="AC8" s="790">
        <v>6818</v>
      </c>
      <c r="AD8" s="790">
        <v>779</v>
      </c>
      <c r="AE8" s="790">
        <v>5574</v>
      </c>
      <c r="AF8" s="790">
        <v>6353</v>
      </c>
      <c r="AH8" s="790">
        <f t="shared" si="0"/>
        <v>3380</v>
      </c>
      <c r="AI8" s="790">
        <f t="shared" si="1"/>
        <v>17816</v>
      </c>
      <c r="AJ8" s="790">
        <f t="shared" si="2"/>
        <v>21196</v>
      </c>
      <c r="AK8" s="790">
        <f t="shared" si="3"/>
        <v>7262</v>
      </c>
      <c r="AL8" s="790">
        <f t="shared" si="4"/>
        <v>51228</v>
      </c>
      <c r="AM8" s="790">
        <f t="shared" si="5"/>
        <v>58490</v>
      </c>
      <c r="AN8" s="790">
        <f t="shared" si="6"/>
        <v>1219</v>
      </c>
      <c r="AO8" s="790">
        <f t="shared" si="7"/>
        <v>11952</v>
      </c>
      <c r="AP8" s="790">
        <f t="shared" si="8"/>
        <v>13171</v>
      </c>
      <c r="AR8" s="791">
        <f t="shared" si="9"/>
        <v>0.1594640498207209</v>
      </c>
      <c r="AS8" s="791">
        <f t="shared" si="10"/>
        <v>0.1241579757223457</v>
      </c>
      <c r="AT8" s="791">
        <f t="shared" si="11"/>
        <v>9.2551818388884668E-2</v>
      </c>
      <c r="AV8" s="792">
        <v>21443</v>
      </c>
      <c r="AW8" s="792">
        <v>64549</v>
      </c>
      <c r="AX8" s="792">
        <v>14561</v>
      </c>
      <c r="AZ8" s="792">
        <f t="shared" si="12"/>
        <v>3419.3876203057184</v>
      </c>
      <c r="BA8" s="792">
        <f t="shared" si="13"/>
        <v>8014.273174901693</v>
      </c>
      <c r="BB8" s="792">
        <f t="shared" si="14"/>
        <v>1347.6470275605498</v>
      </c>
      <c r="BC8" s="809">
        <f t="shared" si="15"/>
        <v>12781.307822767962</v>
      </c>
    </row>
    <row r="9" spans="1:55" s="789" customFormat="1" ht="12" customHeight="1" x14ac:dyDescent="0.25">
      <c r="A9" s="789" t="s">
        <v>16</v>
      </c>
      <c r="B9" s="793" t="s">
        <v>599</v>
      </c>
      <c r="C9" s="806">
        <v>369</v>
      </c>
      <c r="D9" s="790">
        <v>895</v>
      </c>
      <c r="E9" s="790">
        <v>1264</v>
      </c>
      <c r="F9" s="790">
        <v>481</v>
      </c>
      <c r="G9" s="790">
        <v>1061</v>
      </c>
      <c r="H9" s="790">
        <v>1542</v>
      </c>
      <c r="I9" s="790">
        <v>356</v>
      </c>
      <c r="J9" s="790">
        <v>1536</v>
      </c>
      <c r="K9" s="790">
        <v>1892</v>
      </c>
      <c r="L9" s="790">
        <v>387</v>
      </c>
      <c r="M9" s="790">
        <v>1292</v>
      </c>
      <c r="N9" s="790">
        <v>1679</v>
      </c>
      <c r="O9" s="790">
        <v>422</v>
      </c>
      <c r="P9" s="790">
        <v>1329</v>
      </c>
      <c r="Q9" s="790">
        <v>1751</v>
      </c>
      <c r="R9" s="790">
        <v>325</v>
      </c>
      <c r="S9" s="790">
        <v>2656</v>
      </c>
      <c r="T9" s="790">
        <v>2981</v>
      </c>
      <c r="U9" s="790">
        <v>513</v>
      </c>
      <c r="V9" s="790">
        <v>2898</v>
      </c>
      <c r="W9" s="790">
        <v>3411</v>
      </c>
      <c r="X9" s="790">
        <v>526</v>
      </c>
      <c r="Y9" s="790">
        <v>2680</v>
      </c>
      <c r="Z9" s="790">
        <v>3206</v>
      </c>
      <c r="AA9" s="790">
        <v>218</v>
      </c>
      <c r="AB9" s="790">
        <v>2173</v>
      </c>
      <c r="AC9" s="790">
        <v>2391</v>
      </c>
      <c r="AD9" s="790">
        <v>361</v>
      </c>
      <c r="AE9" s="790">
        <v>1439</v>
      </c>
      <c r="AF9" s="790">
        <v>1800</v>
      </c>
      <c r="AH9" s="790">
        <f t="shared" si="0"/>
        <v>1206</v>
      </c>
      <c r="AI9" s="790">
        <f t="shared" si="1"/>
        <v>3492</v>
      </c>
      <c r="AJ9" s="790">
        <f t="shared" si="2"/>
        <v>4698</v>
      </c>
      <c r="AK9" s="790">
        <f t="shared" si="3"/>
        <v>2173</v>
      </c>
      <c r="AL9" s="790">
        <f t="shared" si="4"/>
        <v>10855</v>
      </c>
      <c r="AM9" s="790">
        <f t="shared" si="5"/>
        <v>13028</v>
      </c>
      <c r="AN9" s="790">
        <f t="shared" si="6"/>
        <v>579</v>
      </c>
      <c r="AO9" s="790">
        <f t="shared" si="7"/>
        <v>3612</v>
      </c>
      <c r="AP9" s="790">
        <f t="shared" si="8"/>
        <v>4191</v>
      </c>
      <c r="AR9" s="791">
        <f t="shared" si="9"/>
        <v>0.25670498084291188</v>
      </c>
      <c r="AS9" s="791">
        <f t="shared" si="10"/>
        <v>0.16679459625422169</v>
      </c>
      <c r="AT9" s="791">
        <f t="shared" si="11"/>
        <v>0.13815318539727989</v>
      </c>
      <c r="AV9" s="792">
        <v>3385</v>
      </c>
      <c r="AW9" s="792">
        <v>9456</v>
      </c>
      <c r="AX9" s="792">
        <v>3334</v>
      </c>
      <c r="AZ9" s="792">
        <f t="shared" si="12"/>
        <v>868.94636015325671</v>
      </c>
      <c r="BA9" s="792">
        <f t="shared" si="13"/>
        <v>1577.2097021799202</v>
      </c>
      <c r="BB9" s="792">
        <f t="shared" si="14"/>
        <v>460.60272011453117</v>
      </c>
      <c r="BC9" s="809">
        <f t="shared" si="15"/>
        <v>2906.7587824477082</v>
      </c>
    </row>
    <row r="10" spans="1:55" s="789" customFormat="1" ht="12" customHeight="1" x14ac:dyDescent="0.25">
      <c r="A10" s="789" t="s">
        <v>18</v>
      </c>
      <c r="B10" s="793" t="s">
        <v>321</v>
      </c>
      <c r="C10" s="806">
        <v>317</v>
      </c>
      <c r="D10" s="790">
        <v>635</v>
      </c>
      <c r="E10" s="790">
        <v>952</v>
      </c>
      <c r="F10" s="790">
        <v>171</v>
      </c>
      <c r="G10" s="790">
        <v>787</v>
      </c>
      <c r="H10" s="790">
        <v>958</v>
      </c>
      <c r="I10" s="790">
        <v>216</v>
      </c>
      <c r="J10" s="790">
        <v>714</v>
      </c>
      <c r="K10" s="790">
        <v>930</v>
      </c>
      <c r="L10" s="790">
        <v>129</v>
      </c>
      <c r="M10" s="790">
        <v>812</v>
      </c>
      <c r="N10" s="790">
        <v>941</v>
      </c>
      <c r="O10" s="790">
        <v>509</v>
      </c>
      <c r="P10" s="790">
        <v>763</v>
      </c>
      <c r="Q10" s="790">
        <v>1272</v>
      </c>
      <c r="R10" s="790">
        <v>124</v>
      </c>
      <c r="S10" s="790">
        <v>1615</v>
      </c>
      <c r="T10" s="790">
        <v>1739</v>
      </c>
      <c r="U10" s="790">
        <v>333</v>
      </c>
      <c r="V10" s="790">
        <v>1782</v>
      </c>
      <c r="W10" s="790">
        <v>2115</v>
      </c>
      <c r="X10" s="790">
        <v>283</v>
      </c>
      <c r="Y10" s="790">
        <v>1329</v>
      </c>
      <c r="Z10" s="790">
        <v>1612</v>
      </c>
      <c r="AA10" s="790">
        <v>230</v>
      </c>
      <c r="AB10" s="790">
        <v>1029</v>
      </c>
      <c r="AC10" s="790">
        <v>1259</v>
      </c>
      <c r="AD10" s="790">
        <v>134</v>
      </c>
      <c r="AE10" s="790">
        <v>615</v>
      </c>
      <c r="AF10" s="790">
        <v>749</v>
      </c>
      <c r="AH10" s="790">
        <f t="shared" si="0"/>
        <v>704</v>
      </c>
      <c r="AI10" s="790">
        <f t="shared" si="1"/>
        <v>2136</v>
      </c>
      <c r="AJ10" s="790">
        <f t="shared" si="2"/>
        <v>2840</v>
      </c>
      <c r="AK10" s="790">
        <f t="shared" si="3"/>
        <v>1378</v>
      </c>
      <c r="AL10" s="790">
        <f t="shared" si="4"/>
        <v>6301</v>
      </c>
      <c r="AM10" s="790">
        <f t="shared" si="5"/>
        <v>7679</v>
      </c>
      <c r="AN10" s="790">
        <f t="shared" si="6"/>
        <v>364</v>
      </c>
      <c r="AO10" s="790">
        <f t="shared" si="7"/>
        <v>1644</v>
      </c>
      <c r="AP10" s="790">
        <f t="shared" si="8"/>
        <v>2008</v>
      </c>
      <c r="AR10" s="791">
        <f t="shared" si="9"/>
        <v>0.24788732394366197</v>
      </c>
      <c r="AS10" s="791">
        <f t="shared" si="10"/>
        <v>0.17945044927724965</v>
      </c>
      <c r="AT10" s="791">
        <f t="shared" si="11"/>
        <v>0.18127490039840638</v>
      </c>
      <c r="AV10" s="792">
        <v>2782</v>
      </c>
      <c r="AW10" s="792">
        <v>7949</v>
      </c>
      <c r="AX10" s="792">
        <v>2074</v>
      </c>
      <c r="AZ10" s="792">
        <f t="shared" si="12"/>
        <v>689.62253521126763</v>
      </c>
      <c r="BA10" s="792">
        <f t="shared" si="13"/>
        <v>1426.4516213048576</v>
      </c>
      <c r="BB10" s="792">
        <f t="shared" si="14"/>
        <v>375.96414342629481</v>
      </c>
      <c r="BC10" s="809">
        <f t="shared" si="15"/>
        <v>2492.0382999424201</v>
      </c>
    </row>
    <row r="11" spans="1:55" s="789" customFormat="1" ht="12" customHeight="1" x14ac:dyDescent="0.25">
      <c r="A11" s="789" t="s">
        <v>20</v>
      </c>
      <c r="B11" s="793" t="s">
        <v>322</v>
      </c>
      <c r="C11" s="806">
        <v>499</v>
      </c>
      <c r="D11" s="790">
        <v>1423</v>
      </c>
      <c r="E11" s="790">
        <v>1922</v>
      </c>
      <c r="F11" s="790">
        <v>452</v>
      </c>
      <c r="G11" s="790">
        <v>1514</v>
      </c>
      <c r="H11" s="790">
        <v>1966</v>
      </c>
      <c r="I11" s="790">
        <v>424</v>
      </c>
      <c r="J11" s="790">
        <v>2181</v>
      </c>
      <c r="K11" s="790">
        <v>2605</v>
      </c>
      <c r="L11" s="790">
        <v>585</v>
      </c>
      <c r="M11" s="790">
        <v>1914</v>
      </c>
      <c r="N11" s="790">
        <v>2499</v>
      </c>
      <c r="O11" s="790">
        <v>480</v>
      </c>
      <c r="P11" s="790">
        <v>2687</v>
      </c>
      <c r="Q11" s="790">
        <v>3167</v>
      </c>
      <c r="R11" s="790">
        <v>670</v>
      </c>
      <c r="S11" s="790">
        <v>3409</v>
      </c>
      <c r="T11" s="790">
        <v>4079</v>
      </c>
      <c r="U11" s="790">
        <v>695</v>
      </c>
      <c r="V11" s="790">
        <v>4317</v>
      </c>
      <c r="W11" s="790">
        <v>5012</v>
      </c>
      <c r="X11" s="790">
        <v>485</v>
      </c>
      <c r="Y11" s="790">
        <v>3869</v>
      </c>
      <c r="Z11" s="790">
        <v>4354</v>
      </c>
      <c r="AA11" s="790">
        <v>399</v>
      </c>
      <c r="AB11" s="790">
        <v>2737</v>
      </c>
      <c r="AC11" s="790">
        <v>3136</v>
      </c>
      <c r="AD11" s="790">
        <v>491</v>
      </c>
      <c r="AE11" s="790">
        <v>1822</v>
      </c>
      <c r="AF11" s="790">
        <v>2313</v>
      </c>
      <c r="AH11" s="790">
        <f t="shared" si="0"/>
        <v>1375</v>
      </c>
      <c r="AI11" s="790">
        <f t="shared" si="1"/>
        <v>5118</v>
      </c>
      <c r="AJ11" s="790">
        <f t="shared" si="2"/>
        <v>6493</v>
      </c>
      <c r="AK11" s="790">
        <f t="shared" si="3"/>
        <v>2915</v>
      </c>
      <c r="AL11" s="790">
        <f t="shared" si="4"/>
        <v>16196</v>
      </c>
      <c r="AM11" s="790">
        <f t="shared" si="5"/>
        <v>19111</v>
      </c>
      <c r="AN11" s="790">
        <f t="shared" si="6"/>
        <v>890</v>
      </c>
      <c r="AO11" s="790">
        <f t="shared" si="7"/>
        <v>4559</v>
      </c>
      <c r="AP11" s="790">
        <f t="shared" si="8"/>
        <v>5449</v>
      </c>
      <c r="AR11" s="791">
        <f t="shared" si="9"/>
        <v>0.21176651778838748</v>
      </c>
      <c r="AS11" s="791">
        <f t="shared" si="10"/>
        <v>0.15252995656951493</v>
      </c>
      <c r="AT11" s="791">
        <f t="shared" si="11"/>
        <v>0.16333272160029363</v>
      </c>
      <c r="AV11" s="792">
        <v>6688</v>
      </c>
      <c r="AW11" s="792">
        <v>19942</v>
      </c>
      <c r="AX11" s="792">
        <v>5537</v>
      </c>
      <c r="AZ11" s="792">
        <f t="shared" si="12"/>
        <v>1416.2944709687354</v>
      </c>
      <c r="BA11" s="792">
        <f t="shared" si="13"/>
        <v>3041.7523939092666</v>
      </c>
      <c r="BB11" s="792">
        <f t="shared" si="14"/>
        <v>904.3732795008259</v>
      </c>
      <c r="BC11" s="809">
        <f t="shared" si="15"/>
        <v>5362.4201443788279</v>
      </c>
    </row>
    <row r="12" spans="1:55" s="789" customFormat="1" ht="12" customHeight="1" x14ac:dyDescent="0.25">
      <c r="A12" s="789" t="s">
        <v>22</v>
      </c>
      <c r="B12" s="793" t="s">
        <v>323</v>
      </c>
      <c r="C12" s="806">
        <v>272</v>
      </c>
      <c r="D12" s="790">
        <v>542</v>
      </c>
      <c r="E12" s="790">
        <v>814</v>
      </c>
      <c r="F12" s="790">
        <v>406</v>
      </c>
      <c r="G12" s="790">
        <v>780</v>
      </c>
      <c r="H12" s="790">
        <v>1186</v>
      </c>
      <c r="I12" s="790">
        <v>300</v>
      </c>
      <c r="J12" s="790">
        <v>876</v>
      </c>
      <c r="K12" s="790">
        <v>1176</v>
      </c>
      <c r="L12" s="790">
        <v>178</v>
      </c>
      <c r="M12" s="790">
        <v>850</v>
      </c>
      <c r="N12" s="790">
        <v>1028</v>
      </c>
      <c r="O12" s="790">
        <v>556</v>
      </c>
      <c r="P12" s="790">
        <v>1209</v>
      </c>
      <c r="Q12" s="790">
        <v>1765</v>
      </c>
      <c r="R12" s="790">
        <v>224</v>
      </c>
      <c r="S12" s="790">
        <v>1563</v>
      </c>
      <c r="T12" s="790">
        <v>1787</v>
      </c>
      <c r="U12" s="790">
        <v>231</v>
      </c>
      <c r="V12" s="790">
        <v>2075</v>
      </c>
      <c r="W12" s="790">
        <v>2306</v>
      </c>
      <c r="X12" s="790">
        <v>267</v>
      </c>
      <c r="Y12" s="790">
        <v>1758</v>
      </c>
      <c r="Z12" s="790">
        <v>2025</v>
      </c>
      <c r="AA12" s="790">
        <v>230</v>
      </c>
      <c r="AB12" s="790">
        <v>1185</v>
      </c>
      <c r="AC12" s="790">
        <v>1415</v>
      </c>
      <c r="AD12" s="790">
        <v>205</v>
      </c>
      <c r="AE12" s="790">
        <v>895</v>
      </c>
      <c r="AF12" s="790">
        <v>1100</v>
      </c>
      <c r="AH12" s="790">
        <f t="shared" si="0"/>
        <v>978</v>
      </c>
      <c r="AI12" s="790">
        <f t="shared" si="1"/>
        <v>2198</v>
      </c>
      <c r="AJ12" s="790">
        <f t="shared" si="2"/>
        <v>3176</v>
      </c>
      <c r="AK12" s="790">
        <f t="shared" si="3"/>
        <v>1456</v>
      </c>
      <c r="AL12" s="790">
        <f t="shared" si="4"/>
        <v>7455</v>
      </c>
      <c r="AM12" s="790">
        <f t="shared" si="5"/>
        <v>8911</v>
      </c>
      <c r="AN12" s="790">
        <f t="shared" si="6"/>
        <v>435</v>
      </c>
      <c r="AO12" s="790">
        <f t="shared" si="7"/>
        <v>2080</v>
      </c>
      <c r="AP12" s="790">
        <f t="shared" si="8"/>
        <v>2515</v>
      </c>
      <c r="AR12" s="791">
        <f t="shared" si="9"/>
        <v>0.30793450881612089</v>
      </c>
      <c r="AS12" s="791">
        <f t="shared" si="10"/>
        <v>0.16339355852317361</v>
      </c>
      <c r="AT12" s="791">
        <f t="shared" si="11"/>
        <v>0.17296222664015903</v>
      </c>
      <c r="AV12" s="792">
        <v>3299</v>
      </c>
      <c r="AW12" s="792">
        <v>9056</v>
      </c>
      <c r="AX12" s="792">
        <v>2686</v>
      </c>
      <c r="AZ12" s="792">
        <f t="shared" si="12"/>
        <v>1015.8759445843829</v>
      </c>
      <c r="BA12" s="792">
        <f t="shared" si="13"/>
        <v>1479.6920659858602</v>
      </c>
      <c r="BB12" s="792">
        <f t="shared" si="14"/>
        <v>464.57654075546719</v>
      </c>
      <c r="BC12" s="809">
        <f t="shared" si="15"/>
        <v>2960.1445513257104</v>
      </c>
    </row>
    <row r="13" spans="1:55" s="789" customFormat="1" ht="12" customHeight="1" x14ac:dyDescent="0.25">
      <c r="A13" s="789" t="s">
        <v>24</v>
      </c>
      <c r="B13" s="793" t="s">
        <v>324</v>
      </c>
      <c r="C13" s="806">
        <v>1296</v>
      </c>
      <c r="D13" s="790">
        <v>12073</v>
      </c>
      <c r="E13" s="790">
        <v>13369</v>
      </c>
      <c r="F13" s="790">
        <v>1174</v>
      </c>
      <c r="G13" s="790">
        <v>8621</v>
      </c>
      <c r="H13" s="790">
        <v>9795</v>
      </c>
      <c r="I13" s="790">
        <v>1243</v>
      </c>
      <c r="J13" s="790">
        <v>7102</v>
      </c>
      <c r="K13" s="790">
        <v>8345</v>
      </c>
      <c r="L13" s="790">
        <v>3626</v>
      </c>
      <c r="M13" s="790">
        <v>15077</v>
      </c>
      <c r="N13" s="790">
        <v>18703</v>
      </c>
      <c r="O13" s="790">
        <v>3672</v>
      </c>
      <c r="P13" s="790">
        <v>51310</v>
      </c>
      <c r="Q13" s="790">
        <v>54982</v>
      </c>
      <c r="R13" s="790">
        <v>2092</v>
      </c>
      <c r="S13" s="790">
        <v>30150</v>
      </c>
      <c r="T13" s="790">
        <v>32242</v>
      </c>
      <c r="U13" s="790">
        <v>1453</v>
      </c>
      <c r="V13" s="790">
        <v>23764</v>
      </c>
      <c r="W13" s="790">
        <v>25217</v>
      </c>
      <c r="X13" s="790">
        <v>991</v>
      </c>
      <c r="Y13" s="790">
        <v>19273</v>
      </c>
      <c r="Z13" s="790">
        <v>20264</v>
      </c>
      <c r="AA13" s="790">
        <v>804</v>
      </c>
      <c r="AB13" s="790">
        <v>8813</v>
      </c>
      <c r="AC13" s="790">
        <v>9617</v>
      </c>
      <c r="AD13" s="790">
        <v>911</v>
      </c>
      <c r="AE13" s="790">
        <v>6659</v>
      </c>
      <c r="AF13" s="790">
        <v>7570</v>
      </c>
      <c r="AH13" s="790">
        <f t="shared" si="0"/>
        <v>3713</v>
      </c>
      <c r="AI13" s="790">
        <f t="shared" si="1"/>
        <v>27796</v>
      </c>
      <c r="AJ13" s="790">
        <f t="shared" si="2"/>
        <v>31509</v>
      </c>
      <c r="AK13" s="790">
        <f t="shared" si="3"/>
        <v>11834</v>
      </c>
      <c r="AL13" s="790">
        <f t="shared" si="4"/>
        <v>139574</v>
      </c>
      <c r="AM13" s="790">
        <f t="shared" si="5"/>
        <v>151408</v>
      </c>
      <c r="AN13" s="790">
        <f t="shared" si="6"/>
        <v>1715</v>
      </c>
      <c r="AO13" s="790">
        <f t="shared" si="7"/>
        <v>15472</v>
      </c>
      <c r="AP13" s="790">
        <f t="shared" si="8"/>
        <v>17187</v>
      </c>
      <c r="AR13" s="791">
        <f t="shared" si="9"/>
        <v>0.1178393474880193</v>
      </c>
      <c r="AS13" s="791">
        <f t="shared" si="10"/>
        <v>7.8159674521821834E-2</v>
      </c>
      <c r="AT13" s="791">
        <f t="shared" si="11"/>
        <v>9.9784721010065747E-2</v>
      </c>
      <c r="AV13" s="792">
        <v>34495</v>
      </c>
      <c r="AW13" s="792">
        <v>162774</v>
      </c>
      <c r="AX13" s="792">
        <v>18735</v>
      </c>
      <c r="AZ13" s="792">
        <f t="shared" si="12"/>
        <v>4064.8682915992258</v>
      </c>
      <c r="BA13" s="792">
        <f t="shared" si="13"/>
        <v>12722.362860615027</v>
      </c>
      <c r="BB13" s="792">
        <f t="shared" si="14"/>
        <v>1869.4667481235817</v>
      </c>
      <c r="BC13" s="809">
        <f t="shared" si="15"/>
        <v>18656.697900337833</v>
      </c>
    </row>
    <row r="14" spans="1:55" s="789" customFormat="1" ht="12" customHeight="1" x14ac:dyDescent="0.25">
      <c r="A14" s="789" t="s">
        <v>26</v>
      </c>
      <c r="B14" s="793" t="s">
        <v>600</v>
      </c>
      <c r="C14" s="806">
        <v>2102</v>
      </c>
      <c r="D14" s="790">
        <v>5811</v>
      </c>
      <c r="E14" s="790">
        <v>7913</v>
      </c>
      <c r="F14" s="790">
        <v>1941</v>
      </c>
      <c r="G14" s="790">
        <v>5907</v>
      </c>
      <c r="H14" s="790">
        <v>7848</v>
      </c>
      <c r="I14" s="790">
        <v>1921</v>
      </c>
      <c r="J14" s="790">
        <v>7146</v>
      </c>
      <c r="K14" s="790">
        <v>9067</v>
      </c>
      <c r="L14" s="790">
        <v>1702</v>
      </c>
      <c r="M14" s="790">
        <v>6491</v>
      </c>
      <c r="N14" s="790">
        <v>8193</v>
      </c>
      <c r="O14" s="790">
        <v>2319</v>
      </c>
      <c r="P14" s="790">
        <v>10534</v>
      </c>
      <c r="Q14" s="790">
        <v>12853</v>
      </c>
      <c r="R14" s="790">
        <v>2370</v>
      </c>
      <c r="S14" s="790">
        <v>12470</v>
      </c>
      <c r="T14" s="790">
        <v>14840</v>
      </c>
      <c r="U14" s="790">
        <v>1982</v>
      </c>
      <c r="V14" s="790">
        <v>15305</v>
      </c>
      <c r="W14" s="790">
        <v>17287</v>
      </c>
      <c r="X14" s="790">
        <v>1556</v>
      </c>
      <c r="Y14" s="790">
        <v>14218</v>
      </c>
      <c r="Z14" s="790">
        <v>15774</v>
      </c>
      <c r="AA14" s="790">
        <v>1520</v>
      </c>
      <c r="AB14" s="790">
        <v>9036</v>
      </c>
      <c r="AC14" s="790">
        <v>10556</v>
      </c>
      <c r="AD14" s="790">
        <v>1352</v>
      </c>
      <c r="AE14" s="790">
        <v>6963</v>
      </c>
      <c r="AF14" s="790">
        <v>8315</v>
      </c>
      <c r="AH14" s="790">
        <f t="shared" si="0"/>
        <v>5964</v>
      </c>
      <c r="AI14" s="790">
        <f t="shared" si="1"/>
        <v>18864</v>
      </c>
      <c r="AJ14" s="790">
        <f t="shared" si="2"/>
        <v>24828</v>
      </c>
      <c r="AK14" s="790">
        <f t="shared" si="3"/>
        <v>9929</v>
      </c>
      <c r="AL14" s="790">
        <f t="shared" si="4"/>
        <v>59018</v>
      </c>
      <c r="AM14" s="790">
        <f t="shared" si="5"/>
        <v>68947</v>
      </c>
      <c r="AN14" s="790">
        <f t="shared" si="6"/>
        <v>2872</v>
      </c>
      <c r="AO14" s="790">
        <f t="shared" si="7"/>
        <v>15999</v>
      </c>
      <c r="AP14" s="790">
        <f t="shared" si="8"/>
        <v>18871</v>
      </c>
      <c r="AR14" s="791">
        <f t="shared" si="9"/>
        <v>0.24021266312228129</v>
      </c>
      <c r="AS14" s="791">
        <f t="shared" si="10"/>
        <v>0.14400916646119483</v>
      </c>
      <c r="AT14" s="791">
        <f t="shared" si="11"/>
        <v>0.15219119283556781</v>
      </c>
      <c r="AV14" s="792">
        <v>15352</v>
      </c>
      <c r="AW14" s="792">
        <v>46035</v>
      </c>
      <c r="AX14" s="792">
        <v>12162</v>
      </c>
      <c r="AZ14" s="792">
        <f t="shared" si="12"/>
        <v>3687.7448042532624</v>
      </c>
      <c r="BA14" s="792">
        <f t="shared" si="13"/>
        <v>6629.461978041104</v>
      </c>
      <c r="BB14" s="792">
        <f t="shared" si="14"/>
        <v>1850.9492872661758</v>
      </c>
      <c r="BC14" s="809">
        <f t="shared" si="15"/>
        <v>12168.156069560542</v>
      </c>
    </row>
    <row r="15" spans="1:55" s="789" customFormat="1" ht="12" customHeight="1" x14ac:dyDescent="0.25">
      <c r="A15" s="789" t="s">
        <v>27</v>
      </c>
      <c r="B15" s="793" t="s">
        <v>325</v>
      </c>
      <c r="C15" s="806">
        <v>281</v>
      </c>
      <c r="D15" s="790">
        <v>81</v>
      </c>
      <c r="E15" s="790">
        <v>362</v>
      </c>
      <c r="F15" s="790">
        <v>65</v>
      </c>
      <c r="G15" s="790">
        <v>201</v>
      </c>
      <c r="H15" s="790">
        <v>266</v>
      </c>
      <c r="I15" s="790">
        <v>199</v>
      </c>
      <c r="J15" s="790">
        <v>89</v>
      </c>
      <c r="K15" s="790">
        <v>288</v>
      </c>
      <c r="L15" s="790">
        <v>87</v>
      </c>
      <c r="M15" s="790">
        <v>231</v>
      </c>
      <c r="N15" s="790">
        <v>318</v>
      </c>
      <c r="O15" s="790">
        <v>24</v>
      </c>
      <c r="P15" s="790">
        <v>331</v>
      </c>
      <c r="Q15" s="790">
        <v>355</v>
      </c>
      <c r="R15" s="790">
        <v>189</v>
      </c>
      <c r="S15" s="790">
        <v>423</v>
      </c>
      <c r="T15" s="790">
        <v>612</v>
      </c>
      <c r="U15" s="790">
        <v>103</v>
      </c>
      <c r="V15" s="790">
        <v>812</v>
      </c>
      <c r="W15" s="790">
        <v>915</v>
      </c>
      <c r="X15" s="790">
        <v>50</v>
      </c>
      <c r="Y15" s="790">
        <v>538</v>
      </c>
      <c r="Z15" s="790">
        <v>588</v>
      </c>
      <c r="AA15" s="790">
        <v>133</v>
      </c>
      <c r="AB15" s="790">
        <v>403</v>
      </c>
      <c r="AC15" s="790">
        <v>536</v>
      </c>
      <c r="AD15" s="790">
        <v>101</v>
      </c>
      <c r="AE15" s="790">
        <v>346</v>
      </c>
      <c r="AF15" s="790">
        <v>447</v>
      </c>
      <c r="AH15" s="790">
        <f t="shared" si="0"/>
        <v>545</v>
      </c>
      <c r="AI15" s="790">
        <f t="shared" si="1"/>
        <v>371</v>
      </c>
      <c r="AJ15" s="790">
        <f t="shared" si="2"/>
        <v>916</v>
      </c>
      <c r="AK15" s="790">
        <f t="shared" si="3"/>
        <v>453</v>
      </c>
      <c r="AL15" s="790">
        <f t="shared" si="4"/>
        <v>2335</v>
      </c>
      <c r="AM15" s="790">
        <f t="shared" si="5"/>
        <v>2788</v>
      </c>
      <c r="AN15" s="790">
        <f t="shared" si="6"/>
        <v>234</v>
      </c>
      <c r="AO15" s="790">
        <f t="shared" si="7"/>
        <v>749</v>
      </c>
      <c r="AP15" s="790">
        <f t="shared" si="8"/>
        <v>983</v>
      </c>
      <c r="AR15" s="791">
        <f t="shared" si="9"/>
        <v>0.59497816593886466</v>
      </c>
      <c r="AS15" s="791">
        <f t="shared" si="10"/>
        <v>0.16248206599713055</v>
      </c>
      <c r="AT15" s="791">
        <f t="shared" si="11"/>
        <v>0.2380467955239064</v>
      </c>
      <c r="AV15" s="792">
        <v>782</v>
      </c>
      <c r="AW15" s="792">
        <v>2804</v>
      </c>
      <c r="AX15" s="792">
        <v>1071</v>
      </c>
      <c r="AZ15" s="792">
        <f t="shared" si="12"/>
        <v>465.27292576419217</v>
      </c>
      <c r="BA15" s="792">
        <f t="shared" si="13"/>
        <v>455.59971305595406</v>
      </c>
      <c r="BB15" s="792">
        <f t="shared" si="14"/>
        <v>254.94811800610375</v>
      </c>
      <c r="BC15" s="809">
        <f t="shared" si="15"/>
        <v>1175.8207568262501</v>
      </c>
    </row>
    <row r="16" spans="1:55" s="789" customFormat="1" ht="12" customHeight="1" x14ac:dyDescent="0.25">
      <c r="A16" s="789" t="s">
        <v>29</v>
      </c>
      <c r="B16" s="793" t="s">
        <v>737</v>
      </c>
      <c r="C16" s="806">
        <v>1016</v>
      </c>
      <c r="D16" s="790">
        <v>3361</v>
      </c>
      <c r="E16" s="790">
        <v>4377</v>
      </c>
      <c r="F16" s="790">
        <v>1176</v>
      </c>
      <c r="G16" s="790">
        <v>4432</v>
      </c>
      <c r="H16" s="790">
        <v>5608</v>
      </c>
      <c r="I16" s="790">
        <v>756</v>
      </c>
      <c r="J16" s="790">
        <v>5825</v>
      </c>
      <c r="K16" s="790">
        <v>6581</v>
      </c>
      <c r="L16" s="790">
        <v>1109</v>
      </c>
      <c r="M16" s="790">
        <v>3839</v>
      </c>
      <c r="N16" s="790">
        <v>4948</v>
      </c>
      <c r="O16" s="790">
        <v>1117</v>
      </c>
      <c r="P16" s="790">
        <v>5591</v>
      </c>
      <c r="Q16" s="790">
        <v>6708</v>
      </c>
      <c r="R16" s="790">
        <v>1078</v>
      </c>
      <c r="S16" s="790">
        <v>9300</v>
      </c>
      <c r="T16" s="790">
        <v>10378</v>
      </c>
      <c r="U16" s="790">
        <v>1457</v>
      </c>
      <c r="V16" s="790">
        <v>11083</v>
      </c>
      <c r="W16" s="790">
        <v>12540</v>
      </c>
      <c r="X16" s="790">
        <v>1186</v>
      </c>
      <c r="Y16" s="790">
        <v>9867</v>
      </c>
      <c r="Z16" s="790">
        <v>11053</v>
      </c>
      <c r="AA16" s="790">
        <v>732</v>
      </c>
      <c r="AB16" s="790">
        <v>6331</v>
      </c>
      <c r="AC16" s="790">
        <v>7063</v>
      </c>
      <c r="AD16" s="790">
        <v>673</v>
      </c>
      <c r="AE16" s="790">
        <v>3961</v>
      </c>
      <c r="AF16" s="790">
        <v>4634</v>
      </c>
      <c r="AH16" s="790">
        <f t="shared" si="0"/>
        <v>2948</v>
      </c>
      <c r="AI16" s="790">
        <f t="shared" si="1"/>
        <v>13618</v>
      </c>
      <c r="AJ16" s="790">
        <f t="shared" si="2"/>
        <v>16566</v>
      </c>
      <c r="AK16" s="790">
        <f t="shared" si="3"/>
        <v>5947</v>
      </c>
      <c r="AL16" s="790">
        <f t="shared" si="4"/>
        <v>39680</v>
      </c>
      <c r="AM16" s="790">
        <f t="shared" si="5"/>
        <v>45627</v>
      </c>
      <c r="AN16" s="790">
        <f t="shared" si="6"/>
        <v>1405</v>
      </c>
      <c r="AO16" s="790">
        <f t="shared" si="7"/>
        <v>10292</v>
      </c>
      <c r="AP16" s="790">
        <f t="shared" si="8"/>
        <v>11697</v>
      </c>
      <c r="AR16" s="791">
        <f t="shared" si="9"/>
        <v>0.17795484727755645</v>
      </c>
      <c r="AS16" s="791">
        <f t="shared" si="10"/>
        <v>0.13033949196747541</v>
      </c>
      <c r="AT16" s="791">
        <f t="shared" si="11"/>
        <v>0.12011626912883645</v>
      </c>
      <c r="AV16" s="792">
        <v>15022</v>
      </c>
      <c r="AW16" s="792">
        <v>42606</v>
      </c>
      <c r="AX16" s="792">
        <v>11618</v>
      </c>
      <c r="AZ16" s="792">
        <f t="shared" si="12"/>
        <v>2673.2377158034528</v>
      </c>
      <c r="BA16" s="792">
        <f t="shared" si="13"/>
        <v>5553.2443947662568</v>
      </c>
      <c r="BB16" s="792">
        <f t="shared" si="14"/>
        <v>1395.5108147388219</v>
      </c>
      <c r="BC16" s="809">
        <f t="shared" si="15"/>
        <v>9621.992925308532</v>
      </c>
    </row>
    <row r="17" spans="1:55" s="789" customFormat="1" ht="12" customHeight="1" x14ac:dyDescent="0.25">
      <c r="A17" s="789" t="s">
        <v>30</v>
      </c>
      <c r="B17" s="793" t="s">
        <v>326</v>
      </c>
      <c r="C17" s="806">
        <v>10</v>
      </c>
      <c r="D17" s="790">
        <v>297</v>
      </c>
      <c r="E17" s="790">
        <v>307</v>
      </c>
      <c r="F17" s="790">
        <v>50</v>
      </c>
      <c r="G17" s="790">
        <v>262</v>
      </c>
      <c r="H17" s="790">
        <v>312</v>
      </c>
      <c r="I17" s="790">
        <v>83</v>
      </c>
      <c r="J17" s="790">
        <v>502</v>
      </c>
      <c r="K17" s="790">
        <v>585</v>
      </c>
      <c r="L17" s="790">
        <v>120</v>
      </c>
      <c r="M17" s="790">
        <v>262</v>
      </c>
      <c r="N17" s="790">
        <v>382</v>
      </c>
      <c r="O17" s="790">
        <v>32</v>
      </c>
      <c r="P17" s="790">
        <v>690</v>
      </c>
      <c r="Q17" s="790">
        <v>722</v>
      </c>
      <c r="R17" s="790">
        <v>160</v>
      </c>
      <c r="S17" s="790">
        <v>578</v>
      </c>
      <c r="T17" s="790">
        <v>738</v>
      </c>
      <c r="U17" s="790">
        <v>60</v>
      </c>
      <c r="V17" s="790">
        <v>877</v>
      </c>
      <c r="W17" s="790">
        <v>937</v>
      </c>
      <c r="X17" s="790">
        <v>97</v>
      </c>
      <c r="Y17" s="790">
        <v>904</v>
      </c>
      <c r="Z17" s="790">
        <v>1001</v>
      </c>
      <c r="AA17" s="790">
        <v>158</v>
      </c>
      <c r="AB17" s="790">
        <v>597</v>
      </c>
      <c r="AC17" s="790">
        <v>755</v>
      </c>
      <c r="AD17" s="790">
        <v>132</v>
      </c>
      <c r="AE17" s="790">
        <v>312</v>
      </c>
      <c r="AF17" s="790">
        <v>444</v>
      </c>
      <c r="AH17" s="790">
        <f t="shared" si="0"/>
        <v>143</v>
      </c>
      <c r="AI17" s="790">
        <f t="shared" si="1"/>
        <v>1061</v>
      </c>
      <c r="AJ17" s="790">
        <f t="shared" si="2"/>
        <v>1204</v>
      </c>
      <c r="AK17" s="790">
        <f t="shared" si="3"/>
        <v>469</v>
      </c>
      <c r="AL17" s="790">
        <f t="shared" si="4"/>
        <v>3311</v>
      </c>
      <c r="AM17" s="790">
        <f t="shared" si="5"/>
        <v>3780</v>
      </c>
      <c r="AN17" s="790">
        <f t="shared" si="6"/>
        <v>290</v>
      </c>
      <c r="AO17" s="790">
        <f t="shared" si="7"/>
        <v>909</v>
      </c>
      <c r="AP17" s="790">
        <f t="shared" si="8"/>
        <v>1199</v>
      </c>
      <c r="AR17" s="791">
        <f t="shared" si="9"/>
        <v>0.11877076411960133</v>
      </c>
      <c r="AS17" s="791">
        <f t="shared" si="10"/>
        <v>0.12407407407407407</v>
      </c>
      <c r="AT17" s="791">
        <f t="shared" si="11"/>
        <v>0.24186822351959966</v>
      </c>
      <c r="AV17" s="792">
        <v>1204</v>
      </c>
      <c r="AW17" s="792">
        <v>4393</v>
      </c>
      <c r="AX17" s="792">
        <v>1221</v>
      </c>
      <c r="AZ17" s="792">
        <f t="shared" si="12"/>
        <v>143</v>
      </c>
      <c r="BA17" s="792">
        <f t="shared" si="13"/>
        <v>545.05740740740737</v>
      </c>
      <c r="BB17" s="792">
        <f t="shared" si="14"/>
        <v>295.32110091743118</v>
      </c>
      <c r="BC17" s="809">
        <f t="shared" si="15"/>
        <v>983.37850832483855</v>
      </c>
    </row>
    <row r="18" spans="1:55" s="789" customFormat="1" ht="12" customHeight="1" x14ac:dyDescent="0.25">
      <c r="A18" s="789" t="s">
        <v>32</v>
      </c>
      <c r="B18" s="793" t="s">
        <v>327</v>
      </c>
      <c r="C18" s="806">
        <v>298</v>
      </c>
      <c r="D18" s="790">
        <v>1808</v>
      </c>
      <c r="E18" s="790">
        <v>2106</v>
      </c>
      <c r="F18" s="790">
        <v>152</v>
      </c>
      <c r="G18" s="790">
        <v>2119</v>
      </c>
      <c r="H18" s="790">
        <v>2271</v>
      </c>
      <c r="I18" s="790">
        <v>399</v>
      </c>
      <c r="J18" s="790">
        <v>2459</v>
      </c>
      <c r="K18" s="790">
        <v>2858</v>
      </c>
      <c r="L18" s="790">
        <v>297</v>
      </c>
      <c r="M18" s="790">
        <v>1736</v>
      </c>
      <c r="N18" s="790">
        <v>2033</v>
      </c>
      <c r="O18" s="790">
        <v>213</v>
      </c>
      <c r="P18" s="790">
        <v>2385</v>
      </c>
      <c r="Q18" s="790">
        <v>2598</v>
      </c>
      <c r="R18" s="790">
        <v>277</v>
      </c>
      <c r="S18" s="790">
        <v>4250</v>
      </c>
      <c r="T18" s="790">
        <v>4527</v>
      </c>
      <c r="U18" s="790">
        <v>431</v>
      </c>
      <c r="V18" s="790">
        <v>5217</v>
      </c>
      <c r="W18" s="790">
        <v>5648</v>
      </c>
      <c r="X18" s="790">
        <v>371</v>
      </c>
      <c r="Y18" s="790">
        <v>4779</v>
      </c>
      <c r="Z18" s="790">
        <v>5150</v>
      </c>
      <c r="AA18" s="790">
        <v>201</v>
      </c>
      <c r="AB18" s="790">
        <v>2921</v>
      </c>
      <c r="AC18" s="790">
        <v>3122</v>
      </c>
      <c r="AD18" s="790">
        <v>423</v>
      </c>
      <c r="AE18" s="790">
        <v>1760</v>
      </c>
      <c r="AF18" s="790">
        <v>2183</v>
      </c>
      <c r="AH18" s="790">
        <f t="shared" si="0"/>
        <v>849</v>
      </c>
      <c r="AI18" s="790">
        <f t="shared" si="1"/>
        <v>6386</v>
      </c>
      <c r="AJ18" s="790">
        <f t="shared" si="2"/>
        <v>7235</v>
      </c>
      <c r="AK18" s="790">
        <f t="shared" si="3"/>
        <v>1589</v>
      </c>
      <c r="AL18" s="790">
        <f t="shared" si="4"/>
        <v>18367</v>
      </c>
      <c r="AM18" s="790">
        <f t="shared" si="5"/>
        <v>19956</v>
      </c>
      <c r="AN18" s="790">
        <f t="shared" si="6"/>
        <v>624</v>
      </c>
      <c r="AO18" s="790">
        <f t="shared" si="7"/>
        <v>4681</v>
      </c>
      <c r="AP18" s="790">
        <f t="shared" si="8"/>
        <v>5305</v>
      </c>
      <c r="AR18" s="791">
        <f t="shared" si="9"/>
        <v>0.11734623358673117</v>
      </c>
      <c r="AS18" s="791">
        <f t="shared" si="10"/>
        <v>7.9625175385848873E-2</v>
      </c>
      <c r="AT18" s="791">
        <f t="shared" si="11"/>
        <v>0.1176248821866164</v>
      </c>
      <c r="AV18" s="792">
        <v>7171</v>
      </c>
      <c r="AW18" s="792">
        <v>20158</v>
      </c>
      <c r="AX18" s="792">
        <v>5599</v>
      </c>
      <c r="AZ18" s="792">
        <f t="shared" si="12"/>
        <v>841.48984105044929</v>
      </c>
      <c r="BA18" s="792">
        <f t="shared" si="13"/>
        <v>1605.0842854279415</v>
      </c>
      <c r="BB18" s="792">
        <f t="shared" si="14"/>
        <v>658.58171536286522</v>
      </c>
      <c r="BC18" s="809">
        <f t="shared" si="15"/>
        <v>3105.155841841256</v>
      </c>
    </row>
    <row r="19" spans="1:55" s="789" customFormat="1" ht="12" customHeight="1" x14ac:dyDescent="0.25">
      <c r="A19" s="789" t="s">
        <v>36</v>
      </c>
      <c r="B19" s="793" t="s">
        <v>328</v>
      </c>
      <c r="C19" s="806">
        <v>698</v>
      </c>
      <c r="D19" s="790">
        <v>319</v>
      </c>
      <c r="E19" s="790">
        <v>1017</v>
      </c>
      <c r="F19" s="790">
        <v>304</v>
      </c>
      <c r="G19" s="790">
        <v>698</v>
      </c>
      <c r="H19" s="790">
        <v>1002</v>
      </c>
      <c r="I19" s="790">
        <v>521</v>
      </c>
      <c r="J19" s="790">
        <v>761</v>
      </c>
      <c r="K19" s="790">
        <v>1282</v>
      </c>
      <c r="L19" s="790">
        <v>551</v>
      </c>
      <c r="M19" s="790">
        <v>652</v>
      </c>
      <c r="N19" s="790">
        <v>1203</v>
      </c>
      <c r="O19" s="790">
        <v>439</v>
      </c>
      <c r="P19" s="790">
        <v>1113</v>
      </c>
      <c r="Q19" s="790">
        <v>1552</v>
      </c>
      <c r="R19" s="790">
        <v>292</v>
      </c>
      <c r="S19" s="790">
        <v>1302</v>
      </c>
      <c r="T19" s="790">
        <v>1594</v>
      </c>
      <c r="U19" s="790">
        <v>489</v>
      </c>
      <c r="V19" s="790">
        <v>1915</v>
      </c>
      <c r="W19" s="790">
        <v>2404</v>
      </c>
      <c r="X19" s="790">
        <v>456</v>
      </c>
      <c r="Y19" s="790">
        <v>1776</v>
      </c>
      <c r="Z19" s="790">
        <v>2232</v>
      </c>
      <c r="AA19" s="790">
        <v>430</v>
      </c>
      <c r="AB19" s="790">
        <v>1100</v>
      </c>
      <c r="AC19" s="790">
        <v>1530</v>
      </c>
      <c r="AD19" s="790">
        <v>427</v>
      </c>
      <c r="AE19" s="790">
        <v>773</v>
      </c>
      <c r="AF19" s="790">
        <v>1200</v>
      </c>
      <c r="AH19" s="790">
        <f t="shared" si="0"/>
        <v>1523</v>
      </c>
      <c r="AI19" s="790">
        <f t="shared" si="1"/>
        <v>1778</v>
      </c>
      <c r="AJ19" s="790">
        <f t="shared" si="2"/>
        <v>3301</v>
      </c>
      <c r="AK19" s="790">
        <f t="shared" si="3"/>
        <v>2227</v>
      </c>
      <c r="AL19" s="790">
        <f t="shared" si="4"/>
        <v>6758</v>
      </c>
      <c r="AM19" s="790">
        <f t="shared" si="5"/>
        <v>8985</v>
      </c>
      <c r="AN19" s="790">
        <f t="shared" si="6"/>
        <v>857</v>
      </c>
      <c r="AO19" s="790">
        <f t="shared" si="7"/>
        <v>1873</v>
      </c>
      <c r="AP19" s="790">
        <f t="shared" si="8"/>
        <v>2730</v>
      </c>
      <c r="AR19" s="791">
        <f t="shared" si="9"/>
        <v>0.46137534080581644</v>
      </c>
      <c r="AS19" s="791">
        <f t="shared" si="10"/>
        <v>0.24785754034501947</v>
      </c>
      <c r="AT19" s="791">
        <f t="shared" si="11"/>
        <v>0.31391941391941391</v>
      </c>
      <c r="AV19" s="792">
        <v>3196</v>
      </c>
      <c r="AW19" s="792">
        <v>11045</v>
      </c>
      <c r="AX19" s="792">
        <v>2963</v>
      </c>
      <c r="AZ19" s="792">
        <f t="shared" si="12"/>
        <v>1474.5555892153893</v>
      </c>
      <c r="BA19" s="792">
        <f t="shared" si="13"/>
        <v>2737.5865331107402</v>
      </c>
      <c r="BB19" s="792">
        <f t="shared" si="14"/>
        <v>930.14322344322341</v>
      </c>
      <c r="BC19" s="809">
        <f t="shared" si="15"/>
        <v>5142.2853457693527</v>
      </c>
    </row>
    <row r="20" spans="1:55" s="789" customFormat="1" ht="12" customHeight="1" x14ac:dyDescent="0.25">
      <c r="A20" s="789" t="s">
        <v>38</v>
      </c>
      <c r="B20" s="793" t="s">
        <v>329</v>
      </c>
      <c r="C20" s="806">
        <v>716</v>
      </c>
      <c r="D20" s="790">
        <v>612</v>
      </c>
      <c r="E20" s="790">
        <v>1328</v>
      </c>
      <c r="F20" s="790">
        <v>558</v>
      </c>
      <c r="G20" s="790">
        <v>734</v>
      </c>
      <c r="H20" s="790">
        <v>1292</v>
      </c>
      <c r="I20" s="790">
        <v>743</v>
      </c>
      <c r="J20" s="790">
        <v>918</v>
      </c>
      <c r="K20" s="790">
        <v>1661</v>
      </c>
      <c r="L20" s="790">
        <v>507</v>
      </c>
      <c r="M20" s="790">
        <v>1177</v>
      </c>
      <c r="N20" s="790">
        <v>1684</v>
      </c>
      <c r="O20" s="790">
        <v>856</v>
      </c>
      <c r="P20" s="790">
        <v>1660</v>
      </c>
      <c r="Q20" s="790">
        <v>2516</v>
      </c>
      <c r="R20" s="790">
        <v>1095</v>
      </c>
      <c r="S20" s="790">
        <v>2151</v>
      </c>
      <c r="T20" s="790">
        <v>3246</v>
      </c>
      <c r="U20" s="790">
        <v>966</v>
      </c>
      <c r="V20" s="790">
        <v>3033</v>
      </c>
      <c r="W20" s="790">
        <v>3999</v>
      </c>
      <c r="X20" s="790">
        <v>755</v>
      </c>
      <c r="Y20" s="790">
        <v>2737</v>
      </c>
      <c r="Z20" s="790">
        <v>3492</v>
      </c>
      <c r="AA20" s="790">
        <v>508</v>
      </c>
      <c r="AB20" s="790">
        <v>1905</v>
      </c>
      <c r="AC20" s="790">
        <v>2413</v>
      </c>
      <c r="AD20" s="790">
        <v>373</v>
      </c>
      <c r="AE20" s="790">
        <v>1081</v>
      </c>
      <c r="AF20" s="790">
        <v>1454</v>
      </c>
      <c r="AH20" s="790">
        <f t="shared" si="0"/>
        <v>2017</v>
      </c>
      <c r="AI20" s="790">
        <f t="shared" si="1"/>
        <v>2264</v>
      </c>
      <c r="AJ20" s="790">
        <f t="shared" si="2"/>
        <v>4281</v>
      </c>
      <c r="AK20" s="790">
        <f t="shared" si="3"/>
        <v>4179</v>
      </c>
      <c r="AL20" s="790">
        <f t="shared" si="4"/>
        <v>10758</v>
      </c>
      <c r="AM20" s="790">
        <f t="shared" si="5"/>
        <v>14937</v>
      </c>
      <c r="AN20" s="790">
        <f t="shared" si="6"/>
        <v>881</v>
      </c>
      <c r="AO20" s="790">
        <f t="shared" si="7"/>
        <v>2986</v>
      </c>
      <c r="AP20" s="790">
        <f t="shared" si="8"/>
        <v>3867</v>
      </c>
      <c r="AR20" s="791">
        <f t="shared" si="9"/>
        <v>0.4711516000934361</v>
      </c>
      <c r="AS20" s="791">
        <f t="shared" si="10"/>
        <v>0.27977505523197427</v>
      </c>
      <c r="AT20" s="791">
        <f t="shared" si="11"/>
        <v>0.22782518748383759</v>
      </c>
      <c r="AV20" s="792">
        <v>4322</v>
      </c>
      <c r="AW20" s="792">
        <v>15371</v>
      </c>
      <c r="AX20" s="792">
        <v>3888</v>
      </c>
      <c r="AZ20" s="792">
        <f t="shared" si="12"/>
        <v>2036.3172156038308</v>
      </c>
      <c r="BA20" s="792">
        <f t="shared" si="13"/>
        <v>4300.4223739706767</v>
      </c>
      <c r="BB20" s="792">
        <f t="shared" si="14"/>
        <v>885.78432893716058</v>
      </c>
      <c r="BC20" s="809">
        <f t="shared" si="15"/>
        <v>7222.5239185116679</v>
      </c>
    </row>
    <row r="21" spans="1:55" s="789" customFormat="1" ht="12" customHeight="1" x14ac:dyDescent="0.25">
      <c r="A21" s="789" t="s">
        <v>40</v>
      </c>
      <c r="B21" s="793" t="s">
        <v>330</v>
      </c>
      <c r="C21" s="806">
        <v>291</v>
      </c>
      <c r="D21" s="790">
        <v>764</v>
      </c>
      <c r="E21" s="790">
        <v>1055</v>
      </c>
      <c r="F21" s="790">
        <v>182</v>
      </c>
      <c r="G21" s="790">
        <v>348</v>
      </c>
      <c r="H21" s="790">
        <v>530</v>
      </c>
      <c r="I21" s="790">
        <v>369</v>
      </c>
      <c r="J21" s="790">
        <v>582</v>
      </c>
      <c r="K21" s="790">
        <v>951</v>
      </c>
      <c r="L21" s="790">
        <v>228</v>
      </c>
      <c r="M21" s="790">
        <v>627</v>
      </c>
      <c r="N21" s="790">
        <v>855</v>
      </c>
      <c r="O21" s="790">
        <v>231</v>
      </c>
      <c r="P21" s="790">
        <v>902</v>
      </c>
      <c r="Q21" s="790">
        <v>1133</v>
      </c>
      <c r="R21" s="790">
        <v>371</v>
      </c>
      <c r="S21" s="790">
        <v>1116</v>
      </c>
      <c r="T21" s="790">
        <v>1487</v>
      </c>
      <c r="U21" s="790">
        <v>478</v>
      </c>
      <c r="V21" s="790">
        <v>1161</v>
      </c>
      <c r="W21" s="790">
        <v>1639</v>
      </c>
      <c r="X21" s="790">
        <v>373</v>
      </c>
      <c r="Y21" s="790">
        <v>1723</v>
      </c>
      <c r="Z21" s="790">
        <v>2096</v>
      </c>
      <c r="AA21" s="790">
        <v>246</v>
      </c>
      <c r="AB21" s="790">
        <v>1139</v>
      </c>
      <c r="AC21" s="790">
        <v>1385</v>
      </c>
      <c r="AD21" s="790">
        <v>246</v>
      </c>
      <c r="AE21" s="790">
        <v>641</v>
      </c>
      <c r="AF21" s="790">
        <v>887</v>
      </c>
      <c r="AH21" s="790">
        <f t="shared" si="0"/>
        <v>842</v>
      </c>
      <c r="AI21" s="790">
        <f t="shared" si="1"/>
        <v>1694</v>
      </c>
      <c r="AJ21" s="790">
        <f t="shared" si="2"/>
        <v>2536</v>
      </c>
      <c r="AK21" s="790">
        <f t="shared" si="3"/>
        <v>1681</v>
      </c>
      <c r="AL21" s="790">
        <f t="shared" si="4"/>
        <v>5529</v>
      </c>
      <c r="AM21" s="790">
        <f t="shared" si="5"/>
        <v>7210</v>
      </c>
      <c r="AN21" s="790">
        <f t="shared" si="6"/>
        <v>492</v>
      </c>
      <c r="AO21" s="790">
        <f t="shared" si="7"/>
        <v>1780</v>
      </c>
      <c r="AP21" s="790">
        <f t="shared" si="8"/>
        <v>2272</v>
      </c>
      <c r="AR21" s="791">
        <f t="shared" si="9"/>
        <v>0.33201892744479494</v>
      </c>
      <c r="AS21" s="791">
        <f t="shared" si="10"/>
        <v>0.23314840499306519</v>
      </c>
      <c r="AT21" s="791">
        <f t="shared" si="11"/>
        <v>0.21654929577464788</v>
      </c>
      <c r="AV21" s="792">
        <v>3271</v>
      </c>
      <c r="AW21" s="792">
        <v>11461</v>
      </c>
      <c r="AX21" s="792">
        <v>2546</v>
      </c>
      <c r="AZ21" s="792">
        <f t="shared" si="12"/>
        <v>1086.0339116719242</v>
      </c>
      <c r="BA21" s="792">
        <f t="shared" si="13"/>
        <v>2672.1138696255202</v>
      </c>
      <c r="BB21" s="792">
        <f t="shared" si="14"/>
        <v>551.33450704225345</v>
      </c>
      <c r="BC21" s="809">
        <f t="shared" si="15"/>
        <v>4309.4822883396982</v>
      </c>
    </row>
    <row r="22" spans="1:55" s="789" customFormat="1" ht="12" customHeight="1" x14ac:dyDescent="0.25">
      <c r="A22" s="789" t="s">
        <v>42</v>
      </c>
      <c r="B22" s="793" t="s">
        <v>331</v>
      </c>
      <c r="C22" s="806">
        <v>991</v>
      </c>
      <c r="D22" s="790">
        <v>2162</v>
      </c>
      <c r="E22" s="790">
        <v>3153</v>
      </c>
      <c r="F22" s="790">
        <v>919</v>
      </c>
      <c r="G22" s="790">
        <v>3023</v>
      </c>
      <c r="H22" s="790">
        <v>3942</v>
      </c>
      <c r="I22" s="790">
        <v>1389</v>
      </c>
      <c r="J22" s="790">
        <v>3197</v>
      </c>
      <c r="K22" s="790">
        <v>4586</v>
      </c>
      <c r="L22" s="790">
        <v>1443</v>
      </c>
      <c r="M22" s="790">
        <v>3736</v>
      </c>
      <c r="N22" s="790">
        <v>5179</v>
      </c>
      <c r="O22" s="790">
        <v>1150</v>
      </c>
      <c r="P22" s="790">
        <v>4520</v>
      </c>
      <c r="Q22" s="790">
        <v>5670</v>
      </c>
      <c r="R22" s="790">
        <v>1340</v>
      </c>
      <c r="S22" s="790">
        <v>6063</v>
      </c>
      <c r="T22" s="790">
        <v>7403</v>
      </c>
      <c r="U22" s="790">
        <v>1234</v>
      </c>
      <c r="V22" s="790">
        <v>7123</v>
      </c>
      <c r="W22" s="790">
        <v>8357</v>
      </c>
      <c r="X22" s="790">
        <v>798</v>
      </c>
      <c r="Y22" s="790">
        <v>6336</v>
      </c>
      <c r="Z22" s="790">
        <v>7134</v>
      </c>
      <c r="AA22" s="790">
        <v>564</v>
      </c>
      <c r="AB22" s="790">
        <v>4310</v>
      </c>
      <c r="AC22" s="790">
        <v>4874</v>
      </c>
      <c r="AD22" s="790">
        <v>391</v>
      </c>
      <c r="AE22" s="790">
        <v>3113</v>
      </c>
      <c r="AF22" s="790">
        <v>3504</v>
      </c>
      <c r="AH22" s="790">
        <f t="shared" si="0"/>
        <v>3299</v>
      </c>
      <c r="AI22" s="790">
        <f t="shared" si="1"/>
        <v>8382</v>
      </c>
      <c r="AJ22" s="790">
        <f t="shared" si="2"/>
        <v>11681</v>
      </c>
      <c r="AK22" s="790">
        <f t="shared" si="3"/>
        <v>5965</v>
      </c>
      <c r="AL22" s="790">
        <f t="shared" si="4"/>
        <v>27778</v>
      </c>
      <c r="AM22" s="790">
        <f t="shared" si="5"/>
        <v>33743</v>
      </c>
      <c r="AN22" s="790">
        <f t="shared" si="6"/>
        <v>955</v>
      </c>
      <c r="AO22" s="790">
        <f t="shared" si="7"/>
        <v>7423</v>
      </c>
      <c r="AP22" s="790">
        <f t="shared" si="8"/>
        <v>8378</v>
      </c>
      <c r="AR22" s="791">
        <f t="shared" si="9"/>
        <v>0.28242444996147592</v>
      </c>
      <c r="AS22" s="791">
        <f t="shared" si="10"/>
        <v>0.17677740568414191</v>
      </c>
      <c r="AT22" s="791">
        <f t="shared" si="11"/>
        <v>0.11398901885891621</v>
      </c>
      <c r="AV22" s="792">
        <v>11732</v>
      </c>
      <c r="AW22" s="792">
        <v>34424</v>
      </c>
      <c r="AX22" s="792">
        <v>8876</v>
      </c>
      <c r="AZ22" s="792">
        <f t="shared" si="12"/>
        <v>3313.4036469480357</v>
      </c>
      <c r="BA22" s="792">
        <f t="shared" si="13"/>
        <v>6085.3854132709012</v>
      </c>
      <c r="BB22" s="792">
        <f t="shared" si="14"/>
        <v>1011.7665313917403</v>
      </c>
      <c r="BC22" s="809">
        <f t="shared" si="15"/>
        <v>10410.555591610677</v>
      </c>
    </row>
    <row r="23" spans="1:55" s="789" customFormat="1" ht="12" customHeight="1" x14ac:dyDescent="0.25">
      <c r="A23" s="789" t="s">
        <v>44</v>
      </c>
      <c r="B23" s="793" t="s">
        <v>332</v>
      </c>
      <c r="C23" s="806">
        <v>164</v>
      </c>
      <c r="D23" s="790">
        <v>2049</v>
      </c>
      <c r="E23" s="790">
        <v>2213</v>
      </c>
      <c r="F23" s="790">
        <v>485</v>
      </c>
      <c r="G23" s="790">
        <v>1889</v>
      </c>
      <c r="H23" s="790">
        <v>2374</v>
      </c>
      <c r="I23" s="790">
        <v>307</v>
      </c>
      <c r="J23" s="790">
        <v>1756</v>
      </c>
      <c r="K23" s="790">
        <v>2063</v>
      </c>
      <c r="L23" s="790">
        <v>397</v>
      </c>
      <c r="M23" s="790">
        <v>1395</v>
      </c>
      <c r="N23" s="790">
        <v>1792</v>
      </c>
      <c r="O23" s="790">
        <v>367</v>
      </c>
      <c r="P23" s="790">
        <v>3098</v>
      </c>
      <c r="Q23" s="790">
        <v>3465</v>
      </c>
      <c r="R23" s="790">
        <v>440</v>
      </c>
      <c r="S23" s="790">
        <v>3530</v>
      </c>
      <c r="T23" s="790">
        <v>3970</v>
      </c>
      <c r="U23" s="790">
        <v>479</v>
      </c>
      <c r="V23" s="790">
        <v>3781</v>
      </c>
      <c r="W23" s="790">
        <v>4260</v>
      </c>
      <c r="X23" s="790">
        <v>199</v>
      </c>
      <c r="Y23" s="790">
        <v>3356</v>
      </c>
      <c r="Z23" s="790">
        <v>3555</v>
      </c>
      <c r="AA23" s="790">
        <v>331</v>
      </c>
      <c r="AB23" s="790">
        <v>1710</v>
      </c>
      <c r="AC23" s="790">
        <v>2041</v>
      </c>
      <c r="AD23" s="790">
        <v>201</v>
      </c>
      <c r="AE23" s="790">
        <v>1258</v>
      </c>
      <c r="AF23" s="790">
        <v>1459</v>
      </c>
      <c r="AH23" s="790">
        <f t="shared" si="0"/>
        <v>956</v>
      </c>
      <c r="AI23" s="790">
        <f t="shared" si="1"/>
        <v>5694</v>
      </c>
      <c r="AJ23" s="790">
        <f t="shared" si="2"/>
        <v>6650</v>
      </c>
      <c r="AK23" s="790">
        <f t="shared" si="3"/>
        <v>1882</v>
      </c>
      <c r="AL23" s="790">
        <f t="shared" si="4"/>
        <v>15160</v>
      </c>
      <c r="AM23" s="790">
        <f t="shared" si="5"/>
        <v>17042</v>
      </c>
      <c r="AN23" s="790">
        <f t="shared" si="6"/>
        <v>532</v>
      </c>
      <c r="AO23" s="790">
        <f t="shared" si="7"/>
        <v>2968</v>
      </c>
      <c r="AP23" s="790">
        <f t="shared" si="8"/>
        <v>3500</v>
      </c>
      <c r="AR23" s="791">
        <f t="shared" si="9"/>
        <v>0.14375939849624061</v>
      </c>
      <c r="AS23" s="791">
        <f t="shared" si="10"/>
        <v>0.11043304776434691</v>
      </c>
      <c r="AT23" s="791">
        <f t="shared" si="11"/>
        <v>0.152</v>
      </c>
      <c r="AV23" s="792">
        <v>6749</v>
      </c>
      <c r="AW23" s="792">
        <v>17996</v>
      </c>
      <c r="AX23" s="792">
        <v>3929</v>
      </c>
      <c r="AZ23" s="792">
        <f t="shared" si="12"/>
        <v>970.23218045112787</v>
      </c>
      <c r="BA23" s="792">
        <f t="shared" si="13"/>
        <v>1987.3531275671871</v>
      </c>
      <c r="BB23" s="792">
        <f t="shared" si="14"/>
        <v>597.20799999999997</v>
      </c>
      <c r="BC23" s="809">
        <f t="shared" si="15"/>
        <v>3554.7933080183152</v>
      </c>
    </row>
    <row r="24" spans="1:55" s="789" customFormat="1" ht="12" customHeight="1" x14ac:dyDescent="0.25">
      <c r="A24" s="789" t="s">
        <v>46</v>
      </c>
      <c r="B24" s="793" t="s">
        <v>333</v>
      </c>
      <c r="C24" s="806">
        <v>695</v>
      </c>
      <c r="D24" s="790">
        <v>886</v>
      </c>
      <c r="E24" s="790">
        <v>1581</v>
      </c>
      <c r="F24" s="790">
        <v>706</v>
      </c>
      <c r="G24" s="790">
        <v>1365</v>
      </c>
      <c r="H24" s="790">
        <v>2071</v>
      </c>
      <c r="I24" s="790">
        <v>508</v>
      </c>
      <c r="J24" s="790">
        <v>1698</v>
      </c>
      <c r="K24" s="790">
        <v>2206</v>
      </c>
      <c r="L24" s="790">
        <v>639</v>
      </c>
      <c r="M24" s="790">
        <v>1332</v>
      </c>
      <c r="N24" s="790">
        <v>1971</v>
      </c>
      <c r="O24" s="790">
        <v>715</v>
      </c>
      <c r="P24" s="790">
        <v>2365</v>
      </c>
      <c r="Q24" s="790">
        <v>3080</v>
      </c>
      <c r="R24" s="790">
        <v>978</v>
      </c>
      <c r="S24" s="790">
        <v>3094</v>
      </c>
      <c r="T24" s="790">
        <v>4072</v>
      </c>
      <c r="U24" s="790">
        <v>1046</v>
      </c>
      <c r="V24" s="790">
        <v>3504</v>
      </c>
      <c r="W24" s="790">
        <v>4550</v>
      </c>
      <c r="X24" s="790">
        <v>720</v>
      </c>
      <c r="Y24" s="790">
        <v>3814</v>
      </c>
      <c r="Z24" s="790">
        <v>4534</v>
      </c>
      <c r="AA24" s="790">
        <v>568</v>
      </c>
      <c r="AB24" s="790">
        <v>2726</v>
      </c>
      <c r="AC24" s="790">
        <v>3294</v>
      </c>
      <c r="AD24" s="790">
        <v>925</v>
      </c>
      <c r="AE24" s="790">
        <v>1548</v>
      </c>
      <c r="AF24" s="790">
        <v>2473</v>
      </c>
      <c r="AH24" s="790">
        <f t="shared" si="0"/>
        <v>1909</v>
      </c>
      <c r="AI24" s="790">
        <f t="shared" si="1"/>
        <v>3949</v>
      </c>
      <c r="AJ24" s="790">
        <f t="shared" si="2"/>
        <v>5858</v>
      </c>
      <c r="AK24" s="790">
        <f t="shared" si="3"/>
        <v>4098</v>
      </c>
      <c r="AL24" s="790">
        <f t="shared" si="4"/>
        <v>14109</v>
      </c>
      <c r="AM24" s="790">
        <f t="shared" si="5"/>
        <v>18207</v>
      </c>
      <c r="AN24" s="790">
        <f t="shared" si="6"/>
        <v>1493</v>
      </c>
      <c r="AO24" s="790">
        <f t="shared" si="7"/>
        <v>4274</v>
      </c>
      <c r="AP24" s="790">
        <f t="shared" si="8"/>
        <v>5767</v>
      </c>
      <c r="AR24" s="791">
        <f t="shared" si="9"/>
        <v>0.32587913963810172</v>
      </c>
      <c r="AS24" s="791">
        <f t="shared" si="10"/>
        <v>0.22507826660075794</v>
      </c>
      <c r="AT24" s="791">
        <f t="shared" si="11"/>
        <v>0.25888676955089301</v>
      </c>
      <c r="AV24" s="792">
        <v>6062</v>
      </c>
      <c r="AW24" s="792">
        <v>18006</v>
      </c>
      <c r="AX24" s="792">
        <v>5913</v>
      </c>
      <c r="AZ24" s="792">
        <f t="shared" si="12"/>
        <v>1975.4793444861727</v>
      </c>
      <c r="BA24" s="792">
        <f t="shared" si="13"/>
        <v>4052.7592684132474</v>
      </c>
      <c r="BB24" s="792">
        <f t="shared" si="14"/>
        <v>1530.7974683544303</v>
      </c>
      <c r="BC24" s="809">
        <f t="shared" si="15"/>
        <v>7559.0360812538511</v>
      </c>
    </row>
    <row r="25" spans="1:55" s="789" customFormat="1" ht="12" customHeight="1" x14ac:dyDescent="0.25">
      <c r="A25" s="789" t="s">
        <v>48</v>
      </c>
      <c r="B25" s="793" t="s">
        <v>334</v>
      </c>
      <c r="C25" s="806">
        <v>26</v>
      </c>
      <c r="D25" s="790">
        <v>324</v>
      </c>
      <c r="E25" s="790">
        <v>350</v>
      </c>
      <c r="F25" s="790">
        <v>85</v>
      </c>
      <c r="G25" s="790">
        <v>332</v>
      </c>
      <c r="H25" s="790">
        <v>417</v>
      </c>
      <c r="I25" s="790">
        <v>83</v>
      </c>
      <c r="J25" s="790">
        <v>489</v>
      </c>
      <c r="K25" s="790">
        <v>572</v>
      </c>
      <c r="L25" s="790">
        <v>52</v>
      </c>
      <c r="M25" s="790">
        <v>484</v>
      </c>
      <c r="N25" s="790">
        <v>536</v>
      </c>
      <c r="O25" s="790">
        <v>95</v>
      </c>
      <c r="P25" s="790">
        <v>528</v>
      </c>
      <c r="Q25" s="790">
        <v>623</v>
      </c>
      <c r="R25" s="790">
        <v>96</v>
      </c>
      <c r="S25" s="790">
        <v>844</v>
      </c>
      <c r="T25" s="790">
        <v>940</v>
      </c>
      <c r="U25" s="790">
        <v>149</v>
      </c>
      <c r="V25" s="790">
        <v>1210</v>
      </c>
      <c r="W25" s="790">
        <v>1359</v>
      </c>
      <c r="X25" s="790">
        <v>89</v>
      </c>
      <c r="Y25" s="790">
        <v>1137</v>
      </c>
      <c r="Z25" s="790">
        <v>1226</v>
      </c>
      <c r="AA25" s="790">
        <v>121</v>
      </c>
      <c r="AB25" s="790">
        <v>583</v>
      </c>
      <c r="AC25" s="790">
        <v>704</v>
      </c>
      <c r="AD25" s="790">
        <v>82</v>
      </c>
      <c r="AE25" s="790">
        <v>389</v>
      </c>
      <c r="AF25" s="790">
        <v>471</v>
      </c>
      <c r="AH25" s="790">
        <f t="shared" si="0"/>
        <v>194</v>
      </c>
      <c r="AI25" s="790">
        <f t="shared" si="1"/>
        <v>1145</v>
      </c>
      <c r="AJ25" s="790">
        <f t="shared" si="2"/>
        <v>1339</v>
      </c>
      <c r="AK25" s="790">
        <f t="shared" si="3"/>
        <v>481</v>
      </c>
      <c r="AL25" s="790">
        <f t="shared" si="4"/>
        <v>4203</v>
      </c>
      <c r="AM25" s="790">
        <f t="shared" si="5"/>
        <v>4684</v>
      </c>
      <c r="AN25" s="790">
        <f t="shared" si="6"/>
        <v>203</v>
      </c>
      <c r="AO25" s="790">
        <f t="shared" si="7"/>
        <v>972</v>
      </c>
      <c r="AP25" s="790">
        <f t="shared" si="8"/>
        <v>1175</v>
      </c>
      <c r="AR25" s="791">
        <f t="shared" si="9"/>
        <v>0.14488424197162061</v>
      </c>
      <c r="AS25" s="791">
        <f t="shared" si="10"/>
        <v>0.10269000853970965</v>
      </c>
      <c r="AT25" s="791">
        <f t="shared" si="11"/>
        <v>0.1727659574468085</v>
      </c>
      <c r="AV25" s="792">
        <v>1248</v>
      </c>
      <c r="AW25" s="792">
        <v>4724</v>
      </c>
      <c r="AX25" s="792">
        <v>1269</v>
      </c>
      <c r="AZ25" s="792">
        <f t="shared" si="12"/>
        <v>180.81553398058253</v>
      </c>
      <c r="BA25" s="792">
        <f t="shared" si="13"/>
        <v>485.10760034158841</v>
      </c>
      <c r="BB25" s="792">
        <f t="shared" si="14"/>
        <v>219.23999999999998</v>
      </c>
      <c r="BC25" s="809">
        <f t="shared" si="15"/>
        <v>885.16313432217089</v>
      </c>
    </row>
    <row r="26" spans="1:55" s="789" customFormat="1" ht="12" customHeight="1" x14ac:dyDescent="0.25">
      <c r="A26" s="789" t="s">
        <v>50</v>
      </c>
      <c r="B26" s="793" t="s">
        <v>335</v>
      </c>
      <c r="C26" s="806">
        <v>304</v>
      </c>
      <c r="D26" s="790">
        <v>571</v>
      </c>
      <c r="E26" s="790">
        <v>875</v>
      </c>
      <c r="F26" s="790">
        <v>337</v>
      </c>
      <c r="G26" s="790">
        <v>762</v>
      </c>
      <c r="H26" s="790">
        <v>1099</v>
      </c>
      <c r="I26" s="790">
        <v>241</v>
      </c>
      <c r="J26" s="790">
        <v>666</v>
      </c>
      <c r="K26" s="790">
        <v>907</v>
      </c>
      <c r="L26" s="790">
        <v>291</v>
      </c>
      <c r="M26" s="790">
        <v>670</v>
      </c>
      <c r="N26" s="790">
        <v>961</v>
      </c>
      <c r="O26" s="790">
        <v>256</v>
      </c>
      <c r="P26" s="790">
        <v>1029</v>
      </c>
      <c r="Q26" s="790">
        <v>1285</v>
      </c>
      <c r="R26" s="790">
        <v>252</v>
      </c>
      <c r="S26" s="790">
        <v>1127</v>
      </c>
      <c r="T26" s="790">
        <v>1379</v>
      </c>
      <c r="U26" s="790">
        <v>263</v>
      </c>
      <c r="V26" s="790">
        <v>1686</v>
      </c>
      <c r="W26" s="790">
        <v>1949</v>
      </c>
      <c r="X26" s="790">
        <v>317</v>
      </c>
      <c r="Y26" s="790">
        <v>1405</v>
      </c>
      <c r="Z26" s="790">
        <v>1722</v>
      </c>
      <c r="AA26" s="790">
        <v>301</v>
      </c>
      <c r="AB26" s="790">
        <v>987</v>
      </c>
      <c r="AC26" s="790">
        <v>1288</v>
      </c>
      <c r="AD26" s="790">
        <v>281</v>
      </c>
      <c r="AE26" s="790">
        <v>698</v>
      </c>
      <c r="AF26" s="790">
        <v>979</v>
      </c>
      <c r="AH26" s="790">
        <f t="shared" si="0"/>
        <v>882</v>
      </c>
      <c r="AI26" s="790">
        <f t="shared" si="1"/>
        <v>1999</v>
      </c>
      <c r="AJ26" s="790">
        <f t="shared" si="2"/>
        <v>2881</v>
      </c>
      <c r="AK26" s="790">
        <f t="shared" si="3"/>
        <v>1379</v>
      </c>
      <c r="AL26" s="790">
        <f t="shared" si="4"/>
        <v>5917</v>
      </c>
      <c r="AM26" s="790">
        <f t="shared" si="5"/>
        <v>7296</v>
      </c>
      <c r="AN26" s="790">
        <f t="shared" si="6"/>
        <v>582</v>
      </c>
      <c r="AO26" s="790">
        <f t="shared" si="7"/>
        <v>1685</v>
      </c>
      <c r="AP26" s="790">
        <f t="shared" si="8"/>
        <v>2267</v>
      </c>
      <c r="AR26" s="791">
        <f t="shared" si="9"/>
        <v>0.3061437001041305</v>
      </c>
      <c r="AS26" s="791">
        <f t="shared" si="10"/>
        <v>0.18900767543859648</v>
      </c>
      <c r="AT26" s="791">
        <f t="shared" si="11"/>
        <v>0.25672695191883549</v>
      </c>
      <c r="AV26" s="792">
        <v>2769</v>
      </c>
      <c r="AW26" s="792">
        <v>7373</v>
      </c>
      <c r="AX26" s="792">
        <v>2363</v>
      </c>
      <c r="AZ26" s="792">
        <f t="shared" si="12"/>
        <v>847.71190558833734</v>
      </c>
      <c r="BA26" s="792">
        <f t="shared" si="13"/>
        <v>1393.5535910087719</v>
      </c>
      <c r="BB26" s="792">
        <f t="shared" si="14"/>
        <v>606.64578738420823</v>
      </c>
      <c r="BC26" s="809">
        <f t="shared" si="15"/>
        <v>2847.9112839813174</v>
      </c>
    </row>
    <row r="27" spans="1:55" s="789" customFormat="1" ht="12" customHeight="1" x14ac:dyDescent="0.25">
      <c r="A27" s="789" t="s">
        <v>56</v>
      </c>
      <c r="B27" s="793" t="s">
        <v>601</v>
      </c>
      <c r="C27" s="806">
        <v>3314</v>
      </c>
      <c r="D27" s="790">
        <v>21849</v>
      </c>
      <c r="E27" s="790">
        <v>25163</v>
      </c>
      <c r="F27" s="790">
        <v>3832</v>
      </c>
      <c r="G27" s="790">
        <v>24770</v>
      </c>
      <c r="H27" s="790">
        <v>28602</v>
      </c>
      <c r="I27" s="790">
        <v>2771</v>
      </c>
      <c r="J27" s="790">
        <v>28098</v>
      </c>
      <c r="K27" s="790">
        <v>30869</v>
      </c>
      <c r="L27" s="790">
        <v>3398</v>
      </c>
      <c r="M27" s="790">
        <v>22536</v>
      </c>
      <c r="N27" s="790">
        <v>25934</v>
      </c>
      <c r="O27" s="790">
        <v>3796</v>
      </c>
      <c r="P27" s="790">
        <v>35491</v>
      </c>
      <c r="Q27" s="790">
        <v>39287</v>
      </c>
      <c r="R27" s="790">
        <v>3149</v>
      </c>
      <c r="S27" s="790">
        <v>45364</v>
      </c>
      <c r="T27" s="790">
        <v>48513</v>
      </c>
      <c r="U27" s="790">
        <v>3108</v>
      </c>
      <c r="V27" s="790">
        <v>49023</v>
      </c>
      <c r="W27" s="790">
        <v>52131</v>
      </c>
      <c r="X27" s="790">
        <v>2298</v>
      </c>
      <c r="Y27" s="790">
        <v>38362</v>
      </c>
      <c r="Z27" s="790">
        <v>40660</v>
      </c>
      <c r="AA27" s="790">
        <v>1014</v>
      </c>
      <c r="AB27" s="790">
        <v>18964</v>
      </c>
      <c r="AC27" s="790">
        <v>19978</v>
      </c>
      <c r="AD27" s="790">
        <v>1579</v>
      </c>
      <c r="AE27" s="790">
        <v>12761</v>
      </c>
      <c r="AF27" s="790">
        <v>14340</v>
      </c>
      <c r="AH27" s="790">
        <f t="shared" si="0"/>
        <v>9917</v>
      </c>
      <c r="AI27" s="790">
        <f t="shared" si="1"/>
        <v>74717</v>
      </c>
      <c r="AJ27" s="790">
        <f t="shared" si="2"/>
        <v>84634</v>
      </c>
      <c r="AK27" s="790">
        <f t="shared" si="3"/>
        <v>15749</v>
      </c>
      <c r="AL27" s="790">
        <f t="shared" si="4"/>
        <v>190776</v>
      </c>
      <c r="AM27" s="790">
        <f t="shared" si="5"/>
        <v>206525</v>
      </c>
      <c r="AN27" s="790">
        <f t="shared" si="6"/>
        <v>2593</v>
      </c>
      <c r="AO27" s="790">
        <f t="shared" si="7"/>
        <v>31725</v>
      </c>
      <c r="AP27" s="790">
        <f t="shared" si="8"/>
        <v>34318</v>
      </c>
      <c r="AR27" s="791">
        <f t="shared" si="9"/>
        <v>0.11717513056218541</v>
      </c>
      <c r="AS27" s="791">
        <f t="shared" si="10"/>
        <v>7.6257111729814794E-2</v>
      </c>
      <c r="AT27" s="791">
        <f t="shared" si="11"/>
        <v>7.5558016201410338E-2</v>
      </c>
      <c r="AV27" s="792">
        <v>81628</v>
      </c>
      <c r="AW27" s="792">
        <v>203652</v>
      </c>
      <c r="AX27" s="792">
        <v>34997</v>
      </c>
      <c r="AZ27" s="792">
        <f t="shared" si="12"/>
        <v>9564.7715575300699</v>
      </c>
      <c r="BA27" s="792">
        <f t="shared" si="13"/>
        <v>15529.913318000243</v>
      </c>
      <c r="BB27" s="792">
        <f t="shared" si="14"/>
        <v>2644.3038930007574</v>
      </c>
      <c r="BC27" s="809">
        <f t="shared" si="15"/>
        <v>27738.988768531071</v>
      </c>
    </row>
    <row r="28" spans="1:55" s="789" customFormat="1" ht="12" customHeight="1" x14ac:dyDescent="0.25">
      <c r="A28" s="789" t="s">
        <v>58</v>
      </c>
      <c r="B28" s="793" t="s">
        <v>336</v>
      </c>
      <c r="C28" s="806">
        <v>130</v>
      </c>
      <c r="D28" s="790">
        <v>683</v>
      </c>
      <c r="E28" s="790">
        <v>813</v>
      </c>
      <c r="F28" s="790">
        <v>70</v>
      </c>
      <c r="G28" s="790">
        <v>1072</v>
      </c>
      <c r="H28" s="790">
        <v>1142</v>
      </c>
      <c r="I28" s="790">
        <v>53</v>
      </c>
      <c r="J28" s="790">
        <v>1155</v>
      </c>
      <c r="K28" s="790">
        <v>1208</v>
      </c>
      <c r="L28" s="790">
        <v>143</v>
      </c>
      <c r="M28" s="790">
        <v>622</v>
      </c>
      <c r="N28" s="790">
        <v>765</v>
      </c>
      <c r="O28" s="790">
        <v>143</v>
      </c>
      <c r="P28" s="790">
        <v>1057</v>
      </c>
      <c r="Q28" s="790">
        <v>1200</v>
      </c>
      <c r="R28" s="790">
        <v>147</v>
      </c>
      <c r="S28" s="790">
        <v>1810</v>
      </c>
      <c r="T28" s="790">
        <v>1957</v>
      </c>
      <c r="U28" s="790">
        <v>167</v>
      </c>
      <c r="V28" s="790">
        <v>2288</v>
      </c>
      <c r="W28" s="790">
        <v>2455</v>
      </c>
      <c r="X28" s="790">
        <v>163</v>
      </c>
      <c r="Y28" s="790">
        <v>1919</v>
      </c>
      <c r="Z28" s="790">
        <v>2082</v>
      </c>
      <c r="AA28" s="790">
        <v>47</v>
      </c>
      <c r="AB28" s="790">
        <v>1109</v>
      </c>
      <c r="AC28" s="790">
        <v>1156</v>
      </c>
      <c r="AD28" s="790">
        <v>104</v>
      </c>
      <c r="AE28" s="790">
        <v>861</v>
      </c>
      <c r="AF28" s="790">
        <v>965</v>
      </c>
      <c r="AH28" s="790">
        <f t="shared" si="0"/>
        <v>253</v>
      </c>
      <c r="AI28" s="790">
        <f t="shared" si="1"/>
        <v>2910</v>
      </c>
      <c r="AJ28" s="790">
        <f t="shared" si="2"/>
        <v>3163</v>
      </c>
      <c r="AK28" s="790">
        <f t="shared" si="3"/>
        <v>763</v>
      </c>
      <c r="AL28" s="790">
        <f t="shared" si="4"/>
        <v>7696</v>
      </c>
      <c r="AM28" s="790">
        <f t="shared" si="5"/>
        <v>8459</v>
      </c>
      <c r="AN28" s="790">
        <f t="shared" si="6"/>
        <v>151</v>
      </c>
      <c r="AO28" s="790">
        <f t="shared" si="7"/>
        <v>1970</v>
      </c>
      <c r="AP28" s="790">
        <f t="shared" si="8"/>
        <v>2121</v>
      </c>
      <c r="AR28" s="791">
        <f t="shared" si="9"/>
        <v>7.9987353778058809E-2</v>
      </c>
      <c r="AS28" s="791">
        <f t="shared" si="10"/>
        <v>9.0199787208889937E-2</v>
      </c>
      <c r="AT28" s="791">
        <f t="shared" si="11"/>
        <v>7.119283356907119E-2</v>
      </c>
      <c r="AV28" s="792">
        <v>3169</v>
      </c>
      <c r="AW28" s="792">
        <v>8724</v>
      </c>
      <c r="AX28" s="792">
        <v>2365</v>
      </c>
      <c r="AZ28" s="792">
        <f t="shared" si="12"/>
        <v>253.47992412266836</v>
      </c>
      <c r="BA28" s="792">
        <f t="shared" si="13"/>
        <v>786.90294361035581</v>
      </c>
      <c r="BB28" s="792">
        <f t="shared" si="14"/>
        <v>168.37105139085335</v>
      </c>
      <c r="BC28" s="809">
        <f t="shared" si="15"/>
        <v>1208.7539191238775</v>
      </c>
    </row>
    <row r="29" spans="1:55" s="789" customFormat="1" ht="12" customHeight="1" x14ac:dyDescent="0.25">
      <c r="A29" s="789" t="s">
        <v>60</v>
      </c>
      <c r="B29" s="793" t="s">
        <v>337</v>
      </c>
      <c r="C29" s="806">
        <v>67</v>
      </c>
      <c r="D29" s="790">
        <v>322</v>
      </c>
      <c r="E29" s="790">
        <v>389</v>
      </c>
      <c r="F29" s="790">
        <v>52</v>
      </c>
      <c r="G29" s="790">
        <v>370</v>
      </c>
      <c r="H29" s="790">
        <v>422</v>
      </c>
      <c r="I29" s="790">
        <v>17</v>
      </c>
      <c r="J29" s="790">
        <v>311</v>
      </c>
      <c r="K29" s="790">
        <v>328</v>
      </c>
      <c r="L29" s="790">
        <v>25</v>
      </c>
      <c r="M29" s="790">
        <v>302</v>
      </c>
      <c r="N29" s="790">
        <v>327</v>
      </c>
      <c r="O29" s="790">
        <v>50</v>
      </c>
      <c r="P29" s="790">
        <v>445</v>
      </c>
      <c r="Q29" s="790">
        <v>495</v>
      </c>
      <c r="R29" s="790">
        <v>20</v>
      </c>
      <c r="S29" s="790">
        <v>759</v>
      </c>
      <c r="T29" s="790">
        <v>779</v>
      </c>
      <c r="U29" s="790">
        <v>12</v>
      </c>
      <c r="V29" s="790">
        <v>837</v>
      </c>
      <c r="W29" s="790">
        <v>849</v>
      </c>
      <c r="X29" s="790">
        <v>16</v>
      </c>
      <c r="Y29" s="790">
        <v>771</v>
      </c>
      <c r="Z29" s="790">
        <v>787</v>
      </c>
      <c r="AA29" s="790">
        <v>54</v>
      </c>
      <c r="AB29" s="790">
        <v>373</v>
      </c>
      <c r="AC29" s="790">
        <v>427</v>
      </c>
      <c r="AD29" s="790">
        <v>60</v>
      </c>
      <c r="AE29" s="790">
        <v>257</v>
      </c>
      <c r="AF29" s="790">
        <v>317</v>
      </c>
      <c r="AH29" s="790">
        <f t="shared" si="0"/>
        <v>136</v>
      </c>
      <c r="AI29" s="790">
        <f t="shared" si="1"/>
        <v>1003</v>
      </c>
      <c r="AJ29" s="790">
        <f t="shared" si="2"/>
        <v>1139</v>
      </c>
      <c r="AK29" s="790">
        <f t="shared" si="3"/>
        <v>123</v>
      </c>
      <c r="AL29" s="790">
        <f t="shared" si="4"/>
        <v>3114</v>
      </c>
      <c r="AM29" s="790">
        <f t="shared" si="5"/>
        <v>3237</v>
      </c>
      <c r="AN29" s="790">
        <f t="shared" si="6"/>
        <v>114</v>
      </c>
      <c r="AO29" s="790">
        <f t="shared" si="7"/>
        <v>630</v>
      </c>
      <c r="AP29" s="790">
        <f t="shared" si="8"/>
        <v>744</v>
      </c>
      <c r="AR29" s="791">
        <f t="shared" si="9"/>
        <v>0.11940298507462686</v>
      </c>
      <c r="AS29" s="791">
        <f t="shared" si="10"/>
        <v>3.7998146431881374E-2</v>
      </c>
      <c r="AT29" s="791">
        <f t="shared" si="11"/>
        <v>0.15322580645161291</v>
      </c>
      <c r="AV29" s="792">
        <v>1096</v>
      </c>
      <c r="AW29" s="792">
        <v>3155</v>
      </c>
      <c r="AX29" s="792">
        <v>848</v>
      </c>
      <c r="AZ29" s="792">
        <f t="shared" si="12"/>
        <v>130.86567164179104</v>
      </c>
      <c r="BA29" s="792">
        <f t="shared" si="13"/>
        <v>119.88415199258574</v>
      </c>
      <c r="BB29" s="792">
        <f t="shared" si="14"/>
        <v>129.93548387096774</v>
      </c>
      <c r="BC29" s="809">
        <f t="shared" si="15"/>
        <v>380.68530750534455</v>
      </c>
    </row>
    <row r="30" spans="1:55" s="789" customFormat="1" ht="12" customHeight="1" x14ac:dyDescent="0.25">
      <c r="A30" s="789" t="s">
        <v>62</v>
      </c>
      <c r="B30" s="793" t="s">
        <v>338</v>
      </c>
      <c r="C30" s="806">
        <v>613</v>
      </c>
      <c r="D30" s="790">
        <v>3390</v>
      </c>
      <c r="E30" s="790">
        <v>4003</v>
      </c>
      <c r="F30" s="790">
        <v>589</v>
      </c>
      <c r="G30" s="790">
        <v>3432</v>
      </c>
      <c r="H30" s="790">
        <v>4021</v>
      </c>
      <c r="I30" s="790">
        <v>353</v>
      </c>
      <c r="J30" s="790">
        <v>3181</v>
      </c>
      <c r="K30" s="790">
        <v>3534</v>
      </c>
      <c r="L30" s="790">
        <v>571</v>
      </c>
      <c r="M30" s="790">
        <v>2859</v>
      </c>
      <c r="N30" s="790">
        <v>3430</v>
      </c>
      <c r="O30" s="790">
        <v>746</v>
      </c>
      <c r="P30" s="790">
        <v>4944</v>
      </c>
      <c r="Q30" s="790">
        <v>5690</v>
      </c>
      <c r="R30" s="790">
        <v>551</v>
      </c>
      <c r="S30" s="790">
        <v>6251</v>
      </c>
      <c r="T30" s="790">
        <v>6802</v>
      </c>
      <c r="U30" s="790">
        <v>465</v>
      </c>
      <c r="V30" s="790">
        <v>6081</v>
      </c>
      <c r="W30" s="790">
        <v>6546</v>
      </c>
      <c r="X30" s="790">
        <v>436</v>
      </c>
      <c r="Y30" s="790">
        <v>4968</v>
      </c>
      <c r="Z30" s="790">
        <v>5404</v>
      </c>
      <c r="AA30" s="790">
        <v>243</v>
      </c>
      <c r="AB30" s="790">
        <v>2893</v>
      </c>
      <c r="AC30" s="790">
        <v>3136</v>
      </c>
      <c r="AD30" s="790">
        <v>294</v>
      </c>
      <c r="AE30" s="790">
        <v>1797</v>
      </c>
      <c r="AF30" s="790">
        <v>2091</v>
      </c>
      <c r="AH30" s="790">
        <f t="shared" si="0"/>
        <v>1555</v>
      </c>
      <c r="AI30" s="790">
        <f t="shared" si="1"/>
        <v>10003</v>
      </c>
      <c r="AJ30" s="790">
        <f t="shared" si="2"/>
        <v>11558</v>
      </c>
      <c r="AK30" s="790">
        <f t="shared" si="3"/>
        <v>2769</v>
      </c>
      <c r="AL30" s="790">
        <f t="shared" si="4"/>
        <v>25103</v>
      </c>
      <c r="AM30" s="790">
        <f t="shared" si="5"/>
        <v>27872</v>
      </c>
      <c r="AN30" s="790">
        <f t="shared" si="6"/>
        <v>537</v>
      </c>
      <c r="AO30" s="790">
        <f t="shared" si="7"/>
        <v>4690</v>
      </c>
      <c r="AP30" s="790">
        <f t="shared" si="8"/>
        <v>5227</v>
      </c>
      <c r="AR30" s="791">
        <f t="shared" si="9"/>
        <v>0.13453884755147949</v>
      </c>
      <c r="AS30" s="791">
        <f t="shared" si="10"/>
        <v>9.9347014925373137E-2</v>
      </c>
      <c r="AT30" s="791">
        <f t="shared" si="11"/>
        <v>0.10273579491103883</v>
      </c>
      <c r="AV30" s="792">
        <v>12053</v>
      </c>
      <c r="AW30" s="792">
        <v>29424</v>
      </c>
      <c r="AX30" s="792">
        <v>5999</v>
      </c>
      <c r="AZ30" s="792">
        <f t="shared" si="12"/>
        <v>1621.5967295379824</v>
      </c>
      <c r="BA30" s="792">
        <f t="shared" si="13"/>
        <v>2923.186567164179</v>
      </c>
      <c r="BB30" s="792">
        <f t="shared" si="14"/>
        <v>616.31203367132196</v>
      </c>
      <c r="BC30" s="809">
        <f t="shared" si="15"/>
        <v>5161.0953303734832</v>
      </c>
    </row>
    <row r="31" spans="1:55" s="789" customFormat="1" ht="12" customHeight="1" x14ac:dyDescent="0.25">
      <c r="A31" s="789" t="s">
        <v>64</v>
      </c>
      <c r="B31" s="793" t="s">
        <v>339</v>
      </c>
      <c r="C31" s="806">
        <v>311</v>
      </c>
      <c r="D31" s="790">
        <v>413</v>
      </c>
      <c r="E31" s="790">
        <v>724</v>
      </c>
      <c r="F31" s="790">
        <v>110</v>
      </c>
      <c r="G31" s="790">
        <v>612</v>
      </c>
      <c r="H31" s="790">
        <v>722</v>
      </c>
      <c r="I31" s="790">
        <v>317</v>
      </c>
      <c r="J31" s="790">
        <v>517</v>
      </c>
      <c r="K31" s="790">
        <v>834</v>
      </c>
      <c r="L31" s="790">
        <v>320</v>
      </c>
      <c r="M31" s="790">
        <v>582</v>
      </c>
      <c r="N31" s="790">
        <v>902</v>
      </c>
      <c r="O31" s="790">
        <v>177</v>
      </c>
      <c r="P31" s="790">
        <v>839</v>
      </c>
      <c r="Q31" s="790">
        <v>1016</v>
      </c>
      <c r="R31" s="790">
        <v>280</v>
      </c>
      <c r="S31" s="790">
        <v>1101</v>
      </c>
      <c r="T31" s="790">
        <v>1381</v>
      </c>
      <c r="U31" s="790">
        <v>215</v>
      </c>
      <c r="V31" s="790">
        <v>1163</v>
      </c>
      <c r="W31" s="790">
        <v>1378</v>
      </c>
      <c r="X31" s="790">
        <v>209</v>
      </c>
      <c r="Y31" s="790">
        <v>1191</v>
      </c>
      <c r="Z31" s="790">
        <v>1400</v>
      </c>
      <c r="AA31" s="790">
        <v>168</v>
      </c>
      <c r="AB31" s="790">
        <v>737</v>
      </c>
      <c r="AC31" s="790">
        <v>905</v>
      </c>
      <c r="AD31" s="790">
        <v>177</v>
      </c>
      <c r="AE31" s="790">
        <v>458</v>
      </c>
      <c r="AF31" s="790">
        <v>635</v>
      </c>
      <c r="AH31" s="790">
        <f t="shared" si="0"/>
        <v>738</v>
      </c>
      <c r="AI31" s="790">
        <f t="shared" si="1"/>
        <v>1542</v>
      </c>
      <c r="AJ31" s="790">
        <f t="shared" si="2"/>
        <v>2280</v>
      </c>
      <c r="AK31" s="790">
        <f t="shared" si="3"/>
        <v>1201</v>
      </c>
      <c r="AL31" s="790">
        <f t="shared" si="4"/>
        <v>4876</v>
      </c>
      <c r="AM31" s="790">
        <f t="shared" si="5"/>
        <v>6077</v>
      </c>
      <c r="AN31" s="790">
        <f t="shared" si="6"/>
        <v>345</v>
      </c>
      <c r="AO31" s="790">
        <f t="shared" si="7"/>
        <v>1195</v>
      </c>
      <c r="AP31" s="790">
        <f t="shared" si="8"/>
        <v>1540</v>
      </c>
      <c r="AR31" s="791">
        <f t="shared" si="9"/>
        <v>0.3236842105263158</v>
      </c>
      <c r="AS31" s="791">
        <f t="shared" si="10"/>
        <v>0.19763040974164883</v>
      </c>
      <c r="AT31" s="791">
        <f t="shared" si="11"/>
        <v>0.22402597402597402</v>
      </c>
      <c r="AV31" s="792">
        <v>2228</v>
      </c>
      <c r="AW31" s="792">
        <v>6071</v>
      </c>
      <c r="AX31" s="792">
        <v>1670</v>
      </c>
      <c r="AZ31" s="792">
        <f t="shared" si="12"/>
        <v>721.16842105263163</v>
      </c>
      <c r="BA31" s="792">
        <f t="shared" si="13"/>
        <v>1199.8142175415501</v>
      </c>
      <c r="BB31" s="792">
        <f t="shared" si="14"/>
        <v>374.1233766233766</v>
      </c>
      <c r="BC31" s="809">
        <f t="shared" si="15"/>
        <v>2295.1060152175583</v>
      </c>
    </row>
    <row r="32" spans="1:55" s="789" customFormat="1" ht="12" customHeight="1" x14ac:dyDescent="0.25">
      <c r="A32" s="789" t="s">
        <v>68</v>
      </c>
      <c r="B32" s="793" t="s">
        <v>340</v>
      </c>
      <c r="C32" s="806">
        <v>360</v>
      </c>
      <c r="D32" s="790">
        <v>693</v>
      </c>
      <c r="E32" s="790">
        <v>1053</v>
      </c>
      <c r="F32" s="790">
        <v>428</v>
      </c>
      <c r="G32" s="790">
        <v>554</v>
      </c>
      <c r="H32" s="790">
        <v>982</v>
      </c>
      <c r="I32" s="790">
        <v>514</v>
      </c>
      <c r="J32" s="790">
        <v>790</v>
      </c>
      <c r="K32" s="790">
        <v>1304</v>
      </c>
      <c r="L32" s="790">
        <v>431</v>
      </c>
      <c r="M32" s="790">
        <v>721</v>
      </c>
      <c r="N32" s="790">
        <v>1152</v>
      </c>
      <c r="O32" s="790">
        <v>408</v>
      </c>
      <c r="P32" s="790">
        <v>1440</v>
      </c>
      <c r="Q32" s="790">
        <v>1848</v>
      </c>
      <c r="R32" s="790">
        <v>809</v>
      </c>
      <c r="S32" s="790">
        <v>1222</v>
      </c>
      <c r="T32" s="790">
        <v>2031</v>
      </c>
      <c r="U32" s="790">
        <v>550</v>
      </c>
      <c r="V32" s="790">
        <v>1993</v>
      </c>
      <c r="W32" s="790">
        <v>2543</v>
      </c>
      <c r="X32" s="790">
        <v>443</v>
      </c>
      <c r="Y32" s="790">
        <v>1857</v>
      </c>
      <c r="Z32" s="790">
        <v>2300</v>
      </c>
      <c r="AA32" s="790">
        <v>379</v>
      </c>
      <c r="AB32" s="790">
        <v>1162</v>
      </c>
      <c r="AC32" s="790">
        <v>1541</v>
      </c>
      <c r="AD32" s="790">
        <v>236</v>
      </c>
      <c r="AE32" s="790">
        <v>822</v>
      </c>
      <c r="AF32" s="790">
        <v>1058</v>
      </c>
      <c r="AH32" s="790">
        <f t="shared" si="0"/>
        <v>1302</v>
      </c>
      <c r="AI32" s="790">
        <f t="shared" si="1"/>
        <v>2037</v>
      </c>
      <c r="AJ32" s="790">
        <f t="shared" si="2"/>
        <v>3339</v>
      </c>
      <c r="AK32" s="790">
        <f t="shared" si="3"/>
        <v>2641</v>
      </c>
      <c r="AL32" s="790">
        <f t="shared" si="4"/>
        <v>7233</v>
      </c>
      <c r="AM32" s="790">
        <f t="shared" si="5"/>
        <v>9874</v>
      </c>
      <c r="AN32" s="790">
        <f t="shared" si="6"/>
        <v>615</v>
      </c>
      <c r="AO32" s="790">
        <f t="shared" si="7"/>
        <v>1984</v>
      </c>
      <c r="AP32" s="790">
        <f t="shared" si="8"/>
        <v>2599</v>
      </c>
      <c r="AR32" s="791">
        <f t="shared" si="9"/>
        <v>0.38993710691823902</v>
      </c>
      <c r="AS32" s="791">
        <f t="shared" si="10"/>
        <v>0.26747012355681588</v>
      </c>
      <c r="AT32" s="791">
        <f t="shared" si="11"/>
        <v>0.23662947287418237</v>
      </c>
      <c r="AV32" s="792">
        <v>3221</v>
      </c>
      <c r="AW32" s="792">
        <v>9831</v>
      </c>
      <c r="AX32" s="792">
        <v>2689</v>
      </c>
      <c r="AZ32" s="792">
        <f t="shared" si="12"/>
        <v>1255.9874213836479</v>
      </c>
      <c r="BA32" s="792">
        <f t="shared" si="13"/>
        <v>2629.4987846870567</v>
      </c>
      <c r="BB32" s="792">
        <f t="shared" si="14"/>
        <v>636.29665255867644</v>
      </c>
      <c r="BC32" s="809">
        <f t="shared" si="15"/>
        <v>4521.7828586293808</v>
      </c>
    </row>
    <row r="33" spans="1:55" s="789" customFormat="1" ht="12" customHeight="1" x14ac:dyDescent="0.25">
      <c r="A33" s="789" t="s">
        <v>70</v>
      </c>
      <c r="B33" s="793" t="s">
        <v>341</v>
      </c>
      <c r="C33" s="806">
        <v>416</v>
      </c>
      <c r="D33" s="790">
        <v>1502</v>
      </c>
      <c r="E33" s="790">
        <v>1918</v>
      </c>
      <c r="F33" s="790">
        <v>205</v>
      </c>
      <c r="G33" s="790">
        <v>1686</v>
      </c>
      <c r="H33" s="790">
        <v>1891</v>
      </c>
      <c r="I33" s="790">
        <v>464</v>
      </c>
      <c r="J33" s="790">
        <v>1947</v>
      </c>
      <c r="K33" s="790">
        <v>2411</v>
      </c>
      <c r="L33" s="790">
        <v>367</v>
      </c>
      <c r="M33" s="790">
        <v>2150</v>
      </c>
      <c r="N33" s="790">
        <v>2517</v>
      </c>
      <c r="O33" s="790">
        <v>300</v>
      </c>
      <c r="P33" s="790">
        <v>2386</v>
      </c>
      <c r="Q33" s="790">
        <v>2686</v>
      </c>
      <c r="R33" s="790">
        <v>489</v>
      </c>
      <c r="S33" s="790">
        <v>3512</v>
      </c>
      <c r="T33" s="790">
        <v>4001</v>
      </c>
      <c r="U33" s="790">
        <v>754</v>
      </c>
      <c r="V33" s="790">
        <v>3861</v>
      </c>
      <c r="W33" s="790">
        <v>4615</v>
      </c>
      <c r="X33" s="790">
        <v>650</v>
      </c>
      <c r="Y33" s="790">
        <v>2849</v>
      </c>
      <c r="Z33" s="790">
        <v>3499</v>
      </c>
      <c r="AA33" s="790">
        <v>358</v>
      </c>
      <c r="AB33" s="790">
        <v>1902</v>
      </c>
      <c r="AC33" s="790">
        <v>2260</v>
      </c>
      <c r="AD33" s="790">
        <v>298</v>
      </c>
      <c r="AE33" s="790">
        <v>1110</v>
      </c>
      <c r="AF33" s="790">
        <v>1408</v>
      </c>
      <c r="AH33" s="790">
        <f t="shared" si="0"/>
        <v>1085</v>
      </c>
      <c r="AI33" s="790">
        <f t="shared" si="1"/>
        <v>5135</v>
      </c>
      <c r="AJ33" s="790">
        <f t="shared" si="2"/>
        <v>6220</v>
      </c>
      <c r="AK33" s="790">
        <f t="shared" si="3"/>
        <v>2560</v>
      </c>
      <c r="AL33" s="790">
        <f t="shared" si="4"/>
        <v>14758</v>
      </c>
      <c r="AM33" s="790">
        <f t="shared" si="5"/>
        <v>17318</v>
      </c>
      <c r="AN33" s="790">
        <f t="shared" si="6"/>
        <v>656</v>
      </c>
      <c r="AO33" s="790">
        <f t="shared" si="7"/>
        <v>3012</v>
      </c>
      <c r="AP33" s="790">
        <f t="shared" si="8"/>
        <v>3668</v>
      </c>
      <c r="AR33" s="791">
        <f t="shared" si="9"/>
        <v>0.17443729903536978</v>
      </c>
      <c r="AS33" s="791">
        <f t="shared" si="10"/>
        <v>0.14782307425799746</v>
      </c>
      <c r="AT33" s="791">
        <f t="shared" si="11"/>
        <v>0.17884405670665213</v>
      </c>
      <c r="AV33" s="792">
        <v>6118</v>
      </c>
      <c r="AW33" s="792">
        <v>17870</v>
      </c>
      <c r="AX33" s="792">
        <v>3930</v>
      </c>
      <c r="AZ33" s="792">
        <f t="shared" si="12"/>
        <v>1067.2073954983923</v>
      </c>
      <c r="BA33" s="792">
        <f t="shared" si="13"/>
        <v>2641.5983369904147</v>
      </c>
      <c r="BB33" s="792">
        <f t="shared" si="14"/>
        <v>702.85714285714289</v>
      </c>
      <c r="BC33" s="809">
        <f t="shared" si="15"/>
        <v>4411.6628753459499</v>
      </c>
    </row>
    <row r="34" spans="1:55" s="789" customFormat="1" ht="12" customHeight="1" x14ac:dyDescent="0.25">
      <c r="A34" s="789" t="s">
        <v>72</v>
      </c>
      <c r="B34" s="793" t="s">
        <v>342</v>
      </c>
      <c r="C34" s="806">
        <v>185</v>
      </c>
      <c r="D34" s="790">
        <v>490</v>
      </c>
      <c r="E34" s="790">
        <v>675</v>
      </c>
      <c r="F34" s="790">
        <v>203</v>
      </c>
      <c r="G34" s="790">
        <v>533</v>
      </c>
      <c r="H34" s="790">
        <v>736</v>
      </c>
      <c r="I34" s="790">
        <v>196</v>
      </c>
      <c r="J34" s="790">
        <v>710</v>
      </c>
      <c r="K34" s="790">
        <v>906</v>
      </c>
      <c r="L34" s="790">
        <v>170</v>
      </c>
      <c r="M34" s="790">
        <v>944</v>
      </c>
      <c r="N34" s="790">
        <v>1114</v>
      </c>
      <c r="O34" s="790">
        <v>92</v>
      </c>
      <c r="P34" s="790">
        <v>695</v>
      </c>
      <c r="Q34" s="790">
        <v>787</v>
      </c>
      <c r="R34" s="790">
        <v>188</v>
      </c>
      <c r="S34" s="790">
        <v>1346</v>
      </c>
      <c r="T34" s="790">
        <v>1534</v>
      </c>
      <c r="U34" s="790">
        <v>289</v>
      </c>
      <c r="V34" s="790">
        <v>1379</v>
      </c>
      <c r="W34" s="790">
        <v>1668</v>
      </c>
      <c r="X34" s="790">
        <v>138</v>
      </c>
      <c r="Y34" s="790">
        <v>1500</v>
      </c>
      <c r="Z34" s="790">
        <v>1638</v>
      </c>
      <c r="AA34" s="790">
        <v>113</v>
      </c>
      <c r="AB34" s="790">
        <v>856</v>
      </c>
      <c r="AC34" s="790">
        <v>969</v>
      </c>
      <c r="AD34" s="790">
        <v>209</v>
      </c>
      <c r="AE34" s="790">
        <v>630</v>
      </c>
      <c r="AF34" s="790">
        <v>839</v>
      </c>
      <c r="AH34" s="790">
        <f t="shared" si="0"/>
        <v>584</v>
      </c>
      <c r="AI34" s="790">
        <f t="shared" si="1"/>
        <v>1733</v>
      </c>
      <c r="AJ34" s="790">
        <f t="shared" si="2"/>
        <v>2317</v>
      </c>
      <c r="AK34" s="790">
        <f t="shared" si="3"/>
        <v>877</v>
      </c>
      <c r="AL34" s="790">
        <f t="shared" si="4"/>
        <v>5864</v>
      </c>
      <c r="AM34" s="790">
        <f t="shared" si="5"/>
        <v>6741</v>
      </c>
      <c r="AN34" s="790">
        <f t="shared" si="6"/>
        <v>322</v>
      </c>
      <c r="AO34" s="790">
        <f t="shared" si="7"/>
        <v>1486</v>
      </c>
      <c r="AP34" s="790">
        <f t="shared" si="8"/>
        <v>1808</v>
      </c>
      <c r="AR34" s="791">
        <f t="shared" si="9"/>
        <v>0.25205006473888647</v>
      </c>
      <c r="AS34" s="791">
        <f t="shared" si="10"/>
        <v>0.13009939178163477</v>
      </c>
      <c r="AT34" s="791">
        <f t="shared" si="11"/>
        <v>0.17809734513274336</v>
      </c>
      <c r="AV34" s="792">
        <v>2425</v>
      </c>
      <c r="AW34" s="792">
        <v>6788</v>
      </c>
      <c r="AX34" s="792">
        <v>1992</v>
      </c>
      <c r="AZ34" s="792">
        <f t="shared" si="12"/>
        <v>611.22140699179965</v>
      </c>
      <c r="BA34" s="792">
        <f t="shared" si="13"/>
        <v>883.1146714137368</v>
      </c>
      <c r="BB34" s="792">
        <f t="shared" si="14"/>
        <v>354.76991150442478</v>
      </c>
      <c r="BC34" s="809">
        <f t="shared" si="15"/>
        <v>1849.1059899099612</v>
      </c>
    </row>
    <row r="35" spans="1:55" s="789" customFormat="1" ht="12" customHeight="1" x14ac:dyDescent="0.25">
      <c r="A35" s="789" t="s">
        <v>74</v>
      </c>
      <c r="B35" s="793" t="s">
        <v>472</v>
      </c>
      <c r="C35" s="806">
        <v>9986</v>
      </c>
      <c r="D35" s="790">
        <v>78477</v>
      </c>
      <c r="E35" s="790">
        <v>88463</v>
      </c>
      <c r="F35" s="790">
        <v>7915</v>
      </c>
      <c r="G35" s="790">
        <v>78060</v>
      </c>
      <c r="H35" s="790">
        <v>85975</v>
      </c>
      <c r="I35" s="790">
        <v>7605</v>
      </c>
      <c r="J35" s="790">
        <v>81545</v>
      </c>
      <c r="K35" s="790">
        <v>89150</v>
      </c>
      <c r="L35" s="790">
        <v>13327</v>
      </c>
      <c r="M35" s="790">
        <v>69350</v>
      </c>
      <c r="N35" s="790">
        <v>82677</v>
      </c>
      <c r="O35" s="790">
        <v>11917</v>
      </c>
      <c r="P35" s="790">
        <v>146593</v>
      </c>
      <c r="Q35" s="790">
        <v>158510</v>
      </c>
      <c r="R35" s="790">
        <v>10812</v>
      </c>
      <c r="S35" s="790">
        <v>158721</v>
      </c>
      <c r="T35" s="790">
        <v>169533</v>
      </c>
      <c r="U35" s="790">
        <v>9306</v>
      </c>
      <c r="V35" s="790">
        <v>168097</v>
      </c>
      <c r="W35" s="790">
        <v>177403</v>
      </c>
      <c r="X35" s="790">
        <v>4785</v>
      </c>
      <c r="Y35" s="790">
        <v>127613</v>
      </c>
      <c r="Z35" s="790">
        <v>132398</v>
      </c>
      <c r="AA35" s="790">
        <v>3003</v>
      </c>
      <c r="AB35" s="790">
        <v>59049</v>
      </c>
      <c r="AC35" s="790">
        <v>62052</v>
      </c>
      <c r="AD35" s="790">
        <v>3658</v>
      </c>
      <c r="AE35" s="790">
        <v>39690</v>
      </c>
      <c r="AF35" s="790">
        <v>43348</v>
      </c>
      <c r="AH35" s="790">
        <f t="shared" si="0"/>
        <v>25506</v>
      </c>
      <c r="AI35" s="790">
        <f t="shared" si="1"/>
        <v>238082</v>
      </c>
      <c r="AJ35" s="790">
        <f t="shared" si="2"/>
        <v>263588</v>
      </c>
      <c r="AK35" s="790">
        <f t="shared" si="3"/>
        <v>50147</v>
      </c>
      <c r="AL35" s="790">
        <f t="shared" si="4"/>
        <v>670374</v>
      </c>
      <c r="AM35" s="790">
        <f t="shared" si="5"/>
        <v>720521</v>
      </c>
      <c r="AN35" s="790">
        <f t="shared" si="6"/>
        <v>6661</v>
      </c>
      <c r="AO35" s="790">
        <f t="shared" si="7"/>
        <v>98739</v>
      </c>
      <c r="AP35" s="790">
        <f t="shared" si="8"/>
        <v>105400</v>
      </c>
      <c r="AR35" s="791">
        <f t="shared" si="9"/>
        <v>9.6764647859538366E-2</v>
      </c>
      <c r="AS35" s="791">
        <f t="shared" si="10"/>
        <v>6.9598249044788424E-2</v>
      </c>
      <c r="AT35" s="791">
        <f t="shared" si="11"/>
        <v>6.3197343453510441E-2</v>
      </c>
      <c r="AV35" s="792">
        <v>265215</v>
      </c>
      <c r="AW35" s="792">
        <v>723287</v>
      </c>
      <c r="AX35" s="792">
        <v>112190</v>
      </c>
      <c r="AZ35" s="792">
        <f t="shared" si="12"/>
        <v>25663.436082067466</v>
      </c>
      <c r="BA35" s="792">
        <f t="shared" si="13"/>
        <v>50339.508756857882</v>
      </c>
      <c r="BB35" s="792">
        <f t="shared" si="14"/>
        <v>7090.109962049336</v>
      </c>
      <c r="BC35" s="809">
        <f t="shared" si="15"/>
        <v>83093.054800974685</v>
      </c>
    </row>
    <row r="36" spans="1:55" s="789" customFormat="1" ht="12" customHeight="1" x14ac:dyDescent="0.25">
      <c r="A36" s="789" t="s">
        <v>76</v>
      </c>
      <c r="B36" s="793" t="s">
        <v>343</v>
      </c>
      <c r="C36" s="806">
        <v>452</v>
      </c>
      <c r="D36" s="790">
        <v>4389</v>
      </c>
      <c r="E36" s="790">
        <v>4841</v>
      </c>
      <c r="F36" s="790">
        <v>757</v>
      </c>
      <c r="G36" s="790">
        <v>4893</v>
      </c>
      <c r="H36" s="790">
        <v>5650</v>
      </c>
      <c r="I36" s="790">
        <v>427</v>
      </c>
      <c r="J36" s="790">
        <v>5465</v>
      </c>
      <c r="K36" s="790">
        <v>5892</v>
      </c>
      <c r="L36" s="790">
        <v>468</v>
      </c>
      <c r="M36" s="790">
        <v>4163</v>
      </c>
      <c r="N36" s="790">
        <v>4631</v>
      </c>
      <c r="O36" s="790">
        <v>635</v>
      </c>
      <c r="P36" s="790">
        <v>5647</v>
      </c>
      <c r="Q36" s="790">
        <v>6282</v>
      </c>
      <c r="R36" s="790">
        <v>628</v>
      </c>
      <c r="S36" s="790">
        <v>8924</v>
      </c>
      <c r="T36" s="790">
        <v>9552</v>
      </c>
      <c r="U36" s="790">
        <v>689</v>
      </c>
      <c r="V36" s="790">
        <v>10652</v>
      </c>
      <c r="W36" s="790">
        <v>11341</v>
      </c>
      <c r="X36" s="790">
        <v>535</v>
      </c>
      <c r="Y36" s="790">
        <v>7930</v>
      </c>
      <c r="Z36" s="790">
        <v>8465</v>
      </c>
      <c r="AA36" s="790">
        <v>210</v>
      </c>
      <c r="AB36" s="790">
        <v>4539</v>
      </c>
      <c r="AC36" s="790">
        <v>4749</v>
      </c>
      <c r="AD36" s="790">
        <v>308</v>
      </c>
      <c r="AE36" s="790">
        <v>2761</v>
      </c>
      <c r="AF36" s="790">
        <v>3069</v>
      </c>
      <c r="AH36" s="790">
        <f t="shared" si="0"/>
        <v>1636</v>
      </c>
      <c r="AI36" s="790">
        <f t="shared" si="1"/>
        <v>14747</v>
      </c>
      <c r="AJ36" s="790">
        <f t="shared" si="2"/>
        <v>16383</v>
      </c>
      <c r="AK36" s="790">
        <f t="shared" si="3"/>
        <v>2955</v>
      </c>
      <c r="AL36" s="790">
        <f t="shared" si="4"/>
        <v>37316</v>
      </c>
      <c r="AM36" s="790">
        <f t="shared" si="5"/>
        <v>40271</v>
      </c>
      <c r="AN36" s="790">
        <f t="shared" si="6"/>
        <v>518</v>
      </c>
      <c r="AO36" s="790">
        <f t="shared" si="7"/>
        <v>7300</v>
      </c>
      <c r="AP36" s="790">
        <f t="shared" si="8"/>
        <v>7818</v>
      </c>
      <c r="AR36" s="791">
        <f t="shared" si="9"/>
        <v>9.9859610571934321E-2</v>
      </c>
      <c r="AS36" s="791">
        <f t="shared" si="10"/>
        <v>7.3377864964863052E-2</v>
      </c>
      <c r="AT36" s="791">
        <f t="shared" si="11"/>
        <v>6.6257354822205169E-2</v>
      </c>
      <c r="AV36" s="792">
        <v>16288</v>
      </c>
      <c r="AW36" s="792">
        <v>41075</v>
      </c>
      <c r="AX36" s="792">
        <v>8708</v>
      </c>
      <c r="AZ36" s="792">
        <f t="shared" si="12"/>
        <v>1626.5133369956661</v>
      </c>
      <c r="BA36" s="792">
        <f t="shared" si="13"/>
        <v>3013.9958034317497</v>
      </c>
      <c r="BB36" s="792">
        <f t="shared" si="14"/>
        <v>576.9690457917626</v>
      </c>
      <c r="BC36" s="809">
        <f t="shared" si="15"/>
        <v>5217.4781862191776</v>
      </c>
    </row>
    <row r="37" spans="1:55" s="789" customFormat="1" ht="12" customHeight="1" x14ac:dyDescent="0.25">
      <c r="A37" s="789" t="s">
        <v>78</v>
      </c>
      <c r="B37" s="793" t="s">
        <v>344</v>
      </c>
      <c r="C37" s="806">
        <v>181</v>
      </c>
      <c r="D37" s="790">
        <v>900</v>
      </c>
      <c r="E37" s="790">
        <v>1081</v>
      </c>
      <c r="F37" s="790">
        <v>307</v>
      </c>
      <c r="G37" s="790">
        <v>888</v>
      </c>
      <c r="H37" s="790">
        <v>1195</v>
      </c>
      <c r="I37" s="790">
        <v>238</v>
      </c>
      <c r="J37" s="790">
        <v>847</v>
      </c>
      <c r="K37" s="790">
        <v>1085</v>
      </c>
      <c r="L37" s="790">
        <v>85</v>
      </c>
      <c r="M37" s="790">
        <v>842</v>
      </c>
      <c r="N37" s="790">
        <v>927</v>
      </c>
      <c r="O37" s="790">
        <v>317</v>
      </c>
      <c r="P37" s="790">
        <v>1367</v>
      </c>
      <c r="Q37" s="790">
        <v>1684</v>
      </c>
      <c r="R37" s="790">
        <v>423</v>
      </c>
      <c r="S37" s="790">
        <v>1621</v>
      </c>
      <c r="T37" s="790">
        <v>2044</v>
      </c>
      <c r="U37" s="790">
        <v>201</v>
      </c>
      <c r="V37" s="790">
        <v>2019</v>
      </c>
      <c r="W37" s="790">
        <v>2220</v>
      </c>
      <c r="X37" s="790">
        <v>376</v>
      </c>
      <c r="Y37" s="790">
        <v>1891</v>
      </c>
      <c r="Z37" s="790">
        <v>2267</v>
      </c>
      <c r="AA37" s="790">
        <v>297</v>
      </c>
      <c r="AB37" s="790">
        <v>1215</v>
      </c>
      <c r="AC37" s="790">
        <v>1512</v>
      </c>
      <c r="AD37" s="790">
        <v>307</v>
      </c>
      <c r="AE37" s="790">
        <v>773</v>
      </c>
      <c r="AF37" s="790">
        <v>1080</v>
      </c>
      <c r="AH37" s="790">
        <f t="shared" si="0"/>
        <v>726</v>
      </c>
      <c r="AI37" s="790">
        <f t="shared" si="1"/>
        <v>2635</v>
      </c>
      <c r="AJ37" s="790">
        <f t="shared" si="2"/>
        <v>3361</v>
      </c>
      <c r="AK37" s="790">
        <f t="shared" si="3"/>
        <v>1402</v>
      </c>
      <c r="AL37" s="790">
        <f t="shared" si="4"/>
        <v>7740</v>
      </c>
      <c r="AM37" s="790">
        <f t="shared" si="5"/>
        <v>9142</v>
      </c>
      <c r="AN37" s="790">
        <f t="shared" si="6"/>
        <v>604</v>
      </c>
      <c r="AO37" s="790">
        <f t="shared" si="7"/>
        <v>1988</v>
      </c>
      <c r="AP37" s="790">
        <f t="shared" si="8"/>
        <v>2592</v>
      </c>
      <c r="AR37" s="791">
        <f t="shared" si="9"/>
        <v>0.21600714073192503</v>
      </c>
      <c r="AS37" s="791">
        <f t="shared" si="10"/>
        <v>0.15335812732443665</v>
      </c>
      <c r="AT37" s="791">
        <f t="shared" si="11"/>
        <v>0.2330246913580247</v>
      </c>
      <c r="AV37" s="792">
        <v>3303</v>
      </c>
      <c r="AW37" s="792">
        <v>9279</v>
      </c>
      <c r="AX37" s="792">
        <v>2796</v>
      </c>
      <c r="AZ37" s="792">
        <f t="shared" si="12"/>
        <v>713.47158583754845</v>
      </c>
      <c r="BA37" s="792">
        <f t="shared" si="13"/>
        <v>1423.0100634434477</v>
      </c>
      <c r="BB37" s="792">
        <f t="shared" si="14"/>
        <v>651.53703703703707</v>
      </c>
      <c r="BC37" s="809">
        <f t="shared" si="15"/>
        <v>2788.0186863180329</v>
      </c>
    </row>
    <row r="38" spans="1:55" s="789" customFormat="1" ht="12" customHeight="1" x14ac:dyDescent="0.25">
      <c r="A38" s="789" t="s">
        <v>80</v>
      </c>
      <c r="B38" s="793" t="s">
        <v>345</v>
      </c>
      <c r="C38" s="806">
        <v>150</v>
      </c>
      <c r="D38" s="790">
        <v>1821</v>
      </c>
      <c r="E38" s="790">
        <v>1971</v>
      </c>
      <c r="F38" s="790">
        <v>210</v>
      </c>
      <c r="G38" s="790">
        <v>1703</v>
      </c>
      <c r="H38" s="790">
        <v>1913</v>
      </c>
      <c r="I38" s="790">
        <v>263</v>
      </c>
      <c r="J38" s="790">
        <v>1676</v>
      </c>
      <c r="K38" s="790">
        <v>1939</v>
      </c>
      <c r="L38" s="790">
        <v>398</v>
      </c>
      <c r="M38" s="790">
        <v>1006</v>
      </c>
      <c r="N38" s="790">
        <v>1404</v>
      </c>
      <c r="O38" s="790">
        <v>113</v>
      </c>
      <c r="P38" s="790">
        <v>2720</v>
      </c>
      <c r="Q38" s="790">
        <v>2833</v>
      </c>
      <c r="R38" s="790">
        <v>208</v>
      </c>
      <c r="S38" s="790">
        <v>3202</v>
      </c>
      <c r="T38" s="790">
        <v>3410</v>
      </c>
      <c r="U38" s="790">
        <v>349</v>
      </c>
      <c r="V38" s="790">
        <v>3482</v>
      </c>
      <c r="W38" s="790">
        <v>3831</v>
      </c>
      <c r="X38" s="790">
        <v>315</v>
      </c>
      <c r="Y38" s="790">
        <v>2866</v>
      </c>
      <c r="Z38" s="790">
        <v>3181</v>
      </c>
      <c r="AA38" s="790">
        <v>232</v>
      </c>
      <c r="AB38" s="790">
        <v>2109</v>
      </c>
      <c r="AC38" s="790">
        <v>2341</v>
      </c>
      <c r="AD38" s="790">
        <v>168</v>
      </c>
      <c r="AE38" s="790">
        <v>1358</v>
      </c>
      <c r="AF38" s="790">
        <v>1526</v>
      </c>
      <c r="AH38" s="790">
        <f t="shared" ref="AH38:AH69" si="16">C38+F38+I38</f>
        <v>623</v>
      </c>
      <c r="AI38" s="790">
        <f t="shared" ref="AI38:AI69" si="17">D38+G38+J38</f>
        <v>5200</v>
      </c>
      <c r="AJ38" s="790">
        <f t="shared" ref="AJ38:AJ69" si="18">E38+H38+K38</f>
        <v>5823</v>
      </c>
      <c r="AK38" s="790">
        <f t="shared" ref="AK38:AK69" si="19">L38+O38+R38+U38+X38</f>
        <v>1383</v>
      </c>
      <c r="AL38" s="790">
        <f t="shared" ref="AL38:AL69" si="20">M38+P38+S38+V38+Y38</f>
        <v>13276</v>
      </c>
      <c r="AM38" s="790">
        <f t="shared" ref="AM38:AM69" si="21">N38+Q38+T38+W38+Z38</f>
        <v>14659</v>
      </c>
      <c r="AN38" s="790">
        <f t="shared" ref="AN38:AN69" si="22">AA38+AD38</f>
        <v>400</v>
      </c>
      <c r="AO38" s="790">
        <f t="shared" ref="AO38:AO69" si="23">AB38+AE38</f>
        <v>3467</v>
      </c>
      <c r="AP38" s="790">
        <f t="shared" ref="AP38:AP69" si="24">AC38+AF38</f>
        <v>3867</v>
      </c>
      <c r="AR38" s="791">
        <f t="shared" ref="AR38:AR69" si="25">AH38/AJ38</f>
        <v>0.1069895243001889</v>
      </c>
      <c r="AS38" s="791">
        <f t="shared" ref="AS38:AS69" si="26">AK38/AM38</f>
        <v>9.4344771130363603E-2</v>
      </c>
      <c r="AT38" s="791">
        <f t="shared" ref="AT38:AT69" si="27">AN38/AP38</f>
        <v>0.10343935867597621</v>
      </c>
      <c r="AV38" s="792">
        <v>5859</v>
      </c>
      <c r="AW38" s="792">
        <v>16009</v>
      </c>
      <c r="AX38" s="792">
        <v>4193</v>
      </c>
      <c r="AZ38" s="792">
        <f t="shared" ref="AZ38:AZ69" si="28">AR38*AV38</f>
        <v>626.85162287480682</v>
      </c>
      <c r="BA38" s="792">
        <f t="shared" ref="BA38:BA69" si="29">AS38*AW38</f>
        <v>1510.365441025991</v>
      </c>
      <c r="BB38" s="792">
        <f t="shared" ref="BB38:BB69" si="30">AT38*AX38</f>
        <v>433.72123092836824</v>
      </c>
      <c r="BC38" s="809">
        <f t="shared" si="15"/>
        <v>2570.9382948291659</v>
      </c>
    </row>
    <row r="39" spans="1:55" s="789" customFormat="1" ht="12" customHeight="1" x14ac:dyDescent="0.25">
      <c r="A39" s="789" t="s">
        <v>84</v>
      </c>
      <c r="B39" s="793" t="s">
        <v>85</v>
      </c>
      <c r="C39" s="806">
        <v>1058</v>
      </c>
      <c r="D39" s="790">
        <v>2491</v>
      </c>
      <c r="E39" s="790">
        <v>3549</v>
      </c>
      <c r="F39" s="790">
        <v>1125</v>
      </c>
      <c r="G39" s="790">
        <v>2453</v>
      </c>
      <c r="H39" s="790">
        <v>3578</v>
      </c>
      <c r="I39" s="790">
        <v>1281</v>
      </c>
      <c r="J39" s="790">
        <v>3013</v>
      </c>
      <c r="K39" s="790">
        <v>4294</v>
      </c>
      <c r="L39" s="790">
        <v>930</v>
      </c>
      <c r="M39" s="790">
        <v>2744</v>
      </c>
      <c r="N39" s="790">
        <v>3674</v>
      </c>
      <c r="O39" s="790">
        <v>1352</v>
      </c>
      <c r="P39" s="790">
        <v>4214</v>
      </c>
      <c r="Q39" s="790">
        <v>5566</v>
      </c>
      <c r="R39" s="790">
        <v>1231</v>
      </c>
      <c r="S39" s="790">
        <v>5799</v>
      </c>
      <c r="T39" s="790">
        <v>7030</v>
      </c>
      <c r="U39" s="790">
        <v>1168</v>
      </c>
      <c r="V39" s="790">
        <v>7611</v>
      </c>
      <c r="W39" s="790">
        <v>8779</v>
      </c>
      <c r="X39" s="790">
        <v>865</v>
      </c>
      <c r="Y39" s="790">
        <v>7564</v>
      </c>
      <c r="Z39" s="790">
        <v>8429</v>
      </c>
      <c r="AA39" s="790">
        <v>535</v>
      </c>
      <c r="AB39" s="790">
        <v>5220</v>
      </c>
      <c r="AC39" s="790">
        <v>5755</v>
      </c>
      <c r="AD39" s="790">
        <v>797</v>
      </c>
      <c r="AE39" s="790">
        <v>2824</v>
      </c>
      <c r="AF39" s="790">
        <v>3621</v>
      </c>
      <c r="AH39" s="790">
        <f t="shared" si="16"/>
        <v>3464</v>
      </c>
      <c r="AI39" s="790">
        <f t="shared" si="17"/>
        <v>7957</v>
      </c>
      <c r="AJ39" s="790">
        <f t="shared" si="18"/>
        <v>11421</v>
      </c>
      <c r="AK39" s="790">
        <f t="shared" si="19"/>
        <v>5546</v>
      </c>
      <c r="AL39" s="790">
        <f t="shared" si="20"/>
        <v>27932</v>
      </c>
      <c r="AM39" s="790">
        <f t="shared" si="21"/>
        <v>33478</v>
      </c>
      <c r="AN39" s="790">
        <f t="shared" si="22"/>
        <v>1332</v>
      </c>
      <c r="AO39" s="790">
        <f t="shared" si="23"/>
        <v>8044</v>
      </c>
      <c r="AP39" s="790">
        <f t="shared" si="24"/>
        <v>9376</v>
      </c>
      <c r="AR39" s="791">
        <f t="shared" si="25"/>
        <v>0.30330093687067683</v>
      </c>
      <c r="AS39" s="791">
        <f t="shared" si="26"/>
        <v>0.16566103112491787</v>
      </c>
      <c r="AT39" s="791">
        <f t="shared" si="27"/>
        <v>0.14206484641638226</v>
      </c>
      <c r="AV39" s="792">
        <v>11523</v>
      </c>
      <c r="AW39" s="792">
        <v>34581</v>
      </c>
      <c r="AX39" s="792">
        <v>10315</v>
      </c>
      <c r="AZ39" s="792">
        <f t="shared" si="28"/>
        <v>3494.9366955608093</v>
      </c>
      <c r="BA39" s="792">
        <f t="shared" si="29"/>
        <v>5728.7241173307848</v>
      </c>
      <c r="BB39" s="792">
        <f t="shared" si="30"/>
        <v>1465.398890784983</v>
      </c>
      <c r="BC39" s="809">
        <f t="shared" si="15"/>
        <v>10689.059703676578</v>
      </c>
    </row>
    <row r="40" spans="1:55" s="789" customFormat="1" ht="12" customHeight="1" x14ac:dyDescent="0.25">
      <c r="A40" s="789" t="s">
        <v>86</v>
      </c>
      <c r="B40" s="793" t="s">
        <v>346</v>
      </c>
      <c r="C40" s="806">
        <v>1067</v>
      </c>
      <c r="D40" s="790">
        <v>4824</v>
      </c>
      <c r="E40" s="790">
        <v>5891</v>
      </c>
      <c r="F40" s="790">
        <v>964</v>
      </c>
      <c r="G40" s="790">
        <v>5903</v>
      </c>
      <c r="H40" s="790">
        <v>6867</v>
      </c>
      <c r="I40" s="790">
        <v>749</v>
      </c>
      <c r="J40" s="790">
        <v>5739</v>
      </c>
      <c r="K40" s="790">
        <v>6488</v>
      </c>
      <c r="L40" s="790">
        <v>1021</v>
      </c>
      <c r="M40" s="790">
        <v>4789</v>
      </c>
      <c r="N40" s="790">
        <v>5810</v>
      </c>
      <c r="O40" s="790">
        <v>1206</v>
      </c>
      <c r="P40" s="790">
        <v>7636</v>
      </c>
      <c r="Q40" s="790">
        <v>8842</v>
      </c>
      <c r="R40" s="790">
        <v>1090</v>
      </c>
      <c r="S40" s="790">
        <v>10599</v>
      </c>
      <c r="T40" s="790">
        <v>11689</v>
      </c>
      <c r="U40" s="790">
        <v>728</v>
      </c>
      <c r="V40" s="790">
        <v>11330</v>
      </c>
      <c r="W40" s="790">
        <v>12058</v>
      </c>
      <c r="X40" s="790">
        <v>678</v>
      </c>
      <c r="Y40" s="790">
        <v>8242</v>
      </c>
      <c r="Z40" s="790">
        <v>8920</v>
      </c>
      <c r="AA40" s="790">
        <v>508</v>
      </c>
      <c r="AB40" s="790">
        <v>5148</v>
      </c>
      <c r="AC40" s="790">
        <v>5656</v>
      </c>
      <c r="AD40" s="790">
        <v>413</v>
      </c>
      <c r="AE40" s="790">
        <v>3374</v>
      </c>
      <c r="AF40" s="790">
        <v>3787</v>
      </c>
      <c r="AH40" s="790">
        <f t="shared" si="16"/>
        <v>2780</v>
      </c>
      <c r="AI40" s="790">
        <f t="shared" si="17"/>
        <v>16466</v>
      </c>
      <c r="AJ40" s="790">
        <f t="shared" si="18"/>
        <v>19246</v>
      </c>
      <c r="AK40" s="790">
        <f t="shared" si="19"/>
        <v>4723</v>
      </c>
      <c r="AL40" s="790">
        <f t="shared" si="20"/>
        <v>42596</v>
      </c>
      <c r="AM40" s="790">
        <f t="shared" si="21"/>
        <v>47319</v>
      </c>
      <c r="AN40" s="790">
        <f t="shared" si="22"/>
        <v>921</v>
      </c>
      <c r="AO40" s="790">
        <f t="shared" si="23"/>
        <v>8522</v>
      </c>
      <c r="AP40" s="790">
        <f t="shared" si="24"/>
        <v>9443</v>
      </c>
      <c r="AR40" s="791">
        <f t="shared" si="25"/>
        <v>0.14444559908552426</v>
      </c>
      <c r="AS40" s="791">
        <f t="shared" si="26"/>
        <v>9.9811914875631347E-2</v>
      </c>
      <c r="AT40" s="791">
        <f t="shared" si="27"/>
        <v>9.7532563803875885E-2</v>
      </c>
      <c r="AV40" s="792">
        <v>19667</v>
      </c>
      <c r="AW40" s="792">
        <v>49564</v>
      </c>
      <c r="AX40" s="792">
        <v>10435</v>
      </c>
      <c r="AZ40" s="792">
        <f t="shared" si="28"/>
        <v>2840.8115972150058</v>
      </c>
      <c r="BA40" s="792">
        <f t="shared" si="29"/>
        <v>4947.077748895792</v>
      </c>
      <c r="BB40" s="792">
        <f t="shared" si="30"/>
        <v>1017.7523032934448</v>
      </c>
      <c r="BC40" s="809">
        <f t="shared" si="15"/>
        <v>8805.6416494042423</v>
      </c>
    </row>
    <row r="41" spans="1:55" s="789" customFormat="1" ht="12" customHeight="1" x14ac:dyDescent="0.25">
      <c r="A41" s="789" t="s">
        <v>92</v>
      </c>
      <c r="B41" s="793" t="s">
        <v>347</v>
      </c>
      <c r="C41" s="806">
        <v>251</v>
      </c>
      <c r="D41" s="790">
        <v>743</v>
      </c>
      <c r="E41" s="790">
        <v>994</v>
      </c>
      <c r="F41" s="790">
        <v>356</v>
      </c>
      <c r="G41" s="790">
        <v>1006</v>
      </c>
      <c r="H41" s="790">
        <v>1362</v>
      </c>
      <c r="I41" s="790">
        <v>232</v>
      </c>
      <c r="J41" s="790">
        <v>1082</v>
      </c>
      <c r="K41" s="790">
        <v>1314</v>
      </c>
      <c r="L41" s="790">
        <v>269</v>
      </c>
      <c r="M41" s="790">
        <v>963</v>
      </c>
      <c r="N41" s="790">
        <v>1232</v>
      </c>
      <c r="O41" s="790">
        <v>461</v>
      </c>
      <c r="P41" s="790">
        <v>1286</v>
      </c>
      <c r="Q41" s="790">
        <v>1747</v>
      </c>
      <c r="R41" s="790">
        <v>386</v>
      </c>
      <c r="S41" s="790">
        <v>2036</v>
      </c>
      <c r="T41" s="790">
        <v>2422</v>
      </c>
      <c r="U41" s="790">
        <v>455</v>
      </c>
      <c r="V41" s="790">
        <v>2044</v>
      </c>
      <c r="W41" s="790">
        <v>2499</v>
      </c>
      <c r="X41" s="790">
        <v>468</v>
      </c>
      <c r="Y41" s="790">
        <v>2032</v>
      </c>
      <c r="Z41" s="790">
        <v>2500</v>
      </c>
      <c r="AA41" s="790">
        <v>283</v>
      </c>
      <c r="AB41" s="790">
        <v>1374</v>
      </c>
      <c r="AC41" s="790">
        <v>1657</v>
      </c>
      <c r="AD41" s="790">
        <v>294</v>
      </c>
      <c r="AE41" s="790">
        <v>984</v>
      </c>
      <c r="AF41" s="790">
        <v>1278</v>
      </c>
      <c r="AH41" s="790">
        <f t="shared" si="16"/>
        <v>839</v>
      </c>
      <c r="AI41" s="790">
        <f t="shared" si="17"/>
        <v>2831</v>
      </c>
      <c r="AJ41" s="790">
        <f t="shared" si="18"/>
        <v>3670</v>
      </c>
      <c r="AK41" s="790">
        <f t="shared" si="19"/>
        <v>2039</v>
      </c>
      <c r="AL41" s="790">
        <f t="shared" si="20"/>
        <v>8361</v>
      </c>
      <c r="AM41" s="790">
        <f t="shared" si="21"/>
        <v>10400</v>
      </c>
      <c r="AN41" s="790">
        <f t="shared" si="22"/>
        <v>577</v>
      </c>
      <c r="AO41" s="790">
        <f t="shared" si="23"/>
        <v>2358</v>
      </c>
      <c r="AP41" s="790">
        <f t="shared" si="24"/>
        <v>2935</v>
      </c>
      <c r="AR41" s="791">
        <f t="shared" si="25"/>
        <v>0.22861035422343323</v>
      </c>
      <c r="AS41" s="791">
        <f t="shared" si="26"/>
        <v>0.19605769230769229</v>
      </c>
      <c r="AT41" s="791">
        <f t="shared" si="27"/>
        <v>0.19659284497444635</v>
      </c>
      <c r="AV41" s="792">
        <v>3600</v>
      </c>
      <c r="AW41" s="792">
        <v>10356</v>
      </c>
      <c r="AX41" s="792">
        <v>3168</v>
      </c>
      <c r="AZ41" s="792">
        <f t="shared" si="28"/>
        <v>822.99727520435965</v>
      </c>
      <c r="BA41" s="792">
        <f t="shared" si="29"/>
        <v>2030.3734615384615</v>
      </c>
      <c r="BB41" s="792">
        <f t="shared" si="30"/>
        <v>622.806132879046</v>
      </c>
      <c r="BC41" s="809">
        <f t="shared" si="15"/>
        <v>3476.1768696218669</v>
      </c>
    </row>
    <row r="42" spans="1:55" s="789" customFormat="1" ht="12" customHeight="1" x14ac:dyDescent="0.25">
      <c r="A42" s="789" t="s">
        <v>94</v>
      </c>
      <c r="B42" s="793" t="s">
        <v>348</v>
      </c>
      <c r="C42" s="806">
        <v>248</v>
      </c>
      <c r="D42" s="790">
        <v>2072</v>
      </c>
      <c r="E42" s="790">
        <v>2320</v>
      </c>
      <c r="F42" s="790">
        <v>247</v>
      </c>
      <c r="G42" s="790">
        <v>2212</v>
      </c>
      <c r="H42" s="790">
        <v>2459</v>
      </c>
      <c r="I42" s="790">
        <v>466</v>
      </c>
      <c r="J42" s="790">
        <v>2931</v>
      </c>
      <c r="K42" s="790">
        <v>3397</v>
      </c>
      <c r="L42" s="790">
        <v>422</v>
      </c>
      <c r="M42" s="790">
        <v>2385</v>
      </c>
      <c r="N42" s="790">
        <v>2807</v>
      </c>
      <c r="O42" s="790">
        <v>400</v>
      </c>
      <c r="P42" s="790">
        <v>3471</v>
      </c>
      <c r="Q42" s="790">
        <v>3871</v>
      </c>
      <c r="R42" s="790">
        <v>440</v>
      </c>
      <c r="S42" s="790">
        <v>4655</v>
      </c>
      <c r="T42" s="790">
        <v>5095</v>
      </c>
      <c r="U42" s="790">
        <v>572</v>
      </c>
      <c r="V42" s="790">
        <v>5857</v>
      </c>
      <c r="W42" s="790">
        <v>6429</v>
      </c>
      <c r="X42" s="790">
        <v>238</v>
      </c>
      <c r="Y42" s="790">
        <v>4666</v>
      </c>
      <c r="Z42" s="790">
        <v>4904</v>
      </c>
      <c r="AA42" s="790">
        <v>303</v>
      </c>
      <c r="AB42" s="790">
        <v>2870</v>
      </c>
      <c r="AC42" s="790">
        <v>3173</v>
      </c>
      <c r="AD42" s="790">
        <v>264</v>
      </c>
      <c r="AE42" s="790">
        <v>1736</v>
      </c>
      <c r="AF42" s="790">
        <v>2000</v>
      </c>
      <c r="AH42" s="790">
        <f t="shared" si="16"/>
        <v>961</v>
      </c>
      <c r="AI42" s="790">
        <f t="shared" si="17"/>
        <v>7215</v>
      </c>
      <c r="AJ42" s="790">
        <f t="shared" si="18"/>
        <v>8176</v>
      </c>
      <c r="AK42" s="790">
        <f t="shared" si="19"/>
        <v>2072</v>
      </c>
      <c r="AL42" s="790">
        <f t="shared" si="20"/>
        <v>21034</v>
      </c>
      <c r="AM42" s="790">
        <f t="shared" si="21"/>
        <v>23106</v>
      </c>
      <c r="AN42" s="790">
        <f t="shared" si="22"/>
        <v>567</v>
      </c>
      <c r="AO42" s="790">
        <f t="shared" si="23"/>
        <v>4606</v>
      </c>
      <c r="AP42" s="790">
        <f t="shared" si="24"/>
        <v>5173</v>
      </c>
      <c r="AR42" s="791">
        <f t="shared" si="25"/>
        <v>0.11753913894324854</v>
      </c>
      <c r="AS42" s="791">
        <f t="shared" si="26"/>
        <v>8.9673677832597595E-2</v>
      </c>
      <c r="AT42" s="791">
        <f t="shared" si="27"/>
        <v>0.10960757780784844</v>
      </c>
      <c r="AV42" s="792">
        <v>7889</v>
      </c>
      <c r="AW42" s="792">
        <v>23382</v>
      </c>
      <c r="AX42" s="792">
        <v>5630</v>
      </c>
      <c r="AZ42" s="792">
        <f t="shared" si="28"/>
        <v>927.26626712328766</v>
      </c>
      <c r="BA42" s="792">
        <f t="shared" si="29"/>
        <v>2096.749935081797</v>
      </c>
      <c r="BB42" s="792">
        <f t="shared" si="30"/>
        <v>617.09066305818669</v>
      </c>
      <c r="BC42" s="809">
        <f t="shared" si="15"/>
        <v>3641.1068652632712</v>
      </c>
    </row>
    <row r="43" spans="1:55" s="789" customFormat="1" ht="12" customHeight="1" x14ac:dyDescent="0.25">
      <c r="A43" s="789" t="s">
        <v>96</v>
      </c>
      <c r="B43" s="793" t="s">
        <v>349</v>
      </c>
      <c r="C43" s="806">
        <v>138</v>
      </c>
      <c r="D43" s="790">
        <v>1055</v>
      </c>
      <c r="E43" s="790">
        <v>1193</v>
      </c>
      <c r="F43" s="790">
        <v>79</v>
      </c>
      <c r="G43" s="790">
        <v>1359</v>
      </c>
      <c r="H43" s="790">
        <v>1438</v>
      </c>
      <c r="I43" s="790">
        <v>165</v>
      </c>
      <c r="J43" s="790">
        <v>1327</v>
      </c>
      <c r="K43" s="790">
        <v>1492</v>
      </c>
      <c r="L43" s="790">
        <v>110</v>
      </c>
      <c r="M43" s="790">
        <v>678</v>
      </c>
      <c r="N43" s="790">
        <v>788</v>
      </c>
      <c r="O43" s="790">
        <v>75</v>
      </c>
      <c r="P43" s="790">
        <v>1140</v>
      </c>
      <c r="Q43" s="790">
        <v>1215</v>
      </c>
      <c r="R43" s="790">
        <v>182</v>
      </c>
      <c r="S43" s="790">
        <v>2240</v>
      </c>
      <c r="T43" s="790">
        <v>2422</v>
      </c>
      <c r="U43" s="790">
        <v>183</v>
      </c>
      <c r="V43" s="790">
        <v>3291</v>
      </c>
      <c r="W43" s="790">
        <v>3474</v>
      </c>
      <c r="X43" s="790">
        <v>85</v>
      </c>
      <c r="Y43" s="790">
        <v>3360</v>
      </c>
      <c r="Z43" s="790">
        <v>3445</v>
      </c>
      <c r="AA43" s="790">
        <v>84</v>
      </c>
      <c r="AB43" s="790">
        <v>1831</v>
      </c>
      <c r="AC43" s="790">
        <v>1915</v>
      </c>
      <c r="AD43" s="790">
        <v>221</v>
      </c>
      <c r="AE43" s="790">
        <v>945</v>
      </c>
      <c r="AF43" s="790">
        <v>1166</v>
      </c>
      <c r="AH43" s="790">
        <f t="shared" si="16"/>
        <v>382</v>
      </c>
      <c r="AI43" s="790">
        <f t="shared" si="17"/>
        <v>3741</v>
      </c>
      <c r="AJ43" s="790">
        <f t="shared" si="18"/>
        <v>4123</v>
      </c>
      <c r="AK43" s="790">
        <f t="shared" si="19"/>
        <v>635</v>
      </c>
      <c r="AL43" s="790">
        <f t="shared" si="20"/>
        <v>10709</v>
      </c>
      <c r="AM43" s="790">
        <f t="shared" si="21"/>
        <v>11344</v>
      </c>
      <c r="AN43" s="790">
        <f t="shared" si="22"/>
        <v>305</v>
      </c>
      <c r="AO43" s="790">
        <f t="shared" si="23"/>
        <v>2776</v>
      </c>
      <c r="AP43" s="790">
        <f t="shared" si="24"/>
        <v>3081</v>
      </c>
      <c r="AR43" s="791">
        <f t="shared" si="25"/>
        <v>9.2650982294445794E-2</v>
      </c>
      <c r="AS43" s="791">
        <f t="shared" si="26"/>
        <v>5.5976727785613543E-2</v>
      </c>
      <c r="AT43" s="791">
        <f t="shared" si="27"/>
        <v>9.8993833171048359E-2</v>
      </c>
      <c r="AV43" s="792">
        <v>4256</v>
      </c>
      <c r="AW43" s="792">
        <v>14156</v>
      </c>
      <c r="AX43" s="792">
        <v>3471</v>
      </c>
      <c r="AZ43" s="792">
        <f t="shared" si="28"/>
        <v>394.32258064516128</v>
      </c>
      <c r="BA43" s="792">
        <f t="shared" si="29"/>
        <v>792.40655853314536</v>
      </c>
      <c r="BB43" s="792">
        <f t="shared" si="30"/>
        <v>343.60759493670884</v>
      </c>
      <c r="BC43" s="809">
        <f t="shared" si="15"/>
        <v>1530.3367341150156</v>
      </c>
    </row>
    <row r="44" spans="1:55" s="789" customFormat="1" ht="12" customHeight="1" x14ac:dyDescent="0.25">
      <c r="A44" s="789" t="s">
        <v>98</v>
      </c>
      <c r="B44" s="793" t="s">
        <v>350</v>
      </c>
      <c r="C44" s="806">
        <v>360</v>
      </c>
      <c r="D44" s="790">
        <v>670</v>
      </c>
      <c r="E44" s="790">
        <v>1030</v>
      </c>
      <c r="F44" s="790">
        <v>314</v>
      </c>
      <c r="G44" s="790">
        <v>475</v>
      </c>
      <c r="H44" s="790">
        <v>789</v>
      </c>
      <c r="I44" s="790">
        <v>465</v>
      </c>
      <c r="J44" s="790">
        <v>713</v>
      </c>
      <c r="K44" s="790">
        <v>1178</v>
      </c>
      <c r="L44" s="790">
        <v>236</v>
      </c>
      <c r="M44" s="790">
        <v>766</v>
      </c>
      <c r="N44" s="790">
        <v>1002</v>
      </c>
      <c r="O44" s="790">
        <v>436</v>
      </c>
      <c r="P44" s="790">
        <v>1078</v>
      </c>
      <c r="Q44" s="790">
        <v>1514</v>
      </c>
      <c r="R44" s="790">
        <v>586</v>
      </c>
      <c r="S44" s="790">
        <v>1386</v>
      </c>
      <c r="T44" s="790">
        <v>1972</v>
      </c>
      <c r="U44" s="790">
        <v>522</v>
      </c>
      <c r="V44" s="790">
        <v>1930</v>
      </c>
      <c r="W44" s="790">
        <v>2452</v>
      </c>
      <c r="X44" s="790">
        <v>482</v>
      </c>
      <c r="Y44" s="790">
        <v>1998</v>
      </c>
      <c r="Z44" s="790">
        <v>2480</v>
      </c>
      <c r="AA44" s="790">
        <v>443</v>
      </c>
      <c r="AB44" s="790">
        <v>1303</v>
      </c>
      <c r="AC44" s="790">
        <v>1746</v>
      </c>
      <c r="AD44" s="790">
        <v>420</v>
      </c>
      <c r="AE44" s="790">
        <v>980</v>
      </c>
      <c r="AF44" s="790">
        <v>1400</v>
      </c>
      <c r="AH44" s="790">
        <f t="shared" si="16"/>
        <v>1139</v>
      </c>
      <c r="AI44" s="790">
        <f t="shared" si="17"/>
        <v>1858</v>
      </c>
      <c r="AJ44" s="790">
        <f t="shared" si="18"/>
        <v>2997</v>
      </c>
      <c r="AK44" s="790">
        <f t="shared" si="19"/>
        <v>2262</v>
      </c>
      <c r="AL44" s="790">
        <f t="shared" si="20"/>
        <v>7158</v>
      </c>
      <c r="AM44" s="790">
        <f t="shared" si="21"/>
        <v>9420</v>
      </c>
      <c r="AN44" s="790">
        <f t="shared" si="22"/>
        <v>863</v>
      </c>
      <c r="AO44" s="790">
        <f t="shared" si="23"/>
        <v>2283</v>
      </c>
      <c r="AP44" s="790">
        <f t="shared" si="24"/>
        <v>3146</v>
      </c>
      <c r="AR44" s="791">
        <f t="shared" si="25"/>
        <v>0.3800467133800467</v>
      </c>
      <c r="AS44" s="791">
        <f t="shared" si="26"/>
        <v>0.24012738853503185</v>
      </c>
      <c r="AT44" s="791">
        <f t="shared" si="27"/>
        <v>0.27431659249841067</v>
      </c>
      <c r="AV44" s="792">
        <v>2849</v>
      </c>
      <c r="AW44" s="792">
        <v>9209</v>
      </c>
      <c r="AX44" s="792">
        <v>3270</v>
      </c>
      <c r="AZ44" s="792">
        <f t="shared" si="28"/>
        <v>1082.7530864197531</v>
      </c>
      <c r="BA44" s="792">
        <f t="shared" si="29"/>
        <v>2211.3331210191081</v>
      </c>
      <c r="BB44" s="792">
        <f t="shared" si="30"/>
        <v>897.01525746980292</v>
      </c>
      <c r="BC44" s="809">
        <f t="shared" si="15"/>
        <v>4191.1014649086646</v>
      </c>
    </row>
    <row r="45" spans="1:55" s="789" customFormat="1" ht="12" customHeight="1" x14ac:dyDescent="0.25">
      <c r="A45" s="789" t="s">
        <v>100</v>
      </c>
      <c r="B45" s="793" t="s">
        <v>351</v>
      </c>
      <c r="C45" s="806">
        <v>324</v>
      </c>
      <c r="D45" s="790">
        <v>1214</v>
      </c>
      <c r="E45" s="790">
        <v>1538</v>
      </c>
      <c r="F45" s="790">
        <v>265</v>
      </c>
      <c r="G45" s="790">
        <v>1428</v>
      </c>
      <c r="H45" s="790">
        <v>1693</v>
      </c>
      <c r="I45" s="790">
        <v>301</v>
      </c>
      <c r="J45" s="790">
        <v>1018</v>
      </c>
      <c r="K45" s="790">
        <v>1319</v>
      </c>
      <c r="L45" s="790">
        <v>262</v>
      </c>
      <c r="M45" s="790">
        <v>1099</v>
      </c>
      <c r="N45" s="790">
        <v>1361</v>
      </c>
      <c r="O45" s="790">
        <v>268</v>
      </c>
      <c r="P45" s="790">
        <v>2115</v>
      </c>
      <c r="Q45" s="790">
        <v>2383</v>
      </c>
      <c r="R45" s="790">
        <v>250</v>
      </c>
      <c r="S45" s="790">
        <v>2384</v>
      </c>
      <c r="T45" s="790">
        <v>2634</v>
      </c>
      <c r="U45" s="790">
        <v>138</v>
      </c>
      <c r="V45" s="790">
        <v>2600</v>
      </c>
      <c r="W45" s="790">
        <v>2738</v>
      </c>
      <c r="X45" s="790">
        <v>166</v>
      </c>
      <c r="Y45" s="790">
        <v>2036</v>
      </c>
      <c r="Z45" s="790">
        <v>2202</v>
      </c>
      <c r="AA45" s="790">
        <v>185</v>
      </c>
      <c r="AB45" s="790">
        <v>1229</v>
      </c>
      <c r="AC45" s="790">
        <v>1414</v>
      </c>
      <c r="AD45" s="790">
        <v>167</v>
      </c>
      <c r="AE45" s="790">
        <v>702</v>
      </c>
      <c r="AF45" s="790">
        <v>869</v>
      </c>
      <c r="AH45" s="790">
        <f t="shared" si="16"/>
        <v>890</v>
      </c>
      <c r="AI45" s="790">
        <f t="shared" si="17"/>
        <v>3660</v>
      </c>
      <c r="AJ45" s="790">
        <f t="shared" si="18"/>
        <v>4550</v>
      </c>
      <c r="AK45" s="790">
        <f t="shared" si="19"/>
        <v>1084</v>
      </c>
      <c r="AL45" s="790">
        <f t="shared" si="20"/>
        <v>10234</v>
      </c>
      <c r="AM45" s="790">
        <f t="shared" si="21"/>
        <v>11318</v>
      </c>
      <c r="AN45" s="790">
        <f t="shared" si="22"/>
        <v>352</v>
      </c>
      <c r="AO45" s="790">
        <f t="shared" si="23"/>
        <v>1931</v>
      </c>
      <c r="AP45" s="790">
        <f t="shared" si="24"/>
        <v>2283</v>
      </c>
      <c r="AR45" s="791">
        <f t="shared" si="25"/>
        <v>0.1956043956043956</v>
      </c>
      <c r="AS45" s="791">
        <f t="shared" si="26"/>
        <v>9.5776638982152329E-2</v>
      </c>
      <c r="AT45" s="791">
        <f t="shared" si="27"/>
        <v>0.15418309242225142</v>
      </c>
      <c r="AV45" s="792">
        <v>4630</v>
      </c>
      <c r="AW45" s="792">
        <v>11549</v>
      </c>
      <c r="AX45" s="792">
        <v>2481</v>
      </c>
      <c r="AZ45" s="792">
        <f t="shared" si="28"/>
        <v>905.64835164835165</v>
      </c>
      <c r="BA45" s="792">
        <f t="shared" si="29"/>
        <v>1106.1244036048772</v>
      </c>
      <c r="BB45" s="792">
        <f t="shared" si="30"/>
        <v>382.52825229960575</v>
      </c>
      <c r="BC45" s="809">
        <f t="shared" si="15"/>
        <v>2394.3010075528346</v>
      </c>
    </row>
    <row r="46" spans="1:55" s="789" customFormat="1" ht="12" customHeight="1" x14ac:dyDescent="0.25">
      <c r="A46" s="789" t="s">
        <v>102</v>
      </c>
      <c r="B46" s="793" t="s">
        <v>602</v>
      </c>
      <c r="C46" s="806">
        <v>752</v>
      </c>
      <c r="D46" s="790">
        <v>439</v>
      </c>
      <c r="E46" s="790">
        <v>1191</v>
      </c>
      <c r="F46" s="790">
        <v>372</v>
      </c>
      <c r="G46" s="790">
        <v>586</v>
      </c>
      <c r="H46" s="790">
        <v>958</v>
      </c>
      <c r="I46" s="790">
        <v>380</v>
      </c>
      <c r="J46" s="790">
        <v>774</v>
      </c>
      <c r="K46" s="790">
        <v>1154</v>
      </c>
      <c r="L46" s="790">
        <v>459</v>
      </c>
      <c r="M46" s="790">
        <v>726</v>
      </c>
      <c r="N46" s="790">
        <v>1185</v>
      </c>
      <c r="O46" s="790">
        <v>714</v>
      </c>
      <c r="P46" s="790">
        <v>1004</v>
      </c>
      <c r="Q46" s="790">
        <v>1718</v>
      </c>
      <c r="R46" s="790">
        <v>320</v>
      </c>
      <c r="S46" s="790">
        <v>1498</v>
      </c>
      <c r="T46" s="790">
        <v>1818</v>
      </c>
      <c r="U46" s="790">
        <v>314</v>
      </c>
      <c r="V46" s="790">
        <v>1610</v>
      </c>
      <c r="W46" s="790">
        <v>1924</v>
      </c>
      <c r="X46" s="790">
        <v>534</v>
      </c>
      <c r="Y46" s="790">
        <v>1576</v>
      </c>
      <c r="Z46" s="790">
        <v>2110</v>
      </c>
      <c r="AA46" s="790">
        <v>234</v>
      </c>
      <c r="AB46" s="790">
        <v>1028</v>
      </c>
      <c r="AC46" s="790">
        <v>1262</v>
      </c>
      <c r="AD46" s="790">
        <v>283</v>
      </c>
      <c r="AE46" s="790">
        <v>723</v>
      </c>
      <c r="AF46" s="790">
        <v>1006</v>
      </c>
      <c r="AH46" s="790">
        <f t="shared" si="16"/>
        <v>1504</v>
      </c>
      <c r="AI46" s="790">
        <f t="shared" si="17"/>
        <v>1799</v>
      </c>
      <c r="AJ46" s="790">
        <f t="shared" si="18"/>
        <v>3303</v>
      </c>
      <c r="AK46" s="790">
        <f t="shared" si="19"/>
        <v>2341</v>
      </c>
      <c r="AL46" s="790">
        <f t="shared" si="20"/>
        <v>6414</v>
      </c>
      <c r="AM46" s="790">
        <f t="shared" si="21"/>
        <v>8755</v>
      </c>
      <c r="AN46" s="790">
        <f t="shared" si="22"/>
        <v>517</v>
      </c>
      <c r="AO46" s="790">
        <f t="shared" si="23"/>
        <v>1751</v>
      </c>
      <c r="AP46" s="790">
        <f t="shared" si="24"/>
        <v>2268</v>
      </c>
      <c r="AR46" s="791">
        <f t="shared" si="25"/>
        <v>0.45534362700575237</v>
      </c>
      <c r="AS46" s="791">
        <f t="shared" si="26"/>
        <v>0.267390062821245</v>
      </c>
      <c r="AT46" s="791">
        <f t="shared" si="27"/>
        <v>0.22795414462081129</v>
      </c>
      <c r="AV46" s="792">
        <v>1979</v>
      </c>
      <c r="AW46" s="792">
        <v>8577</v>
      </c>
      <c r="AX46" s="792">
        <v>1556</v>
      </c>
      <c r="AZ46" s="792">
        <f t="shared" si="28"/>
        <v>901.125037844384</v>
      </c>
      <c r="BA46" s="792">
        <f t="shared" si="29"/>
        <v>2293.4045688178185</v>
      </c>
      <c r="BB46" s="792">
        <f t="shared" si="30"/>
        <v>354.69664902998238</v>
      </c>
      <c r="BC46" s="809">
        <f t="shared" si="15"/>
        <v>3549.2262556921846</v>
      </c>
    </row>
    <row r="47" spans="1:55" s="789" customFormat="1" ht="12" customHeight="1" x14ac:dyDescent="0.25">
      <c r="A47" s="789" t="s">
        <v>104</v>
      </c>
      <c r="B47" s="793" t="s">
        <v>603</v>
      </c>
      <c r="C47" s="806">
        <v>667</v>
      </c>
      <c r="D47" s="790">
        <v>1700</v>
      </c>
      <c r="E47" s="790">
        <v>2367</v>
      </c>
      <c r="F47" s="790">
        <v>894</v>
      </c>
      <c r="G47" s="790">
        <v>1482</v>
      </c>
      <c r="H47" s="790">
        <v>2376</v>
      </c>
      <c r="I47" s="790">
        <v>980</v>
      </c>
      <c r="J47" s="790">
        <v>2181</v>
      </c>
      <c r="K47" s="790">
        <v>3161</v>
      </c>
      <c r="L47" s="790">
        <v>801</v>
      </c>
      <c r="M47" s="790">
        <v>1895</v>
      </c>
      <c r="N47" s="790">
        <v>2696</v>
      </c>
      <c r="O47" s="790">
        <v>820</v>
      </c>
      <c r="P47" s="790">
        <v>2326</v>
      </c>
      <c r="Q47" s="790">
        <v>3146</v>
      </c>
      <c r="R47" s="790">
        <v>1009</v>
      </c>
      <c r="S47" s="790">
        <v>3255</v>
      </c>
      <c r="T47" s="790">
        <v>4264</v>
      </c>
      <c r="U47" s="790">
        <v>1030</v>
      </c>
      <c r="V47" s="790">
        <v>4316</v>
      </c>
      <c r="W47" s="790">
        <v>5346</v>
      </c>
      <c r="X47" s="790">
        <v>1162</v>
      </c>
      <c r="Y47" s="790">
        <v>4229</v>
      </c>
      <c r="Z47" s="790">
        <v>5391</v>
      </c>
      <c r="AA47" s="790">
        <v>953</v>
      </c>
      <c r="AB47" s="790">
        <v>2746</v>
      </c>
      <c r="AC47" s="790">
        <v>3699</v>
      </c>
      <c r="AD47" s="790">
        <v>981</v>
      </c>
      <c r="AE47" s="790">
        <v>1889</v>
      </c>
      <c r="AF47" s="790">
        <v>2870</v>
      </c>
      <c r="AH47" s="790">
        <f t="shared" si="16"/>
        <v>2541</v>
      </c>
      <c r="AI47" s="790">
        <f t="shared" si="17"/>
        <v>5363</v>
      </c>
      <c r="AJ47" s="790">
        <f t="shared" si="18"/>
        <v>7904</v>
      </c>
      <c r="AK47" s="790">
        <f t="shared" si="19"/>
        <v>4822</v>
      </c>
      <c r="AL47" s="790">
        <f t="shared" si="20"/>
        <v>16021</v>
      </c>
      <c r="AM47" s="790">
        <f t="shared" si="21"/>
        <v>20843</v>
      </c>
      <c r="AN47" s="790">
        <f t="shared" si="22"/>
        <v>1934</v>
      </c>
      <c r="AO47" s="790">
        <f t="shared" si="23"/>
        <v>4635</v>
      </c>
      <c r="AP47" s="790">
        <f t="shared" si="24"/>
        <v>6569</v>
      </c>
      <c r="AR47" s="791">
        <f t="shared" si="25"/>
        <v>0.32148279352226722</v>
      </c>
      <c r="AS47" s="791">
        <f t="shared" si="26"/>
        <v>0.23134865422443987</v>
      </c>
      <c r="AT47" s="791">
        <f t="shared" si="27"/>
        <v>0.29441315268686252</v>
      </c>
      <c r="AV47" s="792">
        <v>7828</v>
      </c>
      <c r="AW47" s="792">
        <v>21081</v>
      </c>
      <c r="AX47" s="792">
        <v>7147</v>
      </c>
      <c r="AZ47" s="792">
        <f t="shared" si="28"/>
        <v>2516.5673076923076</v>
      </c>
      <c r="BA47" s="792">
        <f t="shared" si="29"/>
        <v>4877.0609797054167</v>
      </c>
      <c r="BB47" s="792">
        <f t="shared" si="30"/>
        <v>2104.1708022530065</v>
      </c>
      <c r="BC47" s="809">
        <f t="shared" si="15"/>
        <v>9497.7990896507308</v>
      </c>
    </row>
    <row r="48" spans="1:55" s="789" customFormat="1" ht="12" customHeight="1" x14ac:dyDescent="0.25">
      <c r="A48" s="789" t="s">
        <v>108</v>
      </c>
      <c r="B48" s="793" t="s">
        <v>352</v>
      </c>
      <c r="C48" s="806">
        <v>595</v>
      </c>
      <c r="D48" s="790">
        <v>6044</v>
      </c>
      <c r="E48" s="790">
        <v>6639</v>
      </c>
      <c r="F48" s="790">
        <v>537</v>
      </c>
      <c r="G48" s="790">
        <v>7977</v>
      </c>
      <c r="H48" s="790">
        <v>8514</v>
      </c>
      <c r="I48" s="790">
        <v>576</v>
      </c>
      <c r="J48" s="790">
        <v>9188</v>
      </c>
      <c r="K48" s="790">
        <v>9764</v>
      </c>
      <c r="L48" s="790">
        <v>700</v>
      </c>
      <c r="M48" s="790">
        <v>5668</v>
      </c>
      <c r="N48" s="790">
        <v>6368</v>
      </c>
      <c r="O48" s="790">
        <v>634</v>
      </c>
      <c r="P48" s="790">
        <v>8031</v>
      </c>
      <c r="Q48" s="790">
        <v>8665</v>
      </c>
      <c r="R48" s="790">
        <v>685</v>
      </c>
      <c r="S48" s="790">
        <v>13996</v>
      </c>
      <c r="T48" s="790">
        <v>14681</v>
      </c>
      <c r="U48" s="790">
        <v>827</v>
      </c>
      <c r="V48" s="790">
        <v>16536</v>
      </c>
      <c r="W48" s="790">
        <v>17363</v>
      </c>
      <c r="X48" s="790">
        <v>626</v>
      </c>
      <c r="Y48" s="790">
        <v>12050</v>
      </c>
      <c r="Z48" s="790">
        <v>12676</v>
      </c>
      <c r="AA48" s="790">
        <v>552</v>
      </c>
      <c r="AB48" s="790">
        <v>6436</v>
      </c>
      <c r="AC48" s="790">
        <v>6988</v>
      </c>
      <c r="AD48" s="790">
        <v>615</v>
      </c>
      <c r="AE48" s="790">
        <v>4804</v>
      </c>
      <c r="AF48" s="790">
        <v>5419</v>
      </c>
      <c r="AH48" s="790">
        <f t="shared" si="16"/>
        <v>1708</v>
      </c>
      <c r="AI48" s="790">
        <f t="shared" si="17"/>
        <v>23209</v>
      </c>
      <c r="AJ48" s="790">
        <f t="shared" si="18"/>
        <v>24917</v>
      </c>
      <c r="AK48" s="790">
        <f t="shared" si="19"/>
        <v>3472</v>
      </c>
      <c r="AL48" s="790">
        <f t="shared" si="20"/>
        <v>56281</v>
      </c>
      <c r="AM48" s="790">
        <f t="shared" si="21"/>
        <v>59753</v>
      </c>
      <c r="AN48" s="790">
        <f t="shared" si="22"/>
        <v>1167</v>
      </c>
      <c r="AO48" s="790">
        <f t="shared" si="23"/>
        <v>11240</v>
      </c>
      <c r="AP48" s="790">
        <f t="shared" si="24"/>
        <v>12407</v>
      </c>
      <c r="AR48" s="791">
        <f t="shared" si="25"/>
        <v>6.8547577958823297E-2</v>
      </c>
      <c r="AS48" s="791">
        <f t="shared" si="26"/>
        <v>5.8105869161381017E-2</v>
      </c>
      <c r="AT48" s="791">
        <f t="shared" si="27"/>
        <v>9.4059804948819214E-2</v>
      </c>
      <c r="AV48" s="792">
        <v>24344</v>
      </c>
      <c r="AW48" s="792">
        <v>62242</v>
      </c>
      <c r="AX48" s="792">
        <v>13756</v>
      </c>
      <c r="AZ48" s="792">
        <f t="shared" si="28"/>
        <v>1668.7222378295944</v>
      </c>
      <c r="BA48" s="792">
        <f t="shared" si="29"/>
        <v>3616.6255083426772</v>
      </c>
      <c r="BB48" s="792">
        <f t="shared" si="30"/>
        <v>1293.8866768759572</v>
      </c>
      <c r="BC48" s="809">
        <f t="shared" si="15"/>
        <v>6579.2344230482286</v>
      </c>
    </row>
    <row r="49" spans="1:55" s="789" customFormat="1" ht="12" customHeight="1" x14ac:dyDescent="0.25">
      <c r="A49" s="789" t="s">
        <v>110</v>
      </c>
      <c r="B49" s="793" t="s">
        <v>353</v>
      </c>
      <c r="C49" s="806">
        <v>5472</v>
      </c>
      <c r="D49" s="790">
        <v>19017</v>
      </c>
      <c r="E49" s="790">
        <v>24489</v>
      </c>
      <c r="F49" s="790">
        <v>4855</v>
      </c>
      <c r="G49" s="790">
        <v>18484</v>
      </c>
      <c r="H49" s="790">
        <v>23339</v>
      </c>
      <c r="I49" s="790">
        <v>4382</v>
      </c>
      <c r="J49" s="790">
        <v>20800</v>
      </c>
      <c r="K49" s="790">
        <v>25182</v>
      </c>
      <c r="L49" s="790">
        <v>5775</v>
      </c>
      <c r="M49" s="790">
        <v>18601</v>
      </c>
      <c r="N49" s="790">
        <v>24376</v>
      </c>
      <c r="O49" s="790">
        <v>5962</v>
      </c>
      <c r="P49" s="790">
        <v>37317</v>
      </c>
      <c r="Q49" s="790">
        <v>43279</v>
      </c>
      <c r="R49" s="790">
        <v>4215</v>
      </c>
      <c r="S49" s="790">
        <v>40052</v>
      </c>
      <c r="T49" s="790">
        <v>44267</v>
      </c>
      <c r="U49" s="790">
        <v>3973</v>
      </c>
      <c r="V49" s="790">
        <v>41508</v>
      </c>
      <c r="W49" s="790">
        <v>45481</v>
      </c>
      <c r="X49" s="790">
        <v>2618</v>
      </c>
      <c r="Y49" s="790">
        <v>31667</v>
      </c>
      <c r="Z49" s="790">
        <v>34285</v>
      </c>
      <c r="AA49" s="790">
        <v>1812</v>
      </c>
      <c r="AB49" s="790">
        <v>16352</v>
      </c>
      <c r="AC49" s="790">
        <v>18164</v>
      </c>
      <c r="AD49" s="790">
        <v>1583</v>
      </c>
      <c r="AE49" s="790">
        <v>15236</v>
      </c>
      <c r="AF49" s="790">
        <v>16819</v>
      </c>
      <c r="AH49" s="790">
        <f t="shared" si="16"/>
        <v>14709</v>
      </c>
      <c r="AI49" s="790">
        <f t="shared" si="17"/>
        <v>58301</v>
      </c>
      <c r="AJ49" s="790">
        <f t="shared" si="18"/>
        <v>73010</v>
      </c>
      <c r="AK49" s="790">
        <f t="shared" si="19"/>
        <v>22543</v>
      </c>
      <c r="AL49" s="790">
        <f t="shared" si="20"/>
        <v>169145</v>
      </c>
      <c r="AM49" s="790">
        <f t="shared" si="21"/>
        <v>191688</v>
      </c>
      <c r="AN49" s="790">
        <f t="shared" si="22"/>
        <v>3395</v>
      </c>
      <c r="AO49" s="790">
        <f t="shared" si="23"/>
        <v>31588</v>
      </c>
      <c r="AP49" s="790">
        <f t="shared" si="24"/>
        <v>34983</v>
      </c>
      <c r="AR49" s="791">
        <f t="shared" si="25"/>
        <v>0.20146555266401864</v>
      </c>
      <c r="AS49" s="791">
        <f t="shared" si="26"/>
        <v>0.11760256249739159</v>
      </c>
      <c r="AT49" s="791">
        <f t="shared" si="27"/>
        <v>9.704713718091644E-2</v>
      </c>
      <c r="AV49" s="792">
        <v>74013</v>
      </c>
      <c r="AW49" s="792">
        <v>197231</v>
      </c>
      <c r="AX49" s="792">
        <v>39201</v>
      </c>
      <c r="AZ49" s="792">
        <f t="shared" si="28"/>
        <v>14911.069949322011</v>
      </c>
      <c r="BA49" s="792">
        <f t="shared" si="29"/>
        <v>23194.871003923043</v>
      </c>
      <c r="BB49" s="792">
        <f t="shared" si="30"/>
        <v>3804.3448246291055</v>
      </c>
      <c r="BC49" s="809">
        <f t="shared" si="15"/>
        <v>41910.28577787416</v>
      </c>
    </row>
    <row r="50" spans="1:55" s="789" customFormat="1" ht="12" customHeight="1" x14ac:dyDescent="0.25">
      <c r="A50" s="789" t="s">
        <v>112</v>
      </c>
      <c r="B50" s="793" t="s">
        <v>604</v>
      </c>
      <c r="C50" s="806">
        <v>2351</v>
      </c>
      <c r="D50" s="790">
        <v>2243</v>
      </c>
      <c r="E50" s="790">
        <v>4594</v>
      </c>
      <c r="F50" s="790">
        <v>1817</v>
      </c>
      <c r="G50" s="790">
        <v>2683</v>
      </c>
      <c r="H50" s="790">
        <v>4500</v>
      </c>
      <c r="I50" s="790">
        <v>1966</v>
      </c>
      <c r="J50" s="790">
        <v>3054</v>
      </c>
      <c r="K50" s="790">
        <v>5020</v>
      </c>
      <c r="L50" s="790">
        <v>1596</v>
      </c>
      <c r="M50" s="790">
        <v>3319</v>
      </c>
      <c r="N50" s="790">
        <v>4915</v>
      </c>
      <c r="O50" s="790">
        <v>2083</v>
      </c>
      <c r="P50" s="790">
        <v>4680</v>
      </c>
      <c r="Q50" s="790">
        <v>6763</v>
      </c>
      <c r="R50" s="790">
        <v>2350</v>
      </c>
      <c r="S50" s="790">
        <v>6545</v>
      </c>
      <c r="T50" s="790">
        <v>8895</v>
      </c>
      <c r="U50" s="790">
        <v>2188</v>
      </c>
      <c r="V50" s="790">
        <v>8425</v>
      </c>
      <c r="W50" s="790">
        <v>10613</v>
      </c>
      <c r="X50" s="790">
        <v>1648</v>
      </c>
      <c r="Y50" s="790">
        <v>7626</v>
      </c>
      <c r="Z50" s="790">
        <v>9274</v>
      </c>
      <c r="AA50" s="790">
        <v>1059</v>
      </c>
      <c r="AB50" s="790">
        <v>6049</v>
      </c>
      <c r="AC50" s="790">
        <v>7108</v>
      </c>
      <c r="AD50" s="790">
        <v>1443</v>
      </c>
      <c r="AE50" s="790">
        <v>4187</v>
      </c>
      <c r="AF50" s="790">
        <v>5630</v>
      </c>
      <c r="AH50" s="790">
        <f t="shared" si="16"/>
        <v>6134</v>
      </c>
      <c r="AI50" s="790">
        <f t="shared" si="17"/>
        <v>7980</v>
      </c>
      <c r="AJ50" s="790">
        <f t="shared" si="18"/>
        <v>14114</v>
      </c>
      <c r="AK50" s="790">
        <f t="shared" si="19"/>
        <v>9865</v>
      </c>
      <c r="AL50" s="790">
        <f t="shared" si="20"/>
        <v>30595</v>
      </c>
      <c r="AM50" s="790">
        <f t="shared" si="21"/>
        <v>40460</v>
      </c>
      <c r="AN50" s="790">
        <f t="shared" si="22"/>
        <v>2502</v>
      </c>
      <c r="AO50" s="790">
        <f t="shared" si="23"/>
        <v>10236</v>
      </c>
      <c r="AP50" s="790">
        <f t="shared" si="24"/>
        <v>12738</v>
      </c>
      <c r="AR50" s="791">
        <f t="shared" si="25"/>
        <v>0.434603939350999</v>
      </c>
      <c r="AS50" s="791">
        <f t="shared" si="26"/>
        <v>0.24382105783489866</v>
      </c>
      <c r="AT50" s="791">
        <f t="shared" si="27"/>
        <v>0.19642016015073011</v>
      </c>
      <c r="AV50" s="792">
        <v>10889</v>
      </c>
      <c r="AW50" s="792">
        <v>31886</v>
      </c>
      <c r="AX50" s="792">
        <v>10966</v>
      </c>
      <c r="AZ50" s="792">
        <f t="shared" si="28"/>
        <v>4732.4022955930277</v>
      </c>
      <c r="BA50" s="792">
        <f t="shared" si="29"/>
        <v>7774.4782501235786</v>
      </c>
      <c r="BB50" s="792">
        <f t="shared" si="30"/>
        <v>2153.9434762129063</v>
      </c>
      <c r="BC50" s="809">
        <f t="shared" si="15"/>
        <v>14660.824021929511</v>
      </c>
    </row>
    <row r="51" spans="1:55" s="789" customFormat="1" ht="12" customHeight="1" x14ac:dyDescent="0.25">
      <c r="A51" s="789" t="s">
        <v>114</v>
      </c>
      <c r="B51" s="793" t="s">
        <v>354</v>
      </c>
      <c r="C51" s="806">
        <v>6</v>
      </c>
      <c r="D51" s="790">
        <v>70</v>
      </c>
      <c r="E51" s="790">
        <v>76</v>
      </c>
      <c r="F51" s="790">
        <v>10</v>
      </c>
      <c r="G51" s="790">
        <v>90</v>
      </c>
      <c r="H51" s="790">
        <v>100</v>
      </c>
      <c r="I51" s="790">
        <v>15</v>
      </c>
      <c r="J51" s="790">
        <v>130</v>
      </c>
      <c r="K51" s="790">
        <v>145</v>
      </c>
      <c r="L51" s="790">
        <v>9</v>
      </c>
      <c r="M51" s="790">
        <v>50</v>
      </c>
      <c r="N51" s="790">
        <v>59</v>
      </c>
      <c r="O51" s="790">
        <v>10</v>
      </c>
      <c r="P51" s="790">
        <v>84</v>
      </c>
      <c r="Q51" s="790">
        <v>94</v>
      </c>
      <c r="R51" s="790">
        <v>32</v>
      </c>
      <c r="S51" s="790">
        <v>291</v>
      </c>
      <c r="T51" s="790">
        <v>323</v>
      </c>
      <c r="U51" s="790">
        <v>86</v>
      </c>
      <c r="V51" s="790">
        <v>292</v>
      </c>
      <c r="W51" s="790">
        <v>378</v>
      </c>
      <c r="X51" s="790">
        <v>26</v>
      </c>
      <c r="Y51" s="790">
        <v>504</v>
      </c>
      <c r="Z51" s="790">
        <v>530</v>
      </c>
      <c r="AA51" s="790">
        <v>45</v>
      </c>
      <c r="AB51" s="790">
        <v>387</v>
      </c>
      <c r="AC51" s="790">
        <v>432</v>
      </c>
      <c r="AD51" s="790">
        <v>45</v>
      </c>
      <c r="AE51" s="790">
        <v>168</v>
      </c>
      <c r="AF51" s="790">
        <v>213</v>
      </c>
      <c r="AH51" s="790">
        <f t="shared" si="16"/>
        <v>31</v>
      </c>
      <c r="AI51" s="790">
        <f t="shared" si="17"/>
        <v>290</v>
      </c>
      <c r="AJ51" s="790">
        <f t="shared" si="18"/>
        <v>321</v>
      </c>
      <c r="AK51" s="790">
        <f t="shared" si="19"/>
        <v>163</v>
      </c>
      <c r="AL51" s="790">
        <f t="shared" si="20"/>
        <v>1221</v>
      </c>
      <c r="AM51" s="790">
        <f t="shared" si="21"/>
        <v>1384</v>
      </c>
      <c r="AN51" s="790">
        <f t="shared" si="22"/>
        <v>90</v>
      </c>
      <c r="AO51" s="790">
        <f t="shared" si="23"/>
        <v>555</v>
      </c>
      <c r="AP51" s="790">
        <f t="shared" si="24"/>
        <v>645</v>
      </c>
      <c r="AR51" s="791">
        <f t="shared" si="25"/>
        <v>9.657320872274143E-2</v>
      </c>
      <c r="AS51" s="791">
        <f t="shared" si="26"/>
        <v>0.11777456647398844</v>
      </c>
      <c r="AT51" s="791">
        <f t="shared" si="27"/>
        <v>0.13953488372093023</v>
      </c>
      <c r="AV51" s="792">
        <v>321</v>
      </c>
      <c r="AW51" s="792">
        <v>1344</v>
      </c>
      <c r="AX51" s="792">
        <v>602</v>
      </c>
      <c r="AZ51" s="792">
        <f t="shared" si="28"/>
        <v>31</v>
      </c>
      <c r="BA51" s="792">
        <f t="shared" si="29"/>
        <v>158.28901734104048</v>
      </c>
      <c r="BB51" s="792">
        <f t="shared" si="30"/>
        <v>84</v>
      </c>
      <c r="BC51" s="809">
        <f t="shared" si="15"/>
        <v>273.28901734104045</v>
      </c>
    </row>
    <row r="52" spans="1:55" s="789" customFormat="1" ht="12" customHeight="1" x14ac:dyDescent="0.25">
      <c r="A52" s="789" t="s">
        <v>118</v>
      </c>
      <c r="B52" s="793" t="s">
        <v>605</v>
      </c>
      <c r="C52" s="806">
        <v>593</v>
      </c>
      <c r="D52" s="790">
        <v>1768</v>
      </c>
      <c r="E52" s="790">
        <v>2361</v>
      </c>
      <c r="F52" s="790">
        <v>341</v>
      </c>
      <c r="G52" s="790">
        <v>2572</v>
      </c>
      <c r="H52" s="790">
        <v>2913</v>
      </c>
      <c r="I52" s="790">
        <v>354</v>
      </c>
      <c r="J52" s="790">
        <v>2329</v>
      </c>
      <c r="K52" s="790">
        <v>2683</v>
      </c>
      <c r="L52" s="790">
        <v>336</v>
      </c>
      <c r="M52" s="790">
        <v>2115</v>
      </c>
      <c r="N52" s="790">
        <v>2451</v>
      </c>
      <c r="O52" s="790">
        <v>322</v>
      </c>
      <c r="P52" s="790">
        <v>2856</v>
      </c>
      <c r="Q52" s="790">
        <v>3178</v>
      </c>
      <c r="R52" s="790">
        <v>508</v>
      </c>
      <c r="S52" s="790">
        <v>4327</v>
      </c>
      <c r="T52" s="790">
        <v>4835</v>
      </c>
      <c r="U52" s="790">
        <v>511</v>
      </c>
      <c r="V52" s="790">
        <v>6018</v>
      </c>
      <c r="W52" s="790">
        <v>6529</v>
      </c>
      <c r="X52" s="790">
        <v>630</v>
      </c>
      <c r="Y52" s="790">
        <v>4453</v>
      </c>
      <c r="Z52" s="790">
        <v>5083</v>
      </c>
      <c r="AA52" s="790">
        <v>208</v>
      </c>
      <c r="AB52" s="790">
        <v>2740</v>
      </c>
      <c r="AC52" s="790">
        <v>2948</v>
      </c>
      <c r="AD52" s="790">
        <v>342</v>
      </c>
      <c r="AE52" s="790">
        <v>1616</v>
      </c>
      <c r="AF52" s="790">
        <v>1958</v>
      </c>
      <c r="AH52" s="790">
        <f t="shared" si="16"/>
        <v>1288</v>
      </c>
      <c r="AI52" s="790">
        <f t="shared" si="17"/>
        <v>6669</v>
      </c>
      <c r="AJ52" s="790">
        <f t="shared" si="18"/>
        <v>7957</v>
      </c>
      <c r="AK52" s="790">
        <f t="shared" si="19"/>
        <v>2307</v>
      </c>
      <c r="AL52" s="790">
        <f t="shared" si="20"/>
        <v>19769</v>
      </c>
      <c r="AM52" s="790">
        <f t="shared" si="21"/>
        <v>22076</v>
      </c>
      <c r="AN52" s="790">
        <f t="shared" si="22"/>
        <v>550</v>
      </c>
      <c r="AO52" s="790">
        <f t="shared" si="23"/>
        <v>4356</v>
      </c>
      <c r="AP52" s="790">
        <f t="shared" si="24"/>
        <v>4906</v>
      </c>
      <c r="AR52" s="791">
        <f t="shared" si="25"/>
        <v>0.16187005152695741</v>
      </c>
      <c r="AS52" s="791">
        <f t="shared" si="26"/>
        <v>0.10450262728755209</v>
      </c>
      <c r="AT52" s="791">
        <f t="shared" si="27"/>
        <v>0.11210762331838565</v>
      </c>
      <c r="AV52" s="792">
        <v>7808</v>
      </c>
      <c r="AW52" s="792">
        <v>22111</v>
      </c>
      <c r="AX52" s="792">
        <v>5437</v>
      </c>
      <c r="AZ52" s="792">
        <f t="shared" si="28"/>
        <v>1263.8813623224835</v>
      </c>
      <c r="BA52" s="792">
        <f t="shared" si="29"/>
        <v>2310.6575919550642</v>
      </c>
      <c r="BB52" s="792">
        <f t="shared" si="30"/>
        <v>609.5291479820628</v>
      </c>
      <c r="BC52" s="809">
        <f t="shared" si="15"/>
        <v>4184.06810225961</v>
      </c>
    </row>
    <row r="53" spans="1:55" s="789" customFormat="1" ht="12" customHeight="1" x14ac:dyDescent="0.25">
      <c r="A53" s="789" t="s">
        <v>120</v>
      </c>
      <c r="B53" s="793" t="s">
        <v>273</v>
      </c>
      <c r="C53" s="806">
        <v>802</v>
      </c>
      <c r="D53" s="790">
        <v>3257</v>
      </c>
      <c r="E53" s="790">
        <v>4059</v>
      </c>
      <c r="F53" s="790">
        <v>707</v>
      </c>
      <c r="G53" s="790">
        <v>4065</v>
      </c>
      <c r="H53" s="790">
        <v>4772</v>
      </c>
      <c r="I53" s="790">
        <v>525</v>
      </c>
      <c r="J53" s="790">
        <v>4851</v>
      </c>
      <c r="K53" s="790">
        <v>5376</v>
      </c>
      <c r="L53" s="790">
        <v>843</v>
      </c>
      <c r="M53" s="790">
        <v>3679</v>
      </c>
      <c r="N53" s="790">
        <v>4522</v>
      </c>
      <c r="O53" s="790">
        <v>636</v>
      </c>
      <c r="P53" s="790">
        <v>5556</v>
      </c>
      <c r="Q53" s="790">
        <v>6192</v>
      </c>
      <c r="R53" s="790">
        <v>611</v>
      </c>
      <c r="S53" s="790">
        <v>7290</v>
      </c>
      <c r="T53" s="790">
        <v>7901</v>
      </c>
      <c r="U53" s="790">
        <v>459</v>
      </c>
      <c r="V53" s="790">
        <v>9228</v>
      </c>
      <c r="W53" s="790">
        <v>9687</v>
      </c>
      <c r="X53" s="790">
        <v>435</v>
      </c>
      <c r="Y53" s="790">
        <v>9043</v>
      </c>
      <c r="Z53" s="790">
        <v>9478</v>
      </c>
      <c r="AA53" s="790">
        <v>157</v>
      </c>
      <c r="AB53" s="790">
        <v>7084</v>
      </c>
      <c r="AC53" s="790">
        <v>7241</v>
      </c>
      <c r="AD53" s="790">
        <v>241</v>
      </c>
      <c r="AE53" s="790">
        <v>5543</v>
      </c>
      <c r="AF53" s="790">
        <v>5784</v>
      </c>
      <c r="AH53" s="790">
        <f t="shared" si="16"/>
        <v>2034</v>
      </c>
      <c r="AI53" s="790">
        <f t="shared" si="17"/>
        <v>12173</v>
      </c>
      <c r="AJ53" s="790">
        <f t="shared" si="18"/>
        <v>14207</v>
      </c>
      <c r="AK53" s="790">
        <f t="shared" si="19"/>
        <v>2984</v>
      </c>
      <c r="AL53" s="790">
        <f t="shared" si="20"/>
        <v>34796</v>
      </c>
      <c r="AM53" s="790">
        <f t="shared" si="21"/>
        <v>37780</v>
      </c>
      <c r="AN53" s="790">
        <f t="shared" si="22"/>
        <v>398</v>
      </c>
      <c r="AO53" s="790">
        <f t="shared" si="23"/>
        <v>12627</v>
      </c>
      <c r="AP53" s="790">
        <f t="shared" si="24"/>
        <v>13025</v>
      </c>
      <c r="AR53" s="791">
        <f t="shared" si="25"/>
        <v>0.14316886042091925</v>
      </c>
      <c r="AS53" s="791">
        <f t="shared" si="26"/>
        <v>7.8983589200635251E-2</v>
      </c>
      <c r="AT53" s="791">
        <f t="shared" si="27"/>
        <v>3.0556621880998079E-2</v>
      </c>
      <c r="AV53" s="792">
        <v>14335</v>
      </c>
      <c r="AW53" s="792">
        <v>39213</v>
      </c>
      <c r="AX53" s="792">
        <v>14652</v>
      </c>
      <c r="AZ53" s="792">
        <f t="shared" si="28"/>
        <v>2052.3256141338775</v>
      </c>
      <c r="BA53" s="792">
        <f t="shared" si="29"/>
        <v>3097.1834833245102</v>
      </c>
      <c r="BB53" s="792">
        <f t="shared" si="30"/>
        <v>447.71562380038387</v>
      </c>
      <c r="BC53" s="809">
        <f t="shared" si="15"/>
        <v>5597.2247212587708</v>
      </c>
    </row>
    <row r="54" spans="1:55" s="789" customFormat="1" ht="12" customHeight="1" x14ac:dyDescent="0.25">
      <c r="A54" s="789" t="s">
        <v>122</v>
      </c>
      <c r="B54" s="793" t="s">
        <v>606</v>
      </c>
      <c r="C54" s="806">
        <v>184</v>
      </c>
      <c r="D54" s="790">
        <v>280</v>
      </c>
      <c r="E54" s="790">
        <v>464</v>
      </c>
      <c r="F54" s="790">
        <v>121</v>
      </c>
      <c r="G54" s="790">
        <v>263</v>
      </c>
      <c r="H54" s="790">
        <v>384</v>
      </c>
      <c r="I54" s="790">
        <v>50</v>
      </c>
      <c r="J54" s="790">
        <v>537</v>
      </c>
      <c r="K54" s="790">
        <v>587</v>
      </c>
      <c r="L54" s="790">
        <v>73</v>
      </c>
      <c r="M54" s="790">
        <v>491</v>
      </c>
      <c r="N54" s="790">
        <v>564</v>
      </c>
      <c r="O54" s="790">
        <v>57</v>
      </c>
      <c r="P54" s="790">
        <v>434</v>
      </c>
      <c r="Q54" s="790">
        <v>491</v>
      </c>
      <c r="R54" s="790">
        <v>96</v>
      </c>
      <c r="S54" s="790">
        <v>864</v>
      </c>
      <c r="T54" s="790">
        <v>960</v>
      </c>
      <c r="U54" s="790">
        <v>106</v>
      </c>
      <c r="V54" s="790">
        <v>1136</v>
      </c>
      <c r="W54" s="790">
        <v>1242</v>
      </c>
      <c r="X54" s="790">
        <v>138</v>
      </c>
      <c r="Y54" s="790">
        <v>929</v>
      </c>
      <c r="Z54" s="790">
        <v>1067</v>
      </c>
      <c r="AA54" s="790">
        <v>67</v>
      </c>
      <c r="AB54" s="790">
        <v>598</v>
      </c>
      <c r="AC54" s="790">
        <v>665</v>
      </c>
      <c r="AD54" s="790">
        <v>125</v>
      </c>
      <c r="AE54" s="790">
        <v>397</v>
      </c>
      <c r="AF54" s="790">
        <v>522</v>
      </c>
      <c r="AH54" s="790">
        <f t="shared" si="16"/>
        <v>355</v>
      </c>
      <c r="AI54" s="790">
        <f t="shared" si="17"/>
        <v>1080</v>
      </c>
      <c r="AJ54" s="790">
        <f t="shared" si="18"/>
        <v>1435</v>
      </c>
      <c r="AK54" s="790">
        <f t="shared" si="19"/>
        <v>470</v>
      </c>
      <c r="AL54" s="790">
        <f t="shared" si="20"/>
        <v>3854</v>
      </c>
      <c r="AM54" s="790">
        <f t="shared" si="21"/>
        <v>4324</v>
      </c>
      <c r="AN54" s="790">
        <f t="shared" si="22"/>
        <v>192</v>
      </c>
      <c r="AO54" s="790">
        <f t="shared" si="23"/>
        <v>995</v>
      </c>
      <c r="AP54" s="790">
        <f t="shared" si="24"/>
        <v>1187</v>
      </c>
      <c r="AR54" s="791">
        <f t="shared" si="25"/>
        <v>0.24738675958188153</v>
      </c>
      <c r="AS54" s="791">
        <f t="shared" si="26"/>
        <v>0.10869565217391304</v>
      </c>
      <c r="AT54" s="791">
        <f t="shared" si="27"/>
        <v>0.16175231676495366</v>
      </c>
      <c r="AV54" s="792">
        <v>1382</v>
      </c>
      <c r="AW54" s="792">
        <v>4333</v>
      </c>
      <c r="AX54" s="792">
        <v>1282</v>
      </c>
      <c r="AZ54" s="792">
        <f t="shared" si="28"/>
        <v>341.88850174216026</v>
      </c>
      <c r="BA54" s="792">
        <f t="shared" si="29"/>
        <v>470.97826086956519</v>
      </c>
      <c r="BB54" s="792">
        <f t="shared" si="30"/>
        <v>207.3664700926706</v>
      </c>
      <c r="BC54" s="809">
        <f t="shared" si="15"/>
        <v>1020.2332327043961</v>
      </c>
    </row>
    <row r="55" spans="1:55" s="789" customFormat="1" ht="12" customHeight="1" x14ac:dyDescent="0.25">
      <c r="A55" s="789" t="s">
        <v>124</v>
      </c>
      <c r="B55" s="793" t="s">
        <v>357</v>
      </c>
      <c r="C55" s="806">
        <v>418</v>
      </c>
      <c r="D55" s="790">
        <v>1623</v>
      </c>
      <c r="E55" s="790">
        <v>2041</v>
      </c>
      <c r="F55" s="790">
        <v>266</v>
      </c>
      <c r="G55" s="790">
        <v>1933</v>
      </c>
      <c r="H55" s="790">
        <v>2199</v>
      </c>
      <c r="I55" s="790">
        <v>204</v>
      </c>
      <c r="J55" s="790">
        <v>2018</v>
      </c>
      <c r="K55" s="790">
        <v>2222</v>
      </c>
      <c r="L55" s="790">
        <v>332</v>
      </c>
      <c r="M55" s="790">
        <v>1271</v>
      </c>
      <c r="N55" s="790">
        <v>1603</v>
      </c>
      <c r="O55" s="790">
        <v>241</v>
      </c>
      <c r="P55" s="790">
        <v>2558</v>
      </c>
      <c r="Q55" s="790">
        <v>2799</v>
      </c>
      <c r="R55" s="790">
        <v>210</v>
      </c>
      <c r="S55" s="790">
        <v>3370</v>
      </c>
      <c r="T55" s="790">
        <v>3580</v>
      </c>
      <c r="U55" s="790">
        <v>127</v>
      </c>
      <c r="V55" s="790">
        <v>3653</v>
      </c>
      <c r="W55" s="790">
        <v>3780</v>
      </c>
      <c r="X55" s="790">
        <v>151</v>
      </c>
      <c r="Y55" s="790">
        <v>2288</v>
      </c>
      <c r="Z55" s="790">
        <v>2439</v>
      </c>
      <c r="AA55" s="790">
        <v>100</v>
      </c>
      <c r="AB55" s="790">
        <v>1369</v>
      </c>
      <c r="AC55" s="790">
        <v>1469</v>
      </c>
      <c r="AD55" s="790">
        <v>61</v>
      </c>
      <c r="AE55" s="790">
        <v>668</v>
      </c>
      <c r="AF55" s="790">
        <v>729</v>
      </c>
      <c r="AH55" s="790">
        <f t="shared" si="16"/>
        <v>888</v>
      </c>
      <c r="AI55" s="790">
        <f t="shared" si="17"/>
        <v>5574</v>
      </c>
      <c r="AJ55" s="790">
        <f t="shared" si="18"/>
        <v>6462</v>
      </c>
      <c r="AK55" s="790">
        <f t="shared" si="19"/>
        <v>1061</v>
      </c>
      <c r="AL55" s="790">
        <f t="shared" si="20"/>
        <v>13140</v>
      </c>
      <c r="AM55" s="790">
        <f t="shared" si="21"/>
        <v>14201</v>
      </c>
      <c r="AN55" s="790">
        <f t="shared" si="22"/>
        <v>161</v>
      </c>
      <c r="AO55" s="790">
        <f t="shared" si="23"/>
        <v>2037</v>
      </c>
      <c r="AP55" s="790">
        <f t="shared" si="24"/>
        <v>2198</v>
      </c>
      <c r="AR55" s="791">
        <f t="shared" si="25"/>
        <v>0.13741875580315691</v>
      </c>
      <c r="AS55" s="791">
        <f t="shared" si="26"/>
        <v>7.4713048376874869E-2</v>
      </c>
      <c r="AT55" s="791">
        <f t="shared" si="27"/>
        <v>7.32484076433121E-2</v>
      </c>
      <c r="AV55" s="792">
        <v>6530</v>
      </c>
      <c r="AW55" s="792">
        <v>15111</v>
      </c>
      <c r="AX55" s="792">
        <v>2520</v>
      </c>
      <c r="AZ55" s="792">
        <f t="shared" si="28"/>
        <v>897.34447539461462</v>
      </c>
      <c r="BA55" s="792">
        <f t="shared" si="29"/>
        <v>1128.9888740229562</v>
      </c>
      <c r="BB55" s="792">
        <f t="shared" si="30"/>
        <v>184.5859872611465</v>
      </c>
      <c r="BC55" s="809">
        <f t="shared" si="15"/>
        <v>2210.9193366787172</v>
      </c>
    </row>
    <row r="56" spans="1:55" s="789" customFormat="1" ht="12" customHeight="1" x14ac:dyDescent="0.25">
      <c r="A56" s="789" t="s">
        <v>126</v>
      </c>
      <c r="B56" s="793" t="s">
        <v>358</v>
      </c>
      <c r="C56" s="806">
        <v>24</v>
      </c>
      <c r="D56" s="790">
        <v>1107</v>
      </c>
      <c r="E56" s="790">
        <v>1131</v>
      </c>
      <c r="F56" s="790">
        <v>227</v>
      </c>
      <c r="G56" s="790">
        <v>1333</v>
      </c>
      <c r="H56" s="790">
        <v>1560</v>
      </c>
      <c r="I56" s="790">
        <v>192</v>
      </c>
      <c r="J56" s="790">
        <v>972</v>
      </c>
      <c r="K56" s="790">
        <v>1164</v>
      </c>
      <c r="L56" s="790">
        <v>183</v>
      </c>
      <c r="M56" s="790">
        <v>1053</v>
      </c>
      <c r="N56" s="790">
        <v>1236</v>
      </c>
      <c r="O56" s="790">
        <v>70</v>
      </c>
      <c r="P56" s="790">
        <v>1790</v>
      </c>
      <c r="Q56" s="790">
        <v>1860</v>
      </c>
      <c r="R56" s="790">
        <v>211</v>
      </c>
      <c r="S56" s="790">
        <v>2126</v>
      </c>
      <c r="T56" s="790">
        <v>2337</v>
      </c>
      <c r="U56" s="790">
        <v>175</v>
      </c>
      <c r="V56" s="790">
        <v>2319</v>
      </c>
      <c r="W56" s="790">
        <v>2494</v>
      </c>
      <c r="X56" s="790">
        <v>93</v>
      </c>
      <c r="Y56" s="790">
        <v>1921</v>
      </c>
      <c r="Z56" s="790">
        <v>2014</v>
      </c>
      <c r="AA56" s="790">
        <v>99</v>
      </c>
      <c r="AB56" s="790">
        <v>1002</v>
      </c>
      <c r="AC56" s="790">
        <v>1101</v>
      </c>
      <c r="AD56" s="790">
        <v>149</v>
      </c>
      <c r="AE56" s="790">
        <v>591</v>
      </c>
      <c r="AF56" s="790">
        <v>740</v>
      </c>
      <c r="AH56" s="790">
        <f t="shared" si="16"/>
        <v>443</v>
      </c>
      <c r="AI56" s="790">
        <f t="shared" si="17"/>
        <v>3412</v>
      </c>
      <c r="AJ56" s="790">
        <f t="shared" si="18"/>
        <v>3855</v>
      </c>
      <c r="AK56" s="790">
        <f t="shared" si="19"/>
        <v>732</v>
      </c>
      <c r="AL56" s="790">
        <f t="shared" si="20"/>
        <v>9209</v>
      </c>
      <c r="AM56" s="790">
        <f t="shared" si="21"/>
        <v>9941</v>
      </c>
      <c r="AN56" s="790">
        <f t="shared" si="22"/>
        <v>248</v>
      </c>
      <c r="AO56" s="790">
        <f t="shared" si="23"/>
        <v>1593</v>
      </c>
      <c r="AP56" s="790">
        <f t="shared" si="24"/>
        <v>1841</v>
      </c>
      <c r="AR56" s="791">
        <f t="shared" si="25"/>
        <v>0.11491569390402075</v>
      </c>
      <c r="AS56" s="791">
        <f t="shared" si="26"/>
        <v>7.3634443214968315E-2</v>
      </c>
      <c r="AT56" s="791">
        <f t="shared" si="27"/>
        <v>0.13470939706681151</v>
      </c>
      <c r="AV56" s="792">
        <v>3887</v>
      </c>
      <c r="AW56" s="792">
        <v>10093</v>
      </c>
      <c r="AX56" s="792">
        <v>2001</v>
      </c>
      <c r="AZ56" s="792">
        <f t="shared" si="28"/>
        <v>446.67730220492865</v>
      </c>
      <c r="BA56" s="792">
        <f t="shared" si="29"/>
        <v>743.19243536867521</v>
      </c>
      <c r="BB56" s="792">
        <f t="shared" si="30"/>
        <v>269.55350353068985</v>
      </c>
      <c r="BC56" s="809">
        <f t="shared" si="15"/>
        <v>1459.4232411042935</v>
      </c>
    </row>
    <row r="57" spans="1:55" s="789" customFormat="1" ht="12" customHeight="1" x14ac:dyDescent="0.25">
      <c r="A57" s="789" t="s">
        <v>128</v>
      </c>
      <c r="B57" s="793" t="s">
        <v>359</v>
      </c>
      <c r="C57" s="806">
        <v>174</v>
      </c>
      <c r="D57" s="790">
        <v>340</v>
      </c>
      <c r="E57" s="790">
        <v>514</v>
      </c>
      <c r="F57" s="790">
        <v>103</v>
      </c>
      <c r="G57" s="790">
        <v>366</v>
      </c>
      <c r="H57" s="790">
        <v>469</v>
      </c>
      <c r="I57" s="790">
        <v>189</v>
      </c>
      <c r="J57" s="790">
        <v>520</v>
      </c>
      <c r="K57" s="790">
        <v>709</v>
      </c>
      <c r="L57" s="790">
        <v>98</v>
      </c>
      <c r="M57" s="790">
        <v>447</v>
      </c>
      <c r="N57" s="790">
        <v>545</v>
      </c>
      <c r="O57" s="790">
        <v>145</v>
      </c>
      <c r="P57" s="790">
        <v>632</v>
      </c>
      <c r="Q57" s="790">
        <v>777</v>
      </c>
      <c r="R57" s="790">
        <v>197</v>
      </c>
      <c r="S57" s="790">
        <v>787</v>
      </c>
      <c r="T57" s="790">
        <v>984</v>
      </c>
      <c r="U57" s="790">
        <v>127</v>
      </c>
      <c r="V57" s="790">
        <v>1617</v>
      </c>
      <c r="W57" s="790">
        <v>1744</v>
      </c>
      <c r="X57" s="790">
        <v>73</v>
      </c>
      <c r="Y57" s="790">
        <v>1891</v>
      </c>
      <c r="Z57" s="790">
        <v>1964</v>
      </c>
      <c r="AA57" s="790">
        <v>251</v>
      </c>
      <c r="AB57" s="790">
        <v>1517</v>
      </c>
      <c r="AC57" s="790">
        <v>1768</v>
      </c>
      <c r="AD57" s="790">
        <v>232</v>
      </c>
      <c r="AE57" s="790">
        <v>1278</v>
      </c>
      <c r="AF57" s="790">
        <v>1510</v>
      </c>
      <c r="AH57" s="790">
        <f t="shared" si="16"/>
        <v>466</v>
      </c>
      <c r="AI57" s="790">
        <f t="shared" si="17"/>
        <v>1226</v>
      </c>
      <c r="AJ57" s="790">
        <f t="shared" si="18"/>
        <v>1692</v>
      </c>
      <c r="AK57" s="790">
        <f t="shared" si="19"/>
        <v>640</v>
      </c>
      <c r="AL57" s="790">
        <f t="shared" si="20"/>
        <v>5374</v>
      </c>
      <c r="AM57" s="790">
        <f t="shared" si="21"/>
        <v>6014</v>
      </c>
      <c r="AN57" s="790">
        <f t="shared" si="22"/>
        <v>483</v>
      </c>
      <c r="AO57" s="790">
        <f t="shared" si="23"/>
        <v>2795</v>
      </c>
      <c r="AP57" s="790">
        <f t="shared" si="24"/>
        <v>3278</v>
      </c>
      <c r="AR57" s="791">
        <f t="shared" si="25"/>
        <v>0.27541371158392436</v>
      </c>
      <c r="AS57" s="791">
        <f t="shared" si="26"/>
        <v>0.10641835716661124</v>
      </c>
      <c r="AT57" s="791">
        <f t="shared" si="27"/>
        <v>0.14734594264795606</v>
      </c>
      <c r="AV57" s="792">
        <v>1781</v>
      </c>
      <c r="AW57" s="792">
        <v>5954</v>
      </c>
      <c r="AX57" s="792">
        <v>3547</v>
      </c>
      <c r="AZ57" s="792">
        <f t="shared" si="28"/>
        <v>490.51182033096927</v>
      </c>
      <c r="BA57" s="792">
        <f t="shared" si="29"/>
        <v>633.61489857000333</v>
      </c>
      <c r="BB57" s="792">
        <f t="shared" si="30"/>
        <v>522.63605857230016</v>
      </c>
      <c r="BC57" s="809">
        <f t="shared" si="15"/>
        <v>1646.7627774732728</v>
      </c>
    </row>
    <row r="58" spans="1:55" s="789" customFormat="1" ht="12" customHeight="1" x14ac:dyDescent="0.25">
      <c r="A58" s="789" t="s">
        <v>130</v>
      </c>
      <c r="B58" s="793" t="s">
        <v>360</v>
      </c>
      <c r="C58" s="806">
        <v>682</v>
      </c>
      <c r="D58" s="790">
        <v>820</v>
      </c>
      <c r="E58" s="790">
        <v>1502</v>
      </c>
      <c r="F58" s="790">
        <v>552</v>
      </c>
      <c r="G58" s="790">
        <v>1148</v>
      </c>
      <c r="H58" s="790">
        <v>1700</v>
      </c>
      <c r="I58" s="790">
        <v>627</v>
      </c>
      <c r="J58" s="790">
        <v>1182</v>
      </c>
      <c r="K58" s="790">
        <v>1809</v>
      </c>
      <c r="L58" s="790">
        <v>608</v>
      </c>
      <c r="M58" s="790">
        <v>1244</v>
      </c>
      <c r="N58" s="790">
        <v>1852</v>
      </c>
      <c r="O58" s="790">
        <v>839</v>
      </c>
      <c r="P58" s="790">
        <v>1813</v>
      </c>
      <c r="Q58" s="790">
        <v>2652</v>
      </c>
      <c r="R58" s="790">
        <v>717</v>
      </c>
      <c r="S58" s="790">
        <v>2454</v>
      </c>
      <c r="T58" s="790">
        <v>3171</v>
      </c>
      <c r="U58" s="790">
        <v>965</v>
      </c>
      <c r="V58" s="790">
        <v>2844</v>
      </c>
      <c r="W58" s="790">
        <v>3809</v>
      </c>
      <c r="X58" s="790">
        <v>574</v>
      </c>
      <c r="Y58" s="790">
        <v>2831</v>
      </c>
      <c r="Z58" s="790">
        <v>3405</v>
      </c>
      <c r="AA58" s="790">
        <v>497</v>
      </c>
      <c r="AB58" s="790">
        <v>1821</v>
      </c>
      <c r="AC58" s="790">
        <v>2318</v>
      </c>
      <c r="AD58" s="790">
        <v>516</v>
      </c>
      <c r="AE58" s="790">
        <v>1084</v>
      </c>
      <c r="AF58" s="790">
        <v>1600</v>
      </c>
      <c r="AH58" s="790">
        <f t="shared" si="16"/>
        <v>1861</v>
      </c>
      <c r="AI58" s="790">
        <f t="shared" si="17"/>
        <v>3150</v>
      </c>
      <c r="AJ58" s="790">
        <f t="shared" si="18"/>
        <v>5011</v>
      </c>
      <c r="AK58" s="790">
        <f t="shared" si="19"/>
        <v>3703</v>
      </c>
      <c r="AL58" s="790">
        <f t="shared" si="20"/>
        <v>11186</v>
      </c>
      <c r="AM58" s="790">
        <f t="shared" si="21"/>
        <v>14889</v>
      </c>
      <c r="AN58" s="790">
        <f t="shared" si="22"/>
        <v>1013</v>
      </c>
      <c r="AO58" s="790">
        <f t="shared" si="23"/>
        <v>2905</v>
      </c>
      <c r="AP58" s="790">
        <f t="shared" si="24"/>
        <v>3918</v>
      </c>
      <c r="AR58" s="791">
        <f t="shared" si="25"/>
        <v>0.37138295749351424</v>
      </c>
      <c r="AS58" s="791">
        <f t="shared" si="26"/>
        <v>0.24870709920075224</v>
      </c>
      <c r="AT58" s="791">
        <f t="shared" si="27"/>
        <v>0.25855028075548747</v>
      </c>
      <c r="AV58" s="792">
        <v>5089</v>
      </c>
      <c r="AW58" s="792">
        <v>16175</v>
      </c>
      <c r="AX58" s="792">
        <v>3882</v>
      </c>
      <c r="AZ58" s="792">
        <f t="shared" si="28"/>
        <v>1889.9678706844941</v>
      </c>
      <c r="BA58" s="792">
        <f t="shared" si="29"/>
        <v>4022.8373295721676</v>
      </c>
      <c r="BB58" s="792">
        <f t="shared" si="30"/>
        <v>1003.6921898928024</v>
      </c>
      <c r="BC58" s="809">
        <f t="shared" si="15"/>
        <v>6916.4973901494641</v>
      </c>
    </row>
    <row r="59" spans="1:55" s="789" customFormat="1" ht="12" customHeight="1" x14ac:dyDescent="0.25">
      <c r="A59" s="789" t="s">
        <v>132</v>
      </c>
      <c r="B59" s="793" t="s">
        <v>361</v>
      </c>
      <c r="C59" s="806">
        <v>1493</v>
      </c>
      <c r="D59" s="790">
        <v>30744</v>
      </c>
      <c r="E59" s="790">
        <v>32237</v>
      </c>
      <c r="F59" s="790">
        <v>1381</v>
      </c>
      <c r="G59" s="790">
        <v>30755</v>
      </c>
      <c r="H59" s="790">
        <v>32136</v>
      </c>
      <c r="I59" s="790">
        <v>1358</v>
      </c>
      <c r="J59" s="790">
        <v>25571</v>
      </c>
      <c r="K59" s="790">
        <v>26929</v>
      </c>
      <c r="L59" s="790">
        <v>1355</v>
      </c>
      <c r="M59" s="790">
        <v>16631</v>
      </c>
      <c r="N59" s="790">
        <v>17986</v>
      </c>
      <c r="O59" s="790">
        <v>2541</v>
      </c>
      <c r="P59" s="790">
        <v>40781</v>
      </c>
      <c r="Q59" s="790">
        <v>43322</v>
      </c>
      <c r="R59" s="790">
        <v>1860</v>
      </c>
      <c r="S59" s="790">
        <v>56506</v>
      </c>
      <c r="T59" s="790">
        <v>58366</v>
      </c>
      <c r="U59" s="790">
        <v>1517</v>
      </c>
      <c r="V59" s="790">
        <v>44657</v>
      </c>
      <c r="W59" s="790">
        <v>46174</v>
      </c>
      <c r="X59" s="790">
        <v>824</v>
      </c>
      <c r="Y59" s="790">
        <v>24653</v>
      </c>
      <c r="Z59" s="790">
        <v>25477</v>
      </c>
      <c r="AA59" s="790">
        <v>331</v>
      </c>
      <c r="AB59" s="790">
        <v>11188</v>
      </c>
      <c r="AC59" s="790">
        <v>11519</v>
      </c>
      <c r="AD59" s="790">
        <v>651</v>
      </c>
      <c r="AE59" s="790">
        <v>6910</v>
      </c>
      <c r="AF59" s="790">
        <v>7561</v>
      </c>
      <c r="AH59" s="790">
        <f t="shared" si="16"/>
        <v>4232</v>
      </c>
      <c r="AI59" s="790">
        <f t="shared" si="17"/>
        <v>87070</v>
      </c>
      <c r="AJ59" s="790">
        <f t="shared" si="18"/>
        <v>91302</v>
      </c>
      <c r="AK59" s="790">
        <f t="shared" si="19"/>
        <v>8097</v>
      </c>
      <c r="AL59" s="790">
        <f t="shared" si="20"/>
        <v>183228</v>
      </c>
      <c r="AM59" s="790">
        <f t="shared" si="21"/>
        <v>191325</v>
      </c>
      <c r="AN59" s="790">
        <f t="shared" si="22"/>
        <v>982</v>
      </c>
      <c r="AO59" s="790">
        <f t="shared" si="23"/>
        <v>18098</v>
      </c>
      <c r="AP59" s="790">
        <f t="shared" si="24"/>
        <v>19080</v>
      </c>
      <c r="AR59" s="791">
        <f t="shared" si="25"/>
        <v>4.6351668090512804E-2</v>
      </c>
      <c r="AS59" s="791">
        <f t="shared" si="26"/>
        <v>4.2320658565268524E-2</v>
      </c>
      <c r="AT59" s="791">
        <f t="shared" si="27"/>
        <v>5.1467505241090145E-2</v>
      </c>
      <c r="AV59" s="792">
        <v>98249</v>
      </c>
      <c r="AW59" s="792">
        <v>204736</v>
      </c>
      <c r="AX59" s="792">
        <v>22420</v>
      </c>
      <c r="AZ59" s="792">
        <f t="shared" si="28"/>
        <v>4554.0050382247928</v>
      </c>
      <c r="BA59" s="792">
        <f t="shared" si="29"/>
        <v>8664.5623520188165</v>
      </c>
      <c r="BB59" s="792">
        <f t="shared" si="30"/>
        <v>1153.901467505241</v>
      </c>
      <c r="BC59" s="809">
        <f t="shared" si="15"/>
        <v>14372.46885774885</v>
      </c>
    </row>
    <row r="60" spans="1:55" s="789" customFormat="1" ht="12" customHeight="1" x14ac:dyDescent="0.25">
      <c r="A60" s="789" t="s">
        <v>134</v>
      </c>
      <c r="B60" s="793" t="s">
        <v>362</v>
      </c>
      <c r="C60" s="806">
        <v>317</v>
      </c>
      <c r="D60" s="790">
        <v>1976</v>
      </c>
      <c r="E60" s="790">
        <v>2293</v>
      </c>
      <c r="F60" s="790">
        <v>496</v>
      </c>
      <c r="G60" s="790">
        <v>2063</v>
      </c>
      <c r="H60" s="790">
        <v>2559</v>
      </c>
      <c r="I60" s="790">
        <v>348</v>
      </c>
      <c r="J60" s="790">
        <v>1980</v>
      </c>
      <c r="K60" s="790">
        <v>2328</v>
      </c>
      <c r="L60" s="790">
        <v>471</v>
      </c>
      <c r="M60" s="790">
        <v>1746</v>
      </c>
      <c r="N60" s="790">
        <v>2217</v>
      </c>
      <c r="O60" s="790">
        <v>386</v>
      </c>
      <c r="P60" s="790">
        <v>3340</v>
      </c>
      <c r="Q60" s="790">
        <v>3726</v>
      </c>
      <c r="R60" s="790">
        <v>696</v>
      </c>
      <c r="S60" s="790">
        <v>3746</v>
      </c>
      <c r="T60" s="790">
        <v>4442</v>
      </c>
      <c r="U60" s="790">
        <v>763</v>
      </c>
      <c r="V60" s="790">
        <v>4710</v>
      </c>
      <c r="W60" s="790">
        <v>5473</v>
      </c>
      <c r="X60" s="790">
        <v>620</v>
      </c>
      <c r="Y60" s="790">
        <v>4244</v>
      </c>
      <c r="Z60" s="790">
        <v>4864</v>
      </c>
      <c r="AA60" s="790">
        <v>264</v>
      </c>
      <c r="AB60" s="790">
        <v>2699</v>
      </c>
      <c r="AC60" s="790">
        <v>2963</v>
      </c>
      <c r="AD60" s="790">
        <v>427</v>
      </c>
      <c r="AE60" s="790">
        <v>1243</v>
      </c>
      <c r="AF60" s="790">
        <v>1670</v>
      </c>
      <c r="AH60" s="790">
        <f t="shared" si="16"/>
        <v>1161</v>
      </c>
      <c r="AI60" s="790">
        <f t="shared" si="17"/>
        <v>6019</v>
      </c>
      <c r="AJ60" s="790">
        <f t="shared" si="18"/>
        <v>7180</v>
      </c>
      <c r="AK60" s="790">
        <f t="shared" si="19"/>
        <v>2936</v>
      </c>
      <c r="AL60" s="790">
        <f t="shared" si="20"/>
        <v>17786</v>
      </c>
      <c r="AM60" s="790">
        <f t="shared" si="21"/>
        <v>20722</v>
      </c>
      <c r="AN60" s="790">
        <f t="shared" si="22"/>
        <v>691</v>
      </c>
      <c r="AO60" s="790">
        <f t="shared" si="23"/>
        <v>3942</v>
      </c>
      <c r="AP60" s="790">
        <f t="shared" si="24"/>
        <v>4633</v>
      </c>
      <c r="AR60" s="791">
        <f t="shared" si="25"/>
        <v>0.16169916434540391</v>
      </c>
      <c r="AS60" s="791">
        <f t="shared" si="26"/>
        <v>0.14168516552456326</v>
      </c>
      <c r="AT60" s="791">
        <f t="shared" si="27"/>
        <v>0.14914742067774661</v>
      </c>
      <c r="AV60" s="792">
        <v>7237</v>
      </c>
      <c r="AW60" s="792">
        <v>21128</v>
      </c>
      <c r="AX60" s="792">
        <v>5030</v>
      </c>
      <c r="AZ60" s="792">
        <f t="shared" si="28"/>
        <v>1170.216852367688</v>
      </c>
      <c r="BA60" s="792">
        <f t="shared" si="29"/>
        <v>2993.5241772029726</v>
      </c>
      <c r="BB60" s="792">
        <f t="shared" si="30"/>
        <v>750.21152600906544</v>
      </c>
      <c r="BC60" s="809">
        <f t="shared" si="15"/>
        <v>4913.9525555797263</v>
      </c>
    </row>
    <row r="61" spans="1:55" s="789" customFormat="1" ht="12" customHeight="1" x14ac:dyDescent="0.25">
      <c r="A61" s="789" t="s">
        <v>136</v>
      </c>
      <c r="B61" s="793" t="s">
        <v>363</v>
      </c>
      <c r="C61" s="806">
        <v>326</v>
      </c>
      <c r="D61" s="790">
        <v>388</v>
      </c>
      <c r="E61" s="790">
        <v>714</v>
      </c>
      <c r="F61" s="790">
        <v>213</v>
      </c>
      <c r="G61" s="790">
        <v>647</v>
      </c>
      <c r="H61" s="790">
        <v>860</v>
      </c>
      <c r="I61" s="790">
        <v>206</v>
      </c>
      <c r="J61" s="790">
        <v>643</v>
      </c>
      <c r="K61" s="790">
        <v>849</v>
      </c>
      <c r="L61" s="790">
        <v>306</v>
      </c>
      <c r="M61" s="790">
        <v>722</v>
      </c>
      <c r="N61" s="790">
        <v>1028</v>
      </c>
      <c r="O61" s="790">
        <v>352</v>
      </c>
      <c r="P61" s="790">
        <v>718</v>
      </c>
      <c r="Q61" s="790">
        <v>1070</v>
      </c>
      <c r="R61" s="790">
        <v>199</v>
      </c>
      <c r="S61" s="790">
        <v>845</v>
      </c>
      <c r="T61" s="790">
        <v>1044</v>
      </c>
      <c r="U61" s="790">
        <v>168</v>
      </c>
      <c r="V61" s="790">
        <v>1671</v>
      </c>
      <c r="W61" s="790">
        <v>1839</v>
      </c>
      <c r="X61" s="790">
        <v>581</v>
      </c>
      <c r="Y61" s="790">
        <v>1289</v>
      </c>
      <c r="Z61" s="790">
        <v>1870</v>
      </c>
      <c r="AA61" s="790">
        <v>233</v>
      </c>
      <c r="AB61" s="790">
        <v>929</v>
      </c>
      <c r="AC61" s="790">
        <v>1162</v>
      </c>
      <c r="AD61" s="790">
        <v>295</v>
      </c>
      <c r="AE61" s="790">
        <v>687</v>
      </c>
      <c r="AF61" s="790">
        <v>982</v>
      </c>
      <c r="AH61" s="790">
        <f t="shared" si="16"/>
        <v>745</v>
      </c>
      <c r="AI61" s="790">
        <f t="shared" si="17"/>
        <v>1678</v>
      </c>
      <c r="AJ61" s="790">
        <f t="shared" si="18"/>
        <v>2423</v>
      </c>
      <c r="AK61" s="790">
        <f t="shared" si="19"/>
        <v>1606</v>
      </c>
      <c r="AL61" s="790">
        <f t="shared" si="20"/>
        <v>5245</v>
      </c>
      <c r="AM61" s="790">
        <f t="shared" si="21"/>
        <v>6851</v>
      </c>
      <c r="AN61" s="790">
        <f t="shared" si="22"/>
        <v>528</v>
      </c>
      <c r="AO61" s="790">
        <f t="shared" si="23"/>
        <v>1616</v>
      </c>
      <c r="AP61" s="790">
        <f t="shared" si="24"/>
        <v>2144</v>
      </c>
      <c r="AR61" s="791">
        <f t="shared" si="25"/>
        <v>0.30747007841518781</v>
      </c>
      <c r="AS61" s="791">
        <f t="shared" si="26"/>
        <v>0.23441833309005985</v>
      </c>
      <c r="AT61" s="791">
        <f t="shared" si="27"/>
        <v>0.2462686567164179</v>
      </c>
      <c r="AV61" s="792">
        <v>2471</v>
      </c>
      <c r="AW61" s="792">
        <v>8158</v>
      </c>
      <c r="AX61" s="792">
        <v>2245</v>
      </c>
      <c r="AZ61" s="792">
        <f t="shared" si="28"/>
        <v>759.75856376392903</v>
      </c>
      <c r="BA61" s="792">
        <f t="shared" si="29"/>
        <v>1912.3847613487083</v>
      </c>
      <c r="BB61" s="792">
        <f t="shared" si="30"/>
        <v>552.87313432835822</v>
      </c>
      <c r="BC61" s="809">
        <f t="shared" si="15"/>
        <v>3225.0164594409953</v>
      </c>
    </row>
    <row r="62" spans="1:55" s="789" customFormat="1" ht="12" customHeight="1" x14ac:dyDescent="0.25">
      <c r="A62" s="789" t="s">
        <v>140</v>
      </c>
      <c r="B62" s="793" t="s">
        <v>364</v>
      </c>
      <c r="C62" s="806">
        <v>297</v>
      </c>
      <c r="D62" s="790">
        <v>645</v>
      </c>
      <c r="E62" s="790">
        <v>942</v>
      </c>
      <c r="F62" s="790">
        <v>186</v>
      </c>
      <c r="G62" s="790">
        <v>800</v>
      </c>
      <c r="H62" s="790">
        <v>986</v>
      </c>
      <c r="I62" s="790">
        <v>92</v>
      </c>
      <c r="J62" s="790">
        <v>919</v>
      </c>
      <c r="K62" s="790">
        <v>1011</v>
      </c>
      <c r="L62" s="790">
        <v>119</v>
      </c>
      <c r="M62" s="790">
        <v>708</v>
      </c>
      <c r="N62" s="790">
        <v>827</v>
      </c>
      <c r="O62" s="790">
        <v>325</v>
      </c>
      <c r="P62" s="790">
        <v>973</v>
      </c>
      <c r="Q62" s="790">
        <v>1298</v>
      </c>
      <c r="R62" s="790">
        <v>147</v>
      </c>
      <c r="S62" s="790">
        <v>1473</v>
      </c>
      <c r="T62" s="790">
        <v>1620</v>
      </c>
      <c r="U62" s="790">
        <v>129</v>
      </c>
      <c r="V62" s="790">
        <v>2158</v>
      </c>
      <c r="W62" s="790">
        <v>2287</v>
      </c>
      <c r="X62" s="790">
        <v>256</v>
      </c>
      <c r="Y62" s="790">
        <v>1658</v>
      </c>
      <c r="Z62" s="790">
        <v>1914</v>
      </c>
      <c r="AA62" s="790">
        <v>128</v>
      </c>
      <c r="AB62" s="790">
        <v>1175</v>
      </c>
      <c r="AC62" s="790">
        <v>1303</v>
      </c>
      <c r="AD62" s="790">
        <v>144</v>
      </c>
      <c r="AE62" s="790">
        <v>760</v>
      </c>
      <c r="AF62" s="790">
        <v>904</v>
      </c>
      <c r="AH62" s="790">
        <f t="shared" si="16"/>
        <v>575</v>
      </c>
      <c r="AI62" s="790">
        <f t="shared" si="17"/>
        <v>2364</v>
      </c>
      <c r="AJ62" s="790">
        <f t="shared" si="18"/>
        <v>2939</v>
      </c>
      <c r="AK62" s="790">
        <f t="shared" si="19"/>
        <v>976</v>
      </c>
      <c r="AL62" s="790">
        <f t="shared" si="20"/>
        <v>6970</v>
      </c>
      <c r="AM62" s="790">
        <f t="shared" si="21"/>
        <v>7946</v>
      </c>
      <c r="AN62" s="790">
        <f t="shared" si="22"/>
        <v>272</v>
      </c>
      <c r="AO62" s="790">
        <f t="shared" si="23"/>
        <v>1935</v>
      </c>
      <c r="AP62" s="790">
        <f t="shared" si="24"/>
        <v>2207</v>
      </c>
      <c r="AR62" s="791">
        <f t="shared" si="25"/>
        <v>0.19564477713507997</v>
      </c>
      <c r="AS62" s="791">
        <f t="shared" si="26"/>
        <v>0.12282909640070476</v>
      </c>
      <c r="AT62" s="791">
        <f t="shared" si="27"/>
        <v>0.1232442229270503</v>
      </c>
      <c r="AV62" s="792">
        <v>2839</v>
      </c>
      <c r="AW62" s="792">
        <v>7909</v>
      </c>
      <c r="AX62" s="792">
        <v>2421</v>
      </c>
      <c r="AZ62" s="792">
        <f t="shared" si="28"/>
        <v>555.43552228649207</v>
      </c>
      <c r="BA62" s="792">
        <f t="shared" si="29"/>
        <v>971.45532343317393</v>
      </c>
      <c r="BB62" s="792">
        <f t="shared" si="30"/>
        <v>298.37426370638877</v>
      </c>
      <c r="BC62" s="809">
        <f t="shared" si="15"/>
        <v>1825.2651094260548</v>
      </c>
    </row>
    <row r="63" spans="1:55" s="789" customFormat="1" ht="12" customHeight="1" x14ac:dyDescent="0.25">
      <c r="A63" s="789" t="s">
        <v>146</v>
      </c>
      <c r="B63" s="793" t="s">
        <v>365</v>
      </c>
      <c r="C63" s="806">
        <v>207</v>
      </c>
      <c r="D63" s="790">
        <v>306</v>
      </c>
      <c r="E63" s="790">
        <v>513</v>
      </c>
      <c r="F63" s="790">
        <v>58</v>
      </c>
      <c r="G63" s="790">
        <v>315</v>
      </c>
      <c r="H63" s="790">
        <v>373</v>
      </c>
      <c r="I63" s="790">
        <v>38</v>
      </c>
      <c r="J63" s="790">
        <v>752</v>
      </c>
      <c r="K63" s="790">
        <v>790</v>
      </c>
      <c r="L63" s="790">
        <v>90</v>
      </c>
      <c r="M63" s="790">
        <v>434</v>
      </c>
      <c r="N63" s="790">
        <v>524</v>
      </c>
      <c r="O63" s="790">
        <v>94</v>
      </c>
      <c r="P63" s="790">
        <v>418</v>
      </c>
      <c r="Q63" s="790">
        <v>512</v>
      </c>
      <c r="R63" s="790">
        <v>78</v>
      </c>
      <c r="S63" s="790">
        <v>928</v>
      </c>
      <c r="T63" s="790">
        <v>1006</v>
      </c>
      <c r="U63" s="790">
        <v>217</v>
      </c>
      <c r="V63" s="790">
        <v>1227</v>
      </c>
      <c r="W63" s="790">
        <v>1444</v>
      </c>
      <c r="X63" s="790">
        <v>137</v>
      </c>
      <c r="Y63" s="790">
        <v>1393</v>
      </c>
      <c r="Z63" s="790">
        <v>1530</v>
      </c>
      <c r="AA63" s="790">
        <v>50</v>
      </c>
      <c r="AB63" s="790">
        <v>1213</v>
      </c>
      <c r="AC63" s="790">
        <v>1263</v>
      </c>
      <c r="AD63" s="790">
        <v>178</v>
      </c>
      <c r="AE63" s="790">
        <v>753</v>
      </c>
      <c r="AF63" s="790">
        <v>931</v>
      </c>
      <c r="AH63" s="790">
        <f t="shared" si="16"/>
        <v>303</v>
      </c>
      <c r="AI63" s="790">
        <f t="shared" si="17"/>
        <v>1373</v>
      </c>
      <c r="AJ63" s="790">
        <f t="shared" si="18"/>
        <v>1676</v>
      </c>
      <c r="AK63" s="790">
        <f t="shared" si="19"/>
        <v>616</v>
      </c>
      <c r="AL63" s="790">
        <f t="shared" si="20"/>
        <v>4400</v>
      </c>
      <c r="AM63" s="790">
        <f t="shared" si="21"/>
        <v>5016</v>
      </c>
      <c r="AN63" s="790">
        <f t="shared" si="22"/>
        <v>228</v>
      </c>
      <c r="AO63" s="790">
        <f t="shared" si="23"/>
        <v>1966</v>
      </c>
      <c r="AP63" s="790">
        <f t="shared" si="24"/>
        <v>2194</v>
      </c>
      <c r="AR63" s="791">
        <f t="shared" si="25"/>
        <v>0.18078758949880669</v>
      </c>
      <c r="AS63" s="791">
        <f t="shared" si="26"/>
        <v>0.12280701754385964</v>
      </c>
      <c r="AT63" s="791">
        <f t="shared" si="27"/>
        <v>0.10391978122151321</v>
      </c>
      <c r="AV63" s="792">
        <v>1608</v>
      </c>
      <c r="AW63" s="792">
        <v>5014</v>
      </c>
      <c r="AX63" s="792">
        <v>2340</v>
      </c>
      <c r="AZ63" s="792">
        <f t="shared" si="28"/>
        <v>290.70644391408115</v>
      </c>
      <c r="BA63" s="792">
        <f t="shared" si="29"/>
        <v>615.75438596491222</v>
      </c>
      <c r="BB63" s="792">
        <f t="shared" si="30"/>
        <v>243.17228805834091</v>
      </c>
      <c r="BC63" s="809">
        <f t="shared" si="15"/>
        <v>1149.6331179373342</v>
      </c>
    </row>
    <row r="64" spans="1:55" s="789" customFormat="1" ht="12" customHeight="1" x14ac:dyDescent="0.25">
      <c r="A64" s="789" t="s">
        <v>148</v>
      </c>
      <c r="B64" s="793" t="s">
        <v>366</v>
      </c>
      <c r="C64" s="806">
        <v>711</v>
      </c>
      <c r="D64" s="790">
        <v>1203</v>
      </c>
      <c r="E64" s="790">
        <v>1914</v>
      </c>
      <c r="F64" s="790">
        <v>771</v>
      </c>
      <c r="G64" s="790">
        <v>1414</v>
      </c>
      <c r="H64" s="790">
        <v>2185</v>
      </c>
      <c r="I64" s="790">
        <v>537</v>
      </c>
      <c r="J64" s="790">
        <v>1665</v>
      </c>
      <c r="K64" s="790">
        <v>2202</v>
      </c>
      <c r="L64" s="790">
        <v>591</v>
      </c>
      <c r="M64" s="790">
        <v>1363</v>
      </c>
      <c r="N64" s="790">
        <v>1954</v>
      </c>
      <c r="O64" s="790">
        <v>1090</v>
      </c>
      <c r="P64" s="790">
        <v>2016</v>
      </c>
      <c r="Q64" s="790">
        <v>3106</v>
      </c>
      <c r="R64" s="790">
        <v>636</v>
      </c>
      <c r="S64" s="790">
        <v>2996</v>
      </c>
      <c r="T64" s="790">
        <v>3632</v>
      </c>
      <c r="U64" s="790">
        <v>1324</v>
      </c>
      <c r="V64" s="790">
        <v>3699</v>
      </c>
      <c r="W64" s="790">
        <v>5023</v>
      </c>
      <c r="X64" s="790">
        <v>774</v>
      </c>
      <c r="Y64" s="790">
        <v>3997</v>
      </c>
      <c r="Z64" s="790">
        <v>4771</v>
      </c>
      <c r="AA64" s="790">
        <v>578</v>
      </c>
      <c r="AB64" s="790">
        <v>3052</v>
      </c>
      <c r="AC64" s="790">
        <v>3630</v>
      </c>
      <c r="AD64" s="790">
        <v>1020</v>
      </c>
      <c r="AE64" s="790">
        <v>1826</v>
      </c>
      <c r="AF64" s="790">
        <v>2846</v>
      </c>
      <c r="AH64" s="790">
        <f t="shared" si="16"/>
        <v>2019</v>
      </c>
      <c r="AI64" s="790">
        <f t="shared" si="17"/>
        <v>4282</v>
      </c>
      <c r="AJ64" s="790">
        <f t="shared" si="18"/>
        <v>6301</v>
      </c>
      <c r="AK64" s="790">
        <f t="shared" si="19"/>
        <v>4415</v>
      </c>
      <c r="AL64" s="790">
        <f t="shared" si="20"/>
        <v>14071</v>
      </c>
      <c r="AM64" s="790">
        <f t="shared" si="21"/>
        <v>18486</v>
      </c>
      <c r="AN64" s="790">
        <f t="shared" si="22"/>
        <v>1598</v>
      </c>
      <c r="AO64" s="790">
        <f t="shared" si="23"/>
        <v>4878</v>
      </c>
      <c r="AP64" s="790">
        <f t="shared" si="24"/>
        <v>6476</v>
      </c>
      <c r="AR64" s="791">
        <f t="shared" si="25"/>
        <v>0.32042532931280748</v>
      </c>
      <c r="AS64" s="791">
        <f t="shared" si="26"/>
        <v>0.23882938439900464</v>
      </c>
      <c r="AT64" s="791">
        <f t="shared" si="27"/>
        <v>0.24675725756639902</v>
      </c>
      <c r="AV64" s="792">
        <v>6263</v>
      </c>
      <c r="AW64" s="792">
        <v>19437</v>
      </c>
      <c r="AX64" s="792">
        <v>6922</v>
      </c>
      <c r="AZ64" s="792">
        <f t="shared" si="28"/>
        <v>2006.8238374861132</v>
      </c>
      <c r="BA64" s="792">
        <f t="shared" si="29"/>
        <v>4642.126744563453</v>
      </c>
      <c r="BB64" s="792">
        <f t="shared" si="30"/>
        <v>1708.0537368746141</v>
      </c>
      <c r="BC64" s="809">
        <f t="shared" si="15"/>
        <v>8357.0043189241806</v>
      </c>
    </row>
    <row r="65" spans="1:55" s="789" customFormat="1" ht="12" customHeight="1" x14ac:dyDescent="0.25">
      <c r="A65" s="789" t="s">
        <v>150</v>
      </c>
      <c r="B65" s="793" t="s">
        <v>367</v>
      </c>
      <c r="C65" s="806">
        <v>38</v>
      </c>
      <c r="D65" s="790">
        <v>415</v>
      </c>
      <c r="E65" s="790">
        <v>453</v>
      </c>
      <c r="F65" s="790">
        <v>155</v>
      </c>
      <c r="G65" s="790">
        <v>511</v>
      </c>
      <c r="H65" s="790">
        <v>666</v>
      </c>
      <c r="I65" s="790">
        <v>83</v>
      </c>
      <c r="J65" s="790">
        <v>558</v>
      </c>
      <c r="K65" s="790">
        <v>641</v>
      </c>
      <c r="L65" s="790">
        <v>124</v>
      </c>
      <c r="M65" s="790">
        <v>500</v>
      </c>
      <c r="N65" s="790">
        <v>624</v>
      </c>
      <c r="O65" s="790">
        <v>107</v>
      </c>
      <c r="P65" s="790">
        <v>561</v>
      </c>
      <c r="Q65" s="790">
        <v>668</v>
      </c>
      <c r="R65" s="790">
        <v>154</v>
      </c>
      <c r="S65" s="790">
        <v>1057</v>
      </c>
      <c r="T65" s="790">
        <v>1211</v>
      </c>
      <c r="U65" s="790">
        <v>231</v>
      </c>
      <c r="V65" s="790">
        <v>1512</v>
      </c>
      <c r="W65" s="790">
        <v>1743</v>
      </c>
      <c r="X65" s="790">
        <v>134</v>
      </c>
      <c r="Y65" s="790">
        <v>1666</v>
      </c>
      <c r="Z65" s="790">
        <v>1800</v>
      </c>
      <c r="AA65" s="790">
        <v>105</v>
      </c>
      <c r="AB65" s="790">
        <v>1583</v>
      </c>
      <c r="AC65" s="790">
        <v>1688</v>
      </c>
      <c r="AD65" s="790">
        <v>173</v>
      </c>
      <c r="AE65" s="790">
        <v>867</v>
      </c>
      <c r="AF65" s="790">
        <v>1040</v>
      </c>
      <c r="AH65" s="790">
        <f t="shared" si="16"/>
        <v>276</v>
      </c>
      <c r="AI65" s="790">
        <f t="shared" si="17"/>
        <v>1484</v>
      </c>
      <c r="AJ65" s="790">
        <f t="shared" si="18"/>
        <v>1760</v>
      </c>
      <c r="AK65" s="790">
        <f t="shared" si="19"/>
        <v>750</v>
      </c>
      <c r="AL65" s="790">
        <f t="shared" si="20"/>
        <v>5296</v>
      </c>
      <c r="AM65" s="790">
        <f t="shared" si="21"/>
        <v>6046</v>
      </c>
      <c r="AN65" s="790">
        <f t="shared" si="22"/>
        <v>278</v>
      </c>
      <c r="AO65" s="790">
        <f t="shared" si="23"/>
        <v>2450</v>
      </c>
      <c r="AP65" s="790">
        <f t="shared" si="24"/>
        <v>2728</v>
      </c>
      <c r="AR65" s="791">
        <f t="shared" si="25"/>
        <v>0.15681818181818183</v>
      </c>
      <c r="AS65" s="791">
        <f t="shared" si="26"/>
        <v>0.1240489579887529</v>
      </c>
      <c r="AT65" s="791">
        <f t="shared" si="27"/>
        <v>0.10190615835777127</v>
      </c>
      <c r="AV65" s="792">
        <v>1689</v>
      </c>
      <c r="AW65" s="792">
        <v>6302</v>
      </c>
      <c r="AX65" s="792">
        <v>2863</v>
      </c>
      <c r="AZ65" s="792">
        <f t="shared" si="28"/>
        <v>264.8659090909091</v>
      </c>
      <c r="BA65" s="792">
        <f t="shared" si="29"/>
        <v>781.75653324512075</v>
      </c>
      <c r="BB65" s="792">
        <f t="shared" si="30"/>
        <v>291.75733137829911</v>
      </c>
      <c r="BC65" s="809">
        <f t="shared" si="15"/>
        <v>1338.3797737143291</v>
      </c>
    </row>
    <row r="66" spans="1:55" s="789" customFormat="1" ht="12" customHeight="1" x14ac:dyDescent="0.25">
      <c r="A66" s="789" t="s">
        <v>152</v>
      </c>
      <c r="B66" s="793" t="s">
        <v>368</v>
      </c>
      <c r="C66" s="806">
        <v>966</v>
      </c>
      <c r="D66" s="790">
        <v>3873</v>
      </c>
      <c r="E66" s="790">
        <v>4839</v>
      </c>
      <c r="F66" s="790">
        <v>893</v>
      </c>
      <c r="G66" s="790">
        <v>4056</v>
      </c>
      <c r="H66" s="790">
        <v>4949</v>
      </c>
      <c r="I66" s="790">
        <v>868</v>
      </c>
      <c r="J66" s="790">
        <v>3785</v>
      </c>
      <c r="K66" s="790">
        <v>4653</v>
      </c>
      <c r="L66" s="790">
        <v>13977</v>
      </c>
      <c r="M66" s="790">
        <v>5818</v>
      </c>
      <c r="N66" s="790">
        <v>19795</v>
      </c>
      <c r="O66" s="790">
        <v>2206</v>
      </c>
      <c r="P66" s="790">
        <v>9546</v>
      </c>
      <c r="Q66" s="790">
        <v>11752</v>
      </c>
      <c r="R66" s="790">
        <v>1301</v>
      </c>
      <c r="S66" s="790">
        <v>8347</v>
      </c>
      <c r="T66" s="790">
        <v>9648</v>
      </c>
      <c r="U66" s="790">
        <v>778</v>
      </c>
      <c r="V66" s="790">
        <v>8821</v>
      </c>
      <c r="W66" s="790">
        <v>9599</v>
      </c>
      <c r="X66" s="790">
        <v>703</v>
      </c>
      <c r="Y66" s="790">
        <v>7625</v>
      </c>
      <c r="Z66" s="790">
        <v>8328</v>
      </c>
      <c r="AA66" s="790">
        <v>398</v>
      </c>
      <c r="AB66" s="790">
        <v>4439</v>
      </c>
      <c r="AC66" s="790">
        <v>4837</v>
      </c>
      <c r="AD66" s="790">
        <v>550</v>
      </c>
      <c r="AE66" s="790">
        <v>3357</v>
      </c>
      <c r="AF66" s="790">
        <v>3907</v>
      </c>
      <c r="AH66" s="790">
        <f t="shared" si="16"/>
        <v>2727</v>
      </c>
      <c r="AI66" s="790">
        <f t="shared" si="17"/>
        <v>11714</v>
      </c>
      <c r="AJ66" s="790">
        <f t="shared" si="18"/>
        <v>14441</v>
      </c>
      <c r="AK66" s="790">
        <f t="shared" si="19"/>
        <v>18965</v>
      </c>
      <c r="AL66" s="790">
        <f t="shared" si="20"/>
        <v>40157</v>
      </c>
      <c r="AM66" s="790">
        <f t="shared" si="21"/>
        <v>59122</v>
      </c>
      <c r="AN66" s="790">
        <f t="shared" si="22"/>
        <v>948</v>
      </c>
      <c r="AO66" s="790">
        <f t="shared" si="23"/>
        <v>7796</v>
      </c>
      <c r="AP66" s="790">
        <f t="shared" si="24"/>
        <v>8744</v>
      </c>
      <c r="AR66" s="791">
        <f t="shared" si="25"/>
        <v>0.18883733813447823</v>
      </c>
      <c r="AS66" s="791">
        <f t="shared" si="26"/>
        <v>0.32077737559622477</v>
      </c>
      <c r="AT66" s="791">
        <f t="shared" si="27"/>
        <v>0.10841720036596524</v>
      </c>
      <c r="AV66" s="792">
        <v>14420</v>
      </c>
      <c r="AW66" s="792">
        <v>70390</v>
      </c>
      <c r="AX66" s="792">
        <v>9532</v>
      </c>
      <c r="AZ66" s="792">
        <f t="shared" si="28"/>
        <v>2723.0344158991761</v>
      </c>
      <c r="BA66" s="792">
        <f t="shared" si="29"/>
        <v>22579.519468218263</v>
      </c>
      <c r="BB66" s="792">
        <f t="shared" si="30"/>
        <v>1033.4327538883806</v>
      </c>
      <c r="BC66" s="809">
        <f t="shared" si="15"/>
        <v>26335.986638005819</v>
      </c>
    </row>
    <row r="67" spans="1:55" s="789" customFormat="1" ht="12" customHeight="1" x14ac:dyDescent="0.25">
      <c r="A67" s="789" t="s">
        <v>154</v>
      </c>
      <c r="B67" s="793" t="s">
        <v>369</v>
      </c>
      <c r="C67" s="806">
        <v>112</v>
      </c>
      <c r="D67" s="790">
        <v>655</v>
      </c>
      <c r="E67" s="790">
        <v>767</v>
      </c>
      <c r="F67" s="790">
        <v>96</v>
      </c>
      <c r="G67" s="790">
        <v>749</v>
      </c>
      <c r="H67" s="790">
        <v>845</v>
      </c>
      <c r="I67" s="790">
        <v>214</v>
      </c>
      <c r="J67" s="790">
        <v>1069</v>
      </c>
      <c r="K67" s="790">
        <v>1283</v>
      </c>
      <c r="L67" s="790">
        <v>333</v>
      </c>
      <c r="M67" s="790">
        <v>601</v>
      </c>
      <c r="N67" s="790">
        <v>934</v>
      </c>
      <c r="O67" s="790">
        <v>308</v>
      </c>
      <c r="P67" s="790">
        <v>1170</v>
      </c>
      <c r="Q67" s="790">
        <v>1478</v>
      </c>
      <c r="R67" s="790">
        <v>324</v>
      </c>
      <c r="S67" s="790">
        <v>1494</v>
      </c>
      <c r="T67" s="790">
        <v>1818</v>
      </c>
      <c r="U67" s="790">
        <v>325</v>
      </c>
      <c r="V67" s="790">
        <v>1917</v>
      </c>
      <c r="W67" s="790">
        <v>2242</v>
      </c>
      <c r="X67" s="790">
        <v>331</v>
      </c>
      <c r="Y67" s="790">
        <v>2456</v>
      </c>
      <c r="Z67" s="790">
        <v>2787</v>
      </c>
      <c r="AA67" s="790">
        <v>265</v>
      </c>
      <c r="AB67" s="790">
        <v>1420</v>
      </c>
      <c r="AC67" s="790">
        <v>1685</v>
      </c>
      <c r="AD67" s="790">
        <v>189</v>
      </c>
      <c r="AE67" s="790">
        <v>917</v>
      </c>
      <c r="AF67" s="790">
        <v>1106</v>
      </c>
      <c r="AH67" s="790">
        <f t="shared" si="16"/>
        <v>422</v>
      </c>
      <c r="AI67" s="790">
        <f t="shared" si="17"/>
        <v>2473</v>
      </c>
      <c r="AJ67" s="790">
        <f t="shared" si="18"/>
        <v>2895</v>
      </c>
      <c r="AK67" s="790">
        <f t="shared" si="19"/>
        <v>1621</v>
      </c>
      <c r="AL67" s="790">
        <f t="shared" si="20"/>
        <v>7638</v>
      </c>
      <c r="AM67" s="790">
        <f t="shared" si="21"/>
        <v>9259</v>
      </c>
      <c r="AN67" s="790">
        <f t="shared" si="22"/>
        <v>454</v>
      </c>
      <c r="AO67" s="790">
        <f t="shared" si="23"/>
        <v>2337</v>
      </c>
      <c r="AP67" s="790">
        <f t="shared" si="24"/>
        <v>2791</v>
      </c>
      <c r="AR67" s="791">
        <f t="shared" si="25"/>
        <v>0.14576856649395509</v>
      </c>
      <c r="AS67" s="791">
        <f t="shared" si="26"/>
        <v>0.17507290204125717</v>
      </c>
      <c r="AT67" s="791">
        <f t="shared" si="27"/>
        <v>0.16266571121461842</v>
      </c>
      <c r="AV67" s="792">
        <v>2882</v>
      </c>
      <c r="AW67" s="792">
        <v>9126</v>
      </c>
      <c r="AX67" s="792">
        <v>3089</v>
      </c>
      <c r="AZ67" s="792">
        <f t="shared" si="28"/>
        <v>420.10500863557854</v>
      </c>
      <c r="BA67" s="792">
        <f t="shared" si="29"/>
        <v>1597.7153040285129</v>
      </c>
      <c r="BB67" s="792">
        <f t="shared" si="30"/>
        <v>502.47438194195632</v>
      </c>
      <c r="BC67" s="809">
        <f t="shared" si="15"/>
        <v>2520.2946946060479</v>
      </c>
    </row>
    <row r="68" spans="1:55" s="789" customFormat="1" ht="12" customHeight="1" x14ac:dyDescent="0.25">
      <c r="A68" s="789" t="s">
        <v>156</v>
      </c>
      <c r="B68" s="793" t="s">
        <v>370</v>
      </c>
      <c r="C68" s="806">
        <v>131</v>
      </c>
      <c r="D68" s="790">
        <v>1067</v>
      </c>
      <c r="E68" s="790">
        <v>1198</v>
      </c>
      <c r="F68" s="790">
        <v>183</v>
      </c>
      <c r="G68" s="790">
        <v>1112</v>
      </c>
      <c r="H68" s="790">
        <v>1295</v>
      </c>
      <c r="I68" s="790">
        <v>227</v>
      </c>
      <c r="J68" s="790">
        <v>1328</v>
      </c>
      <c r="K68" s="790">
        <v>1555</v>
      </c>
      <c r="L68" s="790">
        <v>165</v>
      </c>
      <c r="M68" s="790">
        <v>899</v>
      </c>
      <c r="N68" s="790">
        <v>1064</v>
      </c>
      <c r="O68" s="790">
        <v>148</v>
      </c>
      <c r="P68" s="790">
        <v>1571</v>
      </c>
      <c r="Q68" s="790">
        <v>1719</v>
      </c>
      <c r="R68" s="790">
        <v>134</v>
      </c>
      <c r="S68" s="790">
        <v>2425</v>
      </c>
      <c r="T68" s="790">
        <v>2559</v>
      </c>
      <c r="U68" s="790">
        <v>252</v>
      </c>
      <c r="V68" s="790">
        <v>3009</v>
      </c>
      <c r="W68" s="790">
        <v>3261</v>
      </c>
      <c r="X68" s="790">
        <v>112</v>
      </c>
      <c r="Y68" s="790">
        <v>2766</v>
      </c>
      <c r="Z68" s="790">
        <v>2878</v>
      </c>
      <c r="AA68" s="790">
        <v>60</v>
      </c>
      <c r="AB68" s="790">
        <v>1252</v>
      </c>
      <c r="AC68" s="790">
        <v>1312</v>
      </c>
      <c r="AD68" s="790">
        <v>101</v>
      </c>
      <c r="AE68" s="790">
        <v>609</v>
      </c>
      <c r="AF68" s="790">
        <v>710</v>
      </c>
      <c r="AH68" s="790">
        <f t="shared" si="16"/>
        <v>541</v>
      </c>
      <c r="AI68" s="790">
        <f t="shared" si="17"/>
        <v>3507</v>
      </c>
      <c r="AJ68" s="790">
        <f t="shared" si="18"/>
        <v>4048</v>
      </c>
      <c r="AK68" s="790">
        <f t="shared" si="19"/>
        <v>811</v>
      </c>
      <c r="AL68" s="790">
        <f t="shared" si="20"/>
        <v>10670</v>
      </c>
      <c r="AM68" s="790">
        <f t="shared" si="21"/>
        <v>11481</v>
      </c>
      <c r="AN68" s="790">
        <f t="shared" si="22"/>
        <v>161</v>
      </c>
      <c r="AO68" s="790">
        <f t="shared" si="23"/>
        <v>1861</v>
      </c>
      <c r="AP68" s="790">
        <f t="shared" si="24"/>
        <v>2022</v>
      </c>
      <c r="AR68" s="791">
        <f t="shared" si="25"/>
        <v>0.13364624505928854</v>
      </c>
      <c r="AS68" s="791">
        <f t="shared" si="26"/>
        <v>7.0638446128386032E-2</v>
      </c>
      <c r="AT68" s="791">
        <f t="shared" si="27"/>
        <v>7.962413452027696E-2</v>
      </c>
      <c r="AV68" s="792">
        <v>4096</v>
      </c>
      <c r="AW68" s="792">
        <v>12302</v>
      </c>
      <c r="AX68" s="792">
        <v>2424</v>
      </c>
      <c r="AZ68" s="792">
        <f t="shared" si="28"/>
        <v>547.41501976284587</v>
      </c>
      <c r="BA68" s="792">
        <f t="shared" si="29"/>
        <v>868.994164271405</v>
      </c>
      <c r="BB68" s="792">
        <f t="shared" si="30"/>
        <v>193.00890207715136</v>
      </c>
      <c r="BC68" s="809">
        <f t="shared" si="15"/>
        <v>1609.4180861114021</v>
      </c>
    </row>
    <row r="69" spans="1:55" s="789" customFormat="1" ht="12" customHeight="1" x14ac:dyDescent="0.25">
      <c r="A69" s="789" t="s">
        <v>162</v>
      </c>
      <c r="B69" s="793" t="s">
        <v>371</v>
      </c>
      <c r="C69" s="806">
        <v>434</v>
      </c>
      <c r="D69" s="790">
        <v>491</v>
      </c>
      <c r="E69" s="790">
        <v>925</v>
      </c>
      <c r="F69" s="790">
        <v>398</v>
      </c>
      <c r="G69" s="790">
        <v>532</v>
      </c>
      <c r="H69" s="790">
        <v>930</v>
      </c>
      <c r="I69" s="790">
        <v>136</v>
      </c>
      <c r="J69" s="790">
        <v>529</v>
      </c>
      <c r="K69" s="790">
        <v>665</v>
      </c>
      <c r="L69" s="790">
        <v>299</v>
      </c>
      <c r="M69" s="790">
        <v>512</v>
      </c>
      <c r="N69" s="790">
        <v>811</v>
      </c>
      <c r="O69" s="790">
        <v>323</v>
      </c>
      <c r="P69" s="790">
        <v>902</v>
      </c>
      <c r="Q69" s="790">
        <v>1225</v>
      </c>
      <c r="R69" s="790">
        <v>246</v>
      </c>
      <c r="S69" s="790">
        <v>1033</v>
      </c>
      <c r="T69" s="790">
        <v>1279</v>
      </c>
      <c r="U69" s="790">
        <v>344</v>
      </c>
      <c r="V69" s="790">
        <v>1501</v>
      </c>
      <c r="W69" s="790">
        <v>1845</v>
      </c>
      <c r="X69" s="790">
        <v>449</v>
      </c>
      <c r="Y69" s="790">
        <v>1458</v>
      </c>
      <c r="Z69" s="790">
        <v>1907</v>
      </c>
      <c r="AA69" s="790">
        <v>231</v>
      </c>
      <c r="AB69" s="790">
        <v>1182</v>
      </c>
      <c r="AC69" s="790">
        <v>1413</v>
      </c>
      <c r="AD69" s="790">
        <v>503</v>
      </c>
      <c r="AE69" s="790">
        <v>722</v>
      </c>
      <c r="AF69" s="790">
        <v>1225</v>
      </c>
      <c r="AH69" s="790">
        <f t="shared" si="16"/>
        <v>968</v>
      </c>
      <c r="AI69" s="790">
        <f t="shared" si="17"/>
        <v>1552</v>
      </c>
      <c r="AJ69" s="790">
        <f t="shared" si="18"/>
        <v>2520</v>
      </c>
      <c r="AK69" s="790">
        <f t="shared" si="19"/>
        <v>1661</v>
      </c>
      <c r="AL69" s="790">
        <f t="shared" si="20"/>
        <v>5406</v>
      </c>
      <c r="AM69" s="790">
        <f t="shared" si="21"/>
        <v>7067</v>
      </c>
      <c r="AN69" s="790">
        <f t="shared" si="22"/>
        <v>734</v>
      </c>
      <c r="AO69" s="790">
        <f t="shared" si="23"/>
        <v>1904</v>
      </c>
      <c r="AP69" s="790">
        <f t="shared" si="24"/>
        <v>2638</v>
      </c>
      <c r="AR69" s="791">
        <f t="shared" si="25"/>
        <v>0.38412698412698415</v>
      </c>
      <c r="AS69" s="791">
        <f t="shared" si="26"/>
        <v>0.23503608320362246</v>
      </c>
      <c r="AT69" s="791">
        <f t="shared" si="27"/>
        <v>0.27824109173616374</v>
      </c>
      <c r="AV69" s="792">
        <v>2421</v>
      </c>
      <c r="AW69" s="792">
        <v>7204</v>
      </c>
      <c r="AX69" s="792">
        <v>2752</v>
      </c>
      <c r="AZ69" s="792">
        <f t="shared" si="28"/>
        <v>929.97142857142865</v>
      </c>
      <c r="BA69" s="792">
        <f t="shared" si="29"/>
        <v>1693.1999433988963</v>
      </c>
      <c r="BB69" s="792">
        <f t="shared" si="30"/>
        <v>765.71948445792259</v>
      </c>
      <c r="BC69" s="809">
        <f t="shared" si="15"/>
        <v>3388.8908564282474</v>
      </c>
    </row>
    <row r="70" spans="1:55" s="789" customFormat="1" ht="12" customHeight="1" x14ac:dyDescent="0.25">
      <c r="A70" s="789" t="s">
        <v>164</v>
      </c>
      <c r="B70" s="793" t="s">
        <v>372</v>
      </c>
      <c r="C70" s="806">
        <v>138</v>
      </c>
      <c r="D70" s="790">
        <v>531</v>
      </c>
      <c r="E70" s="790">
        <v>669</v>
      </c>
      <c r="F70" s="790">
        <v>97</v>
      </c>
      <c r="G70" s="790">
        <v>692</v>
      </c>
      <c r="H70" s="790">
        <v>789</v>
      </c>
      <c r="I70" s="790">
        <v>151</v>
      </c>
      <c r="J70" s="790">
        <v>461</v>
      </c>
      <c r="K70" s="790">
        <v>612</v>
      </c>
      <c r="L70" s="790">
        <v>127</v>
      </c>
      <c r="M70" s="790">
        <v>530</v>
      </c>
      <c r="N70" s="790">
        <v>657</v>
      </c>
      <c r="O70" s="790">
        <v>62</v>
      </c>
      <c r="P70" s="790">
        <v>840</v>
      </c>
      <c r="Q70" s="790">
        <v>902</v>
      </c>
      <c r="R70" s="790">
        <v>168</v>
      </c>
      <c r="S70" s="790">
        <v>989</v>
      </c>
      <c r="T70" s="790">
        <v>1157</v>
      </c>
      <c r="U70" s="790">
        <v>247</v>
      </c>
      <c r="V70" s="790">
        <v>1498</v>
      </c>
      <c r="W70" s="790">
        <v>1745</v>
      </c>
      <c r="X70" s="790">
        <v>286</v>
      </c>
      <c r="Y70" s="790">
        <v>1927</v>
      </c>
      <c r="Z70" s="790">
        <v>2213</v>
      </c>
      <c r="AA70" s="790">
        <v>188</v>
      </c>
      <c r="AB70" s="790">
        <v>1913</v>
      </c>
      <c r="AC70" s="790">
        <v>2101</v>
      </c>
      <c r="AD70" s="790">
        <v>207</v>
      </c>
      <c r="AE70" s="790">
        <v>1343</v>
      </c>
      <c r="AF70" s="790">
        <v>1550</v>
      </c>
      <c r="AH70" s="790">
        <f t="shared" ref="AH70:AH101" si="31">C70+F70+I70</f>
        <v>386</v>
      </c>
      <c r="AI70" s="790">
        <f t="shared" ref="AI70:AI101" si="32">D70+G70+J70</f>
        <v>1684</v>
      </c>
      <c r="AJ70" s="790">
        <f t="shared" ref="AJ70:AJ101" si="33">E70+H70+K70</f>
        <v>2070</v>
      </c>
      <c r="AK70" s="790">
        <f t="shared" ref="AK70:AK101" si="34">L70+O70+R70+U70+X70</f>
        <v>890</v>
      </c>
      <c r="AL70" s="790">
        <f t="shared" ref="AL70:AL101" si="35">M70+P70+S70+V70+Y70</f>
        <v>5784</v>
      </c>
      <c r="AM70" s="790">
        <f t="shared" ref="AM70:AM101" si="36">N70+Q70+T70+W70+Z70</f>
        <v>6674</v>
      </c>
      <c r="AN70" s="790">
        <f t="shared" ref="AN70:AN101" si="37">AA70+AD70</f>
        <v>395</v>
      </c>
      <c r="AO70" s="790">
        <f t="shared" ref="AO70:AO101" si="38">AB70+AE70</f>
        <v>3256</v>
      </c>
      <c r="AP70" s="790">
        <f t="shared" ref="AP70:AP101" si="39">AC70+AF70</f>
        <v>3651</v>
      </c>
      <c r="AR70" s="791">
        <f t="shared" ref="AR70:AR101" si="40">AH70/AJ70</f>
        <v>0.18647342995169083</v>
      </c>
      <c r="AS70" s="791">
        <f t="shared" ref="AS70:AS101" si="41">AK70/AM70</f>
        <v>0.13335331135750675</v>
      </c>
      <c r="AT70" s="791">
        <f t="shared" ref="AT70:AT101" si="42">AN70/AP70</f>
        <v>0.1081895371131197</v>
      </c>
      <c r="AV70" s="792">
        <v>2007</v>
      </c>
      <c r="AW70" s="792">
        <v>6588</v>
      </c>
      <c r="AX70" s="792">
        <v>3866</v>
      </c>
      <c r="AZ70" s="792">
        <f t="shared" ref="AZ70:AZ101" si="43">AR70*AV70</f>
        <v>374.25217391304352</v>
      </c>
      <c r="BA70" s="792">
        <f t="shared" ref="BA70:BA101" si="44">AS70*AW70</f>
        <v>878.53161522325445</v>
      </c>
      <c r="BB70" s="792">
        <f t="shared" ref="BB70:BB101" si="45">AT70*AX70</f>
        <v>418.26075047932073</v>
      </c>
      <c r="BC70" s="809">
        <f t="shared" si="15"/>
        <v>1671.0445396156185</v>
      </c>
    </row>
    <row r="71" spans="1:55" s="789" customFormat="1" ht="12" customHeight="1" x14ac:dyDescent="0.25">
      <c r="A71" s="789" t="s">
        <v>168</v>
      </c>
      <c r="B71" s="793" t="s">
        <v>373</v>
      </c>
      <c r="C71" s="806">
        <v>315</v>
      </c>
      <c r="D71" s="790">
        <v>522</v>
      </c>
      <c r="E71" s="790">
        <v>837</v>
      </c>
      <c r="F71" s="790">
        <v>228</v>
      </c>
      <c r="G71" s="790">
        <v>732</v>
      </c>
      <c r="H71" s="790">
        <v>960</v>
      </c>
      <c r="I71" s="790">
        <v>342</v>
      </c>
      <c r="J71" s="790">
        <v>871</v>
      </c>
      <c r="K71" s="790">
        <v>1213</v>
      </c>
      <c r="L71" s="790">
        <v>439</v>
      </c>
      <c r="M71" s="790">
        <v>964</v>
      </c>
      <c r="N71" s="790">
        <v>1403</v>
      </c>
      <c r="O71" s="790">
        <v>437</v>
      </c>
      <c r="P71" s="790">
        <v>1325</v>
      </c>
      <c r="Q71" s="790">
        <v>1762</v>
      </c>
      <c r="R71" s="790">
        <v>364</v>
      </c>
      <c r="S71" s="790">
        <v>1628</v>
      </c>
      <c r="T71" s="790">
        <v>1992</v>
      </c>
      <c r="U71" s="790">
        <v>336</v>
      </c>
      <c r="V71" s="790">
        <v>2000</v>
      </c>
      <c r="W71" s="790">
        <v>2336</v>
      </c>
      <c r="X71" s="790">
        <v>284</v>
      </c>
      <c r="Y71" s="790">
        <v>1574</v>
      </c>
      <c r="Z71" s="790">
        <v>1858</v>
      </c>
      <c r="AA71" s="790">
        <v>378</v>
      </c>
      <c r="AB71" s="790">
        <v>993</v>
      </c>
      <c r="AC71" s="790">
        <v>1371</v>
      </c>
      <c r="AD71" s="790">
        <v>228</v>
      </c>
      <c r="AE71" s="790">
        <v>919</v>
      </c>
      <c r="AF71" s="790">
        <v>1147</v>
      </c>
      <c r="AH71" s="790">
        <f t="shared" si="31"/>
        <v>885</v>
      </c>
      <c r="AI71" s="790">
        <f t="shared" si="32"/>
        <v>2125</v>
      </c>
      <c r="AJ71" s="790">
        <f t="shared" si="33"/>
        <v>3010</v>
      </c>
      <c r="AK71" s="790">
        <f t="shared" si="34"/>
        <v>1860</v>
      </c>
      <c r="AL71" s="790">
        <f t="shared" si="35"/>
        <v>7491</v>
      </c>
      <c r="AM71" s="790">
        <f t="shared" si="36"/>
        <v>9351</v>
      </c>
      <c r="AN71" s="790">
        <f t="shared" si="37"/>
        <v>606</v>
      </c>
      <c r="AO71" s="790">
        <f t="shared" si="38"/>
        <v>1912</v>
      </c>
      <c r="AP71" s="790">
        <f t="shared" si="39"/>
        <v>2518</v>
      </c>
      <c r="AR71" s="791">
        <f t="shared" si="40"/>
        <v>0.29401993355481726</v>
      </c>
      <c r="AS71" s="791">
        <f t="shared" si="41"/>
        <v>0.19890920757138275</v>
      </c>
      <c r="AT71" s="791">
        <f t="shared" si="42"/>
        <v>0.24066719618745036</v>
      </c>
      <c r="AV71" s="792">
        <v>3265</v>
      </c>
      <c r="AW71" s="792">
        <v>9884</v>
      </c>
      <c r="AX71" s="792">
        <v>2691</v>
      </c>
      <c r="AZ71" s="792">
        <f t="shared" si="43"/>
        <v>959.9750830564783</v>
      </c>
      <c r="BA71" s="792">
        <f t="shared" si="44"/>
        <v>1966.0186076355471</v>
      </c>
      <c r="BB71" s="792">
        <f t="shared" si="45"/>
        <v>647.63542494042895</v>
      </c>
      <c r="BC71" s="809">
        <f t="shared" ref="BC71:BC126" si="46">SUM(AZ71:BB71)</f>
        <v>3573.6291156324546</v>
      </c>
    </row>
    <row r="72" spans="1:55" s="789" customFormat="1" ht="12" customHeight="1" x14ac:dyDescent="0.25">
      <c r="A72" s="789" t="s">
        <v>170</v>
      </c>
      <c r="B72" s="793" t="s">
        <v>374</v>
      </c>
      <c r="C72" s="806">
        <v>501</v>
      </c>
      <c r="D72" s="790">
        <v>1748</v>
      </c>
      <c r="E72" s="790">
        <v>2249</v>
      </c>
      <c r="F72" s="790">
        <v>511</v>
      </c>
      <c r="G72" s="790">
        <v>2165</v>
      </c>
      <c r="H72" s="790">
        <v>2676</v>
      </c>
      <c r="I72" s="790">
        <v>691</v>
      </c>
      <c r="J72" s="790">
        <v>1911</v>
      </c>
      <c r="K72" s="790">
        <v>2602</v>
      </c>
      <c r="L72" s="790">
        <v>476</v>
      </c>
      <c r="M72" s="790">
        <v>1661</v>
      </c>
      <c r="N72" s="790">
        <v>2137</v>
      </c>
      <c r="O72" s="790">
        <v>426</v>
      </c>
      <c r="P72" s="790">
        <v>3181</v>
      </c>
      <c r="Q72" s="790">
        <v>3607</v>
      </c>
      <c r="R72" s="790">
        <v>662</v>
      </c>
      <c r="S72" s="790">
        <v>3579</v>
      </c>
      <c r="T72" s="790">
        <v>4241</v>
      </c>
      <c r="U72" s="790">
        <v>699</v>
      </c>
      <c r="V72" s="790">
        <v>4437</v>
      </c>
      <c r="W72" s="790">
        <v>5136</v>
      </c>
      <c r="X72" s="790">
        <v>568</v>
      </c>
      <c r="Y72" s="790">
        <v>3703</v>
      </c>
      <c r="Z72" s="790">
        <v>4271</v>
      </c>
      <c r="AA72" s="790">
        <v>343</v>
      </c>
      <c r="AB72" s="790">
        <v>3053</v>
      </c>
      <c r="AC72" s="790">
        <v>3396</v>
      </c>
      <c r="AD72" s="790">
        <v>316</v>
      </c>
      <c r="AE72" s="790">
        <v>1983</v>
      </c>
      <c r="AF72" s="790">
        <v>2299</v>
      </c>
      <c r="AH72" s="790">
        <f t="shared" si="31"/>
        <v>1703</v>
      </c>
      <c r="AI72" s="790">
        <f t="shared" si="32"/>
        <v>5824</v>
      </c>
      <c r="AJ72" s="790">
        <f t="shared" si="33"/>
        <v>7527</v>
      </c>
      <c r="AK72" s="790">
        <f t="shared" si="34"/>
        <v>2831</v>
      </c>
      <c r="AL72" s="790">
        <f t="shared" si="35"/>
        <v>16561</v>
      </c>
      <c r="AM72" s="790">
        <f t="shared" si="36"/>
        <v>19392</v>
      </c>
      <c r="AN72" s="790">
        <f t="shared" si="37"/>
        <v>659</v>
      </c>
      <c r="AO72" s="790">
        <f t="shared" si="38"/>
        <v>5036</v>
      </c>
      <c r="AP72" s="790">
        <f t="shared" si="39"/>
        <v>5695</v>
      </c>
      <c r="AR72" s="791">
        <f t="shared" si="40"/>
        <v>0.22625215889464595</v>
      </c>
      <c r="AS72" s="791">
        <f t="shared" si="41"/>
        <v>0.14598803630363036</v>
      </c>
      <c r="AT72" s="791">
        <f t="shared" si="42"/>
        <v>0.11571553994732221</v>
      </c>
      <c r="AV72" s="792">
        <v>7620</v>
      </c>
      <c r="AW72" s="792">
        <v>20089</v>
      </c>
      <c r="AX72" s="792">
        <v>6229</v>
      </c>
      <c r="AZ72" s="792">
        <f t="shared" si="43"/>
        <v>1724.041450777202</v>
      </c>
      <c r="BA72" s="792">
        <f t="shared" si="44"/>
        <v>2932.7536613036305</v>
      </c>
      <c r="BB72" s="792">
        <f t="shared" si="45"/>
        <v>720.79209833187008</v>
      </c>
      <c r="BC72" s="809">
        <f t="shared" si="46"/>
        <v>5377.587210412702</v>
      </c>
    </row>
    <row r="73" spans="1:55" s="789" customFormat="1" ht="12" customHeight="1" x14ac:dyDescent="0.25">
      <c r="A73" s="789" t="s">
        <v>172</v>
      </c>
      <c r="B73" s="793" t="s">
        <v>375</v>
      </c>
      <c r="C73" s="806">
        <v>775</v>
      </c>
      <c r="D73" s="790">
        <v>901</v>
      </c>
      <c r="E73" s="790">
        <v>1676</v>
      </c>
      <c r="F73" s="790">
        <v>432</v>
      </c>
      <c r="G73" s="790">
        <v>1029</v>
      </c>
      <c r="H73" s="790">
        <v>1461</v>
      </c>
      <c r="I73" s="790">
        <v>418</v>
      </c>
      <c r="J73" s="790">
        <v>1565</v>
      </c>
      <c r="K73" s="790">
        <v>1983</v>
      </c>
      <c r="L73" s="790">
        <v>323</v>
      </c>
      <c r="M73" s="790">
        <v>1466</v>
      </c>
      <c r="N73" s="790">
        <v>1789</v>
      </c>
      <c r="O73" s="790">
        <v>723</v>
      </c>
      <c r="P73" s="790">
        <v>1909</v>
      </c>
      <c r="Q73" s="790">
        <v>2632</v>
      </c>
      <c r="R73" s="790">
        <v>616</v>
      </c>
      <c r="S73" s="790">
        <v>2640</v>
      </c>
      <c r="T73" s="790">
        <v>3256</v>
      </c>
      <c r="U73" s="790">
        <v>419</v>
      </c>
      <c r="V73" s="790">
        <v>3194</v>
      </c>
      <c r="W73" s="790">
        <v>3613</v>
      </c>
      <c r="X73" s="790">
        <v>392</v>
      </c>
      <c r="Y73" s="790">
        <v>2877</v>
      </c>
      <c r="Z73" s="790">
        <v>3269</v>
      </c>
      <c r="AA73" s="790">
        <v>339</v>
      </c>
      <c r="AB73" s="790">
        <v>2115</v>
      </c>
      <c r="AC73" s="790">
        <v>2454</v>
      </c>
      <c r="AD73" s="790">
        <v>401</v>
      </c>
      <c r="AE73" s="790">
        <v>1263</v>
      </c>
      <c r="AF73" s="790">
        <v>1664</v>
      </c>
      <c r="AH73" s="790">
        <f t="shared" si="31"/>
        <v>1625</v>
      </c>
      <c r="AI73" s="790">
        <f t="shared" si="32"/>
        <v>3495</v>
      </c>
      <c r="AJ73" s="790">
        <f t="shared" si="33"/>
        <v>5120</v>
      </c>
      <c r="AK73" s="790">
        <f t="shared" si="34"/>
        <v>2473</v>
      </c>
      <c r="AL73" s="790">
        <f t="shared" si="35"/>
        <v>12086</v>
      </c>
      <c r="AM73" s="790">
        <f t="shared" si="36"/>
        <v>14559</v>
      </c>
      <c r="AN73" s="790">
        <f t="shared" si="37"/>
        <v>740</v>
      </c>
      <c r="AO73" s="790">
        <f t="shared" si="38"/>
        <v>3378</v>
      </c>
      <c r="AP73" s="790">
        <f t="shared" si="39"/>
        <v>4118</v>
      </c>
      <c r="AR73" s="791">
        <f t="shared" si="40"/>
        <v>0.3173828125</v>
      </c>
      <c r="AS73" s="791">
        <f t="shared" si="41"/>
        <v>0.16986056734665841</v>
      </c>
      <c r="AT73" s="791">
        <f t="shared" si="42"/>
        <v>0.17969888295288974</v>
      </c>
      <c r="AV73" s="792">
        <v>5045</v>
      </c>
      <c r="AW73" s="792">
        <v>14610</v>
      </c>
      <c r="AX73" s="792">
        <v>4303</v>
      </c>
      <c r="AZ73" s="792">
        <f t="shared" si="43"/>
        <v>1601.1962890625</v>
      </c>
      <c r="BA73" s="792">
        <f t="shared" si="44"/>
        <v>2481.6628889346794</v>
      </c>
      <c r="BB73" s="792">
        <f t="shared" si="45"/>
        <v>773.24429334628462</v>
      </c>
      <c r="BC73" s="809">
        <f t="shared" si="46"/>
        <v>4856.1034713434638</v>
      </c>
    </row>
    <row r="74" spans="1:55" s="789" customFormat="1" ht="12" customHeight="1" x14ac:dyDescent="0.25">
      <c r="A74" s="789" t="s">
        <v>174</v>
      </c>
      <c r="B74" s="793" t="s">
        <v>376</v>
      </c>
      <c r="C74" s="806">
        <v>229</v>
      </c>
      <c r="D74" s="790">
        <v>714</v>
      </c>
      <c r="E74" s="790">
        <v>943</v>
      </c>
      <c r="F74" s="790">
        <v>471</v>
      </c>
      <c r="G74" s="790">
        <v>634</v>
      </c>
      <c r="H74" s="790">
        <v>1105</v>
      </c>
      <c r="I74" s="790">
        <v>242</v>
      </c>
      <c r="J74" s="790">
        <v>1264</v>
      </c>
      <c r="K74" s="790">
        <v>1506</v>
      </c>
      <c r="L74" s="790">
        <v>136</v>
      </c>
      <c r="M74" s="790">
        <v>1097</v>
      </c>
      <c r="N74" s="790">
        <v>1233</v>
      </c>
      <c r="O74" s="790">
        <v>412</v>
      </c>
      <c r="P74" s="790">
        <v>1241</v>
      </c>
      <c r="Q74" s="790">
        <v>1653</v>
      </c>
      <c r="R74" s="790">
        <v>640</v>
      </c>
      <c r="S74" s="790">
        <v>1884</v>
      </c>
      <c r="T74" s="790">
        <v>2524</v>
      </c>
      <c r="U74" s="790">
        <v>523</v>
      </c>
      <c r="V74" s="790">
        <v>2324</v>
      </c>
      <c r="W74" s="790">
        <v>2847</v>
      </c>
      <c r="X74" s="790">
        <v>422</v>
      </c>
      <c r="Y74" s="790">
        <v>2348</v>
      </c>
      <c r="Z74" s="790">
        <v>2770</v>
      </c>
      <c r="AA74" s="790">
        <v>329</v>
      </c>
      <c r="AB74" s="790">
        <v>1918</v>
      </c>
      <c r="AC74" s="790">
        <v>2247</v>
      </c>
      <c r="AD74" s="790">
        <v>337</v>
      </c>
      <c r="AE74" s="790">
        <v>1199</v>
      </c>
      <c r="AF74" s="790">
        <v>1536</v>
      </c>
      <c r="AH74" s="790">
        <f t="shared" si="31"/>
        <v>942</v>
      </c>
      <c r="AI74" s="790">
        <f t="shared" si="32"/>
        <v>2612</v>
      </c>
      <c r="AJ74" s="790">
        <f t="shared" si="33"/>
        <v>3554</v>
      </c>
      <c r="AK74" s="790">
        <f t="shared" si="34"/>
        <v>2133</v>
      </c>
      <c r="AL74" s="790">
        <f t="shared" si="35"/>
        <v>8894</v>
      </c>
      <c r="AM74" s="790">
        <f t="shared" si="36"/>
        <v>11027</v>
      </c>
      <c r="AN74" s="790">
        <f t="shared" si="37"/>
        <v>666</v>
      </c>
      <c r="AO74" s="790">
        <f t="shared" si="38"/>
        <v>3117</v>
      </c>
      <c r="AP74" s="790">
        <f t="shared" si="39"/>
        <v>3783</v>
      </c>
      <c r="AR74" s="791">
        <f t="shared" si="40"/>
        <v>0.265053460889139</v>
      </c>
      <c r="AS74" s="791">
        <f t="shared" si="41"/>
        <v>0.19343429763308242</v>
      </c>
      <c r="AT74" s="791">
        <f t="shared" si="42"/>
        <v>0.17605075337034101</v>
      </c>
      <c r="AV74" s="792">
        <v>3460</v>
      </c>
      <c r="AW74" s="792">
        <v>10852</v>
      </c>
      <c r="AX74" s="792">
        <v>4078</v>
      </c>
      <c r="AZ74" s="792">
        <f t="shared" si="43"/>
        <v>917.08497467642098</v>
      </c>
      <c r="BA74" s="792">
        <f t="shared" si="44"/>
        <v>2099.1489979142107</v>
      </c>
      <c r="BB74" s="792">
        <f t="shared" si="45"/>
        <v>717.93497224425062</v>
      </c>
      <c r="BC74" s="809">
        <f t="shared" si="46"/>
        <v>3734.1689448348825</v>
      </c>
    </row>
    <row r="75" spans="1:55" s="789" customFormat="1" ht="12" customHeight="1" x14ac:dyDescent="0.25">
      <c r="A75" s="789" t="s">
        <v>178</v>
      </c>
      <c r="B75" s="793" t="s">
        <v>179</v>
      </c>
      <c r="C75" s="806">
        <v>1130</v>
      </c>
      <c r="D75" s="790">
        <v>2580</v>
      </c>
      <c r="E75" s="790">
        <v>3710</v>
      </c>
      <c r="F75" s="790">
        <v>1125</v>
      </c>
      <c r="G75" s="790">
        <v>3520</v>
      </c>
      <c r="H75" s="790">
        <v>4645</v>
      </c>
      <c r="I75" s="790">
        <v>1269</v>
      </c>
      <c r="J75" s="790">
        <v>3665</v>
      </c>
      <c r="K75" s="790">
        <v>4934</v>
      </c>
      <c r="L75" s="790">
        <v>1053</v>
      </c>
      <c r="M75" s="790">
        <v>3316</v>
      </c>
      <c r="N75" s="790">
        <v>4369</v>
      </c>
      <c r="O75" s="790">
        <v>1200</v>
      </c>
      <c r="P75" s="790">
        <v>4766</v>
      </c>
      <c r="Q75" s="790">
        <v>5966</v>
      </c>
      <c r="R75" s="790">
        <v>1363</v>
      </c>
      <c r="S75" s="790">
        <v>6905</v>
      </c>
      <c r="T75" s="790">
        <v>8268</v>
      </c>
      <c r="U75" s="790">
        <v>1692</v>
      </c>
      <c r="V75" s="790">
        <v>8657</v>
      </c>
      <c r="W75" s="790">
        <v>10349</v>
      </c>
      <c r="X75" s="790">
        <v>1173</v>
      </c>
      <c r="Y75" s="790">
        <v>8086</v>
      </c>
      <c r="Z75" s="790">
        <v>9259</v>
      </c>
      <c r="AA75" s="790">
        <v>872</v>
      </c>
      <c r="AB75" s="790">
        <v>5309</v>
      </c>
      <c r="AC75" s="790">
        <v>6181</v>
      </c>
      <c r="AD75" s="790">
        <v>1413</v>
      </c>
      <c r="AE75" s="790">
        <v>2995</v>
      </c>
      <c r="AF75" s="790">
        <v>4408</v>
      </c>
      <c r="AH75" s="790">
        <f t="shared" si="31"/>
        <v>3524</v>
      </c>
      <c r="AI75" s="790">
        <f t="shared" si="32"/>
        <v>9765</v>
      </c>
      <c r="AJ75" s="790">
        <f t="shared" si="33"/>
        <v>13289</v>
      </c>
      <c r="AK75" s="790">
        <f t="shared" si="34"/>
        <v>6481</v>
      </c>
      <c r="AL75" s="790">
        <f t="shared" si="35"/>
        <v>31730</v>
      </c>
      <c r="AM75" s="790">
        <f t="shared" si="36"/>
        <v>38211</v>
      </c>
      <c r="AN75" s="790">
        <f t="shared" si="37"/>
        <v>2285</v>
      </c>
      <c r="AO75" s="790">
        <f t="shared" si="38"/>
        <v>8304</v>
      </c>
      <c r="AP75" s="790">
        <f t="shared" si="39"/>
        <v>10589</v>
      </c>
      <c r="AR75" s="791">
        <f t="shared" si="40"/>
        <v>0.26518172924975542</v>
      </c>
      <c r="AS75" s="791">
        <f t="shared" si="41"/>
        <v>0.16961084504462065</v>
      </c>
      <c r="AT75" s="791">
        <f t="shared" si="42"/>
        <v>0.21578997072433659</v>
      </c>
      <c r="AV75" s="792">
        <v>13078</v>
      </c>
      <c r="AW75" s="792">
        <v>38645</v>
      </c>
      <c r="AX75" s="792">
        <v>11121</v>
      </c>
      <c r="AZ75" s="792">
        <f t="shared" si="43"/>
        <v>3468.0466551283012</v>
      </c>
      <c r="BA75" s="792">
        <f t="shared" si="44"/>
        <v>6554.6111067493648</v>
      </c>
      <c r="BB75" s="792">
        <f t="shared" si="45"/>
        <v>2399.800264425347</v>
      </c>
      <c r="BC75" s="809">
        <f t="shared" si="46"/>
        <v>12422.458026303013</v>
      </c>
    </row>
    <row r="76" spans="1:55" s="789" customFormat="1" ht="12" customHeight="1" x14ac:dyDescent="0.25">
      <c r="A76" s="789" t="s">
        <v>182</v>
      </c>
      <c r="B76" s="793" t="s">
        <v>378</v>
      </c>
      <c r="C76" s="806">
        <v>116</v>
      </c>
      <c r="D76" s="790">
        <v>1720</v>
      </c>
      <c r="E76" s="790">
        <v>1836</v>
      </c>
      <c r="F76" s="790">
        <v>99</v>
      </c>
      <c r="G76" s="790">
        <v>1781</v>
      </c>
      <c r="H76" s="790">
        <v>1880</v>
      </c>
      <c r="I76" s="790">
        <v>85</v>
      </c>
      <c r="J76" s="790">
        <v>1899</v>
      </c>
      <c r="K76" s="790">
        <v>1984</v>
      </c>
      <c r="L76" s="790">
        <v>71</v>
      </c>
      <c r="M76" s="790">
        <v>1268</v>
      </c>
      <c r="N76" s="790">
        <v>1339</v>
      </c>
      <c r="O76" s="790">
        <v>256</v>
      </c>
      <c r="P76" s="790">
        <v>1787</v>
      </c>
      <c r="Q76" s="790">
        <v>2043</v>
      </c>
      <c r="R76" s="790">
        <v>106</v>
      </c>
      <c r="S76" s="790">
        <v>3616</v>
      </c>
      <c r="T76" s="790">
        <v>3722</v>
      </c>
      <c r="U76" s="790">
        <v>244</v>
      </c>
      <c r="V76" s="790">
        <v>3896</v>
      </c>
      <c r="W76" s="790">
        <v>4140</v>
      </c>
      <c r="X76" s="790">
        <v>311</v>
      </c>
      <c r="Y76" s="790">
        <v>3353</v>
      </c>
      <c r="Z76" s="790">
        <v>3664</v>
      </c>
      <c r="AA76" s="790">
        <v>119</v>
      </c>
      <c r="AB76" s="790">
        <v>1966</v>
      </c>
      <c r="AC76" s="790">
        <v>2085</v>
      </c>
      <c r="AD76" s="790">
        <v>119</v>
      </c>
      <c r="AE76" s="790">
        <v>949</v>
      </c>
      <c r="AF76" s="790">
        <v>1068</v>
      </c>
      <c r="AH76" s="790">
        <f t="shared" si="31"/>
        <v>300</v>
      </c>
      <c r="AI76" s="790">
        <f t="shared" si="32"/>
        <v>5400</v>
      </c>
      <c r="AJ76" s="790">
        <f t="shared" si="33"/>
        <v>5700</v>
      </c>
      <c r="AK76" s="790">
        <f t="shared" si="34"/>
        <v>988</v>
      </c>
      <c r="AL76" s="790">
        <f t="shared" si="35"/>
        <v>13920</v>
      </c>
      <c r="AM76" s="790">
        <f t="shared" si="36"/>
        <v>14908</v>
      </c>
      <c r="AN76" s="790">
        <f t="shared" si="37"/>
        <v>238</v>
      </c>
      <c r="AO76" s="790">
        <f t="shared" si="38"/>
        <v>2915</v>
      </c>
      <c r="AP76" s="790">
        <f t="shared" si="39"/>
        <v>3153</v>
      </c>
      <c r="AR76" s="791">
        <f t="shared" si="40"/>
        <v>5.2631578947368418E-2</v>
      </c>
      <c r="AS76" s="791">
        <f t="shared" si="41"/>
        <v>6.6273141937214924E-2</v>
      </c>
      <c r="AT76" s="791">
        <f t="shared" si="42"/>
        <v>7.5483666349508399E-2</v>
      </c>
      <c r="AV76" s="792">
        <v>6162</v>
      </c>
      <c r="AW76" s="792">
        <v>18285</v>
      </c>
      <c r="AX76" s="792">
        <v>3663</v>
      </c>
      <c r="AZ76" s="792">
        <f t="shared" si="43"/>
        <v>324.31578947368422</v>
      </c>
      <c r="BA76" s="792">
        <f t="shared" si="44"/>
        <v>1211.804400321975</v>
      </c>
      <c r="BB76" s="792">
        <f t="shared" si="45"/>
        <v>276.49666983824926</v>
      </c>
      <c r="BC76" s="809">
        <f t="shared" si="46"/>
        <v>1812.6168596339085</v>
      </c>
    </row>
    <row r="77" spans="1:55" s="789" customFormat="1" ht="12" customHeight="1" x14ac:dyDescent="0.25">
      <c r="A77" s="789" t="s">
        <v>184</v>
      </c>
      <c r="B77" s="793" t="s">
        <v>379</v>
      </c>
      <c r="C77" s="806">
        <v>398</v>
      </c>
      <c r="D77" s="790">
        <v>825</v>
      </c>
      <c r="E77" s="790">
        <v>1223</v>
      </c>
      <c r="F77" s="790">
        <v>365</v>
      </c>
      <c r="G77" s="790">
        <v>1027</v>
      </c>
      <c r="H77" s="790">
        <v>1392</v>
      </c>
      <c r="I77" s="790">
        <v>393</v>
      </c>
      <c r="J77" s="790">
        <v>914</v>
      </c>
      <c r="K77" s="790">
        <v>1307</v>
      </c>
      <c r="L77" s="790">
        <v>1021</v>
      </c>
      <c r="M77" s="790">
        <v>1066</v>
      </c>
      <c r="N77" s="790">
        <v>2087</v>
      </c>
      <c r="O77" s="790">
        <v>317</v>
      </c>
      <c r="P77" s="790">
        <v>1303</v>
      </c>
      <c r="Q77" s="790">
        <v>1620</v>
      </c>
      <c r="R77" s="790">
        <v>505</v>
      </c>
      <c r="S77" s="790">
        <v>2007</v>
      </c>
      <c r="T77" s="790">
        <v>2512</v>
      </c>
      <c r="U77" s="790">
        <v>425</v>
      </c>
      <c r="V77" s="790">
        <v>2272</v>
      </c>
      <c r="W77" s="790">
        <v>2697</v>
      </c>
      <c r="X77" s="790">
        <v>322</v>
      </c>
      <c r="Y77" s="790">
        <v>2083</v>
      </c>
      <c r="Z77" s="790">
        <v>2405</v>
      </c>
      <c r="AA77" s="790">
        <v>176</v>
      </c>
      <c r="AB77" s="790">
        <v>1430</v>
      </c>
      <c r="AC77" s="790">
        <v>1606</v>
      </c>
      <c r="AD77" s="790">
        <v>272</v>
      </c>
      <c r="AE77" s="790">
        <v>1167</v>
      </c>
      <c r="AF77" s="790">
        <v>1439</v>
      </c>
      <c r="AH77" s="790">
        <f t="shared" si="31"/>
        <v>1156</v>
      </c>
      <c r="AI77" s="790">
        <f t="shared" si="32"/>
        <v>2766</v>
      </c>
      <c r="AJ77" s="790">
        <f t="shared" si="33"/>
        <v>3922</v>
      </c>
      <c r="AK77" s="790">
        <f t="shared" si="34"/>
        <v>2590</v>
      </c>
      <c r="AL77" s="790">
        <f t="shared" si="35"/>
        <v>8731</v>
      </c>
      <c r="AM77" s="790">
        <f t="shared" si="36"/>
        <v>11321</v>
      </c>
      <c r="AN77" s="790">
        <f t="shared" si="37"/>
        <v>448</v>
      </c>
      <c r="AO77" s="790">
        <f t="shared" si="38"/>
        <v>2597</v>
      </c>
      <c r="AP77" s="790">
        <f t="shared" si="39"/>
        <v>3045</v>
      </c>
      <c r="AR77" s="791">
        <f t="shared" si="40"/>
        <v>0.29474757776644567</v>
      </c>
      <c r="AS77" s="791">
        <f t="shared" si="41"/>
        <v>0.22877837646850985</v>
      </c>
      <c r="AT77" s="791">
        <f t="shared" si="42"/>
        <v>0.14712643678160919</v>
      </c>
      <c r="AV77" s="792">
        <v>3992</v>
      </c>
      <c r="AW77" s="792">
        <v>16036</v>
      </c>
      <c r="AX77" s="792">
        <v>3315</v>
      </c>
      <c r="AZ77" s="792">
        <f t="shared" si="43"/>
        <v>1176.6323304436512</v>
      </c>
      <c r="BA77" s="792">
        <f t="shared" si="44"/>
        <v>3668.6900450490239</v>
      </c>
      <c r="BB77" s="792">
        <f t="shared" si="45"/>
        <v>487.72413793103448</v>
      </c>
      <c r="BC77" s="809">
        <f t="shared" si="46"/>
        <v>5333.0465134237093</v>
      </c>
    </row>
    <row r="78" spans="1:55" s="789" customFormat="1" ht="12" customHeight="1" x14ac:dyDescent="0.25">
      <c r="A78" s="789" t="s">
        <v>186</v>
      </c>
      <c r="B78" s="793" t="s">
        <v>380</v>
      </c>
      <c r="C78" s="806">
        <v>355</v>
      </c>
      <c r="D78" s="790">
        <v>2036</v>
      </c>
      <c r="E78" s="790">
        <v>2391</v>
      </c>
      <c r="F78" s="790">
        <v>307</v>
      </c>
      <c r="G78" s="790">
        <v>2366</v>
      </c>
      <c r="H78" s="790">
        <v>2673</v>
      </c>
      <c r="I78" s="790">
        <v>391</v>
      </c>
      <c r="J78" s="790">
        <v>2543</v>
      </c>
      <c r="K78" s="790">
        <v>2934</v>
      </c>
      <c r="L78" s="790">
        <v>246</v>
      </c>
      <c r="M78" s="790">
        <v>1687</v>
      </c>
      <c r="N78" s="790">
        <v>1933</v>
      </c>
      <c r="O78" s="790">
        <v>345</v>
      </c>
      <c r="P78" s="790">
        <v>2990</v>
      </c>
      <c r="Q78" s="790">
        <v>3335</v>
      </c>
      <c r="R78" s="790">
        <v>310</v>
      </c>
      <c r="S78" s="790">
        <v>4073</v>
      </c>
      <c r="T78" s="790">
        <v>4383</v>
      </c>
      <c r="U78" s="790">
        <v>296</v>
      </c>
      <c r="V78" s="790">
        <v>4718</v>
      </c>
      <c r="W78" s="790">
        <v>5014</v>
      </c>
      <c r="X78" s="790">
        <v>228</v>
      </c>
      <c r="Y78" s="790">
        <v>3673</v>
      </c>
      <c r="Z78" s="790">
        <v>3901</v>
      </c>
      <c r="AA78" s="790">
        <v>65</v>
      </c>
      <c r="AB78" s="790">
        <v>2222</v>
      </c>
      <c r="AC78" s="790">
        <v>2287</v>
      </c>
      <c r="AD78" s="790">
        <v>195</v>
      </c>
      <c r="AE78" s="790">
        <v>1059</v>
      </c>
      <c r="AF78" s="790">
        <v>1254</v>
      </c>
      <c r="AH78" s="790">
        <f t="shared" si="31"/>
        <v>1053</v>
      </c>
      <c r="AI78" s="790">
        <f t="shared" si="32"/>
        <v>6945</v>
      </c>
      <c r="AJ78" s="790">
        <f t="shared" si="33"/>
        <v>7998</v>
      </c>
      <c r="AK78" s="790">
        <f t="shared" si="34"/>
        <v>1425</v>
      </c>
      <c r="AL78" s="790">
        <f t="shared" si="35"/>
        <v>17141</v>
      </c>
      <c r="AM78" s="790">
        <f t="shared" si="36"/>
        <v>18566</v>
      </c>
      <c r="AN78" s="790">
        <f t="shared" si="37"/>
        <v>260</v>
      </c>
      <c r="AO78" s="790">
        <f t="shared" si="38"/>
        <v>3281</v>
      </c>
      <c r="AP78" s="790">
        <f t="shared" si="39"/>
        <v>3541</v>
      </c>
      <c r="AR78" s="791">
        <f t="shared" si="40"/>
        <v>0.13165791447861966</v>
      </c>
      <c r="AS78" s="791">
        <f t="shared" si="41"/>
        <v>7.6753204782936554E-2</v>
      </c>
      <c r="AT78" s="791">
        <f t="shared" si="42"/>
        <v>7.3425585992657444E-2</v>
      </c>
      <c r="AV78" s="792">
        <v>8221</v>
      </c>
      <c r="AW78" s="792">
        <v>24450</v>
      </c>
      <c r="AX78" s="792">
        <v>3884</v>
      </c>
      <c r="AZ78" s="792">
        <f t="shared" si="43"/>
        <v>1082.3597149287323</v>
      </c>
      <c r="BA78" s="792">
        <f t="shared" si="44"/>
        <v>1876.6158569427987</v>
      </c>
      <c r="BB78" s="792">
        <f t="shared" si="45"/>
        <v>285.18497599548152</v>
      </c>
      <c r="BC78" s="809">
        <f t="shared" si="46"/>
        <v>3244.1605478670126</v>
      </c>
    </row>
    <row r="79" spans="1:55" s="789" customFormat="1" ht="12" customHeight="1" x14ac:dyDescent="0.25">
      <c r="A79" s="789" t="s">
        <v>188</v>
      </c>
      <c r="B79" s="793" t="s">
        <v>381</v>
      </c>
      <c r="C79" s="806">
        <v>4288</v>
      </c>
      <c r="D79" s="790">
        <v>34816</v>
      </c>
      <c r="E79" s="790">
        <v>39104</v>
      </c>
      <c r="F79" s="790">
        <v>4217</v>
      </c>
      <c r="G79" s="790">
        <v>33737</v>
      </c>
      <c r="H79" s="790">
        <v>37954</v>
      </c>
      <c r="I79" s="790">
        <v>3542</v>
      </c>
      <c r="J79" s="790">
        <v>31336</v>
      </c>
      <c r="K79" s="790">
        <v>34878</v>
      </c>
      <c r="L79" s="790">
        <v>3608</v>
      </c>
      <c r="M79" s="790">
        <v>28048</v>
      </c>
      <c r="N79" s="790">
        <v>31656</v>
      </c>
      <c r="O79" s="790">
        <v>4539</v>
      </c>
      <c r="P79" s="790">
        <v>52536</v>
      </c>
      <c r="Q79" s="790">
        <v>57075</v>
      </c>
      <c r="R79" s="790">
        <v>4562</v>
      </c>
      <c r="S79" s="790">
        <v>59713</v>
      </c>
      <c r="T79" s="790">
        <v>64275</v>
      </c>
      <c r="U79" s="790">
        <v>2812</v>
      </c>
      <c r="V79" s="790">
        <v>55760</v>
      </c>
      <c r="W79" s="790">
        <v>58572</v>
      </c>
      <c r="X79" s="790">
        <v>1527</v>
      </c>
      <c r="Y79" s="790">
        <v>35219</v>
      </c>
      <c r="Z79" s="790">
        <v>36746</v>
      </c>
      <c r="AA79" s="790">
        <v>758</v>
      </c>
      <c r="AB79" s="790">
        <v>16123</v>
      </c>
      <c r="AC79" s="790">
        <v>16881</v>
      </c>
      <c r="AD79" s="790">
        <v>794</v>
      </c>
      <c r="AE79" s="790">
        <v>7985</v>
      </c>
      <c r="AF79" s="790">
        <v>8779</v>
      </c>
      <c r="AH79" s="790">
        <f t="shared" si="31"/>
        <v>12047</v>
      </c>
      <c r="AI79" s="790">
        <f t="shared" si="32"/>
        <v>99889</v>
      </c>
      <c r="AJ79" s="790">
        <f t="shared" si="33"/>
        <v>111936</v>
      </c>
      <c r="AK79" s="790">
        <f t="shared" si="34"/>
        <v>17048</v>
      </c>
      <c r="AL79" s="790">
        <f t="shared" si="35"/>
        <v>231276</v>
      </c>
      <c r="AM79" s="790">
        <f t="shared" si="36"/>
        <v>248324</v>
      </c>
      <c r="AN79" s="790">
        <f t="shared" si="37"/>
        <v>1552</v>
      </c>
      <c r="AO79" s="790">
        <f t="shared" si="38"/>
        <v>24108</v>
      </c>
      <c r="AP79" s="790">
        <f t="shared" si="39"/>
        <v>25660</v>
      </c>
      <c r="AR79" s="791">
        <f t="shared" si="40"/>
        <v>0.10762399942824472</v>
      </c>
      <c r="AS79" s="791">
        <f t="shared" si="41"/>
        <v>6.8652244648121002E-2</v>
      </c>
      <c r="AT79" s="791">
        <f t="shared" si="42"/>
        <v>6.0483242400623541E-2</v>
      </c>
      <c r="AV79" s="792">
        <v>119405</v>
      </c>
      <c r="AW79" s="792">
        <v>269765</v>
      </c>
      <c r="AX79" s="792">
        <v>29836</v>
      </c>
      <c r="AZ79" s="792">
        <f t="shared" si="43"/>
        <v>12850.843651729559</v>
      </c>
      <c r="BA79" s="792">
        <f t="shared" si="44"/>
        <v>18519.972777500363</v>
      </c>
      <c r="BB79" s="792">
        <f t="shared" si="45"/>
        <v>1804.5780202650039</v>
      </c>
      <c r="BC79" s="809">
        <f t="shared" si="46"/>
        <v>33175.394449494925</v>
      </c>
    </row>
    <row r="80" spans="1:55" s="789" customFormat="1" ht="12" customHeight="1" x14ac:dyDescent="0.25">
      <c r="A80" s="789" t="s">
        <v>190</v>
      </c>
      <c r="B80" s="793" t="s">
        <v>382</v>
      </c>
      <c r="C80" s="806">
        <v>699</v>
      </c>
      <c r="D80" s="790">
        <v>1352</v>
      </c>
      <c r="E80" s="790">
        <v>2051</v>
      </c>
      <c r="F80" s="790">
        <v>710</v>
      </c>
      <c r="G80" s="790">
        <v>1520</v>
      </c>
      <c r="H80" s="790">
        <v>2230</v>
      </c>
      <c r="I80" s="790">
        <v>573</v>
      </c>
      <c r="J80" s="790">
        <v>1860</v>
      </c>
      <c r="K80" s="790">
        <v>2433</v>
      </c>
      <c r="L80" s="790">
        <v>637</v>
      </c>
      <c r="M80" s="790">
        <v>1775</v>
      </c>
      <c r="N80" s="790">
        <v>2412</v>
      </c>
      <c r="O80" s="790">
        <v>905</v>
      </c>
      <c r="P80" s="790">
        <v>2595</v>
      </c>
      <c r="Q80" s="790">
        <v>3500</v>
      </c>
      <c r="R80" s="790">
        <v>991</v>
      </c>
      <c r="S80" s="790">
        <v>3860</v>
      </c>
      <c r="T80" s="790">
        <v>4851</v>
      </c>
      <c r="U80" s="790">
        <v>723</v>
      </c>
      <c r="V80" s="790">
        <v>4460</v>
      </c>
      <c r="W80" s="790">
        <v>5183</v>
      </c>
      <c r="X80" s="790">
        <v>845</v>
      </c>
      <c r="Y80" s="790">
        <v>4439</v>
      </c>
      <c r="Z80" s="790">
        <v>5284</v>
      </c>
      <c r="AA80" s="790">
        <v>542</v>
      </c>
      <c r="AB80" s="790">
        <v>3030</v>
      </c>
      <c r="AC80" s="790">
        <v>3572</v>
      </c>
      <c r="AD80" s="790">
        <v>577</v>
      </c>
      <c r="AE80" s="790">
        <v>1746</v>
      </c>
      <c r="AF80" s="790">
        <v>2323</v>
      </c>
      <c r="AH80" s="790">
        <f t="shared" si="31"/>
        <v>1982</v>
      </c>
      <c r="AI80" s="790">
        <f t="shared" si="32"/>
        <v>4732</v>
      </c>
      <c r="AJ80" s="790">
        <f t="shared" si="33"/>
        <v>6714</v>
      </c>
      <c r="AK80" s="790">
        <f t="shared" si="34"/>
        <v>4101</v>
      </c>
      <c r="AL80" s="790">
        <f t="shared" si="35"/>
        <v>17129</v>
      </c>
      <c r="AM80" s="790">
        <f t="shared" si="36"/>
        <v>21230</v>
      </c>
      <c r="AN80" s="790">
        <f t="shared" si="37"/>
        <v>1119</v>
      </c>
      <c r="AO80" s="790">
        <f t="shared" si="38"/>
        <v>4776</v>
      </c>
      <c r="AP80" s="790">
        <f t="shared" si="39"/>
        <v>5895</v>
      </c>
      <c r="AR80" s="791">
        <f t="shared" si="40"/>
        <v>0.29520405123622284</v>
      </c>
      <c r="AS80" s="791">
        <f t="shared" si="41"/>
        <v>0.19317004239284033</v>
      </c>
      <c r="AT80" s="791">
        <f t="shared" si="42"/>
        <v>0.18982188295165395</v>
      </c>
      <c r="AV80" s="792">
        <v>6655</v>
      </c>
      <c r="AW80" s="792">
        <v>21596</v>
      </c>
      <c r="AX80" s="792">
        <v>6356</v>
      </c>
      <c r="AZ80" s="792">
        <f t="shared" si="43"/>
        <v>1964.5829609770631</v>
      </c>
      <c r="BA80" s="792">
        <f t="shared" si="44"/>
        <v>4171.7002355157802</v>
      </c>
      <c r="BB80" s="792">
        <f t="shared" si="45"/>
        <v>1206.5078880407125</v>
      </c>
      <c r="BC80" s="809">
        <f t="shared" si="46"/>
        <v>7342.7910845335555</v>
      </c>
    </row>
    <row r="81" spans="1:55" s="789" customFormat="1" ht="12" customHeight="1" x14ac:dyDescent="0.25">
      <c r="A81" s="789" t="s">
        <v>194</v>
      </c>
      <c r="B81" s="793" t="s">
        <v>195</v>
      </c>
      <c r="C81" s="806">
        <v>102</v>
      </c>
      <c r="D81" s="790">
        <v>335</v>
      </c>
      <c r="E81" s="790">
        <v>437</v>
      </c>
      <c r="F81" s="790">
        <v>64</v>
      </c>
      <c r="G81" s="790">
        <v>391</v>
      </c>
      <c r="H81" s="790">
        <v>455</v>
      </c>
      <c r="I81" s="790">
        <v>117</v>
      </c>
      <c r="J81" s="790">
        <v>447</v>
      </c>
      <c r="K81" s="790">
        <v>564</v>
      </c>
      <c r="L81" s="790">
        <v>53</v>
      </c>
      <c r="M81" s="790">
        <v>412</v>
      </c>
      <c r="N81" s="790">
        <v>465</v>
      </c>
      <c r="O81" s="790">
        <v>114</v>
      </c>
      <c r="P81" s="790">
        <v>466</v>
      </c>
      <c r="Q81" s="790">
        <v>580</v>
      </c>
      <c r="R81" s="790">
        <v>123</v>
      </c>
      <c r="S81" s="790">
        <v>749</v>
      </c>
      <c r="T81" s="790">
        <v>872</v>
      </c>
      <c r="U81" s="790">
        <v>95</v>
      </c>
      <c r="V81" s="790">
        <v>1198</v>
      </c>
      <c r="W81" s="790">
        <v>1293</v>
      </c>
      <c r="X81" s="790">
        <v>111</v>
      </c>
      <c r="Y81" s="790">
        <v>1160</v>
      </c>
      <c r="Z81" s="790">
        <v>1271</v>
      </c>
      <c r="AA81" s="790">
        <v>46</v>
      </c>
      <c r="AB81" s="790">
        <v>822</v>
      </c>
      <c r="AC81" s="790">
        <v>868</v>
      </c>
      <c r="AD81" s="790">
        <v>111</v>
      </c>
      <c r="AE81" s="790">
        <v>424</v>
      </c>
      <c r="AF81" s="790">
        <v>535</v>
      </c>
      <c r="AH81" s="790">
        <f t="shared" si="31"/>
        <v>283</v>
      </c>
      <c r="AI81" s="790">
        <f t="shared" si="32"/>
        <v>1173</v>
      </c>
      <c r="AJ81" s="790">
        <f t="shared" si="33"/>
        <v>1456</v>
      </c>
      <c r="AK81" s="790">
        <f t="shared" si="34"/>
        <v>496</v>
      </c>
      <c r="AL81" s="790">
        <f t="shared" si="35"/>
        <v>3985</v>
      </c>
      <c r="AM81" s="790">
        <f t="shared" si="36"/>
        <v>4481</v>
      </c>
      <c r="AN81" s="790">
        <f t="shared" si="37"/>
        <v>157</v>
      </c>
      <c r="AO81" s="790">
        <f t="shared" si="38"/>
        <v>1246</v>
      </c>
      <c r="AP81" s="790">
        <f t="shared" si="39"/>
        <v>1403</v>
      </c>
      <c r="AR81" s="791">
        <f t="shared" si="40"/>
        <v>0.19436813186813187</v>
      </c>
      <c r="AS81" s="791">
        <f t="shared" si="41"/>
        <v>0.11068957821914752</v>
      </c>
      <c r="AT81" s="791">
        <f t="shared" si="42"/>
        <v>0.11190306486101212</v>
      </c>
      <c r="AV81" s="792">
        <v>1444</v>
      </c>
      <c r="AW81" s="792">
        <v>4547</v>
      </c>
      <c r="AX81" s="792">
        <v>1453</v>
      </c>
      <c r="AZ81" s="792">
        <f t="shared" si="43"/>
        <v>280.66758241758242</v>
      </c>
      <c r="BA81" s="792">
        <f t="shared" si="44"/>
        <v>503.30551216246374</v>
      </c>
      <c r="BB81" s="792">
        <f t="shared" si="45"/>
        <v>162.59515324305062</v>
      </c>
      <c r="BC81" s="809">
        <f t="shared" si="46"/>
        <v>946.56824782309673</v>
      </c>
    </row>
    <row r="82" spans="1:55" s="789" customFormat="1" ht="12" customHeight="1" x14ac:dyDescent="0.25">
      <c r="A82" s="789" t="s">
        <v>198</v>
      </c>
      <c r="B82" s="793" t="s">
        <v>260</v>
      </c>
      <c r="C82" s="806">
        <v>53</v>
      </c>
      <c r="D82" s="790">
        <v>427</v>
      </c>
      <c r="E82" s="790">
        <v>480</v>
      </c>
      <c r="F82" s="790">
        <v>75</v>
      </c>
      <c r="G82" s="790">
        <v>418</v>
      </c>
      <c r="H82" s="790">
        <v>493</v>
      </c>
      <c r="I82" s="790">
        <v>105</v>
      </c>
      <c r="J82" s="790">
        <v>533</v>
      </c>
      <c r="K82" s="790">
        <v>638</v>
      </c>
      <c r="L82" s="790">
        <v>35</v>
      </c>
      <c r="M82" s="790">
        <v>665</v>
      </c>
      <c r="N82" s="790">
        <v>700</v>
      </c>
      <c r="O82" s="790">
        <v>85</v>
      </c>
      <c r="P82" s="790">
        <v>408</v>
      </c>
      <c r="Q82" s="790">
        <v>493</v>
      </c>
      <c r="R82" s="790">
        <v>142</v>
      </c>
      <c r="S82" s="790">
        <v>1050</v>
      </c>
      <c r="T82" s="790">
        <v>1192</v>
      </c>
      <c r="U82" s="790">
        <v>57</v>
      </c>
      <c r="V82" s="790">
        <v>1217</v>
      </c>
      <c r="W82" s="790">
        <v>1274</v>
      </c>
      <c r="X82" s="790">
        <v>130</v>
      </c>
      <c r="Y82" s="790">
        <v>765</v>
      </c>
      <c r="Z82" s="790">
        <v>895</v>
      </c>
      <c r="AA82" s="790">
        <v>160</v>
      </c>
      <c r="AB82" s="790">
        <v>650</v>
      </c>
      <c r="AC82" s="790">
        <v>810</v>
      </c>
      <c r="AD82" s="790">
        <v>258</v>
      </c>
      <c r="AE82" s="790">
        <v>472</v>
      </c>
      <c r="AF82" s="790">
        <v>730</v>
      </c>
      <c r="AH82" s="790">
        <f t="shared" si="31"/>
        <v>233</v>
      </c>
      <c r="AI82" s="790">
        <f t="shared" si="32"/>
        <v>1378</v>
      </c>
      <c r="AJ82" s="790">
        <f t="shared" si="33"/>
        <v>1611</v>
      </c>
      <c r="AK82" s="790">
        <f t="shared" si="34"/>
        <v>449</v>
      </c>
      <c r="AL82" s="790">
        <f t="shared" si="35"/>
        <v>4105</v>
      </c>
      <c r="AM82" s="790">
        <f t="shared" si="36"/>
        <v>4554</v>
      </c>
      <c r="AN82" s="790">
        <f t="shared" si="37"/>
        <v>418</v>
      </c>
      <c r="AO82" s="790">
        <f t="shared" si="38"/>
        <v>1122</v>
      </c>
      <c r="AP82" s="790">
        <f t="shared" si="39"/>
        <v>1540</v>
      </c>
      <c r="AR82" s="791">
        <f t="shared" si="40"/>
        <v>0.1446306641837368</v>
      </c>
      <c r="AS82" s="791">
        <f t="shared" si="41"/>
        <v>9.8594642072902944E-2</v>
      </c>
      <c r="AT82" s="791">
        <f t="shared" si="42"/>
        <v>0.27142857142857141</v>
      </c>
      <c r="AV82" s="792">
        <v>1554</v>
      </c>
      <c r="AW82" s="792">
        <v>5954</v>
      </c>
      <c r="AX82" s="792">
        <v>1712</v>
      </c>
      <c r="AZ82" s="792">
        <f t="shared" si="43"/>
        <v>224.75605214152699</v>
      </c>
      <c r="BA82" s="792">
        <f t="shared" si="44"/>
        <v>587.03249890206416</v>
      </c>
      <c r="BB82" s="792">
        <f t="shared" si="45"/>
        <v>464.68571428571425</v>
      </c>
      <c r="BC82" s="809">
        <f t="shared" si="46"/>
        <v>1276.4742653293054</v>
      </c>
    </row>
    <row r="83" spans="1:55" s="789" customFormat="1" ht="12" customHeight="1" x14ac:dyDescent="0.25">
      <c r="A83" s="789" t="s">
        <v>202</v>
      </c>
      <c r="B83" s="793" t="s">
        <v>474</v>
      </c>
      <c r="C83" s="806">
        <v>1240</v>
      </c>
      <c r="D83" s="790">
        <v>5996</v>
      </c>
      <c r="E83" s="790">
        <v>7236</v>
      </c>
      <c r="F83" s="790">
        <v>943</v>
      </c>
      <c r="G83" s="790">
        <v>6908</v>
      </c>
      <c r="H83" s="790">
        <v>7851</v>
      </c>
      <c r="I83" s="790">
        <v>889</v>
      </c>
      <c r="J83" s="790">
        <v>8841</v>
      </c>
      <c r="K83" s="790">
        <v>9730</v>
      </c>
      <c r="L83" s="790">
        <v>1557</v>
      </c>
      <c r="M83" s="790">
        <v>6696</v>
      </c>
      <c r="N83" s="790">
        <v>8253</v>
      </c>
      <c r="O83" s="790">
        <v>1238</v>
      </c>
      <c r="P83" s="790">
        <v>10373</v>
      </c>
      <c r="Q83" s="790">
        <v>11611</v>
      </c>
      <c r="R83" s="790">
        <v>982</v>
      </c>
      <c r="S83" s="790">
        <v>14774</v>
      </c>
      <c r="T83" s="790">
        <v>15756</v>
      </c>
      <c r="U83" s="790">
        <v>1219</v>
      </c>
      <c r="V83" s="790">
        <v>16718</v>
      </c>
      <c r="W83" s="790">
        <v>17937</v>
      </c>
      <c r="X83" s="790">
        <v>1140</v>
      </c>
      <c r="Y83" s="790">
        <v>14977</v>
      </c>
      <c r="Z83" s="790">
        <v>16117</v>
      </c>
      <c r="AA83" s="790">
        <v>646</v>
      </c>
      <c r="AB83" s="790">
        <v>9280</v>
      </c>
      <c r="AC83" s="790">
        <v>9926</v>
      </c>
      <c r="AD83" s="790">
        <v>1360</v>
      </c>
      <c r="AE83" s="790">
        <v>7223</v>
      </c>
      <c r="AF83" s="790">
        <v>8583</v>
      </c>
      <c r="AH83" s="790">
        <f t="shared" si="31"/>
        <v>3072</v>
      </c>
      <c r="AI83" s="790">
        <f t="shared" si="32"/>
        <v>21745</v>
      </c>
      <c r="AJ83" s="790">
        <f t="shared" si="33"/>
        <v>24817</v>
      </c>
      <c r="AK83" s="790">
        <f t="shared" si="34"/>
        <v>6136</v>
      </c>
      <c r="AL83" s="790">
        <f t="shared" si="35"/>
        <v>63538</v>
      </c>
      <c r="AM83" s="790">
        <f t="shared" si="36"/>
        <v>69674</v>
      </c>
      <c r="AN83" s="790">
        <f t="shared" si="37"/>
        <v>2006</v>
      </c>
      <c r="AO83" s="790">
        <f t="shared" si="38"/>
        <v>16503</v>
      </c>
      <c r="AP83" s="790">
        <f t="shared" si="39"/>
        <v>18509</v>
      </c>
      <c r="AR83" s="791">
        <f t="shared" si="40"/>
        <v>0.12378611435709393</v>
      </c>
      <c r="AS83" s="791">
        <f t="shared" si="41"/>
        <v>8.8067284783419922E-2</v>
      </c>
      <c r="AT83" s="791">
        <f t="shared" si="42"/>
        <v>0.10837970716948511</v>
      </c>
      <c r="AV83" s="792">
        <v>19743</v>
      </c>
      <c r="AW83" s="792">
        <v>56675</v>
      </c>
      <c r="AX83" s="792">
        <v>16322</v>
      </c>
      <c r="AZ83" s="792">
        <f t="shared" si="43"/>
        <v>2443.9092557521053</v>
      </c>
      <c r="BA83" s="792">
        <f t="shared" si="44"/>
        <v>4991.2133651003242</v>
      </c>
      <c r="BB83" s="792">
        <f t="shared" si="45"/>
        <v>1768.973580420336</v>
      </c>
      <c r="BC83" s="809">
        <f t="shared" si="46"/>
        <v>9204.096201272765</v>
      </c>
    </row>
    <row r="84" spans="1:55" s="789" customFormat="1" ht="12" customHeight="1" x14ac:dyDescent="0.25">
      <c r="A84" s="789" t="s">
        <v>204</v>
      </c>
      <c r="B84" s="793" t="s">
        <v>607</v>
      </c>
      <c r="C84" s="806">
        <v>723</v>
      </c>
      <c r="D84" s="790">
        <v>1551</v>
      </c>
      <c r="E84" s="790">
        <v>2274</v>
      </c>
      <c r="F84" s="790">
        <v>676</v>
      </c>
      <c r="G84" s="790">
        <v>1659</v>
      </c>
      <c r="H84" s="790">
        <v>2335</v>
      </c>
      <c r="I84" s="790">
        <v>414</v>
      </c>
      <c r="J84" s="790">
        <v>1470</v>
      </c>
      <c r="K84" s="790">
        <v>1884</v>
      </c>
      <c r="L84" s="790">
        <v>1105</v>
      </c>
      <c r="M84" s="790">
        <v>1673</v>
      </c>
      <c r="N84" s="790">
        <v>2778</v>
      </c>
      <c r="O84" s="790">
        <v>639</v>
      </c>
      <c r="P84" s="790">
        <v>2323</v>
      </c>
      <c r="Q84" s="790">
        <v>2962</v>
      </c>
      <c r="R84" s="790">
        <v>754</v>
      </c>
      <c r="S84" s="790">
        <v>3288</v>
      </c>
      <c r="T84" s="790">
        <v>4042</v>
      </c>
      <c r="U84" s="790">
        <v>685</v>
      </c>
      <c r="V84" s="790">
        <v>3909</v>
      </c>
      <c r="W84" s="790">
        <v>4594</v>
      </c>
      <c r="X84" s="790">
        <v>540</v>
      </c>
      <c r="Y84" s="790">
        <v>4148</v>
      </c>
      <c r="Z84" s="790">
        <v>4688</v>
      </c>
      <c r="AA84" s="790">
        <v>601</v>
      </c>
      <c r="AB84" s="790">
        <v>3012</v>
      </c>
      <c r="AC84" s="790">
        <v>3613</v>
      </c>
      <c r="AD84" s="790">
        <v>687</v>
      </c>
      <c r="AE84" s="790">
        <v>2024</v>
      </c>
      <c r="AF84" s="790">
        <v>2711</v>
      </c>
      <c r="AH84" s="790">
        <f t="shared" si="31"/>
        <v>1813</v>
      </c>
      <c r="AI84" s="790">
        <f t="shared" si="32"/>
        <v>4680</v>
      </c>
      <c r="AJ84" s="790">
        <f t="shared" si="33"/>
        <v>6493</v>
      </c>
      <c r="AK84" s="790">
        <f t="shared" si="34"/>
        <v>3723</v>
      </c>
      <c r="AL84" s="790">
        <f t="shared" si="35"/>
        <v>15341</v>
      </c>
      <c r="AM84" s="790">
        <f t="shared" si="36"/>
        <v>19064</v>
      </c>
      <c r="AN84" s="790">
        <f t="shared" si="37"/>
        <v>1288</v>
      </c>
      <c r="AO84" s="790">
        <f t="shared" si="38"/>
        <v>5036</v>
      </c>
      <c r="AP84" s="790">
        <f t="shared" si="39"/>
        <v>6324</v>
      </c>
      <c r="AR84" s="791">
        <f t="shared" si="40"/>
        <v>0.27922377945479748</v>
      </c>
      <c r="AS84" s="791">
        <f t="shared" si="41"/>
        <v>0.19528955098615192</v>
      </c>
      <c r="AT84" s="791">
        <f t="shared" si="42"/>
        <v>0.2036685641998735</v>
      </c>
      <c r="AV84" s="792">
        <v>4201</v>
      </c>
      <c r="AW84" s="792">
        <v>13443</v>
      </c>
      <c r="AX84" s="792">
        <v>4731</v>
      </c>
      <c r="AZ84" s="792">
        <f t="shared" si="43"/>
        <v>1173.0190974896043</v>
      </c>
      <c r="BA84" s="792">
        <f t="shared" si="44"/>
        <v>2625.2774339068401</v>
      </c>
      <c r="BB84" s="792">
        <f t="shared" si="45"/>
        <v>963.55597722960158</v>
      </c>
      <c r="BC84" s="809">
        <f t="shared" si="46"/>
        <v>4761.8525086260461</v>
      </c>
    </row>
    <row r="85" spans="1:55" s="789" customFormat="1" ht="12" customHeight="1" x14ac:dyDescent="0.25">
      <c r="A85" s="789" t="s">
        <v>206</v>
      </c>
      <c r="B85" s="793" t="s">
        <v>608</v>
      </c>
      <c r="C85" s="806">
        <v>2191</v>
      </c>
      <c r="D85" s="790">
        <v>6084</v>
      </c>
      <c r="E85" s="790">
        <v>8275</v>
      </c>
      <c r="F85" s="790">
        <v>1432</v>
      </c>
      <c r="G85" s="790">
        <v>6692</v>
      </c>
      <c r="H85" s="790">
        <v>8124</v>
      </c>
      <c r="I85" s="790">
        <v>1700</v>
      </c>
      <c r="J85" s="790">
        <v>6706</v>
      </c>
      <c r="K85" s="790">
        <v>8406</v>
      </c>
      <c r="L85" s="790">
        <v>10196</v>
      </c>
      <c r="M85" s="790">
        <v>8392</v>
      </c>
      <c r="N85" s="790">
        <v>18588</v>
      </c>
      <c r="O85" s="790">
        <v>2537</v>
      </c>
      <c r="P85" s="790">
        <v>11602</v>
      </c>
      <c r="Q85" s="790">
        <v>14139</v>
      </c>
      <c r="R85" s="790">
        <v>1881</v>
      </c>
      <c r="S85" s="790">
        <v>11766</v>
      </c>
      <c r="T85" s="790">
        <v>13647</v>
      </c>
      <c r="U85" s="790">
        <v>1509</v>
      </c>
      <c r="V85" s="790">
        <v>14016</v>
      </c>
      <c r="W85" s="790">
        <v>15525</v>
      </c>
      <c r="X85" s="790">
        <v>1219</v>
      </c>
      <c r="Y85" s="790">
        <v>11219</v>
      </c>
      <c r="Z85" s="790">
        <v>12438</v>
      </c>
      <c r="AA85" s="790">
        <v>811</v>
      </c>
      <c r="AB85" s="790">
        <v>7069</v>
      </c>
      <c r="AC85" s="790">
        <v>7880</v>
      </c>
      <c r="AD85" s="790">
        <v>1508</v>
      </c>
      <c r="AE85" s="790">
        <v>5632</v>
      </c>
      <c r="AF85" s="790">
        <v>7140</v>
      </c>
      <c r="AH85" s="790">
        <f t="shared" si="31"/>
        <v>5323</v>
      </c>
      <c r="AI85" s="790">
        <f t="shared" si="32"/>
        <v>19482</v>
      </c>
      <c r="AJ85" s="790">
        <f t="shared" si="33"/>
        <v>24805</v>
      </c>
      <c r="AK85" s="790">
        <f t="shared" si="34"/>
        <v>17342</v>
      </c>
      <c r="AL85" s="790">
        <f t="shared" si="35"/>
        <v>56995</v>
      </c>
      <c r="AM85" s="790">
        <f t="shared" si="36"/>
        <v>74337</v>
      </c>
      <c r="AN85" s="790">
        <f t="shared" si="37"/>
        <v>2319</v>
      </c>
      <c r="AO85" s="790">
        <f t="shared" si="38"/>
        <v>12701</v>
      </c>
      <c r="AP85" s="790">
        <f t="shared" si="39"/>
        <v>15020</v>
      </c>
      <c r="AR85" s="791">
        <f t="shared" si="40"/>
        <v>0.2145938318887321</v>
      </c>
      <c r="AS85" s="791">
        <f t="shared" si="41"/>
        <v>0.23328894090426033</v>
      </c>
      <c r="AT85" s="791">
        <f t="shared" si="42"/>
        <v>0.1543941411451398</v>
      </c>
      <c r="AV85" s="792">
        <v>17860</v>
      </c>
      <c r="AW85" s="792">
        <v>46626</v>
      </c>
      <c r="AX85" s="792">
        <v>12103</v>
      </c>
      <c r="AZ85" s="792">
        <f t="shared" si="43"/>
        <v>3832.6458375327552</v>
      </c>
      <c r="BA85" s="792">
        <f t="shared" si="44"/>
        <v>10877.330158602043</v>
      </c>
      <c r="BB85" s="792">
        <f t="shared" si="45"/>
        <v>1868.6322902796271</v>
      </c>
      <c r="BC85" s="809">
        <f t="shared" si="46"/>
        <v>16578.608286414423</v>
      </c>
    </row>
    <row r="86" spans="1:55" s="789" customFormat="1" ht="12" customHeight="1" x14ac:dyDescent="0.25">
      <c r="A86" s="789" t="s">
        <v>208</v>
      </c>
      <c r="B86" s="793" t="s">
        <v>384</v>
      </c>
      <c r="C86" s="806">
        <v>613</v>
      </c>
      <c r="D86" s="790">
        <v>1232</v>
      </c>
      <c r="E86" s="790">
        <v>1845</v>
      </c>
      <c r="F86" s="790">
        <v>644</v>
      </c>
      <c r="G86" s="790">
        <v>1403</v>
      </c>
      <c r="H86" s="790">
        <v>2047</v>
      </c>
      <c r="I86" s="790">
        <v>557</v>
      </c>
      <c r="J86" s="790">
        <v>1357</v>
      </c>
      <c r="K86" s="790">
        <v>1914</v>
      </c>
      <c r="L86" s="790">
        <v>722</v>
      </c>
      <c r="M86" s="790">
        <v>1437</v>
      </c>
      <c r="N86" s="790">
        <v>2159</v>
      </c>
      <c r="O86" s="790">
        <v>698</v>
      </c>
      <c r="P86" s="790">
        <v>2611</v>
      </c>
      <c r="Q86" s="790">
        <v>3309</v>
      </c>
      <c r="R86" s="790">
        <v>1019</v>
      </c>
      <c r="S86" s="790">
        <v>2806</v>
      </c>
      <c r="T86" s="790">
        <v>3825</v>
      </c>
      <c r="U86" s="790">
        <v>1186</v>
      </c>
      <c r="V86" s="790">
        <v>3528</v>
      </c>
      <c r="W86" s="790">
        <v>4714</v>
      </c>
      <c r="X86" s="790">
        <v>937</v>
      </c>
      <c r="Y86" s="790">
        <v>3200</v>
      </c>
      <c r="Z86" s="790">
        <v>4137</v>
      </c>
      <c r="AA86" s="790">
        <v>674</v>
      </c>
      <c r="AB86" s="790">
        <v>2029</v>
      </c>
      <c r="AC86" s="790">
        <v>2703</v>
      </c>
      <c r="AD86" s="790">
        <v>542</v>
      </c>
      <c r="AE86" s="790">
        <v>1357</v>
      </c>
      <c r="AF86" s="790">
        <v>1899</v>
      </c>
      <c r="AH86" s="790">
        <f t="shared" si="31"/>
        <v>1814</v>
      </c>
      <c r="AI86" s="790">
        <f t="shared" si="32"/>
        <v>3992</v>
      </c>
      <c r="AJ86" s="790">
        <f t="shared" si="33"/>
        <v>5806</v>
      </c>
      <c r="AK86" s="790">
        <f t="shared" si="34"/>
        <v>4562</v>
      </c>
      <c r="AL86" s="790">
        <f t="shared" si="35"/>
        <v>13582</v>
      </c>
      <c r="AM86" s="790">
        <f t="shared" si="36"/>
        <v>18144</v>
      </c>
      <c r="AN86" s="790">
        <f t="shared" si="37"/>
        <v>1216</v>
      </c>
      <c r="AO86" s="790">
        <f t="shared" si="38"/>
        <v>3386</v>
      </c>
      <c r="AP86" s="790">
        <f t="shared" si="39"/>
        <v>4602</v>
      </c>
      <c r="AR86" s="791">
        <f t="shared" si="40"/>
        <v>0.31243541164312782</v>
      </c>
      <c r="AS86" s="791">
        <f t="shared" si="41"/>
        <v>0.25143298059964725</v>
      </c>
      <c r="AT86" s="791">
        <f t="shared" si="42"/>
        <v>0.26423294219904392</v>
      </c>
      <c r="AV86" s="792">
        <v>5752</v>
      </c>
      <c r="AW86" s="792">
        <v>18169</v>
      </c>
      <c r="AX86" s="792">
        <v>4828</v>
      </c>
      <c r="AZ86" s="792">
        <f t="shared" si="43"/>
        <v>1797.1284877712712</v>
      </c>
      <c r="BA86" s="792">
        <f t="shared" si="44"/>
        <v>4568.285824514991</v>
      </c>
      <c r="BB86" s="792">
        <f t="shared" si="45"/>
        <v>1275.716644936984</v>
      </c>
      <c r="BC86" s="809">
        <f t="shared" si="46"/>
        <v>7641.1309572232467</v>
      </c>
    </row>
    <row r="87" spans="1:55" s="789" customFormat="1" ht="12" customHeight="1" x14ac:dyDescent="0.25">
      <c r="A87" s="789" t="s">
        <v>210</v>
      </c>
      <c r="B87" s="793" t="s">
        <v>385</v>
      </c>
      <c r="C87" s="806">
        <v>347</v>
      </c>
      <c r="D87" s="790">
        <v>1008</v>
      </c>
      <c r="E87" s="790">
        <v>1355</v>
      </c>
      <c r="F87" s="790">
        <v>328</v>
      </c>
      <c r="G87" s="790">
        <v>1108</v>
      </c>
      <c r="H87" s="790">
        <v>1436</v>
      </c>
      <c r="I87" s="790">
        <v>343</v>
      </c>
      <c r="J87" s="790">
        <v>1284</v>
      </c>
      <c r="K87" s="790">
        <v>1627</v>
      </c>
      <c r="L87" s="790">
        <v>458</v>
      </c>
      <c r="M87" s="790">
        <v>1160</v>
      </c>
      <c r="N87" s="790">
        <v>1618</v>
      </c>
      <c r="O87" s="790">
        <v>605</v>
      </c>
      <c r="P87" s="790">
        <v>1841</v>
      </c>
      <c r="Q87" s="790">
        <v>2446</v>
      </c>
      <c r="R87" s="790">
        <v>612</v>
      </c>
      <c r="S87" s="790">
        <v>2486</v>
      </c>
      <c r="T87" s="790">
        <v>3098</v>
      </c>
      <c r="U87" s="790">
        <v>604</v>
      </c>
      <c r="V87" s="790">
        <v>2869</v>
      </c>
      <c r="W87" s="790">
        <v>3473</v>
      </c>
      <c r="X87" s="790">
        <v>746</v>
      </c>
      <c r="Y87" s="790">
        <v>2601</v>
      </c>
      <c r="Z87" s="790">
        <v>3347</v>
      </c>
      <c r="AA87" s="790">
        <v>596</v>
      </c>
      <c r="AB87" s="790">
        <v>1913</v>
      </c>
      <c r="AC87" s="790">
        <v>2509</v>
      </c>
      <c r="AD87" s="790">
        <v>662</v>
      </c>
      <c r="AE87" s="790">
        <v>1247</v>
      </c>
      <c r="AF87" s="790">
        <v>1909</v>
      </c>
      <c r="AH87" s="790">
        <f t="shared" si="31"/>
        <v>1018</v>
      </c>
      <c r="AI87" s="790">
        <f t="shared" si="32"/>
        <v>3400</v>
      </c>
      <c r="AJ87" s="790">
        <f t="shared" si="33"/>
        <v>4418</v>
      </c>
      <c r="AK87" s="790">
        <f t="shared" si="34"/>
        <v>3025</v>
      </c>
      <c r="AL87" s="790">
        <f t="shared" si="35"/>
        <v>10957</v>
      </c>
      <c r="AM87" s="790">
        <f t="shared" si="36"/>
        <v>13982</v>
      </c>
      <c r="AN87" s="790">
        <f t="shared" si="37"/>
        <v>1258</v>
      </c>
      <c r="AO87" s="790">
        <f t="shared" si="38"/>
        <v>3160</v>
      </c>
      <c r="AP87" s="790">
        <f t="shared" si="39"/>
        <v>4418</v>
      </c>
      <c r="AR87" s="791">
        <f t="shared" si="40"/>
        <v>0.23042100497962878</v>
      </c>
      <c r="AS87" s="791">
        <f t="shared" si="41"/>
        <v>0.21634959233299958</v>
      </c>
      <c r="AT87" s="791">
        <f t="shared" si="42"/>
        <v>0.28474422815753736</v>
      </c>
      <c r="AV87" s="792">
        <v>4391</v>
      </c>
      <c r="AW87" s="792">
        <v>13918</v>
      </c>
      <c r="AX87" s="792">
        <v>4817</v>
      </c>
      <c r="AZ87" s="792">
        <f t="shared" si="43"/>
        <v>1011.77863286555</v>
      </c>
      <c r="BA87" s="792">
        <f t="shared" si="44"/>
        <v>3011.1536260906882</v>
      </c>
      <c r="BB87" s="792">
        <f t="shared" si="45"/>
        <v>1371.6129470348574</v>
      </c>
      <c r="BC87" s="809">
        <f t="shared" si="46"/>
        <v>5394.5452059910949</v>
      </c>
    </row>
    <row r="88" spans="1:55" s="789" customFormat="1" ht="12" customHeight="1" x14ac:dyDescent="0.25">
      <c r="A88" s="789" t="s">
        <v>212</v>
      </c>
      <c r="B88" s="793" t="s">
        <v>386</v>
      </c>
      <c r="C88" s="806">
        <v>587</v>
      </c>
      <c r="D88" s="790">
        <v>2303</v>
      </c>
      <c r="E88" s="790">
        <v>2890</v>
      </c>
      <c r="F88" s="790">
        <v>602</v>
      </c>
      <c r="G88" s="790">
        <v>2346</v>
      </c>
      <c r="H88" s="790">
        <v>2948</v>
      </c>
      <c r="I88" s="790">
        <v>913</v>
      </c>
      <c r="J88" s="790">
        <v>2337</v>
      </c>
      <c r="K88" s="790">
        <v>3250</v>
      </c>
      <c r="L88" s="790">
        <v>616</v>
      </c>
      <c r="M88" s="790">
        <v>2407</v>
      </c>
      <c r="N88" s="790">
        <v>3023</v>
      </c>
      <c r="O88" s="790">
        <v>682</v>
      </c>
      <c r="P88" s="790">
        <v>3755</v>
      </c>
      <c r="Q88" s="790">
        <v>4437</v>
      </c>
      <c r="R88" s="790">
        <v>762</v>
      </c>
      <c r="S88" s="790">
        <v>4732</v>
      </c>
      <c r="T88" s="790">
        <v>5494</v>
      </c>
      <c r="U88" s="790">
        <v>853</v>
      </c>
      <c r="V88" s="790">
        <v>5309</v>
      </c>
      <c r="W88" s="790">
        <v>6162</v>
      </c>
      <c r="X88" s="790">
        <v>672</v>
      </c>
      <c r="Y88" s="790">
        <v>4995</v>
      </c>
      <c r="Z88" s="790">
        <v>5667</v>
      </c>
      <c r="AA88" s="790">
        <v>454</v>
      </c>
      <c r="AB88" s="790">
        <v>3704</v>
      </c>
      <c r="AC88" s="790">
        <v>4158</v>
      </c>
      <c r="AD88" s="790">
        <v>610</v>
      </c>
      <c r="AE88" s="790">
        <v>2687</v>
      </c>
      <c r="AF88" s="790">
        <v>3297</v>
      </c>
      <c r="AH88" s="790">
        <f t="shared" si="31"/>
        <v>2102</v>
      </c>
      <c r="AI88" s="790">
        <f t="shared" si="32"/>
        <v>6986</v>
      </c>
      <c r="AJ88" s="790">
        <f t="shared" si="33"/>
        <v>9088</v>
      </c>
      <c r="AK88" s="790">
        <f t="shared" si="34"/>
        <v>3585</v>
      </c>
      <c r="AL88" s="790">
        <f t="shared" si="35"/>
        <v>21198</v>
      </c>
      <c r="AM88" s="790">
        <f t="shared" si="36"/>
        <v>24783</v>
      </c>
      <c r="AN88" s="790">
        <f t="shared" si="37"/>
        <v>1064</v>
      </c>
      <c r="AO88" s="790">
        <f t="shared" si="38"/>
        <v>6391</v>
      </c>
      <c r="AP88" s="790">
        <f t="shared" si="39"/>
        <v>7455</v>
      </c>
      <c r="AR88" s="791">
        <f t="shared" si="40"/>
        <v>0.23129401408450703</v>
      </c>
      <c r="AS88" s="791">
        <f t="shared" si="41"/>
        <v>0.14465561070088367</v>
      </c>
      <c r="AT88" s="791">
        <f t="shared" si="42"/>
        <v>0.14272300469483568</v>
      </c>
      <c r="AV88" s="792">
        <v>9208</v>
      </c>
      <c r="AW88" s="792">
        <v>25035</v>
      </c>
      <c r="AX88" s="792">
        <v>8046</v>
      </c>
      <c r="AZ88" s="792">
        <f t="shared" si="43"/>
        <v>2129.7552816901407</v>
      </c>
      <c r="BA88" s="792">
        <f t="shared" si="44"/>
        <v>3621.4532138966229</v>
      </c>
      <c r="BB88" s="792">
        <f t="shared" si="45"/>
        <v>1148.3492957746478</v>
      </c>
      <c r="BC88" s="809">
        <f t="shared" si="46"/>
        <v>6899.5577913614106</v>
      </c>
    </row>
    <row r="89" spans="1:55" s="789" customFormat="1" ht="12" customHeight="1" x14ac:dyDescent="0.25">
      <c r="A89" s="789" t="s">
        <v>214</v>
      </c>
      <c r="B89" s="793" t="s">
        <v>387</v>
      </c>
      <c r="C89" s="806">
        <v>1131</v>
      </c>
      <c r="D89" s="790">
        <v>993</v>
      </c>
      <c r="E89" s="790">
        <v>2124</v>
      </c>
      <c r="F89" s="790">
        <v>773</v>
      </c>
      <c r="G89" s="790">
        <v>1458</v>
      </c>
      <c r="H89" s="790">
        <v>2231</v>
      </c>
      <c r="I89" s="790">
        <v>610</v>
      </c>
      <c r="J89" s="790">
        <v>1678</v>
      </c>
      <c r="K89" s="790">
        <v>2288</v>
      </c>
      <c r="L89" s="790">
        <v>680</v>
      </c>
      <c r="M89" s="790">
        <v>1793</v>
      </c>
      <c r="N89" s="790">
        <v>2473</v>
      </c>
      <c r="O89" s="790">
        <v>1005</v>
      </c>
      <c r="P89" s="790">
        <v>2390</v>
      </c>
      <c r="Q89" s="790">
        <v>3395</v>
      </c>
      <c r="R89" s="790">
        <v>1083</v>
      </c>
      <c r="S89" s="790">
        <v>3213</v>
      </c>
      <c r="T89" s="790">
        <v>4296</v>
      </c>
      <c r="U89" s="790">
        <v>813</v>
      </c>
      <c r="V89" s="790">
        <v>3880</v>
      </c>
      <c r="W89" s="790">
        <v>4693</v>
      </c>
      <c r="X89" s="790">
        <v>709</v>
      </c>
      <c r="Y89" s="790">
        <v>3775</v>
      </c>
      <c r="Z89" s="790">
        <v>4484</v>
      </c>
      <c r="AA89" s="790">
        <v>480</v>
      </c>
      <c r="AB89" s="790">
        <v>2660</v>
      </c>
      <c r="AC89" s="790">
        <v>3140</v>
      </c>
      <c r="AD89" s="790">
        <v>655</v>
      </c>
      <c r="AE89" s="790">
        <v>1789</v>
      </c>
      <c r="AF89" s="790">
        <v>2444</v>
      </c>
      <c r="AH89" s="790">
        <f t="shared" si="31"/>
        <v>2514</v>
      </c>
      <c r="AI89" s="790">
        <f t="shared" si="32"/>
        <v>4129</v>
      </c>
      <c r="AJ89" s="790">
        <f t="shared" si="33"/>
        <v>6643</v>
      </c>
      <c r="AK89" s="790">
        <f t="shared" si="34"/>
        <v>4290</v>
      </c>
      <c r="AL89" s="790">
        <f t="shared" si="35"/>
        <v>15051</v>
      </c>
      <c r="AM89" s="790">
        <f t="shared" si="36"/>
        <v>19341</v>
      </c>
      <c r="AN89" s="790">
        <f t="shared" si="37"/>
        <v>1135</v>
      </c>
      <c r="AO89" s="790">
        <f t="shared" si="38"/>
        <v>4449</v>
      </c>
      <c r="AP89" s="790">
        <f t="shared" si="39"/>
        <v>5584</v>
      </c>
      <c r="AR89" s="791">
        <f t="shared" si="40"/>
        <v>0.37844347433388531</v>
      </c>
      <c r="AS89" s="791">
        <f t="shared" si="41"/>
        <v>0.22180859314409804</v>
      </c>
      <c r="AT89" s="791">
        <f t="shared" si="42"/>
        <v>0.2032593123209169</v>
      </c>
      <c r="AV89" s="792">
        <v>6500</v>
      </c>
      <c r="AW89" s="792">
        <v>19584</v>
      </c>
      <c r="AX89" s="792">
        <v>5945</v>
      </c>
      <c r="AZ89" s="792">
        <f t="shared" si="43"/>
        <v>2459.8825831702543</v>
      </c>
      <c r="BA89" s="792">
        <f t="shared" si="44"/>
        <v>4343.8994881340159</v>
      </c>
      <c r="BB89" s="792">
        <f t="shared" si="45"/>
        <v>1208.376611747851</v>
      </c>
      <c r="BC89" s="809">
        <f t="shared" si="46"/>
        <v>8012.158683052121</v>
      </c>
    </row>
    <row r="90" spans="1:55" s="789" customFormat="1" ht="12" customHeight="1" x14ac:dyDescent="0.25">
      <c r="A90" s="789" t="s">
        <v>216</v>
      </c>
      <c r="B90" s="793" t="s">
        <v>388</v>
      </c>
      <c r="C90" s="806">
        <v>338</v>
      </c>
      <c r="D90" s="790">
        <v>807</v>
      </c>
      <c r="E90" s="790">
        <v>1145</v>
      </c>
      <c r="F90" s="790">
        <v>349</v>
      </c>
      <c r="G90" s="790">
        <v>901</v>
      </c>
      <c r="H90" s="790">
        <v>1250</v>
      </c>
      <c r="I90" s="790">
        <v>318</v>
      </c>
      <c r="J90" s="790">
        <v>1150</v>
      </c>
      <c r="K90" s="790">
        <v>1468</v>
      </c>
      <c r="L90" s="790">
        <v>377</v>
      </c>
      <c r="M90" s="790">
        <v>1008</v>
      </c>
      <c r="N90" s="790">
        <v>1385</v>
      </c>
      <c r="O90" s="790">
        <v>325</v>
      </c>
      <c r="P90" s="790">
        <v>1367</v>
      </c>
      <c r="Q90" s="790">
        <v>1692</v>
      </c>
      <c r="R90" s="790">
        <v>279</v>
      </c>
      <c r="S90" s="790">
        <v>1964</v>
      </c>
      <c r="T90" s="790">
        <v>2243</v>
      </c>
      <c r="U90" s="790">
        <v>511</v>
      </c>
      <c r="V90" s="790">
        <v>2503</v>
      </c>
      <c r="W90" s="790">
        <v>3014</v>
      </c>
      <c r="X90" s="790">
        <v>445</v>
      </c>
      <c r="Y90" s="790">
        <v>1950</v>
      </c>
      <c r="Z90" s="790">
        <v>2395</v>
      </c>
      <c r="AA90" s="790">
        <v>264</v>
      </c>
      <c r="AB90" s="790">
        <v>1204</v>
      </c>
      <c r="AC90" s="790">
        <v>1468</v>
      </c>
      <c r="AD90" s="790">
        <v>241</v>
      </c>
      <c r="AE90" s="790">
        <v>817</v>
      </c>
      <c r="AF90" s="790">
        <v>1058</v>
      </c>
      <c r="AH90" s="790">
        <f t="shared" si="31"/>
        <v>1005</v>
      </c>
      <c r="AI90" s="790">
        <f t="shared" si="32"/>
        <v>2858</v>
      </c>
      <c r="AJ90" s="790">
        <f t="shared" si="33"/>
        <v>3863</v>
      </c>
      <c r="AK90" s="790">
        <f t="shared" si="34"/>
        <v>1937</v>
      </c>
      <c r="AL90" s="790">
        <f t="shared" si="35"/>
        <v>8792</v>
      </c>
      <c r="AM90" s="790">
        <f t="shared" si="36"/>
        <v>10729</v>
      </c>
      <c r="AN90" s="790">
        <f t="shared" si="37"/>
        <v>505</v>
      </c>
      <c r="AO90" s="790">
        <f t="shared" si="38"/>
        <v>2021</v>
      </c>
      <c r="AP90" s="790">
        <f t="shared" si="39"/>
        <v>2526</v>
      </c>
      <c r="AR90" s="791">
        <f t="shared" si="40"/>
        <v>0.26016049702303906</v>
      </c>
      <c r="AS90" s="791">
        <f t="shared" si="41"/>
        <v>0.18053872681517383</v>
      </c>
      <c r="AT90" s="791">
        <f t="shared" si="42"/>
        <v>0.19992082343626286</v>
      </c>
      <c r="AV90" s="792">
        <v>3801</v>
      </c>
      <c r="AW90" s="792">
        <v>11695</v>
      </c>
      <c r="AX90" s="792">
        <v>2912</v>
      </c>
      <c r="AZ90" s="792">
        <f t="shared" si="43"/>
        <v>988.87004918457149</v>
      </c>
      <c r="BA90" s="792">
        <f t="shared" si="44"/>
        <v>2111.4004101034579</v>
      </c>
      <c r="BB90" s="792">
        <f t="shared" si="45"/>
        <v>582.16943784639739</v>
      </c>
      <c r="BC90" s="809">
        <f t="shared" si="46"/>
        <v>3682.4398971344272</v>
      </c>
    </row>
    <row r="91" spans="1:55" s="789" customFormat="1" ht="12" customHeight="1" x14ac:dyDescent="0.25">
      <c r="A91" s="789" t="s">
        <v>218</v>
      </c>
      <c r="B91" s="793" t="s">
        <v>389</v>
      </c>
      <c r="C91" s="806">
        <v>1668</v>
      </c>
      <c r="D91" s="790">
        <v>8338</v>
      </c>
      <c r="E91" s="790">
        <v>10006</v>
      </c>
      <c r="F91" s="790">
        <v>1762</v>
      </c>
      <c r="G91" s="790">
        <v>10110</v>
      </c>
      <c r="H91" s="790">
        <v>11872</v>
      </c>
      <c r="I91" s="790">
        <v>1161</v>
      </c>
      <c r="J91" s="790">
        <v>10827</v>
      </c>
      <c r="K91" s="790">
        <v>11988</v>
      </c>
      <c r="L91" s="790">
        <v>1369</v>
      </c>
      <c r="M91" s="790">
        <v>8638</v>
      </c>
      <c r="N91" s="790">
        <v>10007</v>
      </c>
      <c r="O91" s="790">
        <v>1558</v>
      </c>
      <c r="P91" s="790">
        <v>13330</v>
      </c>
      <c r="Q91" s="790">
        <v>14888</v>
      </c>
      <c r="R91" s="790">
        <v>1836</v>
      </c>
      <c r="S91" s="790">
        <v>16893</v>
      </c>
      <c r="T91" s="790">
        <v>18729</v>
      </c>
      <c r="U91" s="790">
        <v>1024</v>
      </c>
      <c r="V91" s="790">
        <v>17992</v>
      </c>
      <c r="W91" s="790">
        <v>19016</v>
      </c>
      <c r="X91" s="790">
        <v>673</v>
      </c>
      <c r="Y91" s="790">
        <v>12419</v>
      </c>
      <c r="Z91" s="790">
        <v>13092</v>
      </c>
      <c r="AA91" s="790">
        <v>651</v>
      </c>
      <c r="AB91" s="790">
        <v>6102</v>
      </c>
      <c r="AC91" s="790">
        <v>6753</v>
      </c>
      <c r="AD91" s="790">
        <v>626</v>
      </c>
      <c r="AE91" s="790">
        <v>3906</v>
      </c>
      <c r="AF91" s="790">
        <v>4532</v>
      </c>
      <c r="AH91" s="790">
        <f t="shared" si="31"/>
        <v>4591</v>
      </c>
      <c r="AI91" s="790">
        <f t="shared" si="32"/>
        <v>29275</v>
      </c>
      <c r="AJ91" s="790">
        <f t="shared" si="33"/>
        <v>33866</v>
      </c>
      <c r="AK91" s="790">
        <f t="shared" si="34"/>
        <v>6460</v>
      </c>
      <c r="AL91" s="790">
        <f t="shared" si="35"/>
        <v>69272</v>
      </c>
      <c r="AM91" s="790">
        <f t="shared" si="36"/>
        <v>75732</v>
      </c>
      <c r="AN91" s="790">
        <f t="shared" si="37"/>
        <v>1277</v>
      </c>
      <c r="AO91" s="790">
        <f t="shared" si="38"/>
        <v>10008</v>
      </c>
      <c r="AP91" s="790">
        <f t="shared" si="39"/>
        <v>11285</v>
      </c>
      <c r="AR91" s="791">
        <f t="shared" si="40"/>
        <v>0.13556369219866532</v>
      </c>
      <c r="AS91" s="791">
        <f t="shared" si="41"/>
        <v>8.5300797549252627E-2</v>
      </c>
      <c r="AT91" s="791">
        <f t="shared" si="42"/>
        <v>0.11315906070004431</v>
      </c>
      <c r="AV91" s="792">
        <v>33455</v>
      </c>
      <c r="AW91" s="792">
        <v>78126</v>
      </c>
      <c r="AX91" s="792">
        <v>12746</v>
      </c>
      <c r="AZ91" s="792">
        <f t="shared" si="43"/>
        <v>4535.2833225063487</v>
      </c>
      <c r="BA91" s="792">
        <f t="shared" si="44"/>
        <v>6664.2101093329111</v>
      </c>
      <c r="BB91" s="792">
        <f t="shared" si="45"/>
        <v>1442.3253876827648</v>
      </c>
      <c r="BC91" s="809">
        <f t="shared" si="46"/>
        <v>12641.818819522025</v>
      </c>
    </row>
    <row r="92" spans="1:55" s="789" customFormat="1" ht="12" customHeight="1" x14ac:dyDescent="0.25">
      <c r="A92" s="789" t="s">
        <v>220</v>
      </c>
      <c r="B92" s="793" t="s">
        <v>390</v>
      </c>
      <c r="C92" s="806">
        <v>907</v>
      </c>
      <c r="D92" s="790">
        <v>9626</v>
      </c>
      <c r="E92" s="790">
        <v>10533</v>
      </c>
      <c r="F92" s="790">
        <v>894</v>
      </c>
      <c r="G92" s="790">
        <v>10972</v>
      </c>
      <c r="H92" s="790">
        <v>11866</v>
      </c>
      <c r="I92" s="790">
        <v>870</v>
      </c>
      <c r="J92" s="790">
        <v>13416</v>
      </c>
      <c r="K92" s="790">
        <v>14286</v>
      </c>
      <c r="L92" s="790">
        <v>970</v>
      </c>
      <c r="M92" s="790">
        <v>9634</v>
      </c>
      <c r="N92" s="790">
        <v>10604</v>
      </c>
      <c r="O92" s="790">
        <v>781</v>
      </c>
      <c r="P92" s="790">
        <v>13828</v>
      </c>
      <c r="Q92" s="790">
        <v>14609</v>
      </c>
      <c r="R92" s="790">
        <v>888</v>
      </c>
      <c r="S92" s="790">
        <v>19251</v>
      </c>
      <c r="T92" s="790">
        <v>20139</v>
      </c>
      <c r="U92" s="790">
        <v>662</v>
      </c>
      <c r="V92" s="790">
        <v>20157</v>
      </c>
      <c r="W92" s="790">
        <v>20819</v>
      </c>
      <c r="X92" s="790">
        <v>491</v>
      </c>
      <c r="Y92" s="790">
        <v>11560</v>
      </c>
      <c r="Z92" s="790">
        <v>12051</v>
      </c>
      <c r="AA92" s="790">
        <v>312</v>
      </c>
      <c r="AB92" s="790">
        <v>5380</v>
      </c>
      <c r="AC92" s="790">
        <v>5692</v>
      </c>
      <c r="AD92" s="790">
        <v>326</v>
      </c>
      <c r="AE92" s="790">
        <v>2891</v>
      </c>
      <c r="AF92" s="790">
        <v>3217</v>
      </c>
      <c r="AH92" s="790">
        <f t="shared" si="31"/>
        <v>2671</v>
      </c>
      <c r="AI92" s="790">
        <f t="shared" si="32"/>
        <v>34014</v>
      </c>
      <c r="AJ92" s="790">
        <f t="shared" si="33"/>
        <v>36685</v>
      </c>
      <c r="AK92" s="790">
        <f t="shared" si="34"/>
        <v>3792</v>
      </c>
      <c r="AL92" s="790">
        <f t="shared" si="35"/>
        <v>74430</v>
      </c>
      <c r="AM92" s="790">
        <f t="shared" si="36"/>
        <v>78222</v>
      </c>
      <c r="AN92" s="790">
        <f t="shared" si="37"/>
        <v>638</v>
      </c>
      <c r="AO92" s="790">
        <f t="shared" si="38"/>
        <v>8271</v>
      </c>
      <c r="AP92" s="790">
        <f t="shared" si="39"/>
        <v>8909</v>
      </c>
      <c r="AR92" s="791">
        <f t="shared" si="40"/>
        <v>7.2809050020444327E-2</v>
      </c>
      <c r="AS92" s="791">
        <f t="shared" si="41"/>
        <v>4.8477410447188771E-2</v>
      </c>
      <c r="AT92" s="791">
        <f t="shared" si="42"/>
        <v>7.1612975642608601E-2</v>
      </c>
      <c r="AV92" s="792">
        <v>37214</v>
      </c>
      <c r="AW92" s="792">
        <v>84846</v>
      </c>
      <c r="AX92" s="792">
        <v>10073</v>
      </c>
      <c r="AZ92" s="792">
        <f t="shared" si="43"/>
        <v>2709.5159874608153</v>
      </c>
      <c r="BA92" s="792">
        <f t="shared" si="44"/>
        <v>4113.1143668021787</v>
      </c>
      <c r="BB92" s="792">
        <f t="shared" si="45"/>
        <v>721.3575036479964</v>
      </c>
      <c r="BC92" s="809">
        <f t="shared" si="46"/>
        <v>7543.98785791099</v>
      </c>
    </row>
    <row r="93" spans="1:55" s="789" customFormat="1" ht="12" customHeight="1" x14ac:dyDescent="0.25">
      <c r="A93" s="789" t="s">
        <v>224</v>
      </c>
      <c r="B93" s="793" t="s">
        <v>391</v>
      </c>
      <c r="C93" s="806">
        <v>174</v>
      </c>
      <c r="D93" s="790">
        <v>277</v>
      </c>
      <c r="E93" s="790">
        <v>451</v>
      </c>
      <c r="F93" s="790">
        <v>166</v>
      </c>
      <c r="G93" s="790">
        <v>316</v>
      </c>
      <c r="H93" s="790">
        <v>482</v>
      </c>
      <c r="I93" s="790">
        <v>118</v>
      </c>
      <c r="J93" s="790">
        <v>483</v>
      </c>
      <c r="K93" s="790">
        <v>601</v>
      </c>
      <c r="L93" s="790">
        <v>208</v>
      </c>
      <c r="M93" s="790">
        <v>437</v>
      </c>
      <c r="N93" s="790">
        <v>645</v>
      </c>
      <c r="O93" s="790">
        <v>59</v>
      </c>
      <c r="P93" s="790">
        <v>492</v>
      </c>
      <c r="Q93" s="790">
        <v>551</v>
      </c>
      <c r="R93" s="790">
        <v>106</v>
      </c>
      <c r="S93" s="790">
        <v>714</v>
      </c>
      <c r="T93" s="790">
        <v>820</v>
      </c>
      <c r="U93" s="790">
        <v>124</v>
      </c>
      <c r="V93" s="790">
        <v>1241</v>
      </c>
      <c r="W93" s="790">
        <v>1365</v>
      </c>
      <c r="X93" s="790">
        <v>83</v>
      </c>
      <c r="Y93" s="790">
        <v>924</v>
      </c>
      <c r="Z93" s="790">
        <v>1007</v>
      </c>
      <c r="AA93" s="790">
        <v>95</v>
      </c>
      <c r="AB93" s="790">
        <v>542</v>
      </c>
      <c r="AC93" s="790">
        <v>637</v>
      </c>
      <c r="AD93" s="790">
        <v>72</v>
      </c>
      <c r="AE93" s="790">
        <v>395</v>
      </c>
      <c r="AF93" s="790">
        <v>467</v>
      </c>
      <c r="AH93" s="790">
        <f t="shared" si="31"/>
        <v>458</v>
      </c>
      <c r="AI93" s="790">
        <f t="shared" si="32"/>
        <v>1076</v>
      </c>
      <c r="AJ93" s="790">
        <f t="shared" si="33"/>
        <v>1534</v>
      </c>
      <c r="AK93" s="790">
        <f t="shared" si="34"/>
        <v>580</v>
      </c>
      <c r="AL93" s="790">
        <f t="shared" si="35"/>
        <v>3808</v>
      </c>
      <c r="AM93" s="790">
        <f t="shared" si="36"/>
        <v>4388</v>
      </c>
      <c r="AN93" s="790">
        <f t="shared" si="37"/>
        <v>167</v>
      </c>
      <c r="AO93" s="790">
        <f t="shared" si="38"/>
        <v>937</v>
      </c>
      <c r="AP93" s="790">
        <f t="shared" si="39"/>
        <v>1104</v>
      </c>
      <c r="AR93" s="791">
        <f t="shared" si="40"/>
        <v>0.29856584093872229</v>
      </c>
      <c r="AS93" s="791">
        <f t="shared" si="41"/>
        <v>0.13217866909753875</v>
      </c>
      <c r="AT93" s="791">
        <f t="shared" si="42"/>
        <v>0.15126811594202899</v>
      </c>
      <c r="AV93" s="792">
        <v>1394</v>
      </c>
      <c r="AW93" s="792">
        <v>4416</v>
      </c>
      <c r="AX93" s="792">
        <v>1121</v>
      </c>
      <c r="AZ93" s="792">
        <f t="shared" si="43"/>
        <v>416.20078226857891</v>
      </c>
      <c r="BA93" s="792">
        <f t="shared" si="44"/>
        <v>583.70100273473111</v>
      </c>
      <c r="BB93" s="792">
        <f t="shared" si="45"/>
        <v>169.5715579710145</v>
      </c>
      <c r="BC93" s="809">
        <f t="shared" si="46"/>
        <v>1169.4733429743246</v>
      </c>
    </row>
    <row r="94" spans="1:55" s="789" customFormat="1" ht="12" customHeight="1" x14ac:dyDescent="0.25">
      <c r="A94" s="789" t="s">
        <v>226</v>
      </c>
      <c r="B94" s="793" t="s">
        <v>392</v>
      </c>
      <c r="C94" s="806">
        <v>77</v>
      </c>
      <c r="D94" s="790">
        <v>577</v>
      </c>
      <c r="E94" s="790">
        <v>654</v>
      </c>
      <c r="F94" s="790">
        <v>194</v>
      </c>
      <c r="G94" s="790">
        <v>518</v>
      </c>
      <c r="H94" s="790">
        <v>712</v>
      </c>
      <c r="I94" s="790">
        <v>160</v>
      </c>
      <c r="J94" s="790">
        <v>545</v>
      </c>
      <c r="K94" s="790">
        <v>705</v>
      </c>
      <c r="L94" s="790">
        <v>174</v>
      </c>
      <c r="M94" s="790">
        <v>884</v>
      </c>
      <c r="N94" s="790">
        <v>1058</v>
      </c>
      <c r="O94" s="790">
        <v>315</v>
      </c>
      <c r="P94" s="790">
        <v>709</v>
      </c>
      <c r="Q94" s="790">
        <v>1024</v>
      </c>
      <c r="R94" s="790">
        <v>323</v>
      </c>
      <c r="S94" s="790">
        <v>1193</v>
      </c>
      <c r="T94" s="790">
        <v>1516</v>
      </c>
      <c r="U94" s="790">
        <v>405</v>
      </c>
      <c r="V94" s="790">
        <v>1167</v>
      </c>
      <c r="W94" s="790">
        <v>1572</v>
      </c>
      <c r="X94" s="790">
        <v>294</v>
      </c>
      <c r="Y94" s="790">
        <v>1186</v>
      </c>
      <c r="Z94" s="790">
        <v>1480</v>
      </c>
      <c r="AA94" s="790">
        <v>108</v>
      </c>
      <c r="AB94" s="790">
        <v>799</v>
      </c>
      <c r="AC94" s="790">
        <v>907</v>
      </c>
      <c r="AD94" s="790">
        <v>223</v>
      </c>
      <c r="AE94" s="790">
        <v>510</v>
      </c>
      <c r="AF94" s="790">
        <v>733</v>
      </c>
      <c r="AH94" s="790">
        <f t="shared" si="31"/>
        <v>431</v>
      </c>
      <c r="AI94" s="790">
        <f t="shared" si="32"/>
        <v>1640</v>
      </c>
      <c r="AJ94" s="790">
        <f t="shared" si="33"/>
        <v>2071</v>
      </c>
      <c r="AK94" s="790">
        <f t="shared" si="34"/>
        <v>1511</v>
      </c>
      <c r="AL94" s="790">
        <f t="shared" si="35"/>
        <v>5139</v>
      </c>
      <c r="AM94" s="790">
        <f t="shared" si="36"/>
        <v>6650</v>
      </c>
      <c r="AN94" s="790">
        <f t="shared" si="37"/>
        <v>331</v>
      </c>
      <c r="AO94" s="790">
        <f t="shared" si="38"/>
        <v>1309</v>
      </c>
      <c r="AP94" s="790">
        <f t="shared" si="39"/>
        <v>1640</v>
      </c>
      <c r="AR94" s="791">
        <f t="shared" si="40"/>
        <v>0.20811202317720909</v>
      </c>
      <c r="AS94" s="791">
        <f t="shared" si="41"/>
        <v>0.22721804511278196</v>
      </c>
      <c r="AT94" s="791">
        <f t="shared" si="42"/>
        <v>0.20182926829268294</v>
      </c>
      <c r="AV94" s="792">
        <v>2027</v>
      </c>
      <c r="AW94" s="792">
        <v>8301</v>
      </c>
      <c r="AX94" s="792">
        <v>1759</v>
      </c>
      <c r="AZ94" s="792">
        <f t="shared" si="43"/>
        <v>421.84307098020281</v>
      </c>
      <c r="BA94" s="792">
        <f t="shared" si="44"/>
        <v>1886.1369924812029</v>
      </c>
      <c r="BB94" s="792">
        <f t="shared" si="45"/>
        <v>355.01768292682931</v>
      </c>
      <c r="BC94" s="809">
        <f t="shared" si="46"/>
        <v>2662.9977463882351</v>
      </c>
    </row>
    <row r="95" spans="1:55" s="789" customFormat="1" ht="12" customHeight="1" x14ac:dyDescent="0.25">
      <c r="A95" s="789" t="s">
        <v>228</v>
      </c>
      <c r="B95" s="793" t="s">
        <v>393</v>
      </c>
      <c r="C95" s="806">
        <v>935</v>
      </c>
      <c r="D95" s="790">
        <v>1952</v>
      </c>
      <c r="E95" s="790">
        <v>2887</v>
      </c>
      <c r="F95" s="790">
        <v>1015</v>
      </c>
      <c r="G95" s="790">
        <v>1885</v>
      </c>
      <c r="H95" s="790">
        <v>2900</v>
      </c>
      <c r="I95" s="790">
        <v>862</v>
      </c>
      <c r="J95" s="790">
        <v>2308</v>
      </c>
      <c r="K95" s="790">
        <v>3170</v>
      </c>
      <c r="L95" s="790">
        <v>841</v>
      </c>
      <c r="M95" s="790">
        <v>2236</v>
      </c>
      <c r="N95" s="790">
        <v>3077</v>
      </c>
      <c r="O95" s="790">
        <v>1300</v>
      </c>
      <c r="P95" s="790">
        <v>3659</v>
      </c>
      <c r="Q95" s="790">
        <v>4959</v>
      </c>
      <c r="R95" s="790">
        <v>1457</v>
      </c>
      <c r="S95" s="790">
        <v>4224</v>
      </c>
      <c r="T95" s="790">
        <v>5681</v>
      </c>
      <c r="U95" s="790">
        <v>1373</v>
      </c>
      <c r="V95" s="790">
        <v>5486</v>
      </c>
      <c r="W95" s="790">
        <v>6859</v>
      </c>
      <c r="X95" s="790">
        <v>1163</v>
      </c>
      <c r="Y95" s="790">
        <v>5601</v>
      </c>
      <c r="Z95" s="790">
        <v>6764</v>
      </c>
      <c r="AA95" s="790">
        <v>702</v>
      </c>
      <c r="AB95" s="790">
        <v>3512</v>
      </c>
      <c r="AC95" s="790">
        <v>4214</v>
      </c>
      <c r="AD95" s="790">
        <v>636</v>
      </c>
      <c r="AE95" s="790">
        <v>2647</v>
      </c>
      <c r="AF95" s="790">
        <v>3283</v>
      </c>
      <c r="AH95" s="790">
        <f t="shared" si="31"/>
        <v>2812</v>
      </c>
      <c r="AI95" s="790">
        <f t="shared" si="32"/>
        <v>6145</v>
      </c>
      <c r="AJ95" s="790">
        <f t="shared" si="33"/>
        <v>8957</v>
      </c>
      <c r="AK95" s="790">
        <f t="shared" si="34"/>
        <v>6134</v>
      </c>
      <c r="AL95" s="790">
        <f t="shared" si="35"/>
        <v>21206</v>
      </c>
      <c r="AM95" s="790">
        <f t="shared" si="36"/>
        <v>27340</v>
      </c>
      <c r="AN95" s="790">
        <f t="shared" si="37"/>
        <v>1338</v>
      </c>
      <c r="AO95" s="790">
        <f t="shared" si="38"/>
        <v>6159</v>
      </c>
      <c r="AP95" s="790">
        <f t="shared" si="39"/>
        <v>7497</v>
      </c>
      <c r="AR95" s="791">
        <f t="shared" si="40"/>
        <v>0.31394440102712962</v>
      </c>
      <c r="AS95" s="791">
        <f t="shared" si="41"/>
        <v>0.22435991221653256</v>
      </c>
      <c r="AT95" s="791">
        <f t="shared" si="42"/>
        <v>0.17847138855542216</v>
      </c>
      <c r="AV95" s="792">
        <v>8909</v>
      </c>
      <c r="AW95" s="792">
        <v>27903</v>
      </c>
      <c r="AX95" s="792">
        <v>7903</v>
      </c>
      <c r="AZ95" s="792">
        <f t="shared" si="43"/>
        <v>2796.9306687506978</v>
      </c>
      <c r="BA95" s="792">
        <f t="shared" si="44"/>
        <v>6260.3146305779082</v>
      </c>
      <c r="BB95" s="792">
        <f t="shared" si="45"/>
        <v>1410.4593837535012</v>
      </c>
      <c r="BC95" s="809">
        <f t="shared" si="46"/>
        <v>10467.704683082107</v>
      </c>
    </row>
    <row r="96" spans="1:55" s="789" customFormat="1" ht="12" customHeight="1" x14ac:dyDescent="0.25">
      <c r="A96" s="789" t="s">
        <v>232</v>
      </c>
      <c r="B96" s="793" t="s">
        <v>394</v>
      </c>
      <c r="C96" s="806">
        <v>503</v>
      </c>
      <c r="D96" s="790">
        <v>2470</v>
      </c>
      <c r="E96" s="790">
        <v>2973</v>
      </c>
      <c r="F96" s="790">
        <v>257</v>
      </c>
      <c r="G96" s="790">
        <v>2525</v>
      </c>
      <c r="H96" s="790">
        <v>2782</v>
      </c>
      <c r="I96" s="790">
        <v>275</v>
      </c>
      <c r="J96" s="790">
        <v>2912</v>
      </c>
      <c r="K96" s="790">
        <v>3187</v>
      </c>
      <c r="L96" s="790">
        <v>490</v>
      </c>
      <c r="M96" s="790">
        <v>2241</v>
      </c>
      <c r="N96" s="790">
        <v>2731</v>
      </c>
      <c r="O96" s="790">
        <v>512</v>
      </c>
      <c r="P96" s="790">
        <v>3703</v>
      </c>
      <c r="Q96" s="790">
        <v>4215</v>
      </c>
      <c r="R96" s="790">
        <v>548</v>
      </c>
      <c r="S96" s="790">
        <v>4942</v>
      </c>
      <c r="T96" s="790">
        <v>5490</v>
      </c>
      <c r="U96" s="790">
        <v>566</v>
      </c>
      <c r="V96" s="790">
        <v>5568</v>
      </c>
      <c r="W96" s="790">
        <v>6134</v>
      </c>
      <c r="X96" s="790">
        <v>426</v>
      </c>
      <c r="Y96" s="790">
        <v>4093</v>
      </c>
      <c r="Z96" s="790">
        <v>4519</v>
      </c>
      <c r="AA96" s="790">
        <v>282</v>
      </c>
      <c r="AB96" s="790">
        <v>2467</v>
      </c>
      <c r="AC96" s="790">
        <v>2749</v>
      </c>
      <c r="AD96" s="790">
        <v>310</v>
      </c>
      <c r="AE96" s="790">
        <v>1514</v>
      </c>
      <c r="AF96" s="790">
        <v>1824</v>
      </c>
      <c r="AH96" s="790">
        <f t="shared" si="31"/>
        <v>1035</v>
      </c>
      <c r="AI96" s="790">
        <f t="shared" si="32"/>
        <v>7907</v>
      </c>
      <c r="AJ96" s="790">
        <f t="shared" si="33"/>
        <v>8942</v>
      </c>
      <c r="AK96" s="790">
        <f t="shared" si="34"/>
        <v>2542</v>
      </c>
      <c r="AL96" s="790">
        <f t="shared" si="35"/>
        <v>20547</v>
      </c>
      <c r="AM96" s="790">
        <f t="shared" si="36"/>
        <v>23089</v>
      </c>
      <c r="AN96" s="790">
        <f t="shared" si="37"/>
        <v>592</v>
      </c>
      <c r="AO96" s="790">
        <f t="shared" si="38"/>
        <v>3981</v>
      </c>
      <c r="AP96" s="790">
        <f t="shared" si="39"/>
        <v>4573</v>
      </c>
      <c r="AR96" s="791">
        <f t="shared" si="40"/>
        <v>0.11574591813911876</v>
      </c>
      <c r="AS96" s="791">
        <f t="shared" si="41"/>
        <v>0.11009571657499242</v>
      </c>
      <c r="AT96" s="791">
        <f t="shared" si="42"/>
        <v>0.12945549967198774</v>
      </c>
      <c r="AV96" s="792">
        <v>8908</v>
      </c>
      <c r="AW96" s="792">
        <v>23871</v>
      </c>
      <c r="AX96" s="792">
        <v>4970</v>
      </c>
      <c r="AZ96" s="792">
        <f t="shared" si="43"/>
        <v>1031.0646387832699</v>
      </c>
      <c r="BA96" s="792">
        <f t="shared" si="44"/>
        <v>2628.0948503616441</v>
      </c>
      <c r="BB96" s="792">
        <f t="shared" si="45"/>
        <v>643.39383336977914</v>
      </c>
      <c r="BC96" s="809">
        <f t="shared" si="46"/>
        <v>4302.5533225146928</v>
      </c>
    </row>
    <row r="97" spans="1:55" s="789" customFormat="1" ht="12" customHeight="1" x14ac:dyDescent="0.25">
      <c r="A97" s="789" t="s">
        <v>234</v>
      </c>
      <c r="B97" s="793" t="s">
        <v>395</v>
      </c>
      <c r="C97" s="806">
        <v>993</v>
      </c>
      <c r="D97" s="790">
        <v>2391</v>
      </c>
      <c r="E97" s="790">
        <v>3384</v>
      </c>
      <c r="F97" s="790">
        <v>871</v>
      </c>
      <c r="G97" s="790">
        <v>2498</v>
      </c>
      <c r="H97" s="790">
        <v>3369</v>
      </c>
      <c r="I97" s="790">
        <v>891</v>
      </c>
      <c r="J97" s="790">
        <v>2816</v>
      </c>
      <c r="K97" s="790">
        <v>3707</v>
      </c>
      <c r="L97" s="790">
        <v>1119</v>
      </c>
      <c r="M97" s="790">
        <v>2473</v>
      </c>
      <c r="N97" s="790">
        <v>3592</v>
      </c>
      <c r="O97" s="790">
        <v>1299</v>
      </c>
      <c r="P97" s="790">
        <v>4668</v>
      </c>
      <c r="Q97" s="790">
        <v>5967</v>
      </c>
      <c r="R97" s="790">
        <v>1347</v>
      </c>
      <c r="S97" s="790">
        <v>5955</v>
      </c>
      <c r="T97" s="790">
        <v>7302</v>
      </c>
      <c r="U97" s="790">
        <v>1452</v>
      </c>
      <c r="V97" s="790">
        <v>7040</v>
      </c>
      <c r="W97" s="790">
        <v>8492</v>
      </c>
      <c r="X97" s="790">
        <v>1238</v>
      </c>
      <c r="Y97" s="790">
        <v>6651</v>
      </c>
      <c r="Z97" s="790">
        <v>7889</v>
      </c>
      <c r="AA97" s="790">
        <v>829</v>
      </c>
      <c r="AB97" s="790">
        <v>4702</v>
      </c>
      <c r="AC97" s="790">
        <v>5531</v>
      </c>
      <c r="AD97" s="790">
        <v>781</v>
      </c>
      <c r="AE97" s="790">
        <v>3206</v>
      </c>
      <c r="AF97" s="790">
        <v>3987</v>
      </c>
      <c r="AH97" s="790">
        <f t="shared" si="31"/>
        <v>2755</v>
      </c>
      <c r="AI97" s="790">
        <f t="shared" si="32"/>
        <v>7705</v>
      </c>
      <c r="AJ97" s="790">
        <f t="shared" si="33"/>
        <v>10460</v>
      </c>
      <c r="AK97" s="790">
        <f t="shared" si="34"/>
        <v>6455</v>
      </c>
      <c r="AL97" s="790">
        <f t="shared" si="35"/>
        <v>26787</v>
      </c>
      <c r="AM97" s="790">
        <f t="shared" si="36"/>
        <v>33242</v>
      </c>
      <c r="AN97" s="790">
        <f t="shared" si="37"/>
        <v>1610</v>
      </c>
      <c r="AO97" s="790">
        <f t="shared" si="38"/>
        <v>7908</v>
      </c>
      <c r="AP97" s="790">
        <f t="shared" si="39"/>
        <v>9518</v>
      </c>
      <c r="AR97" s="791">
        <f t="shared" si="40"/>
        <v>0.26338432122370936</v>
      </c>
      <c r="AS97" s="791">
        <f t="shared" si="41"/>
        <v>0.19418205884122497</v>
      </c>
      <c r="AT97" s="791">
        <f t="shared" si="42"/>
        <v>0.16915318344189956</v>
      </c>
      <c r="AV97" s="792">
        <v>10580</v>
      </c>
      <c r="AW97" s="792">
        <v>34303</v>
      </c>
      <c r="AX97" s="792">
        <v>9944</v>
      </c>
      <c r="AZ97" s="792">
        <f t="shared" si="43"/>
        <v>2786.6061185468452</v>
      </c>
      <c r="BA97" s="792">
        <f t="shared" si="44"/>
        <v>6661.0271644305403</v>
      </c>
      <c r="BB97" s="792">
        <f t="shared" si="45"/>
        <v>1682.0592561462493</v>
      </c>
      <c r="BC97" s="809">
        <f t="shared" si="46"/>
        <v>11129.692539123635</v>
      </c>
    </row>
    <row r="98" spans="1:55" s="789" customFormat="1" ht="12" customHeight="1" x14ac:dyDescent="0.25">
      <c r="A98" s="789" t="s">
        <v>236</v>
      </c>
      <c r="B98" s="793" t="s">
        <v>396</v>
      </c>
      <c r="C98" s="806">
        <v>294</v>
      </c>
      <c r="D98" s="790">
        <v>680</v>
      </c>
      <c r="E98" s="790">
        <v>974</v>
      </c>
      <c r="F98" s="790">
        <v>157</v>
      </c>
      <c r="G98" s="790">
        <v>928</v>
      </c>
      <c r="H98" s="790">
        <v>1085</v>
      </c>
      <c r="I98" s="790">
        <v>213</v>
      </c>
      <c r="J98" s="790">
        <v>1149</v>
      </c>
      <c r="K98" s="790">
        <v>1362</v>
      </c>
      <c r="L98" s="790">
        <v>186</v>
      </c>
      <c r="M98" s="790">
        <v>1086</v>
      </c>
      <c r="N98" s="790">
        <v>1272</v>
      </c>
      <c r="O98" s="790">
        <v>335</v>
      </c>
      <c r="P98" s="790">
        <v>1459</v>
      </c>
      <c r="Q98" s="790">
        <v>1794</v>
      </c>
      <c r="R98" s="790">
        <v>218</v>
      </c>
      <c r="S98" s="790">
        <v>1649</v>
      </c>
      <c r="T98" s="790">
        <v>1867</v>
      </c>
      <c r="U98" s="790">
        <v>427</v>
      </c>
      <c r="V98" s="790">
        <v>2198</v>
      </c>
      <c r="W98" s="790">
        <v>2625</v>
      </c>
      <c r="X98" s="790">
        <v>382</v>
      </c>
      <c r="Y98" s="790">
        <v>2345</v>
      </c>
      <c r="Z98" s="790">
        <v>2727</v>
      </c>
      <c r="AA98" s="790">
        <v>259</v>
      </c>
      <c r="AB98" s="790">
        <v>1851</v>
      </c>
      <c r="AC98" s="790">
        <v>2110</v>
      </c>
      <c r="AD98" s="790">
        <v>357</v>
      </c>
      <c r="AE98" s="790">
        <v>1089</v>
      </c>
      <c r="AF98" s="790">
        <v>1446</v>
      </c>
      <c r="AH98" s="790">
        <f t="shared" si="31"/>
        <v>664</v>
      </c>
      <c r="AI98" s="790">
        <f t="shared" si="32"/>
        <v>2757</v>
      </c>
      <c r="AJ98" s="790">
        <f t="shared" si="33"/>
        <v>3421</v>
      </c>
      <c r="AK98" s="790">
        <f t="shared" si="34"/>
        <v>1548</v>
      </c>
      <c r="AL98" s="790">
        <f t="shared" si="35"/>
        <v>8737</v>
      </c>
      <c r="AM98" s="790">
        <f t="shared" si="36"/>
        <v>10285</v>
      </c>
      <c r="AN98" s="790">
        <f t="shared" si="37"/>
        <v>616</v>
      </c>
      <c r="AO98" s="790">
        <f t="shared" si="38"/>
        <v>2940</v>
      </c>
      <c r="AP98" s="790">
        <f t="shared" si="39"/>
        <v>3556</v>
      </c>
      <c r="AR98" s="791">
        <f t="shared" si="40"/>
        <v>0.19409529377375037</v>
      </c>
      <c r="AS98" s="791">
        <f t="shared" si="41"/>
        <v>0.15051045211473019</v>
      </c>
      <c r="AT98" s="791">
        <f t="shared" si="42"/>
        <v>0.17322834645669291</v>
      </c>
      <c r="AV98" s="792">
        <v>3481</v>
      </c>
      <c r="AW98" s="792">
        <v>10403</v>
      </c>
      <c r="AX98" s="792">
        <v>3711</v>
      </c>
      <c r="AZ98" s="792">
        <f t="shared" si="43"/>
        <v>675.64571762642504</v>
      </c>
      <c r="BA98" s="792">
        <f t="shared" si="44"/>
        <v>1565.7602333495381</v>
      </c>
      <c r="BB98" s="792">
        <f t="shared" si="45"/>
        <v>642.85039370078744</v>
      </c>
      <c r="BC98" s="809">
        <f t="shared" si="46"/>
        <v>2884.2563446767508</v>
      </c>
    </row>
    <row r="99" spans="1:55" s="789" customFormat="1" ht="12" customHeight="1" x14ac:dyDescent="0.25">
      <c r="A99" s="789" t="s">
        <v>242</v>
      </c>
      <c r="B99" s="793" t="s">
        <v>397</v>
      </c>
      <c r="C99" s="806">
        <v>1156</v>
      </c>
      <c r="D99" s="790">
        <v>1403</v>
      </c>
      <c r="E99" s="790">
        <v>2559</v>
      </c>
      <c r="F99" s="790">
        <v>1100</v>
      </c>
      <c r="G99" s="790">
        <v>1603</v>
      </c>
      <c r="H99" s="790">
        <v>2703</v>
      </c>
      <c r="I99" s="790">
        <v>1050</v>
      </c>
      <c r="J99" s="790">
        <v>2031</v>
      </c>
      <c r="K99" s="790">
        <v>3081</v>
      </c>
      <c r="L99" s="790">
        <v>1307</v>
      </c>
      <c r="M99" s="790">
        <v>2125</v>
      </c>
      <c r="N99" s="790">
        <v>3432</v>
      </c>
      <c r="O99" s="790">
        <v>1438</v>
      </c>
      <c r="P99" s="790">
        <v>3317</v>
      </c>
      <c r="Q99" s="790">
        <v>4755</v>
      </c>
      <c r="R99" s="790">
        <v>1663</v>
      </c>
      <c r="S99" s="790">
        <v>3561</v>
      </c>
      <c r="T99" s="790">
        <v>5224</v>
      </c>
      <c r="U99" s="790">
        <v>1368</v>
      </c>
      <c r="V99" s="790">
        <v>4546</v>
      </c>
      <c r="W99" s="790">
        <v>5914</v>
      </c>
      <c r="X99" s="790">
        <v>995</v>
      </c>
      <c r="Y99" s="790">
        <v>4291</v>
      </c>
      <c r="Z99" s="790">
        <v>5286</v>
      </c>
      <c r="AA99" s="790">
        <v>603</v>
      </c>
      <c r="AB99" s="790">
        <v>2650</v>
      </c>
      <c r="AC99" s="790">
        <v>3253</v>
      </c>
      <c r="AD99" s="790">
        <v>530</v>
      </c>
      <c r="AE99" s="790">
        <v>1917</v>
      </c>
      <c r="AF99" s="790">
        <v>2447</v>
      </c>
      <c r="AH99" s="790">
        <f t="shared" si="31"/>
        <v>3306</v>
      </c>
      <c r="AI99" s="790">
        <f t="shared" si="32"/>
        <v>5037</v>
      </c>
      <c r="AJ99" s="790">
        <f t="shared" si="33"/>
        <v>8343</v>
      </c>
      <c r="AK99" s="790">
        <f t="shared" si="34"/>
        <v>6771</v>
      </c>
      <c r="AL99" s="790">
        <f t="shared" si="35"/>
        <v>17840</v>
      </c>
      <c r="AM99" s="790">
        <f t="shared" si="36"/>
        <v>24611</v>
      </c>
      <c r="AN99" s="790">
        <f t="shared" si="37"/>
        <v>1133</v>
      </c>
      <c r="AO99" s="790">
        <f t="shared" si="38"/>
        <v>4567</v>
      </c>
      <c r="AP99" s="790">
        <f t="shared" si="39"/>
        <v>5700</v>
      </c>
      <c r="AR99" s="791">
        <f t="shared" si="40"/>
        <v>0.39626033800791083</v>
      </c>
      <c r="AS99" s="791">
        <f t="shared" si="41"/>
        <v>0.27512088090691156</v>
      </c>
      <c r="AT99" s="791">
        <f t="shared" si="42"/>
        <v>0.19877192982456141</v>
      </c>
      <c r="AV99" s="792">
        <v>8585</v>
      </c>
      <c r="AW99" s="792">
        <v>26974</v>
      </c>
      <c r="AX99" s="792">
        <v>6006</v>
      </c>
      <c r="AZ99" s="792">
        <f t="shared" si="43"/>
        <v>3401.8950017979146</v>
      </c>
      <c r="BA99" s="792">
        <f t="shared" si="44"/>
        <v>7421.1106415830327</v>
      </c>
      <c r="BB99" s="792">
        <f t="shared" si="45"/>
        <v>1193.8242105263157</v>
      </c>
      <c r="BC99" s="809">
        <f t="shared" si="46"/>
        <v>12016.829853907264</v>
      </c>
    </row>
    <row r="100" spans="1:55" s="789" customFormat="1" ht="12" customHeight="1" x14ac:dyDescent="0.25">
      <c r="A100" s="789" t="s">
        <v>244</v>
      </c>
      <c r="B100" s="793" t="s">
        <v>398</v>
      </c>
      <c r="C100" s="806">
        <v>632</v>
      </c>
      <c r="D100" s="790">
        <v>1005</v>
      </c>
      <c r="E100" s="790">
        <v>1637</v>
      </c>
      <c r="F100" s="790">
        <v>523</v>
      </c>
      <c r="G100" s="790">
        <v>1621</v>
      </c>
      <c r="H100" s="790">
        <v>2144</v>
      </c>
      <c r="I100" s="790">
        <v>616</v>
      </c>
      <c r="J100" s="790">
        <v>1295</v>
      </c>
      <c r="K100" s="790">
        <v>1911</v>
      </c>
      <c r="L100" s="790">
        <v>536</v>
      </c>
      <c r="M100" s="790">
        <v>1614</v>
      </c>
      <c r="N100" s="790">
        <v>2150</v>
      </c>
      <c r="O100" s="790">
        <v>597</v>
      </c>
      <c r="P100" s="790">
        <v>2599</v>
      </c>
      <c r="Q100" s="790">
        <v>3196</v>
      </c>
      <c r="R100" s="790">
        <v>665</v>
      </c>
      <c r="S100" s="790">
        <v>3361</v>
      </c>
      <c r="T100" s="790">
        <v>4026</v>
      </c>
      <c r="U100" s="790">
        <v>710</v>
      </c>
      <c r="V100" s="790">
        <v>3663</v>
      </c>
      <c r="W100" s="790">
        <v>4373</v>
      </c>
      <c r="X100" s="790">
        <v>597</v>
      </c>
      <c r="Y100" s="790">
        <v>3618</v>
      </c>
      <c r="Z100" s="790">
        <v>4215</v>
      </c>
      <c r="AA100" s="790">
        <v>353</v>
      </c>
      <c r="AB100" s="790">
        <v>2435</v>
      </c>
      <c r="AC100" s="790">
        <v>2788</v>
      </c>
      <c r="AD100" s="790">
        <v>531</v>
      </c>
      <c r="AE100" s="790">
        <v>1430</v>
      </c>
      <c r="AF100" s="790">
        <v>1961</v>
      </c>
      <c r="AH100" s="790">
        <f t="shared" si="31"/>
        <v>1771</v>
      </c>
      <c r="AI100" s="790">
        <f t="shared" si="32"/>
        <v>3921</v>
      </c>
      <c r="AJ100" s="790">
        <f t="shared" si="33"/>
        <v>5692</v>
      </c>
      <c r="AK100" s="790">
        <f t="shared" si="34"/>
        <v>3105</v>
      </c>
      <c r="AL100" s="790">
        <f t="shared" si="35"/>
        <v>14855</v>
      </c>
      <c r="AM100" s="790">
        <f t="shared" si="36"/>
        <v>17960</v>
      </c>
      <c r="AN100" s="790">
        <f t="shared" si="37"/>
        <v>884</v>
      </c>
      <c r="AO100" s="790">
        <f t="shared" si="38"/>
        <v>3865</v>
      </c>
      <c r="AP100" s="790">
        <f t="shared" si="39"/>
        <v>4749</v>
      </c>
      <c r="AR100" s="791">
        <f t="shared" si="40"/>
        <v>0.31113843991567114</v>
      </c>
      <c r="AS100" s="791">
        <f t="shared" si="41"/>
        <v>0.17288418708240536</v>
      </c>
      <c r="AT100" s="791">
        <f t="shared" si="42"/>
        <v>0.186144451463466</v>
      </c>
      <c r="AV100" s="792">
        <v>5977</v>
      </c>
      <c r="AW100" s="792">
        <v>17894</v>
      </c>
      <c r="AX100" s="792">
        <v>5333</v>
      </c>
      <c r="AZ100" s="792">
        <f t="shared" si="43"/>
        <v>1859.6744553759663</v>
      </c>
      <c r="BA100" s="792">
        <f t="shared" si="44"/>
        <v>3093.5896436525613</v>
      </c>
      <c r="BB100" s="792">
        <f t="shared" si="45"/>
        <v>992.70835965466415</v>
      </c>
      <c r="BC100" s="809">
        <f t="shared" si="46"/>
        <v>5945.9724586831917</v>
      </c>
    </row>
    <row r="101" spans="1:55" s="789" customFormat="1" ht="12" customHeight="1" x14ac:dyDescent="0.25">
      <c r="A101" s="789" t="s">
        <v>246</v>
      </c>
      <c r="B101" s="793" t="s">
        <v>609</v>
      </c>
      <c r="C101" s="806">
        <v>439</v>
      </c>
      <c r="D101" s="790">
        <v>4699</v>
      </c>
      <c r="E101" s="790">
        <v>5138</v>
      </c>
      <c r="F101" s="790">
        <v>508</v>
      </c>
      <c r="G101" s="790">
        <v>5940</v>
      </c>
      <c r="H101" s="790">
        <v>6448</v>
      </c>
      <c r="I101" s="790">
        <v>636</v>
      </c>
      <c r="J101" s="790">
        <v>7616</v>
      </c>
      <c r="K101" s="790">
        <v>8252</v>
      </c>
      <c r="L101" s="790">
        <v>609</v>
      </c>
      <c r="M101" s="790">
        <v>4897</v>
      </c>
      <c r="N101" s="790">
        <v>5506</v>
      </c>
      <c r="O101" s="790">
        <v>489</v>
      </c>
      <c r="P101" s="790">
        <v>6783</v>
      </c>
      <c r="Q101" s="790">
        <v>7272</v>
      </c>
      <c r="R101" s="790">
        <v>512</v>
      </c>
      <c r="S101" s="790">
        <v>10508</v>
      </c>
      <c r="T101" s="790">
        <v>11020</v>
      </c>
      <c r="U101" s="790">
        <v>379</v>
      </c>
      <c r="V101" s="790">
        <v>13000</v>
      </c>
      <c r="W101" s="790">
        <v>13379</v>
      </c>
      <c r="X101" s="790">
        <v>225</v>
      </c>
      <c r="Y101" s="790">
        <v>9332</v>
      </c>
      <c r="Z101" s="790">
        <v>9557</v>
      </c>
      <c r="AA101" s="790">
        <v>217</v>
      </c>
      <c r="AB101" s="790">
        <v>5302</v>
      </c>
      <c r="AC101" s="790">
        <v>5519</v>
      </c>
      <c r="AD101" s="790">
        <v>512</v>
      </c>
      <c r="AE101" s="790">
        <v>3308</v>
      </c>
      <c r="AF101" s="790">
        <v>3820</v>
      </c>
      <c r="AH101" s="790">
        <f t="shared" si="31"/>
        <v>1583</v>
      </c>
      <c r="AI101" s="790">
        <f t="shared" si="32"/>
        <v>18255</v>
      </c>
      <c r="AJ101" s="790">
        <f t="shared" si="33"/>
        <v>19838</v>
      </c>
      <c r="AK101" s="790">
        <f t="shared" si="34"/>
        <v>2214</v>
      </c>
      <c r="AL101" s="790">
        <f t="shared" si="35"/>
        <v>44520</v>
      </c>
      <c r="AM101" s="790">
        <f t="shared" si="36"/>
        <v>46734</v>
      </c>
      <c r="AN101" s="790">
        <f t="shared" si="37"/>
        <v>729</v>
      </c>
      <c r="AO101" s="790">
        <f t="shared" si="38"/>
        <v>8610</v>
      </c>
      <c r="AP101" s="790">
        <f t="shared" si="39"/>
        <v>9339</v>
      </c>
      <c r="AR101" s="791">
        <f t="shared" si="40"/>
        <v>7.979635043855228E-2</v>
      </c>
      <c r="AS101" s="791">
        <f t="shared" si="41"/>
        <v>4.7374502503530619E-2</v>
      </c>
      <c r="AT101" s="791">
        <f t="shared" si="42"/>
        <v>7.8059749437841316E-2</v>
      </c>
      <c r="AV101" s="792">
        <v>16758</v>
      </c>
      <c r="AW101" s="792">
        <v>41153</v>
      </c>
      <c r="AX101" s="792">
        <v>8223</v>
      </c>
      <c r="AZ101" s="792">
        <f t="shared" si="43"/>
        <v>1337.2272406492591</v>
      </c>
      <c r="BA101" s="792">
        <f t="shared" si="44"/>
        <v>1949.6029015277957</v>
      </c>
      <c r="BB101" s="792">
        <f t="shared" si="45"/>
        <v>641.8853196273692</v>
      </c>
      <c r="BC101" s="809">
        <f t="shared" si="46"/>
        <v>3928.7154618044242</v>
      </c>
    </row>
    <row r="102" spans="1:55" s="789" customFormat="1" ht="12" customHeight="1" x14ac:dyDescent="0.25">
      <c r="A102" s="789" t="s">
        <v>14</v>
      </c>
      <c r="B102" s="793" t="s">
        <v>15</v>
      </c>
      <c r="C102" s="806">
        <v>1767</v>
      </c>
      <c r="D102" s="790">
        <v>9613</v>
      </c>
      <c r="E102" s="790">
        <v>11380</v>
      </c>
      <c r="F102" s="790">
        <v>1663</v>
      </c>
      <c r="G102" s="790">
        <v>4934</v>
      </c>
      <c r="H102" s="790">
        <v>6597</v>
      </c>
      <c r="I102" s="790">
        <v>1080</v>
      </c>
      <c r="J102" s="790">
        <v>4150</v>
      </c>
      <c r="K102" s="790">
        <v>5230</v>
      </c>
      <c r="L102" s="790">
        <v>1489</v>
      </c>
      <c r="M102" s="790">
        <v>8262</v>
      </c>
      <c r="N102" s="790">
        <v>9751</v>
      </c>
      <c r="O102" s="790">
        <v>3190</v>
      </c>
      <c r="P102" s="790">
        <v>29865</v>
      </c>
      <c r="Q102" s="790">
        <v>33055</v>
      </c>
      <c r="R102" s="790">
        <v>1750</v>
      </c>
      <c r="S102" s="790">
        <v>22236</v>
      </c>
      <c r="T102" s="790">
        <v>23986</v>
      </c>
      <c r="U102" s="790">
        <v>1281</v>
      </c>
      <c r="V102" s="790">
        <v>16846</v>
      </c>
      <c r="W102" s="790">
        <v>18127</v>
      </c>
      <c r="X102" s="790">
        <v>1300</v>
      </c>
      <c r="Y102" s="790">
        <v>13969</v>
      </c>
      <c r="Z102" s="790">
        <v>15269</v>
      </c>
      <c r="AA102" s="790">
        <v>661</v>
      </c>
      <c r="AB102" s="790">
        <v>6220</v>
      </c>
      <c r="AC102" s="790">
        <v>6881</v>
      </c>
      <c r="AD102" s="790">
        <v>704</v>
      </c>
      <c r="AE102" s="790">
        <v>4395</v>
      </c>
      <c r="AF102" s="790">
        <v>5099</v>
      </c>
      <c r="AH102" s="790">
        <f t="shared" ref="AH102:AH126" si="47">C102+F102+I102</f>
        <v>4510</v>
      </c>
      <c r="AI102" s="790">
        <f t="shared" ref="AI102:AI126" si="48">D102+G102+J102</f>
        <v>18697</v>
      </c>
      <c r="AJ102" s="790">
        <f t="shared" ref="AJ102:AJ126" si="49">E102+H102+K102</f>
        <v>23207</v>
      </c>
      <c r="AK102" s="790">
        <f t="shared" ref="AK102:AK126" si="50">L102+O102+R102+U102+X102</f>
        <v>9010</v>
      </c>
      <c r="AL102" s="790">
        <f t="shared" ref="AL102:AL126" si="51">M102+P102+S102+V102+Y102</f>
        <v>91178</v>
      </c>
      <c r="AM102" s="790">
        <f t="shared" ref="AM102:AM126" si="52">N102+Q102+T102+W102+Z102</f>
        <v>100188</v>
      </c>
      <c r="AN102" s="790">
        <f t="shared" ref="AN102:AN126" si="53">AA102+AD102</f>
        <v>1365</v>
      </c>
      <c r="AO102" s="790">
        <f t="shared" ref="AO102:AO126" si="54">AB102+AE102</f>
        <v>10615</v>
      </c>
      <c r="AP102" s="790">
        <f t="shared" ref="AP102:AP126" si="55">AC102+AF102</f>
        <v>11980</v>
      </c>
      <c r="AR102" s="791">
        <f t="shared" ref="AR102:AR126" si="56">AH102/AJ102</f>
        <v>0.19433791528418148</v>
      </c>
      <c r="AS102" s="791">
        <f t="shared" ref="AS102:AS126" si="57">AK102/AM102</f>
        <v>8.9930929851878463E-2</v>
      </c>
      <c r="AT102" s="791">
        <f t="shared" ref="AT102:AT126" si="58">AN102/AP102</f>
        <v>0.11393989983305509</v>
      </c>
      <c r="AV102" s="792">
        <v>25229</v>
      </c>
      <c r="AW102" s="792">
        <v>105641</v>
      </c>
      <c r="AX102" s="792">
        <v>13431</v>
      </c>
      <c r="AZ102" s="792">
        <f t="shared" ref="AZ102:AZ126" si="59">AR102*AV102</f>
        <v>4902.9512647046149</v>
      </c>
      <c r="BA102" s="792">
        <f t="shared" ref="BA102:BA126" si="60">AS102*AW102</f>
        <v>9500.3933604822923</v>
      </c>
      <c r="BB102" s="792">
        <f t="shared" ref="BB102:BB126" si="61">AT102*AX102</f>
        <v>1530.326794657763</v>
      </c>
      <c r="BC102" s="809">
        <f t="shared" si="46"/>
        <v>15933.67141984467</v>
      </c>
    </row>
    <row r="103" spans="1:55" s="789" customFormat="1" ht="12" customHeight="1" x14ac:dyDescent="0.25">
      <c r="A103" s="789" t="s">
        <v>34</v>
      </c>
      <c r="B103" s="793" t="s">
        <v>35</v>
      </c>
      <c r="C103" s="806">
        <v>570</v>
      </c>
      <c r="D103" s="790">
        <v>704</v>
      </c>
      <c r="E103" s="790">
        <v>1274</v>
      </c>
      <c r="F103" s="790">
        <v>376</v>
      </c>
      <c r="G103" s="790">
        <v>760</v>
      </c>
      <c r="H103" s="790">
        <v>1136</v>
      </c>
      <c r="I103" s="790">
        <v>515</v>
      </c>
      <c r="J103" s="790">
        <v>704</v>
      </c>
      <c r="K103" s="790">
        <v>1219</v>
      </c>
      <c r="L103" s="790">
        <v>446</v>
      </c>
      <c r="M103" s="790">
        <v>784</v>
      </c>
      <c r="N103" s="790">
        <v>1230</v>
      </c>
      <c r="O103" s="790">
        <v>679</v>
      </c>
      <c r="P103" s="790">
        <v>1483</v>
      </c>
      <c r="Q103" s="790">
        <v>2162</v>
      </c>
      <c r="R103" s="790">
        <v>539</v>
      </c>
      <c r="S103" s="790">
        <v>1677</v>
      </c>
      <c r="T103" s="790">
        <v>2216</v>
      </c>
      <c r="U103" s="790">
        <v>529</v>
      </c>
      <c r="V103" s="790">
        <v>1892</v>
      </c>
      <c r="W103" s="790">
        <v>2421</v>
      </c>
      <c r="X103" s="790">
        <v>444</v>
      </c>
      <c r="Y103" s="790">
        <v>1722</v>
      </c>
      <c r="Z103" s="790">
        <v>2166</v>
      </c>
      <c r="AA103" s="790">
        <v>390</v>
      </c>
      <c r="AB103" s="790">
        <v>1359</v>
      </c>
      <c r="AC103" s="790">
        <v>1749</v>
      </c>
      <c r="AD103" s="790">
        <v>383</v>
      </c>
      <c r="AE103" s="790">
        <v>1224</v>
      </c>
      <c r="AF103" s="790">
        <v>1607</v>
      </c>
      <c r="AH103" s="790">
        <f t="shared" si="47"/>
        <v>1461</v>
      </c>
      <c r="AI103" s="790">
        <f t="shared" si="48"/>
        <v>2168</v>
      </c>
      <c r="AJ103" s="790">
        <f t="shared" si="49"/>
        <v>3629</v>
      </c>
      <c r="AK103" s="790">
        <f t="shared" si="50"/>
        <v>2637</v>
      </c>
      <c r="AL103" s="790">
        <f t="shared" si="51"/>
        <v>7558</v>
      </c>
      <c r="AM103" s="790">
        <f t="shared" si="52"/>
        <v>10195</v>
      </c>
      <c r="AN103" s="790">
        <f t="shared" si="53"/>
        <v>773</v>
      </c>
      <c r="AO103" s="790">
        <f t="shared" si="54"/>
        <v>2583</v>
      </c>
      <c r="AP103" s="790">
        <f t="shared" si="55"/>
        <v>3356</v>
      </c>
      <c r="AR103" s="791">
        <f t="shared" si="56"/>
        <v>0.4025902452466244</v>
      </c>
      <c r="AS103" s="791">
        <f t="shared" si="57"/>
        <v>0.25865620402157918</v>
      </c>
      <c r="AT103" s="791">
        <f t="shared" si="58"/>
        <v>0.2303337306317044</v>
      </c>
      <c r="AV103" s="792">
        <v>3592</v>
      </c>
      <c r="AW103" s="792">
        <v>10818</v>
      </c>
      <c r="AX103" s="792">
        <v>3340</v>
      </c>
      <c r="AZ103" s="792">
        <f t="shared" si="59"/>
        <v>1446.1041609258748</v>
      </c>
      <c r="BA103" s="792">
        <f t="shared" si="60"/>
        <v>2798.1428151054438</v>
      </c>
      <c r="BB103" s="792">
        <f t="shared" si="61"/>
        <v>769.3146603098927</v>
      </c>
      <c r="BC103" s="809">
        <f t="shared" si="46"/>
        <v>5013.5616363412119</v>
      </c>
    </row>
    <row r="104" spans="1:55" s="789" customFormat="1" ht="12" customHeight="1" x14ac:dyDescent="0.25">
      <c r="A104" s="789" t="s">
        <v>52</v>
      </c>
      <c r="B104" s="793" t="s">
        <v>53</v>
      </c>
      <c r="C104" s="806">
        <v>575</v>
      </c>
      <c r="D104" s="790">
        <v>1894</v>
      </c>
      <c r="E104" s="790">
        <v>2469</v>
      </c>
      <c r="F104" s="790">
        <v>391</v>
      </c>
      <c r="G104" s="790">
        <v>1540</v>
      </c>
      <c r="H104" s="790">
        <v>1931</v>
      </c>
      <c r="I104" s="790">
        <v>404</v>
      </c>
      <c r="J104" s="790">
        <v>1525</v>
      </c>
      <c r="K104" s="790">
        <v>1929</v>
      </c>
      <c r="L104" s="790">
        <v>6401</v>
      </c>
      <c r="M104" s="790">
        <v>3220</v>
      </c>
      <c r="N104" s="790">
        <v>9621</v>
      </c>
      <c r="O104" s="790">
        <v>1686</v>
      </c>
      <c r="P104" s="790">
        <v>5616</v>
      </c>
      <c r="Q104" s="790">
        <v>7302</v>
      </c>
      <c r="R104" s="790">
        <v>624</v>
      </c>
      <c r="S104" s="790">
        <v>3666</v>
      </c>
      <c r="T104" s="790">
        <v>4290</v>
      </c>
      <c r="U104" s="790">
        <v>946</v>
      </c>
      <c r="V104" s="790">
        <v>3365</v>
      </c>
      <c r="W104" s="790">
        <v>4311</v>
      </c>
      <c r="X104" s="790">
        <v>579</v>
      </c>
      <c r="Y104" s="790">
        <v>3154</v>
      </c>
      <c r="Z104" s="790">
        <v>3733</v>
      </c>
      <c r="AA104" s="790">
        <v>189</v>
      </c>
      <c r="AB104" s="790">
        <v>1878</v>
      </c>
      <c r="AC104" s="790">
        <v>2067</v>
      </c>
      <c r="AD104" s="790">
        <v>247</v>
      </c>
      <c r="AE104" s="790">
        <v>1577</v>
      </c>
      <c r="AF104" s="790">
        <v>1824</v>
      </c>
      <c r="AH104" s="790">
        <f t="shared" si="47"/>
        <v>1370</v>
      </c>
      <c r="AI104" s="790">
        <f t="shared" si="48"/>
        <v>4959</v>
      </c>
      <c r="AJ104" s="790">
        <f t="shared" si="49"/>
        <v>6329</v>
      </c>
      <c r="AK104" s="790">
        <f t="shared" si="50"/>
        <v>10236</v>
      </c>
      <c r="AL104" s="790">
        <f t="shared" si="51"/>
        <v>19021</v>
      </c>
      <c r="AM104" s="790">
        <f t="shared" si="52"/>
        <v>29257</v>
      </c>
      <c r="AN104" s="790">
        <f t="shared" si="53"/>
        <v>436</v>
      </c>
      <c r="AO104" s="790">
        <f t="shared" si="54"/>
        <v>3455</v>
      </c>
      <c r="AP104" s="790">
        <f t="shared" si="55"/>
        <v>3891</v>
      </c>
      <c r="AR104" s="791">
        <f t="shared" si="56"/>
        <v>0.2164638963501343</v>
      </c>
      <c r="AS104" s="791">
        <f t="shared" si="57"/>
        <v>0.34986498957514439</v>
      </c>
      <c r="AT104" s="791">
        <f t="shared" si="58"/>
        <v>0.11205345669493703</v>
      </c>
      <c r="AV104" s="792">
        <v>6368</v>
      </c>
      <c r="AW104" s="792">
        <v>33048</v>
      </c>
      <c r="AX104" s="792">
        <v>4095</v>
      </c>
      <c r="AZ104" s="792">
        <f t="shared" si="59"/>
        <v>1378.4420919576553</v>
      </c>
      <c r="BA104" s="792">
        <f t="shared" si="60"/>
        <v>11562.338175479372</v>
      </c>
      <c r="BB104" s="792">
        <f t="shared" si="61"/>
        <v>458.85890516576717</v>
      </c>
      <c r="BC104" s="809">
        <f t="shared" si="46"/>
        <v>13399.639172602794</v>
      </c>
    </row>
    <row r="105" spans="1:55" s="789" customFormat="1" ht="12" customHeight="1" x14ac:dyDescent="0.25">
      <c r="A105" s="789" t="s">
        <v>54</v>
      </c>
      <c r="B105" s="793" t="s">
        <v>55</v>
      </c>
      <c r="C105" s="806">
        <v>3084</v>
      </c>
      <c r="D105" s="790">
        <v>13772</v>
      </c>
      <c r="E105" s="790">
        <v>16856</v>
      </c>
      <c r="F105" s="790">
        <v>2692</v>
      </c>
      <c r="G105" s="790">
        <v>16302</v>
      </c>
      <c r="H105" s="790">
        <v>18994</v>
      </c>
      <c r="I105" s="790">
        <v>2296</v>
      </c>
      <c r="J105" s="790">
        <v>18621</v>
      </c>
      <c r="K105" s="790">
        <v>20917</v>
      </c>
      <c r="L105" s="790">
        <v>2402</v>
      </c>
      <c r="M105" s="790">
        <v>16644</v>
      </c>
      <c r="N105" s="790">
        <v>19046</v>
      </c>
      <c r="O105" s="790">
        <v>2964</v>
      </c>
      <c r="P105" s="790">
        <v>23493</v>
      </c>
      <c r="Q105" s="790">
        <v>26457</v>
      </c>
      <c r="R105" s="790">
        <v>2304</v>
      </c>
      <c r="S105" s="790">
        <v>28925</v>
      </c>
      <c r="T105" s="790">
        <v>31229</v>
      </c>
      <c r="U105" s="790">
        <v>2031</v>
      </c>
      <c r="V105" s="790">
        <v>33944</v>
      </c>
      <c r="W105" s="790">
        <v>35975</v>
      </c>
      <c r="X105" s="790">
        <v>1686</v>
      </c>
      <c r="Y105" s="790">
        <v>22430</v>
      </c>
      <c r="Z105" s="790">
        <v>24116</v>
      </c>
      <c r="AA105" s="790">
        <v>1218</v>
      </c>
      <c r="AB105" s="790">
        <v>11753</v>
      </c>
      <c r="AC105" s="790">
        <v>12971</v>
      </c>
      <c r="AD105" s="790">
        <v>1162</v>
      </c>
      <c r="AE105" s="790">
        <v>8133</v>
      </c>
      <c r="AF105" s="790">
        <v>9295</v>
      </c>
      <c r="AH105" s="790">
        <f t="shared" si="47"/>
        <v>8072</v>
      </c>
      <c r="AI105" s="790">
        <f t="shared" si="48"/>
        <v>48695</v>
      </c>
      <c r="AJ105" s="790">
        <f t="shared" si="49"/>
        <v>56767</v>
      </c>
      <c r="AK105" s="790">
        <f t="shared" si="50"/>
        <v>11387</v>
      </c>
      <c r="AL105" s="790">
        <f t="shared" si="51"/>
        <v>125436</v>
      </c>
      <c r="AM105" s="790">
        <f t="shared" si="52"/>
        <v>136823</v>
      </c>
      <c r="AN105" s="790">
        <f t="shared" si="53"/>
        <v>2380</v>
      </c>
      <c r="AO105" s="790">
        <f t="shared" si="54"/>
        <v>19886</v>
      </c>
      <c r="AP105" s="790">
        <f t="shared" si="55"/>
        <v>22266</v>
      </c>
      <c r="AR105" s="791">
        <f t="shared" si="56"/>
        <v>0.14219528951679672</v>
      </c>
      <c r="AS105" s="791">
        <f t="shared" si="57"/>
        <v>8.3224311701979928E-2</v>
      </c>
      <c r="AT105" s="791">
        <f t="shared" si="58"/>
        <v>0.10688942782718046</v>
      </c>
      <c r="AV105" s="792">
        <v>57117</v>
      </c>
      <c r="AW105" s="792">
        <v>143811</v>
      </c>
      <c r="AX105" s="792">
        <v>24122</v>
      </c>
      <c r="AZ105" s="792">
        <f t="shared" si="59"/>
        <v>8121.7683513308784</v>
      </c>
      <c r="BA105" s="792">
        <f t="shared" si="60"/>
        <v>11968.571490173435</v>
      </c>
      <c r="BB105" s="792">
        <f t="shared" si="61"/>
        <v>2578.3867780472469</v>
      </c>
      <c r="BC105" s="809">
        <f t="shared" si="46"/>
        <v>22668.726619551559</v>
      </c>
    </row>
    <row r="106" spans="1:55" s="789" customFormat="1" ht="12" customHeight="1" x14ac:dyDescent="0.25">
      <c r="A106" s="789" t="s">
        <v>66</v>
      </c>
      <c r="B106" s="793" t="s">
        <v>67</v>
      </c>
      <c r="C106" s="806">
        <v>1769</v>
      </c>
      <c r="D106" s="790">
        <v>1377</v>
      </c>
      <c r="E106" s="790">
        <v>3146</v>
      </c>
      <c r="F106" s="790">
        <v>1427</v>
      </c>
      <c r="G106" s="790">
        <v>1658</v>
      </c>
      <c r="H106" s="790">
        <v>3085</v>
      </c>
      <c r="I106" s="790">
        <v>1211</v>
      </c>
      <c r="J106" s="790">
        <v>1757</v>
      </c>
      <c r="K106" s="790">
        <v>2968</v>
      </c>
      <c r="L106" s="790">
        <v>1620</v>
      </c>
      <c r="M106" s="790">
        <v>2218</v>
      </c>
      <c r="N106" s="790">
        <v>3838</v>
      </c>
      <c r="O106" s="790">
        <v>1676</v>
      </c>
      <c r="P106" s="790">
        <v>2837</v>
      </c>
      <c r="Q106" s="790">
        <v>4513</v>
      </c>
      <c r="R106" s="790">
        <v>1314</v>
      </c>
      <c r="S106" s="790">
        <v>3376</v>
      </c>
      <c r="T106" s="790">
        <v>4690</v>
      </c>
      <c r="U106" s="790">
        <v>1527</v>
      </c>
      <c r="V106" s="790">
        <v>4702</v>
      </c>
      <c r="W106" s="790">
        <v>6229</v>
      </c>
      <c r="X106" s="790">
        <v>1121</v>
      </c>
      <c r="Y106" s="790">
        <v>4698</v>
      </c>
      <c r="Z106" s="790">
        <v>5819</v>
      </c>
      <c r="AA106" s="790">
        <v>753</v>
      </c>
      <c r="AB106" s="790">
        <v>3059</v>
      </c>
      <c r="AC106" s="790">
        <v>3812</v>
      </c>
      <c r="AD106" s="790">
        <v>1225</v>
      </c>
      <c r="AE106" s="790">
        <v>2640</v>
      </c>
      <c r="AF106" s="790">
        <v>3865</v>
      </c>
      <c r="AH106" s="790">
        <f t="shared" si="47"/>
        <v>4407</v>
      </c>
      <c r="AI106" s="790">
        <f t="shared" si="48"/>
        <v>4792</v>
      </c>
      <c r="AJ106" s="790">
        <f t="shared" si="49"/>
        <v>9199</v>
      </c>
      <c r="AK106" s="790">
        <f t="shared" si="50"/>
        <v>7258</v>
      </c>
      <c r="AL106" s="790">
        <f t="shared" si="51"/>
        <v>17831</v>
      </c>
      <c r="AM106" s="790">
        <f t="shared" si="52"/>
        <v>25089</v>
      </c>
      <c r="AN106" s="790">
        <f t="shared" si="53"/>
        <v>1978</v>
      </c>
      <c r="AO106" s="790">
        <f t="shared" si="54"/>
        <v>5699</v>
      </c>
      <c r="AP106" s="790">
        <f t="shared" si="55"/>
        <v>7677</v>
      </c>
      <c r="AR106" s="791">
        <f t="shared" si="56"/>
        <v>0.4790738123709099</v>
      </c>
      <c r="AS106" s="791">
        <f t="shared" si="57"/>
        <v>0.28929012714735541</v>
      </c>
      <c r="AT106" s="791">
        <f t="shared" si="58"/>
        <v>0.25765272893057184</v>
      </c>
      <c r="AV106" s="792">
        <v>9284</v>
      </c>
      <c r="AW106" s="792">
        <v>25358</v>
      </c>
      <c r="AX106" s="792">
        <v>8210</v>
      </c>
      <c r="AZ106" s="792">
        <f t="shared" si="59"/>
        <v>4447.7212740515279</v>
      </c>
      <c r="BA106" s="792">
        <f t="shared" si="60"/>
        <v>7335.8190442026389</v>
      </c>
      <c r="BB106" s="792">
        <f t="shared" si="61"/>
        <v>2115.3289045199949</v>
      </c>
      <c r="BC106" s="809">
        <f t="shared" si="46"/>
        <v>13898.869222774161</v>
      </c>
    </row>
    <row r="107" spans="1:55" s="789" customFormat="1" ht="12" customHeight="1" x14ac:dyDescent="0.25">
      <c r="A107" s="789" t="s">
        <v>82</v>
      </c>
      <c r="B107" s="793" t="s">
        <v>83</v>
      </c>
      <c r="C107" s="806">
        <v>344</v>
      </c>
      <c r="D107" s="790">
        <v>350</v>
      </c>
      <c r="E107" s="790">
        <v>694</v>
      </c>
      <c r="F107" s="790">
        <v>223</v>
      </c>
      <c r="G107" s="790">
        <v>450</v>
      </c>
      <c r="H107" s="790">
        <v>673</v>
      </c>
      <c r="I107" s="790">
        <v>265</v>
      </c>
      <c r="J107" s="790">
        <v>394</v>
      </c>
      <c r="K107" s="790">
        <v>659</v>
      </c>
      <c r="L107" s="790">
        <v>286</v>
      </c>
      <c r="M107" s="790">
        <v>550</v>
      </c>
      <c r="N107" s="790">
        <v>836</v>
      </c>
      <c r="O107" s="790">
        <v>220</v>
      </c>
      <c r="P107" s="790">
        <v>621</v>
      </c>
      <c r="Q107" s="790">
        <v>841</v>
      </c>
      <c r="R107" s="790">
        <v>116</v>
      </c>
      <c r="S107" s="790">
        <v>936</v>
      </c>
      <c r="T107" s="790">
        <v>1052</v>
      </c>
      <c r="U107" s="790">
        <v>281</v>
      </c>
      <c r="V107" s="790">
        <v>959</v>
      </c>
      <c r="W107" s="790">
        <v>1240</v>
      </c>
      <c r="X107" s="790">
        <v>211</v>
      </c>
      <c r="Y107" s="790">
        <v>872</v>
      </c>
      <c r="Z107" s="790">
        <v>1083</v>
      </c>
      <c r="AA107" s="790">
        <v>94</v>
      </c>
      <c r="AB107" s="790">
        <v>483</v>
      </c>
      <c r="AC107" s="790">
        <v>577</v>
      </c>
      <c r="AD107" s="790">
        <v>138</v>
      </c>
      <c r="AE107" s="790">
        <v>631</v>
      </c>
      <c r="AF107" s="790">
        <v>769</v>
      </c>
      <c r="AH107" s="790">
        <f t="shared" si="47"/>
        <v>832</v>
      </c>
      <c r="AI107" s="790">
        <f t="shared" si="48"/>
        <v>1194</v>
      </c>
      <c r="AJ107" s="790">
        <f t="shared" si="49"/>
        <v>2026</v>
      </c>
      <c r="AK107" s="790">
        <f t="shared" si="50"/>
        <v>1114</v>
      </c>
      <c r="AL107" s="790">
        <f t="shared" si="51"/>
        <v>3938</v>
      </c>
      <c r="AM107" s="790">
        <f t="shared" si="52"/>
        <v>5052</v>
      </c>
      <c r="AN107" s="790">
        <f t="shared" si="53"/>
        <v>232</v>
      </c>
      <c r="AO107" s="790">
        <f t="shared" si="54"/>
        <v>1114</v>
      </c>
      <c r="AP107" s="790">
        <f t="shared" si="55"/>
        <v>1346</v>
      </c>
      <c r="AR107" s="791">
        <f t="shared" si="56"/>
        <v>0.4106614017769003</v>
      </c>
      <c r="AS107" s="791">
        <f t="shared" si="57"/>
        <v>0.22050673000791765</v>
      </c>
      <c r="AT107" s="791">
        <f t="shared" si="58"/>
        <v>0.17236255572065379</v>
      </c>
      <c r="AV107" s="792">
        <v>2050</v>
      </c>
      <c r="AW107" s="792">
        <v>5023</v>
      </c>
      <c r="AX107" s="792">
        <v>1515</v>
      </c>
      <c r="AZ107" s="792">
        <f t="shared" si="59"/>
        <v>841.85587364264563</v>
      </c>
      <c r="BA107" s="792">
        <f t="shared" si="60"/>
        <v>1107.6053048297704</v>
      </c>
      <c r="BB107" s="792">
        <f t="shared" si="61"/>
        <v>261.12927191679051</v>
      </c>
      <c r="BC107" s="809">
        <f t="shared" si="46"/>
        <v>2210.5904503892066</v>
      </c>
    </row>
    <row r="108" spans="1:55" s="789" customFormat="1" ht="12" customHeight="1" x14ac:dyDescent="0.25">
      <c r="A108" s="789" t="s">
        <v>88</v>
      </c>
      <c r="B108" s="793" t="s">
        <v>89</v>
      </c>
      <c r="C108" s="806">
        <v>471</v>
      </c>
      <c r="D108" s="790">
        <v>1259</v>
      </c>
      <c r="E108" s="790">
        <v>1730</v>
      </c>
      <c r="F108" s="790">
        <v>243</v>
      </c>
      <c r="G108" s="790">
        <v>1358</v>
      </c>
      <c r="H108" s="790">
        <v>1601</v>
      </c>
      <c r="I108" s="790">
        <v>288</v>
      </c>
      <c r="J108" s="790">
        <v>1008</v>
      </c>
      <c r="K108" s="790">
        <v>1296</v>
      </c>
      <c r="L108" s="790">
        <v>1505</v>
      </c>
      <c r="M108" s="790">
        <v>1638</v>
      </c>
      <c r="N108" s="790">
        <v>3143</v>
      </c>
      <c r="O108" s="790">
        <v>351</v>
      </c>
      <c r="P108" s="790">
        <v>3063</v>
      </c>
      <c r="Q108" s="790">
        <v>3414</v>
      </c>
      <c r="R108" s="790">
        <v>314</v>
      </c>
      <c r="S108" s="790">
        <v>2643</v>
      </c>
      <c r="T108" s="790">
        <v>2957</v>
      </c>
      <c r="U108" s="790">
        <v>382</v>
      </c>
      <c r="V108" s="790">
        <v>2371</v>
      </c>
      <c r="W108" s="790">
        <v>2753</v>
      </c>
      <c r="X108" s="790">
        <v>371</v>
      </c>
      <c r="Y108" s="790">
        <v>1772</v>
      </c>
      <c r="Z108" s="790">
        <v>2143</v>
      </c>
      <c r="AA108" s="790">
        <v>74</v>
      </c>
      <c r="AB108" s="790">
        <v>1174</v>
      </c>
      <c r="AC108" s="790">
        <v>1248</v>
      </c>
      <c r="AD108" s="790">
        <v>189</v>
      </c>
      <c r="AE108" s="790">
        <v>1041</v>
      </c>
      <c r="AF108" s="790">
        <v>1230</v>
      </c>
      <c r="AH108" s="790">
        <f t="shared" si="47"/>
        <v>1002</v>
      </c>
      <c r="AI108" s="790">
        <f t="shared" si="48"/>
        <v>3625</v>
      </c>
      <c r="AJ108" s="790">
        <f t="shared" si="49"/>
        <v>4627</v>
      </c>
      <c r="AK108" s="790">
        <f t="shared" si="50"/>
        <v>2923</v>
      </c>
      <c r="AL108" s="790">
        <f t="shared" si="51"/>
        <v>11487</v>
      </c>
      <c r="AM108" s="790">
        <f t="shared" si="52"/>
        <v>14410</v>
      </c>
      <c r="AN108" s="790">
        <f t="shared" si="53"/>
        <v>263</v>
      </c>
      <c r="AO108" s="790">
        <f t="shared" si="54"/>
        <v>2215</v>
      </c>
      <c r="AP108" s="790">
        <f t="shared" si="55"/>
        <v>2478</v>
      </c>
      <c r="AR108" s="791">
        <f t="shared" si="56"/>
        <v>0.21655500324184138</v>
      </c>
      <c r="AS108" s="791">
        <f t="shared" si="57"/>
        <v>0.20284524635669673</v>
      </c>
      <c r="AT108" s="791">
        <f t="shared" si="58"/>
        <v>0.10613397901533494</v>
      </c>
      <c r="AV108" s="792">
        <v>5320</v>
      </c>
      <c r="AW108" s="792">
        <v>17912</v>
      </c>
      <c r="AX108" s="792">
        <v>2459</v>
      </c>
      <c r="AZ108" s="792">
        <f t="shared" si="59"/>
        <v>1152.0726172465961</v>
      </c>
      <c r="BA108" s="792">
        <f t="shared" si="60"/>
        <v>3633.3640527411521</v>
      </c>
      <c r="BB108" s="792">
        <f t="shared" si="61"/>
        <v>260.9834543987086</v>
      </c>
      <c r="BC108" s="809">
        <f t="shared" si="46"/>
        <v>5046.4201243864572</v>
      </c>
    </row>
    <row r="109" spans="1:55" s="789" customFormat="1" ht="12" customHeight="1" x14ac:dyDescent="0.25">
      <c r="A109" s="789" t="s">
        <v>90</v>
      </c>
      <c r="B109" s="793" t="s">
        <v>91</v>
      </c>
      <c r="C109" s="806">
        <v>145</v>
      </c>
      <c r="D109" s="790">
        <v>63</v>
      </c>
      <c r="E109" s="790">
        <v>208</v>
      </c>
      <c r="F109" s="790">
        <v>321</v>
      </c>
      <c r="G109" s="790">
        <v>223</v>
      </c>
      <c r="H109" s="790">
        <v>544</v>
      </c>
      <c r="I109" s="790">
        <v>142</v>
      </c>
      <c r="J109" s="790">
        <v>220</v>
      </c>
      <c r="K109" s="790">
        <v>362</v>
      </c>
      <c r="L109" s="790">
        <v>172</v>
      </c>
      <c r="M109" s="790">
        <v>196</v>
      </c>
      <c r="N109" s="790">
        <v>368</v>
      </c>
      <c r="O109" s="790">
        <v>500</v>
      </c>
      <c r="P109" s="790">
        <v>703</v>
      </c>
      <c r="Q109" s="790">
        <v>1203</v>
      </c>
      <c r="R109" s="790">
        <v>132</v>
      </c>
      <c r="S109" s="790">
        <v>534</v>
      </c>
      <c r="T109" s="790">
        <v>666</v>
      </c>
      <c r="U109" s="790">
        <v>236</v>
      </c>
      <c r="V109" s="790">
        <v>604</v>
      </c>
      <c r="W109" s="790">
        <v>840</v>
      </c>
      <c r="X109" s="790">
        <v>257</v>
      </c>
      <c r="Y109" s="790">
        <v>534</v>
      </c>
      <c r="Z109" s="790">
        <v>791</v>
      </c>
      <c r="AA109" s="790">
        <v>96</v>
      </c>
      <c r="AB109" s="790">
        <v>622</v>
      </c>
      <c r="AC109" s="790">
        <v>718</v>
      </c>
      <c r="AD109" s="790">
        <v>365</v>
      </c>
      <c r="AE109" s="790">
        <v>597</v>
      </c>
      <c r="AF109" s="790">
        <v>962</v>
      </c>
      <c r="AH109" s="790">
        <f t="shared" si="47"/>
        <v>608</v>
      </c>
      <c r="AI109" s="790">
        <f t="shared" si="48"/>
        <v>506</v>
      </c>
      <c r="AJ109" s="790">
        <f t="shared" si="49"/>
        <v>1114</v>
      </c>
      <c r="AK109" s="790">
        <f t="shared" si="50"/>
        <v>1297</v>
      </c>
      <c r="AL109" s="790">
        <f t="shared" si="51"/>
        <v>2571</v>
      </c>
      <c r="AM109" s="790">
        <f t="shared" si="52"/>
        <v>3868</v>
      </c>
      <c r="AN109" s="790">
        <f t="shared" si="53"/>
        <v>461</v>
      </c>
      <c r="AO109" s="790">
        <f t="shared" si="54"/>
        <v>1219</v>
      </c>
      <c r="AP109" s="790">
        <f t="shared" si="55"/>
        <v>1680</v>
      </c>
      <c r="AR109" s="791">
        <f t="shared" si="56"/>
        <v>0.54578096947935373</v>
      </c>
      <c r="AS109" s="791">
        <f t="shared" si="57"/>
        <v>0.33531540847983454</v>
      </c>
      <c r="AT109" s="791">
        <f t="shared" si="58"/>
        <v>0.27440476190476193</v>
      </c>
      <c r="AV109" s="792">
        <v>1537</v>
      </c>
      <c r="AW109" s="792">
        <v>3979</v>
      </c>
      <c r="AX109" s="792">
        <v>1467</v>
      </c>
      <c r="AZ109" s="792">
        <f t="shared" si="59"/>
        <v>838.86535008976671</v>
      </c>
      <c r="BA109" s="792">
        <f t="shared" si="60"/>
        <v>1334.2200103412617</v>
      </c>
      <c r="BB109" s="792">
        <f t="shared" si="61"/>
        <v>402.55178571428576</v>
      </c>
      <c r="BC109" s="809">
        <f t="shared" si="46"/>
        <v>2575.6371461453145</v>
      </c>
    </row>
    <row r="110" spans="1:55" s="789" customFormat="1" ht="12" customHeight="1" x14ac:dyDescent="0.25">
      <c r="A110" s="789" t="s">
        <v>106</v>
      </c>
      <c r="B110" s="793" t="s">
        <v>107</v>
      </c>
      <c r="C110" s="806">
        <v>2854</v>
      </c>
      <c r="D110" s="790">
        <v>7786</v>
      </c>
      <c r="E110" s="790">
        <v>10640</v>
      </c>
      <c r="F110" s="790">
        <v>3046</v>
      </c>
      <c r="G110" s="790">
        <v>6677</v>
      </c>
      <c r="H110" s="790">
        <v>9723</v>
      </c>
      <c r="I110" s="790">
        <v>3051</v>
      </c>
      <c r="J110" s="790">
        <v>7726</v>
      </c>
      <c r="K110" s="790">
        <v>10777</v>
      </c>
      <c r="L110" s="790">
        <v>3179</v>
      </c>
      <c r="M110" s="790">
        <v>11000</v>
      </c>
      <c r="N110" s="790">
        <v>14179</v>
      </c>
      <c r="O110" s="790">
        <v>2360</v>
      </c>
      <c r="P110" s="790">
        <v>16304</v>
      </c>
      <c r="Q110" s="790">
        <v>18664</v>
      </c>
      <c r="R110" s="790">
        <v>2567</v>
      </c>
      <c r="S110" s="790">
        <v>14294</v>
      </c>
      <c r="T110" s="790">
        <v>16861</v>
      </c>
      <c r="U110" s="790">
        <v>2069</v>
      </c>
      <c r="V110" s="790">
        <v>18621</v>
      </c>
      <c r="W110" s="790">
        <v>20690</v>
      </c>
      <c r="X110" s="790">
        <v>1807</v>
      </c>
      <c r="Y110" s="790">
        <v>13558</v>
      </c>
      <c r="Z110" s="790">
        <v>15365</v>
      </c>
      <c r="AA110" s="790">
        <v>818</v>
      </c>
      <c r="AB110" s="790">
        <v>8415</v>
      </c>
      <c r="AC110" s="790">
        <v>9233</v>
      </c>
      <c r="AD110" s="790">
        <v>1147</v>
      </c>
      <c r="AE110" s="790">
        <v>5758</v>
      </c>
      <c r="AF110" s="790">
        <v>6905</v>
      </c>
      <c r="AH110" s="790">
        <f t="shared" si="47"/>
        <v>8951</v>
      </c>
      <c r="AI110" s="790">
        <f t="shared" si="48"/>
        <v>22189</v>
      </c>
      <c r="AJ110" s="790">
        <f t="shared" si="49"/>
        <v>31140</v>
      </c>
      <c r="AK110" s="790">
        <f t="shared" si="50"/>
        <v>11982</v>
      </c>
      <c r="AL110" s="790">
        <f t="shared" si="51"/>
        <v>73777</v>
      </c>
      <c r="AM110" s="790">
        <f t="shared" si="52"/>
        <v>85759</v>
      </c>
      <c r="AN110" s="790">
        <f t="shared" si="53"/>
        <v>1965</v>
      </c>
      <c r="AO110" s="790">
        <f t="shared" si="54"/>
        <v>14173</v>
      </c>
      <c r="AP110" s="790">
        <f t="shared" si="55"/>
        <v>16138</v>
      </c>
      <c r="AR110" s="791">
        <f t="shared" si="56"/>
        <v>0.28744380218368659</v>
      </c>
      <c r="AS110" s="791">
        <f t="shared" si="57"/>
        <v>0.13971711423873878</v>
      </c>
      <c r="AT110" s="791">
        <f t="shared" si="58"/>
        <v>0.12176230016111042</v>
      </c>
      <c r="AV110" s="792">
        <v>30712</v>
      </c>
      <c r="AW110" s="792">
        <v>88489</v>
      </c>
      <c r="AX110" s="792">
        <v>17200</v>
      </c>
      <c r="AZ110" s="792">
        <f t="shared" si="59"/>
        <v>8827.9740526653823</v>
      </c>
      <c r="BA110" s="792">
        <f t="shared" si="60"/>
        <v>12363.427721871756</v>
      </c>
      <c r="BB110" s="792">
        <f t="shared" si="61"/>
        <v>2094.311562771099</v>
      </c>
      <c r="BC110" s="809">
        <f t="shared" si="46"/>
        <v>23285.713337308236</v>
      </c>
    </row>
    <row r="111" spans="1:55" s="789" customFormat="1" ht="12" customHeight="1" x14ac:dyDescent="0.25">
      <c r="A111" s="789" t="s">
        <v>116</v>
      </c>
      <c r="B111" s="793" t="s">
        <v>117</v>
      </c>
      <c r="C111" s="806">
        <v>757</v>
      </c>
      <c r="D111" s="790">
        <v>1260</v>
      </c>
      <c r="E111" s="790">
        <v>2017</v>
      </c>
      <c r="F111" s="790">
        <v>505</v>
      </c>
      <c r="G111" s="790">
        <v>874</v>
      </c>
      <c r="H111" s="790">
        <v>1379</v>
      </c>
      <c r="I111" s="790">
        <v>822</v>
      </c>
      <c r="J111" s="790">
        <v>1117</v>
      </c>
      <c r="K111" s="790">
        <v>1939</v>
      </c>
      <c r="L111" s="790">
        <v>434</v>
      </c>
      <c r="M111" s="790">
        <v>1597</v>
      </c>
      <c r="N111" s="790">
        <v>2031</v>
      </c>
      <c r="O111" s="790">
        <v>777</v>
      </c>
      <c r="P111" s="790">
        <v>2370</v>
      </c>
      <c r="Q111" s="790">
        <v>3147</v>
      </c>
      <c r="R111" s="790">
        <v>505</v>
      </c>
      <c r="S111" s="790">
        <v>2491</v>
      </c>
      <c r="T111" s="790">
        <v>2996</v>
      </c>
      <c r="U111" s="790">
        <v>610</v>
      </c>
      <c r="V111" s="790">
        <v>2329</v>
      </c>
      <c r="W111" s="790">
        <v>2939</v>
      </c>
      <c r="X111" s="790">
        <v>516</v>
      </c>
      <c r="Y111" s="790">
        <v>1878</v>
      </c>
      <c r="Z111" s="790">
        <v>2394</v>
      </c>
      <c r="AA111" s="790">
        <v>210</v>
      </c>
      <c r="AB111" s="790">
        <v>1386</v>
      </c>
      <c r="AC111" s="790">
        <v>1596</v>
      </c>
      <c r="AD111" s="790">
        <v>286</v>
      </c>
      <c r="AE111" s="790">
        <v>1298</v>
      </c>
      <c r="AF111" s="790">
        <v>1584</v>
      </c>
      <c r="AH111" s="790">
        <f t="shared" si="47"/>
        <v>2084</v>
      </c>
      <c r="AI111" s="790">
        <f t="shared" si="48"/>
        <v>3251</v>
      </c>
      <c r="AJ111" s="790">
        <f t="shared" si="49"/>
        <v>5335</v>
      </c>
      <c r="AK111" s="790">
        <f t="shared" si="50"/>
        <v>2842</v>
      </c>
      <c r="AL111" s="790">
        <f t="shared" si="51"/>
        <v>10665</v>
      </c>
      <c r="AM111" s="790">
        <f t="shared" si="52"/>
        <v>13507</v>
      </c>
      <c r="AN111" s="790">
        <f t="shared" si="53"/>
        <v>496</v>
      </c>
      <c r="AO111" s="790">
        <f t="shared" si="54"/>
        <v>2684</v>
      </c>
      <c r="AP111" s="790">
        <f t="shared" si="55"/>
        <v>3180</v>
      </c>
      <c r="AR111" s="791">
        <f t="shared" si="56"/>
        <v>0.39062792877225866</v>
      </c>
      <c r="AS111" s="791">
        <f t="shared" si="57"/>
        <v>0.21040941733915747</v>
      </c>
      <c r="AT111" s="791">
        <f t="shared" si="58"/>
        <v>0.15597484276729559</v>
      </c>
      <c r="AV111" s="792">
        <v>5605</v>
      </c>
      <c r="AW111" s="792">
        <v>13635</v>
      </c>
      <c r="AX111" s="792">
        <v>3340</v>
      </c>
      <c r="AZ111" s="792">
        <f t="shared" si="59"/>
        <v>2189.4695407685099</v>
      </c>
      <c r="BA111" s="792">
        <f t="shared" si="60"/>
        <v>2868.9324054194121</v>
      </c>
      <c r="BB111" s="792">
        <f t="shared" si="61"/>
        <v>520.95597484276732</v>
      </c>
      <c r="BC111" s="809">
        <f t="shared" si="46"/>
        <v>5579.3579210306889</v>
      </c>
    </row>
    <row r="112" spans="1:55" s="789" customFormat="1" ht="12" customHeight="1" x14ac:dyDescent="0.25">
      <c r="A112" s="789" t="s">
        <v>138</v>
      </c>
      <c r="B112" s="793" t="s">
        <v>139</v>
      </c>
      <c r="C112" s="806">
        <v>2402</v>
      </c>
      <c r="D112" s="790">
        <v>2700</v>
      </c>
      <c r="E112" s="790">
        <v>5102</v>
      </c>
      <c r="F112" s="790">
        <v>1577</v>
      </c>
      <c r="G112" s="790">
        <v>3199</v>
      </c>
      <c r="H112" s="790">
        <v>4776</v>
      </c>
      <c r="I112" s="790">
        <v>1248</v>
      </c>
      <c r="J112" s="790">
        <v>3311</v>
      </c>
      <c r="K112" s="790">
        <v>4559</v>
      </c>
      <c r="L112" s="790">
        <v>5359</v>
      </c>
      <c r="M112" s="790">
        <v>5038</v>
      </c>
      <c r="N112" s="790">
        <v>10397</v>
      </c>
      <c r="O112" s="790">
        <v>2181</v>
      </c>
      <c r="P112" s="790">
        <v>6576</v>
      </c>
      <c r="Q112" s="790">
        <v>8757</v>
      </c>
      <c r="R112" s="790">
        <v>1705</v>
      </c>
      <c r="S112" s="790">
        <v>5745</v>
      </c>
      <c r="T112" s="790">
        <v>7450</v>
      </c>
      <c r="U112" s="790">
        <v>1491</v>
      </c>
      <c r="V112" s="790">
        <v>7005</v>
      </c>
      <c r="W112" s="790">
        <v>8496</v>
      </c>
      <c r="X112" s="790">
        <v>1334</v>
      </c>
      <c r="Y112" s="790">
        <v>6129</v>
      </c>
      <c r="Z112" s="790">
        <v>7463</v>
      </c>
      <c r="AA112" s="790">
        <v>530</v>
      </c>
      <c r="AB112" s="790">
        <v>4082</v>
      </c>
      <c r="AC112" s="790">
        <v>4612</v>
      </c>
      <c r="AD112" s="790">
        <v>783</v>
      </c>
      <c r="AE112" s="790">
        <v>4343</v>
      </c>
      <c r="AF112" s="790">
        <v>5126</v>
      </c>
      <c r="AH112" s="790">
        <f t="shared" si="47"/>
        <v>5227</v>
      </c>
      <c r="AI112" s="790">
        <f t="shared" si="48"/>
        <v>9210</v>
      </c>
      <c r="AJ112" s="790">
        <f t="shared" si="49"/>
        <v>14437</v>
      </c>
      <c r="AK112" s="790">
        <f t="shared" si="50"/>
        <v>12070</v>
      </c>
      <c r="AL112" s="790">
        <f t="shared" si="51"/>
        <v>30493</v>
      </c>
      <c r="AM112" s="790">
        <f t="shared" si="52"/>
        <v>42563</v>
      </c>
      <c r="AN112" s="790">
        <f t="shared" si="53"/>
        <v>1313</v>
      </c>
      <c r="AO112" s="790">
        <f t="shared" si="54"/>
        <v>8425</v>
      </c>
      <c r="AP112" s="790">
        <f t="shared" si="55"/>
        <v>9738</v>
      </c>
      <c r="AR112" s="791">
        <f t="shared" si="56"/>
        <v>0.36205582877329084</v>
      </c>
      <c r="AS112" s="791">
        <f t="shared" si="57"/>
        <v>0.28357963489415688</v>
      </c>
      <c r="AT112" s="791">
        <f t="shared" si="58"/>
        <v>0.13483261449989731</v>
      </c>
      <c r="AV112" s="792">
        <v>14947</v>
      </c>
      <c r="AW112" s="792">
        <v>50797</v>
      </c>
      <c r="AX112" s="792">
        <v>10760</v>
      </c>
      <c r="AZ112" s="792">
        <f t="shared" si="59"/>
        <v>5411.6484726743784</v>
      </c>
      <c r="BA112" s="792">
        <f t="shared" si="60"/>
        <v>14404.994713718488</v>
      </c>
      <c r="BB112" s="792">
        <f t="shared" si="61"/>
        <v>1450.7989320188951</v>
      </c>
      <c r="BC112" s="809">
        <f t="shared" si="46"/>
        <v>21267.44211841176</v>
      </c>
    </row>
    <row r="113" spans="1:55" s="789" customFormat="1" ht="12" customHeight="1" x14ac:dyDescent="0.25">
      <c r="A113" s="789" t="s">
        <v>142</v>
      </c>
      <c r="B113" s="793" t="s">
        <v>143</v>
      </c>
      <c r="C113" s="806">
        <v>916</v>
      </c>
      <c r="D113" s="790">
        <v>2782</v>
      </c>
      <c r="E113" s="790">
        <v>3698</v>
      </c>
      <c r="F113" s="790">
        <v>1200</v>
      </c>
      <c r="G113" s="790">
        <v>2083</v>
      </c>
      <c r="H113" s="790">
        <v>3283</v>
      </c>
      <c r="I113" s="790">
        <v>531</v>
      </c>
      <c r="J113" s="790">
        <v>2908</v>
      </c>
      <c r="K113" s="790">
        <v>3439</v>
      </c>
      <c r="L113" s="790">
        <v>547</v>
      </c>
      <c r="M113" s="790">
        <v>3150</v>
      </c>
      <c r="N113" s="790">
        <v>3697</v>
      </c>
      <c r="O113" s="790">
        <v>881</v>
      </c>
      <c r="P113" s="790">
        <v>4642</v>
      </c>
      <c r="Q113" s="790">
        <v>5523</v>
      </c>
      <c r="R113" s="790">
        <v>1003</v>
      </c>
      <c r="S113" s="790">
        <v>4676</v>
      </c>
      <c r="T113" s="790">
        <v>5679</v>
      </c>
      <c r="U113" s="790">
        <v>406</v>
      </c>
      <c r="V113" s="790">
        <v>4895</v>
      </c>
      <c r="W113" s="790">
        <v>5301</v>
      </c>
      <c r="X113" s="790">
        <v>306</v>
      </c>
      <c r="Y113" s="790">
        <v>3097</v>
      </c>
      <c r="Z113" s="790">
        <v>3403</v>
      </c>
      <c r="AA113" s="790">
        <v>162</v>
      </c>
      <c r="AB113" s="790">
        <v>1357</v>
      </c>
      <c r="AC113" s="790">
        <v>1519</v>
      </c>
      <c r="AD113" s="790">
        <v>80</v>
      </c>
      <c r="AE113" s="790">
        <v>938</v>
      </c>
      <c r="AF113" s="790">
        <v>1018</v>
      </c>
      <c r="AH113" s="790">
        <f t="shared" si="47"/>
        <v>2647</v>
      </c>
      <c r="AI113" s="790">
        <f t="shared" si="48"/>
        <v>7773</v>
      </c>
      <c r="AJ113" s="790">
        <f t="shared" si="49"/>
        <v>10420</v>
      </c>
      <c r="AK113" s="790">
        <f t="shared" si="50"/>
        <v>3143</v>
      </c>
      <c r="AL113" s="790">
        <f t="shared" si="51"/>
        <v>20460</v>
      </c>
      <c r="AM113" s="790">
        <f t="shared" si="52"/>
        <v>23603</v>
      </c>
      <c r="AN113" s="790">
        <f t="shared" si="53"/>
        <v>242</v>
      </c>
      <c r="AO113" s="790">
        <f t="shared" si="54"/>
        <v>2295</v>
      </c>
      <c r="AP113" s="790">
        <f t="shared" si="55"/>
        <v>2537</v>
      </c>
      <c r="AR113" s="791">
        <f t="shared" si="56"/>
        <v>0.2540307101727447</v>
      </c>
      <c r="AS113" s="791">
        <f t="shared" si="57"/>
        <v>0.13316103885099351</v>
      </c>
      <c r="AT113" s="791">
        <f t="shared" si="58"/>
        <v>9.5388253843121801E-2</v>
      </c>
      <c r="AV113" s="792">
        <v>11024</v>
      </c>
      <c r="AW113" s="792">
        <v>25519</v>
      </c>
      <c r="AX113" s="792">
        <v>2757</v>
      </c>
      <c r="AZ113" s="792">
        <f t="shared" si="59"/>
        <v>2800.4345489443376</v>
      </c>
      <c r="BA113" s="792">
        <f t="shared" si="60"/>
        <v>3398.1365504385035</v>
      </c>
      <c r="BB113" s="792">
        <f t="shared" si="61"/>
        <v>262.98541584548678</v>
      </c>
      <c r="BC113" s="809">
        <f t="shared" si="46"/>
        <v>6461.556515228328</v>
      </c>
    </row>
    <row r="114" spans="1:55" s="789" customFormat="1" ht="12" customHeight="1" x14ac:dyDescent="0.25">
      <c r="A114" s="789" t="s">
        <v>144</v>
      </c>
      <c r="B114" s="793" t="s">
        <v>145</v>
      </c>
      <c r="C114" s="806">
        <v>183</v>
      </c>
      <c r="D114" s="790">
        <v>1365</v>
      </c>
      <c r="E114" s="790">
        <v>1548</v>
      </c>
      <c r="F114" s="790">
        <v>227</v>
      </c>
      <c r="G114" s="790">
        <v>1167</v>
      </c>
      <c r="H114" s="790">
        <v>1394</v>
      </c>
      <c r="I114" s="790">
        <v>39</v>
      </c>
      <c r="J114" s="790">
        <v>999</v>
      </c>
      <c r="K114" s="790">
        <v>1038</v>
      </c>
      <c r="L114" s="790">
        <v>139</v>
      </c>
      <c r="M114" s="790">
        <v>1254</v>
      </c>
      <c r="N114" s="790">
        <v>1393</v>
      </c>
      <c r="O114" s="790">
        <v>133</v>
      </c>
      <c r="P114" s="790">
        <v>2317</v>
      </c>
      <c r="Q114" s="790">
        <v>2450</v>
      </c>
      <c r="R114" s="790">
        <v>81</v>
      </c>
      <c r="S114" s="790">
        <v>2354</v>
      </c>
      <c r="T114" s="790">
        <v>2435</v>
      </c>
      <c r="U114" s="790">
        <v>18</v>
      </c>
      <c r="V114" s="790">
        <v>1693</v>
      </c>
      <c r="W114" s="790">
        <v>1711</v>
      </c>
      <c r="X114" s="790">
        <v>110</v>
      </c>
      <c r="Y114" s="790">
        <v>845</v>
      </c>
      <c r="Z114" s="790">
        <v>955</v>
      </c>
      <c r="AA114" s="790">
        <v>42</v>
      </c>
      <c r="AB114" s="790">
        <v>443</v>
      </c>
      <c r="AC114" s="790">
        <v>485</v>
      </c>
      <c r="AD114" s="790">
        <v>74</v>
      </c>
      <c r="AE114" s="790">
        <v>260</v>
      </c>
      <c r="AF114" s="790">
        <v>334</v>
      </c>
      <c r="AH114" s="790">
        <f t="shared" si="47"/>
        <v>449</v>
      </c>
      <c r="AI114" s="790">
        <f t="shared" si="48"/>
        <v>3531</v>
      </c>
      <c r="AJ114" s="790">
        <f t="shared" si="49"/>
        <v>3980</v>
      </c>
      <c r="AK114" s="790">
        <f t="shared" si="50"/>
        <v>481</v>
      </c>
      <c r="AL114" s="790">
        <f t="shared" si="51"/>
        <v>8463</v>
      </c>
      <c r="AM114" s="790">
        <f t="shared" si="52"/>
        <v>8944</v>
      </c>
      <c r="AN114" s="790">
        <f t="shared" si="53"/>
        <v>116</v>
      </c>
      <c r="AO114" s="790">
        <f t="shared" si="54"/>
        <v>703</v>
      </c>
      <c r="AP114" s="790">
        <f t="shared" si="55"/>
        <v>819</v>
      </c>
      <c r="AR114" s="791">
        <f t="shared" si="56"/>
        <v>0.11281407035175879</v>
      </c>
      <c r="AS114" s="791">
        <f t="shared" si="57"/>
        <v>5.3779069767441859E-2</v>
      </c>
      <c r="AT114" s="791">
        <f t="shared" si="58"/>
        <v>0.14163614163614163</v>
      </c>
      <c r="AV114" s="792">
        <v>4426</v>
      </c>
      <c r="AW114" s="792">
        <v>10119</v>
      </c>
      <c r="AX114" s="792">
        <v>787</v>
      </c>
      <c r="AZ114" s="792">
        <f t="shared" si="59"/>
        <v>499.31507537688441</v>
      </c>
      <c r="BA114" s="792">
        <f t="shared" si="60"/>
        <v>544.19040697674416</v>
      </c>
      <c r="BB114" s="792">
        <f t="shared" si="61"/>
        <v>111.46764346764347</v>
      </c>
      <c r="BC114" s="809">
        <f t="shared" si="46"/>
        <v>1154.9731258212721</v>
      </c>
    </row>
    <row r="115" spans="1:55" s="789" customFormat="1" ht="12" customHeight="1" x14ac:dyDescent="0.25">
      <c r="A115" s="789" t="s">
        <v>158</v>
      </c>
      <c r="B115" s="793" t="s">
        <v>159</v>
      </c>
      <c r="C115" s="806">
        <v>5139</v>
      </c>
      <c r="D115" s="790">
        <v>10578</v>
      </c>
      <c r="E115" s="790">
        <v>15717</v>
      </c>
      <c r="F115" s="790">
        <v>3631</v>
      </c>
      <c r="G115" s="790">
        <v>10278</v>
      </c>
      <c r="H115" s="790">
        <v>13909</v>
      </c>
      <c r="I115" s="790">
        <v>3008</v>
      </c>
      <c r="J115" s="790">
        <v>11217</v>
      </c>
      <c r="K115" s="790">
        <v>14225</v>
      </c>
      <c r="L115" s="790">
        <v>5567</v>
      </c>
      <c r="M115" s="790">
        <v>14387</v>
      </c>
      <c r="N115" s="790">
        <v>19954</v>
      </c>
      <c r="O115" s="790">
        <v>4292</v>
      </c>
      <c r="P115" s="790">
        <v>22506</v>
      </c>
      <c r="Q115" s="790">
        <v>26798</v>
      </c>
      <c r="R115" s="790">
        <v>2780</v>
      </c>
      <c r="S115" s="790">
        <v>19632</v>
      </c>
      <c r="T115" s="790">
        <v>22412</v>
      </c>
      <c r="U115" s="790">
        <v>2723</v>
      </c>
      <c r="V115" s="790">
        <v>22035</v>
      </c>
      <c r="W115" s="790">
        <v>24758</v>
      </c>
      <c r="X115" s="790">
        <v>2475</v>
      </c>
      <c r="Y115" s="790">
        <v>15195</v>
      </c>
      <c r="Z115" s="790">
        <v>17670</v>
      </c>
      <c r="AA115" s="790">
        <v>1014</v>
      </c>
      <c r="AB115" s="790">
        <v>9053</v>
      </c>
      <c r="AC115" s="790">
        <v>10067</v>
      </c>
      <c r="AD115" s="790">
        <v>1019</v>
      </c>
      <c r="AE115" s="790">
        <v>7091</v>
      </c>
      <c r="AF115" s="790">
        <v>8110</v>
      </c>
      <c r="AH115" s="790">
        <f t="shared" si="47"/>
        <v>11778</v>
      </c>
      <c r="AI115" s="790">
        <f t="shared" si="48"/>
        <v>32073</v>
      </c>
      <c r="AJ115" s="790">
        <f t="shared" si="49"/>
        <v>43851</v>
      </c>
      <c r="AK115" s="790">
        <f t="shared" si="50"/>
        <v>17837</v>
      </c>
      <c r="AL115" s="790">
        <f t="shared" si="51"/>
        <v>93755</v>
      </c>
      <c r="AM115" s="790">
        <f t="shared" si="52"/>
        <v>111592</v>
      </c>
      <c r="AN115" s="790">
        <f t="shared" si="53"/>
        <v>2033</v>
      </c>
      <c r="AO115" s="790">
        <f t="shared" si="54"/>
        <v>16144</v>
      </c>
      <c r="AP115" s="790">
        <f t="shared" si="55"/>
        <v>18177</v>
      </c>
      <c r="AR115" s="791">
        <f t="shared" si="56"/>
        <v>0.26859136621741808</v>
      </c>
      <c r="AS115" s="791">
        <f t="shared" si="57"/>
        <v>0.15984120725500037</v>
      </c>
      <c r="AT115" s="791">
        <f t="shared" si="58"/>
        <v>0.11184463882928976</v>
      </c>
      <c r="AV115" s="792">
        <v>43481</v>
      </c>
      <c r="AW115" s="792">
        <v>116671</v>
      </c>
      <c r="AX115" s="792">
        <v>19459</v>
      </c>
      <c r="AZ115" s="792">
        <f t="shared" si="59"/>
        <v>11678.621194499556</v>
      </c>
      <c r="BA115" s="792">
        <f t="shared" si="60"/>
        <v>18648.833491648147</v>
      </c>
      <c r="BB115" s="792">
        <f t="shared" si="61"/>
        <v>2176.3848269791492</v>
      </c>
      <c r="BC115" s="809">
        <f t="shared" si="46"/>
        <v>32503.839513126852</v>
      </c>
    </row>
    <row r="116" spans="1:55" s="789" customFormat="1" ht="12" customHeight="1" x14ac:dyDescent="0.25">
      <c r="A116" s="789" t="s">
        <v>160</v>
      </c>
      <c r="B116" s="793" t="s">
        <v>161</v>
      </c>
      <c r="C116" s="806">
        <v>7226</v>
      </c>
      <c r="D116" s="790">
        <v>12364</v>
      </c>
      <c r="E116" s="790">
        <v>19590</v>
      </c>
      <c r="F116" s="790">
        <v>5898</v>
      </c>
      <c r="G116" s="790">
        <v>10637</v>
      </c>
      <c r="H116" s="790">
        <v>16535</v>
      </c>
      <c r="I116" s="790">
        <v>4687</v>
      </c>
      <c r="J116" s="790">
        <v>10320</v>
      </c>
      <c r="K116" s="790">
        <v>15007</v>
      </c>
      <c r="L116" s="790">
        <v>8956</v>
      </c>
      <c r="M116" s="790">
        <v>22633</v>
      </c>
      <c r="N116" s="790">
        <v>31589</v>
      </c>
      <c r="O116" s="790">
        <v>7339</v>
      </c>
      <c r="P116" s="790">
        <v>30554</v>
      </c>
      <c r="Q116" s="790">
        <v>37893</v>
      </c>
      <c r="R116" s="790">
        <v>4172</v>
      </c>
      <c r="S116" s="790">
        <v>23184</v>
      </c>
      <c r="T116" s="790">
        <v>27356</v>
      </c>
      <c r="U116" s="790">
        <v>4981</v>
      </c>
      <c r="V116" s="790">
        <v>24197</v>
      </c>
      <c r="W116" s="790">
        <v>29178</v>
      </c>
      <c r="X116" s="790">
        <v>3225</v>
      </c>
      <c r="Y116" s="790">
        <v>18164</v>
      </c>
      <c r="Z116" s="790">
        <v>21389</v>
      </c>
      <c r="AA116" s="790">
        <v>1747</v>
      </c>
      <c r="AB116" s="790">
        <v>9446</v>
      </c>
      <c r="AC116" s="790">
        <v>11193</v>
      </c>
      <c r="AD116" s="790">
        <v>1811</v>
      </c>
      <c r="AE116" s="790">
        <v>9124</v>
      </c>
      <c r="AF116" s="790">
        <v>10935</v>
      </c>
      <c r="AH116" s="790">
        <f t="shared" si="47"/>
        <v>17811</v>
      </c>
      <c r="AI116" s="790">
        <f t="shared" si="48"/>
        <v>33321</v>
      </c>
      <c r="AJ116" s="790">
        <f t="shared" si="49"/>
        <v>51132</v>
      </c>
      <c r="AK116" s="790">
        <f t="shared" si="50"/>
        <v>28673</v>
      </c>
      <c r="AL116" s="790">
        <f t="shared" si="51"/>
        <v>118732</v>
      </c>
      <c r="AM116" s="790">
        <f t="shared" si="52"/>
        <v>147405</v>
      </c>
      <c r="AN116" s="790">
        <f t="shared" si="53"/>
        <v>3558</v>
      </c>
      <c r="AO116" s="790">
        <f t="shared" si="54"/>
        <v>18570</v>
      </c>
      <c r="AP116" s="790">
        <f t="shared" si="55"/>
        <v>22128</v>
      </c>
      <c r="AR116" s="791">
        <f t="shared" si="56"/>
        <v>0.34833372447782213</v>
      </c>
      <c r="AS116" s="791">
        <f t="shared" si="57"/>
        <v>0.19451850344289542</v>
      </c>
      <c r="AT116" s="791">
        <f t="shared" si="58"/>
        <v>0.16079175704989154</v>
      </c>
      <c r="AV116" s="792">
        <v>50672</v>
      </c>
      <c r="AW116" s="792">
        <v>169118</v>
      </c>
      <c r="AX116" s="792">
        <v>22838</v>
      </c>
      <c r="AZ116" s="792">
        <f t="shared" si="59"/>
        <v>17650.766486740202</v>
      </c>
      <c r="BA116" s="792">
        <f t="shared" si="60"/>
        <v>32896.580265255587</v>
      </c>
      <c r="BB116" s="792">
        <f t="shared" si="61"/>
        <v>3672.162147505423</v>
      </c>
      <c r="BC116" s="809">
        <f t="shared" si="46"/>
        <v>54219.508899501212</v>
      </c>
    </row>
    <row r="117" spans="1:55" s="789" customFormat="1" ht="12" customHeight="1" x14ac:dyDescent="0.25">
      <c r="A117" s="789" t="s">
        <v>166</v>
      </c>
      <c r="B117" s="793" t="s">
        <v>167</v>
      </c>
      <c r="C117" s="806">
        <v>102</v>
      </c>
      <c r="D117" s="790">
        <v>75</v>
      </c>
      <c r="E117" s="790">
        <v>177</v>
      </c>
      <c r="F117" s="790">
        <v>49</v>
      </c>
      <c r="G117" s="790">
        <v>268</v>
      </c>
      <c r="H117" s="790">
        <v>317</v>
      </c>
      <c r="I117" s="790">
        <v>117</v>
      </c>
      <c r="J117" s="790">
        <v>335</v>
      </c>
      <c r="K117" s="790">
        <v>452</v>
      </c>
      <c r="L117" s="790">
        <v>181</v>
      </c>
      <c r="M117" s="790">
        <v>187</v>
      </c>
      <c r="N117" s="790">
        <v>368</v>
      </c>
      <c r="O117" s="790">
        <v>79</v>
      </c>
      <c r="P117" s="790">
        <v>334</v>
      </c>
      <c r="Q117" s="790">
        <v>413</v>
      </c>
      <c r="R117" s="790">
        <v>127</v>
      </c>
      <c r="S117" s="790">
        <v>422</v>
      </c>
      <c r="T117" s="790">
        <v>549</v>
      </c>
      <c r="U117" s="790">
        <v>135</v>
      </c>
      <c r="V117" s="790">
        <v>475</v>
      </c>
      <c r="W117" s="790">
        <v>610</v>
      </c>
      <c r="X117" s="790">
        <v>40</v>
      </c>
      <c r="Y117" s="790">
        <v>488</v>
      </c>
      <c r="Z117" s="790">
        <v>528</v>
      </c>
      <c r="AA117" s="790">
        <v>77</v>
      </c>
      <c r="AB117" s="790">
        <v>191</v>
      </c>
      <c r="AC117" s="790">
        <v>268</v>
      </c>
      <c r="AD117" s="790">
        <v>35</v>
      </c>
      <c r="AE117" s="790">
        <v>174</v>
      </c>
      <c r="AF117" s="790">
        <v>209</v>
      </c>
      <c r="AH117" s="790">
        <f t="shared" si="47"/>
        <v>268</v>
      </c>
      <c r="AI117" s="790">
        <f t="shared" si="48"/>
        <v>678</v>
      </c>
      <c r="AJ117" s="790">
        <f t="shared" si="49"/>
        <v>946</v>
      </c>
      <c r="AK117" s="790">
        <f t="shared" si="50"/>
        <v>562</v>
      </c>
      <c r="AL117" s="790">
        <f t="shared" si="51"/>
        <v>1906</v>
      </c>
      <c r="AM117" s="790">
        <f t="shared" si="52"/>
        <v>2468</v>
      </c>
      <c r="AN117" s="790">
        <f t="shared" si="53"/>
        <v>112</v>
      </c>
      <c r="AO117" s="790">
        <f t="shared" si="54"/>
        <v>365</v>
      </c>
      <c r="AP117" s="790">
        <f t="shared" si="55"/>
        <v>477</v>
      </c>
      <c r="AR117" s="791">
        <f t="shared" si="56"/>
        <v>0.28329809725158561</v>
      </c>
      <c r="AS117" s="791">
        <f t="shared" si="57"/>
        <v>0.22771474878444084</v>
      </c>
      <c r="AT117" s="791">
        <f t="shared" si="58"/>
        <v>0.23480083857442349</v>
      </c>
      <c r="AV117" s="792">
        <v>891</v>
      </c>
      <c r="AW117" s="792">
        <v>2588</v>
      </c>
      <c r="AX117" s="792">
        <v>575</v>
      </c>
      <c r="AZ117" s="792">
        <f t="shared" si="59"/>
        <v>252.41860465116278</v>
      </c>
      <c r="BA117" s="792">
        <f t="shared" si="60"/>
        <v>589.32576985413289</v>
      </c>
      <c r="BB117" s="792">
        <f t="shared" si="61"/>
        <v>135.01048218029351</v>
      </c>
      <c r="BC117" s="809">
        <f t="shared" si="46"/>
        <v>976.75485668558917</v>
      </c>
    </row>
    <row r="118" spans="1:55" s="789" customFormat="1" ht="12" customHeight="1" x14ac:dyDescent="0.25">
      <c r="A118" s="789" t="s">
        <v>176</v>
      </c>
      <c r="B118" s="793" t="s">
        <v>177</v>
      </c>
      <c r="C118" s="806">
        <v>1152</v>
      </c>
      <c r="D118" s="790">
        <v>1316</v>
      </c>
      <c r="E118" s="790">
        <v>2468</v>
      </c>
      <c r="F118" s="790">
        <v>1062</v>
      </c>
      <c r="G118" s="790">
        <v>670</v>
      </c>
      <c r="H118" s="790">
        <v>1732</v>
      </c>
      <c r="I118" s="790">
        <v>965</v>
      </c>
      <c r="J118" s="790">
        <v>1542</v>
      </c>
      <c r="K118" s="790">
        <v>2507</v>
      </c>
      <c r="L118" s="790">
        <v>989</v>
      </c>
      <c r="M118" s="790">
        <v>2756</v>
      </c>
      <c r="N118" s="790">
        <v>3745</v>
      </c>
      <c r="O118" s="790">
        <v>1201</v>
      </c>
      <c r="P118" s="790">
        <v>2775</v>
      </c>
      <c r="Q118" s="790">
        <v>3976</v>
      </c>
      <c r="R118" s="790">
        <v>842</v>
      </c>
      <c r="S118" s="790">
        <v>2919</v>
      </c>
      <c r="T118" s="790">
        <v>3761</v>
      </c>
      <c r="U118" s="790">
        <v>1286</v>
      </c>
      <c r="V118" s="790">
        <v>3598</v>
      </c>
      <c r="W118" s="790">
        <v>4884</v>
      </c>
      <c r="X118" s="790">
        <v>588</v>
      </c>
      <c r="Y118" s="790">
        <v>3455</v>
      </c>
      <c r="Z118" s="790">
        <v>4043</v>
      </c>
      <c r="AA118" s="790">
        <v>447</v>
      </c>
      <c r="AB118" s="790">
        <v>2046</v>
      </c>
      <c r="AC118" s="790">
        <v>2493</v>
      </c>
      <c r="AD118" s="790">
        <v>476</v>
      </c>
      <c r="AE118" s="790">
        <v>1497</v>
      </c>
      <c r="AF118" s="790">
        <v>1973</v>
      </c>
      <c r="AH118" s="790">
        <f t="shared" si="47"/>
        <v>3179</v>
      </c>
      <c r="AI118" s="790">
        <f t="shared" si="48"/>
        <v>3528</v>
      </c>
      <c r="AJ118" s="790">
        <f t="shared" si="49"/>
        <v>6707</v>
      </c>
      <c r="AK118" s="790">
        <f t="shared" si="50"/>
        <v>4906</v>
      </c>
      <c r="AL118" s="790">
        <f t="shared" si="51"/>
        <v>15503</v>
      </c>
      <c r="AM118" s="790">
        <f t="shared" si="52"/>
        <v>20409</v>
      </c>
      <c r="AN118" s="790">
        <f t="shared" si="53"/>
        <v>923</v>
      </c>
      <c r="AO118" s="790">
        <f t="shared" si="54"/>
        <v>3543</v>
      </c>
      <c r="AP118" s="790">
        <f t="shared" si="55"/>
        <v>4466</v>
      </c>
      <c r="AR118" s="791">
        <f t="shared" si="56"/>
        <v>0.47398240644103173</v>
      </c>
      <c r="AS118" s="791">
        <f t="shared" si="57"/>
        <v>0.24038414425008575</v>
      </c>
      <c r="AT118" s="791">
        <f t="shared" si="58"/>
        <v>0.20667263770712047</v>
      </c>
      <c r="AV118" s="792">
        <v>6938</v>
      </c>
      <c r="AW118" s="792">
        <v>20387</v>
      </c>
      <c r="AX118" s="792">
        <v>5001</v>
      </c>
      <c r="AZ118" s="792">
        <f t="shared" si="59"/>
        <v>3288.4899358878783</v>
      </c>
      <c r="BA118" s="792">
        <f t="shared" si="60"/>
        <v>4900.7115488264981</v>
      </c>
      <c r="BB118" s="792">
        <f t="shared" si="61"/>
        <v>1033.5698611733094</v>
      </c>
      <c r="BC118" s="809">
        <f t="shared" si="46"/>
        <v>9222.771345887686</v>
      </c>
    </row>
    <row r="119" spans="1:55" s="789" customFormat="1" ht="12" customHeight="1" x14ac:dyDescent="0.25">
      <c r="A119" s="789" t="s">
        <v>180</v>
      </c>
      <c r="B119" s="793" t="s">
        <v>181</v>
      </c>
      <c r="C119" s="806">
        <v>3133</v>
      </c>
      <c r="D119" s="790">
        <v>5078</v>
      </c>
      <c r="E119" s="790">
        <v>8211</v>
      </c>
      <c r="F119" s="790">
        <v>2271</v>
      </c>
      <c r="G119" s="790">
        <v>4879</v>
      </c>
      <c r="H119" s="790">
        <v>7150</v>
      </c>
      <c r="I119" s="790">
        <v>1911</v>
      </c>
      <c r="J119" s="790">
        <v>5299</v>
      </c>
      <c r="K119" s="790">
        <v>7210</v>
      </c>
      <c r="L119" s="790">
        <v>2366</v>
      </c>
      <c r="M119" s="790">
        <v>5868</v>
      </c>
      <c r="N119" s="790">
        <v>8234</v>
      </c>
      <c r="O119" s="790">
        <v>2738</v>
      </c>
      <c r="P119" s="790">
        <v>10410</v>
      </c>
      <c r="Q119" s="790">
        <v>13148</v>
      </c>
      <c r="R119" s="790">
        <v>1461</v>
      </c>
      <c r="S119" s="790">
        <v>9460</v>
      </c>
      <c r="T119" s="790">
        <v>10921</v>
      </c>
      <c r="U119" s="790">
        <v>1867</v>
      </c>
      <c r="V119" s="790">
        <v>11354</v>
      </c>
      <c r="W119" s="790">
        <v>13221</v>
      </c>
      <c r="X119" s="790">
        <v>1433</v>
      </c>
      <c r="Y119" s="790">
        <v>9125</v>
      </c>
      <c r="Z119" s="790">
        <v>10558</v>
      </c>
      <c r="AA119" s="790">
        <v>757</v>
      </c>
      <c r="AB119" s="790">
        <v>5501</v>
      </c>
      <c r="AC119" s="790">
        <v>6258</v>
      </c>
      <c r="AD119" s="790">
        <v>1102</v>
      </c>
      <c r="AE119" s="790">
        <v>4910</v>
      </c>
      <c r="AF119" s="790">
        <v>6012</v>
      </c>
      <c r="AH119" s="790">
        <f t="shared" si="47"/>
        <v>7315</v>
      </c>
      <c r="AI119" s="790">
        <f t="shared" si="48"/>
        <v>15256</v>
      </c>
      <c r="AJ119" s="790">
        <f t="shared" si="49"/>
        <v>22571</v>
      </c>
      <c r="AK119" s="790">
        <f t="shared" si="50"/>
        <v>9865</v>
      </c>
      <c r="AL119" s="790">
        <f t="shared" si="51"/>
        <v>46217</v>
      </c>
      <c r="AM119" s="790">
        <f t="shared" si="52"/>
        <v>56082</v>
      </c>
      <c r="AN119" s="790">
        <f t="shared" si="53"/>
        <v>1859</v>
      </c>
      <c r="AO119" s="790">
        <f t="shared" si="54"/>
        <v>10411</v>
      </c>
      <c r="AP119" s="790">
        <f t="shared" si="55"/>
        <v>12270</v>
      </c>
      <c r="AR119" s="791">
        <f t="shared" si="56"/>
        <v>0.32408843205883658</v>
      </c>
      <c r="AS119" s="791">
        <f t="shared" si="57"/>
        <v>0.17590314182803751</v>
      </c>
      <c r="AT119" s="791">
        <f t="shared" si="58"/>
        <v>0.1515077424612877</v>
      </c>
      <c r="AV119" s="792">
        <v>22755</v>
      </c>
      <c r="AW119" s="792">
        <v>60387</v>
      </c>
      <c r="AX119" s="792">
        <v>12542</v>
      </c>
      <c r="AZ119" s="792">
        <f t="shared" si="59"/>
        <v>7374.6322714988264</v>
      </c>
      <c r="BA119" s="792">
        <f t="shared" si="60"/>
        <v>10622.2630255697</v>
      </c>
      <c r="BB119" s="792">
        <f t="shared" si="61"/>
        <v>1900.2101059494703</v>
      </c>
      <c r="BC119" s="809">
        <f t="shared" si="46"/>
        <v>19897.105403017998</v>
      </c>
    </row>
    <row r="120" spans="1:55" s="789" customFormat="1" ht="12" customHeight="1" x14ac:dyDescent="0.25">
      <c r="A120" s="789" t="s">
        <v>192</v>
      </c>
      <c r="B120" s="793" t="s">
        <v>193</v>
      </c>
      <c r="C120" s="806">
        <v>112</v>
      </c>
      <c r="D120" s="790">
        <v>500</v>
      </c>
      <c r="E120" s="790">
        <v>612</v>
      </c>
      <c r="F120" s="790">
        <v>159</v>
      </c>
      <c r="G120" s="790">
        <v>545</v>
      </c>
      <c r="H120" s="790">
        <v>704</v>
      </c>
      <c r="I120" s="790">
        <v>178</v>
      </c>
      <c r="J120" s="790">
        <v>534</v>
      </c>
      <c r="K120" s="790">
        <v>712</v>
      </c>
      <c r="L120" s="790">
        <v>3762</v>
      </c>
      <c r="M120" s="790">
        <v>827</v>
      </c>
      <c r="N120" s="790">
        <v>4589</v>
      </c>
      <c r="O120" s="790">
        <v>354</v>
      </c>
      <c r="P120" s="790">
        <v>1045</v>
      </c>
      <c r="Q120" s="790">
        <v>1399</v>
      </c>
      <c r="R120" s="790">
        <v>133</v>
      </c>
      <c r="S120" s="790">
        <v>1087</v>
      </c>
      <c r="T120" s="790">
        <v>1220</v>
      </c>
      <c r="U120" s="790">
        <v>298</v>
      </c>
      <c r="V120" s="790">
        <v>1150</v>
      </c>
      <c r="W120" s="790">
        <v>1448</v>
      </c>
      <c r="X120" s="790">
        <v>53</v>
      </c>
      <c r="Y120" s="790">
        <v>888</v>
      </c>
      <c r="Z120" s="790">
        <v>941</v>
      </c>
      <c r="AA120" s="790">
        <v>123</v>
      </c>
      <c r="AB120" s="790">
        <v>648</v>
      </c>
      <c r="AC120" s="790">
        <v>771</v>
      </c>
      <c r="AD120" s="790">
        <v>151</v>
      </c>
      <c r="AE120" s="790">
        <v>505</v>
      </c>
      <c r="AF120" s="790">
        <v>656</v>
      </c>
      <c r="AH120" s="790">
        <f t="shared" si="47"/>
        <v>449</v>
      </c>
      <c r="AI120" s="790">
        <f t="shared" si="48"/>
        <v>1579</v>
      </c>
      <c r="AJ120" s="790">
        <f t="shared" si="49"/>
        <v>2028</v>
      </c>
      <c r="AK120" s="790">
        <f t="shared" si="50"/>
        <v>4600</v>
      </c>
      <c r="AL120" s="790">
        <f t="shared" si="51"/>
        <v>4997</v>
      </c>
      <c r="AM120" s="790">
        <f t="shared" si="52"/>
        <v>9597</v>
      </c>
      <c r="AN120" s="790">
        <f t="shared" si="53"/>
        <v>274</v>
      </c>
      <c r="AO120" s="790">
        <f t="shared" si="54"/>
        <v>1153</v>
      </c>
      <c r="AP120" s="790">
        <f t="shared" si="55"/>
        <v>1427</v>
      </c>
      <c r="AR120" s="791">
        <f t="shared" si="56"/>
        <v>0.22140039447731755</v>
      </c>
      <c r="AS120" s="791">
        <f t="shared" si="57"/>
        <v>0.47931645305824738</v>
      </c>
      <c r="AT120" s="791">
        <f t="shared" si="58"/>
        <v>0.19201121233356691</v>
      </c>
      <c r="AV120" s="792">
        <v>2050</v>
      </c>
      <c r="AW120" s="792">
        <v>12937</v>
      </c>
      <c r="AX120" s="792">
        <v>1427</v>
      </c>
      <c r="AZ120" s="792">
        <f t="shared" si="59"/>
        <v>453.87080867850096</v>
      </c>
      <c r="BA120" s="792">
        <f t="shared" si="60"/>
        <v>6200.9169532145461</v>
      </c>
      <c r="BB120" s="792">
        <f t="shared" si="61"/>
        <v>274</v>
      </c>
      <c r="BC120" s="809">
        <f t="shared" si="46"/>
        <v>6928.787761893047</v>
      </c>
    </row>
    <row r="121" spans="1:55" s="789" customFormat="1" ht="12" customHeight="1" x14ac:dyDescent="0.25">
      <c r="A121" s="789" t="s">
        <v>196</v>
      </c>
      <c r="B121" s="793" t="s">
        <v>197</v>
      </c>
      <c r="C121" s="806">
        <v>6893</v>
      </c>
      <c r="D121" s="790">
        <v>8237</v>
      </c>
      <c r="E121" s="790">
        <v>15130</v>
      </c>
      <c r="F121" s="790">
        <v>6052</v>
      </c>
      <c r="G121" s="790">
        <v>6112</v>
      </c>
      <c r="H121" s="790">
        <v>12164</v>
      </c>
      <c r="I121" s="790">
        <v>4866</v>
      </c>
      <c r="J121" s="790">
        <v>6164</v>
      </c>
      <c r="K121" s="790">
        <v>11030</v>
      </c>
      <c r="L121" s="790">
        <v>15048</v>
      </c>
      <c r="M121" s="790">
        <v>13192</v>
      </c>
      <c r="N121" s="790">
        <v>28240</v>
      </c>
      <c r="O121" s="790">
        <v>8672</v>
      </c>
      <c r="P121" s="790">
        <v>25296</v>
      </c>
      <c r="Q121" s="790">
        <v>33968</v>
      </c>
      <c r="R121" s="790">
        <v>4789</v>
      </c>
      <c r="S121" s="790">
        <v>19247</v>
      </c>
      <c r="T121" s="790">
        <v>24036</v>
      </c>
      <c r="U121" s="790">
        <v>5552</v>
      </c>
      <c r="V121" s="790">
        <v>20057</v>
      </c>
      <c r="W121" s="790">
        <v>25609</v>
      </c>
      <c r="X121" s="790">
        <v>4607</v>
      </c>
      <c r="Y121" s="790">
        <v>16784</v>
      </c>
      <c r="Z121" s="790">
        <v>21391</v>
      </c>
      <c r="AA121" s="790">
        <v>2531</v>
      </c>
      <c r="AB121" s="790">
        <v>8702</v>
      </c>
      <c r="AC121" s="790">
        <v>11233</v>
      </c>
      <c r="AD121" s="790">
        <v>2177</v>
      </c>
      <c r="AE121" s="790">
        <v>8420</v>
      </c>
      <c r="AF121" s="790">
        <v>10597</v>
      </c>
      <c r="AH121" s="790">
        <f t="shared" si="47"/>
        <v>17811</v>
      </c>
      <c r="AI121" s="790">
        <f t="shared" si="48"/>
        <v>20513</v>
      </c>
      <c r="AJ121" s="790">
        <f t="shared" si="49"/>
        <v>38324</v>
      </c>
      <c r="AK121" s="790">
        <f t="shared" si="50"/>
        <v>38668</v>
      </c>
      <c r="AL121" s="790">
        <f t="shared" si="51"/>
        <v>94576</v>
      </c>
      <c r="AM121" s="790">
        <f t="shared" si="52"/>
        <v>133244</v>
      </c>
      <c r="AN121" s="790">
        <f t="shared" si="53"/>
        <v>4708</v>
      </c>
      <c r="AO121" s="790">
        <f t="shared" si="54"/>
        <v>17122</v>
      </c>
      <c r="AP121" s="790">
        <f t="shared" si="55"/>
        <v>21830</v>
      </c>
      <c r="AR121" s="791">
        <f t="shared" si="56"/>
        <v>0.46474793862853564</v>
      </c>
      <c r="AS121" s="791">
        <f t="shared" si="57"/>
        <v>0.29020443697277176</v>
      </c>
      <c r="AT121" s="791">
        <f t="shared" si="58"/>
        <v>0.21566651397159872</v>
      </c>
      <c r="AV121" s="792">
        <v>39396</v>
      </c>
      <c r="AW121" s="792">
        <v>143661</v>
      </c>
      <c r="AX121" s="792">
        <v>22476</v>
      </c>
      <c r="AZ121" s="792">
        <f t="shared" si="59"/>
        <v>18309.209790209788</v>
      </c>
      <c r="BA121" s="792">
        <f t="shared" si="60"/>
        <v>41691.059619945365</v>
      </c>
      <c r="BB121" s="792">
        <f t="shared" si="61"/>
        <v>4847.3205680256533</v>
      </c>
      <c r="BC121" s="809">
        <f t="shared" si="46"/>
        <v>64847.589978180804</v>
      </c>
    </row>
    <row r="122" spans="1:55" s="789" customFormat="1" ht="12" customHeight="1" x14ac:dyDescent="0.25">
      <c r="A122" s="789" t="s">
        <v>200</v>
      </c>
      <c r="B122" s="793" t="s">
        <v>201</v>
      </c>
      <c r="C122" s="806">
        <v>3167</v>
      </c>
      <c r="D122" s="790">
        <v>4574</v>
      </c>
      <c r="E122" s="790">
        <v>7741</v>
      </c>
      <c r="F122" s="790">
        <v>2806</v>
      </c>
      <c r="G122" s="790">
        <v>3698</v>
      </c>
      <c r="H122" s="790">
        <v>6504</v>
      </c>
      <c r="I122" s="790">
        <v>2386</v>
      </c>
      <c r="J122" s="790">
        <v>3845</v>
      </c>
      <c r="K122" s="790">
        <v>6231</v>
      </c>
      <c r="L122" s="790">
        <v>3011</v>
      </c>
      <c r="M122" s="790">
        <v>5271</v>
      </c>
      <c r="N122" s="790">
        <v>8282</v>
      </c>
      <c r="O122" s="790">
        <v>3420</v>
      </c>
      <c r="P122" s="790">
        <v>10524</v>
      </c>
      <c r="Q122" s="790">
        <v>13944</v>
      </c>
      <c r="R122" s="790">
        <v>2650</v>
      </c>
      <c r="S122" s="790">
        <v>10011</v>
      </c>
      <c r="T122" s="790">
        <v>12661</v>
      </c>
      <c r="U122" s="790">
        <v>2980</v>
      </c>
      <c r="V122" s="790">
        <v>10777</v>
      </c>
      <c r="W122" s="790">
        <v>13757</v>
      </c>
      <c r="X122" s="790">
        <v>2014</v>
      </c>
      <c r="Y122" s="790">
        <v>10035</v>
      </c>
      <c r="Z122" s="790">
        <v>12049</v>
      </c>
      <c r="AA122" s="790">
        <v>1202</v>
      </c>
      <c r="AB122" s="790">
        <v>5294</v>
      </c>
      <c r="AC122" s="790">
        <v>6496</v>
      </c>
      <c r="AD122" s="790">
        <v>1236</v>
      </c>
      <c r="AE122" s="790">
        <v>5378</v>
      </c>
      <c r="AF122" s="790">
        <v>6614</v>
      </c>
      <c r="AH122" s="790">
        <f t="shared" si="47"/>
        <v>8359</v>
      </c>
      <c r="AI122" s="790">
        <f t="shared" si="48"/>
        <v>12117</v>
      </c>
      <c r="AJ122" s="790">
        <f t="shared" si="49"/>
        <v>20476</v>
      </c>
      <c r="AK122" s="790">
        <f t="shared" si="50"/>
        <v>14075</v>
      </c>
      <c r="AL122" s="790">
        <f t="shared" si="51"/>
        <v>46618</v>
      </c>
      <c r="AM122" s="790">
        <f t="shared" si="52"/>
        <v>60693</v>
      </c>
      <c r="AN122" s="790">
        <f t="shared" si="53"/>
        <v>2438</v>
      </c>
      <c r="AO122" s="790">
        <f t="shared" si="54"/>
        <v>10672</v>
      </c>
      <c r="AP122" s="790">
        <f t="shared" si="55"/>
        <v>13110</v>
      </c>
      <c r="AR122" s="791">
        <f t="shared" si="56"/>
        <v>0.40823403008400078</v>
      </c>
      <c r="AS122" s="791">
        <f t="shared" si="57"/>
        <v>0.23190483251775329</v>
      </c>
      <c r="AT122" s="791">
        <f t="shared" si="58"/>
        <v>0.18596491228070175</v>
      </c>
      <c r="AV122" s="792">
        <v>21053</v>
      </c>
      <c r="AW122" s="792">
        <v>61790</v>
      </c>
      <c r="AX122" s="792">
        <v>13871</v>
      </c>
      <c r="AZ122" s="792">
        <f t="shared" si="59"/>
        <v>8594.5510353584687</v>
      </c>
      <c r="BA122" s="792">
        <f t="shared" si="60"/>
        <v>14329.399601271976</v>
      </c>
      <c r="BB122" s="792">
        <f t="shared" si="61"/>
        <v>2579.5192982456138</v>
      </c>
      <c r="BC122" s="809">
        <f t="shared" si="46"/>
        <v>25503.469934876059</v>
      </c>
    </row>
    <row r="123" spans="1:55" s="789" customFormat="1" ht="12" customHeight="1" x14ac:dyDescent="0.25">
      <c r="A123" s="789" t="s">
        <v>222</v>
      </c>
      <c r="B123" s="793" t="s">
        <v>223</v>
      </c>
      <c r="C123" s="806">
        <v>1792</v>
      </c>
      <c r="D123" s="790">
        <v>5748</v>
      </c>
      <c r="E123" s="790">
        <v>7540</v>
      </c>
      <c r="F123" s="790">
        <v>1628</v>
      </c>
      <c r="G123" s="790">
        <v>5507</v>
      </c>
      <c r="H123" s="790">
        <v>7135</v>
      </c>
      <c r="I123" s="790">
        <v>1378</v>
      </c>
      <c r="J123" s="790">
        <v>5698</v>
      </c>
      <c r="K123" s="790">
        <v>7076</v>
      </c>
      <c r="L123" s="790">
        <v>1362</v>
      </c>
      <c r="M123" s="790">
        <v>5179</v>
      </c>
      <c r="N123" s="790">
        <v>6541</v>
      </c>
      <c r="O123" s="790">
        <v>1570</v>
      </c>
      <c r="P123" s="790">
        <v>7943</v>
      </c>
      <c r="Q123" s="790">
        <v>9513</v>
      </c>
      <c r="R123" s="790">
        <v>1290</v>
      </c>
      <c r="S123" s="790">
        <v>11473</v>
      </c>
      <c r="T123" s="790">
        <v>12763</v>
      </c>
      <c r="U123" s="790">
        <v>1158</v>
      </c>
      <c r="V123" s="790">
        <v>12154</v>
      </c>
      <c r="W123" s="790">
        <v>13312</v>
      </c>
      <c r="X123" s="790">
        <v>797</v>
      </c>
      <c r="Y123" s="790">
        <v>8499</v>
      </c>
      <c r="Z123" s="790">
        <v>9296</v>
      </c>
      <c r="AA123" s="790">
        <v>511</v>
      </c>
      <c r="AB123" s="790">
        <v>4866</v>
      </c>
      <c r="AC123" s="790">
        <v>5377</v>
      </c>
      <c r="AD123" s="790">
        <v>676</v>
      </c>
      <c r="AE123" s="790">
        <v>3132</v>
      </c>
      <c r="AF123" s="790">
        <v>3808</v>
      </c>
      <c r="AH123" s="790">
        <f t="shared" si="47"/>
        <v>4798</v>
      </c>
      <c r="AI123" s="790">
        <f t="shared" si="48"/>
        <v>16953</v>
      </c>
      <c r="AJ123" s="790">
        <f t="shared" si="49"/>
        <v>21751</v>
      </c>
      <c r="AK123" s="790">
        <f t="shared" si="50"/>
        <v>6177</v>
      </c>
      <c r="AL123" s="790">
        <f t="shared" si="51"/>
        <v>45248</v>
      </c>
      <c r="AM123" s="790">
        <f t="shared" si="52"/>
        <v>51425</v>
      </c>
      <c r="AN123" s="790">
        <f t="shared" si="53"/>
        <v>1187</v>
      </c>
      <c r="AO123" s="790">
        <f t="shared" si="54"/>
        <v>7998</v>
      </c>
      <c r="AP123" s="790">
        <f t="shared" si="55"/>
        <v>9185</v>
      </c>
      <c r="AR123" s="791">
        <f t="shared" si="56"/>
        <v>0.2205875591926808</v>
      </c>
      <c r="AS123" s="791">
        <f t="shared" si="57"/>
        <v>0.12011667476908118</v>
      </c>
      <c r="AT123" s="791">
        <f t="shared" si="58"/>
        <v>0.12923244420250407</v>
      </c>
      <c r="AV123" s="792">
        <v>21786</v>
      </c>
      <c r="AW123" s="792">
        <v>53101</v>
      </c>
      <c r="AX123" s="792">
        <v>10043</v>
      </c>
      <c r="AZ123" s="792">
        <f t="shared" si="59"/>
        <v>4805.720564571744</v>
      </c>
      <c r="BA123" s="792">
        <f t="shared" si="60"/>
        <v>6378.3155469129797</v>
      </c>
      <c r="BB123" s="792">
        <f t="shared" si="61"/>
        <v>1297.8814371257483</v>
      </c>
      <c r="BC123" s="809">
        <f t="shared" si="46"/>
        <v>12481.917548610472</v>
      </c>
    </row>
    <row r="124" spans="1:55" s="789" customFormat="1" ht="12" customHeight="1" x14ac:dyDescent="0.25">
      <c r="A124" s="789" t="s">
        <v>230</v>
      </c>
      <c r="B124" s="793" t="s">
        <v>231</v>
      </c>
      <c r="C124" s="806">
        <v>5661</v>
      </c>
      <c r="D124" s="790">
        <v>27970</v>
      </c>
      <c r="E124" s="790">
        <v>33631</v>
      </c>
      <c r="F124" s="790">
        <v>4858</v>
      </c>
      <c r="G124" s="790">
        <v>29701</v>
      </c>
      <c r="H124" s="790">
        <v>34559</v>
      </c>
      <c r="I124" s="790">
        <v>4188</v>
      </c>
      <c r="J124" s="790">
        <v>32452</v>
      </c>
      <c r="K124" s="790">
        <v>36640</v>
      </c>
      <c r="L124" s="790">
        <v>5825</v>
      </c>
      <c r="M124" s="790">
        <v>36166</v>
      </c>
      <c r="N124" s="790">
        <v>41991</v>
      </c>
      <c r="O124" s="790">
        <v>5896</v>
      </c>
      <c r="P124" s="790">
        <v>58846</v>
      </c>
      <c r="Q124" s="790">
        <v>64742</v>
      </c>
      <c r="R124" s="790">
        <v>4241</v>
      </c>
      <c r="S124" s="790">
        <v>55844</v>
      </c>
      <c r="T124" s="790">
        <v>60085</v>
      </c>
      <c r="U124" s="790">
        <v>4287</v>
      </c>
      <c r="V124" s="790">
        <v>59707</v>
      </c>
      <c r="W124" s="790">
        <v>63994</v>
      </c>
      <c r="X124" s="790">
        <v>2815</v>
      </c>
      <c r="Y124" s="790">
        <v>43187</v>
      </c>
      <c r="Z124" s="790">
        <v>46002</v>
      </c>
      <c r="AA124" s="790">
        <v>1824</v>
      </c>
      <c r="AB124" s="790">
        <v>23101</v>
      </c>
      <c r="AC124" s="790">
        <v>24925</v>
      </c>
      <c r="AD124" s="790">
        <v>1774</v>
      </c>
      <c r="AE124" s="790">
        <v>17775</v>
      </c>
      <c r="AF124" s="790">
        <v>19549</v>
      </c>
      <c r="AH124" s="790">
        <f t="shared" si="47"/>
        <v>14707</v>
      </c>
      <c r="AI124" s="790">
        <f t="shared" si="48"/>
        <v>90123</v>
      </c>
      <c r="AJ124" s="790">
        <f t="shared" si="49"/>
        <v>104830</v>
      </c>
      <c r="AK124" s="790">
        <f t="shared" si="50"/>
        <v>23064</v>
      </c>
      <c r="AL124" s="790">
        <f t="shared" si="51"/>
        <v>253750</v>
      </c>
      <c r="AM124" s="790">
        <f t="shared" si="52"/>
        <v>276814</v>
      </c>
      <c r="AN124" s="790">
        <f t="shared" si="53"/>
        <v>3598</v>
      </c>
      <c r="AO124" s="790">
        <f t="shared" si="54"/>
        <v>40876</v>
      </c>
      <c r="AP124" s="790">
        <f t="shared" si="55"/>
        <v>44474</v>
      </c>
      <c r="AR124" s="791">
        <f t="shared" si="56"/>
        <v>0.14029380902413432</v>
      </c>
      <c r="AS124" s="791">
        <f t="shared" si="57"/>
        <v>8.3319485286148826E-2</v>
      </c>
      <c r="AT124" s="791">
        <f t="shared" si="58"/>
        <v>8.0901200701533477E-2</v>
      </c>
      <c r="AV124" s="792">
        <v>104515</v>
      </c>
      <c r="AW124" s="792">
        <v>290072</v>
      </c>
      <c r="AX124" s="792">
        <v>48120</v>
      </c>
      <c r="AZ124" s="792">
        <f t="shared" si="59"/>
        <v>14662.807450157399</v>
      </c>
      <c r="BA124" s="792">
        <f t="shared" si="60"/>
        <v>24168.649735923762</v>
      </c>
      <c r="BB124" s="792">
        <f t="shared" si="61"/>
        <v>3892.9657777577909</v>
      </c>
      <c r="BC124" s="809">
        <f t="shared" si="46"/>
        <v>42724.422963838952</v>
      </c>
    </row>
    <row r="125" spans="1:55" s="789" customFormat="1" ht="12" customHeight="1" x14ac:dyDescent="0.25">
      <c r="A125" s="789" t="s">
        <v>238</v>
      </c>
      <c r="B125" s="793" t="s">
        <v>239</v>
      </c>
      <c r="C125" s="806">
        <v>109</v>
      </c>
      <c r="D125" s="790">
        <v>410</v>
      </c>
      <c r="E125" s="790">
        <v>519</v>
      </c>
      <c r="F125" s="790">
        <v>90</v>
      </c>
      <c r="G125" s="790">
        <v>368</v>
      </c>
      <c r="H125" s="790">
        <v>458</v>
      </c>
      <c r="I125" s="790">
        <v>43</v>
      </c>
      <c r="J125" s="790">
        <v>322</v>
      </c>
      <c r="K125" s="790">
        <v>365</v>
      </c>
      <c r="L125" s="790">
        <v>780</v>
      </c>
      <c r="M125" s="790">
        <v>723</v>
      </c>
      <c r="N125" s="790">
        <v>1503</v>
      </c>
      <c r="O125" s="790">
        <v>224</v>
      </c>
      <c r="P125" s="790">
        <v>954</v>
      </c>
      <c r="Q125" s="790">
        <v>1178</v>
      </c>
      <c r="R125" s="790">
        <v>90</v>
      </c>
      <c r="S125" s="790">
        <v>705</v>
      </c>
      <c r="T125" s="790">
        <v>795</v>
      </c>
      <c r="U125" s="790">
        <v>110</v>
      </c>
      <c r="V125" s="790">
        <v>824</v>
      </c>
      <c r="W125" s="790">
        <v>934</v>
      </c>
      <c r="X125" s="790">
        <v>64</v>
      </c>
      <c r="Y125" s="790">
        <v>1103</v>
      </c>
      <c r="Z125" s="790">
        <v>1167</v>
      </c>
      <c r="AA125" s="790">
        <v>104</v>
      </c>
      <c r="AB125" s="790">
        <v>964</v>
      </c>
      <c r="AC125" s="790">
        <v>1068</v>
      </c>
      <c r="AD125" s="790">
        <v>31</v>
      </c>
      <c r="AE125" s="790">
        <v>627</v>
      </c>
      <c r="AF125" s="790">
        <v>658</v>
      </c>
      <c r="AH125" s="790">
        <f t="shared" si="47"/>
        <v>242</v>
      </c>
      <c r="AI125" s="790">
        <f t="shared" si="48"/>
        <v>1100</v>
      </c>
      <c r="AJ125" s="790">
        <f t="shared" si="49"/>
        <v>1342</v>
      </c>
      <c r="AK125" s="790">
        <f t="shared" si="50"/>
        <v>1268</v>
      </c>
      <c r="AL125" s="790">
        <f t="shared" si="51"/>
        <v>4309</v>
      </c>
      <c r="AM125" s="790">
        <f t="shared" si="52"/>
        <v>5577</v>
      </c>
      <c r="AN125" s="790">
        <f t="shared" si="53"/>
        <v>135</v>
      </c>
      <c r="AO125" s="790">
        <f t="shared" si="54"/>
        <v>1591</v>
      </c>
      <c r="AP125" s="790">
        <f t="shared" si="55"/>
        <v>1726</v>
      </c>
      <c r="AR125" s="791">
        <f t="shared" si="56"/>
        <v>0.18032786885245902</v>
      </c>
      <c r="AS125" s="791">
        <f t="shared" si="57"/>
        <v>0.22736238120853505</v>
      </c>
      <c r="AT125" s="791">
        <f t="shared" si="58"/>
        <v>7.8215527230590956E-2</v>
      </c>
      <c r="AV125" s="792">
        <v>1518</v>
      </c>
      <c r="AW125" s="792">
        <v>11055</v>
      </c>
      <c r="AX125" s="792">
        <v>1871</v>
      </c>
      <c r="AZ125" s="792">
        <f t="shared" si="59"/>
        <v>273.73770491803282</v>
      </c>
      <c r="BA125" s="792">
        <f t="shared" si="60"/>
        <v>2513.4911242603548</v>
      </c>
      <c r="BB125" s="792">
        <f t="shared" si="61"/>
        <v>146.34125144843568</v>
      </c>
      <c r="BC125" s="809">
        <f t="shared" si="46"/>
        <v>2933.5700806268233</v>
      </c>
    </row>
    <row r="126" spans="1:55" s="789" customFormat="1" ht="12" customHeight="1" x14ac:dyDescent="0.25">
      <c r="A126" s="789" t="s">
        <v>240</v>
      </c>
      <c r="B126" s="793" t="s">
        <v>241</v>
      </c>
      <c r="C126" s="806">
        <v>678</v>
      </c>
      <c r="D126" s="790">
        <v>1340</v>
      </c>
      <c r="E126" s="790">
        <v>2018</v>
      </c>
      <c r="F126" s="790">
        <v>554</v>
      </c>
      <c r="G126" s="790">
        <v>1068</v>
      </c>
      <c r="H126" s="790">
        <v>1622</v>
      </c>
      <c r="I126" s="790">
        <v>334</v>
      </c>
      <c r="J126" s="790">
        <v>1551</v>
      </c>
      <c r="K126" s="790">
        <v>1885</v>
      </c>
      <c r="L126" s="790">
        <v>1112</v>
      </c>
      <c r="M126" s="790">
        <v>1628</v>
      </c>
      <c r="N126" s="790">
        <v>2740</v>
      </c>
      <c r="O126" s="790">
        <v>756</v>
      </c>
      <c r="P126" s="790">
        <v>3033</v>
      </c>
      <c r="Q126" s="790">
        <v>3789</v>
      </c>
      <c r="R126" s="790">
        <v>624</v>
      </c>
      <c r="S126" s="790">
        <v>2603</v>
      </c>
      <c r="T126" s="790">
        <v>3227</v>
      </c>
      <c r="U126" s="790">
        <v>685</v>
      </c>
      <c r="V126" s="790">
        <v>2840</v>
      </c>
      <c r="W126" s="790">
        <v>3525</v>
      </c>
      <c r="X126" s="790">
        <v>360</v>
      </c>
      <c r="Y126" s="790">
        <v>2471</v>
      </c>
      <c r="Z126" s="790">
        <v>2831</v>
      </c>
      <c r="AA126" s="790">
        <v>253</v>
      </c>
      <c r="AB126" s="790">
        <v>1433</v>
      </c>
      <c r="AC126" s="790">
        <v>1686</v>
      </c>
      <c r="AD126" s="790">
        <v>204</v>
      </c>
      <c r="AE126" s="790">
        <v>1608</v>
      </c>
      <c r="AF126" s="790">
        <v>1812</v>
      </c>
      <c r="AH126" s="790">
        <f t="shared" si="47"/>
        <v>1566</v>
      </c>
      <c r="AI126" s="790">
        <f t="shared" si="48"/>
        <v>3959</v>
      </c>
      <c r="AJ126" s="790">
        <f t="shared" si="49"/>
        <v>5525</v>
      </c>
      <c r="AK126" s="790">
        <f t="shared" si="50"/>
        <v>3537</v>
      </c>
      <c r="AL126" s="790">
        <f t="shared" si="51"/>
        <v>12575</v>
      </c>
      <c r="AM126" s="790">
        <f t="shared" si="52"/>
        <v>16112</v>
      </c>
      <c r="AN126" s="790">
        <f t="shared" si="53"/>
        <v>457</v>
      </c>
      <c r="AO126" s="790">
        <f t="shared" si="54"/>
        <v>3041</v>
      </c>
      <c r="AP126" s="790">
        <f t="shared" si="55"/>
        <v>3498</v>
      </c>
      <c r="AR126" s="791">
        <f t="shared" si="56"/>
        <v>0.28343891402714932</v>
      </c>
      <c r="AS126" s="791">
        <f t="shared" si="57"/>
        <v>0.219525819265144</v>
      </c>
      <c r="AT126" s="791">
        <f t="shared" si="58"/>
        <v>0.13064608347627216</v>
      </c>
      <c r="AV126" s="792">
        <v>6017</v>
      </c>
      <c r="AW126" s="792">
        <v>16837</v>
      </c>
      <c r="AX126" s="792">
        <v>3733</v>
      </c>
      <c r="AZ126" s="792">
        <f t="shared" si="59"/>
        <v>1705.4519457013575</v>
      </c>
      <c r="BA126" s="792">
        <f t="shared" si="60"/>
        <v>3696.1562189672295</v>
      </c>
      <c r="BB126" s="792">
        <f t="shared" si="61"/>
        <v>487.70182961692399</v>
      </c>
      <c r="BC126" s="809">
        <f t="shared" si="46"/>
        <v>5889.3099942855115</v>
      </c>
    </row>
  </sheetData>
  <mergeCells count="14">
    <mergeCell ref="C4:E4"/>
    <mergeCell ref="F4:H4"/>
    <mergeCell ref="AZ3:BB3"/>
    <mergeCell ref="I4:K4"/>
    <mergeCell ref="L4:N4"/>
    <mergeCell ref="O4:Q4"/>
    <mergeCell ref="R4:T4"/>
    <mergeCell ref="U4:W4"/>
    <mergeCell ref="AA4:AC4"/>
    <mergeCell ref="AD4:AF4"/>
    <mergeCell ref="AH4:AJ4"/>
    <mergeCell ref="AK4:AM4"/>
    <mergeCell ref="AN4:AP4"/>
    <mergeCell ref="X4:Z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H137"/>
  <sheetViews>
    <sheetView workbookViewId="0">
      <pane xSplit="3" ySplit="4" topLeftCell="BB109" activePane="bottomRight" state="frozen"/>
      <selection pane="topRight" activeCell="D1" sqref="D1"/>
      <selection pane="bottomLeft" activeCell="A5" sqref="A5"/>
      <selection pane="bottomRight" activeCell="BF126" sqref="BF126:BF130"/>
    </sheetView>
  </sheetViews>
  <sheetFormatPr defaultColWidth="9" defaultRowHeight="15.6" x14ac:dyDescent="0.3"/>
  <cols>
    <col min="1" max="1" width="9.796875" style="359" customWidth="1"/>
    <col min="2" max="2" width="32.5" style="359" customWidth="1"/>
    <col min="3" max="3" width="12.5" style="359" customWidth="1"/>
    <col min="4" max="5" width="15" style="359" customWidth="1"/>
    <col min="6" max="6" width="15.09765625" style="359" customWidth="1"/>
    <col min="7" max="8" width="15" style="359" customWidth="1"/>
    <col min="9" max="9" width="14" style="359" customWidth="1"/>
    <col min="10" max="11" width="15" style="359" customWidth="1"/>
    <col min="12" max="12" width="14.69921875" style="359" customWidth="1"/>
    <col min="13" max="14" width="15" style="359" customWidth="1"/>
    <col min="15" max="15" width="14.69921875" style="359" customWidth="1"/>
    <col min="16" max="17" width="15" style="359" customWidth="1"/>
    <col min="18" max="18" width="14.69921875" style="359" customWidth="1"/>
    <col min="19" max="20" width="15" style="359" customWidth="1"/>
    <col min="21" max="21" width="14.796875" style="359" customWidth="1"/>
    <col min="22" max="23" width="15" style="359" customWidth="1"/>
    <col min="24" max="24" width="15.796875" style="359" customWidth="1"/>
    <col min="25" max="26" width="15" style="359" customWidth="1"/>
    <col min="27" max="27" width="16.09765625" style="359" customWidth="1"/>
    <col min="28" max="29" width="15" style="359" customWidth="1"/>
    <col min="30" max="30" width="16.19921875" style="359" customWidth="1"/>
    <col min="31" max="32" width="15" style="359" customWidth="1"/>
    <col min="33" max="33" width="18" style="359" customWidth="1"/>
    <col min="34" max="35" width="15" style="359" customWidth="1"/>
    <col min="36" max="36" width="16.796875" style="359" customWidth="1"/>
    <col min="37" max="38" width="15" style="359" customWidth="1"/>
    <col min="39" max="39" width="17.296875" style="359" customWidth="1"/>
    <col min="40" max="40" width="14.09765625" style="359" customWidth="1"/>
    <col min="41" max="41" width="13.796875" style="359" customWidth="1"/>
    <col min="42" max="42" width="16.19921875" style="359" customWidth="1"/>
    <col min="43" max="44" width="14" style="359" customWidth="1"/>
    <col min="45" max="45" width="17.19921875" style="359" customWidth="1"/>
    <col min="46" max="46" width="10.796875" style="359" customWidth="1"/>
    <col min="47" max="47" width="12.59765625" style="359" customWidth="1"/>
    <col min="48" max="48" width="15.5" style="359" customWidth="1"/>
    <col min="49" max="50" width="12.59765625" style="359" customWidth="1"/>
    <col min="51" max="51" width="15.796875" style="359" customWidth="1"/>
    <col min="52" max="53" width="12.59765625" style="359" customWidth="1"/>
    <col min="54" max="54" width="15.09765625" style="359" customWidth="1"/>
    <col min="55" max="56" width="12.59765625" style="359" customWidth="1"/>
    <col min="57" max="57" width="15.09765625" style="359" customWidth="1"/>
    <col min="58" max="59" width="12.59765625" style="359" customWidth="1"/>
    <col min="60" max="60" width="15.09765625" style="359" customWidth="1"/>
    <col min="61" max="16384" width="9" style="359"/>
  </cols>
  <sheetData>
    <row r="1" spans="1:60" x14ac:dyDescent="0.3">
      <c r="A1" s="181" t="s">
        <v>1071</v>
      </c>
    </row>
    <row r="2" spans="1:60" x14ac:dyDescent="0.3">
      <c r="D2" s="2711">
        <v>2000</v>
      </c>
      <c r="E2" s="2712"/>
      <c r="F2" s="2713"/>
      <c r="G2" s="2711">
        <v>2001</v>
      </c>
      <c r="H2" s="2712"/>
      <c r="I2" s="2713"/>
      <c r="J2" s="2711">
        <v>2002</v>
      </c>
      <c r="K2" s="2712"/>
      <c r="L2" s="2713"/>
      <c r="M2" s="2711">
        <v>2003</v>
      </c>
      <c r="N2" s="2712"/>
      <c r="O2" s="2713"/>
      <c r="P2" s="2711">
        <v>2004</v>
      </c>
      <c r="Q2" s="2712"/>
      <c r="R2" s="2713"/>
      <c r="S2" s="2711">
        <v>2005</v>
      </c>
      <c r="T2" s="2712"/>
      <c r="U2" s="2713"/>
      <c r="V2" s="2711">
        <v>2006</v>
      </c>
      <c r="W2" s="2712"/>
      <c r="X2" s="2713"/>
      <c r="Y2" s="2711">
        <v>2007</v>
      </c>
      <c r="Z2" s="2712"/>
      <c r="AA2" s="2713"/>
      <c r="AB2" s="2711">
        <v>2008</v>
      </c>
      <c r="AC2" s="2712"/>
      <c r="AD2" s="2713"/>
      <c r="AE2" s="2711">
        <v>2009</v>
      </c>
      <c r="AF2" s="2712"/>
      <c r="AG2" s="2713"/>
      <c r="AH2" s="2711">
        <v>2010</v>
      </c>
      <c r="AI2" s="2712"/>
      <c r="AJ2" s="2713"/>
      <c r="AK2" s="2717">
        <v>2011</v>
      </c>
      <c r="AL2" s="2718"/>
      <c r="AM2" s="2719"/>
      <c r="AN2" s="2711">
        <v>2012</v>
      </c>
      <c r="AO2" s="2712"/>
      <c r="AP2" s="2713"/>
      <c r="AQ2" s="2711">
        <v>2013</v>
      </c>
      <c r="AR2" s="2712"/>
      <c r="AS2" s="2713"/>
      <c r="AT2" s="2714">
        <v>2014</v>
      </c>
      <c r="AU2" s="2715"/>
      <c r="AV2" s="2716"/>
      <c r="AW2" s="2714">
        <v>2015</v>
      </c>
      <c r="AX2" s="2715"/>
      <c r="AY2" s="2716"/>
      <c r="AZ2" s="2714">
        <v>2016</v>
      </c>
      <c r="BA2" s="2715"/>
      <c r="BB2" s="2716"/>
      <c r="BC2" s="2712">
        <v>2017</v>
      </c>
      <c r="BD2" s="2712"/>
      <c r="BE2" s="2712"/>
      <c r="BF2" s="2712">
        <v>2018</v>
      </c>
      <c r="BG2" s="2712"/>
      <c r="BH2" s="2712"/>
    </row>
    <row r="3" spans="1:60" ht="33.75" customHeight="1" x14ac:dyDescent="0.3">
      <c r="A3" s="362" t="s">
        <v>4</v>
      </c>
      <c r="B3" s="437" t="s">
        <v>5</v>
      </c>
      <c r="C3" s="1960" t="s">
        <v>251</v>
      </c>
      <c r="D3" s="1970" t="s">
        <v>1014</v>
      </c>
      <c r="E3" s="1971" t="s">
        <v>1012</v>
      </c>
      <c r="F3" s="1972" t="s">
        <v>1013</v>
      </c>
      <c r="G3" s="1970" t="s">
        <v>1014</v>
      </c>
      <c r="H3" s="1971" t="s">
        <v>1012</v>
      </c>
      <c r="I3" s="1972" t="s">
        <v>1013</v>
      </c>
      <c r="J3" s="1970" t="s">
        <v>1014</v>
      </c>
      <c r="K3" s="1971" t="s">
        <v>1012</v>
      </c>
      <c r="L3" s="1972" t="s">
        <v>1013</v>
      </c>
      <c r="M3" s="1970" t="s">
        <v>1014</v>
      </c>
      <c r="N3" s="1971" t="s">
        <v>1012</v>
      </c>
      <c r="O3" s="1972" t="s">
        <v>1013</v>
      </c>
      <c r="P3" s="1970" t="s">
        <v>1014</v>
      </c>
      <c r="Q3" s="1971" t="s">
        <v>1012</v>
      </c>
      <c r="R3" s="1972" t="s">
        <v>1013</v>
      </c>
      <c r="S3" s="1970" t="s">
        <v>1014</v>
      </c>
      <c r="T3" s="1971" t="s">
        <v>1012</v>
      </c>
      <c r="U3" s="1972" t="s">
        <v>1013</v>
      </c>
      <c r="V3" s="1970" t="s">
        <v>1014</v>
      </c>
      <c r="W3" s="1971" t="s">
        <v>1012</v>
      </c>
      <c r="X3" s="1972" t="s">
        <v>1013</v>
      </c>
      <c r="Y3" s="1970" t="s">
        <v>1014</v>
      </c>
      <c r="Z3" s="1971" t="s">
        <v>1012</v>
      </c>
      <c r="AA3" s="1972" t="s">
        <v>1013</v>
      </c>
      <c r="AB3" s="1970" t="s">
        <v>1014</v>
      </c>
      <c r="AC3" s="1971" t="s">
        <v>1012</v>
      </c>
      <c r="AD3" s="1972" t="s">
        <v>1013</v>
      </c>
      <c r="AE3" s="1970" t="s">
        <v>1014</v>
      </c>
      <c r="AF3" s="1971" t="s">
        <v>1012</v>
      </c>
      <c r="AG3" s="1972" t="s">
        <v>1013</v>
      </c>
      <c r="AH3" s="1970" t="s">
        <v>1014</v>
      </c>
      <c r="AI3" s="1971" t="s">
        <v>1012</v>
      </c>
      <c r="AJ3" s="1972" t="s">
        <v>1013</v>
      </c>
      <c r="AK3" s="1970" t="s">
        <v>1014</v>
      </c>
      <c r="AL3" s="1971" t="s">
        <v>1012</v>
      </c>
      <c r="AM3" s="1972" t="s">
        <v>1013</v>
      </c>
      <c r="AN3" s="1970" t="s">
        <v>1014</v>
      </c>
      <c r="AO3" s="1971" t="s">
        <v>1012</v>
      </c>
      <c r="AP3" s="1972" t="s">
        <v>1013</v>
      </c>
      <c r="AQ3" s="1970" t="s">
        <v>1014</v>
      </c>
      <c r="AR3" s="1971" t="s">
        <v>1012</v>
      </c>
      <c r="AS3" s="1972" t="s">
        <v>1013</v>
      </c>
      <c r="AT3" s="1970" t="s">
        <v>1014</v>
      </c>
      <c r="AU3" s="1971" t="s">
        <v>1012</v>
      </c>
      <c r="AV3" s="2009" t="s">
        <v>1013</v>
      </c>
      <c r="AW3" s="1970" t="s">
        <v>1014</v>
      </c>
      <c r="AX3" s="1971" t="s">
        <v>1012</v>
      </c>
      <c r="AY3" s="2009" t="s">
        <v>1013</v>
      </c>
      <c r="AZ3" s="1970" t="s">
        <v>1014</v>
      </c>
      <c r="BA3" s="1971" t="s">
        <v>1012</v>
      </c>
      <c r="BB3" s="2009" t="s">
        <v>1013</v>
      </c>
      <c r="BC3" s="1962" t="s">
        <v>1014</v>
      </c>
      <c r="BD3" s="363" t="s">
        <v>1012</v>
      </c>
      <c r="BE3" s="840" t="s">
        <v>1013</v>
      </c>
      <c r="BF3" s="1962" t="s">
        <v>1014</v>
      </c>
      <c r="BG3" s="363" t="s">
        <v>1012</v>
      </c>
      <c r="BH3" s="840" t="s">
        <v>1013</v>
      </c>
    </row>
    <row r="4" spans="1:60" x14ac:dyDescent="0.3">
      <c r="A4" s="898" t="s">
        <v>8</v>
      </c>
      <c r="B4" s="899" t="s">
        <v>9</v>
      </c>
      <c r="C4" s="900"/>
      <c r="D4" s="1973">
        <v>3584047</v>
      </c>
      <c r="E4" s="1974">
        <v>81517</v>
      </c>
      <c r="F4" s="1966">
        <f t="shared" ref="F4" si="0">E4/D4</f>
        <v>2.2744400394302866E-2</v>
      </c>
      <c r="G4" s="1986">
        <v>3655393</v>
      </c>
      <c r="H4" s="1987">
        <v>117659</v>
      </c>
      <c r="I4" s="1963">
        <f t="shared" ref="I4" si="1">H4/G4</f>
        <v>3.2187783912701044E-2</v>
      </c>
      <c r="J4" s="1986">
        <v>3744653</v>
      </c>
      <c r="K4" s="1987">
        <v>156565</v>
      </c>
      <c r="L4" s="1996">
        <f t="shared" ref="L4" si="2">K4/J4</f>
        <v>4.1810282554885593E-2</v>
      </c>
      <c r="M4" s="1986">
        <v>3802835</v>
      </c>
      <c r="N4" s="1987">
        <v>155730</v>
      </c>
      <c r="O4" s="1996">
        <f t="shared" ref="O4" si="3">N4/M4</f>
        <v>4.0951027325666245E-2</v>
      </c>
      <c r="P4" s="1986">
        <v>3857957</v>
      </c>
      <c r="Q4" s="1987">
        <v>142681</v>
      </c>
      <c r="R4" s="1996">
        <f t="shared" ref="R4" si="4">Q4/P4</f>
        <v>3.6983564098822252E-2</v>
      </c>
      <c r="S4" s="1986">
        <v>3921800</v>
      </c>
      <c r="T4" s="1987">
        <v>137985</v>
      </c>
      <c r="U4" s="1996">
        <f t="shared" ref="U4" si="5">T4/S4</f>
        <v>3.5184099138150848E-2</v>
      </c>
      <c r="V4" s="1986">
        <v>3983724</v>
      </c>
      <c r="W4" s="1987">
        <v>121209</v>
      </c>
      <c r="X4" s="1996">
        <f t="shared" ref="X4" si="6">W4/V4</f>
        <v>3.042605361214783E-2</v>
      </c>
      <c r="Y4" s="1986">
        <v>4017186</v>
      </c>
      <c r="Z4" s="1987">
        <v>123075</v>
      </c>
      <c r="AA4" s="1996">
        <f t="shared" ref="AA4" si="7">Z4/Y4</f>
        <v>3.0637117624127935E-2</v>
      </c>
      <c r="AB4" s="1986">
        <v>4138228</v>
      </c>
      <c r="AC4" s="1987">
        <v>163597</v>
      </c>
      <c r="AD4" s="1996">
        <f t="shared" ref="AD4" si="8">AC4/AB4</f>
        <v>3.9533104507533175E-2</v>
      </c>
      <c r="AE4" s="1986">
        <v>4130148</v>
      </c>
      <c r="AF4" s="1987">
        <v>287049</v>
      </c>
      <c r="AG4" s="1996">
        <f t="shared" ref="AG4" si="9">AF4/AE4</f>
        <v>6.9500899241383113E-2</v>
      </c>
      <c r="AH4" s="1986">
        <v>4139175</v>
      </c>
      <c r="AI4" s="1987">
        <v>293866</v>
      </c>
      <c r="AJ4" s="1996">
        <f t="shared" ref="AJ4" si="10">AI4/AH4</f>
        <v>7.0996273411972191E-2</v>
      </c>
      <c r="AK4" s="1986">
        <v>4208241</v>
      </c>
      <c r="AL4" s="1987">
        <v>271168</v>
      </c>
      <c r="AM4" s="1996">
        <f t="shared" ref="AM4" si="11">AL4/AK4</f>
        <v>6.4437374190308969E-2</v>
      </c>
      <c r="AN4" s="2003">
        <v>4220651</v>
      </c>
      <c r="AO4" s="2004">
        <v>248066</v>
      </c>
      <c r="AP4" s="1966">
        <f t="shared" ref="AP4" si="12">AO4/AN4</f>
        <v>5.8774345474193433E-2</v>
      </c>
      <c r="AQ4" s="2008">
        <v>4240113</v>
      </c>
      <c r="AR4" s="1118">
        <v>235134</v>
      </c>
      <c r="AS4" s="1966">
        <f t="shared" ref="AS4" si="13">AR4/AQ4</f>
        <v>5.5454654156622714E-2</v>
      </c>
      <c r="AT4" s="2003">
        <v>4261182</v>
      </c>
      <c r="AU4" s="2010">
        <v>220071</v>
      </c>
      <c r="AV4" s="1996">
        <f t="shared" ref="AV4" si="14">AU4/AT4</f>
        <v>5.1645529339042547E-2</v>
      </c>
      <c r="AW4" s="2003">
        <f>SUM(AW5:AW124)</f>
        <v>4240476</v>
      </c>
      <c r="AX4" s="2010">
        <f>SUM(AX5:AX124)</f>
        <v>188563</v>
      </c>
      <c r="AY4" s="1996">
        <f t="shared" ref="AY4" si="15">AX4/AW4</f>
        <v>4.4467413563948954E-2</v>
      </c>
      <c r="AZ4" s="2003">
        <f>SUM(AZ5:AZ124)</f>
        <v>4240416</v>
      </c>
      <c r="BA4" s="2010">
        <f>SUM(BA5:BA124)</f>
        <v>170151</v>
      </c>
      <c r="BB4" s="1996">
        <f t="shared" ref="BB4" si="16">BA4/AZ4</f>
        <v>4.0126015938058909E-2</v>
      </c>
      <c r="BC4" s="1998">
        <f>SUM(BC5:BC124)</f>
        <v>4307758</v>
      </c>
      <c r="BD4" s="1250">
        <f>SUM(BD5:BD124)</f>
        <v>161623</v>
      </c>
      <c r="BE4" s="1246">
        <f t="shared" ref="BE4" si="17">BD4/BC4</f>
        <v>3.7519052834444275E-2</v>
      </c>
      <c r="BF4" s="1998">
        <f>SUM(BF5:BF124)</f>
        <v>4331384</v>
      </c>
      <c r="BG4" s="1250">
        <f>SUM(BG5:BG124)</f>
        <v>128585</v>
      </c>
      <c r="BH4" s="1246">
        <f t="shared" ref="BH4" si="18">BG4/BF4</f>
        <v>2.9686816038476387E-2</v>
      </c>
    </row>
    <row r="5" spans="1:60" ht="12.75" customHeight="1" x14ac:dyDescent="0.3">
      <c r="A5" s="364" t="s">
        <v>10</v>
      </c>
      <c r="B5" s="365" t="s">
        <v>11</v>
      </c>
      <c r="C5" s="186" t="s">
        <v>252</v>
      </c>
      <c r="D5" s="1975">
        <v>18014</v>
      </c>
      <c r="E5" s="1976">
        <v>532</v>
      </c>
      <c r="F5" s="1977">
        <f t="shared" ref="F5:F36" si="19">E5/D5</f>
        <v>2.9532585766625957E-2</v>
      </c>
      <c r="G5" s="1988">
        <v>18272</v>
      </c>
      <c r="H5" s="1989">
        <v>613</v>
      </c>
      <c r="I5" s="1964">
        <f t="shared" ref="I5:I36" si="20">H5/G5</f>
        <v>3.3548598949211909E-2</v>
      </c>
      <c r="J5" s="1988">
        <v>19107</v>
      </c>
      <c r="K5" s="1989">
        <v>791</v>
      </c>
      <c r="L5" s="1995">
        <f t="shared" ref="L5:L36" si="21">K5/J5</f>
        <v>4.1398440362170934E-2</v>
      </c>
      <c r="M5" s="1988">
        <v>19477</v>
      </c>
      <c r="N5" s="1989">
        <v>847</v>
      </c>
      <c r="O5" s="1995">
        <f t="shared" ref="O5:O36" si="22">N5/M5</f>
        <v>4.3487190018996764E-2</v>
      </c>
      <c r="P5" s="1988">
        <v>19371</v>
      </c>
      <c r="Q5" s="1989">
        <v>887</v>
      </c>
      <c r="R5" s="1995">
        <f t="shared" ref="R5:R36" si="23">Q5/P5</f>
        <v>4.57900986010015E-2</v>
      </c>
      <c r="S5" s="1988">
        <v>18900</v>
      </c>
      <c r="T5" s="1989">
        <v>875</v>
      </c>
      <c r="U5" s="1995">
        <f t="shared" ref="U5:U36" si="24">T5/S5</f>
        <v>4.6296296296296294E-2</v>
      </c>
      <c r="V5" s="1988">
        <v>18589</v>
      </c>
      <c r="W5" s="1989">
        <v>783</v>
      </c>
      <c r="X5" s="1995">
        <f t="shared" ref="X5:X36" si="25">W5/V5</f>
        <v>4.2121684867394697E-2</v>
      </c>
      <c r="Y5" s="1988">
        <v>18689</v>
      </c>
      <c r="Z5" s="1989">
        <v>773</v>
      </c>
      <c r="AA5" s="1995">
        <f t="shared" ref="AA5:AA36" si="26">Z5/Y5</f>
        <v>4.1361228530151423E-2</v>
      </c>
      <c r="AB5" s="1988">
        <v>19012</v>
      </c>
      <c r="AC5" s="1989">
        <v>949</v>
      </c>
      <c r="AD5" s="1995">
        <f t="shared" ref="AD5:AD36" si="27">AC5/AB5</f>
        <v>4.9915842625710076E-2</v>
      </c>
      <c r="AE5" s="1988">
        <v>19759</v>
      </c>
      <c r="AF5" s="1989">
        <v>1331</v>
      </c>
      <c r="AG5" s="1995">
        <f t="shared" ref="AG5:AG36" si="28">AF5/AE5</f>
        <v>6.7361708588491317E-2</v>
      </c>
      <c r="AH5" s="1988">
        <v>18924</v>
      </c>
      <c r="AI5" s="1989">
        <v>1334</v>
      </c>
      <c r="AJ5" s="1995">
        <f t="shared" ref="AJ5:AJ36" si="29">AI5/AH5</f>
        <v>7.0492496300993454E-2</v>
      </c>
      <c r="AK5" s="1984">
        <v>18639</v>
      </c>
      <c r="AL5" s="1985">
        <v>1357</v>
      </c>
      <c r="AM5" s="1995">
        <f t="shared" ref="AM5:AM36" si="30">AL5/AK5</f>
        <v>7.280433499651269E-2</v>
      </c>
      <c r="AN5" s="2005">
        <v>18354</v>
      </c>
      <c r="AO5" s="2006">
        <v>1249</v>
      </c>
      <c r="AP5" s="1967">
        <f t="shared" ref="AP5:AP36" si="31">AO5/AN5</f>
        <v>6.8050561185572622E-2</v>
      </c>
      <c r="AQ5" s="2005">
        <v>18100</v>
      </c>
      <c r="AR5" s="1119">
        <v>1171</v>
      </c>
      <c r="AS5" s="1967">
        <f t="shared" ref="AS5:AS36" si="32">AR5/AQ5</f>
        <v>6.469613259668508E-2</v>
      </c>
      <c r="AT5" s="2011">
        <v>16024</v>
      </c>
      <c r="AU5" s="2012">
        <v>1040</v>
      </c>
      <c r="AV5" s="1995">
        <f t="shared" ref="AV5:AV36" si="33">AU5/AT5</f>
        <v>6.4902646030953567E-2</v>
      </c>
      <c r="AW5" s="2005">
        <v>15972</v>
      </c>
      <c r="AX5" s="2015">
        <v>866</v>
      </c>
      <c r="AY5" s="1995">
        <f t="shared" ref="AY5:AY36" si="34">AX5/AW5</f>
        <v>5.4219884798397198E-2</v>
      </c>
      <c r="AZ5" s="2005">
        <v>15799</v>
      </c>
      <c r="BA5" s="2015">
        <v>761</v>
      </c>
      <c r="BB5" s="1995">
        <f t="shared" ref="BB5:BB36" si="35">BA5/AZ5</f>
        <v>4.8167605544654726E-2</v>
      </c>
      <c r="BC5" s="1999">
        <v>15948</v>
      </c>
      <c r="BD5" s="1251">
        <v>769</v>
      </c>
      <c r="BE5" s="1247">
        <f t="shared" ref="BE5:BE36" si="36">BD5/BC5</f>
        <v>4.8219212440431404E-2</v>
      </c>
      <c r="BF5" s="1999">
        <v>16762</v>
      </c>
      <c r="BG5" s="1251">
        <v>639</v>
      </c>
      <c r="BH5" s="1247">
        <f t="shared" ref="BH5:BH36" si="37">BG5/BF5</f>
        <v>3.8121942488963133E-2</v>
      </c>
    </row>
    <row r="6" spans="1:60" ht="12.75" customHeight="1" x14ac:dyDescent="0.3">
      <c r="A6" s="364" t="s">
        <v>12</v>
      </c>
      <c r="B6" s="366" t="s">
        <v>13</v>
      </c>
      <c r="C6" s="186" t="s">
        <v>253</v>
      </c>
      <c r="D6" s="1975">
        <v>43304</v>
      </c>
      <c r="E6" s="1976">
        <v>742</v>
      </c>
      <c r="F6" s="1977">
        <f t="shared" si="19"/>
        <v>1.7134675780528359E-2</v>
      </c>
      <c r="G6" s="1988">
        <v>43990</v>
      </c>
      <c r="H6" s="1989">
        <v>949</v>
      </c>
      <c r="I6" s="1964">
        <f t="shared" si="20"/>
        <v>2.1573084791998182E-2</v>
      </c>
      <c r="J6" s="1988">
        <v>44542</v>
      </c>
      <c r="K6" s="1989">
        <v>1391</v>
      </c>
      <c r="L6" s="1995">
        <f t="shared" si="21"/>
        <v>3.1228952449373626E-2</v>
      </c>
      <c r="M6" s="1988">
        <v>45288</v>
      </c>
      <c r="N6" s="1989">
        <v>1536</v>
      </c>
      <c r="O6" s="1995">
        <f t="shared" si="22"/>
        <v>3.391626921038686E-2</v>
      </c>
      <c r="P6" s="1988">
        <v>46402</v>
      </c>
      <c r="Q6" s="1989">
        <v>1414</v>
      </c>
      <c r="R6" s="1995">
        <f t="shared" si="23"/>
        <v>3.0472824447222102E-2</v>
      </c>
      <c r="S6" s="1988">
        <v>47720</v>
      </c>
      <c r="T6" s="1989">
        <v>1339</v>
      </c>
      <c r="U6" s="1995">
        <f t="shared" si="24"/>
        <v>2.8059513830678961E-2</v>
      </c>
      <c r="V6" s="1988">
        <v>49910</v>
      </c>
      <c r="W6" s="1989">
        <v>1204</v>
      </c>
      <c r="X6" s="1995">
        <f t="shared" si="25"/>
        <v>2.4123422159887799E-2</v>
      </c>
      <c r="Y6" s="1988">
        <v>51072</v>
      </c>
      <c r="Z6" s="1989">
        <v>1152</v>
      </c>
      <c r="AA6" s="1995">
        <f t="shared" si="26"/>
        <v>2.2556390977443608E-2</v>
      </c>
      <c r="AB6" s="1988">
        <v>52709</v>
      </c>
      <c r="AC6" s="1989">
        <v>1572</v>
      </c>
      <c r="AD6" s="1995">
        <f t="shared" si="27"/>
        <v>2.9824128706672486E-2</v>
      </c>
      <c r="AE6" s="1988">
        <v>52050</v>
      </c>
      <c r="AF6" s="1989">
        <v>2774</v>
      </c>
      <c r="AG6" s="1995">
        <f t="shared" si="28"/>
        <v>5.3294908741594621E-2</v>
      </c>
      <c r="AH6" s="1988">
        <v>53281</v>
      </c>
      <c r="AI6" s="1989">
        <v>3053</v>
      </c>
      <c r="AJ6" s="1995">
        <f t="shared" si="29"/>
        <v>5.7299975601058539E-2</v>
      </c>
      <c r="AK6" s="1984">
        <v>54778</v>
      </c>
      <c r="AL6" s="1985">
        <v>2874</v>
      </c>
      <c r="AM6" s="1995">
        <f t="shared" si="30"/>
        <v>5.2466318595056412E-2</v>
      </c>
      <c r="AN6" s="2005">
        <v>55512</v>
      </c>
      <c r="AO6" s="2006">
        <v>2704</v>
      </c>
      <c r="AP6" s="1967">
        <f t="shared" si="31"/>
        <v>4.8710188788009798E-2</v>
      </c>
      <c r="AQ6" s="2005">
        <v>55916</v>
      </c>
      <c r="AR6" s="1119">
        <v>2547</v>
      </c>
      <c r="AS6" s="1967">
        <f t="shared" si="32"/>
        <v>4.5550468559982835E-2</v>
      </c>
      <c r="AT6" s="2011">
        <v>54006</v>
      </c>
      <c r="AU6" s="2012">
        <v>2375</v>
      </c>
      <c r="AV6" s="1995">
        <f t="shared" si="33"/>
        <v>4.3976595193126689E-2</v>
      </c>
      <c r="AW6" s="2005">
        <v>54361</v>
      </c>
      <c r="AX6" s="2015">
        <v>2094</v>
      </c>
      <c r="AY6" s="1995">
        <f t="shared" si="34"/>
        <v>3.8520262688324348E-2</v>
      </c>
      <c r="AZ6" s="2005">
        <v>54092</v>
      </c>
      <c r="BA6" s="2015">
        <v>1892</v>
      </c>
      <c r="BB6" s="1995">
        <f t="shared" si="35"/>
        <v>3.4977445833025214E-2</v>
      </c>
      <c r="BC6" s="1999">
        <v>55748</v>
      </c>
      <c r="BD6" s="1251">
        <v>1843</v>
      </c>
      <c r="BE6" s="1247">
        <f t="shared" si="36"/>
        <v>3.3059481954509577E-2</v>
      </c>
      <c r="BF6" s="1999">
        <v>55903</v>
      </c>
      <c r="BG6" s="1251">
        <v>1495</v>
      </c>
      <c r="BH6" s="1247">
        <f t="shared" si="37"/>
        <v>2.6742750836269969E-2</v>
      </c>
    </row>
    <row r="7" spans="1:60" ht="12.75" customHeight="1" x14ac:dyDescent="0.3">
      <c r="A7" s="364" t="s">
        <v>16</v>
      </c>
      <c r="B7" s="366" t="s">
        <v>17</v>
      </c>
      <c r="C7" s="186" t="s">
        <v>253</v>
      </c>
      <c r="D7" s="1978">
        <v>10566</v>
      </c>
      <c r="E7" s="1979">
        <v>344</v>
      </c>
      <c r="F7" s="1977">
        <f t="shared" si="19"/>
        <v>3.2557259133068332E-2</v>
      </c>
      <c r="G7" s="1990">
        <v>10733</v>
      </c>
      <c r="H7" s="1991">
        <v>465</v>
      </c>
      <c r="I7" s="1964">
        <f t="shared" si="20"/>
        <v>4.3324326842448524E-2</v>
      </c>
      <c r="J7" s="1990">
        <v>11144</v>
      </c>
      <c r="K7" s="1991">
        <v>617</v>
      </c>
      <c r="L7" s="1995">
        <f t="shared" si="21"/>
        <v>5.5366116295764538E-2</v>
      </c>
      <c r="M7" s="1990">
        <v>11192</v>
      </c>
      <c r="N7" s="1991">
        <v>543</v>
      </c>
      <c r="O7" s="1995">
        <f t="shared" si="22"/>
        <v>4.8516797712651896E-2</v>
      </c>
      <c r="P7" s="1990">
        <v>10488</v>
      </c>
      <c r="Q7" s="1991">
        <v>509</v>
      </c>
      <c r="R7" s="1995">
        <f t="shared" si="23"/>
        <v>4.8531655225019073E-2</v>
      </c>
      <c r="S7" s="1990">
        <v>10366</v>
      </c>
      <c r="T7" s="1991">
        <v>511</v>
      </c>
      <c r="U7" s="1995">
        <f t="shared" si="24"/>
        <v>4.9295774647887321E-2</v>
      </c>
      <c r="V7" s="1990">
        <v>10140</v>
      </c>
      <c r="W7" s="1991">
        <v>550</v>
      </c>
      <c r="X7" s="1995">
        <f t="shared" si="25"/>
        <v>5.4240631163708086E-2</v>
      </c>
      <c r="Y7" s="1990">
        <v>9637</v>
      </c>
      <c r="Z7" s="1991">
        <v>464</v>
      </c>
      <c r="AA7" s="1995">
        <f t="shared" si="26"/>
        <v>4.8147763826917093E-2</v>
      </c>
      <c r="AB7" s="1990">
        <v>9568</v>
      </c>
      <c r="AC7" s="1991">
        <v>556</v>
      </c>
      <c r="AD7" s="1995">
        <f t="shared" si="27"/>
        <v>5.8110367892976592E-2</v>
      </c>
      <c r="AE7" s="1990">
        <v>9852</v>
      </c>
      <c r="AF7" s="1991">
        <v>958</v>
      </c>
      <c r="AG7" s="1995">
        <f t="shared" si="28"/>
        <v>9.7239139261063742E-2</v>
      </c>
      <c r="AH7" s="1990">
        <v>9690</v>
      </c>
      <c r="AI7" s="1991">
        <v>967</v>
      </c>
      <c r="AJ7" s="1995">
        <f t="shared" si="29"/>
        <v>9.9793601651186795E-2</v>
      </c>
      <c r="AK7" s="1984">
        <v>9669</v>
      </c>
      <c r="AL7" s="1985">
        <v>862</v>
      </c>
      <c r="AM7" s="1995">
        <f t="shared" si="30"/>
        <v>8.9150894611645465E-2</v>
      </c>
      <c r="AN7" s="2005">
        <v>9079</v>
      </c>
      <c r="AO7" s="2006">
        <v>772</v>
      </c>
      <c r="AP7" s="1967">
        <f t="shared" si="31"/>
        <v>8.5031391122370306E-2</v>
      </c>
      <c r="AQ7" s="2005">
        <v>9007</v>
      </c>
      <c r="AR7" s="1119">
        <v>707</v>
      </c>
      <c r="AS7" s="1967">
        <f t="shared" si="32"/>
        <v>7.8494504274453203E-2</v>
      </c>
      <c r="AT7" s="2011">
        <v>9787</v>
      </c>
      <c r="AU7" s="2012">
        <v>640</v>
      </c>
      <c r="AV7" s="1995">
        <f t="shared" si="33"/>
        <v>6.5392868090323894E-2</v>
      </c>
      <c r="AW7" s="2005">
        <v>9560</v>
      </c>
      <c r="AX7" s="2015">
        <v>510</v>
      </c>
      <c r="AY7" s="1995">
        <f t="shared" si="34"/>
        <v>5.3347280334728034E-2</v>
      </c>
      <c r="AZ7" s="2005">
        <v>9301</v>
      </c>
      <c r="BA7" s="2015">
        <v>489</v>
      </c>
      <c r="BB7" s="1995">
        <f t="shared" si="35"/>
        <v>5.2574991936350929E-2</v>
      </c>
      <c r="BC7" s="1999">
        <v>9221</v>
      </c>
      <c r="BD7" s="1251">
        <v>482</v>
      </c>
      <c r="BE7" s="1247">
        <f t="shared" si="36"/>
        <v>5.2271987853811951E-2</v>
      </c>
      <c r="BF7" s="1999">
        <v>9349</v>
      </c>
      <c r="BG7" s="1251">
        <v>372</v>
      </c>
      <c r="BH7" s="1247">
        <f t="shared" si="37"/>
        <v>3.9790351909295113E-2</v>
      </c>
    </row>
    <row r="8" spans="1:60" ht="12.75" customHeight="1" x14ac:dyDescent="0.3">
      <c r="A8" s="364" t="s">
        <v>18</v>
      </c>
      <c r="B8" s="366" t="s">
        <v>19</v>
      </c>
      <c r="C8" s="186" t="s">
        <v>254</v>
      </c>
      <c r="D8" s="1975">
        <v>5831</v>
      </c>
      <c r="E8" s="1976">
        <v>116</v>
      </c>
      <c r="F8" s="1977">
        <f t="shared" si="19"/>
        <v>1.9893671754416052E-2</v>
      </c>
      <c r="G8" s="1988">
        <v>5897</v>
      </c>
      <c r="H8" s="1989">
        <v>150</v>
      </c>
      <c r="I8" s="1964">
        <f t="shared" si="20"/>
        <v>2.5436662709852467E-2</v>
      </c>
      <c r="J8" s="1988">
        <v>6026</v>
      </c>
      <c r="K8" s="1989">
        <v>232</v>
      </c>
      <c r="L8" s="1995">
        <f t="shared" si="21"/>
        <v>3.8499834052439431E-2</v>
      </c>
      <c r="M8" s="1988">
        <v>6032</v>
      </c>
      <c r="N8" s="1989">
        <v>236</v>
      </c>
      <c r="O8" s="1995">
        <f t="shared" si="22"/>
        <v>3.9124668435013263E-2</v>
      </c>
      <c r="P8" s="1988">
        <v>6188</v>
      </c>
      <c r="Q8" s="1989">
        <v>218</v>
      </c>
      <c r="R8" s="1995">
        <f t="shared" si="23"/>
        <v>3.5229476405946994E-2</v>
      </c>
      <c r="S8" s="1988">
        <v>6357</v>
      </c>
      <c r="T8" s="1989">
        <v>217</v>
      </c>
      <c r="U8" s="1995">
        <f t="shared" si="24"/>
        <v>3.4135598552776467E-2</v>
      </c>
      <c r="V8" s="1988">
        <v>6489</v>
      </c>
      <c r="W8" s="1989">
        <v>194</v>
      </c>
      <c r="X8" s="1995">
        <f t="shared" si="25"/>
        <v>2.9896748343350286E-2</v>
      </c>
      <c r="Y8" s="1988">
        <v>6531</v>
      </c>
      <c r="Z8" s="1989">
        <v>181</v>
      </c>
      <c r="AA8" s="1995">
        <f t="shared" si="26"/>
        <v>2.7713979482468228E-2</v>
      </c>
      <c r="AB8" s="1988">
        <v>6770</v>
      </c>
      <c r="AC8" s="1989">
        <v>304</v>
      </c>
      <c r="AD8" s="1995">
        <f t="shared" si="27"/>
        <v>4.4903988183161006E-2</v>
      </c>
      <c r="AE8" s="1988">
        <v>6672</v>
      </c>
      <c r="AF8" s="1989">
        <v>537</v>
      </c>
      <c r="AG8" s="1995">
        <f t="shared" si="28"/>
        <v>8.0485611510791366E-2</v>
      </c>
      <c r="AH8" s="1988">
        <v>6451</v>
      </c>
      <c r="AI8" s="1989">
        <v>515</v>
      </c>
      <c r="AJ8" s="1995">
        <f t="shared" si="29"/>
        <v>7.9832584095489073E-2</v>
      </c>
      <c r="AK8" s="1984">
        <v>6554</v>
      </c>
      <c r="AL8" s="1985">
        <v>465</v>
      </c>
      <c r="AM8" s="1995">
        <f t="shared" si="30"/>
        <v>7.094903875495881E-2</v>
      </c>
      <c r="AN8" s="2005">
        <v>6499</v>
      </c>
      <c r="AO8" s="2006">
        <v>384</v>
      </c>
      <c r="AP8" s="1967">
        <f t="shared" si="31"/>
        <v>5.9086013232805046E-2</v>
      </c>
      <c r="AQ8" s="2005">
        <v>6553</v>
      </c>
      <c r="AR8" s="1119">
        <v>360</v>
      </c>
      <c r="AS8" s="1967">
        <f t="shared" si="32"/>
        <v>5.4936670227376777E-2</v>
      </c>
      <c r="AT8" s="2011">
        <v>6242</v>
      </c>
      <c r="AU8" s="2012">
        <v>328</v>
      </c>
      <c r="AV8" s="1995">
        <f t="shared" si="33"/>
        <v>5.2547260493431593E-2</v>
      </c>
      <c r="AW8" s="2005">
        <v>6272</v>
      </c>
      <c r="AX8" s="2015">
        <v>279</v>
      </c>
      <c r="AY8" s="1995">
        <f t="shared" si="34"/>
        <v>4.4483418367346941E-2</v>
      </c>
      <c r="AZ8" s="2005">
        <v>6226</v>
      </c>
      <c r="BA8" s="2015">
        <v>261</v>
      </c>
      <c r="BB8" s="1995">
        <f t="shared" si="35"/>
        <v>4.1920976549951812E-2</v>
      </c>
      <c r="BC8" s="1999">
        <v>6246</v>
      </c>
      <c r="BD8" s="1251">
        <v>250</v>
      </c>
      <c r="BE8" s="1247">
        <f t="shared" si="36"/>
        <v>4.0025616394492473E-2</v>
      </c>
      <c r="BF8" s="1999">
        <v>6240</v>
      </c>
      <c r="BG8" s="1251">
        <v>201</v>
      </c>
      <c r="BH8" s="1247">
        <f t="shared" si="37"/>
        <v>3.2211538461538458E-2</v>
      </c>
    </row>
    <row r="9" spans="1:60" ht="12.75" customHeight="1" x14ac:dyDescent="0.3">
      <c r="A9" s="364" t="s">
        <v>20</v>
      </c>
      <c r="B9" s="366" t="s">
        <v>21</v>
      </c>
      <c r="C9" s="186" t="s">
        <v>253</v>
      </c>
      <c r="D9" s="1975">
        <v>15320</v>
      </c>
      <c r="E9" s="1976">
        <v>324</v>
      </c>
      <c r="F9" s="1977">
        <f t="shared" si="19"/>
        <v>2.114882506527415E-2</v>
      </c>
      <c r="G9" s="1988">
        <v>15117</v>
      </c>
      <c r="H9" s="1989">
        <v>550</v>
      </c>
      <c r="I9" s="1964">
        <f t="shared" si="20"/>
        <v>3.6382880201098103E-2</v>
      </c>
      <c r="J9" s="1988">
        <v>15274</v>
      </c>
      <c r="K9" s="1989">
        <v>834</v>
      </c>
      <c r="L9" s="1995">
        <f t="shared" si="21"/>
        <v>5.460259264108943E-2</v>
      </c>
      <c r="M9" s="1988">
        <v>15349</v>
      </c>
      <c r="N9" s="1989">
        <v>761</v>
      </c>
      <c r="O9" s="1995">
        <f t="shared" si="22"/>
        <v>4.9579777184181377E-2</v>
      </c>
      <c r="P9" s="1988">
        <v>15277</v>
      </c>
      <c r="Q9" s="1989">
        <v>685</v>
      </c>
      <c r="R9" s="1995">
        <f t="shared" si="23"/>
        <v>4.4838646331085946E-2</v>
      </c>
      <c r="S9" s="1988">
        <v>15416</v>
      </c>
      <c r="T9" s="1989">
        <v>628</v>
      </c>
      <c r="U9" s="1995">
        <f t="shared" si="24"/>
        <v>4.0736896730669436E-2</v>
      </c>
      <c r="V9" s="1988">
        <v>15549</v>
      </c>
      <c r="W9" s="1989">
        <v>499</v>
      </c>
      <c r="X9" s="1995">
        <f t="shared" si="25"/>
        <v>3.2092095954723773E-2</v>
      </c>
      <c r="Y9" s="1988">
        <v>15453</v>
      </c>
      <c r="Z9" s="1989">
        <v>541</v>
      </c>
      <c r="AA9" s="1995">
        <f t="shared" si="26"/>
        <v>3.5009383291270305E-2</v>
      </c>
      <c r="AB9" s="1988">
        <v>16043</v>
      </c>
      <c r="AC9" s="1989">
        <v>663</v>
      </c>
      <c r="AD9" s="1995">
        <f t="shared" si="27"/>
        <v>4.132643520538553E-2</v>
      </c>
      <c r="AE9" s="1988">
        <v>15679</v>
      </c>
      <c r="AF9" s="1989">
        <v>1260</v>
      </c>
      <c r="AG9" s="1995">
        <f t="shared" si="28"/>
        <v>8.0362268001785822E-2</v>
      </c>
      <c r="AH9" s="1988">
        <v>15271</v>
      </c>
      <c r="AI9" s="1989">
        <v>1323</v>
      </c>
      <c r="AJ9" s="1995">
        <f t="shared" si="29"/>
        <v>8.6634797983105236E-2</v>
      </c>
      <c r="AK9" s="1984">
        <v>14983</v>
      </c>
      <c r="AL9" s="1985">
        <v>1139</v>
      </c>
      <c r="AM9" s="1995">
        <f t="shared" si="30"/>
        <v>7.6019488753921116E-2</v>
      </c>
      <c r="AN9" s="2005">
        <v>14867</v>
      </c>
      <c r="AO9" s="2006">
        <v>1036</v>
      </c>
      <c r="AP9" s="1967">
        <f t="shared" si="31"/>
        <v>6.9684536221160956E-2</v>
      </c>
      <c r="AQ9" s="2005">
        <v>14832</v>
      </c>
      <c r="AR9" s="1119">
        <v>940</v>
      </c>
      <c r="AS9" s="1967">
        <f t="shared" si="32"/>
        <v>6.3376483279395907E-2</v>
      </c>
      <c r="AT9" s="2011">
        <v>15888</v>
      </c>
      <c r="AU9" s="2012">
        <v>861</v>
      </c>
      <c r="AV9" s="1995">
        <f t="shared" si="33"/>
        <v>5.4191842900302115E-2</v>
      </c>
      <c r="AW9" s="2005">
        <v>15544</v>
      </c>
      <c r="AX9" s="2015">
        <v>741</v>
      </c>
      <c r="AY9" s="1995">
        <f t="shared" si="34"/>
        <v>4.7671127123005662E-2</v>
      </c>
      <c r="AZ9" s="2005">
        <v>15140</v>
      </c>
      <c r="BA9" s="2015">
        <v>658</v>
      </c>
      <c r="BB9" s="1995">
        <f t="shared" si="35"/>
        <v>4.3461030383091147E-2</v>
      </c>
      <c r="BC9" s="1999">
        <v>15085</v>
      </c>
      <c r="BD9" s="1251">
        <v>630</v>
      </c>
      <c r="BE9" s="1247">
        <f t="shared" si="36"/>
        <v>4.1763341067285381E-2</v>
      </c>
      <c r="BF9" s="1999">
        <v>14984</v>
      </c>
      <c r="BG9" s="1251">
        <v>488</v>
      </c>
      <c r="BH9" s="1247">
        <f t="shared" si="37"/>
        <v>3.2568072610784836E-2</v>
      </c>
    </row>
    <row r="10" spans="1:60" ht="12.75" customHeight="1" x14ac:dyDescent="0.3">
      <c r="A10" s="364" t="s">
        <v>22</v>
      </c>
      <c r="B10" s="366" t="s">
        <v>23</v>
      </c>
      <c r="C10" s="186" t="s">
        <v>253</v>
      </c>
      <c r="D10" s="1975">
        <v>6727</v>
      </c>
      <c r="E10" s="1976">
        <v>166</v>
      </c>
      <c r="F10" s="1977">
        <f t="shared" si="19"/>
        <v>2.4676676081462762E-2</v>
      </c>
      <c r="G10" s="1988">
        <v>6703</v>
      </c>
      <c r="H10" s="1989">
        <v>289</v>
      </c>
      <c r="I10" s="1964">
        <f t="shared" si="20"/>
        <v>4.311502312397434E-2</v>
      </c>
      <c r="J10" s="1988">
        <v>6739</v>
      </c>
      <c r="K10" s="1989">
        <v>382</v>
      </c>
      <c r="L10" s="1995">
        <f t="shared" si="21"/>
        <v>5.6684968096156703E-2</v>
      </c>
      <c r="M10" s="1988">
        <v>6778</v>
      </c>
      <c r="N10" s="1989">
        <v>377</v>
      </c>
      <c r="O10" s="1995">
        <f t="shared" si="22"/>
        <v>5.5621127176158157E-2</v>
      </c>
      <c r="P10" s="1988">
        <v>6795</v>
      </c>
      <c r="Q10" s="1989">
        <v>304</v>
      </c>
      <c r="R10" s="1995">
        <f t="shared" si="23"/>
        <v>4.4738778513612951E-2</v>
      </c>
      <c r="S10" s="1988">
        <v>6866</v>
      </c>
      <c r="T10" s="1989">
        <v>321</v>
      </c>
      <c r="U10" s="1995">
        <f t="shared" si="24"/>
        <v>4.6752111855519952E-2</v>
      </c>
      <c r="V10" s="1988">
        <v>6969</v>
      </c>
      <c r="W10" s="1989">
        <v>253</v>
      </c>
      <c r="X10" s="1995">
        <f t="shared" si="25"/>
        <v>3.6303630363036306E-2</v>
      </c>
      <c r="Y10" s="1988">
        <v>6964</v>
      </c>
      <c r="Z10" s="1989">
        <v>273</v>
      </c>
      <c r="AA10" s="1995">
        <f t="shared" si="26"/>
        <v>3.9201608271108558E-2</v>
      </c>
      <c r="AB10" s="1988">
        <v>7305</v>
      </c>
      <c r="AC10" s="1989">
        <v>326</v>
      </c>
      <c r="AD10" s="1995">
        <f t="shared" si="27"/>
        <v>4.4626967830253252E-2</v>
      </c>
      <c r="AE10" s="1988">
        <v>7164</v>
      </c>
      <c r="AF10" s="1989">
        <v>586</v>
      </c>
      <c r="AG10" s="1995">
        <f t="shared" si="28"/>
        <v>8.1797878280290337E-2</v>
      </c>
      <c r="AH10" s="1988">
        <v>7208</v>
      </c>
      <c r="AI10" s="1989">
        <v>633</v>
      </c>
      <c r="AJ10" s="1995">
        <f t="shared" si="29"/>
        <v>8.7819089900110989E-2</v>
      </c>
      <c r="AK10" s="1984">
        <v>7143</v>
      </c>
      <c r="AL10" s="1985">
        <v>549</v>
      </c>
      <c r="AM10" s="1995">
        <f t="shared" si="30"/>
        <v>7.6858462830743379E-2</v>
      </c>
      <c r="AN10" s="2005">
        <v>7085</v>
      </c>
      <c r="AO10" s="2006">
        <v>504</v>
      </c>
      <c r="AP10" s="1967">
        <f t="shared" si="31"/>
        <v>7.1136203246294993E-2</v>
      </c>
      <c r="AQ10" s="2005">
        <v>7045</v>
      </c>
      <c r="AR10" s="1119">
        <v>435</v>
      </c>
      <c r="AS10" s="1967">
        <f t="shared" si="32"/>
        <v>6.1745919091554295E-2</v>
      </c>
      <c r="AT10" s="2011">
        <v>7188</v>
      </c>
      <c r="AU10" s="2012">
        <v>407</v>
      </c>
      <c r="AV10" s="1995">
        <f t="shared" si="33"/>
        <v>5.6622148024485251E-2</v>
      </c>
      <c r="AW10" s="2005">
        <v>7067</v>
      </c>
      <c r="AX10" s="2015">
        <v>343</v>
      </c>
      <c r="AY10" s="1995">
        <f t="shared" si="34"/>
        <v>4.8535446441205603E-2</v>
      </c>
      <c r="AZ10" s="2005">
        <v>6974</v>
      </c>
      <c r="BA10" s="2015">
        <v>322</v>
      </c>
      <c r="BB10" s="1995">
        <f t="shared" si="35"/>
        <v>4.6171494121020937E-2</v>
      </c>
      <c r="BC10" s="1999">
        <v>7022</v>
      </c>
      <c r="BD10" s="1251">
        <v>313</v>
      </c>
      <c r="BE10" s="1247">
        <f t="shared" si="36"/>
        <v>4.4574195385929938E-2</v>
      </c>
      <c r="BF10" s="1999">
        <v>7083</v>
      </c>
      <c r="BG10" s="1251">
        <v>258</v>
      </c>
      <c r="BH10" s="1247">
        <f t="shared" si="37"/>
        <v>3.6425243540872509E-2</v>
      </c>
    </row>
    <row r="11" spans="1:60" ht="12.75" customHeight="1" x14ac:dyDescent="0.3">
      <c r="A11" s="364" t="s">
        <v>24</v>
      </c>
      <c r="B11" s="366" t="s">
        <v>25</v>
      </c>
      <c r="C11" s="186" t="s">
        <v>255</v>
      </c>
      <c r="D11" s="1975">
        <v>118618</v>
      </c>
      <c r="E11" s="1976">
        <v>1849</v>
      </c>
      <c r="F11" s="1977">
        <f t="shared" si="19"/>
        <v>1.5587853445514171E-2</v>
      </c>
      <c r="G11" s="1988">
        <v>118714</v>
      </c>
      <c r="H11" s="1989">
        <v>2854</v>
      </c>
      <c r="I11" s="1964">
        <f t="shared" si="20"/>
        <v>2.4040972421112927E-2</v>
      </c>
      <c r="J11" s="1988">
        <v>121721</v>
      </c>
      <c r="K11" s="1989">
        <v>3616</v>
      </c>
      <c r="L11" s="1995">
        <f t="shared" si="21"/>
        <v>2.9707281405837942E-2</v>
      </c>
      <c r="M11" s="1988">
        <v>122017</v>
      </c>
      <c r="N11" s="1989">
        <v>3263</v>
      </c>
      <c r="O11" s="1995">
        <f t="shared" si="22"/>
        <v>2.6742175270659006E-2</v>
      </c>
      <c r="P11" s="1988">
        <v>124063</v>
      </c>
      <c r="Q11" s="1989">
        <v>2978</v>
      </c>
      <c r="R11" s="1995">
        <f t="shared" si="23"/>
        <v>2.4003933485406609E-2</v>
      </c>
      <c r="S11" s="1988">
        <v>124137</v>
      </c>
      <c r="T11" s="1989">
        <v>2855</v>
      </c>
      <c r="U11" s="1995">
        <f t="shared" si="24"/>
        <v>2.2998783601988124E-2</v>
      </c>
      <c r="V11" s="1988">
        <v>127518</v>
      </c>
      <c r="W11" s="1989">
        <v>2491</v>
      </c>
      <c r="X11" s="1995">
        <f t="shared" si="25"/>
        <v>1.9534497090606815E-2</v>
      </c>
      <c r="Y11" s="1988">
        <v>130716</v>
      </c>
      <c r="Z11" s="1989">
        <v>2534</v>
      </c>
      <c r="AA11" s="1995">
        <f t="shared" si="26"/>
        <v>1.9385538113161356E-2</v>
      </c>
      <c r="AB11" s="1988">
        <v>136857</v>
      </c>
      <c r="AC11" s="1989">
        <v>3368</v>
      </c>
      <c r="AD11" s="1995">
        <f t="shared" si="27"/>
        <v>2.4609629028840323E-2</v>
      </c>
      <c r="AE11" s="1988">
        <v>137465</v>
      </c>
      <c r="AF11" s="1989">
        <v>6088</v>
      </c>
      <c r="AG11" s="1995">
        <f t="shared" si="28"/>
        <v>4.4287636853017134E-2</v>
      </c>
      <c r="AH11" s="1988">
        <v>129837</v>
      </c>
      <c r="AI11" s="1989">
        <v>5797</v>
      </c>
      <c r="AJ11" s="1995">
        <f t="shared" si="29"/>
        <v>4.4648289778722552E-2</v>
      </c>
      <c r="AK11" s="1984">
        <v>134978</v>
      </c>
      <c r="AL11" s="1985">
        <v>5387</v>
      </c>
      <c r="AM11" s="1995">
        <f t="shared" si="30"/>
        <v>3.991020758938494E-2</v>
      </c>
      <c r="AN11" s="2005">
        <v>136789</v>
      </c>
      <c r="AO11" s="2006">
        <v>5003</v>
      </c>
      <c r="AP11" s="1967">
        <f t="shared" si="31"/>
        <v>3.6574578365219428E-2</v>
      </c>
      <c r="AQ11" s="2005">
        <v>138018</v>
      </c>
      <c r="AR11" s="1119">
        <v>5019</v>
      </c>
      <c r="AS11" s="1967">
        <f t="shared" si="32"/>
        <v>3.6364821979741772E-2</v>
      </c>
      <c r="AT11" s="2011">
        <v>145962</v>
      </c>
      <c r="AU11" s="2012">
        <v>4680</v>
      </c>
      <c r="AV11" s="1995">
        <f t="shared" si="33"/>
        <v>3.2063139721297325E-2</v>
      </c>
      <c r="AW11" s="2005">
        <v>145058</v>
      </c>
      <c r="AX11" s="2015">
        <v>4085</v>
      </c>
      <c r="AY11" s="1995">
        <f t="shared" si="34"/>
        <v>2.8161149333370099E-2</v>
      </c>
      <c r="AZ11" s="2005">
        <v>146487</v>
      </c>
      <c r="BA11" s="2015">
        <v>3785</v>
      </c>
      <c r="BB11" s="1995">
        <f t="shared" si="35"/>
        <v>2.5838470307945414E-2</v>
      </c>
      <c r="BC11" s="1999">
        <v>149627</v>
      </c>
      <c r="BD11" s="1251">
        <v>3723</v>
      </c>
      <c r="BE11" s="1247">
        <f t="shared" si="36"/>
        <v>2.4881872924004358E-2</v>
      </c>
      <c r="BF11" s="1999">
        <v>151720</v>
      </c>
      <c r="BG11" s="1251">
        <v>3028</v>
      </c>
      <c r="BH11" s="1247">
        <f t="shared" si="37"/>
        <v>1.9957817031373584E-2</v>
      </c>
    </row>
    <row r="12" spans="1:60" ht="12.75" customHeight="1" x14ac:dyDescent="0.3">
      <c r="A12" s="364" t="s">
        <v>26</v>
      </c>
      <c r="B12" s="1095" t="s">
        <v>547</v>
      </c>
      <c r="C12" s="1961" t="s">
        <v>253</v>
      </c>
      <c r="D12" s="1978">
        <v>55057</v>
      </c>
      <c r="E12" s="1979">
        <v>1145</v>
      </c>
      <c r="F12" s="1977">
        <f t="shared" si="19"/>
        <v>2.0796628948180976E-2</v>
      </c>
      <c r="G12" s="1990">
        <v>55929</v>
      </c>
      <c r="H12" s="1991">
        <v>1649</v>
      </c>
      <c r="I12" s="1964">
        <f t="shared" si="20"/>
        <v>2.9483809830320586E-2</v>
      </c>
      <c r="J12" s="1990">
        <v>57107</v>
      </c>
      <c r="K12" s="1991">
        <v>2154</v>
      </c>
      <c r="L12" s="1995">
        <f t="shared" si="21"/>
        <v>3.7718668464461452E-2</v>
      </c>
      <c r="M12" s="1990">
        <v>57698</v>
      </c>
      <c r="N12" s="1991">
        <v>2130</v>
      </c>
      <c r="O12" s="1995">
        <f t="shared" si="22"/>
        <v>3.691635758605151E-2</v>
      </c>
      <c r="P12" s="1990">
        <v>56745</v>
      </c>
      <c r="Q12" s="1991">
        <v>1835</v>
      </c>
      <c r="R12" s="1995">
        <f t="shared" si="23"/>
        <v>3.2337650894351928E-2</v>
      </c>
      <c r="S12" s="1990">
        <v>57695</v>
      </c>
      <c r="T12" s="1991">
        <v>1845</v>
      </c>
      <c r="U12" s="1995">
        <f t="shared" si="24"/>
        <v>3.1978507669642081E-2</v>
      </c>
      <c r="V12" s="1990">
        <v>58032</v>
      </c>
      <c r="W12" s="1991">
        <v>1619</v>
      </c>
      <c r="X12" s="1995">
        <f t="shared" si="25"/>
        <v>2.789840088227185E-2</v>
      </c>
      <c r="Y12" s="1990">
        <v>58595</v>
      </c>
      <c r="Z12" s="1991">
        <v>1689</v>
      </c>
      <c r="AA12" s="1995">
        <f t="shared" si="26"/>
        <v>2.8824985066985238E-2</v>
      </c>
      <c r="AB12" s="1990">
        <v>60261</v>
      </c>
      <c r="AC12" s="1991">
        <v>2402</v>
      </c>
      <c r="AD12" s="1995">
        <f t="shared" si="27"/>
        <v>3.9859942583096865E-2</v>
      </c>
      <c r="AE12" s="1990">
        <v>61210</v>
      </c>
      <c r="AF12" s="1991">
        <v>4422</v>
      </c>
      <c r="AG12" s="1995">
        <f t="shared" si="28"/>
        <v>7.2243097533082834E-2</v>
      </c>
      <c r="AH12" s="1990">
        <v>58805</v>
      </c>
      <c r="AI12" s="1991">
        <v>4462</v>
      </c>
      <c r="AJ12" s="1995">
        <f t="shared" si="29"/>
        <v>7.5877901538984785E-2</v>
      </c>
      <c r="AK12" s="1984">
        <v>59471</v>
      </c>
      <c r="AL12" s="1985">
        <v>3964</v>
      </c>
      <c r="AM12" s="1995">
        <f t="shared" si="30"/>
        <v>6.6654335726656688E-2</v>
      </c>
      <c r="AN12" s="2005">
        <v>59765</v>
      </c>
      <c r="AO12" s="2006">
        <v>3522</v>
      </c>
      <c r="AP12" s="1967">
        <f t="shared" si="31"/>
        <v>5.8930812348364427E-2</v>
      </c>
      <c r="AQ12" s="2005">
        <v>59737</v>
      </c>
      <c r="AR12" s="1119">
        <v>3157</v>
      </c>
      <c r="AS12" s="1967">
        <f t="shared" si="32"/>
        <v>5.2848318462594371E-2</v>
      </c>
      <c r="AT12" s="2011">
        <v>59146</v>
      </c>
      <c r="AU12" s="2012">
        <v>2894</v>
      </c>
      <c r="AV12" s="1995">
        <f t="shared" si="33"/>
        <v>4.8929767017211648E-2</v>
      </c>
      <c r="AW12" s="2005">
        <v>58831</v>
      </c>
      <c r="AX12" s="2015">
        <v>2514</v>
      </c>
      <c r="AY12" s="1995">
        <f t="shared" si="34"/>
        <v>4.273257296323367E-2</v>
      </c>
      <c r="AZ12" s="2005">
        <v>58893</v>
      </c>
      <c r="BA12" s="2015">
        <v>2210</v>
      </c>
      <c r="BB12" s="1995">
        <f t="shared" si="35"/>
        <v>3.7525682169357991E-2</v>
      </c>
      <c r="BC12" s="1999">
        <v>58961</v>
      </c>
      <c r="BD12" s="1251">
        <v>2118</v>
      </c>
      <c r="BE12" s="1247">
        <f t="shared" si="36"/>
        <v>3.5922050168755618E-2</v>
      </c>
      <c r="BF12" s="1999">
        <v>59303</v>
      </c>
      <c r="BG12" s="1251">
        <v>1673</v>
      </c>
      <c r="BH12" s="1247">
        <f t="shared" si="37"/>
        <v>2.8211051717451058E-2</v>
      </c>
    </row>
    <row r="13" spans="1:60" ht="12.75" customHeight="1" x14ac:dyDescent="0.3">
      <c r="A13" s="364" t="s">
        <v>27</v>
      </c>
      <c r="B13" s="366" t="s">
        <v>28</v>
      </c>
      <c r="C13" s="186" t="s">
        <v>253</v>
      </c>
      <c r="D13" s="1975">
        <v>2721</v>
      </c>
      <c r="E13" s="1976">
        <v>72</v>
      </c>
      <c r="F13" s="1977">
        <f t="shared" si="19"/>
        <v>2.6460859977949284E-2</v>
      </c>
      <c r="G13" s="1988">
        <v>2704</v>
      </c>
      <c r="H13" s="1989">
        <v>100</v>
      </c>
      <c r="I13" s="1964">
        <f t="shared" si="20"/>
        <v>3.6982248520710061E-2</v>
      </c>
      <c r="J13" s="1988">
        <v>2817</v>
      </c>
      <c r="K13" s="1989">
        <v>124</v>
      </c>
      <c r="L13" s="1995">
        <f t="shared" si="21"/>
        <v>4.4018459353922609E-2</v>
      </c>
      <c r="M13" s="1988">
        <v>2908</v>
      </c>
      <c r="N13" s="1989">
        <v>133</v>
      </c>
      <c r="O13" s="1995">
        <f t="shared" si="22"/>
        <v>4.5735900962861072E-2</v>
      </c>
      <c r="P13" s="1988">
        <v>2844</v>
      </c>
      <c r="Q13" s="1989">
        <v>102</v>
      </c>
      <c r="R13" s="1995">
        <f t="shared" si="23"/>
        <v>3.5864978902953586E-2</v>
      </c>
      <c r="S13" s="1988">
        <v>2946</v>
      </c>
      <c r="T13" s="1989">
        <v>104</v>
      </c>
      <c r="U13" s="1995">
        <f t="shared" si="24"/>
        <v>3.5302104548540394E-2</v>
      </c>
      <c r="V13" s="1988">
        <v>2897</v>
      </c>
      <c r="W13" s="1989">
        <v>94</v>
      </c>
      <c r="X13" s="1995">
        <f t="shared" si="25"/>
        <v>3.2447359337245428E-2</v>
      </c>
      <c r="Y13" s="1988">
        <v>2915</v>
      </c>
      <c r="Z13" s="1989">
        <v>93</v>
      </c>
      <c r="AA13" s="1995">
        <f t="shared" si="26"/>
        <v>3.1903945111492284E-2</v>
      </c>
      <c r="AB13" s="1988">
        <v>2802</v>
      </c>
      <c r="AC13" s="1989">
        <v>115</v>
      </c>
      <c r="AD13" s="1995">
        <f t="shared" si="27"/>
        <v>4.1042112776588154E-2</v>
      </c>
      <c r="AE13" s="1988">
        <v>2698</v>
      </c>
      <c r="AF13" s="1989">
        <v>174</v>
      </c>
      <c r="AG13" s="1995">
        <f t="shared" si="28"/>
        <v>6.4492216456634541E-2</v>
      </c>
      <c r="AH13" s="1988">
        <v>2654</v>
      </c>
      <c r="AI13" s="1989">
        <v>187</v>
      </c>
      <c r="AJ13" s="1995">
        <f t="shared" si="29"/>
        <v>7.0459683496608888E-2</v>
      </c>
      <c r="AK13" s="1984">
        <v>2737</v>
      </c>
      <c r="AL13" s="1985">
        <v>158</v>
      </c>
      <c r="AM13" s="1995">
        <f t="shared" si="30"/>
        <v>5.7727438801607599E-2</v>
      </c>
      <c r="AN13" s="2005">
        <v>2730</v>
      </c>
      <c r="AO13" s="2006">
        <v>146</v>
      </c>
      <c r="AP13" s="1967">
        <f t="shared" si="31"/>
        <v>5.3479853479853477E-2</v>
      </c>
      <c r="AQ13" s="2005">
        <v>2739</v>
      </c>
      <c r="AR13" s="1119">
        <v>137</v>
      </c>
      <c r="AS13" s="1967">
        <f t="shared" si="32"/>
        <v>5.0018254837531945E-2</v>
      </c>
      <c r="AT13" s="2011">
        <v>2634</v>
      </c>
      <c r="AU13" s="2012">
        <v>117</v>
      </c>
      <c r="AV13" s="1995">
        <f t="shared" si="33"/>
        <v>4.441913439635535E-2</v>
      </c>
      <c r="AW13" s="2005">
        <v>2559</v>
      </c>
      <c r="AX13" s="2015">
        <v>104</v>
      </c>
      <c r="AY13" s="1995">
        <f t="shared" si="34"/>
        <v>4.0640875341930442E-2</v>
      </c>
      <c r="AZ13" s="2005">
        <v>2502</v>
      </c>
      <c r="BA13" s="2015">
        <v>92</v>
      </c>
      <c r="BB13" s="1995">
        <f t="shared" si="35"/>
        <v>3.6770583533173459E-2</v>
      </c>
      <c r="BC13" s="1999">
        <v>2452</v>
      </c>
      <c r="BD13" s="1251">
        <v>81</v>
      </c>
      <c r="BE13" s="1247">
        <f t="shared" si="36"/>
        <v>3.303425774877651E-2</v>
      </c>
      <c r="BF13" s="1999">
        <v>2502</v>
      </c>
      <c r="BG13" s="1251">
        <v>63</v>
      </c>
      <c r="BH13" s="1247">
        <f t="shared" si="37"/>
        <v>2.5179856115107913E-2</v>
      </c>
    </row>
    <row r="14" spans="1:60" ht="12.75" customHeight="1" x14ac:dyDescent="0.3">
      <c r="A14" s="364" t="s">
        <v>29</v>
      </c>
      <c r="B14" s="366" t="s">
        <v>736</v>
      </c>
      <c r="C14" s="186" t="s">
        <v>253</v>
      </c>
      <c r="D14" s="1978">
        <v>34518</v>
      </c>
      <c r="E14" s="1979">
        <v>676</v>
      </c>
      <c r="F14" s="1977">
        <f t="shared" si="19"/>
        <v>1.9583985167159163E-2</v>
      </c>
      <c r="G14" s="1990">
        <v>34156</v>
      </c>
      <c r="H14" s="1991">
        <v>1128</v>
      </c>
      <c r="I14" s="1964">
        <f t="shared" si="20"/>
        <v>3.3024944372877389E-2</v>
      </c>
      <c r="J14" s="1990">
        <v>34903</v>
      </c>
      <c r="K14" s="1991">
        <v>1617</v>
      </c>
      <c r="L14" s="1995">
        <f t="shared" si="21"/>
        <v>4.6328395839899152E-2</v>
      </c>
      <c r="M14" s="1990">
        <v>35437</v>
      </c>
      <c r="N14" s="1991">
        <v>1474</v>
      </c>
      <c r="O14" s="1995">
        <f t="shared" si="22"/>
        <v>4.1594943138527525E-2</v>
      </c>
      <c r="P14" s="1990">
        <v>35894</v>
      </c>
      <c r="Q14" s="1991">
        <v>1360</v>
      </c>
      <c r="R14" s="1995">
        <f t="shared" si="23"/>
        <v>3.7889340836908675E-2</v>
      </c>
      <c r="S14" s="1990">
        <v>36705</v>
      </c>
      <c r="T14" s="1991">
        <v>1268</v>
      </c>
      <c r="U14" s="1995">
        <f t="shared" si="24"/>
        <v>3.4545702220405941E-2</v>
      </c>
      <c r="V14" s="1990">
        <v>37702</v>
      </c>
      <c r="W14" s="1991">
        <v>1113</v>
      </c>
      <c r="X14" s="1995">
        <f t="shared" si="25"/>
        <v>2.9520980319346454E-2</v>
      </c>
      <c r="Y14" s="1990">
        <v>37536</v>
      </c>
      <c r="Z14" s="1991">
        <v>1126</v>
      </c>
      <c r="AA14" s="1995">
        <f t="shared" si="26"/>
        <v>2.9997868712702474E-2</v>
      </c>
      <c r="AB14" s="1990">
        <v>38651</v>
      </c>
      <c r="AC14" s="1991">
        <v>1419</v>
      </c>
      <c r="AD14" s="1995">
        <f t="shared" si="27"/>
        <v>3.6713151018084915E-2</v>
      </c>
      <c r="AE14" s="1990">
        <v>37817</v>
      </c>
      <c r="AF14" s="1991">
        <v>2674</v>
      </c>
      <c r="AG14" s="1995">
        <f t="shared" si="28"/>
        <v>7.0708940423619013E-2</v>
      </c>
      <c r="AH14" s="1990">
        <v>37552</v>
      </c>
      <c r="AI14" s="1991">
        <v>2745</v>
      </c>
      <c r="AJ14" s="1995">
        <f t="shared" si="29"/>
        <v>7.3098636557307195E-2</v>
      </c>
      <c r="AK14" s="1984">
        <v>37488</v>
      </c>
      <c r="AL14" s="1985">
        <v>2484</v>
      </c>
      <c r="AM14" s="1995">
        <f t="shared" si="30"/>
        <v>6.6261203585147241E-2</v>
      </c>
      <c r="AN14" s="2005">
        <v>37099</v>
      </c>
      <c r="AO14" s="2006">
        <v>2292</v>
      </c>
      <c r="AP14" s="1967">
        <f t="shared" si="31"/>
        <v>6.17806409876277E-2</v>
      </c>
      <c r="AQ14" s="2005">
        <v>37106</v>
      </c>
      <c r="AR14" s="1119">
        <v>2143</v>
      </c>
      <c r="AS14" s="1967">
        <f t="shared" si="32"/>
        <v>5.775346305179755E-2</v>
      </c>
      <c r="AT14" s="2011">
        <v>38497</v>
      </c>
      <c r="AU14" s="2012">
        <v>1960</v>
      </c>
      <c r="AV14" s="1995">
        <f t="shared" si="33"/>
        <v>5.0913058160376133E-2</v>
      </c>
      <c r="AW14" s="2005">
        <v>38173</v>
      </c>
      <c r="AX14" s="2015">
        <v>1696</v>
      </c>
      <c r="AY14" s="1995">
        <f t="shared" si="34"/>
        <v>4.4429308673669871E-2</v>
      </c>
      <c r="AZ14" s="2005">
        <v>37890</v>
      </c>
      <c r="BA14" s="2015">
        <v>1537</v>
      </c>
      <c r="BB14" s="1995">
        <f t="shared" si="35"/>
        <v>4.0564792821324885E-2</v>
      </c>
      <c r="BC14" s="1999">
        <v>38238</v>
      </c>
      <c r="BD14" s="1251">
        <v>1498</v>
      </c>
      <c r="BE14" s="1247">
        <f t="shared" si="36"/>
        <v>3.9175689105078716E-2</v>
      </c>
      <c r="BF14" s="1999">
        <v>38097</v>
      </c>
      <c r="BG14" s="1251">
        <v>1163</v>
      </c>
      <c r="BH14" s="1247">
        <f t="shared" si="37"/>
        <v>3.0527338110612385E-2</v>
      </c>
    </row>
    <row r="15" spans="1:60" ht="12.75" customHeight="1" x14ac:dyDescent="0.3">
      <c r="A15" s="364" t="s">
        <v>30</v>
      </c>
      <c r="B15" s="366" t="s">
        <v>31</v>
      </c>
      <c r="C15" s="186" t="s">
        <v>256</v>
      </c>
      <c r="D15" s="1975">
        <v>2914</v>
      </c>
      <c r="E15" s="1976">
        <v>151</v>
      </c>
      <c r="F15" s="1977">
        <f t="shared" si="19"/>
        <v>5.1818805765271106E-2</v>
      </c>
      <c r="G15" s="1988">
        <v>3036</v>
      </c>
      <c r="H15" s="1989">
        <v>172</v>
      </c>
      <c r="I15" s="1964">
        <f t="shared" si="20"/>
        <v>5.6653491436100128E-2</v>
      </c>
      <c r="J15" s="1988">
        <v>3031</v>
      </c>
      <c r="K15" s="1989">
        <v>160</v>
      </c>
      <c r="L15" s="1995">
        <f t="shared" si="21"/>
        <v>5.2787858792477729E-2</v>
      </c>
      <c r="M15" s="1988">
        <v>3060</v>
      </c>
      <c r="N15" s="1989">
        <v>153</v>
      </c>
      <c r="O15" s="1995">
        <f t="shared" si="22"/>
        <v>0.05</v>
      </c>
      <c r="P15" s="1988">
        <v>2999</v>
      </c>
      <c r="Q15" s="1989">
        <v>135</v>
      </c>
      <c r="R15" s="1995">
        <f t="shared" si="23"/>
        <v>4.5015005001667226E-2</v>
      </c>
      <c r="S15" s="1988">
        <v>3078</v>
      </c>
      <c r="T15" s="1989">
        <v>121</v>
      </c>
      <c r="U15" s="1995">
        <f t="shared" si="24"/>
        <v>3.9311241065627028E-2</v>
      </c>
      <c r="V15" s="1988">
        <v>3226</v>
      </c>
      <c r="W15" s="1989">
        <v>120</v>
      </c>
      <c r="X15" s="1995">
        <f t="shared" si="25"/>
        <v>3.7197768133911964E-2</v>
      </c>
      <c r="Y15" s="1988">
        <v>3369</v>
      </c>
      <c r="Z15" s="1989">
        <v>128</v>
      </c>
      <c r="AA15" s="1995">
        <f t="shared" si="26"/>
        <v>3.7993469872365689E-2</v>
      </c>
      <c r="AB15" s="1988">
        <v>3500</v>
      </c>
      <c r="AC15" s="1989">
        <v>167</v>
      </c>
      <c r="AD15" s="1995">
        <f t="shared" si="27"/>
        <v>4.7714285714285716E-2</v>
      </c>
      <c r="AE15" s="1988">
        <v>3607</v>
      </c>
      <c r="AF15" s="1989">
        <v>278</v>
      </c>
      <c r="AG15" s="1995">
        <f t="shared" si="28"/>
        <v>7.7072359301358473E-2</v>
      </c>
      <c r="AH15" s="1988">
        <v>3448</v>
      </c>
      <c r="AI15" s="1989">
        <v>259</v>
      </c>
      <c r="AJ15" s="1995">
        <f t="shared" si="29"/>
        <v>7.5116009280742455E-2</v>
      </c>
      <c r="AK15" s="1984">
        <v>3418</v>
      </c>
      <c r="AL15" s="1985">
        <v>218</v>
      </c>
      <c r="AM15" s="1995">
        <f t="shared" si="30"/>
        <v>6.3779988297249859E-2</v>
      </c>
      <c r="AN15" s="2005">
        <v>3409</v>
      </c>
      <c r="AO15" s="2006">
        <v>205</v>
      </c>
      <c r="AP15" s="1967">
        <f t="shared" si="31"/>
        <v>6.0134936931651513E-2</v>
      </c>
      <c r="AQ15" s="2005">
        <v>3377</v>
      </c>
      <c r="AR15" s="1119">
        <v>200</v>
      </c>
      <c r="AS15" s="1967">
        <f t="shared" si="32"/>
        <v>5.9224163458691144E-2</v>
      </c>
      <c r="AT15" s="2011">
        <v>2903</v>
      </c>
      <c r="AU15" s="2012">
        <v>174</v>
      </c>
      <c r="AV15" s="1995">
        <f t="shared" si="33"/>
        <v>5.9937995177402684E-2</v>
      </c>
      <c r="AW15" s="2005">
        <v>2801</v>
      </c>
      <c r="AX15" s="2015">
        <v>162</v>
      </c>
      <c r="AY15" s="1995">
        <f t="shared" si="34"/>
        <v>5.7836486968939664E-2</v>
      </c>
      <c r="AZ15" s="2005">
        <v>2747</v>
      </c>
      <c r="BA15" s="2015">
        <v>144</v>
      </c>
      <c r="BB15" s="1995">
        <f t="shared" si="35"/>
        <v>5.2420822715689847E-2</v>
      </c>
      <c r="BC15" s="1999">
        <v>2731</v>
      </c>
      <c r="BD15" s="1251">
        <v>121</v>
      </c>
      <c r="BE15" s="1247">
        <f t="shared" si="36"/>
        <v>4.4306114976199192E-2</v>
      </c>
      <c r="BF15" s="1999">
        <v>2834</v>
      </c>
      <c r="BG15" s="1251">
        <v>90</v>
      </c>
      <c r="BH15" s="1247">
        <f t="shared" si="37"/>
        <v>3.1757233592095979E-2</v>
      </c>
    </row>
    <row r="16" spans="1:60" ht="12.75" customHeight="1" x14ac:dyDescent="0.3">
      <c r="A16" s="364" t="s">
        <v>32</v>
      </c>
      <c r="B16" s="366" t="s">
        <v>33</v>
      </c>
      <c r="C16" s="186" t="s">
        <v>253</v>
      </c>
      <c r="D16" s="1975">
        <v>16374</v>
      </c>
      <c r="E16" s="1976">
        <v>290</v>
      </c>
      <c r="F16" s="1977">
        <f t="shared" si="19"/>
        <v>1.7711005252229142E-2</v>
      </c>
      <c r="G16" s="1988">
        <v>16618</v>
      </c>
      <c r="H16" s="1989">
        <v>442</v>
      </c>
      <c r="I16" s="1964">
        <f t="shared" si="20"/>
        <v>2.6597665182332409E-2</v>
      </c>
      <c r="J16" s="1988">
        <v>17202</v>
      </c>
      <c r="K16" s="1989">
        <v>626</v>
      </c>
      <c r="L16" s="1995">
        <f t="shared" si="21"/>
        <v>3.6391117311940474E-2</v>
      </c>
      <c r="M16" s="1988">
        <v>17008</v>
      </c>
      <c r="N16" s="1989">
        <v>606</v>
      </c>
      <c r="O16" s="1995">
        <f t="shared" si="22"/>
        <v>3.5630291627469425E-2</v>
      </c>
      <c r="P16" s="1988">
        <v>16933</v>
      </c>
      <c r="Q16" s="1989">
        <v>552</v>
      </c>
      <c r="R16" s="1995">
        <f t="shared" si="23"/>
        <v>3.2599066910765959E-2</v>
      </c>
      <c r="S16" s="1988">
        <v>17126</v>
      </c>
      <c r="T16" s="1989">
        <v>512</v>
      </c>
      <c r="U16" s="1995">
        <f t="shared" si="24"/>
        <v>2.9896064463389001E-2</v>
      </c>
      <c r="V16" s="1988">
        <v>17453</v>
      </c>
      <c r="W16" s="1989">
        <v>447</v>
      </c>
      <c r="X16" s="1995">
        <f t="shared" si="25"/>
        <v>2.5611642697530509E-2</v>
      </c>
      <c r="Y16" s="1988">
        <v>17336</v>
      </c>
      <c r="Z16" s="1989">
        <v>461</v>
      </c>
      <c r="AA16" s="1995">
        <f t="shared" si="26"/>
        <v>2.6592062759575451E-2</v>
      </c>
      <c r="AB16" s="1988">
        <v>17779</v>
      </c>
      <c r="AC16" s="1989">
        <v>581</v>
      </c>
      <c r="AD16" s="1995">
        <f t="shared" si="27"/>
        <v>3.2679003318521853E-2</v>
      </c>
      <c r="AE16" s="1988">
        <v>17540</v>
      </c>
      <c r="AF16" s="1989">
        <v>1146</v>
      </c>
      <c r="AG16" s="1995">
        <f t="shared" si="28"/>
        <v>6.5336374002280498E-2</v>
      </c>
      <c r="AH16" s="1988">
        <v>17424</v>
      </c>
      <c r="AI16" s="1989">
        <v>1166</v>
      </c>
      <c r="AJ16" s="1995">
        <f t="shared" si="29"/>
        <v>6.691919191919192E-2</v>
      </c>
      <c r="AK16" s="1984">
        <v>17509</v>
      </c>
      <c r="AL16" s="1985">
        <v>1066</v>
      </c>
      <c r="AM16" s="1995">
        <f t="shared" si="30"/>
        <v>6.0882974470272432E-2</v>
      </c>
      <c r="AN16" s="2005">
        <v>17570</v>
      </c>
      <c r="AO16" s="2006">
        <v>986</v>
      </c>
      <c r="AP16" s="1967">
        <f t="shared" si="31"/>
        <v>5.6118383608423451E-2</v>
      </c>
      <c r="AQ16" s="2005">
        <v>17592</v>
      </c>
      <c r="AR16" s="1119">
        <v>917</v>
      </c>
      <c r="AS16" s="1967">
        <f t="shared" si="32"/>
        <v>5.2125966348340158E-2</v>
      </c>
      <c r="AT16" s="2011">
        <v>17829</v>
      </c>
      <c r="AU16" s="2012">
        <v>862</v>
      </c>
      <c r="AV16" s="1995">
        <f t="shared" si="33"/>
        <v>4.8348196758090753E-2</v>
      </c>
      <c r="AW16" s="2005">
        <v>17546</v>
      </c>
      <c r="AX16" s="2015">
        <v>733</v>
      </c>
      <c r="AY16" s="1995">
        <f t="shared" si="34"/>
        <v>4.1775903339792544E-2</v>
      </c>
      <c r="AZ16" s="2005">
        <v>17398</v>
      </c>
      <c r="BA16" s="2015">
        <v>629</v>
      </c>
      <c r="BB16" s="1995">
        <f t="shared" si="35"/>
        <v>3.6153580871364527E-2</v>
      </c>
      <c r="BC16" s="1999">
        <v>17325</v>
      </c>
      <c r="BD16" s="1251">
        <v>620</v>
      </c>
      <c r="BE16" s="1247">
        <f t="shared" si="36"/>
        <v>3.578643578643579E-2</v>
      </c>
      <c r="BF16" s="1999">
        <v>17222</v>
      </c>
      <c r="BG16" s="1251">
        <v>464</v>
      </c>
      <c r="BH16" s="1247">
        <f t="shared" si="37"/>
        <v>2.6942283126233885E-2</v>
      </c>
    </row>
    <row r="17" spans="1:60" ht="12.75" customHeight="1" x14ac:dyDescent="0.3">
      <c r="A17" s="364" t="s">
        <v>36</v>
      </c>
      <c r="B17" s="366" t="s">
        <v>37</v>
      </c>
      <c r="C17" s="186" t="s">
        <v>252</v>
      </c>
      <c r="D17" s="1975">
        <v>6808</v>
      </c>
      <c r="E17" s="1976">
        <v>237</v>
      </c>
      <c r="F17" s="1977">
        <f t="shared" si="19"/>
        <v>3.4811985898942424E-2</v>
      </c>
      <c r="G17" s="1988">
        <v>6830</v>
      </c>
      <c r="H17" s="1989">
        <v>369</v>
      </c>
      <c r="I17" s="1964">
        <f t="shared" si="20"/>
        <v>5.4026354319180091E-2</v>
      </c>
      <c r="J17" s="1988">
        <v>6859</v>
      </c>
      <c r="K17" s="1989">
        <v>436</v>
      </c>
      <c r="L17" s="1995">
        <f t="shared" si="21"/>
        <v>6.3566117509841091E-2</v>
      </c>
      <c r="M17" s="1988">
        <v>7003</v>
      </c>
      <c r="N17" s="1989">
        <v>488</v>
      </c>
      <c r="O17" s="1995">
        <f t="shared" si="22"/>
        <v>6.9684420962444663E-2</v>
      </c>
      <c r="P17" s="1988">
        <v>6836</v>
      </c>
      <c r="Q17" s="1989">
        <v>439</v>
      </c>
      <c r="R17" s="1995">
        <f t="shared" si="23"/>
        <v>6.4218841427735512E-2</v>
      </c>
      <c r="S17" s="1988">
        <v>6802</v>
      </c>
      <c r="T17" s="1989">
        <v>347</v>
      </c>
      <c r="U17" s="1995">
        <f t="shared" si="24"/>
        <v>5.101440752719788E-2</v>
      </c>
      <c r="V17" s="1988">
        <v>6838</v>
      </c>
      <c r="W17" s="1989">
        <v>328</v>
      </c>
      <c r="X17" s="1995">
        <f t="shared" si="25"/>
        <v>4.7967241883591694E-2</v>
      </c>
      <c r="Y17" s="1988">
        <v>6841</v>
      </c>
      <c r="Z17" s="1989">
        <v>331</v>
      </c>
      <c r="AA17" s="1995">
        <f t="shared" si="26"/>
        <v>4.8384739073234907E-2</v>
      </c>
      <c r="AB17" s="1988">
        <v>7052</v>
      </c>
      <c r="AC17" s="1989">
        <v>467</v>
      </c>
      <c r="AD17" s="1995">
        <f t="shared" si="27"/>
        <v>6.6222348269994333E-2</v>
      </c>
      <c r="AE17" s="1988">
        <v>7229</v>
      </c>
      <c r="AF17" s="1989">
        <v>840</v>
      </c>
      <c r="AG17" s="1995">
        <f t="shared" si="28"/>
        <v>0.11619864434914925</v>
      </c>
      <c r="AH17" s="1988">
        <v>6799</v>
      </c>
      <c r="AI17" s="1989">
        <v>814</v>
      </c>
      <c r="AJ17" s="1995">
        <f t="shared" si="29"/>
        <v>0.11972348874834535</v>
      </c>
      <c r="AK17" s="1984">
        <v>6748</v>
      </c>
      <c r="AL17" s="1985">
        <v>740</v>
      </c>
      <c r="AM17" s="1995">
        <f t="shared" si="30"/>
        <v>0.10966212211025489</v>
      </c>
      <c r="AN17" s="2005">
        <v>6655</v>
      </c>
      <c r="AO17" s="2006">
        <v>693</v>
      </c>
      <c r="AP17" s="1967">
        <f t="shared" si="31"/>
        <v>0.10413223140495868</v>
      </c>
      <c r="AQ17" s="2005">
        <v>6613</v>
      </c>
      <c r="AR17" s="1119">
        <v>659</v>
      </c>
      <c r="AS17" s="1967">
        <f t="shared" si="32"/>
        <v>9.965220021170422E-2</v>
      </c>
      <c r="AT17" s="2011">
        <v>6516</v>
      </c>
      <c r="AU17" s="2012">
        <v>536</v>
      </c>
      <c r="AV17" s="1995">
        <f t="shared" si="33"/>
        <v>8.2259054634745241E-2</v>
      </c>
      <c r="AW17" s="2005">
        <v>6323</v>
      </c>
      <c r="AX17" s="2015">
        <v>431</v>
      </c>
      <c r="AY17" s="1995">
        <f t="shared" si="34"/>
        <v>6.8163846275502135E-2</v>
      </c>
      <c r="AZ17" s="2005">
        <v>6246</v>
      </c>
      <c r="BA17" s="2015">
        <v>376</v>
      </c>
      <c r="BB17" s="1995">
        <f t="shared" si="35"/>
        <v>6.0198527057316681E-2</v>
      </c>
      <c r="BC17" s="1999">
        <v>6006</v>
      </c>
      <c r="BD17" s="1251">
        <v>330</v>
      </c>
      <c r="BE17" s="1247">
        <f t="shared" si="36"/>
        <v>5.4945054945054944E-2</v>
      </c>
      <c r="BF17" s="1999">
        <v>5990</v>
      </c>
      <c r="BG17" s="1251">
        <v>292</v>
      </c>
      <c r="BH17" s="1247">
        <f t="shared" si="37"/>
        <v>4.8747913188647747E-2</v>
      </c>
    </row>
    <row r="18" spans="1:60" ht="12.75" customHeight="1" x14ac:dyDescent="0.3">
      <c r="A18" s="364" t="s">
        <v>38</v>
      </c>
      <c r="B18" s="366" t="s">
        <v>39</v>
      </c>
      <c r="C18" s="186" t="s">
        <v>256</v>
      </c>
      <c r="D18" s="1975">
        <v>8680</v>
      </c>
      <c r="E18" s="1976">
        <v>505</v>
      </c>
      <c r="F18" s="1977">
        <f t="shared" si="19"/>
        <v>5.8179723502304145E-2</v>
      </c>
      <c r="G18" s="1988">
        <v>8845</v>
      </c>
      <c r="H18" s="1989">
        <v>532</v>
      </c>
      <c r="I18" s="1964">
        <f t="shared" si="20"/>
        <v>6.0146975692481626E-2</v>
      </c>
      <c r="J18" s="1988">
        <v>9025</v>
      </c>
      <c r="K18" s="1989">
        <v>638</v>
      </c>
      <c r="L18" s="1995">
        <f t="shared" si="21"/>
        <v>7.0692520775623269E-2</v>
      </c>
      <c r="M18" s="1988">
        <v>8952</v>
      </c>
      <c r="N18" s="1989">
        <v>623</v>
      </c>
      <c r="O18" s="1995">
        <f t="shared" si="22"/>
        <v>6.9593386952636282E-2</v>
      </c>
      <c r="P18" s="1988">
        <v>8448</v>
      </c>
      <c r="Q18" s="1989">
        <v>475</v>
      </c>
      <c r="R18" s="1995">
        <f t="shared" si="23"/>
        <v>5.622632575757576E-2</v>
      </c>
      <c r="S18" s="1988">
        <v>8451</v>
      </c>
      <c r="T18" s="1989">
        <v>449</v>
      </c>
      <c r="U18" s="1995">
        <f t="shared" si="24"/>
        <v>5.3129807123417347E-2</v>
      </c>
      <c r="V18" s="1988">
        <v>8426</v>
      </c>
      <c r="W18" s="1989">
        <v>415</v>
      </c>
      <c r="X18" s="1995">
        <f t="shared" si="25"/>
        <v>4.9252314265369093E-2</v>
      </c>
      <c r="Y18" s="1988">
        <v>8616</v>
      </c>
      <c r="Z18" s="1989">
        <v>423</v>
      </c>
      <c r="AA18" s="1995">
        <f t="shared" si="26"/>
        <v>4.9094707520891366E-2</v>
      </c>
      <c r="AB18" s="1988">
        <v>8958</v>
      </c>
      <c r="AC18" s="1989">
        <v>448</v>
      </c>
      <c r="AD18" s="1995">
        <f t="shared" si="27"/>
        <v>5.0011163206072781E-2</v>
      </c>
      <c r="AE18" s="1988">
        <v>9270</v>
      </c>
      <c r="AF18" s="1989">
        <v>821</v>
      </c>
      <c r="AG18" s="1995">
        <f t="shared" si="28"/>
        <v>8.8565264293419627E-2</v>
      </c>
      <c r="AH18" s="1988">
        <v>9218</v>
      </c>
      <c r="AI18" s="1989">
        <v>851</v>
      </c>
      <c r="AJ18" s="1995">
        <f t="shared" si="29"/>
        <v>9.2319375135604259E-2</v>
      </c>
      <c r="AK18" s="1984">
        <v>9385</v>
      </c>
      <c r="AL18" s="1985">
        <v>721</v>
      </c>
      <c r="AM18" s="1995">
        <f t="shared" si="30"/>
        <v>7.6824720298348428E-2</v>
      </c>
      <c r="AN18" s="2005">
        <v>9579</v>
      </c>
      <c r="AO18" s="2006">
        <v>780</v>
      </c>
      <c r="AP18" s="1967">
        <f t="shared" si="31"/>
        <v>8.142812402129658E-2</v>
      </c>
      <c r="AQ18" s="2005">
        <v>9122</v>
      </c>
      <c r="AR18" s="1119">
        <v>890</v>
      </c>
      <c r="AS18" s="1967">
        <f t="shared" si="32"/>
        <v>9.7566323174742384E-2</v>
      </c>
      <c r="AT18" s="2011">
        <v>7874</v>
      </c>
      <c r="AU18" s="2012">
        <v>816</v>
      </c>
      <c r="AV18" s="1995">
        <f t="shared" si="33"/>
        <v>0.10363220726441452</v>
      </c>
      <c r="AW18" s="2005">
        <v>7408</v>
      </c>
      <c r="AX18" s="2015">
        <v>798</v>
      </c>
      <c r="AY18" s="1995">
        <f t="shared" si="34"/>
        <v>0.10772138228941684</v>
      </c>
      <c r="AZ18" s="2005">
        <v>6826</v>
      </c>
      <c r="BA18" s="2015">
        <v>736</v>
      </c>
      <c r="BB18" s="1995">
        <f t="shared" si="35"/>
        <v>0.10782302959273367</v>
      </c>
      <c r="BC18" s="1999">
        <v>6703</v>
      </c>
      <c r="BD18" s="1251">
        <v>510</v>
      </c>
      <c r="BE18" s="1247">
        <f t="shared" si="36"/>
        <v>7.6085334924660603E-2</v>
      </c>
      <c r="BF18" s="1999">
        <v>6952</v>
      </c>
      <c r="BG18" s="1251">
        <v>380</v>
      </c>
      <c r="BH18" s="1247">
        <f t="shared" si="37"/>
        <v>5.4660529344073651E-2</v>
      </c>
    </row>
    <row r="19" spans="1:60" ht="12.75" customHeight="1" x14ac:dyDescent="0.3">
      <c r="A19" s="364" t="s">
        <v>40</v>
      </c>
      <c r="B19" s="366" t="s">
        <v>41</v>
      </c>
      <c r="C19" s="186" t="s">
        <v>254</v>
      </c>
      <c r="D19" s="1975">
        <v>6107</v>
      </c>
      <c r="E19" s="1976">
        <v>194</v>
      </c>
      <c r="F19" s="1977">
        <f t="shared" si="19"/>
        <v>3.1766824954969707E-2</v>
      </c>
      <c r="G19" s="1988">
        <v>6179</v>
      </c>
      <c r="H19" s="1989">
        <v>212</v>
      </c>
      <c r="I19" s="1964">
        <f t="shared" si="20"/>
        <v>3.4309758860657062E-2</v>
      </c>
      <c r="J19" s="1988">
        <v>6260</v>
      </c>
      <c r="K19" s="1989">
        <v>241</v>
      </c>
      <c r="L19" s="1995">
        <f t="shared" si="21"/>
        <v>3.8498402555910541E-2</v>
      </c>
      <c r="M19" s="1988">
        <v>6510</v>
      </c>
      <c r="N19" s="1989">
        <v>284</v>
      </c>
      <c r="O19" s="1995">
        <f t="shared" si="22"/>
        <v>4.3625192012288788E-2</v>
      </c>
      <c r="P19" s="1988">
        <v>6776</v>
      </c>
      <c r="Q19" s="1989">
        <v>285</v>
      </c>
      <c r="R19" s="1995">
        <f t="shared" si="23"/>
        <v>4.2060212514757972E-2</v>
      </c>
      <c r="S19" s="1988">
        <v>6826</v>
      </c>
      <c r="T19" s="1989">
        <v>294</v>
      </c>
      <c r="U19" s="1995">
        <f t="shared" si="24"/>
        <v>4.3070612364488718E-2</v>
      </c>
      <c r="V19" s="1988">
        <v>6843</v>
      </c>
      <c r="W19" s="1989">
        <v>243</v>
      </c>
      <c r="X19" s="1995">
        <f t="shared" si="25"/>
        <v>3.5510740903112667E-2</v>
      </c>
      <c r="Y19" s="1988">
        <v>6964</v>
      </c>
      <c r="Z19" s="1989">
        <v>243</v>
      </c>
      <c r="AA19" s="1995">
        <f t="shared" si="26"/>
        <v>3.4893739230327396E-2</v>
      </c>
      <c r="AB19" s="1988">
        <v>7276</v>
      </c>
      <c r="AC19" s="1989">
        <v>358</v>
      </c>
      <c r="AD19" s="1995">
        <f t="shared" si="27"/>
        <v>4.9202858713578893E-2</v>
      </c>
      <c r="AE19" s="1988">
        <v>7398</v>
      </c>
      <c r="AF19" s="1989">
        <v>622</v>
      </c>
      <c r="AG19" s="1995">
        <f t="shared" si="28"/>
        <v>8.4076777507434447E-2</v>
      </c>
      <c r="AH19" s="1988">
        <v>7338</v>
      </c>
      <c r="AI19" s="1989">
        <v>738</v>
      </c>
      <c r="AJ19" s="1995">
        <f t="shared" si="29"/>
        <v>0.10057236304170074</v>
      </c>
      <c r="AK19" s="1984">
        <v>7390</v>
      </c>
      <c r="AL19" s="1985">
        <v>658</v>
      </c>
      <c r="AM19" s="1995">
        <f t="shared" si="30"/>
        <v>8.9039242219215151E-2</v>
      </c>
      <c r="AN19" s="2005">
        <v>7390</v>
      </c>
      <c r="AO19" s="2006">
        <v>567</v>
      </c>
      <c r="AP19" s="1967">
        <f t="shared" si="31"/>
        <v>7.6725304465493915E-2</v>
      </c>
      <c r="AQ19" s="2005">
        <v>7330</v>
      </c>
      <c r="AR19" s="1119">
        <v>526</v>
      </c>
      <c r="AS19" s="1967">
        <f t="shared" si="32"/>
        <v>7.1759890859481576E-2</v>
      </c>
      <c r="AT19" s="2011">
        <v>6516</v>
      </c>
      <c r="AU19" s="2012">
        <v>429</v>
      </c>
      <c r="AV19" s="1995">
        <f t="shared" si="33"/>
        <v>6.5837937384898709E-2</v>
      </c>
      <c r="AW19" s="2005">
        <v>6371</v>
      </c>
      <c r="AX19" s="2015">
        <v>372</v>
      </c>
      <c r="AY19" s="1995">
        <f t="shared" si="34"/>
        <v>5.8389577774289748E-2</v>
      </c>
      <c r="AZ19" s="2005">
        <v>6285</v>
      </c>
      <c r="BA19" s="2015">
        <v>336</v>
      </c>
      <c r="BB19" s="1995">
        <f t="shared" si="35"/>
        <v>5.3460620525059663E-2</v>
      </c>
      <c r="BC19" s="1999">
        <v>6406</v>
      </c>
      <c r="BD19" s="1251">
        <v>346</v>
      </c>
      <c r="BE19" s="1247">
        <f t="shared" si="36"/>
        <v>5.4011863877614738E-2</v>
      </c>
      <c r="BF19" s="1999">
        <v>6357</v>
      </c>
      <c r="BG19" s="1251">
        <v>280</v>
      </c>
      <c r="BH19" s="1247">
        <f t="shared" si="37"/>
        <v>4.4045933616485761E-2</v>
      </c>
    </row>
    <row r="20" spans="1:60" ht="12.75" customHeight="1" x14ac:dyDescent="0.3">
      <c r="A20" s="364" t="s">
        <v>42</v>
      </c>
      <c r="B20" s="366" t="s">
        <v>43</v>
      </c>
      <c r="C20" s="186" t="s">
        <v>253</v>
      </c>
      <c r="D20" s="1975">
        <v>26350</v>
      </c>
      <c r="E20" s="1976">
        <v>608</v>
      </c>
      <c r="F20" s="1977">
        <f t="shared" si="19"/>
        <v>2.3074003795066415E-2</v>
      </c>
      <c r="G20" s="1988">
        <v>26026</v>
      </c>
      <c r="H20" s="1989">
        <v>1104</v>
      </c>
      <c r="I20" s="1964">
        <f t="shared" si="20"/>
        <v>4.2419119342196263E-2</v>
      </c>
      <c r="J20" s="1988">
        <v>26518</v>
      </c>
      <c r="K20" s="1989">
        <v>1513</v>
      </c>
      <c r="L20" s="1995">
        <f t="shared" si="21"/>
        <v>5.7055584885737989E-2</v>
      </c>
      <c r="M20" s="1988">
        <v>26512</v>
      </c>
      <c r="N20" s="1989">
        <v>1320</v>
      </c>
      <c r="O20" s="1995">
        <f t="shared" si="22"/>
        <v>4.9788774894387447E-2</v>
      </c>
      <c r="P20" s="1988">
        <v>26413</v>
      </c>
      <c r="Q20" s="1989">
        <v>1137</v>
      </c>
      <c r="R20" s="1995">
        <f t="shared" si="23"/>
        <v>4.304698443948056E-2</v>
      </c>
      <c r="S20" s="1988">
        <v>26845</v>
      </c>
      <c r="T20" s="1989">
        <v>1053</v>
      </c>
      <c r="U20" s="1995">
        <f t="shared" si="24"/>
        <v>3.9225181598062951E-2</v>
      </c>
      <c r="V20" s="1988">
        <v>27202</v>
      </c>
      <c r="W20" s="1989">
        <v>874</v>
      </c>
      <c r="X20" s="1995">
        <f t="shared" si="25"/>
        <v>3.2129990441879273E-2</v>
      </c>
      <c r="Y20" s="1988">
        <v>27121</v>
      </c>
      <c r="Z20" s="1989">
        <v>936</v>
      </c>
      <c r="AA20" s="1995">
        <f t="shared" si="26"/>
        <v>3.4512001769846243E-2</v>
      </c>
      <c r="AB20" s="1988">
        <v>27948</v>
      </c>
      <c r="AC20" s="1989">
        <v>1112</v>
      </c>
      <c r="AD20" s="1995">
        <f t="shared" si="27"/>
        <v>3.9788178044940607E-2</v>
      </c>
      <c r="AE20" s="1988">
        <v>27223</v>
      </c>
      <c r="AF20" s="1989">
        <v>2045</v>
      </c>
      <c r="AG20" s="1995">
        <f t="shared" si="28"/>
        <v>7.5120302685229401E-2</v>
      </c>
      <c r="AH20" s="1988">
        <v>27474</v>
      </c>
      <c r="AI20" s="1989">
        <v>2147</v>
      </c>
      <c r="AJ20" s="1995">
        <f t="shared" si="29"/>
        <v>7.8146611341632088E-2</v>
      </c>
      <c r="AK20" s="1984">
        <v>27338</v>
      </c>
      <c r="AL20" s="1985">
        <v>1964</v>
      </c>
      <c r="AM20" s="1995">
        <f t="shared" si="30"/>
        <v>7.1841392932913889E-2</v>
      </c>
      <c r="AN20" s="2005">
        <v>26925</v>
      </c>
      <c r="AO20" s="2006">
        <v>1689</v>
      </c>
      <c r="AP20" s="1967">
        <f t="shared" si="31"/>
        <v>6.2729805013927581E-2</v>
      </c>
      <c r="AQ20" s="2005">
        <v>26940</v>
      </c>
      <c r="AR20" s="1119">
        <v>1592</v>
      </c>
      <c r="AS20" s="1967">
        <f t="shared" si="32"/>
        <v>5.9094283593170011E-2</v>
      </c>
      <c r="AT20" s="2011">
        <v>27112</v>
      </c>
      <c r="AU20" s="2012">
        <v>1435</v>
      </c>
      <c r="AV20" s="1995">
        <f t="shared" si="33"/>
        <v>5.2928592505163768E-2</v>
      </c>
      <c r="AW20" s="2005">
        <v>26482</v>
      </c>
      <c r="AX20" s="2015">
        <v>1259</v>
      </c>
      <c r="AY20" s="1995">
        <f t="shared" si="34"/>
        <v>4.7541726455705764E-2</v>
      </c>
      <c r="AZ20" s="2005">
        <v>26026</v>
      </c>
      <c r="BA20" s="2015">
        <v>1141</v>
      </c>
      <c r="BB20" s="1995">
        <f t="shared" si="35"/>
        <v>4.3840774610005379E-2</v>
      </c>
      <c r="BC20" s="1999">
        <v>26129</v>
      </c>
      <c r="BD20" s="1251">
        <v>1098</v>
      </c>
      <c r="BE20" s="1247">
        <f t="shared" si="36"/>
        <v>4.2022274101572964E-2</v>
      </c>
      <c r="BF20" s="1999">
        <v>26036</v>
      </c>
      <c r="BG20" s="1251">
        <v>871</v>
      </c>
      <c r="BH20" s="1247">
        <f t="shared" si="37"/>
        <v>3.34536795206637E-2</v>
      </c>
    </row>
    <row r="21" spans="1:60" ht="12.75" customHeight="1" x14ac:dyDescent="0.3">
      <c r="A21" s="364" t="s">
        <v>44</v>
      </c>
      <c r="B21" s="366" t="s">
        <v>45</v>
      </c>
      <c r="C21" s="186" t="s">
        <v>254</v>
      </c>
      <c r="D21" s="1975">
        <v>10933</v>
      </c>
      <c r="E21" s="1976">
        <v>237</v>
      </c>
      <c r="F21" s="1977">
        <f t="shared" si="19"/>
        <v>2.1677490167383153E-2</v>
      </c>
      <c r="G21" s="1988">
        <v>11027</v>
      </c>
      <c r="H21" s="1989">
        <v>333</v>
      </c>
      <c r="I21" s="1964">
        <f t="shared" si="20"/>
        <v>3.0198603427949579E-2</v>
      </c>
      <c r="J21" s="1988">
        <v>11340</v>
      </c>
      <c r="K21" s="1989">
        <v>484</v>
      </c>
      <c r="L21" s="1995">
        <f t="shared" si="21"/>
        <v>4.2680776014109349E-2</v>
      </c>
      <c r="M21" s="1988">
        <v>11640</v>
      </c>
      <c r="N21" s="1989">
        <v>495</v>
      </c>
      <c r="O21" s="1995">
        <f t="shared" si="22"/>
        <v>4.252577319587629E-2</v>
      </c>
      <c r="P21" s="1988">
        <v>12144</v>
      </c>
      <c r="Q21" s="1989">
        <v>477</v>
      </c>
      <c r="R21" s="1995">
        <f t="shared" si="23"/>
        <v>3.9278656126482216E-2</v>
      </c>
      <c r="S21" s="1988">
        <v>12942</v>
      </c>
      <c r="T21" s="1989">
        <v>487</v>
      </c>
      <c r="U21" s="1995">
        <f t="shared" si="24"/>
        <v>3.7629423582135682E-2</v>
      </c>
      <c r="V21" s="1988">
        <v>13576</v>
      </c>
      <c r="W21" s="1989">
        <v>458</v>
      </c>
      <c r="X21" s="1995">
        <f t="shared" si="25"/>
        <v>3.3736004714201531E-2</v>
      </c>
      <c r="Y21" s="1988">
        <v>13835</v>
      </c>
      <c r="Z21" s="1989">
        <v>519</v>
      </c>
      <c r="AA21" s="1995">
        <f t="shared" si="26"/>
        <v>3.7513552584026021E-2</v>
      </c>
      <c r="AB21" s="1988">
        <v>14289</v>
      </c>
      <c r="AC21" s="1989">
        <v>686</v>
      </c>
      <c r="AD21" s="1995">
        <f t="shared" si="27"/>
        <v>4.8008957939673878E-2</v>
      </c>
      <c r="AE21" s="1988">
        <v>14175</v>
      </c>
      <c r="AF21" s="1989">
        <v>1232</v>
      </c>
      <c r="AG21" s="1995">
        <f t="shared" si="28"/>
        <v>8.6913580246913577E-2</v>
      </c>
      <c r="AH21" s="1988">
        <v>14397</v>
      </c>
      <c r="AI21" s="1989">
        <v>1365</v>
      </c>
      <c r="AJ21" s="1995">
        <f t="shared" si="29"/>
        <v>9.4811419045634504E-2</v>
      </c>
      <c r="AK21" s="1984">
        <v>14542</v>
      </c>
      <c r="AL21" s="1985">
        <v>1232</v>
      </c>
      <c r="AM21" s="1995">
        <f t="shared" si="30"/>
        <v>8.4720121028744322E-2</v>
      </c>
      <c r="AN21" s="2005">
        <v>14616</v>
      </c>
      <c r="AO21" s="2006">
        <v>1060</v>
      </c>
      <c r="AP21" s="1967">
        <f t="shared" si="31"/>
        <v>7.2523262178434592E-2</v>
      </c>
      <c r="AQ21" s="2005">
        <v>14715</v>
      </c>
      <c r="AR21" s="1119">
        <v>986</v>
      </c>
      <c r="AS21" s="1967">
        <f t="shared" si="32"/>
        <v>6.700645599728168E-2</v>
      </c>
      <c r="AT21" s="2011">
        <v>14731</v>
      </c>
      <c r="AU21" s="2012">
        <v>902</v>
      </c>
      <c r="AV21" s="1995">
        <f t="shared" si="33"/>
        <v>6.1231416740207725E-2</v>
      </c>
      <c r="AW21" s="2005">
        <v>14882</v>
      </c>
      <c r="AX21" s="2015">
        <v>753</v>
      </c>
      <c r="AY21" s="1995">
        <f t="shared" si="34"/>
        <v>5.059803789813197E-2</v>
      </c>
      <c r="AZ21" s="2005">
        <v>14841</v>
      </c>
      <c r="BA21" s="2015">
        <v>649</v>
      </c>
      <c r="BB21" s="1995">
        <f t="shared" si="35"/>
        <v>4.373020685937605E-2</v>
      </c>
      <c r="BC21" s="1999">
        <v>15099</v>
      </c>
      <c r="BD21" s="1251">
        <v>651</v>
      </c>
      <c r="BE21" s="1247">
        <f t="shared" si="36"/>
        <v>4.3115438108484005E-2</v>
      </c>
      <c r="BF21" s="1999">
        <v>15067</v>
      </c>
      <c r="BG21" s="1251">
        <v>520</v>
      </c>
      <c r="BH21" s="1247">
        <f t="shared" si="37"/>
        <v>3.4512510785159621E-2</v>
      </c>
    </row>
    <row r="22" spans="1:60" ht="12.75" customHeight="1" x14ac:dyDescent="0.3">
      <c r="A22" s="364" t="s">
        <v>46</v>
      </c>
      <c r="B22" s="366" t="s">
        <v>47</v>
      </c>
      <c r="C22" s="186" t="s">
        <v>256</v>
      </c>
      <c r="D22" s="1975">
        <v>14727</v>
      </c>
      <c r="E22" s="1976">
        <v>593</v>
      </c>
      <c r="F22" s="1977">
        <f t="shared" si="19"/>
        <v>4.0266177768724112E-2</v>
      </c>
      <c r="G22" s="1988">
        <v>14767</v>
      </c>
      <c r="H22" s="1989">
        <v>1018</v>
      </c>
      <c r="I22" s="1964">
        <f t="shared" si="20"/>
        <v>6.8937495767589896E-2</v>
      </c>
      <c r="J22" s="1988">
        <v>14853</v>
      </c>
      <c r="K22" s="1989">
        <v>979</v>
      </c>
      <c r="L22" s="1995">
        <f t="shared" si="21"/>
        <v>6.5912610247088124E-2</v>
      </c>
      <c r="M22" s="1988">
        <v>15048</v>
      </c>
      <c r="N22" s="1989">
        <v>838</v>
      </c>
      <c r="O22" s="1995">
        <f t="shared" si="22"/>
        <v>5.5688463583200426E-2</v>
      </c>
      <c r="P22" s="1988">
        <v>14698</v>
      </c>
      <c r="Q22" s="1989">
        <v>721</v>
      </c>
      <c r="R22" s="1995">
        <f t="shared" si="23"/>
        <v>4.9054293101102188E-2</v>
      </c>
      <c r="S22" s="1988">
        <v>14469</v>
      </c>
      <c r="T22" s="1989">
        <v>804</v>
      </c>
      <c r="U22" s="1995">
        <f t="shared" si="24"/>
        <v>5.5567074434998961E-2</v>
      </c>
      <c r="V22" s="1988">
        <v>13838</v>
      </c>
      <c r="W22" s="1989">
        <v>718</v>
      </c>
      <c r="X22" s="1995">
        <f t="shared" si="25"/>
        <v>5.1886110709640124E-2</v>
      </c>
      <c r="Y22" s="1988">
        <v>13836</v>
      </c>
      <c r="Z22" s="1989">
        <v>787</v>
      </c>
      <c r="AA22" s="1995">
        <f t="shared" si="26"/>
        <v>5.6880601329864125E-2</v>
      </c>
      <c r="AB22" s="1988">
        <v>14077</v>
      </c>
      <c r="AC22" s="1989">
        <v>939</v>
      </c>
      <c r="AD22" s="1995">
        <f t="shared" si="27"/>
        <v>6.6704553527029906E-2</v>
      </c>
      <c r="AE22" s="1988">
        <v>14473</v>
      </c>
      <c r="AF22" s="1989">
        <v>1623</v>
      </c>
      <c r="AG22" s="1995">
        <f t="shared" si="28"/>
        <v>0.1121398466109307</v>
      </c>
      <c r="AH22" s="1988">
        <v>14260</v>
      </c>
      <c r="AI22" s="1989">
        <v>1611</v>
      </c>
      <c r="AJ22" s="1995">
        <f t="shared" si="29"/>
        <v>0.11297335203366059</v>
      </c>
      <c r="AK22" s="1984">
        <v>14052</v>
      </c>
      <c r="AL22" s="1985">
        <v>1340</v>
      </c>
      <c r="AM22" s="1995">
        <f t="shared" si="30"/>
        <v>9.5360091090236271E-2</v>
      </c>
      <c r="AN22" s="2005">
        <v>13414</v>
      </c>
      <c r="AO22" s="2006">
        <v>1144</v>
      </c>
      <c r="AP22" s="1967">
        <f t="shared" si="31"/>
        <v>8.5284031608766964E-2</v>
      </c>
      <c r="AQ22" s="2005">
        <v>13484</v>
      </c>
      <c r="AR22" s="1119">
        <v>1090</v>
      </c>
      <c r="AS22" s="1967">
        <f t="shared" si="32"/>
        <v>8.0836547018688823E-2</v>
      </c>
      <c r="AT22" s="2011">
        <v>13228</v>
      </c>
      <c r="AU22" s="2012">
        <v>893</v>
      </c>
      <c r="AV22" s="1995">
        <f t="shared" si="33"/>
        <v>6.7508315693982468E-2</v>
      </c>
      <c r="AW22" s="2005">
        <v>13099</v>
      </c>
      <c r="AX22" s="2015">
        <v>699</v>
      </c>
      <c r="AY22" s="1995">
        <f t="shared" si="34"/>
        <v>5.3362852126116495E-2</v>
      </c>
      <c r="AZ22" s="2005">
        <v>12928</v>
      </c>
      <c r="BA22" s="2015">
        <v>664</v>
      </c>
      <c r="BB22" s="1995">
        <f t="shared" si="35"/>
        <v>5.1361386138613858E-2</v>
      </c>
      <c r="BC22" s="1999">
        <v>12997</v>
      </c>
      <c r="BD22" s="1251">
        <v>605</v>
      </c>
      <c r="BE22" s="1247">
        <f t="shared" si="36"/>
        <v>4.6549203662383624E-2</v>
      </c>
      <c r="BF22" s="1999">
        <v>13341</v>
      </c>
      <c r="BG22" s="1251">
        <v>478</v>
      </c>
      <c r="BH22" s="1247">
        <f t="shared" si="37"/>
        <v>3.5829398096094749E-2</v>
      </c>
    </row>
    <row r="23" spans="1:60" ht="12.75" customHeight="1" x14ac:dyDescent="0.3">
      <c r="A23" s="364" t="s">
        <v>48</v>
      </c>
      <c r="B23" s="366" t="s">
        <v>257</v>
      </c>
      <c r="C23" s="186" t="s">
        <v>254</v>
      </c>
      <c r="D23" s="1975">
        <v>3593</v>
      </c>
      <c r="E23" s="1976">
        <v>88</v>
      </c>
      <c r="F23" s="1977">
        <f t="shared" si="19"/>
        <v>2.4492067909824659E-2</v>
      </c>
      <c r="G23" s="1988">
        <v>3683</v>
      </c>
      <c r="H23" s="1989">
        <v>180</v>
      </c>
      <c r="I23" s="1964">
        <f t="shared" si="20"/>
        <v>4.8873201194678251E-2</v>
      </c>
      <c r="J23" s="1988">
        <v>3743</v>
      </c>
      <c r="K23" s="1989">
        <v>195</v>
      </c>
      <c r="L23" s="1995">
        <f t="shared" si="21"/>
        <v>5.2097248196633715E-2</v>
      </c>
      <c r="M23" s="1988">
        <v>3776</v>
      </c>
      <c r="N23" s="1989">
        <v>190</v>
      </c>
      <c r="O23" s="1995">
        <f t="shared" si="22"/>
        <v>5.0317796610169489E-2</v>
      </c>
      <c r="P23" s="1988">
        <v>3803</v>
      </c>
      <c r="Q23" s="1989">
        <v>189</v>
      </c>
      <c r="R23" s="1995">
        <f t="shared" si="23"/>
        <v>4.9697607152248226E-2</v>
      </c>
      <c r="S23" s="1988">
        <v>3781</v>
      </c>
      <c r="T23" s="1989">
        <v>164</v>
      </c>
      <c r="U23" s="1995">
        <f t="shared" si="24"/>
        <v>4.3374768579740812E-2</v>
      </c>
      <c r="V23" s="1988">
        <v>3842</v>
      </c>
      <c r="W23" s="1989">
        <v>151</v>
      </c>
      <c r="X23" s="1995">
        <f t="shared" si="25"/>
        <v>3.9302446642373763E-2</v>
      </c>
      <c r="Y23" s="1988">
        <v>3790</v>
      </c>
      <c r="Z23" s="1989">
        <v>149</v>
      </c>
      <c r="AA23" s="1995">
        <f t="shared" si="26"/>
        <v>3.9313984168865439E-2</v>
      </c>
      <c r="AB23" s="1988">
        <v>3891</v>
      </c>
      <c r="AC23" s="1989">
        <v>195</v>
      </c>
      <c r="AD23" s="1995">
        <f t="shared" si="27"/>
        <v>5.0115651503469548E-2</v>
      </c>
      <c r="AE23" s="1988">
        <v>3847</v>
      </c>
      <c r="AF23" s="1989">
        <v>359</v>
      </c>
      <c r="AG23" s="1995">
        <f t="shared" si="28"/>
        <v>9.3319469716662329E-2</v>
      </c>
      <c r="AH23" s="1988">
        <v>3808</v>
      </c>
      <c r="AI23" s="1989">
        <v>362</v>
      </c>
      <c r="AJ23" s="1995">
        <f t="shared" si="29"/>
        <v>9.5063025210084029E-2</v>
      </c>
      <c r="AK23" s="1984">
        <v>3830</v>
      </c>
      <c r="AL23" s="1985">
        <v>335</v>
      </c>
      <c r="AM23" s="1995">
        <f t="shared" si="30"/>
        <v>8.7467362924281991E-2</v>
      </c>
      <c r="AN23" s="2005">
        <v>3764</v>
      </c>
      <c r="AO23" s="2006">
        <v>282</v>
      </c>
      <c r="AP23" s="1967">
        <f t="shared" si="31"/>
        <v>7.4920297555791715E-2</v>
      </c>
      <c r="AQ23" s="2005">
        <v>3755</v>
      </c>
      <c r="AR23" s="1119">
        <v>228</v>
      </c>
      <c r="AS23" s="1967">
        <f t="shared" si="32"/>
        <v>6.0719041278295603E-2</v>
      </c>
      <c r="AT23" s="2011">
        <v>3819</v>
      </c>
      <c r="AU23" s="2012">
        <v>221</v>
      </c>
      <c r="AV23" s="1995">
        <f t="shared" si="33"/>
        <v>5.7868551976957318E-2</v>
      </c>
      <c r="AW23" s="2005">
        <v>3769</v>
      </c>
      <c r="AX23" s="2015">
        <v>197</v>
      </c>
      <c r="AY23" s="1995">
        <f t="shared" si="34"/>
        <v>5.2268506235075618E-2</v>
      </c>
      <c r="AZ23" s="2005">
        <v>3726</v>
      </c>
      <c r="BA23" s="2015">
        <v>169</v>
      </c>
      <c r="BB23" s="1995">
        <f t="shared" si="35"/>
        <v>4.5356951154052604E-2</v>
      </c>
      <c r="BC23" s="1999">
        <v>3772</v>
      </c>
      <c r="BD23" s="1251">
        <v>181</v>
      </c>
      <c r="BE23" s="1247">
        <f t="shared" si="36"/>
        <v>4.7985153764581123E-2</v>
      </c>
      <c r="BF23" s="1999">
        <v>3692</v>
      </c>
      <c r="BG23" s="1251">
        <v>145</v>
      </c>
      <c r="BH23" s="1247">
        <f t="shared" si="37"/>
        <v>3.9274106175514627E-2</v>
      </c>
    </row>
    <row r="24" spans="1:60" ht="12.75" customHeight="1" x14ac:dyDescent="0.3">
      <c r="A24" s="364" t="s">
        <v>50</v>
      </c>
      <c r="B24" s="366" t="s">
        <v>51</v>
      </c>
      <c r="C24" s="186" t="s">
        <v>253</v>
      </c>
      <c r="D24" s="1975">
        <v>5485</v>
      </c>
      <c r="E24" s="1976">
        <v>172</v>
      </c>
      <c r="F24" s="1977">
        <f t="shared" si="19"/>
        <v>3.1358249772105745E-2</v>
      </c>
      <c r="G24" s="1988">
        <v>5457</v>
      </c>
      <c r="H24" s="1989">
        <v>234</v>
      </c>
      <c r="I24" s="1964">
        <f t="shared" si="20"/>
        <v>4.2880703683342493E-2</v>
      </c>
      <c r="J24" s="1988">
        <v>5568</v>
      </c>
      <c r="K24" s="1989">
        <v>414</v>
      </c>
      <c r="L24" s="1995">
        <f t="shared" si="21"/>
        <v>7.4353448275862072E-2</v>
      </c>
      <c r="M24" s="1988">
        <v>5709</v>
      </c>
      <c r="N24" s="1989">
        <v>371</v>
      </c>
      <c r="O24" s="1995">
        <f t="shared" si="22"/>
        <v>6.4985111227885792E-2</v>
      </c>
      <c r="P24" s="1988">
        <v>5598</v>
      </c>
      <c r="Q24" s="1989">
        <v>331</v>
      </c>
      <c r="R24" s="1995">
        <f t="shared" si="23"/>
        <v>5.9128260092890315E-2</v>
      </c>
      <c r="S24" s="1988">
        <v>5454</v>
      </c>
      <c r="T24" s="1989">
        <v>443</v>
      </c>
      <c r="U24" s="1995">
        <f t="shared" si="24"/>
        <v>8.1224789145581219E-2</v>
      </c>
      <c r="V24" s="1988">
        <v>5260</v>
      </c>
      <c r="W24" s="1989">
        <v>347</v>
      </c>
      <c r="X24" s="1995">
        <f t="shared" si="25"/>
        <v>6.5969581749049433E-2</v>
      </c>
      <c r="Y24" s="1988">
        <v>5242</v>
      </c>
      <c r="Z24" s="1989">
        <v>280</v>
      </c>
      <c r="AA24" s="1995">
        <f t="shared" si="26"/>
        <v>5.34147272033575E-2</v>
      </c>
      <c r="AB24" s="1988">
        <v>5442</v>
      </c>
      <c r="AC24" s="1989">
        <v>323</v>
      </c>
      <c r="AD24" s="1995">
        <f t="shared" si="27"/>
        <v>5.9353178978316795E-2</v>
      </c>
      <c r="AE24" s="1988">
        <v>5569</v>
      </c>
      <c r="AF24" s="1989">
        <v>532</v>
      </c>
      <c r="AG24" s="1995">
        <f t="shared" si="28"/>
        <v>9.5528820254982938E-2</v>
      </c>
      <c r="AH24" s="1988">
        <v>5337</v>
      </c>
      <c r="AI24" s="1989">
        <v>537</v>
      </c>
      <c r="AJ24" s="1995">
        <f t="shared" si="29"/>
        <v>0.10061832490163013</v>
      </c>
      <c r="AK24" s="1984">
        <v>5362</v>
      </c>
      <c r="AL24" s="1985">
        <v>521</v>
      </c>
      <c r="AM24" s="1995">
        <f t="shared" si="30"/>
        <v>9.7165236851920925E-2</v>
      </c>
      <c r="AN24" s="2005">
        <v>5140</v>
      </c>
      <c r="AO24" s="2006">
        <v>455</v>
      </c>
      <c r="AP24" s="1967">
        <f t="shared" si="31"/>
        <v>8.8521400778210121E-2</v>
      </c>
      <c r="AQ24" s="2005">
        <v>5088</v>
      </c>
      <c r="AR24" s="1119">
        <v>402</v>
      </c>
      <c r="AS24" s="1967">
        <f t="shared" si="32"/>
        <v>7.9009433962264147E-2</v>
      </c>
      <c r="AT24" s="2011">
        <v>5331</v>
      </c>
      <c r="AU24" s="2012">
        <v>359</v>
      </c>
      <c r="AV24" s="1995">
        <f t="shared" si="33"/>
        <v>6.7341962108422429E-2</v>
      </c>
      <c r="AW24" s="2005">
        <v>5242</v>
      </c>
      <c r="AX24" s="2015">
        <v>301</v>
      </c>
      <c r="AY24" s="1995">
        <f t="shared" si="34"/>
        <v>5.7420831743609312E-2</v>
      </c>
      <c r="AZ24" s="2005">
        <v>5253</v>
      </c>
      <c r="BA24" s="2015">
        <v>264</v>
      </c>
      <c r="BB24" s="1995">
        <f t="shared" si="35"/>
        <v>5.0256996002284407E-2</v>
      </c>
      <c r="BC24" s="1999">
        <v>5250</v>
      </c>
      <c r="BD24" s="1251">
        <v>249</v>
      </c>
      <c r="BE24" s="1247">
        <f t="shared" si="36"/>
        <v>4.7428571428571431E-2</v>
      </c>
      <c r="BF24" s="1999">
        <v>5225</v>
      </c>
      <c r="BG24" s="1251">
        <v>191</v>
      </c>
      <c r="BH24" s="1247">
        <f t="shared" si="37"/>
        <v>3.6555023923444979E-2</v>
      </c>
    </row>
    <row r="25" spans="1:60" ht="12.75" customHeight="1" x14ac:dyDescent="0.3">
      <c r="A25" s="364" t="s">
        <v>56</v>
      </c>
      <c r="B25" s="366" t="s">
        <v>57</v>
      </c>
      <c r="C25" s="186" t="s">
        <v>254</v>
      </c>
      <c r="D25" s="1978">
        <v>150024</v>
      </c>
      <c r="E25" s="1979">
        <v>2713</v>
      </c>
      <c r="F25" s="1977">
        <f t="shared" si="19"/>
        <v>1.8083773262944594E-2</v>
      </c>
      <c r="G25" s="1990">
        <v>153048</v>
      </c>
      <c r="H25" s="1991">
        <v>4001</v>
      </c>
      <c r="I25" s="1964">
        <f t="shared" si="20"/>
        <v>2.6142125346296587E-2</v>
      </c>
      <c r="J25" s="1990">
        <v>157039</v>
      </c>
      <c r="K25" s="1991">
        <v>5423</v>
      </c>
      <c r="L25" s="1995">
        <f t="shared" si="21"/>
        <v>3.4532823056692925E-2</v>
      </c>
      <c r="M25" s="1990">
        <v>160562</v>
      </c>
      <c r="N25" s="1991">
        <v>5725</v>
      </c>
      <c r="O25" s="1995">
        <f t="shared" si="22"/>
        <v>3.5656008270948295E-2</v>
      </c>
      <c r="P25" s="1990">
        <v>165224</v>
      </c>
      <c r="Q25" s="1991">
        <v>5466</v>
      </c>
      <c r="R25" s="1995">
        <f t="shared" si="23"/>
        <v>3.3082360916089674E-2</v>
      </c>
      <c r="S25" s="1990">
        <v>168749</v>
      </c>
      <c r="T25" s="1991">
        <v>5371</v>
      </c>
      <c r="U25" s="1995">
        <f t="shared" si="24"/>
        <v>3.1828336760514137E-2</v>
      </c>
      <c r="V25" s="1990">
        <v>173530</v>
      </c>
      <c r="W25" s="1991">
        <v>4822</v>
      </c>
      <c r="X25" s="1995">
        <f t="shared" si="25"/>
        <v>2.7787702414568086E-2</v>
      </c>
      <c r="Y25" s="1990">
        <v>174031</v>
      </c>
      <c r="Z25" s="1991">
        <v>4662</v>
      </c>
      <c r="AA25" s="1995">
        <f t="shared" si="26"/>
        <v>2.6788330814624981E-2</v>
      </c>
      <c r="AB25" s="1990">
        <v>179471</v>
      </c>
      <c r="AC25" s="1991">
        <v>6650</v>
      </c>
      <c r="AD25" s="1995">
        <f t="shared" si="27"/>
        <v>3.7053340093942753E-2</v>
      </c>
      <c r="AE25" s="1990">
        <v>177011</v>
      </c>
      <c r="AF25" s="1991">
        <v>12328</v>
      </c>
      <c r="AG25" s="1995">
        <f t="shared" si="28"/>
        <v>6.9645389269593419E-2</v>
      </c>
      <c r="AH25" s="1990">
        <v>179678</v>
      </c>
      <c r="AI25" s="1991">
        <v>13240</v>
      </c>
      <c r="AJ25" s="1995">
        <f t="shared" si="29"/>
        <v>7.3687374080299198E-2</v>
      </c>
      <c r="AK25" s="1984">
        <v>183516</v>
      </c>
      <c r="AL25" s="1985">
        <v>12221</v>
      </c>
      <c r="AM25" s="1995">
        <f t="shared" si="30"/>
        <v>6.6593648510211642E-2</v>
      </c>
      <c r="AN25" s="2005">
        <v>185555</v>
      </c>
      <c r="AO25" s="2006">
        <v>11051</v>
      </c>
      <c r="AP25" s="1967">
        <f t="shared" si="31"/>
        <v>5.9556465737921373E-2</v>
      </c>
      <c r="AQ25" s="2005">
        <v>187168</v>
      </c>
      <c r="AR25" s="1119">
        <v>10430</v>
      </c>
      <c r="AS25" s="1967">
        <f t="shared" si="32"/>
        <v>5.5725337664558047E-2</v>
      </c>
      <c r="AT25" s="2011">
        <v>186101</v>
      </c>
      <c r="AU25" s="2012">
        <v>9545</v>
      </c>
      <c r="AV25" s="1995">
        <f t="shared" si="33"/>
        <v>5.1289353630555451E-2</v>
      </c>
      <c r="AW25" s="2005">
        <v>188105</v>
      </c>
      <c r="AX25" s="2015">
        <v>8112</v>
      </c>
      <c r="AY25" s="1995">
        <f t="shared" si="34"/>
        <v>4.3124850482443314E-2</v>
      </c>
      <c r="AZ25" s="2005">
        <v>188815</v>
      </c>
      <c r="BA25" s="2015">
        <v>7278</v>
      </c>
      <c r="BB25" s="1995">
        <f t="shared" si="35"/>
        <v>3.8545666393030212E-2</v>
      </c>
      <c r="BC25" s="1999">
        <v>192709</v>
      </c>
      <c r="BD25" s="1251">
        <v>7037</v>
      </c>
      <c r="BE25" s="1247">
        <f t="shared" si="36"/>
        <v>3.6516197998017738E-2</v>
      </c>
      <c r="BF25" s="1999">
        <v>193213</v>
      </c>
      <c r="BG25" s="1251">
        <v>5668</v>
      </c>
      <c r="BH25" s="1247">
        <f t="shared" si="37"/>
        <v>2.9335500199261955E-2</v>
      </c>
    </row>
    <row r="26" spans="1:60" ht="12.75" customHeight="1" x14ac:dyDescent="0.3">
      <c r="A26" s="364" t="s">
        <v>58</v>
      </c>
      <c r="B26" s="366" t="s">
        <v>59</v>
      </c>
      <c r="C26" s="186" t="s">
        <v>255</v>
      </c>
      <c r="D26" s="1975">
        <v>6866</v>
      </c>
      <c r="E26" s="1976">
        <v>108</v>
      </c>
      <c r="F26" s="1977">
        <f t="shared" si="19"/>
        <v>1.5729682493445966E-2</v>
      </c>
      <c r="G26" s="1988">
        <v>7040</v>
      </c>
      <c r="H26" s="1989">
        <v>157</v>
      </c>
      <c r="I26" s="1964">
        <f t="shared" si="20"/>
        <v>2.2301136363636363E-2</v>
      </c>
      <c r="J26" s="1988">
        <v>7103</v>
      </c>
      <c r="K26" s="1989">
        <v>214</v>
      </c>
      <c r="L26" s="1995">
        <f t="shared" si="21"/>
        <v>3.0128114881036182E-2</v>
      </c>
      <c r="M26" s="1988">
        <v>7200</v>
      </c>
      <c r="N26" s="1989">
        <v>223</v>
      </c>
      <c r="O26" s="1995">
        <f t="shared" si="22"/>
        <v>3.0972222222222224E-2</v>
      </c>
      <c r="P26" s="1988">
        <v>7512</v>
      </c>
      <c r="Q26" s="1989">
        <v>210</v>
      </c>
      <c r="R26" s="1995">
        <f t="shared" si="23"/>
        <v>2.7955271565495207E-2</v>
      </c>
      <c r="S26" s="1988">
        <v>7788</v>
      </c>
      <c r="T26" s="1989">
        <v>199</v>
      </c>
      <c r="U26" s="1995">
        <f t="shared" si="24"/>
        <v>2.5552131484334873E-2</v>
      </c>
      <c r="V26" s="1988">
        <v>8065</v>
      </c>
      <c r="W26" s="1989">
        <v>196</v>
      </c>
      <c r="X26" s="1995">
        <f t="shared" si="25"/>
        <v>2.4302541847489152E-2</v>
      </c>
      <c r="Y26" s="1988">
        <v>7978</v>
      </c>
      <c r="Z26" s="1989">
        <v>216</v>
      </c>
      <c r="AA26" s="1995">
        <f t="shared" si="26"/>
        <v>2.707445475056405E-2</v>
      </c>
      <c r="AB26" s="1988">
        <v>8205</v>
      </c>
      <c r="AC26" s="1989">
        <v>281</v>
      </c>
      <c r="AD26" s="1995">
        <f t="shared" si="27"/>
        <v>3.4247410115783056E-2</v>
      </c>
      <c r="AE26" s="1988">
        <v>8124</v>
      </c>
      <c r="AF26" s="1989">
        <v>532</v>
      </c>
      <c r="AG26" s="1995">
        <f t="shared" si="28"/>
        <v>6.5484982767109803E-2</v>
      </c>
      <c r="AH26" s="1988">
        <v>7686</v>
      </c>
      <c r="AI26" s="1989">
        <v>461</v>
      </c>
      <c r="AJ26" s="1995">
        <f t="shared" si="29"/>
        <v>5.9979182930002602E-2</v>
      </c>
      <c r="AK26" s="1984">
        <v>7780</v>
      </c>
      <c r="AL26" s="1985">
        <v>413</v>
      </c>
      <c r="AM26" s="1995">
        <f t="shared" si="30"/>
        <v>5.3084832904884319E-2</v>
      </c>
      <c r="AN26" s="2005">
        <v>7739</v>
      </c>
      <c r="AO26" s="2006">
        <v>388</v>
      </c>
      <c r="AP26" s="1967">
        <f t="shared" si="31"/>
        <v>5.0135676443985012E-2</v>
      </c>
      <c r="AQ26" s="2005">
        <v>7768</v>
      </c>
      <c r="AR26" s="1119">
        <v>350</v>
      </c>
      <c r="AS26" s="1967">
        <f t="shared" si="32"/>
        <v>4.5056642636457263E-2</v>
      </c>
      <c r="AT26" s="2011">
        <v>7642</v>
      </c>
      <c r="AU26" s="2012">
        <v>330</v>
      </c>
      <c r="AV26" s="1995">
        <f t="shared" si="33"/>
        <v>4.3182412980895056E-2</v>
      </c>
      <c r="AW26" s="2005">
        <v>7574</v>
      </c>
      <c r="AX26" s="2015">
        <v>300</v>
      </c>
      <c r="AY26" s="1995">
        <f t="shared" si="34"/>
        <v>3.9609189331925004E-2</v>
      </c>
      <c r="AZ26" s="2005">
        <v>7457</v>
      </c>
      <c r="BA26" s="2015">
        <v>261</v>
      </c>
      <c r="BB26" s="1995">
        <f t="shared" si="35"/>
        <v>3.5000670510929331E-2</v>
      </c>
      <c r="BC26" s="1999">
        <v>7519</v>
      </c>
      <c r="BD26" s="1251">
        <v>258</v>
      </c>
      <c r="BE26" s="1247">
        <f t="shared" si="36"/>
        <v>3.4313073547014232E-2</v>
      </c>
      <c r="BF26" s="1999">
        <v>7545</v>
      </c>
      <c r="BG26" s="1251">
        <v>216</v>
      </c>
      <c r="BH26" s="1247">
        <f t="shared" si="37"/>
        <v>2.8628230616302187E-2</v>
      </c>
    </row>
    <row r="27" spans="1:60" ht="12.75" customHeight="1" x14ac:dyDescent="0.3">
      <c r="A27" s="364" t="s">
        <v>60</v>
      </c>
      <c r="B27" s="366" t="s">
        <v>61</v>
      </c>
      <c r="C27" s="186" t="s">
        <v>253</v>
      </c>
      <c r="D27" s="1975">
        <v>2488</v>
      </c>
      <c r="E27" s="1976">
        <v>60</v>
      </c>
      <c r="F27" s="1977">
        <f t="shared" si="19"/>
        <v>2.4115755627009645E-2</v>
      </c>
      <c r="G27" s="1988">
        <v>2496</v>
      </c>
      <c r="H27" s="1989">
        <v>73</v>
      </c>
      <c r="I27" s="1964">
        <f t="shared" si="20"/>
        <v>2.9246794871794872E-2</v>
      </c>
      <c r="J27" s="1988">
        <v>2545</v>
      </c>
      <c r="K27" s="1989">
        <v>102</v>
      </c>
      <c r="L27" s="1995">
        <f t="shared" si="21"/>
        <v>4.0078585461689589E-2</v>
      </c>
      <c r="M27" s="1988">
        <v>2520</v>
      </c>
      <c r="N27" s="1989">
        <v>103</v>
      </c>
      <c r="O27" s="1995">
        <f t="shared" si="22"/>
        <v>4.0873015873015874E-2</v>
      </c>
      <c r="P27" s="1988">
        <v>2511</v>
      </c>
      <c r="Q27" s="1989">
        <v>97</v>
      </c>
      <c r="R27" s="1995">
        <f t="shared" si="23"/>
        <v>3.8630027877339705E-2</v>
      </c>
      <c r="S27" s="1988">
        <v>2516</v>
      </c>
      <c r="T27" s="1989">
        <v>97</v>
      </c>
      <c r="U27" s="1995">
        <f t="shared" si="24"/>
        <v>3.8553259141494434E-2</v>
      </c>
      <c r="V27" s="1988">
        <v>2559</v>
      </c>
      <c r="W27" s="1989">
        <v>87</v>
      </c>
      <c r="X27" s="1995">
        <f t="shared" si="25"/>
        <v>3.399765533411489E-2</v>
      </c>
      <c r="Y27" s="1988">
        <v>2548</v>
      </c>
      <c r="Z27" s="1989">
        <v>96</v>
      </c>
      <c r="AA27" s="1995">
        <f t="shared" si="26"/>
        <v>3.7676609105180531E-2</v>
      </c>
      <c r="AB27" s="1988">
        <v>2555</v>
      </c>
      <c r="AC27" s="1989">
        <v>102</v>
      </c>
      <c r="AD27" s="1995">
        <f t="shared" si="27"/>
        <v>3.9921722113502936E-2</v>
      </c>
      <c r="AE27" s="1988">
        <v>2451</v>
      </c>
      <c r="AF27" s="1989">
        <v>188</v>
      </c>
      <c r="AG27" s="1995">
        <f t="shared" si="28"/>
        <v>7.6703386372909022E-2</v>
      </c>
      <c r="AH27" s="1988">
        <v>2501</v>
      </c>
      <c r="AI27" s="1989">
        <v>200</v>
      </c>
      <c r="AJ27" s="1995">
        <f t="shared" si="29"/>
        <v>7.9968012794882054E-2</v>
      </c>
      <c r="AK27" s="1984">
        <v>2494</v>
      </c>
      <c r="AL27" s="1985">
        <v>191</v>
      </c>
      <c r="AM27" s="1995">
        <f t="shared" si="30"/>
        <v>7.6583801122694473E-2</v>
      </c>
      <c r="AN27" s="2005">
        <v>2528</v>
      </c>
      <c r="AO27" s="2006">
        <v>170</v>
      </c>
      <c r="AP27" s="1967">
        <f t="shared" si="31"/>
        <v>6.7246835443037972E-2</v>
      </c>
      <c r="AQ27" s="2005">
        <v>2540</v>
      </c>
      <c r="AR27" s="1119">
        <v>169</v>
      </c>
      <c r="AS27" s="1967">
        <f t="shared" si="32"/>
        <v>6.6535433070866137E-2</v>
      </c>
      <c r="AT27" s="2011">
        <v>2473</v>
      </c>
      <c r="AU27" s="2012">
        <v>155</v>
      </c>
      <c r="AV27" s="1995">
        <f t="shared" si="33"/>
        <v>6.2676910634856448E-2</v>
      </c>
      <c r="AW27" s="2005">
        <v>2431</v>
      </c>
      <c r="AX27" s="2015">
        <v>134</v>
      </c>
      <c r="AY27" s="1995">
        <f t="shared" si="34"/>
        <v>5.5121349238996295E-2</v>
      </c>
      <c r="AZ27" s="2005">
        <v>2370</v>
      </c>
      <c r="BA27" s="2015">
        <v>111</v>
      </c>
      <c r="BB27" s="1995">
        <f t="shared" si="35"/>
        <v>4.6835443037974683E-2</v>
      </c>
      <c r="BC27" s="1999">
        <v>2336</v>
      </c>
      <c r="BD27" s="1251">
        <v>102</v>
      </c>
      <c r="BE27" s="1247">
        <f t="shared" si="36"/>
        <v>4.3664383561643837E-2</v>
      </c>
      <c r="BF27" s="1999">
        <v>2286</v>
      </c>
      <c r="BG27" s="1251">
        <v>81</v>
      </c>
      <c r="BH27" s="1247">
        <f t="shared" si="37"/>
        <v>3.5433070866141732E-2</v>
      </c>
    </row>
    <row r="28" spans="1:60" ht="12.75" customHeight="1" x14ac:dyDescent="0.3">
      <c r="A28" s="364" t="s">
        <v>62</v>
      </c>
      <c r="B28" s="366" t="s">
        <v>63</v>
      </c>
      <c r="C28" s="186" t="s">
        <v>255</v>
      </c>
      <c r="D28" s="1975">
        <v>16828</v>
      </c>
      <c r="E28" s="1976">
        <v>320</v>
      </c>
      <c r="F28" s="1977">
        <f t="shared" si="19"/>
        <v>1.9015925837889233E-2</v>
      </c>
      <c r="G28" s="1988">
        <v>17282</v>
      </c>
      <c r="H28" s="1989">
        <v>449</v>
      </c>
      <c r="I28" s="1964">
        <f t="shared" si="20"/>
        <v>2.5980789260502256E-2</v>
      </c>
      <c r="J28" s="1988">
        <v>17643</v>
      </c>
      <c r="K28" s="1989">
        <v>665</v>
      </c>
      <c r="L28" s="1995">
        <f t="shared" si="21"/>
        <v>3.7692002493906931E-2</v>
      </c>
      <c r="M28" s="1988">
        <v>18168</v>
      </c>
      <c r="N28" s="1989">
        <v>731</v>
      </c>
      <c r="O28" s="1995">
        <f t="shared" si="22"/>
        <v>4.0235579040070454E-2</v>
      </c>
      <c r="P28" s="1988">
        <v>18237</v>
      </c>
      <c r="Q28" s="1989">
        <v>635</v>
      </c>
      <c r="R28" s="1995">
        <f t="shared" si="23"/>
        <v>3.4819323353621756E-2</v>
      </c>
      <c r="S28" s="1988">
        <v>19144</v>
      </c>
      <c r="T28" s="1989">
        <v>624</v>
      </c>
      <c r="U28" s="1995">
        <f t="shared" si="24"/>
        <v>3.2595068951107399E-2</v>
      </c>
      <c r="V28" s="1988">
        <v>20091</v>
      </c>
      <c r="W28" s="1989">
        <v>647</v>
      </c>
      <c r="X28" s="1995">
        <f t="shared" si="25"/>
        <v>3.2203474192424468E-2</v>
      </c>
      <c r="Y28" s="1988">
        <v>20127</v>
      </c>
      <c r="Z28" s="1989">
        <v>730</v>
      </c>
      <c r="AA28" s="1995">
        <f t="shared" si="26"/>
        <v>3.6269687484473595E-2</v>
      </c>
      <c r="AB28" s="1988">
        <v>20987</v>
      </c>
      <c r="AC28" s="1989">
        <v>1010</v>
      </c>
      <c r="AD28" s="1995">
        <f t="shared" si="27"/>
        <v>4.8125029780340209E-2</v>
      </c>
      <c r="AE28" s="1988">
        <v>21381</v>
      </c>
      <c r="AF28" s="1989">
        <v>1757</v>
      </c>
      <c r="AG28" s="1995">
        <f t="shared" si="28"/>
        <v>8.2175763528366308E-2</v>
      </c>
      <c r="AH28" s="1988">
        <v>20899</v>
      </c>
      <c r="AI28" s="1989">
        <v>1695</v>
      </c>
      <c r="AJ28" s="1995">
        <f t="shared" si="29"/>
        <v>8.1104359060242118E-2</v>
      </c>
      <c r="AK28" s="1984">
        <v>21068</v>
      </c>
      <c r="AL28" s="1985">
        <v>1504</v>
      </c>
      <c r="AM28" s="1995">
        <f t="shared" si="30"/>
        <v>7.13878868426049E-2</v>
      </c>
      <c r="AN28" s="2005">
        <v>21462</v>
      </c>
      <c r="AO28" s="2006">
        <v>1354</v>
      </c>
      <c r="AP28" s="1967">
        <f t="shared" si="31"/>
        <v>6.3088248998229429E-2</v>
      </c>
      <c r="AQ28" s="2005">
        <v>21584</v>
      </c>
      <c r="AR28" s="1119">
        <v>1272</v>
      </c>
      <c r="AS28" s="1967">
        <f t="shared" si="32"/>
        <v>5.893254262416605E-2</v>
      </c>
      <c r="AT28" s="2011">
        <v>23463</v>
      </c>
      <c r="AU28" s="2012">
        <v>1163</v>
      </c>
      <c r="AV28" s="1995">
        <f t="shared" si="33"/>
        <v>4.9567403997783747E-2</v>
      </c>
      <c r="AW28" s="2005">
        <v>23328</v>
      </c>
      <c r="AX28" s="2015">
        <v>1010</v>
      </c>
      <c r="AY28" s="1995">
        <f t="shared" si="34"/>
        <v>4.3295610425240057E-2</v>
      </c>
      <c r="AZ28" s="2005">
        <v>23235</v>
      </c>
      <c r="BA28" s="2015">
        <v>889</v>
      </c>
      <c r="BB28" s="1995">
        <f t="shared" si="35"/>
        <v>3.8261243813212824E-2</v>
      </c>
      <c r="BC28" s="1999">
        <v>23786</v>
      </c>
      <c r="BD28" s="1251">
        <v>860</v>
      </c>
      <c r="BE28" s="1247">
        <f t="shared" si="36"/>
        <v>3.615572185319095E-2</v>
      </c>
      <c r="BF28" s="1999">
        <v>24178</v>
      </c>
      <c r="BG28" s="1251">
        <v>688</v>
      </c>
      <c r="BH28" s="1247">
        <f t="shared" si="37"/>
        <v>2.8455620812308711E-2</v>
      </c>
    </row>
    <row r="29" spans="1:60" ht="12.75" customHeight="1" x14ac:dyDescent="0.3">
      <c r="A29" s="364" t="s">
        <v>64</v>
      </c>
      <c r="B29" s="366" t="s">
        <v>65</v>
      </c>
      <c r="C29" s="186" t="s">
        <v>254</v>
      </c>
      <c r="D29" s="1975">
        <v>4212</v>
      </c>
      <c r="E29" s="1976">
        <v>94</v>
      </c>
      <c r="F29" s="1977">
        <f t="shared" si="19"/>
        <v>2.2317188983855651E-2</v>
      </c>
      <c r="G29" s="1988">
        <v>4197</v>
      </c>
      <c r="H29" s="1989">
        <v>117</v>
      </c>
      <c r="I29" s="1964">
        <f t="shared" si="20"/>
        <v>2.7877055039313797E-2</v>
      </c>
      <c r="J29" s="1988">
        <v>4258</v>
      </c>
      <c r="K29" s="1989">
        <v>156</v>
      </c>
      <c r="L29" s="1995">
        <f t="shared" si="21"/>
        <v>3.6636918741193049E-2</v>
      </c>
      <c r="M29" s="1988">
        <v>4333</v>
      </c>
      <c r="N29" s="1989">
        <v>175</v>
      </c>
      <c r="O29" s="1995">
        <f t="shared" si="22"/>
        <v>4.0387722132471729E-2</v>
      </c>
      <c r="P29" s="1988">
        <v>4380</v>
      </c>
      <c r="Q29" s="1989">
        <v>171</v>
      </c>
      <c r="R29" s="1995">
        <f t="shared" si="23"/>
        <v>3.9041095890410958E-2</v>
      </c>
      <c r="S29" s="1988">
        <v>4480</v>
      </c>
      <c r="T29" s="1989">
        <v>173</v>
      </c>
      <c r="U29" s="1995">
        <f t="shared" si="24"/>
        <v>3.861607142857143E-2</v>
      </c>
      <c r="V29" s="1988">
        <v>4529</v>
      </c>
      <c r="W29" s="1989">
        <v>155</v>
      </c>
      <c r="X29" s="1995">
        <f t="shared" si="25"/>
        <v>3.422389048355045E-2</v>
      </c>
      <c r="Y29" s="1988">
        <v>4571</v>
      </c>
      <c r="Z29" s="1989">
        <v>148</v>
      </c>
      <c r="AA29" s="1995">
        <f t="shared" si="26"/>
        <v>3.2378035440822579E-2</v>
      </c>
      <c r="AB29" s="1988">
        <v>4704</v>
      </c>
      <c r="AC29" s="1989">
        <v>225</v>
      </c>
      <c r="AD29" s="1995">
        <f t="shared" si="27"/>
        <v>4.7831632653061222E-2</v>
      </c>
      <c r="AE29" s="1988">
        <v>4612</v>
      </c>
      <c r="AF29" s="1989">
        <v>349</v>
      </c>
      <c r="AG29" s="1995">
        <f t="shared" si="28"/>
        <v>7.5672159583694706E-2</v>
      </c>
      <c r="AH29" s="1988">
        <v>4706</v>
      </c>
      <c r="AI29" s="1989">
        <v>390</v>
      </c>
      <c r="AJ29" s="1995">
        <f t="shared" si="29"/>
        <v>8.2872928176795577E-2</v>
      </c>
      <c r="AK29" s="1984">
        <v>4689</v>
      </c>
      <c r="AL29" s="1985">
        <v>338</v>
      </c>
      <c r="AM29" s="1995">
        <f t="shared" si="30"/>
        <v>7.2083599914693958E-2</v>
      </c>
      <c r="AN29" s="2005">
        <v>4653</v>
      </c>
      <c r="AO29" s="2006">
        <v>321</v>
      </c>
      <c r="AP29" s="1967">
        <f t="shared" si="31"/>
        <v>6.8987749838813672E-2</v>
      </c>
      <c r="AQ29" s="2005">
        <v>4684</v>
      </c>
      <c r="AR29" s="1119">
        <v>296</v>
      </c>
      <c r="AS29" s="1967">
        <f t="shared" si="32"/>
        <v>6.3193851409052093E-2</v>
      </c>
      <c r="AT29" s="2011">
        <v>4531</v>
      </c>
      <c r="AU29" s="2012">
        <v>275</v>
      </c>
      <c r="AV29" s="1995">
        <f t="shared" si="33"/>
        <v>6.0693003751931138E-2</v>
      </c>
      <c r="AW29" s="2005">
        <v>4552</v>
      </c>
      <c r="AX29" s="2015">
        <v>240</v>
      </c>
      <c r="AY29" s="1995">
        <f t="shared" si="34"/>
        <v>5.272407732864675E-2</v>
      </c>
      <c r="AZ29" s="2005">
        <v>4605</v>
      </c>
      <c r="BA29" s="2015">
        <v>211</v>
      </c>
      <c r="BB29" s="1995">
        <f t="shared" si="35"/>
        <v>4.5819761129207381E-2</v>
      </c>
      <c r="BC29" s="1999">
        <v>4634</v>
      </c>
      <c r="BD29" s="1251">
        <v>196</v>
      </c>
      <c r="BE29" s="1247">
        <f t="shared" si="36"/>
        <v>4.2296072507552872E-2</v>
      </c>
      <c r="BF29" s="1999">
        <v>4636</v>
      </c>
      <c r="BG29" s="1251">
        <v>151</v>
      </c>
      <c r="BH29" s="1247">
        <f t="shared" si="37"/>
        <v>3.2571182053494394E-2</v>
      </c>
    </row>
    <row r="30" spans="1:60" ht="12.75" customHeight="1" x14ac:dyDescent="0.3">
      <c r="A30" s="364" t="s">
        <v>68</v>
      </c>
      <c r="B30" s="366" t="s">
        <v>69</v>
      </c>
      <c r="C30" s="186" t="s">
        <v>256</v>
      </c>
      <c r="D30" s="1975">
        <v>5330</v>
      </c>
      <c r="E30" s="1976">
        <v>307</v>
      </c>
      <c r="F30" s="1977">
        <f t="shared" si="19"/>
        <v>5.7598499061913694E-2</v>
      </c>
      <c r="G30" s="1988">
        <v>5467</v>
      </c>
      <c r="H30" s="1989">
        <v>382</v>
      </c>
      <c r="I30" s="1964">
        <f t="shared" si="20"/>
        <v>6.987378818364734E-2</v>
      </c>
      <c r="J30" s="1988">
        <v>5676</v>
      </c>
      <c r="K30" s="1989">
        <v>443</v>
      </c>
      <c r="L30" s="1995">
        <f t="shared" si="21"/>
        <v>7.804792107117689E-2</v>
      </c>
      <c r="M30" s="1988">
        <v>5869</v>
      </c>
      <c r="N30" s="1989">
        <v>495</v>
      </c>
      <c r="O30" s="1995">
        <f t="shared" si="22"/>
        <v>8.4341455103083995E-2</v>
      </c>
      <c r="P30" s="1988">
        <v>5645</v>
      </c>
      <c r="Q30" s="1989">
        <v>346</v>
      </c>
      <c r="R30" s="1995">
        <f t="shared" si="23"/>
        <v>6.1293179805137286E-2</v>
      </c>
      <c r="S30" s="1988">
        <v>5752</v>
      </c>
      <c r="T30" s="1989">
        <v>365</v>
      </c>
      <c r="U30" s="1995">
        <f t="shared" si="24"/>
        <v>6.3456189151599438E-2</v>
      </c>
      <c r="V30" s="1988">
        <v>5665</v>
      </c>
      <c r="W30" s="1989">
        <v>287</v>
      </c>
      <c r="X30" s="1995">
        <f t="shared" si="25"/>
        <v>5.0661959399823479E-2</v>
      </c>
      <c r="Y30" s="1988">
        <v>5760</v>
      </c>
      <c r="Z30" s="1989">
        <v>304</v>
      </c>
      <c r="AA30" s="1995">
        <f t="shared" si="26"/>
        <v>5.2777777777777778E-2</v>
      </c>
      <c r="AB30" s="1988">
        <v>6081</v>
      </c>
      <c r="AC30" s="1989">
        <v>348</v>
      </c>
      <c r="AD30" s="1995">
        <f t="shared" si="27"/>
        <v>5.7227429699062651E-2</v>
      </c>
      <c r="AE30" s="1988">
        <v>6467</v>
      </c>
      <c r="AF30" s="1989">
        <v>582</v>
      </c>
      <c r="AG30" s="1995">
        <f t="shared" si="28"/>
        <v>8.9995361063862689E-2</v>
      </c>
      <c r="AH30" s="1988">
        <v>6337</v>
      </c>
      <c r="AI30" s="1989">
        <v>555</v>
      </c>
      <c r="AJ30" s="1995">
        <f t="shared" si="29"/>
        <v>8.7580874230708539E-2</v>
      </c>
      <c r="AK30" s="1984">
        <v>6367</v>
      </c>
      <c r="AL30" s="1985">
        <v>514</v>
      </c>
      <c r="AM30" s="1995">
        <f t="shared" si="30"/>
        <v>8.0728757656667191E-2</v>
      </c>
      <c r="AN30" s="2005">
        <v>5889</v>
      </c>
      <c r="AO30" s="2006">
        <v>523</v>
      </c>
      <c r="AP30" s="1967">
        <f t="shared" si="31"/>
        <v>8.8809645101035825E-2</v>
      </c>
      <c r="AQ30" s="2005">
        <v>5766</v>
      </c>
      <c r="AR30" s="1119">
        <v>574</v>
      </c>
      <c r="AS30" s="1967">
        <f t="shared" si="32"/>
        <v>9.9549080818591748E-2</v>
      </c>
      <c r="AT30" s="2011">
        <v>5239</v>
      </c>
      <c r="AU30" s="2012">
        <v>519</v>
      </c>
      <c r="AV30" s="1995">
        <f t="shared" si="33"/>
        <v>9.9064707005153657E-2</v>
      </c>
      <c r="AW30" s="2005">
        <v>4986</v>
      </c>
      <c r="AX30" s="2015">
        <v>502</v>
      </c>
      <c r="AY30" s="1995">
        <f t="shared" si="34"/>
        <v>0.10068190934616927</v>
      </c>
      <c r="AZ30" s="2005">
        <v>4535</v>
      </c>
      <c r="BA30" s="2015">
        <v>451</v>
      </c>
      <c r="BB30" s="1995">
        <f t="shared" si="35"/>
        <v>9.9448732083792721E-2</v>
      </c>
      <c r="BC30" s="1999">
        <v>4408</v>
      </c>
      <c r="BD30" s="1251">
        <v>323</v>
      </c>
      <c r="BE30" s="1247">
        <f t="shared" si="36"/>
        <v>7.3275862068965511E-2</v>
      </c>
      <c r="BF30" s="1999">
        <v>4495</v>
      </c>
      <c r="BG30" s="1251">
        <v>234</v>
      </c>
      <c r="BH30" s="1247">
        <f t="shared" si="37"/>
        <v>5.2057842046718573E-2</v>
      </c>
    </row>
    <row r="31" spans="1:60" ht="12.75" customHeight="1" x14ac:dyDescent="0.3">
      <c r="A31" s="364" t="s">
        <v>70</v>
      </c>
      <c r="B31" s="366" t="s">
        <v>71</v>
      </c>
      <c r="C31" s="186" t="s">
        <v>252</v>
      </c>
      <c r="D31" s="1975">
        <v>11965</v>
      </c>
      <c r="E31" s="1976">
        <v>249</v>
      </c>
      <c r="F31" s="1977">
        <f t="shared" si="19"/>
        <v>2.0810697868783954E-2</v>
      </c>
      <c r="G31" s="1988">
        <v>11933</v>
      </c>
      <c r="H31" s="1989">
        <v>360</v>
      </c>
      <c r="I31" s="1964">
        <f t="shared" si="20"/>
        <v>3.0168440459230703E-2</v>
      </c>
      <c r="J31" s="1988">
        <v>12134</v>
      </c>
      <c r="K31" s="1989">
        <v>483</v>
      </c>
      <c r="L31" s="1995">
        <f t="shared" si="21"/>
        <v>3.9805505192022417E-2</v>
      </c>
      <c r="M31" s="1988">
        <v>12269</v>
      </c>
      <c r="N31" s="1989">
        <v>497</v>
      </c>
      <c r="O31" s="1995">
        <f t="shared" si="22"/>
        <v>4.0508598907816447E-2</v>
      </c>
      <c r="P31" s="1988">
        <v>12483</v>
      </c>
      <c r="Q31" s="1989">
        <v>475</v>
      </c>
      <c r="R31" s="1995">
        <f t="shared" si="23"/>
        <v>3.8051750380517502E-2</v>
      </c>
      <c r="S31" s="1988">
        <v>12673</v>
      </c>
      <c r="T31" s="1989">
        <v>517</v>
      </c>
      <c r="U31" s="1995">
        <f t="shared" si="24"/>
        <v>4.0795391777795315E-2</v>
      </c>
      <c r="V31" s="1988">
        <v>12786</v>
      </c>
      <c r="W31" s="1989">
        <v>402</v>
      </c>
      <c r="X31" s="1995">
        <f t="shared" si="25"/>
        <v>3.1440638198029093E-2</v>
      </c>
      <c r="Y31" s="1988">
        <v>12778</v>
      </c>
      <c r="Z31" s="1989">
        <v>443</v>
      </c>
      <c r="AA31" s="1995">
        <f t="shared" si="26"/>
        <v>3.4668962278916887E-2</v>
      </c>
      <c r="AB31" s="1988">
        <v>13205</v>
      </c>
      <c r="AC31" s="1989">
        <v>599</v>
      </c>
      <c r="AD31" s="1995">
        <f t="shared" si="27"/>
        <v>4.5361605452480122E-2</v>
      </c>
      <c r="AE31" s="1988">
        <v>13104</v>
      </c>
      <c r="AF31" s="1989">
        <v>1092</v>
      </c>
      <c r="AG31" s="1995">
        <f t="shared" si="28"/>
        <v>8.3333333333333329E-2</v>
      </c>
      <c r="AH31" s="1988">
        <v>13737</v>
      </c>
      <c r="AI31" s="1989">
        <v>1160</v>
      </c>
      <c r="AJ31" s="1995">
        <f t="shared" si="29"/>
        <v>8.4443473829802718E-2</v>
      </c>
      <c r="AK31" s="1984">
        <v>13806</v>
      </c>
      <c r="AL31" s="1985">
        <v>1059</v>
      </c>
      <c r="AM31" s="1995">
        <f t="shared" si="30"/>
        <v>7.6705780095610604E-2</v>
      </c>
      <c r="AN31" s="2005">
        <v>13887</v>
      </c>
      <c r="AO31" s="2006">
        <v>1005</v>
      </c>
      <c r="AP31" s="1967">
        <f t="shared" si="31"/>
        <v>7.2369842298552603E-2</v>
      </c>
      <c r="AQ31" s="2005">
        <v>14007</v>
      </c>
      <c r="AR31" s="1119">
        <v>960</v>
      </c>
      <c r="AS31" s="1967">
        <f t="shared" si="32"/>
        <v>6.8537159991432853E-2</v>
      </c>
      <c r="AT31" s="2011">
        <v>13659</v>
      </c>
      <c r="AU31" s="2012">
        <v>869</v>
      </c>
      <c r="AV31" s="1995">
        <f t="shared" si="33"/>
        <v>6.3621055714181127E-2</v>
      </c>
      <c r="AW31" s="2005">
        <v>13536</v>
      </c>
      <c r="AX31" s="2015">
        <v>723</v>
      </c>
      <c r="AY31" s="1995">
        <f t="shared" si="34"/>
        <v>5.3413120567375884E-2</v>
      </c>
      <c r="AZ31" s="2005">
        <v>13379</v>
      </c>
      <c r="BA31" s="2015">
        <v>646</v>
      </c>
      <c r="BB31" s="1995">
        <f t="shared" si="35"/>
        <v>4.8284625158831002E-2</v>
      </c>
      <c r="BC31" s="1999">
        <v>13588</v>
      </c>
      <c r="BD31" s="1251">
        <v>612</v>
      </c>
      <c r="BE31" s="1247">
        <f t="shared" si="36"/>
        <v>4.5039740947895202E-2</v>
      </c>
      <c r="BF31" s="1999">
        <v>13470</v>
      </c>
      <c r="BG31" s="1251">
        <v>473</v>
      </c>
      <c r="BH31" s="1247">
        <f t="shared" si="37"/>
        <v>3.5115070527097253E-2</v>
      </c>
    </row>
    <row r="32" spans="1:60" ht="12.75" customHeight="1" x14ac:dyDescent="0.3">
      <c r="A32" s="364" t="s">
        <v>72</v>
      </c>
      <c r="B32" s="366" t="s">
        <v>73</v>
      </c>
      <c r="C32" s="186" t="s">
        <v>254</v>
      </c>
      <c r="D32" s="1975">
        <v>5120</v>
      </c>
      <c r="E32" s="1976">
        <v>136</v>
      </c>
      <c r="F32" s="1977">
        <f t="shared" si="19"/>
        <v>2.6562499999999999E-2</v>
      </c>
      <c r="G32" s="1988">
        <v>5236</v>
      </c>
      <c r="H32" s="1989">
        <v>169</v>
      </c>
      <c r="I32" s="1964">
        <f t="shared" si="20"/>
        <v>3.2276546982429336E-2</v>
      </c>
      <c r="J32" s="1988">
        <v>5360</v>
      </c>
      <c r="K32" s="1989">
        <v>236</v>
      </c>
      <c r="L32" s="1995">
        <f t="shared" si="21"/>
        <v>4.4029850746268653E-2</v>
      </c>
      <c r="M32" s="1988">
        <v>5383</v>
      </c>
      <c r="N32" s="1989">
        <v>290</v>
      </c>
      <c r="O32" s="1995">
        <f t="shared" si="22"/>
        <v>5.3873304848597439E-2</v>
      </c>
      <c r="P32" s="1988">
        <v>5428</v>
      </c>
      <c r="Q32" s="1989">
        <v>228</v>
      </c>
      <c r="R32" s="1995">
        <f t="shared" si="23"/>
        <v>4.200442151805453E-2</v>
      </c>
      <c r="S32" s="1988">
        <v>5421</v>
      </c>
      <c r="T32" s="1989">
        <v>250</v>
      </c>
      <c r="U32" s="1995">
        <f t="shared" si="24"/>
        <v>4.6116952591772738E-2</v>
      </c>
      <c r="V32" s="1988">
        <v>5438</v>
      </c>
      <c r="W32" s="1989">
        <v>212</v>
      </c>
      <c r="X32" s="1995">
        <f t="shared" si="25"/>
        <v>3.8984920926811328E-2</v>
      </c>
      <c r="Y32" s="1988">
        <v>5465</v>
      </c>
      <c r="Z32" s="1989">
        <v>202</v>
      </c>
      <c r="AA32" s="1995">
        <f t="shared" si="26"/>
        <v>3.6962488563586457E-2</v>
      </c>
      <c r="AB32" s="1988">
        <v>5657</v>
      </c>
      <c r="AC32" s="1989">
        <v>294</v>
      </c>
      <c r="AD32" s="1995">
        <f t="shared" si="27"/>
        <v>5.197100936892346E-2</v>
      </c>
      <c r="AE32" s="1988">
        <v>5840</v>
      </c>
      <c r="AF32" s="1989">
        <v>489</v>
      </c>
      <c r="AG32" s="1995">
        <f t="shared" si="28"/>
        <v>8.3732876712328763E-2</v>
      </c>
      <c r="AH32" s="1988">
        <v>5714</v>
      </c>
      <c r="AI32" s="1989">
        <v>518</v>
      </c>
      <c r="AJ32" s="1995">
        <f t="shared" si="29"/>
        <v>9.065453272663633E-2</v>
      </c>
      <c r="AK32" s="1984">
        <v>5680</v>
      </c>
      <c r="AL32" s="1985">
        <v>467</v>
      </c>
      <c r="AM32" s="1995">
        <f t="shared" si="30"/>
        <v>8.2218309859154931E-2</v>
      </c>
      <c r="AN32" s="2005">
        <v>5649</v>
      </c>
      <c r="AO32" s="2006">
        <v>413</v>
      </c>
      <c r="AP32" s="1967">
        <f t="shared" si="31"/>
        <v>7.3110285006195791E-2</v>
      </c>
      <c r="AQ32" s="2005">
        <v>5595</v>
      </c>
      <c r="AR32" s="1119">
        <v>380</v>
      </c>
      <c r="AS32" s="1967">
        <f t="shared" si="32"/>
        <v>6.7917783735478104E-2</v>
      </c>
      <c r="AT32" s="2011">
        <v>5773</v>
      </c>
      <c r="AU32" s="2012">
        <v>367</v>
      </c>
      <c r="AV32" s="1995">
        <f t="shared" si="33"/>
        <v>6.3571799757491776E-2</v>
      </c>
      <c r="AW32" s="2005">
        <v>5535</v>
      </c>
      <c r="AX32" s="2015">
        <v>300</v>
      </c>
      <c r="AY32" s="1995">
        <f t="shared" si="34"/>
        <v>5.4200542005420058E-2</v>
      </c>
      <c r="AZ32" s="2005">
        <v>5516</v>
      </c>
      <c r="BA32" s="2015">
        <v>266</v>
      </c>
      <c r="BB32" s="1995">
        <f t="shared" si="35"/>
        <v>4.8223350253807105E-2</v>
      </c>
      <c r="BC32" s="1999">
        <v>5470</v>
      </c>
      <c r="BD32" s="1251">
        <v>274</v>
      </c>
      <c r="BE32" s="1247">
        <f t="shared" si="36"/>
        <v>5.0091407678244972E-2</v>
      </c>
      <c r="BF32" s="1999">
        <v>5493</v>
      </c>
      <c r="BG32" s="1251">
        <v>212</v>
      </c>
      <c r="BH32" s="1247">
        <f t="shared" si="37"/>
        <v>3.8594574913526303E-2</v>
      </c>
    </row>
    <row r="33" spans="1:60" ht="12.75" customHeight="1" x14ac:dyDescent="0.3">
      <c r="A33" s="364" t="s">
        <v>74</v>
      </c>
      <c r="B33" s="366" t="s">
        <v>510</v>
      </c>
      <c r="C33" s="186" t="s">
        <v>255</v>
      </c>
      <c r="D33" s="1978">
        <v>565973</v>
      </c>
      <c r="E33" s="1979">
        <v>9142</v>
      </c>
      <c r="F33" s="1977">
        <f t="shared" si="19"/>
        <v>1.6152713998724321E-2</v>
      </c>
      <c r="G33" s="1990">
        <v>572568</v>
      </c>
      <c r="H33" s="1991">
        <v>14355</v>
      </c>
      <c r="I33" s="1964">
        <f t="shared" si="20"/>
        <v>2.5071257911724022E-2</v>
      </c>
      <c r="J33" s="1990">
        <v>574214</v>
      </c>
      <c r="K33" s="1991">
        <v>19212</v>
      </c>
      <c r="L33" s="1995">
        <f t="shared" si="21"/>
        <v>3.3457909420529626E-2</v>
      </c>
      <c r="M33" s="1990">
        <v>573664</v>
      </c>
      <c r="N33" s="1991">
        <v>17595</v>
      </c>
      <c r="O33" s="1995">
        <f t="shared" si="22"/>
        <v>3.0671264015172645E-2</v>
      </c>
      <c r="P33" s="1990">
        <v>582657</v>
      </c>
      <c r="Q33" s="1991">
        <v>15719</v>
      </c>
      <c r="R33" s="1995">
        <f t="shared" si="23"/>
        <v>2.6978136364962577E-2</v>
      </c>
      <c r="S33" s="1990">
        <v>591220</v>
      </c>
      <c r="T33" s="1991">
        <v>15057</v>
      </c>
      <c r="U33" s="1995">
        <f t="shared" si="24"/>
        <v>2.5467677006867157E-2</v>
      </c>
      <c r="V33" s="1990">
        <v>598070</v>
      </c>
      <c r="W33" s="1991">
        <v>13219</v>
      </c>
      <c r="X33" s="1995">
        <f t="shared" si="25"/>
        <v>2.210276389051449E-2</v>
      </c>
      <c r="Y33" s="1990">
        <v>598971</v>
      </c>
      <c r="Z33" s="1991">
        <v>13237</v>
      </c>
      <c r="AA33" s="1995">
        <f t="shared" si="26"/>
        <v>2.2099567424800199E-2</v>
      </c>
      <c r="AB33" s="1990">
        <v>614911</v>
      </c>
      <c r="AC33" s="1991">
        <v>17636</v>
      </c>
      <c r="AD33" s="1995">
        <f t="shared" si="27"/>
        <v>2.8680573286215403E-2</v>
      </c>
      <c r="AE33" s="1990">
        <v>610668</v>
      </c>
      <c r="AF33" s="1991">
        <v>30457</v>
      </c>
      <c r="AG33" s="1995">
        <f t="shared" si="28"/>
        <v>4.9874891102857852E-2</v>
      </c>
      <c r="AH33" s="1990">
        <v>629231</v>
      </c>
      <c r="AI33" s="1991">
        <v>31750</v>
      </c>
      <c r="AJ33" s="1995">
        <f t="shared" si="29"/>
        <v>5.0458416702292161E-2</v>
      </c>
      <c r="AK33" s="1984">
        <v>639877</v>
      </c>
      <c r="AL33" s="1985">
        <v>29851</v>
      </c>
      <c r="AM33" s="1995">
        <f t="shared" si="30"/>
        <v>4.6651153268518791E-2</v>
      </c>
      <c r="AN33" s="2005">
        <v>644705</v>
      </c>
      <c r="AO33" s="2006">
        <v>28333</v>
      </c>
      <c r="AP33" s="1967">
        <f t="shared" si="31"/>
        <v>4.3947231679605403E-2</v>
      </c>
      <c r="AQ33" s="2005">
        <v>649660</v>
      </c>
      <c r="AR33" s="1119">
        <v>27614</v>
      </c>
      <c r="AS33" s="1967">
        <f t="shared" si="32"/>
        <v>4.2505310470092046E-2</v>
      </c>
      <c r="AT33" s="2011">
        <v>648711</v>
      </c>
      <c r="AU33" s="2012">
        <v>26437</v>
      </c>
      <c r="AV33" s="1995">
        <f t="shared" si="33"/>
        <v>4.0753124272595961E-2</v>
      </c>
      <c r="AW33" s="2005">
        <v>641447</v>
      </c>
      <c r="AX33" s="2015">
        <v>22754</v>
      </c>
      <c r="AY33" s="1995">
        <f t="shared" si="34"/>
        <v>3.5472922938294203E-2</v>
      </c>
      <c r="AZ33" s="2005">
        <v>642262</v>
      </c>
      <c r="BA33" s="2015">
        <v>20357</v>
      </c>
      <c r="BB33" s="1995">
        <f t="shared" si="35"/>
        <v>3.1695787700346589E-2</v>
      </c>
      <c r="BC33" s="1999">
        <v>651109</v>
      </c>
      <c r="BD33" s="1251">
        <v>19773</v>
      </c>
      <c r="BE33" s="1247">
        <f t="shared" si="36"/>
        <v>3.0368187200606963E-2</v>
      </c>
      <c r="BF33" s="1999">
        <v>651778</v>
      </c>
      <c r="BG33" s="1251">
        <v>15801</v>
      </c>
      <c r="BH33" s="1247">
        <f t="shared" si="37"/>
        <v>2.4242917066854053E-2</v>
      </c>
    </row>
    <row r="34" spans="1:60" ht="12.75" customHeight="1" x14ac:dyDescent="0.3">
      <c r="A34" s="364" t="s">
        <v>76</v>
      </c>
      <c r="B34" s="366" t="s">
        <v>77</v>
      </c>
      <c r="C34" s="186" t="s">
        <v>255</v>
      </c>
      <c r="D34" s="1975">
        <v>30037</v>
      </c>
      <c r="E34" s="1976">
        <v>462</v>
      </c>
      <c r="F34" s="1977">
        <f t="shared" si="19"/>
        <v>1.5381030062922395E-2</v>
      </c>
      <c r="G34" s="1988">
        <v>30955</v>
      </c>
      <c r="H34" s="1989">
        <v>662</v>
      </c>
      <c r="I34" s="1964">
        <f t="shared" si="20"/>
        <v>2.1385882732999517E-2</v>
      </c>
      <c r="J34" s="1988">
        <v>31987</v>
      </c>
      <c r="K34" s="1989">
        <v>983</v>
      </c>
      <c r="L34" s="1995">
        <f t="shared" si="21"/>
        <v>3.0731234564041643E-2</v>
      </c>
      <c r="M34" s="1988">
        <v>32802</v>
      </c>
      <c r="N34" s="1989">
        <v>1018</v>
      </c>
      <c r="O34" s="1995">
        <f t="shared" si="22"/>
        <v>3.1034693006523992E-2</v>
      </c>
      <c r="P34" s="1988">
        <v>34194</v>
      </c>
      <c r="Q34" s="1989">
        <v>938</v>
      </c>
      <c r="R34" s="1995">
        <f t="shared" si="23"/>
        <v>2.7431713166052522E-2</v>
      </c>
      <c r="S34" s="1988">
        <v>35643</v>
      </c>
      <c r="T34" s="1989">
        <v>940</v>
      </c>
      <c r="U34" s="1995">
        <f t="shared" si="24"/>
        <v>2.6372639789018881E-2</v>
      </c>
      <c r="V34" s="1988">
        <v>36601</v>
      </c>
      <c r="W34" s="1989">
        <v>887</v>
      </c>
      <c r="X34" s="1995">
        <f t="shared" si="25"/>
        <v>2.4234310537963443E-2</v>
      </c>
      <c r="Y34" s="1988">
        <v>36748</v>
      </c>
      <c r="Z34" s="1989">
        <v>927</v>
      </c>
      <c r="AA34" s="1995">
        <f t="shared" si="26"/>
        <v>2.522586263197997E-2</v>
      </c>
      <c r="AB34" s="1988">
        <v>37872</v>
      </c>
      <c r="AC34" s="1989">
        <v>1268</v>
      </c>
      <c r="AD34" s="1995">
        <f t="shared" si="27"/>
        <v>3.3481199831009716E-2</v>
      </c>
      <c r="AE34" s="1988">
        <v>37496</v>
      </c>
      <c r="AF34" s="1989">
        <v>2132</v>
      </c>
      <c r="AG34" s="1995">
        <f t="shared" si="28"/>
        <v>5.6859398335822486E-2</v>
      </c>
      <c r="AH34" s="1988">
        <v>35681</v>
      </c>
      <c r="AI34" s="1989">
        <v>2123</v>
      </c>
      <c r="AJ34" s="1995">
        <f t="shared" si="29"/>
        <v>5.949945349065329E-2</v>
      </c>
      <c r="AK34" s="1984">
        <v>35979</v>
      </c>
      <c r="AL34" s="1985">
        <v>1859</v>
      </c>
      <c r="AM34" s="1995">
        <f t="shared" si="30"/>
        <v>5.1669029155896495E-2</v>
      </c>
      <c r="AN34" s="2005">
        <v>35871</v>
      </c>
      <c r="AO34" s="2006">
        <v>1740</v>
      </c>
      <c r="AP34" s="1967">
        <f t="shared" si="31"/>
        <v>4.8507150623065987E-2</v>
      </c>
      <c r="AQ34" s="2005">
        <v>36114</v>
      </c>
      <c r="AR34" s="1119">
        <v>1669</v>
      </c>
      <c r="AS34" s="1967">
        <f t="shared" si="32"/>
        <v>4.6214764357312955E-2</v>
      </c>
      <c r="AT34" s="2011">
        <v>36018</v>
      </c>
      <c r="AU34" s="2012">
        <v>1625</v>
      </c>
      <c r="AV34" s="1995">
        <f t="shared" si="33"/>
        <v>4.5116330723527123E-2</v>
      </c>
      <c r="AW34" s="2005">
        <v>35985</v>
      </c>
      <c r="AX34" s="2015">
        <v>1414</v>
      </c>
      <c r="AY34" s="1995">
        <f t="shared" si="34"/>
        <v>3.9294150340419616E-2</v>
      </c>
      <c r="AZ34" s="2005">
        <v>35922</v>
      </c>
      <c r="BA34" s="2015">
        <v>1235</v>
      </c>
      <c r="BB34" s="1995">
        <f t="shared" si="35"/>
        <v>3.4380045654473584E-2</v>
      </c>
      <c r="BC34" s="1999">
        <v>36391</v>
      </c>
      <c r="BD34" s="1251">
        <v>1192</v>
      </c>
      <c r="BE34" s="1247">
        <f t="shared" si="36"/>
        <v>3.2755351597922561E-2</v>
      </c>
      <c r="BF34" s="1999">
        <v>36319</v>
      </c>
      <c r="BG34" s="1251">
        <v>944</v>
      </c>
      <c r="BH34" s="1247">
        <f t="shared" si="37"/>
        <v>2.5991905063465402E-2</v>
      </c>
    </row>
    <row r="35" spans="1:60" ht="12.75" customHeight="1" x14ac:dyDescent="0.3">
      <c r="A35" s="364" t="s">
        <v>78</v>
      </c>
      <c r="B35" s="366" t="s">
        <v>79</v>
      </c>
      <c r="C35" s="186" t="s">
        <v>256</v>
      </c>
      <c r="D35" s="1975">
        <v>6934</v>
      </c>
      <c r="E35" s="1976">
        <v>256</v>
      </c>
      <c r="F35" s="1977">
        <f t="shared" si="19"/>
        <v>3.6919526968560712E-2</v>
      </c>
      <c r="G35" s="1988">
        <v>6827</v>
      </c>
      <c r="H35" s="1989">
        <v>292</v>
      </c>
      <c r="I35" s="1964">
        <f t="shared" si="20"/>
        <v>4.2771349055221911E-2</v>
      </c>
      <c r="J35" s="1988">
        <v>6797</v>
      </c>
      <c r="K35" s="1989">
        <v>297</v>
      </c>
      <c r="L35" s="1995">
        <f t="shared" si="21"/>
        <v>4.3695748124172429E-2</v>
      </c>
      <c r="M35" s="1988">
        <v>7364</v>
      </c>
      <c r="N35" s="1989">
        <v>296</v>
      </c>
      <c r="O35" s="1995">
        <f t="shared" si="22"/>
        <v>4.0195545898967955E-2</v>
      </c>
      <c r="P35" s="1988">
        <v>6996</v>
      </c>
      <c r="Q35" s="1989">
        <v>280</v>
      </c>
      <c r="R35" s="1995">
        <f t="shared" si="23"/>
        <v>4.0022870211549454E-2</v>
      </c>
      <c r="S35" s="1988">
        <v>7138</v>
      </c>
      <c r="T35" s="1989">
        <v>261</v>
      </c>
      <c r="U35" s="1995">
        <f t="shared" si="24"/>
        <v>3.6564864107593166E-2</v>
      </c>
      <c r="V35" s="1988">
        <v>7007</v>
      </c>
      <c r="W35" s="1989">
        <v>227</v>
      </c>
      <c r="X35" s="1995">
        <f t="shared" si="25"/>
        <v>3.2396175253318109E-2</v>
      </c>
      <c r="Y35" s="1988">
        <v>7072</v>
      </c>
      <c r="Z35" s="1989">
        <v>248</v>
      </c>
      <c r="AA35" s="1995">
        <f t="shared" si="26"/>
        <v>3.5067873303167421E-2</v>
      </c>
      <c r="AB35" s="1988">
        <v>7170</v>
      </c>
      <c r="AC35" s="1989">
        <v>317</v>
      </c>
      <c r="AD35" s="1995">
        <f t="shared" si="27"/>
        <v>4.4211994421199441E-2</v>
      </c>
      <c r="AE35" s="1988">
        <v>7361</v>
      </c>
      <c r="AF35" s="1989">
        <v>584</v>
      </c>
      <c r="AG35" s="1995">
        <f t="shared" si="28"/>
        <v>7.9337046596929764E-2</v>
      </c>
      <c r="AH35" s="1988">
        <v>7300</v>
      </c>
      <c r="AI35" s="1989">
        <v>560</v>
      </c>
      <c r="AJ35" s="1995">
        <f t="shared" si="29"/>
        <v>7.6712328767123292E-2</v>
      </c>
      <c r="AK35" s="1984">
        <v>7430</v>
      </c>
      <c r="AL35" s="1985">
        <v>525</v>
      </c>
      <c r="AM35" s="1995">
        <f t="shared" si="30"/>
        <v>7.0659488559892333E-2</v>
      </c>
      <c r="AN35" s="2005">
        <v>7402</v>
      </c>
      <c r="AO35" s="2006">
        <v>470</v>
      </c>
      <c r="AP35" s="1967">
        <f t="shared" si="31"/>
        <v>6.3496352337206158E-2</v>
      </c>
      <c r="AQ35" s="2005">
        <v>7380</v>
      </c>
      <c r="AR35" s="1119">
        <v>452</v>
      </c>
      <c r="AS35" s="1967">
        <f t="shared" si="32"/>
        <v>6.1246612466124659E-2</v>
      </c>
      <c r="AT35" s="2011">
        <v>8433</v>
      </c>
      <c r="AU35" s="2012">
        <v>387</v>
      </c>
      <c r="AV35" s="1995">
        <f t="shared" si="33"/>
        <v>4.5891141942369262E-2</v>
      </c>
      <c r="AW35" s="2005">
        <v>8340</v>
      </c>
      <c r="AX35" s="2015">
        <v>332</v>
      </c>
      <c r="AY35" s="1995">
        <f t="shared" si="34"/>
        <v>3.9808153477218222E-2</v>
      </c>
      <c r="AZ35" s="2005">
        <v>8226</v>
      </c>
      <c r="BA35" s="2015">
        <v>326</v>
      </c>
      <c r="BB35" s="1995">
        <f t="shared" si="35"/>
        <v>3.9630440068076832E-2</v>
      </c>
      <c r="BC35" s="1999">
        <v>8093</v>
      </c>
      <c r="BD35" s="1251">
        <v>299</v>
      </c>
      <c r="BE35" s="1247">
        <f t="shared" si="36"/>
        <v>3.6945508464104784E-2</v>
      </c>
      <c r="BF35" s="1999">
        <v>8105</v>
      </c>
      <c r="BG35" s="1251">
        <v>221</v>
      </c>
      <c r="BH35" s="1247">
        <f t="shared" si="37"/>
        <v>2.7267119062307218E-2</v>
      </c>
    </row>
    <row r="36" spans="1:60" ht="12.75" customHeight="1" x14ac:dyDescent="0.3">
      <c r="A36" s="364" t="s">
        <v>80</v>
      </c>
      <c r="B36" s="366" t="s">
        <v>81</v>
      </c>
      <c r="C36" s="186" t="s">
        <v>254</v>
      </c>
      <c r="D36" s="1975">
        <v>10166</v>
      </c>
      <c r="E36" s="1976">
        <v>200</v>
      </c>
      <c r="F36" s="1977">
        <f t="shared" si="19"/>
        <v>1.9673421207948062E-2</v>
      </c>
      <c r="G36" s="1988">
        <v>10597</v>
      </c>
      <c r="H36" s="1989">
        <v>263</v>
      </c>
      <c r="I36" s="1964">
        <f t="shared" si="20"/>
        <v>2.481834481457016E-2</v>
      </c>
      <c r="J36" s="1988">
        <v>11290</v>
      </c>
      <c r="K36" s="1989">
        <v>361</v>
      </c>
      <c r="L36" s="1995">
        <f t="shared" si="21"/>
        <v>3.1975199291408324E-2</v>
      </c>
      <c r="M36" s="1988">
        <v>11817</v>
      </c>
      <c r="N36" s="1989">
        <v>404</v>
      </c>
      <c r="O36" s="1995">
        <f t="shared" si="22"/>
        <v>3.4188034188034191E-2</v>
      </c>
      <c r="P36" s="1988">
        <v>12242</v>
      </c>
      <c r="Q36" s="1989">
        <v>371</v>
      </c>
      <c r="R36" s="1995">
        <f t="shared" si="23"/>
        <v>3.0305505636333933E-2</v>
      </c>
      <c r="S36" s="1988">
        <v>12875</v>
      </c>
      <c r="T36" s="1989">
        <v>389</v>
      </c>
      <c r="U36" s="1995">
        <f t="shared" si="24"/>
        <v>3.021359223300971E-2</v>
      </c>
      <c r="V36" s="1988">
        <v>13403</v>
      </c>
      <c r="W36" s="1989">
        <v>315</v>
      </c>
      <c r="X36" s="1995">
        <f t="shared" si="25"/>
        <v>2.3502200999776169E-2</v>
      </c>
      <c r="Y36" s="1988">
        <v>13731</v>
      </c>
      <c r="Z36" s="1989">
        <v>327</v>
      </c>
      <c r="AA36" s="1995">
        <f t="shared" si="26"/>
        <v>2.3814725802927681E-2</v>
      </c>
      <c r="AB36" s="1988">
        <v>14179</v>
      </c>
      <c r="AC36" s="1989">
        <v>469</v>
      </c>
      <c r="AD36" s="1995">
        <f t="shared" si="27"/>
        <v>3.3077085831158759E-2</v>
      </c>
      <c r="AE36" s="1988">
        <v>14027</v>
      </c>
      <c r="AF36" s="1989">
        <v>835</v>
      </c>
      <c r="AG36" s="1995">
        <f t="shared" si="28"/>
        <v>5.9528053040564625E-2</v>
      </c>
      <c r="AH36" s="1988">
        <v>13677</v>
      </c>
      <c r="AI36" s="1989">
        <v>812</v>
      </c>
      <c r="AJ36" s="1995">
        <f t="shared" si="29"/>
        <v>5.9369744827081961E-2</v>
      </c>
      <c r="AK36" s="1984">
        <v>14038</v>
      </c>
      <c r="AL36" s="1985">
        <v>760</v>
      </c>
      <c r="AM36" s="1995">
        <f t="shared" si="30"/>
        <v>5.4138766206012254E-2</v>
      </c>
      <c r="AN36" s="2005">
        <v>13899</v>
      </c>
      <c r="AO36" s="2006">
        <v>667</v>
      </c>
      <c r="AP36" s="1967">
        <f t="shared" si="31"/>
        <v>4.7989063961436075E-2</v>
      </c>
      <c r="AQ36" s="2005">
        <v>13987</v>
      </c>
      <c r="AR36" s="1119">
        <v>614</v>
      </c>
      <c r="AS36" s="1967">
        <f t="shared" si="32"/>
        <v>4.3897905197683565E-2</v>
      </c>
      <c r="AT36" s="2011">
        <v>13402</v>
      </c>
      <c r="AU36" s="2012">
        <v>572</v>
      </c>
      <c r="AV36" s="1995">
        <f t="shared" si="33"/>
        <v>4.2680196985524547E-2</v>
      </c>
      <c r="AW36" s="2005">
        <v>13353</v>
      </c>
      <c r="AX36" s="2015">
        <v>498</v>
      </c>
      <c r="AY36" s="1995">
        <f t="shared" si="34"/>
        <v>3.7294989889912381E-2</v>
      </c>
      <c r="AZ36" s="2005">
        <v>13223</v>
      </c>
      <c r="BA36" s="2015">
        <v>440</v>
      </c>
      <c r="BB36" s="1995">
        <f t="shared" si="35"/>
        <v>3.3275353550631478E-2</v>
      </c>
      <c r="BC36" s="1999">
        <v>13519</v>
      </c>
      <c r="BD36" s="1251">
        <v>413</v>
      </c>
      <c r="BE36" s="1247">
        <f t="shared" si="36"/>
        <v>3.054959686367335E-2</v>
      </c>
      <c r="BF36" s="1999">
        <v>13553</v>
      </c>
      <c r="BG36" s="1251">
        <v>339</v>
      </c>
      <c r="BH36" s="1247">
        <f t="shared" si="37"/>
        <v>2.5012912270346049E-2</v>
      </c>
    </row>
    <row r="37" spans="1:60" ht="12.75" customHeight="1" x14ac:dyDescent="0.3">
      <c r="A37" s="364" t="s">
        <v>84</v>
      </c>
      <c r="B37" s="366" t="s">
        <v>296</v>
      </c>
      <c r="C37" s="186" t="s">
        <v>253</v>
      </c>
      <c r="D37" s="1975">
        <v>24227</v>
      </c>
      <c r="E37" s="1976">
        <v>719</v>
      </c>
      <c r="F37" s="1977">
        <f t="shared" ref="F37:F68" si="38">E37/D37</f>
        <v>2.9677632393610435E-2</v>
      </c>
      <c r="G37" s="1988">
        <v>24832</v>
      </c>
      <c r="H37" s="1989">
        <v>999</v>
      </c>
      <c r="I37" s="1964">
        <f t="shared" ref="I37:I68" si="39">H37/G37</f>
        <v>4.0230347938144333E-2</v>
      </c>
      <c r="J37" s="1988">
        <v>25624</v>
      </c>
      <c r="K37" s="1989">
        <v>1329</v>
      </c>
      <c r="L37" s="1995">
        <f t="shared" ref="L37:L68" si="40">K37/J37</f>
        <v>5.1865438651264438E-2</v>
      </c>
      <c r="M37" s="1988">
        <v>25164</v>
      </c>
      <c r="N37" s="1989">
        <v>1117</v>
      </c>
      <c r="O37" s="1995">
        <f t="shared" ref="O37:O68" si="41">N37/M37</f>
        <v>4.438880941026864E-2</v>
      </c>
      <c r="P37" s="1988">
        <v>25088</v>
      </c>
      <c r="Q37" s="1989">
        <v>965</v>
      </c>
      <c r="R37" s="1995">
        <f t="shared" ref="R37:R68" si="42">Q37/P37</f>
        <v>3.8464604591836732E-2</v>
      </c>
      <c r="S37" s="1988">
        <v>25498</v>
      </c>
      <c r="T37" s="1989">
        <v>918</v>
      </c>
      <c r="U37" s="1995">
        <f t="shared" ref="U37:U68" si="43">T37/S37</f>
        <v>3.6002823750882422E-2</v>
      </c>
      <c r="V37" s="1988">
        <v>26045</v>
      </c>
      <c r="W37" s="1989">
        <v>822</v>
      </c>
      <c r="X37" s="1995">
        <f t="shared" ref="X37:X68" si="44">W37/V37</f>
        <v>3.1560760222691497E-2</v>
      </c>
      <c r="Y37" s="1988">
        <v>26260</v>
      </c>
      <c r="Z37" s="1989">
        <v>881</v>
      </c>
      <c r="AA37" s="1995">
        <f t="shared" ref="AA37:AA68" si="45">Z37/Y37</f>
        <v>3.3549124143183548E-2</v>
      </c>
      <c r="AB37" s="1988">
        <v>27127</v>
      </c>
      <c r="AC37" s="1989">
        <v>1297</v>
      </c>
      <c r="AD37" s="1995">
        <f t="shared" ref="AD37:AD68" si="46">AC37/AB37</f>
        <v>4.7812142883474032E-2</v>
      </c>
      <c r="AE37" s="1988">
        <v>26902</v>
      </c>
      <c r="AF37" s="1989">
        <v>2288</v>
      </c>
      <c r="AG37" s="1995">
        <f t="shared" ref="AG37:AG68" si="47">AF37/AE37</f>
        <v>8.5049438703442129E-2</v>
      </c>
      <c r="AH37" s="1988">
        <v>28191</v>
      </c>
      <c r="AI37" s="1989">
        <v>2257</v>
      </c>
      <c r="AJ37" s="1995">
        <f t="shared" ref="AJ37:AJ68" si="48">AI37/AH37</f>
        <v>8.0061012379837537E-2</v>
      </c>
      <c r="AK37" s="1984">
        <v>28465</v>
      </c>
      <c r="AL37" s="1985">
        <v>1936</v>
      </c>
      <c r="AM37" s="1995">
        <f t="shared" ref="AM37:AM68" si="49">AL37/AK37</f>
        <v>6.8013349727735817E-2</v>
      </c>
      <c r="AN37" s="2005">
        <v>28269</v>
      </c>
      <c r="AO37" s="2006">
        <v>1701</v>
      </c>
      <c r="AP37" s="1967">
        <f t="shared" ref="AP37:AP68" si="50">AO37/AN37</f>
        <v>6.0171919770773637E-2</v>
      </c>
      <c r="AQ37" s="2005">
        <v>28262</v>
      </c>
      <c r="AR37" s="1119">
        <v>1548</v>
      </c>
      <c r="AS37" s="1967">
        <f t="shared" ref="AS37:AS68" si="51">AR37/AQ37</f>
        <v>5.4773193687637112E-2</v>
      </c>
      <c r="AT37" s="2011">
        <v>27446</v>
      </c>
      <c r="AU37" s="2012">
        <v>1454</v>
      </c>
      <c r="AV37" s="1995">
        <f t="shared" ref="AV37:AV68" si="52">AU37/AT37</f>
        <v>5.297675435400423E-2</v>
      </c>
      <c r="AW37" s="2005">
        <v>26923</v>
      </c>
      <c r="AX37" s="2015">
        <v>1249</v>
      </c>
      <c r="AY37" s="1995">
        <f t="shared" ref="AY37:AY68" si="53">AX37/AW37</f>
        <v>4.6391561118746052E-2</v>
      </c>
      <c r="AZ37" s="2005">
        <v>26435</v>
      </c>
      <c r="BA37" s="2015">
        <v>1126</v>
      </c>
      <c r="BB37" s="1995">
        <f t="shared" ref="BB37:BB68" si="54">BA37/AZ37</f>
        <v>4.2595044448647625E-2</v>
      </c>
      <c r="BC37" s="1999">
        <v>26196</v>
      </c>
      <c r="BD37" s="1251">
        <v>1039</v>
      </c>
      <c r="BE37" s="1247">
        <f t="shared" ref="BE37:BE68" si="55">BD37/BC37</f>
        <v>3.9662543899832037E-2</v>
      </c>
      <c r="BF37" s="1999">
        <v>26271</v>
      </c>
      <c r="BG37" s="1251">
        <v>807</v>
      </c>
      <c r="BH37" s="1247">
        <f t="shared" ref="BH37:BH68" si="56">BG37/BF37</f>
        <v>3.0718282516843668E-2</v>
      </c>
    </row>
    <row r="38" spans="1:60" ht="12.75" customHeight="1" x14ac:dyDescent="0.3">
      <c r="A38" s="364" t="s">
        <v>86</v>
      </c>
      <c r="B38" s="366" t="s">
        <v>87</v>
      </c>
      <c r="C38" s="186" t="s">
        <v>255</v>
      </c>
      <c r="D38" s="1975">
        <v>32723</v>
      </c>
      <c r="E38" s="1976">
        <v>662</v>
      </c>
      <c r="F38" s="1977">
        <f t="shared" si="38"/>
        <v>2.0230418971365707E-2</v>
      </c>
      <c r="G38" s="1988">
        <v>33474</v>
      </c>
      <c r="H38" s="1989">
        <v>935</v>
      </c>
      <c r="I38" s="1964">
        <f t="shared" si="39"/>
        <v>2.7932126426480252E-2</v>
      </c>
      <c r="J38" s="1988">
        <v>34743</v>
      </c>
      <c r="K38" s="1989">
        <v>1199</v>
      </c>
      <c r="L38" s="1995">
        <f t="shared" si="40"/>
        <v>3.4510548887545692E-2</v>
      </c>
      <c r="M38" s="1988">
        <v>36498</v>
      </c>
      <c r="N38" s="1989">
        <v>1321</v>
      </c>
      <c r="O38" s="1995">
        <f t="shared" si="41"/>
        <v>3.6193764041865306E-2</v>
      </c>
      <c r="P38" s="1988">
        <v>37560</v>
      </c>
      <c r="Q38" s="1989">
        <v>1119</v>
      </c>
      <c r="R38" s="1995">
        <f t="shared" si="42"/>
        <v>2.9792332268370608E-2</v>
      </c>
      <c r="S38" s="1988">
        <v>38532</v>
      </c>
      <c r="T38" s="1989">
        <v>1074</v>
      </c>
      <c r="U38" s="1995">
        <f t="shared" si="43"/>
        <v>2.787293677981937E-2</v>
      </c>
      <c r="V38" s="1988">
        <v>40617</v>
      </c>
      <c r="W38" s="1989">
        <v>1067</v>
      </c>
      <c r="X38" s="1995">
        <f t="shared" si="44"/>
        <v>2.6269788512199327E-2</v>
      </c>
      <c r="Y38" s="1988">
        <v>40921</v>
      </c>
      <c r="Z38" s="1989">
        <v>1220</v>
      </c>
      <c r="AA38" s="1995">
        <f t="shared" si="45"/>
        <v>2.9813543168544267E-2</v>
      </c>
      <c r="AB38" s="1988">
        <v>41506</v>
      </c>
      <c r="AC38" s="1989">
        <v>1742</v>
      </c>
      <c r="AD38" s="1995">
        <f t="shared" si="46"/>
        <v>4.1969835686406783E-2</v>
      </c>
      <c r="AE38" s="1988">
        <v>41036</v>
      </c>
      <c r="AF38" s="1989">
        <v>3213</v>
      </c>
      <c r="AG38" s="1995">
        <f t="shared" si="47"/>
        <v>7.8297104980992294E-2</v>
      </c>
      <c r="AH38" s="1988">
        <v>41876</v>
      </c>
      <c r="AI38" s="1989">
        <v>3026</v>
      </c>
      <c r="AJ38" s="1995">
        <f t="shared" si="48"/>
        <v>7.2260960932276241E-2</v>
      </c>
      <c r="AK38" s="1984">
        <v>43340</v>
      </c>
      <c r="AL38" s="1985">
        <v>2747</v>
      </c>
      <c r="AM38" s="1995">
        <f t="shared" si="49"/>
        <v>6.3382556529764655E-2</v>
      </c>
      <c r="AN38" s="2005">
        <v>43688</v>
      </c>
      <c r="AO38" s="2006">
        <v>2445</v>
      </c>
      <c r="AP38" s="1967">
        <f t="shared" si="50"/>
        <v>5.5965024720747117E-2</v>
      </c>
      <c r="AQ38" s="2005">
        <v>44395</v>
      </c>
      <c r="AR38" s="1119">
        <v>2227</v>
      </c>
      <c r="AS38" s="1967">
        <f t="shared" si="51"/>
        <v>5.0163306678680034E-2</v>
      </c>
      <c r="AT38" s="2011">
        <v>44689</v>
      </c>
      <c r="AU38" s="2012">
        <v>2079</v>
      </c>
      <c r="AV38" s="1995">
        <f t="shared" si="52"/>
        <v>4.6521515361722124E-2</v>
      </c>
      <c r="AW38" s="2005">
        <v>44758</v>
      </c>
      <c r="AX38" s="2015">
        <v>1773</v>
      </c>
      <c r="AY38" s="1995">
        <f t="shared" si="53"/>
        <v>3.961303007283614E-2</v>
      </c>
      <c r="AZ38" s="2005">
        <v>44971</v>
      </c>
      <c r="BA38" s="2015">
        <v>1556</v>
      </c>
      <c r="BB38" s="1995">
        <f t="shared" si="54"/>
        <v>3.4600075604278316E-2</v>
      </c>
      <c r="BC38" s="1999">
        <v>46296</v>
      </c>
      <c r="BD38" s="1251">
        <v>1478</v>
      </c>
      <c r="BE38" s="1247">
        <f t="shared" si="55"/>
        <v>3.192500432002765E-2</v>
      </c>
      <c r="BF38" s="1999">
        <v>46803</v>
      </c>
      <c r="BG38" s="1251">
        <v>1212</v>
      </c>
      <c r="BH38" s="1247">
        <f t="shared" si="56"/>
        <v>2.5895775911800527E-2</v>
      </c>
    </row>
    <row r="39" spans="1:60" ht="12.75" customHeight="1" x14ac:dyDescent="0.3">
      <c r="A39" s="364" t="s">
        <v>92</v>
      </c>
      <c r="B39" s="366" t="s">
        <v>93</v>
      </c>
      <c r="C39" s="186" t="s">
        <v>256</v>
      </c>
      <c r="D39" s="1975">
        <v>7750</v>
      </c>
      <c r="E39" s="1976">
        <v>326</v>
      </c>
      <c r="F39" s="1977">
        <f t="shared" si="38"/>
        <v>4.206451612903226E-2</v>
      </c>
      <c r="G39" s="1988">
        <v>7883</v>
      </c>
      <c r="H39" s="1989">
        <v>446</v>
      </c>
      <c r="I39" s="1964">
        <f t="shared" si="39"/>
        <v>5.6577445135100851E-2</v>
      </c>
      <c r="J39" s="1988">
        <v>8053</v>
      </c>
      <c r="K39" s="1989">
        <v>483</v>
      </c>
      <c r="L39" s="1995">
        <f t="shared" si="40"/>
        <v>5.9977648081460326E-2</v>
      </c>
      <c r="M39" s="1988">
        <v>8294</v>
      </c>
      <c r="N39" s="1989">
        <v>446</v>
      </c>
      <c r="O39" s="1995">
        <f t="shared" si="41"/>
        <v>5.3773812394502046E-2</v>
      </c>
      <c r="P39" s="1988">
        <v>8285</v>
      </c>
      <c r="Q39" s="1989">
        <v>413</v>
      </c>
      <c r="R39" s="1995">
        <f t="shared" si="42"/>
        <v>4.9849124924562463E-2</v>
      </c>
      <c r="S39" s="1988">
        <v>8402</v>
      </c>
      <c r="T39" s="1989">
        <v>426</v>
      </c>
      <c r="U39" s="1995">
        <f t="shared" si="43"/>
        <v>5.0702213758628899E-2</v>
      </c>
      <c r="V39" s="1988">
        <v>8490</v>
      </c>
      <c r="W39" s="1989">
        <v>314</v>
      </c>
      <c r="X39" s="1995">
        <f t="shared" si="44"/>
        <v>3.6984687868080096E-2</v>
      </c>
      <c r="Y39" s="1988">
        <v>8105</v>
      </c>
      <c r="Z39" s="1989">
        <v>367</v>
      </c>
      <c r="AA39" s="1995">
        <f t="shared" si="45"/>
        <v>4.5280690931523752E-2</v>
      </c>
      <c r="AB39" s="1988">
        <v>8384</v>
      </c>
      <c r="AC39" s="1989">
        <v>452</v>
      </c>
      <c r="AD39" s="1995">
        <f t="shared" si="46"/>
        <v>5.3912213740458015E-2</v>
      </c>
      <c r="AE39" s="1988">
        <v>8366</v>
      </c>
      <c r="AF39" s="1989">
        <v>793</v>
      </c>
      <c r="AG39" s="1995">
        <f t="shared" si="47"/>
        <v>9.4788429356920875E-2</v>
      </c>
      <c r="AH39" s="1988">
        <v>8118</v>
      </c>
      <c r="AI39" s="1989">
        <v>793</v>
      </c>
      <c r="AJ39" s="1995">
        <f t="shared" si="48"/>
        <v>9.7684158659768414E-2</v>
      </c>
      <c r="AK39" s="1984">
        <v>8142</v>
      </c>
      <c r="AL39" s="1985">
        <v>632</v>
      </c>
      <c r="AM39" s="1995">
        <f t="shared" si="49"/>
        <v>7.7622205846229433E-2</v>
      </c>
      <c r="AN39" s="2005">
        <v>8082</v>
      </c>
      <c r="AO39" s="2006">
        <v>570</v>
      </c>
      <c r="AP39" s="1967">
        <f t="shared" si="50"/>
        <v>7.052709725315516E-2</v>
      </c>
      <c r="AQ39" s="2005">
        <v>8213</v>
      </c>
      <c r="AR39" s="1119">
        <v>549</v>
      </c>
      <c r="AS39" s="1967">
        <f t="shared" si="51"/>
        <v>6.6845245342749299E-2</v>
      </c>
      <c r="AT39" s="2011">
        <v>8273</v>
      </c>
      <c r="AU39" s="2012">
        <v>499</v>
      </c>
      <c r="AV39" s="1995">
        <f t="shared" si="52"/>
        <v>6.0316692856279462E-2</v>
      </c>
      <c r="AW39" s="2005">
        <v>8069</v>
      </c>
      <c r="AX39" s="2015">
        <v>413</v>
      </c>
      <c r="AY39" s="1995">
        <f t="shared" si="53"/>
        <v>5.1183541950675426E-2</v>
      </c>
      <c r="AZ39" s="2005">
        <v>7956</v>
      </c>
      <c r="BA39" s="2015">
        <v>422</v>
      </c>
      <c r="BB39" s="1995">
        <f t="shared" si="54"/>
        <v>5.3041729512317747E-2</v>
      </c>
      <c r="BC39" s="1999">
        <v>7903</v>
      </c>
      <c r="BD39" s="1251">
        <v>373</v>
      </c>
      <c r="BE39" s="1247">
        <f t="shared" si="55"/>
        <v>4.7197266860685816E-2</v>
      </c>
      <c r="BF39" s="1999">
        <v>7845</v>
      </c>
      <c r="BG39" s="1251">
        <v>261</v>
      </c>
      <c r="BH39" s="1247">
        <f t="shared" si="56"/>
        <v>3.3269598470363287E-2</v>
      </c>
    </row>
    <row r="40" spans="1:60" ht="12.75" customHeight="1" x14ac:dyDescent="0.3">
      <c r="A40" s="364" t="s">
        <v>94</v>
      </c>
      <c r="B40" s="366" t="s">
        <v>95</v>
      </c>
      <c r="C40" s="186" t="s">
        <v>252</v>
      </c>
      <c r="D40" s="1975">
        <v>17489</v>
      </c>
      <c r="E40" s="1976">
        <v>336</v>
      </c>
      <c r="F40" s="1977">
        <f t="shared" si="38"/>
        <v>1.9212076162159072E-2</v>
      </c>
      <c r="G40" s="1988">
        <v>18048</v>
      </c>
      <c r="H40" s="1989">
        <v>441</v>
      </c>
      <c r="I40" s="1964">
        <f t="shared" si="39"/>
        <v>2.4434840425531915E-2</v>
      </c>
      <c r="J40" s="1988">
        <v>18682</v>
      </c>
      <c r="K40" s="1989">
        <v>589</v>
      </c>
      <c r="L40" s="1995">
        <f t="shared" si="40"/>
        <v>3.1527673696606362E-2</v>
      </c>
      <c r="M40" s="1988">
        <v>19096</v>
      </c>
      <c r="N40" s="1989">
        <v>605</v>
      </c>
      <c r="O40" s="1995">
        <f t="shared" si="41"/>
        <v>3.1682027649769587E-2</v>
      </c>
      <c r="P40" s="1988">
        <v>19403</v>
      </c>
      <c r="Q40" s="1989">
        <v>589</v>
      </c>
      <c r="R40" s="1995">
        <f t="shared" si="42"/>
        <v>3.0356130495284236E-2</v>
      </c>
      <c r="S40" s="1988">
        <v>19926</v>
      </c>
      <c r="T40" s="1989">
        <v>609</v>
      </c>
      <c r="U40" s="1995">
        <f t="shared" si="43"/>
        <v>3.0563083408611864E-2</v>
      </c>
      <c r="V40" s="1988">
        <v>20375</v>
      </c>
      <c r="W40" s="1989">
        <v>533</v>
      </c>
      <c r="X40" s="1995">
        <f t="shared" si="44"/>
        <v>2.6159509202453989E-2</v>
      </c>
      <c r="Y40" s="1988">
        <v>20448</v>
      </c>
      <c r="Z40" s="1989">
        <v>511</v>
      </c>
      <c r="AA40" s="1995">
        <f t="shared" si="45"/>
        <v>2.4990219092331768E-2</v>
      </c>
      <c r="AB40" s="1988">
        <v>21091</v>
      </c>
      <c r="AC40" s="1989">
        <v>734</v>
      </c>
      <c r="AD40" s="1995">
        <f t="shared" si="46"/>
        <v>3.4801574131145985E-2</v>
      </c>
      <c r="AE40" s="1988">
        <v>20885</v>
      </c>
      <c r="AF40" s="1989">
        <v>1304</v>
      </c>
      <c r="AG40" s="1995">
        <f t="shared" si="47"/>
        <v>6.2437155853483362E-2</v>
      </c>
      <c r="AH40" s="1988">
        <v>19729</v>
      </c>
      <c r="AI40" s="1989">
        <v>1346</v>
      </c>
      <c r="AJ40" s="1995">
        <f t="shared" si="48"/>
        <v>6.8224441177961379E-2</v>
      </c>
      <c r="AK40" s="1984">
        <v>19783</v>
      </c>
      <c r="AL40" s="1985">
        <v>1198</v>
      </c>
      <c r="AM40" s="1995">
        <f t="shared" si="49"/>
        <v>6.0557043926603653E-2</v>
      </c>
      <c r="AN40" s="2005">
        <v>19613</v>
      </c>
      <c r="AO40" s="2006">
        <v>1081</v>
      </c>
      <c r="AP40" s="1967">
        <f t="shared" si="50"/>
        <v>5.5116504359353488E-2</v>
      </c>
      <c r="AQ40" s="2005">
        <v>19733</v>
      </c>
      <c r="AR40" s="1119">
        <v>1015</v>
      </c>
      <c r="AS40" s="1967">
        <f t="shared" si="51"/>
        <v>5.1436679673643133E-2</v>
      </c>
      <c r="AT40" s="2011">
        <v>19392</v>
      </c>
      <c r="AU40" s="2012">
        <v>940</v>
      </c>
      <c r="AV40" s="1995">
        <f t="shared" si="52"/>
        <v>4.847359735973597E-2</v>
      </c>
      <c r="AW40" s="2005">
        <v>19306</v>
      </c>
      <c r="AX40" s="2015">
        <v>786</v>
      </c>
      <c r="AY40" s="1995">
        <f t="shared" si="53"/>
        <v>4.0712731793224904E-2</v>
      </c>
      <c r="AZ40" s="2005">
        <v>19019</v>
      </c>
      <c r="BA40" s="2015">
        <v>695</v>
      </c>
      <c r="BB40" s="1995">
        <f t="shared" si="54"/>
        <v>3.6542404963457592E-2</v>
      </c>
      <c r="BC40" s="1999">
        <v>19304</v>
      </c>
      <c r="BD40" s="1251">
        <v>649</v>
      </c>
      <c r="BE40" s="1247">
        <f t="shared" si="55"/>
        <v>3.3619975134687112E-2</v>
      </c>
      <c r="BF40" s="1999">
        <v>19445</v>
      </c>
      <c r="BG40" s="1251">
        <v>521</v>
      </c>
      <c r="BH40" s="1247">
        <f t="shared" si="56"/>
        <v>2.6793520185137566E-2</v>
      </c>
    </row>
    <row r="41" spans="1:60" ht="12.75" customHeight="1" x14ac:dyDescent="0.3">
      <c r="A41" s="364" t="s">
        <v>96</v>
      </c>
      <c r="B41" s="366" t="s">
        <v>97</v>
      </c>
      <c r="C41" s="186" t="s">
        <v>254</v>
      </c>
      <c r="D41" s="1975">
        <v>8863</v>
      </c>
      <c r="E41" s="1976">
        <v>154</v>
      </c>
      <c r="F41" s="1977">
        <f t="shared" si="38"/>
        <v>1.7375606453796683E-2</v>
      </c>
      <c r="G41" s="1988">
        <v>9092</v>
      </c>
      <c r="H41" s="1989">
        <v>227</v>
      </c>
      <c r="I41" s="1964">
        <f t="shared" si="39"/>
        <v>2.4967003959524857E-2</v>
      </c>
      <c r="J41" s="1988">
        <v>9379</v>
      </c>
      <c r="K41" s="1989">
        <v>314</v>
      </c>
      <c r="L41" s="1995">
        <f t="shared" si="40"/>
        <v>3.3479048939119307E-2</v>
      </c>
      <c r="M41" s="1988">
        <v>9647</v>
      </c>
      <c r="N41" s="1989">
        <v>322</v>
      </c>
      <c r="O41" s="1995">
        <f t="shared" si="41"/>
        <v>3.33782523064165E-2</v>
      </c>
      <c r="P41" s="1988">
        <v>10042</v>
      </c>
      <c r="Q41" s="1989">
        <v>329</v>
      </c>
      <c r="R41" s="1995">
        <f t="shared" si="42"/>
        <v>3.2762397928699463E-2</v>
      </c>
      <c r="S41" s="1988">
        <v>10410</v>
      </c>
      <c r="T41" s="1989">
        <v>308</v>
      </c>
      <c r="U41" s="1995">
        <f t="shared" si="43"/>
        <v>2.9586935638808837E-2</v>
      </c>
      <c r="V41" s="1988">
        <v>10835</v>
      </c>
      <c r="W41" s="1989">
        <v>264</v>
      </c>
      <c r="X41" s="1995">
        <f t="shared" si="44"/>
        <v>2.4365482233502538E-2</v>
      </c>
      <c r="Y41" s="1988">
        <v>11070</v>
      </c>
      <c r="Z41" s="1989">
        <v>266</v>
      </c>
      <c r="AA41" s="1995">
        <f t="shared" si="45"/>
        <v>2.4028906955736225E-2</v>
      </c>
      <c r="AB41" s="1988">
        <v>11467</v>
      </c>
      <c r="AC41" s="1989">
        <v>381</v>
      </c>
      <c r="AD41" s="1995">
        <f t="shared" si="46"/>
        <v>3.3225778320397664E-2</v>
      </c>
      <c r="AE41" s="1988">
        <v>11417</v>
      </c>
      <c r="AF41" s="1989">
        <v>771</v>
      </c>
      <c r="AG41" s="1995">
        <f t="shared" si="47"/>
        <v>6.7530875010948579E-2</v>
      </c>
      <c r="AH41" s="1988">
        <v>11412</v>
      </c>
      <c r="AI41" s="1989">
        <v>741</v>
      </c>
      <c r="AJ41" s="1995">
        <f t="shared" si="48"/>
        <v>6.4931650893796003E-2</v>
      </c>
      <c r="AK41" s="1984">
        <v>11600</v>
      </c>
      <c r="AL41" s="1985">
        <v>664</v>
      </c>
      <c r="AM41" s="1995">
        <f t="shared" si="49"/>
        <v>5.7241379310344828E-2</v>
      </c>
      <c r="AN41" s="2005">
        <v>11296</v>
      </c>
      <c r="AO41" s="2006">
        <v>561</v>
      </c>
      <c r="AP41" s="1967">
        <f t="shared" si="50"/>
        <v>4.9663597733711047E-2</v>
      </c>
      <c r="AQ41" s="2005">
        <v>11402</v>
      </c>
      <c r="AR41" s="1119">
        <v>530</v>
      </c>
      <c r="AS41" s="1967">
        <f t="shared" si="51"/>
        <v>4.6483073145062268E-2</v>
      </c>
      <c r="AT41" s="2011">
        <v>10533</v>
      </c>
      <c r="AU41" s="2012">
        <v>500</v>
      </c>
      <c r="AV41" s="1995">
        <f t="shared" si="52"/>
        <v>4.7469856641032947E-2</v>
      </c>
      <c r="AW41" s="2005">
        <v>10640</v>
      </c>
      <c r="AX41" s="2015">
        <v>438</v>
      </c>
      <c r="AY41" s="1995">
        <f t="shared" si="53"/>
        <v>4.1165413533834586E-2</v>
      </c>
      <c r="AZ41" s="2005">
        <v>10694</v>
      </c>
      <c r="BA41" s="2015">
        <v>401</v>
      </c>
      <c r="BB41" s="1995">
        <f t="shared" si="54"/>
        <v>3.7497662240508697E-2</v>
      </c>
      <c r="BC41" s="1999">
        <v>10969</v>
      </c>
      <c r="BD41" s="1251">
        <v>383</v>
      </c>
      <c r="BE41" s="1247">
        <f t="shared" si="55"/>
        <v>3.4916583097821134E-2</v>
      </c>
      <c r="BF41" s="1999">
        <v>10913</v>
      </c>
      <c r="BG41" s="1251">
        <v>323</v>
      </c>
      <c r="BH41" s="1247">
        <f t="shared" si="56"/>
        <v>2.9597727480985981E-2</v>
      </c>
    </row>
    <row r="42" spans="1:60" ht="12.75" customHeight="1" x14ac:dyDescent="0.3">
      <c r="A42" s="364" t="s">
        <v>98</v>
      </c>
      <c r="B42" s="366" t="s">
        <v>99</v>
      </c>
      <c r="C42" s="186" t="s">
        <v>256</v>
      </c>
      <c r="D42" s="1975">
        <v>8043</v>
      </c>
      <c r="E42" s="1976">
        <v>409</v>
      </c>
      <c r="F42" s="1977">
        <f t="shared" si="38"/>
        <v>5.0851672261593935E-2</v>
      </c>
      <c r="G42" s="1988">
        <v>7906</v>
      </c>
      <c r="H42" s="1989">
        <v>598</v>
      </c>
      <c r="I42" s="1964">
        <f t="shared" si="39"/>
        <v>7.5638755375664057E-2</v>
      </c>
      <c r="J42" s="1988">
        <v>8042</v>
      </c>
      <c r="K42" s="1989">
        <v>640</v>
      </c>
      <c r="L42" s="1995">
        <f t="shared" si="40"/>
        <v>7.9582193484207905E-2</v>
      </c>
      <c r="M42" s="1988">
        <v>8013</v>
      </c>
      <c r="N42" s="1989">
        <v>503</v>
      </c>
      <c r="O42" s="1995">
        <f t="shared" si="41"/>
        <v>6.2772993884936984E-2</v>
      </c>
      <c r="P42" s="1988">
        <v>7658</v>
      </c>
      <c r="Q42" s="1989">
        <v>365</v>
      </c>
      <c r="R42" s="1995">
        <f t="shared" si="42"/>
        <v>4.7662575084878561E-2</v>
      </c>
      <c r="S42" s="1988">
        <v>7446</v>
      </c>
      <c r="T42" s="1989">
        <v>345</v>
      </c>
      <c r="U42" s="1995">
        <f t="shared" si="43"/>
        <v>4.6333601933924252E-2</v>
      </c>
      <c r="V42" s="1988">
        <v>7109</v>
      </c>
      <c r="W42" s="1989">
        <v>387</v>
      </c>
      <c r="X42" s="1995">
        <f t="shared" si="44"/>
        <v>5.4438036292024192E-2</v>
      </c>
      <c r="Y42" s="1988">
        <v>7088</v>
      </c>
      <c r="Z42" s="1989">
        <v>365</v>
      </c>
      <c r="AA42" s="1995">
        <f t="shared" si="45"/>
        <v>5.1495485327313767E-2</v>
      </c>
      <c r="AB42" s="1988">
        <v>7179</v>
      </c>
      <c r="AC42" s="1989">
        <v>465</v>
      </c>
      <c r="AD42" s="1995">
        <f t="shared" si="46"/>
        <v>6.4772252402841624E-2</v>
      </c>
      <c r="AE42" s="1988">
        <v>7328</v>
      </c>
      <c r="AF42" s="1989">
        <v>812</v>
      </c>
      <c r="AG42" s="1995">
        <f t="shared" si="47"/>
        <v>0.11080786026200873</v>
      </c>
      <c r="AH42" s="1988">
        <v>6959</v>
      </c>
      <c r="AI42" s="1989">
        <v>871</v>
      </c>
      <c r="AJ42" s="1995">
        <f t="shared" si="48"/>
        <v>0.1251616611582124</v>
      </c>
      <c r="AK42" s="1984">
        <v>6766</v>
      </c>
      <c r="AL42" s="1985">
        <v>723</v>
      </c>
      <c r="AM42" s="1995">
        <f t="shared" si="49"/>
        <v>0.10685781850428613</v>
      </c>
      <c r="AN42" s="2005">
        <v>6418</v>
      </c>
      <c r="AO42" s="2006">
        <v>620</v>
      </c>
      <c r="AP42" s="1967">
        <f t="shared" si="50"/>
        <v>9.6603303209722657E-2</v>
      </c>
      <c r="AQ42" s="2005">
        <v>6488</v>
      </c>
      <c r="AR42" s="1119">
        <v>631</v>
      </c>
      <c r="AS42" s="1967">
        <f t="shared" si="51"/>
        <v>9.7256473489519116E-2</v>
      </c>
      <c r="AT42" s="2011">
        <v>7120</v>
      </c>
      <c r="AU42" s="2012">
        <v>551</v>
      </c>
      <c r="AV42" s="1995">
        <f t="shared" si="52"/>
        <v>7.7387640449438203E-2</v>
      </c>
      <c r="AW42" s="2005">
        <v>6983</v>
      </c>
      <c r="AX42" s="2015">
        <v>407</v>
      </c>
      <c r="AY42" s="1995">
        <f t="shared" si="53"/>
        <v>5.8284404983531435E-2</v>
      </c>
      <c r="AZ42" s="2005">
        <v>7034</v>
      </c>
      <c r="BA42" s="2015">
        <v>369</v>
      </c>
      <c r="BB42" s="1995">
        <f t="shared" si="54"/>
        <v>5.245948251350583E-2</v>
      </c>
      <c r="BC42" s="1999">
        <v>7220</v>
      </c>
      <c r="BD42" s="1251">
        <v>311</v>
      </c>
      <c r="BE42" s="1247">
        <f t="shared" si="55"/>
        <v>4.3074792243767313E-2</v>
      </c>
      <c r="BF42" s="1999">
        <v>7643</v>
      </c>
      <c r="BG42" s="1251">
        <v>234</v>
      </c>
      <c r="BH42" s="1247">
        <f t="shared" si="56"/>
        <v>3.0616250163548346E-2</v>
      </c>
    </row>
    <row r="43" spans="1:60" ht="12.75" customHeight="1" x14ac:dyDescent="0.3">
      <c r="A43" s="364" t="s">
        <v>100</v>
      </c>
      <c r="B43" s="366" t="s">
        <v>101</v>
      </c>
      <c r="C43" s="186" t="s">
        <v>255</v>
      </c>
      <c r="D43" s="1975">
        <v>8350</v>
      </c>
      <c r="E43" s="1976">
        <v>153</v>
      </c>
      <c r="F43" s="1977">
        <f t="shared" si="38"/>
        <v>1.8323353293413173E-2</v>
      </c>
      <c r="G43" s="1988">
        <v>8584</v>
      </c>
      <c r="H43" s="1989">
        <v>196</v>
      </c>
      <c r="I43" s="1964">
        <f t="shared" si="39"/>
        <v>2.2833178005591797E-2</v>
      </c>
      <c r="J43" s="1988">
        <v>8941</v>
      </c>
      <c r="K43" s="1989">
        <v>315</v>
      </c>
      <c r="L43" s="1995">
        <f t="shared" si="40"/>
        <v>3.5230958505759982E-2</v>
      </c>
      <c r="M43" s="1988">
        <v>9230</v>
      </c>
      <c r="N43" s="1989">
        <v>375</v>
      </c>
      <c r="O43" s="1995">
        <f t="shared" si="41"/>
        <v>4.0628385698808236E-2</v>
      </c>
      <c r="P43" s="1988">
        <v>9401</v>
      </c>
      <c r="Q43" s="1989">
        <v>288</v>
      </c>
      <c r="R43" s="1995">
        <f t="shared" si="42"/>
        <v>3.0635038825656845E-2</v>
      </c>
      <c r="S43" s="1988">
        <v>9720</v>
      </c>
      <c r="T43" s="1989">
        <v>281</v>
      </c>
      <c r="U43" s="1995">
        <f t="shared" si="43"/>
        <v>2.8909465020576133E-2</v>
      </c>
      <c r="V43" s="1988">
        <v>10167</v>
      </c>
      <c r="W43" s="1989">
        <v>234</v>
      </c>
      <c r="X43" s="1995">
        <f t="shared" si="44"/>
        <v>2.301563883151372E-2</v>
      </c>
      <c r="Y43" s="1988">
        <v>10369</v>
      </c>
      <c r="Z43" s="1989">
        <v>223</v>
      </c>
      <c r="AA43" s="1995">
        <f t="shared" si="45"/>
        <v>2.1506413347478059E-2</v>
      </c>
      <c r="AB43" s="1988">
        <v>10698</v>
      </c>
      <c r="AC43" s="1989">
        <v>351</v>
      </c>
      <c r="AD43" s="1995">
        <f t="shared" si="46"/>
        <v>3.2809871003925968E-2</v>
      </c>
      <c r="AE43" s="1988">
        <v>10782</v>
      </c>
      <c r="AF43" s="1989">
        <v>648</v>
      </c>
      <c r="AG43" s="1995">
        <f t="shared" si="47"/>
        <v>6.0100166944908183E-2</v>
      </c>
      <c r="AH43" s="1988">
        <v>10532</v>
      </c>
      <c r="AI43" s="1989">
        <v>643</v>
      </c>
      <c r="AJ43" s="1995">
        <f t="shared" si="48"/>
        <v>6.1052031902772502E-2</v>
      </c>
      <c r="AK43" s="1984">
        <v>10780</v>
      </c>
      <c r="AL43" s="1985">
        <v>583</v>
      </c>
      <c r="AM43" s="1995">
        <f t="shared" si="49"/>
        <v>5.4081632653061228E-2</v>
      </c>
      <c r="AN43" s="2005">
        <v>10793</v>
      </c>
      <c r="AO43" s="2006">
        <v>532</v>
      </c>
      <c r="AP43" s="1967">
        <f t="shared" si="50"/>
        <v>4.9291207263967386E-2</v>
      </c>
      <c r="AQ43" s="2005">
        <v>10816</v>
      </c>
      <c r="AR43" s="1119">
        <v>446</v>
      </c>
      <c r="AS43" s="1967">
        <f t="shared" si="51"/>
        <v>4.1235207100591718E-2</v>
      </c>
      <c r="AT43" s="2011">
        <v>9954</v>
      </c>
      <c r="AU43" s="2012">
        <v>433</v>
      </c>
      <c r="AV43" s="1995">
        <f t="shared" si="52"/>
        <v>4.3500100462125782E-2</v>
      </c>
      <c r="AW43" s="2005">
        <v>9974</v>
      </c>
      <c r="AX43" s="2015">
        <v>365</v>
      </c>
      <c r="AY43" s="1995">
        <f t="shared" si="53"/>
        <v>3.6595147383196309E-2</v>
      </c>
      <c r="AZ43" s="2005">
        <v>9866</v>
      </c>
      <c r="BA43" s="2015">
        <v>317</v>
      </c>
      <c r="BB43" s="1995">
        <f t="shared" si="54"/>
        <v>3.2130549361443342E-2</v>
      </c>
      <c r="BC43" s="1999">
        <v>10170</v>
      </c>
      <c r="BD43" s="1251">
        <v>310</v>
      </c>
      <c r="BE43" s="1247">
        <f t="shared" si="55"/>
        <v>3.0481809242871191E-2</v>
      </c>
      <c r="BF43" s="1999">
        <v>10261</v>
      </c>
      <c r="BG43" s="1251">
        <v>258</v>
      </c>
      <c r="BH43" s="1247">
        <f t="shared" si="56"/>
        <v>2.5143748172692722E-2</v>
      </c>
    </row>
    <row r="44" spans="1:60" ht="12.75" customHeight="1" x14ac:dyDescent="0.3">
      <c r="A44" s="364" t="s">
        <v>102</v>
      </c>
      <c r="B44" s="366" t="s">
        <v>103</v>
      </c>
      <c r="C44" s="186" t="s">
        <v>252</v>
      </c>
      <c r="D44" s="1978">
        <v>6340</v>
      </c>
      <c r="E44" s="1979">
        <v>207</v>
      </c>
      <c r="F44" s="1977">
        <f t="shared" si="38"/>
        <v>3.2649842271293375E-2</v>
      </c>
      <c r="G44" s="1990">
        <v>6478</v>
      </c>
      <c r="H44" s="1991">
        <v>289</v>
      </c>
      <c r="I44" s="1964">
        <f t="shared" si="39"/>
        <v>4.4612534732942265E-2</v>
      </c>
      <c r="J44" s="1990">
        <v>6445</v>
      </c>
      <c r="K44" s="1991">
        <v>309</v>
      </c>
      <c r="L44" s="1995">
        <f t="shared" si="40"/>
        <v>4.794414274631497E-2</v>
      </c>
      <c r="M44" s="1990">
        <v>6884</v>
      </c>
      <c r="N44" s="1991">
        <v>404</v>
      </c>
      <c r="O44" s="1995">
        <f t="shared" si="41"/>
        <v>5.8686809994189425E-2</v>
      </c>
      <c r="P44" s="1990">
        <v>6495</v>
      </c>
      <c r="Q44" s="1991">
        <v>430</v>
      </c>
      <c r="R44" s="1995">
        <f t="shared" si="42"/>
        <v>6.6204772902232492E-2</v>
      </c>
      <c r="S44" s="1990">
        <v>6402</v>
      </c>
      <c r="T44" s="1991">
        <v>349</v>
      </c>
      <c r="U44" s="1995">
        <f t="shared" si="43"/>
        <v>5.451421430802874E-2</v>
      </c>
      <c r="V44" s="1990">
        <v>6443</v>
      </c>
      <c r="W44" s="1991">
        <v>303</v>
      </c>
      <c r="X44" s="1995">
        <f t="shared" si="44"/>
        <v>4.7027782089088935E-2</v>
      </c>
      <c r="Y44" s="1990">
        <v>6713</v>
      </c>
      <c r="Z44" s="1991">
        <v>346</v>
      </c>
      <c r="AA44" s="1995">
        <f t="shared" si="45"/>
        <v>5.15417845970505E-2</v>
      </c>
      <c r="AB44" s="1990">
        <v>6917</v>
      </c>
      <c r="AC44" s="1991">
        <v>430</v>
      </c>
      <c r="AD44" s="1995">
        <f t="shared" si="46"/>
        <v>6.2165678762469277E-2</v>
      </c>
      <c r="AE44" s="1990">
        <v>6964</v>
      </c>
      <c r="AF44" s="1991">
        <v>729</v>
      </c>
      <c r="AG44" s="1995">
        <f t="shared" si="47"/>
        <v>0.1046812176909822</v>
      </c>
      <c r="AH44" s="1990">
        <v>6806</v>
      </c>
      <c r="AI44" s="1991">
        <v>767</v>
      </c>
      <c r="AJ44" s="1995">
        <f t="shared" si="48"/>
        <v>0.1126946811636791</v>
      </c>
      <c r="AK44" s="1984">
        <v>6828</v>
      </c>
      <c r="AL44" s="1985">
        <v>688</v>
      </c>
      <c r="AM44" s="1995">
        <f t="shared" si="49"/>
        <v>0.10076157000585823</v>
      </c>
      <c r="AN44" s="2005">
        <v>6560</v>
      </c>
      <c r="AO44" s="2006">
        <v>648</v>
      </c>
      <c r="AP44" s="1967">
        <f t="shared" si="50"/>
        <v>9.8780487804878053E-2</v>
      </c>
      <c r="AQ44" s="2005">
        <v>6299</v>
      </c>
      <c r="AR44" s="1119">
        <v>598</v>
      </c>
      <c r="AS44" s="1967">
        <f t="shared" si="51"/>
        <v>9.4935704080012701E-2</v>
      </c>
      <c r="AT44" s="2011">
        <v>6613</v>
      </c>
      <c r="AU44" s="2012">
        <v>479</v>
      </c>
      <c r="AV44" s="1995">
        <f t="shared" si="52"/>
        <v>7.2433086345077877E-2</v>
      </c>
      <c r="AW44" s="2005">
        <v>6416</v>
      </c>
      <c r="AX44" s="2015">
        <v>383</v>
      </c>
      <c r="AY44" s="1995">
        <f t="shared" si="53"/>
        <v>5.9694513715710724E-2</v>
      </c>
      <c r="AZ44" s="2005">
        <v>6416</v>
      </c>
      <c r="BA44" s="2015">
        <v>359</v>
      </c>
      <c r="BB44" s="1995">
        <f t="shared" si="54"/>
        <v>5.5953865336658352E-2</v>
      </c>
      <c r="BC44" s="1999">
        <v>6558</v>
      </c>
      <c r="BD44" s="1251">
        <v>321</v>
      </c>
      <c r="BE44" s="1247">
        <f t="shared" si="55"/>
        <v>4.8947849954254344E-2</v>
      </c>
      <c r="BF44" s="1999">
        <v>6730</v>
      </c>
      <c r="BG44" s="1251">
        <v>272</v>
      </c>
      <c r="BH44" s="1247">
        <f t="shared" si="56"/>
        <v>4.0416047548291235E-2</v>
      </c>
    </row>
    <row r="45" spans="1:60" ht="12.75" customHeight="1" x14ac:dyDescent="0.3">
      <c r="A45" s="364" t="s">
        <v>104</v>
      </c>
      <c r="B45" s="366" t="s">
        <v>511</v>
      </c>
      <c r="C45" s="186" t="s">
        <v>253</v>
      </c>
      <c r="D45" s="1975">
        <v>16101</v>
      </c>
      <c r="E45" s="1976">
        <v>799</v>
      </c>
      <c r="F45" s="1977">
        <f t="shared" si="38"/>
        <v>4.9624246941183781E-2</v>
      </c>
      <c r="G45" s="1988">
        <v>16651</v>
      </c>
      <c r="H45" s="1989">
        <v>1213</v>
      </c>
      <c r="I45" s="1964">
        <f t="shared" si="39"/>
        <v>7.2848477568914785E-2</v>
      </c>
      <c r="J45" s="1988">
        <v>16832</v>
      </c>
      <c r="K45" s="1989">
        <v>1719</v>
      </c>
      <c r="L45" s="1995">
        <f t="shared" si="40"/>
        <v>0.10212690114068441</v>
      </c>
      <c r="M45" s="1988">
        <v>16446</v>
      </c>
      <c r="N45" s="1989">
        <v>1670</v>
      </c>
      <c r="O45" s="1995">
        <f t="shared" si="41"/>
        <v>0.10154444849811504</v>
      </c>
      <c r="P45" s="1988">
        <v>15736</v>
      </c>
      <c r="Q45" s="1989">
        <v>1193</v>
      </c>
      <c r="R45" s="1995">
        <f t="shared" si="42"/>
        <v>7.5813421453990851E-2</v>
      </c>
      <c r="S45" s="1988">
        <v>15885</v>
      </c>
      <c r="T45" s="1989">
        <v>964</v>
      </c>
      <c r="U45" s="1995">
        <f t="shared" si="43"/>
        <v>6.0686181932640859E-2</v>
      </c>
      <c r="V45" s="1988">
        <v>15778</v>
      </c>
      <c r="W45" s="1989">
        <v>917</v>
      </c>
      <c r="X45" s="1995">
        <f t="shared" si="44"/>
        <v>5.8118899733806566E-2</v>
      </c>
      <c r="Y45" s="1988">
        <v>15332</v>
      </c>
      <c r="Z45" s="1989">
        <v>983</v>
      </c>
      <c r="AA45" s="1995">
        <f t="shared" si="45"/>
        <v>6.4114270806157059E-2</v>
      </c>
      <c r="AB45" s="1988">
        <v>15765</v>
      </c>
      <c r="AC45" s="1989">
        <v>1082</v>
      </c>
      <c r="AD45" s="1995">
        <f t="shared" si="46"/>
        <v>6.8633047890897553E-2</v>
      </c>
      <c r="AE45" s="1988">
        <v>16610</v>
      </c>
      <c r="AF45" s="1989">
        <v>1940</v>
      </c>
      <c r="AG45" s="1995">
        <f t="shared" si="47"/>
        <v>0.11679711017459361</v>
      </c>
      <c r="AH45" s="1988">
        <v>16362</v>
      </c>
      <c r="AI45" s="1989">
        <v>2029</v>
      </c>
      <c r="AJ45" s="1995">
        <f t="shared" si="48"/>
        <v>0.12400684512895734</v>
      </c>
      <c r="AK45" s="1984">
        <v>16060</v>
      </c>
      <c r="AL45" s="1985">
        <v>1771</v>
      </c>
      <c r="AM45" s="1995">
        <f t="shared" si="49"/>
        <v>0.11027397260273973</v>
      </c>
      <c r="AN45" s="2005">
        <v>15697</v>
      </c>
      <c r="AO45" s="2006">
        <v>1486</v>
      </c>
      <c r="AP45" s="1967">
        <f t="shared" si="50"/>
        <v>9.4667770911639165E-2</v>
      </c>
      <c r="AQ45" s="2005">
        <v>15649</v>
      </c>
      <c r="AR45" s="1119">
        <v>1447</v>
      </c>
      <c r="AS45" s="1967">
        <f t="shared" si="51"/>
        <v>9.2465972266598501E-2</v>
      </c>
      <c r="AT45" s="2011">
        <v>15675</v>
      </c>
      <c r="AU45" s="2012">
        <v>1224</v>
      </c>
      <c r="AV45" s="1995">
        <f t="shared" si="52"/>
        <v>7.808612440191387E-2</v>
      </c>
      <c r="AW45" s="2005">
        <v>15324</v>
      </c>
      <c r="AX45" s="2015">
        <v>978</v>
      </c>
      <c r="AY45" s="1995">
        <f t="shared" si="53"/>
        <v>6.3821456538762728E-2</v>
      </c>
      <c r="AZ45" s="2005">
        <v>14904</v>
      </c>
      <c r="BA45" s="2015">
        <v>862</v>
      </c>
      <c r="BB45" s="1995">
        <f t="shared" si="54"/>
        <v>5.7836822329575953E-2</v>
      </c>
      <c r="BC45" s="1999">
        <v>14881</v>
      </c>
      <c r="BD45" s="1251">
        <v>780</v>
      </c>
      <c r="BE45" s="1247">
        <f t="shared" si="55"/>
        <v>5.2415832269336736E-2</v>
      </c>
      <c r="BF45" s="1999">
        <v>15201</v>
      </c>
      <c r="BG45" s="1251">
        <v>623</v>
      </c>
      <c r="BH45" s="1247">
        <f t="shared" si="56"/>
        <v>4.0984145779882901E-2</v>
      </c>
    </row>
    <row r="46" spans="1:60" ht="12.75" customHeight="1" x14ac:dyDescent="0.3">
      <c r="A46" s="364" t="s">
        <v>108</v>
      </c>
      <c r="B46" s="366" t="s">
        <v>109</v>
      </c>
      <c r="C46" s="186" t="s">
        <v>254</v>
      </c>
      <c r="D46" s="1975">
        <v>47202</v>
      </c>
      <c r="E46" s="1976">
        <v>776</v>
      </c>
      <c r="F46" s="1977">
        <f t="shared" si="38"/>
        <v>1.6439981356722172E-2</v>
      </c>
      <c r="G46" s="1988">
        <v>48486</v>
      </c>
      <c r="H46" s="1989">
        <v>1214</v>
      </c>
      <c r="I46" s="1964">
        <f t="shared" si="39"/>
        <v>2.5038155343810584E-2</v>
      </c>
      <c r="J46" s="1988">
        <v>50347</v>
      </c>
      <c r="K46" s="1989">
        <v>1647</v>
      </c>
      <c r="L46" s="1995">
        <f t="shared" si="40"/>
        <v>3.271297197449699E-2</v>
      </c>
      <c r="M46" s="1988">
        <v>51554</v>
      </c>
      <c r="N46" s="1989">
        <v>1668</v>
      </c>
      <c r="O46" s="1995">
        <f t="shared" si="41"/>
        <v>3.2354424486945726E-2</v>
      </c>
      <c r="P46" s="1988">
        <v>53095</v>
      </c>
      <c r="Q46" s="1989">
        <v>1612</v>
      </c>
      <c r="R46" s="1995">
        <f t="shared" si="42"/>
        <v>3.0360674263113289E-2</v>
      </c>
      <c r="S46" s="1988">
        <v>53857</v>
      </c>
      <c r="T46" s="1989">
        <v>1578</v>
      </c>
      <c r="U46" s="1995">
        <f t="shared" si="43"/>
        <v>2.9299812466346064E-2</v>
      </c>
      <c r="V46" s="1988">
        <v>54827</v>
      </c>
      <c r="W46" s="1989">
        <v>1375</v>
      </c>
      <c r="X46" s="1995">
        <f t="shared" si="44"/>
        <v>2.507888449121783E-2</v>
      </c>
      <c r="Y46" s="1988">
        <v>54468</v>
      </c>
      <c r="Z46" s="1989">
        <v>1354</v>
      </c>
      <c r="AA46" s="1995">
        <f t="shared" si="45"/>
        <v>2.4858632591613423E-2</v>
      </c>
      <c r="AB46" s="1988">
        <v>55899</v>
      </c>
      <c r="AC46" s="1989">
        <v>1924</v>
      </c>
      <c r="AD46" s="1995">
        <f t="shared" si="46"/>
        <v>3.441922037961323E-2</v>
      </c>
      <c r="AE46" s="1988">
        <v>54731</v>
      </c>
      <c r="AF46" s="1989">
        <v>3708</v>
      </c>
      <c r="AG46" s="1995">
        <f t="shared" si="47"/>
        <v>6.7749538652683128E-2</v>
      </c>
      <c r="AH46" s="1988">
        <v>53691</v>
      </c>
      <c r="AI46" s="1989">
        <v>3597</v>
      </c>
      <c r="AJ46" s="1995">
        <f t="shared" si="48"/>
        <v>6.6994468346650279E-2</v>
      </c>
      <c r="AK46" s="1984">
        <v>54497</v>
      </c>
      <c r="AL46" s="1985">
        <v>3322</v>
      </c>
      <c r="AM46" s="1995">
        <f t="shared" si="49"/>
        <v>6.0957483898196232E-2</v>
      </c>
      <c r="AN46" s="2005">
        <v>54825</v>
      </c>
      <c r="AO46" s="2006">
        <v>3081</v>
      </c>
      <c r="AP46" s="1967">
        <f t="shared" si="50"/>
        <v>5.6196990424076609E-2</v>
      </c>
      <c r="AQ46" s="2005">
        <v>55193</v>
      </c>
      <c r="AR46" s="1119">
        <v>2787</v>
      </c>
      <c r="AS46" s="1967">
        <f t="shared" si="51"/>
        <v>5.0495533853930755E-2</v>
      </c>
      <c r="AT46" s="2011">
        <v>56243</v>
      </c>
      <c r="AU46" s="2012">
        <v>2548</v>
      </c>
      <c r="AV46" s="1995">
        <f t="shared" si="52"/>
        <v>4.5303415536155613E-2</v>
      </c>
      <c r="AW46" s="2005">
        <v>56478</v>
      </c>
      <c r="AX46" s="2015">
        <v>2175</v>
      </c>
      <c r="AY46" s="1995">
        <f t="shared" si="53"/>
        <v>3.8510570487623498E-2</v>
      </c>
      <c r="AZ46" s="2005">
        <v>56875</v>
      </c>
      <c r="BA46" s="2015">
        <v>1979</v>
      </c>
      <c r="BB46" s="1995">
        <f t="shared" si="54"/>
        <v>3.4795604395604397E-2</v>
      </c>
      <c r="BC46" s="1999">
        <v>58121</v>
      </c>
      <c r="BD46" s="1251">
        <v>1942</v>
      </c>
      <c r="BE46" s="1247">
        <f t="shared" si="55"/>
        <v>3.3413052081003425E-2</v>
      </c>
      <c r="BF46" s="1999">
        <v>58367</v>
      </c>
      <c r="BG46" s="1251">
        <v>1523</v>
      </c>
      <c r="BH46" s="1247">
        <f t="shared" si="56"/>
        <v>2.609351174465023E-2</v>
      </c>
    </row>
    <row r="47" spans="1:60" ht="12.75" customHeight="1" x14ac:dyDescent="0.3">
      <c r="A47" s="364" t="s">
        <v>110</v>
      </c>
      <c r="B47" s="366" t="s">
        <v>111</v>
      </c>
      <c r="C47" s="186" t="s">
        <v>254</v>
      </c>
      <c r="D47" s="1975">
        <v>144690</v>
      </c>
      <c r="E47" s="1976">
        <v>2613</v>
      </c>
      <c r="F47" s="1977">
        <f t="shared" si="38"/>
        <v>1.8059299191374664E-2</v>
      </c>
      <c r="G47" s="1988">
        <v>147106</v>
      </c>
      <c r="H47" s="1989">
        <v>4318</v>
      </c>
      <c r="I47" s="1964">
        <f t="shared" si="39"/>
        <v>2.9352983562873032E-2</v>
      </c>
      <c r="J47" s="1988">
        <v>149054</v>
      </c>
      <c r="K47" s="1989">
        <v>5460</v>
      </c>
      <c r="L47" s="1995">
        <f t="shared" si="40"/>
        <v>3.6631019630469497E-2</v>
      </c>
      <c r="M47" s="1988">
        <v>151191</v>
      </c>
      <c r="N47" s="1989">
        <v>5602</v>
      </c>
      <c r="O47" s="1995">
        <f t="shared" si="41"/>
        <v>3.7052470054434454E-2</v>
      </c>
      <c r="P47" s="1988">
        <v>154904</v>
      </c>
      <c r="Q47" s="1989">
        <v>5333</v>
      </c>
      <c r="R47" s="1995">
        <f t="shared" si="42"/>
        <v>3.4427774621701185E-2</v>
      </c>
      <c r="S47" s="1988">
        <v>157494</v>
      </c>
      <c r="T47" s="1989">
        <v>5284</v>
      </c>
      <c r="U47" s="1995">
        <f t="shared" si="43"/>
        <v>3.3550484462900175E-2</v>
      </c>
      <c r="V47" s="1988">
        <v>159822</v>
      </c>
      <c r="W47" s="1989">
        <v>4560</v>
      </c>
      <c r="X47" s="1995">
        <f t="shared" si="44"/>
        <v>2.8531741562488267E-2</v>
      </c>
      <c r="Y47" s="1988">
        <v>161824</v>
      </c>
      <c r="Z47" s="1989">
        <v>4506</v>
      </c>
      <c r="AA47" s="1995">
        <f t="shared" si="45"/>
        <v>2.7845066244809175E-2</v>
      </c>
      <c r="AB47" s="1988">
        <v>166215</v>
      </c>
      <c r="AC47" s="1989">
        <v>6053</v>
      </c>
      <c r="AD47" s="1995">
        <f t="shared" si="46"/>
        <v>3.6416689227807358E-2</v>
      </c>
      <c r="AE47" s="1988">
        <v>164824</v>
      </c>
      <c r="AF47" s="1989">
        <v>11759</v>
      </c>
      <c r="AG47" s="1995">
        <f t="shared" si="47"/>
        <v>7.1342765616657769E-2</v>
      </c>
      <c r="AH47" s="1988">
        <v>168129</v>
      </c>
      <c r="AI47" s="1989">
        <v>12340</v>
      </c>
      <c r="AJ47" s="1995">
        <f t="shared" si="48"/>
        <v>7.3396023291639162E-2</v>
      </c>
      <c r="AK47" s="1984">
        <v>171575</v>
      </c>
      <c r="AL47" s="1985">
        <v>11361</v>
      </c>
      <c r="AM47" s="1995">
        <f t="shared" si="49"/>
        <v>6.6215940550779548E-2</v>
      </c>
      <c r="AN47" s="2005">
        <v>174127</v>
      </c>
      <c r="AO47" s="2006">
        <v>10301</v>
      </c>
      <c r="AP47" s="1967">
        <f t="shared" si="50"/>
        <v>5.9157970906292531E-2</v>
      </c>
      <c r="AQ47" s="2005">
        <v>175482</v>
      </c>
      <c r="AR47" s="1119">
        <v>9559</v>
      </c>
      <c r="AS47" s="1967">
        <f t="shared" si="51"/>
        <v>5.4472823423485028E-2</v>
      </c>
      <c r="AT47" s="2011">
        <v>176843</v>
      </c>
      <c r="AU47" s="2012">
        <v>8962</v>
      </c>
      <c r="AV47" s="1995">
        <f t="shared" si="52"/>
        <v>5.0677719785346326E-2</v>
      </c>
      <c r="AW47" s="2005">
        <v>178200</v>
      </c>
      <c r="AX47" s="2015">
        <v>7621</v>
      </c>
      <c r="AY47" s="1995">
        <f t="shared" si="53"/>
        <v>4.2766554433221103E-2</v>
      </c>
      <c r="AZ47" s="2005">
        <v>179138</v>
      </c>
      <c r="BA47" s="2015">
        <v>6880</v>
      </c>
      <c r="BB47" s="1995">
        <f t="shared" si="54"/>
        <v>3.8406144983197311E-2</v>
      </c>
      <c r="BC47" s="1999">
        <v>182026</v>
      </c>
      <c r="BD47" s="1251">
        <v>6661</v>
      </c>
      <c r="BE47" s="1247">
        <f t="shared" si="55"/>
        <v>3.6593673431268063E-2</v>
      </c>
      <c r="BF47" s="1999">
        <v>180933</v>
      </c>
      <c r="BG47" s="1251">
        <v>5387</v>
      </c>
      <c r="BH47" s="1247">
        <f t="shared" si="56"/>
        <v>2.9773452051311811E-2</v>
      </c>
    </row>
    <row r="48" spans="1:60" ht="12.75" customHeight="1" x14ac:dyDescent="0.3">
      <c r="A48" s="364" t="s">
        <v>112</v>
      </c>
      <c r="B48" s="366" t="s">
        <v>113</v>
      </c>
      <c r="C48" s="186" t="s">
        <v>253</v>
      </c>
      <c r="D48" s="1978">
        <v>35376</v>
      </c>
      <c r="E48" s="1979">
        <v>1912</v>
      </c>
      <c r="F48" s="1977">
        <f t="shared" si="38"/>
        <v>5.4047942107643597E-2</v>
      </c>
      <c r="G48" s="1990">
        <v>35010</v>
      </c>
      <c r="H48" s="1991">
        <v>2194</v>
      </c>
      <c r="I48" s="1964">
        <f t="shared" si="39"/>
        <v>6.2667809197372179E-2</v>
      </c>
      <c r="J48" s="1990">
        <v>34905</v>
      </c>
      <c r="K48" s="1991">
        <v>3675</v>
      </c>
      <c r="L48" s="1995">
        <f t="shared" si="40"/>
        <v>0.10528577567683713</v>
      </c>
      <c r="M48" s="1990">
        <v>34752</v>
      </c>
      <c r="N48" s="1991">
        <v>3504</v>
      </c>
      <c r="O48" s="1995">
        <f t="shared" si="41"/>
        <v>0.10082872928176796</v>
      </c>
      <c r="P48" s="1990">
        <v>32624</v>
      </c>
      <c r="Q48" s="1991">
        <v>3171</v>
      </c>
      <c r="R48" s="1995">
        <f t="shared" si="42"/>
        <v>9.7198381559588029E-2</v>
      </c>
      <c r="S48" s="1990">
        <v>31596</v>
      </c>
      <c r="T48" s="1991">
        <v>2276</v>
      </c>
      <c r="U48" s="1995">
        <f t="shared" si="43"/>
        <v>7.2034434738574502E-2</v>
      </c>
      <c r="V48" s="1990">
        <v>30973</v>
      </c>
      <c r="W48" s="1991">
        <v>1608</v>
      </c>
      <c r="X48" s="1995">
        <f t="shared" si="44"/>
        <v>5.1916185064410938E-2</v>
      </c>
      <c r="Y48" s="1990">
        <v>31526</v>
      </c>
      <c r="Z48" s="1991">
        <v>1910</v>
      </c>
      <c r="AA48" s="1995">
        <f t="shared" si="45"/>
        <v>6.0584914039205733E-2</v>
      </c>
      <c r="AB48" s="1990">
        <v>31367</v>
      </c>
      <c r="AC48" s="1991">
        <v>2757</v>
      </c>
      <c r="AD48" s="1995">
        <f t="shared" si="46"/>
        <v>8.7894921414225141E-2</v>
      </c>
      <c r="AE48" s="1990">
        <v>32001</v>
      </c>
      <c r="AF48" s="1991">
        <v>4893</v>
      </c>
      <c r="AG48" s="1995">
        <f t="shared" si="47"/>
        <v>0.15290147182900535</v>
      </c>
      <c r="AH48" s="1990">
        <v>30460</v>
      </c>
      <c r="AI48" s="1991">
        <v>4559</v>
      </c>
      <c r="AJ48" s="1995">
        <f t="shared" si="48"/>
        <v>0.14967170059093893</v>
      </c>
      <c r="AK48" s="1984">
        <v>29376</v>
      </c>
      <c r="AL48" s="1985">
        <v>3696</v>
      </c>
      <c r="AM48" s="1995">
        <f t="shared" si="49"/>
        <v>0.12581699346405228</v>
      </c>
      <c r="AN48" s="2005">
        <v>28285</v>
      </c>
      <c r="AO48" s="2006">
        <v>3048</v>
      </c>
      <c r="AP48" s="1967">
        <f t="shared" si="50"/>
        <v>0.1077602969771964</v>
      </c>
      <c r="AQ48" s="2005">
        <v>28688</v>
      </c>
      <c r="AR48" s="1119">
        <v>2781</v>
      </c>
      <c r="AS48" s="1967">
        <f t="shared" si="51"/>
        <v>9.6939486893474619E-2</v>
      </c>
      <c r="AT48" s="2011">
        <v>28485</v>
      </c>
      <c r="AU48" s="2012">
        <v>2322</v>
      </c>
      <c r="AV48" s="1995">
        <f t="shared" si="52"/>
        <v>8.1516587677725114E-2</v>
      </c>
      <c r="AW48" s="2005">
        <v>27689</v>
      </c>
      <c r="AX48" s="2015">
        <v>1922</v>
      </c>
      <c r="AY48" s="1995">
        <f t="shared" si="53"/>
        <v>6.9413846653905889E-2</v>
      </c>
      <c r="AZ48" s="2005">
        <v>27260</v>
      </c>
      <c r="BA48" s="2015">
        <v>1595</v>
      </c>
      <c r="BB48" s="1995">
        <f t="shared" si="54"/>
        <v>5.8510638297872342E-2</v>
      </c>
      <c r="BC48" s="1999">
        <v>27776</v>
      </c>
      <c r="BD48" s="1251">
        <v>1477</v>
      </c>
      <c r="BE48" s="1247">
        <f t="shared" si="55"/>
        <v>5.3175403225806453E-2</v>
      </c>
      <c r="BF48" s="1999">
        <v>29021</v>
      </c>
      <c r="BG48" s="1251">
        <v>1136</v>
      </c>
      <c r="BH48" s="1247">
        <f t="shared" si="56"/>
        <v>3.9144068088625479E-2</v>
      </c>
    </row>
    <row r="49" spans="1:60" ht="12.75" customHeight="1" x14ac:dyDescent="0.3">
      <c r="A49" s="364" t="s">
        <v>114</v>
      </c>
      <c r="B49" s="366" t="s">
        <v>115</v>
      </c>
      <c r="C49" s="186" t="s">
        <v>253</v>
      </c>
      <c r="D49" s="1975">
        <v>1164</v>
      </c>
      <c r="E49" s="1976">
        <v>33</v>
      </c>
      <c r="F49" s="1977">
        <f t="shared" si="38"/>
        <v>2.8350515463917526E-2</v>
      </c>
      <c r="G49" s="1988">
        <v>1133</v>
      </c>
      <c r="H49" s="1989">
        <v>36</v>
      </c>
      <c r="I49" s="1964">
        <f t="shared" si="39"/>
        <v>3.1774051191526917E-2</v>
      </c>
      <c r="J49" s="1988">
        <v>1128</v>
      </c>
      <c r="K49" s="1989">
        <v>44</v>
      </c>
      <c r="L49" s="1995">
        <f t="shared" si="40"/>
        <v>3.9007092198581561E-2</v>
      </c>
      <c r="M49" s="1988">
        <v>1197</v>
      </c>
      <c r="N49" s="1989">
        <v>50</v>
      </c>
      <c r="O49" s="1995">
        <f t="shared" si="41"/>
        <v>4.1771094402673348E-2</v>
      </c>
      <c r="P49" s="1988">
        <v>1208</v>
      </c>
      <c r="Q49" s="1989">
        <v>41</v>
      </c>
      <c r="R49" s="1995">
        <f t="shared" si="42"/>
        <v>3.3940397350993377E-2</v>
      </c>
      <c r="S49" s="1988">
        <v>1191</v>
      </c>
      <c r="T49" s="1989">
        <v>41</v>
      </c>
      <c r="U49" s="1995">
        <f t="shared" si="43"/>
        <v>3.4424853064651553E-2</v>
      </c>
      <c r="V49" s="1988">
        <v>1132</v>
      </c>
      <c r="W49" s="1989">
        <v>36</v>
      </c>
      <c r="X49" s="1995">
        <f t="shared" si="44"/>
        <v>3.1802120141342753E-2</v>
      </c>
      <c r="Y49" s="1988">
        <v>1121</v>
      </c>
      <c r="Z49" s="1989">
        <v>38</v>
      </c>
      <c r="AA49" s="1995">
        <f t="shared" si="45"/>
        <v>3.3898305084745763E-2</v>
      </c>
      <c r="AB49" s="1988">
        <v>1144</v>
      </c>
      <c r="AC49" s="1989">
        <v>58</v>
      </c>
      <c r="AD49" s="1995">
        <f t="shared" si="46"/>
        <v>5.0699300699300696E-2</v>
      </c>
      <c r="AE49" s="1988">
        <v>1165</v>
      </c>
      <c r="AF49" s="1989">
        <v>91</v>
      </c>
      <c r="AG49" s="1995">
        <f t="shared" si="47"/>
        <v>7.8111587982832617E-2</v>
      </c>
      <c r="AH49" s="1988">
        <v>1123</v>
      </c>
      <c r="AI49" s="1989">
        <v>89</v>
      </c>
      <c r="AJ49" s="1995">
        <f t="shared" si="48"/>
        <v>7.9252003561887802E-2</v>
      </c>
      <c r="AK49" s="1984">
        <v>1128</v>
      </c>
      <c r="AL49" s="1985">
        <v>81</v>
      </c>
      <c r="AM49" s="1995">
        <f t="shared" si="49"/>
        <v>7.1808510638297879E-2</v>
      </c>
      <c r="AN49" s="2005">
        <v>1121</v>
      </c>
      <c r="AO49" s="2006">
        <v>70</v>
      </c>
      <c r="AP49" s="1967">
        <f t="shared" si="50"/>
        <v>6.2444246208742192E-2</v>
      </c>
      <c r="AQ49" s="2005">
        <v>1088</v>
      </c>
      <c r="AR49" s="1119">
        <v>61</v>
      </c>
      <c r="AS49" s="1967">
        <f t="shared" si="51"/>
        <v>5.6066176470588237E-2</v>
      </c>
      <c r="AT49" s="2011">
        <v>1434</v>
      </c>
      <c r="AU49" s="2012">
        <v>55</v>
      </c>
      <c r="AV49" s="1995">
        <f t="shared" si="52"/>
        <v>3.8354253835425386E-2</v>
      </c>
      <c r="AW49" s="2005">
        <v>1356</v>
      </c>
      <c r="AX49" s="2015">
        <v>48</v>
      </c>
      <c r="AY49" s="1995">
        <f t="shared" si="53"/>
        <v>3.5398230088495575E-2</v>
      </c>
      <c r="AZ49" s="2005">
        <v>1300</v>
      </c>
      <c r="BA49" s="2015">
        <v>41</v>
      </c>
      <c r="BB49" s="1995">
        <f t="shared" si="54"/>
        <v>3.1538461538461536E-2</v>
      </c>
      <c r="BC49" s="1999">
        <v>1244</v>
      </c>
      <c r="BD49" s="1251">
        <v>43</v>
      </c>
      <c r="BE49" s="1247">
        <f t="shared" si="55"/>
        <v>3.4565916398713828E-2</v>
      </c>
      <c r="BF49" s="1999">
        <v>1253</v>
      </c>
      <c r="BG49" s="1251">
        <v>34</v>
      </c>
      <c r="BH49" s="1247">
        <f t="shared" si="56"/>
        <v>2.7134876296887472E-2</v>
      </c>
    </row>
    <row r="50" spans="1:60" ht="12.75" customHeight="1" x14ac:dyDescent="0.3">
      <c r="A50" s="364" t="s">
        <v>118</v>
      </c>
      <c r="B50" s="366" t="s">
        <v>119</v>
      </c>
      <c r="C50" s="186" t="s">
        <v>252</v>
      </c>
      <c r="D50" s="1975">
        <v>14819</v>
      </c>
      <c r="E50" s="1976">
        <v>320</v>
      </c>
      <c r="F50" s="1977">
        <f t="shared" si="38"/>
        <v>2.1593899723328161E-2</v>
      </c>
      <c r="G50" s="1988">
        <v>15337</v>
      </c>
      <c r="H50" s="1989">
        <v>409</v>
      </c>
      <c r="I50" s="1964">
        <f t="shared" si="39"/>
        <v>2.6667536023994264E-2</v>
      </c>
      <c r="J50" s="1988">
        <v>15925</v>
      </c>
      <c r="K50" s="1989">
        <v>553</v>
      </c>
      <c r="L50" s="1995">
        <f t="shared" si="40"/>
        <v>3.4725274725274723E-2</v>
      </c>
      <c r="M50" s="1988">
        <v>16463</v>
      </c>
      <c r="N50" s="1989">
        <v>587</v>
      </c>
      <c r="O50" s="1995">
        <f t="shared" si="41"/>
        <v>3.565571281054486E-2</v>
      </c>
      <c r="P50" s="1988">
        <v>16885</v>
      </c>
      <c r="Q50" s="1989">
        <v>574</v>
      </c>
      <c r="R50" s="1995">
        <f t="shared" si="42"/>
        <v>3.3994669825288718E-2</v>
      </c>
      <c r="S50" s="1988">
        <v>17479</v>
      </c>
      <c r="T50" s="1989">
        <v>637</v>
      </c>
      <c r="U50" s="1995">
        <f t="shared" si="43"/>
        <v>3.6443732478974769E-2</v>
      </c>
      <c r="V50" s="1988">
        <v>18298</v>
      </c>
      <c r="W50" s="1989">
        <v>559</v>
      </c>
      <c r="X50" s="1995">
        <f t="shared" si="44"/>
        <v>3.0549786861952127E-2</v>
      </c>
      <c r="Y50" s="1988">
        <v>18499</v>
      </c>
      <c r="Z50" s="1989">
        <v>534</v>
      </c>
      <c r="AA50" s="1995">
        <f t="shared" si="45"/>
        <v>2.886642521217363E-2</v>
      </c>
      <c r="AB50" s="1988">
        <v>19121</v>
      </c>
      <c r="AC50" s="1989">
        <v>704</v>
      </c>
      <c r="AD50" s="1995">
        <f t="shared" si="46"/>
        <v>3.6818158046127293E-2</v>
      </c>
      <c r="AE50" s="1988">
        <v>18890</v>
      </c>
      <c r="AF50" s="1989">
        <v>1217</v>
      </c>
      <c r="AG50" s="1995">
        <f t="shared" si="47"/>
        <v>6.442562202223398E-2</v>
      </c>
      <c r="AH50" s="1988">
        <v>18748</v>
      </c>
      <c r="AI50" s="1989">
        <v>1389</v>
      </c>
      <c r="AJ50" s="1995">
        <f t="shared" si="48"/>
        <v>7.4087902709622358E-2</v>
      </c>
      <c r="AK50" s="1984">
        <v>18859</v>
      </c>
      <c r="AL50" s="1985">
        <v>1286</v>
      </c>
      <c r="AM50" s="1995">
        <f t="shared" si="49"/>
        <v>6.8190253990137339E-2</v>
      </c>
      <c r="AN50" s="2005">
        <v>18678</v>
      </c>
      <c r="AO50" s="2006">
        <v>1127</v>
      </c>
      <c r="AP50" s="1967">
        <f t="shared" si="50"/>
        <v>6.0338365992076239E-2</v>
      </c>
      <c r="AQ50" s="2005">
        <v>18784</v>
      </c>
      <c r="AR50" s="1119">
        <v>1057</v>
      </c>
      <c r="AS50" s="1967">
        <f t="shared" si="51"/>
        <v>5.6271294718909709E-2</v>
      </c>
      <c r="AT50" s="2011">
        <v>18903</v>
      </c>
      <c r="AU50" s="2012">
        <v>996</v>
      </c>
      <c r="AV50" s="1995">
        <f t="shared" si="52"/>
        <v>5.2690049198539916E-2</v>
      </c>
      <c r="AW50" s="2005">
        <v>18858</v>
      </c>
      <c r="AX50" s="2015">
        <v>863</v>
      </c>
      <c r="AY50" s="1995">
        <f t="shared" si="53"/>
        <v>4.5763071375543536E-2</v>
      </c>
      <c r="AZ50" s="2005">
        <v>18750</v>
      </c>
      <c r="BA50" s="2015">
        <v>810</v>
      </c>
      <c r="BB50" s="1995">
        <f t="shared" si="54"/>
        <v>4.3200000000000002E-2</v>
      </c>
      <c r="BC50" s="1999">
        <v>19105</v>
      </c>
      <c r="BD50" s="1251">
        <v>746</v>
      </c>
      <c r="BE50" s="1247">
        <f t="shared" si="55"/>
        <v>3.9047369798482071E-2</v>
      </c>
      <c r="BF50" s="1999">
        <v>19135</v>
      </c>
      <c r="BG50" s="1251">
        <v>568</v>
      </c>
      <c r="BH50" s="1247">
        <f t="shared" si="56"/>
        <v>2.9683825450744709E-2</v>
      </c>
    </row>
    <row r="51" spans="1:60" ht="12.75" customHeight="1" x14ac:dyDescent="0.3">
      <c r="A51" s="364" t="s">
        <v>120</v>
      </c>
      <c r="B51" s="366" t="s">
        <v>121</v>
      </c>
      <c r="C51" s="186" t="s">
        <v>252</v>
      </c>
      <c r="D51" s="1975">
        <v>23153</v>
      </c>
      <c r="E51" s="1976">
        <v>453</v>
      </c>
      <c r="F51" s="1977">
        <f t="shared" si="38"/>
        <v>1.9565499071394637E-2</v>
      </c>
      <c r="G51" s="1988">
        <v>24171</v>
      </c>
      <c r="H51" s="1989">
        <v>611</v>
      </c>
      <c r="I51" s="1964">
        <f t="shared" si="39"/>
        <v>2.5278225973273758E-2</v>
      </c>
      <c r="J51" s="1988">
        <v>25510</v>
      </c>
      <c r="K51" s="1989">
        <v>837</v>
      </c>
      <c r="L51" s="1995">
        <f t="shared" si="40"/>
        <v>3.2810662485299881E-2</v>
      </c>
      <c r="M51" s="1988">
        <v>26525</v>
      </c>
      <c r="N51" s="1989">
        <v>880</v>
      </c>
      <c r="O51" s="1995">
        <f t="shared" si="41"/>
        <v>3.3176248821866164E-2</v>
      </c>
      <c r="P51" s="1988">
        <v>27761</v>
      </c>
      <c r="Q51" s="1989">
        <v>919</v>
      </c>
      <c r="R51" s="1995">
        <f t="shared" si="42"/>
        <v>3.3103994812866973E-2</v>
      </c>
      <c r="S51" s="1988">
        <v>28974</v>
      </c>
      <c r="T51" s="1989">
        <v>902</v>
      </c>
      <c r="U51" s="1995">
        <f t="shared" si="43"/>
        <v>3.1131359149582385E-2</v>
      </c>
      <c r="V51" s="1988">
        <v>30368</v>
      </c>
      <c r="W51" s="1989">
        <v>800</v>
      </c>
      <c r="X51" s="1995">
        <f t="shared" si="44"/>
        <v>2.6343519494204427E-2</v>
      </c>
      <c r="Y51" s="1988">
        <v>31189</v>
      </c>
      <c r="Z51" s="1989">
        <v>774</v>
      </c>
      <c r="AA51" s="1995">
        <f t="shared" si="45"/>
        <v>2.4816441694187053E-2</v>
      </c>
      <c r="AB51" s="1988">
        <v>32451</v>
      </c>
      <c r="AC51" s="1989">
        <v>1031</v>
      </c>
      <c r="AD51" s="1995">
        <f t="shared" si="46"/>
        <v>3.1770977781886534E-2</v>
      </c>
      <c r="AE51" s="1988">
        <v>32249</v>
      </c>
      <c r="AF51" s="1989">
        <v>1797</v>
      </c>
      <c r="AG51" s="1995">
        <f t="shared" si="47"/>
        <v>5.5722658066916807E-2</v>
      </c>
      <c r="AH51" s="1988">
        <v>34180</v>
      </c>
      <c r="AI51" s="1989">
        <v>2153</v>
      </c>
      <c r="AJ51" s="1995">
        <f t="shared" si="48"/>
        <v>6.2990052662375659E-2</v>
      </c>
      <c r="AK51" s="1984">
        <v>35029</v>
      </c>
      <c r="AL51" s="1985">
        <v>2102</v>
      </c>
      <c r="AM51" s="1995">
        <f t="shared" si="49"/>
        <v>6.0007422421422249E-2</v>
      </c>
      <c r="AN51" s="2005">
        <v>35187</v>
      </c>
      <c r="AO51" s="2006">
        <v>1964</v>
      </c>
      <c r="AP51" s="1967">
        <f t="shared" si="50"/>
        <v>5.5816068434364964E-2</v>
      </c>
      <c r="AQ51" s="2005">
        <v>35403</v>
      </c>
      <c r="AR51" s="1119">
        <v>1847</v>
      </c>
      <c r="AS51" s="1967">
        <f t="shared" si="51"/>
        <v>5.2170719995480612E-2</v>
      </c>
      <c r="AT51" s="2011">
        <v>33836</v>
      </c>
      <c r="AU51" s="2012">
        <v>1679</v>
      </c>
      <c r="AV51" s="1995">
        <f t="shared" si="52"/>
        <v>4.9621704693226153E-2</v>
      </c>
      <c r="AW51" s="2005">
        <v>34406</v>
      </c>
      <c r="AX51" s="2015">
        <v>1482</v>
      </c>
      <c r="AY51" s="1995">
        <f t="shared" si="53"/>
        <v>4.3073882462361213E-2</v>
      </c>
      <c r="AZ51" s="2005">
        <v>34206</v>
      </c>
      <c r="BA51" s="2015">
        <v>1323</v>
      </c>
      <c r="BB51" s="1995">
        <f t="shared" si="54"/>
        <v>3.8677425013155589E-2</v>
      </c>
      <c r="BC51" s="1999">
        <v>35352</v>
      </c>
      <c r="BD51" s="1251">
        <v>1272</v>
      </c>
      <c r="BE51" s="1247">
        <f t="shared" si="55"/>
        <v>3.5980991174473863E-2</v>
      </c>
      <c r="BF51" s="1999">
        <v>36069</v>
      </c>
      <c r="BG51" s="1251">
        <v>1046</v>
      </c>
      <c r="BH51" s="1247">
        <f t="shared" si="56"/>
        <v>2.8999972275361115E-2</v>
      </c>
    </row>
    <row r="52" spans="1:60" ht="12.75" customHeight="1" x14ac:dyDescent="0.3">
      <c r="A52" s="364" t="s">
        <v>122</v>
      </c>
      <c r="B52" s="366" t="s">
        <v>259</v>
      </c>
      <c r="C52" s="186" t="s">
        <v>254</v>
      </c>
      <c r="D52" s="1975">
        <v>3142</v>
      </c>
      <c r="E52" s="1976">
        <v>80</v>
      </c>
      <c r="F52" s="1977">
        <f t="shared" si="38"/>
        <v>2.5461489497135583E-2</v>
      </c>
      <c r="G52" s="1988">
        <v>3144</v>
      </c>
      <c r="H52" s="1989">
        <v>103</v>
      </c>
      <c r="I52" s="1964">
        <f t="shared" si="39"/>
        <v>3.2760814249363869E-2</v>
      </c>
      <c r="J52" s="1988">
        <v>3158</v>
      </c>
      <c r="K52" s="1989">
        <v>138</v>
      </c>
      <c r="L52" s="1995">
        <f t="shared" si="40"/>
        <v>4.3698543381887271E-2</v>
      </c>
      <c r="M52" s="1988">
        <v>3166</v>
      </c>
      <c r="N52" s="1989">
        <v>143</v>
      </c>
      <c r="O52" s="1995">
        <f t="shared" si="41"/>
        <v>4.5167403663929247E-2</v>
      </c>
      <c r="P52" s="1988">
        <v>3259</v>
      </c>
      <c r="Q52" s="1989">
        <v>122</v>
      </c>
      <c r="R52" s="1995">
        <f t="shared" si="42"/>
        <v>3.7434795949677815E-2</v>
      </c>
      <c r="S52" s="1988">
        <v>3284</v>
      </c>
      <c r="T52" s="1989">
        <v>128</v>
      </c>
      <c r="U52" s="1995">
        <f t="shared" si="43"/>
        <v>3.8976857490864797E-2</v>
      </c>
      <c r="V52" s="1988">
        <v>3337</v>
      </c>
      <c r="W52" s="1989">
        <v>111</v>
      </c>
      <c r="X52" s="1995">
        <f t="shared" si="44"/>
        <v>3.3263410248726401E-2</v>
      </c>
      <c r="Y52" s="1988">
        <v>3315</v>
      </c>
      <c r="Z52" s="1989">
        <v>117</v>
      </c>
      <c r="AA52" s="1995">
        <f t="shared" si="45"/>
        <v>3.5294117647058823E-2</v>
      </c>
      <c r="AB52" s="1988">
        <v>3354</v>
      </c>
      <c r="AC52" s="1989">
        <v>154</v>
      </c>
      <c r="AD52" s="1995">
        <f t="shared" si="46"/>
        <v>4.5915324985092425E-2</v>
      </c>
      <c r="AE52" s="1988">
        <v>3274</v>
      </c>
      <c r="AF52" s="1989">
        <v>272</v>
      </c>
      <c r="AG52" s="1995">
        <f t="shared" si="47"/>
        <v>8.3078802687843623E-2</v>
      </c>
      <c r="AH52" s="1988">
        <v>3299</v>
      </c>
      <c r="AI52" s="1989">
        <v>284</v>
      </c>
      <c r="AJ52" s="1995">
        <f t="shared" si="48"/>
        <v>8.6086692937253712E-2</v>
      </c>
      <c r="AK52" s="1984">
        <v>3350</v>
      </c>
      <c r="AL52" s="1985">
        <v>262</v>
      </c>
      <c r="AM52" s="1995">
        <f t="shared" si="49"/>
        <v>7.8208955223880591E-2</v>
      </c>
      <c r="AN52" s="2005">
        <v>3372</v>
      </c>
      <c r="AO52" s="2006">
        <v>238</v>
      </c>
      <c r="AP52" s="1967">
        <f t="shared" si="50"/>
        <v>7.0581257413997622E-2</v>
      </c>
      <c r="AQ52" s="2005">
        <v>3388</v>
      </c>
      <c r="AR52" s="1119">
        <v>214</v>
      </c>
      <c r="AS52" s="1967">
        <f t="shared" si="51"/>
        <v>6.3164108618654069E-2</v>
      </c>
      <c r="AT52" s="2011">
        <v>3653</v>
      </c>
      <c r="AU52" s="2012">
        <v>211</v>
      </c>
      <c r="AV52" s="1995">
        <f t="shared" si="52"/>
        <v>5.7760744593484806E-2</v>
      </c>
      <c r="AW52" s="2005">
        <v>3653</v>
      </c>
      <c r="AX52" s="2015">
        <v>177</v>
      </c>
      <c r="AY52" s="1995">
        <f t="shared" si="53"/>
        <v>4.8453326033397207E-2</v>
      </c>
      <c r="AZ52" s="2005">
        <v>3613</v>
      </c>
      <c r="BA52" s="2015">
        <v>151</v>
      </c>
      <c r="BB52" s="1995">
        <f t="shared" si="54"/>
        <v>4.1793523387766401E-2</v>
      </c>
      <c r="BC52" s="1999">
        <v>3766</v>
      </c>
      <c r="BD52" s="1251">
        <v>136</v>
      </c>
      <c r="BE52" s="1247">
        <f t="shared" si="55"/>
        <v>3.6112586298459905E-2</v>
      </c>
      <c r="BF52" s="1999">
        <v>3849</v>
      </c>
      <c r="BG52" s="1251">
        <v>117</v>
      </c>
      <c r="BH52" s="1247">
        <f t="shared" si="56"/>
        <v>3.0397505845674203E-2</v>
      </c>
    </row>
    <row r="53" spans="1:60" ht="12.75" customHeight="1" x14ac:dyDescent="0.3">
      <c r="A53" s="364" t="s">
        <v>124</v>
      </c>
      <c r="B53" s="366" t="s">
        <v>125</v>
      </c>
      <c r="C53" s="186" t="s">
        <v>255</v>
      </c>
      <c r="D53" s="1975">
        <v>8356</v>
      </c>
      <c r="E53" s="1976">
        <v>161</v>
      </c>
      <c r="F53" s="1977">
        <f t="shared" si="38"/>
        <v>1.9267592149353759E-2</v>
      </c>
      <c r="G53" s="1988">
        <v>8687</v>
      </c>
      <c r="H53" s="1989">
        <v>212</v>
      </c>
      <c r="I53" s="1964">
        <f t="shared" si="39"/>
        <v>2.4404282260849546E-2</v>
      </c>
      <c r="J53" s="1988">
        <v>8856</v>
      </c>
      <c r="K53" s="1989">
        <v>276</v>
      </c>
      <c r="L53" s="1995">
        <f t="shared" si="40"/>
        <v>3.1165311653116531E-2</v>
      </c>
      <c r="M53" s="1988">
        <v>9134</v>
      </c>
      <c r="N53" s="1989">
        <v>295</v>
      </c>
      <c r="O53" s="1995">
        <f t="shared" si="41"/>
        <v>3.22969126341143E-2</v>
      </c>
      <c r="P53" s="1988">
        <v>9304</v>
      </c>
      <c r="Q53" s="1989">
        <v>286</v>
      </c>
      <c r="R53" s="1995">
        <f t="shared" si="42"/>
        <v>3.0739466895958727E-2</v>
      </c>
      <c r="S53" s="1988">
        <v>9520</v>
      </c>
      <c r="T53" s="1989">
        <v>317</v>
      </c>
      <c r="U53" s="1995">
        <f t="shared" si="43"/>
        <v>3.3298319327731092E-2</v>
      </c>
      <c r="V53" s="1988">
        <v>9495</v>
      </c>
      <c r="W53" s="1989">
        <v>317</v>
      </c>
      <c r="X53" s="1995">
        <f t="shared" si="44"/>
        <v>3.3385992627698792E-2</v>
      </c>
      <c r="Y53" s="1988">
        <v>9307</v>
      </c>
      <c r="Z53" s="1989">
        <v>330</v>
      </c>
      <c r="AA53" s="1995">
        <f t="shared" si="45"/>
        <v>3.5457182765660254E-2</v>
      </c>
      <c r="AB53" s="1988">
        <v>9662</v>
      </c>
      <c r="AC53" s="1989">
        <v>492</v>
      </c>
      <c r="AD53" s="1995">
        <f t="shared" si="46"/>
        <v>5.0921134340716205E-2</v>
      </c>
      <c r="AE53" s="1988">
        <v>10284</v>
      </c>
      <c r="AF53" s="1989">
        <v>807</v>
      </c>
      <c r="AG53" s="1995">
        <f t="shared" si="47"/>
        <v>7.8471411901983659E-2</v>
      </c>
      <c r="AH53" s="1988">
        <v>10236</v>
      </c>
      <c r="AI53" s="1989">
        <v>837</v>
      </c>
      <c r="AJ53" s="1995">
        <f t="shared" si="48"/>
        <v>8.1770222743259083E-2</v>
      </c>
      <c r="AK53" s="1984">
        <v>10592</v>
      </c>
      <c r="AL53" s="1985">
        <v>809</v>
      </c>
      <c r="AM53" s="1995">
        <f t="shared" si="49"/>
        <v>7.6378398791540791E-2</v>
      </c>
      <c r="AN53" s="2005">
        <v>10515</v>
      </c>
      <c r="AO53" s="2006">
        <v>750</v>
      </c>
      <c r="AP53" s="1967">
        <f t="shared" si="50"/>
        <v>7.1326676176890161E-2</v>
      </c>
      <c r="AQ53" s="2005">
        <v>10750</v>
      </c>
      <c r="AR53" s="1119">
        <v>673</v>
      </c>
      <c r="AS53" s="1967">
        <f t="shared" si="51"/>
        <v>6.2604651162790695E-2</v>
      </c>
      <c r="AT53" s="2011">
        <v>12184</v>
      </c>
      <c r="AU53" s="2012">
        <v>641</v>
      </c>
      <c r="AV53" s="1995">
        <f t="shared" si="52"/>
        <v>5.260998030203546E-2</v>
      </c>
      <c r="AW53" s="2005">
        <v>12059</v>
      </c>
      <c r="AX53" s="2015">
        <v>572</v>
      </c>
      <c r="AY53" s="1995">
        <f t="shared" si="53"/>
        <v>4.7433452193382533E-2</v>
      </c>
      <c r="AZ53" s="2005">
        <v>12268</v>
      </c>
      <c r="BA53" s="2015">
        <v>512</v>
      </c>
      <c r="BB53" s="1995">
        <f t="shared" si="54"/>
        <v>4.1734594065862406E-2</v>
      </c>
      <c r="BC53" s="1999">
        <v>12359</v>
      </c>
      <c r="BD53" s="1251">
        <v>490</v>
      </c>
      <c r="BE53" s="1247">
        <f t="shared" si="55"/>
        <v>3.9647220648919818E-2</v>
      </c>
      <c r="BF53" s="1999">
        <v>13155</v>
      </c>
      <c r="BG53" s="1251">
        <v>387</v>
      </c>
      <c r="BH53" s="1247">
        <f t="shared" si="56"/>
        <v>2.9418472063854048E-2</v>
      </c>
    </row>
    <row r="54" spans="1:60" ht="12.75" customHeight="1" x14ac:dyDescent="0.3">
      <c r="A54" s="364" t="s">
        <v>126</v>
      </c>
      <c r="B54" s="366" t="s">
        <v>127</v>
      </c>
      <c r="C54" s="186" t="s">
        <v>254</v>
      </c>
      <c r="D54" s="1978">
        <v>6987</v>
      </c>
      <c r="E54" s="1979">
        <v>131</v>
      </c>
      <c r="F54" s="1977">
        <f t="shared" si="38"/>
        <v>1.8749105481608703E-2</v>
      </c>
      <c r="G54" s="1988">
        <v>7185</v>
      </c>
      <c r="H54" s="1989">
        <v>210</v>
      </c>
      <c r="I54" s="1964">
        <f t="shared" si="39"/>
        <v>2.9227557411273485E-2</v>
      </c>
      <c r="J54" s="1988">
        <v>7379</v>
      </c>
      <c r="K54" s="1989">
        <v>267</v>
      </c>
      <c r="L54" s="1995">
        <f t="shared" si="40"/>
        <v>3.6183764737769346E-2</v>
      </c>
      <c r="M54" s="1988">
        <v>7560</v>
      </c>
      <c r="N54" s="1989">
        <v>274</v>
      </c>
      <c r="O54" s="1995">
        <f t="shared" si="41"/>
        <v>3.6243386243386244E-2</v>
      </c>
      <c r="P54" s="1984">
        <v>7731</v>
      </c>
      <c r="Q54" s="1985">
        <v>259</v>
      </c>
      <c r="R54" s="1995">
        <f t="shared" si="42"/>
        <v>3.350148751778554E-2</v>
      </c>
      <c r="S54" s="1984">
        <v>7962</v>
      </c>
      <c r="T54" s="1985">
        <v>275</v>
      </c>
      <c r="U54" s="1995">
        <f t="shared" si="43"/>
        <v>3.453906053755338E-2</v>
      </c>
      <c r="V54" s="1984">
        <v>8301</v>
      </c>
      <c r="W54" s="1985">
        <v>225</v>
      </c>
      <c r="X54" s="1995">
        <f t="shared" si="44"/>
        <v>2.7105168052041922E-2</v>
      </c>
      <c r="Y54" s="1984">
        <v>8420</v>
      </c>
      <c r="Z54" s="1985">
        <v>230</v>
      </c>
      <c r="AA54" s="1995">
        <f t="shared" si="45"/>
        <v>2.7315914489311165E-2</v>
      </c>
      <c r="AB54" s="1984">
        <v>8772</v>
      </c>
      <c r="AC54" s="1985">
        <v>329</v>
      </c>
      <c r="AD54" s="1995">
        <f t="shared" si="46"/>
        <v>3.7505699954400368E-2</v>
      </c>
      <c r="AE54" s="1984">
        <v>8688</v>
      </c>
      <c r="AF54" s="1985">
        <v>632</v>
      </c>
      <c r="AG54" s="1995">
        <f t="shared" si="47"/>
        <v>7.2744014732965004E-2</v>
      </c>
      <c r="AH54" s="1988">
        <v>8409</v>
      </c>
      <c r="AI54" s="1989">
        <v>636</v>
      </c>
      <c r="AJ54" s="1995">
        <f t="shared" si="48"/>
        <v>7.5633250089190154E-2</v>
      </c>
      <c r="AK54" s="1984">
        <v>8531</v>
      </c>
      <c r="AL54" s="1985">
        <v>606</v>
      </c>
      <c r="AM54" s="1995">
        <f t="shared" si="49"/>
        <v>7.1035048646114166E-2</v>
      </c>
      <c r="AN54" s="2005">
        <v>8532</v>
      </c>
      <c r="AO54" s="2006">
        <v>545</v>
      </c>
      <c r="AP54" s="1967">
        <f t="shared" si="50"/>
        <v>6.3877168307548055E-2</v>
      </c>
      <c r="AQ54" s="2005">
        <v>8575</v>
      </c>
      <c r="AR54" s="1119">
        <v>486</v>
      </c>
      <c r="AS54" s="1967">
        <f t="shared" si="51"/>
        <v>5.6676384839650144E-2</v>
      </c>
      <c r="AT54" s="2011">
        <v>8828</v>
      </c>
      <c r="AU54" s="2012">
        <v>457</v>
      </c>
      <c r="AV54" s="1995">
        <f t="shared" si="52"/>
        <v>5.1767104666968738E-2</v>
      </c>
      <c r="AW54" s="2005">
        <v>8810</v>
      </c>
      <c r="AX54" s="2015">
        <v>371</v>
      </c>
      <c r="AY54" s="1995">
        <f t="shared" si="53"/>
        <v>4.2111237230419978E-2</v>
      </c>
      <c r="AZ54" s="2005">
        <v>8761</v>
      </c>
      <c r="BA54" s="2015">
        <v>326</v>
      </c>
      <c r="BB54" s="1995">
        <f t="shared" si="54"/>
        <v>3.7210364113685654E-2</v>
      </c>
      <c r="BC54" s="1999">
        <v>8856</v>
      </c>
      <c r="BD54" s="1251">
        <v>308</v>
      </c>
      <c r="BE54" s="1247">
        <f t="shared" si="55"/>
        <v>3.4778681120144532E-2</v>
      </c>
      <c r="BF54" s="1999">
        <v>9004</v>
      </c>
      <c r="BG54" s="1251">
        <v>263</v>
      </c>
      <c r="BH54" s="1247">
        <f t="shared" si="56"/>
        <v>2.9209240337627722E-2</v>
      </c>
    </row>
    <row r="55" spans="1:60" ht="12.75" customHeight="1" x14ac:dyDescent="0.3">
      <c r="A55" s="364" t="s">
        <v>128</v>
      </c>
      <c r="B55" s="366" t="s">
        <v>129</v>
      </c>
      <c r="C55" s="186" t="s">
        <v>254</v>
      </c>
      <c r="D55" s="1975">
        <v>4815</v>
      </c>
      <c r="E55" s="1976">
        <v>276</v>
      </c>
      <c r="F55" s="1977">
        <f t="shared" si="38"/>
        <v>5.73208722741433E-2</v>
      </c>
      <c r="G55" s="1988">
        <v>4917</v>
      </c>
      <c r="H55" s="1989">
        <v>301</v>
      </c>
      <c r="I55" s="1964">
        <f t="shared" si="39"/>
        <v>6.1216188732967254E-2</v>
      </c>
      <c r="J55" s="1988">
        <v>5192</v>
      </c>
      <c r="K55" s="1989">
        <v>331</v>
      </c>
      <c r="L55" s="1995">
        <f t="shared" si="40"/>
        <v>6.3751926040061635E-2</v>
      </c>
      <c r="M55" s="1988">
        <v>5300</v>
      </c>
      <c r="N55" s="1989">
        <v>292</v>
      </c>
      <c r="O55" s="1995">
        <f t="shared" si="41"/>
        <v>5.5094339622641507E-2</v>
      </c>
      <c r="P55" s="1988">
        <v>5182</v>
      </c>
      <c r="Q55" s="1989">
        <v>287</v>
      </c>
      <c r="R55" s="1995">
        <f t="shared" si="42"/>
        <v>5.5384021613276727E-2</v>
      </c>
      <c r="S55" s="1988">
        <v>5242</v>
      </c>
      <c r="T55" s="1989">
        <v>292</v>
      </c>
      <c r="U55" s="1995">
        <f t="shared" si="43"/>
        <v>5.5703929797787106E-2</v>
      </c>
      <c r="V55" s="1988">
        <v>5189</v>
      </c>
      <c r="W55" s="1989">
        <v>226</v>
      </c>
      <c r="X55" s="1995">
        <f t="shared" si="44"/>
        <v>4.3553671227596839E-2</v>
      </c>
      <c r="Y55" s="1988">
        <v>5292</v>
      </c>
      <c r="Z55" s="1989">
        <v>232</v>
      </c>
      <c r="AA55" s="1995">
        <f t="shared" si="45"/>
        <v>4.383975812547241E-2</v>
      </c>
      <c r="AB55" s="1988">
        <v>5548</v>
      </c>
      <c r="AC55" s="1989">
        <v>317</v>
      </c>
      <c r="AD55" s="1995">
        <f t="shared" si="46"/>
        <v>5.7137707281903385E-2</v>
      </c>
      <c r="AE55" s="1988">
        <v>5677</v>
      </c>
      <c r="AF55" s="1989">
        <v>546</v>
      </c>
      <c r="AG55" s="1995">
        <f t="shared" si="47"/>
        <v>9.6177558569667074E-2</v>
      </c>
      <c r="AH55" s="1988">
        <v>5451</v>
      </c>
      <c r="AI55" s="1989">
        <v>540</v>
      </c>
      <c r="AJ55" s="1995">
        <f t="shared" si="48"/>
        <v>9.9064391854705558E-2</v>
      </c>
      <c r="AK55" s="1984">
        <v>5460</v>
      </c>
      <c r="AL55" s="1985">
        <v>510</v>
      </c>
      <c r="AM55" s="1995">
        <f t="shared" si="49"/>
        <v>9.3406593406593408E-2</v>
      </c>
      <c r="AN55" s="2005">
        <v>5353</v>
      </c>
      <c r="AO55" s="2006">
        <v>429</v>
      </c>
      <c r="AP55" s="1967">
        <f t="shared" si="50"/>
        <v>8.0141976461797118E-2</v>
      </c>
      <c r="AQ55" s="2005">
        <v>5255</v>
      </c>
      <c r="AR55" s="1119">
        <v>403</v>
      </c>
      <c r="AS55" s="1967">
        <f t="shared" si="51"/>
        <v>7.668886774500476E-2</v>
      </c>
      <c r="AT55" s="2011">
        <v>5416</v>
      </c>
      <c r="AU55" s="2012">
        <v>410</v>
      </c>
      <c r="AV55" s="1995">
        <f t="shared" si="52"/>
        <v>7.5701624815361884E-2</v>
      </c>
      <c r="AW55" s="2005">
        <v>5102</v>
      </c>
      <c r="AX55" s="2015">
        <v>343</v>
      </c>
      <c r="AY55" s="1995">
        <f t="shared" si="53"/>
        <v>6.7228537828302626E-2</v>
      </c>
      <c r="AZ55" s="2005">
        <v>5100</v>
      </c>
      <c r="BA55" s="2015">
        <v>286</v>
      </c>
      <c r="BB55" s="1995">
        <f t="shared" si="54"/>
        <v>5.6078431372549017E-2</v>
      </c>
      <c r="BC55" s="1999">
        <v>5153</v>
      </c>
      <c r="BD55" s="1251">
        <v>283</v>
      </c>
      <c r="BE55" s="1247">
        <f t="shared" si="55"/>
        <v>5.4919464389675918E-2</v>
      </c>
      <c r="BF55" s="1999">
        <v>5291</v>
      </c>
      <c r="BG55" s="1251">
        <v>230</v>
      </c>
      <c r="BH55" s="1247">
        <f t="shared" si="56"/>
        <v>4.3470043470043469E-2</v>
      </c>
    </row>
    <row r="56" spans="1:60" ht="12.75" customHeight="1" x14ac:dyDescent="0.3">
      <c r="A56" s="364" t="s">
        <v>130</v>
      </c>
      <c r="B56" s="366" t="s">
        <v>131</v>
      </c>
      <c r="C56" s="186" t="s">
        <v>256</v>
      </c>
      <c r="D56" s="1975">
        <v>8774</v>
      </c>
      <c r="E56" s="1976">
        <v>367</v>
      </c>
      <c r="F56" s="1977">
        <f t="shared" si="38"/>
        <v>4.1828128561659447E-2</v>
      </c>
      <c r="G56" s="1988">
        <v>9019</v>
      </c>
      <c r="H56" s="1989">
        <v>447</v>
      </c>
      <c r="I56" s="1964">
        <f t="shared" si="39"/>
        <v>4.9562035702406033E-2</v>
      </c>
      <c r="J56" s="1988">
        <v>9549</v>
      </c>
      <c r="K56" s="1989">
        <v>545</v>
      </c>
      <c r="L56" s="1995">
        <f t="shared" si="40"/>
        <v>5.7074039166404862E-2</v>
      </c>
      <c r="M56" s="1988">
        <v>9751</v>
      </c>
      <c r="N56" s="1989">
        <v>583</v>
      </c>
      <c r="O56" s="1995">
        <f t="shared" si="41"/>
        <v>5.9788739616449593E-2</v>
      </c>
      <c r="P56" s="1988">
        <v>9446</v>
      </c>
      <c r="Q56" s="1989">
        <v>517</v>
      </c>
      <c r="R56" s="1995">
        <f t="shared" si="42"/>
        <v>5.4732161761592207E-2</v>
      </c>
      <c r="S56" s="1988">
        <v>9285</v>
      </c>
      <c r="T56" s="1989">
        <v>462</v>
      </c>
      <c r="U56" s="1995">
        <f t="shared" si="43"/>
        <v>4.9757673667205168E-2</v>
      </c>
      <c r="V56" s="1988">
        <v>9287</v>
      </c>
      <c r="W56" s="1989">
        <v>398</v>
      </c>
      <c r="X56" s="1995">
        <f t="shared" si="44"/>
        <v>4.2855604608592654E-2</v>
      </c>
      <c r="Y56" s="1988">
        <v>9538</v>
      </c>
      <c r="Z56" s="1989">
        <v>400</v>
      </c>
      <c r="AA56" s="1995">
        <f t="shared" si="45"/>
        <v>4.1937513105472848E-2</v>
      </c>
      <c r="AB56" s="1988">
        <v>9799</v>
      </c>
      <c r="AC56" s="1989">
        <v>521</v>
      </c>
      <c r="AD56" s="1995">
        <f t="shared" si="46"/>
        <v>5.316869068272273E-2</v>
      </c>
      <c r="AE56" s="1988">
        <v>10156</v>
      </c>
      <c r="AF56" s="1989">
        <v>760</v>
      </c>
      <c r="AG56" s="1995">
        <f t="shared" si="47"/>
        <v>7.4832611264277274E-2</v>
      </c>
      <c r="AH56" s="1988">
        <v>9893</v>
      </c>
      <c r="AI56" s="1989">
        <v>831</v>
      </c>
      <c r="AJ56" s="1995">
        <f t="shared" si="48"/>
        <v>8.3998787021126051E-2</v>
      </c>
      <c r="AK56" s="1984">
        <v>9978</v>
      </c>
      <c r="AL56" s="1985">
        <v>787</v>
      </c>
      <c r="AM56" s="1995">
        <f t="shared" si="49"/>
        <v>7.887352174784526E-2</v>
      </c>
      <c r="AN56" s="2005">
        <v>9518</v>
      </c>
      <c r="AO56" s="2006">
        <v>812</v>
      </c>
      <c r="AP56" s="1967">
        <f t="shared" si="50"/>
        <v>8.5312040344610207E-2</v>
      </c>
      <c r="AQ56" s="2005">
        <v>9203</v>
      </c>
      <c r="AR56" s="1119">
        <v>837</v>
      </c>
      <c r="AS56" s="1967">
        <f t="shared" si="51"/>
        <v>9.0948603716179507E-2</v>
      </c>
      <c r="AT56" s="2011">
        <v>8902</v>
      </c>
      <c r="AU56" s="2012">
        <v>729</v>
      </c>
      <c r="AV56" s="1995">
        <f t="shared" si="52"/>
        <v>8.1891709728150977E-2</v>
      </c>
      <c r="AW56" s="2005">
        <v>8646</v>
      </c>
      <c r="AX56" s="2015">
        <v>625</v>
      </c>
      <c r="AY56" s="1995">
        <f t="shared" si="53"/>
        <v>7.2287763127457785E-2</v>
      </c>
      <c r="AZ56" s="2005">
        <v>8479</v>
      </c>
      <c r="BA56" s="2015">
        <v>577</v>
      </c>
      <c r="BB56" s="1995">
        <f t="shared" si="54"/>
        <v>6.8050477650666352E-2</v>
      </c>
      <c r="BC56" s="1999">
        <v>8245</v>
      </c>
      <c r="BD56" s="1251">
        <v>457</v>
      </c>
      <c r="BE56" s="1247">
        <f t="shared" si="55"/>
        <v>5.5427531837477256E-2</v>
      </c>
      <c r="BF56" s="1999">
        <v>8322</v>
      </c>
      <c r="BG56" s="1251">
        <v>342</v>
      </c>
      <c r="BH56" s="1247">
        <f t="shared" si="56"/>
        <v>4.1095890410958902E-2</v>
      </c>
    </row>
    <row r="57" spans="1:60" ht="12.75" customHeight="1" x14ac:dyDescent="0.3">
      <c r="A57" s="364" t="s">
        <v>132</v>
      </c>
      <c r="B57" s="366" t="s">
        <v>133</v>
      </c>
      <c r="C57" s="186" t="s">
        <v>255</v>
      </c>
      <c r="D57" s="1975">
        <v>99476</v>
      </c>
      <c r="E57" s="1976">
        <v>1404</v>
      </c>
      <c r="F57" s="1977">
        <f t="shared" si="38"/>
        <v>1.4113957135389441E-2</v>
      </c>
      <c r="G57" s="1988">
        <v>108965</v>
      </c>
      <c r="H57" s="1989">
        <v>2711</v>
      </c>
      <c r="I57" s="1964">
        <f t="shared" si="39"/>
        <v>2.4879548478869362E-2</v>
      </c>
      <c r="J57" s="1988">
        <v>116962</v>
      </c>
      <c r="K57" s="1989">
        <v>4351</v>
      </c>
      <c r="L57" s="1995">
        <f t="shared" si="40"/>
        <v>3.7200116277081446E-2</v>
      </c>
      <c r="M57" s="1988">
        <v>125857</v>
      </c>
      <c r="N57" s="1989">
        <v>3978</v>
      </c>
      <c r="O57" s="1995">
        <f t="shared" si="41"/>
        <v>3.160730034880857E-2</v>
      </c>
      <c r="P57" s="1988">
        <v>137429</v>
      </c>
      <c r="Q57" s="1989">
        <v>3578</v>
      </c>
      <c r="R57" s="1995">
        <f t="shared" si="42"/>
        <v>2.6035261844297782E-2</v>
      </c>
      <c r="S57" s="1988">
        <v>148244</v>
      </c>
      <c r="T57" s="1989">
        <v>3566</v>
      </c>
      <c r="U57" s="1995">
        <f t="shared" si="43"/>
        <v>2.4054936456112896E-2</v>
      </c>
      <c r="V57" s="1988">
        <v>157216</v>
      </c>
      <c r="W57" s="1989">
        <v>3341</v>
      </c>
      <c r="X57" s="1995">
        <f t="shared" si="44"/>
        <v>2.1251017708121312E-2</v>
      </c>
      <c r="Y57" s="1988">
        <v>163160</v>
      </c>
      <c r="Z57" s="1989">
        <v>3448</v>
      </c>
      <c r="AA57" s="1995">
        <f t="shared" si="45"/>
        <v>2.1132630546702624E-2</v>
      </c>
      <c r="AB57" s="1988">
        <v>173341</v>
      </c>
      <c r="AC57" s="1989">
        <v>4865</v>
      </c>
      <c r="AD57" s="1995">
        <f t="shared" si="46"/>
        <v>2.8066066308605579E-2</v>
      </c>
      <c r="AE57" s="1988">
        <v>174656</v>
      </c>
      <c r="AF57" s="1989">
        <v>8518</v>
      </c>
      <c r="AG57" s="1995">
        <f t="shared" si="47"/>
        <v>4.8770153902528396E-2</v>
      </c>
      <c r="AH57" s="1988">
        <v>179385</v>
      </c>
      <c r="AI57" s="1989">
        <v>8788</v>
      </c>
      <c r="AJ57" s="1995">
        <f t="shared" si="48"/>
        <v>4.8989603367059674E-2</v>
      </c>
      <c r="AK57" s="1984">
        <v>186575</v>
      </c>
      <c r="AL57" s="1985">
        <v>8213</v>
      </c>
      <c r="AM57" s="1995">
        <f t="shared" si="49"/>
        <v>4.4019831167090982E-2</v>
      </c>
      <c r="AN57" s="2005">
        <v>191553</v>
      </c>
      <c r="AO57" s="2006">
        <v>8122</v>
      </c>
      <c r="AP57" s="1967">
        <f t="shared" si="50"/>
        <v>4.2400797690456425E-2</v>
      </c>
      <c r="AQ57" s="2005">
        <v>193173</v>
      </c>
      <c r="AR57" s="1119">
        <v>8053</v>
      </c>
      <c r="AS57" s="1967">
        <f t="shared" si="51"/>
        <v>4.1688020582586596E-2</v>
      </c>
      <c r="AT57" s="2011">
        <v>192351</v>
      </c>
      <c r="AU57" s="2012">
        <v>8082</v>
      </c>
      <c r="AV57" s="1995">
        <f t="shared" si="52"/>
        <v>4.2016937785610678E-2</v>
      </c>
      <c r="AW57" s="2005">
        <v>196323</v>
      </c>
      <c r="AX57" s="2015">
        <v>7001</v>
      </c>
      <c r="AY57" s="1995">
        <f t="shared" si="53"/>
        <v>3.5660620508040322E-2</v>
      </c>
      <c r="AZ57" s="2005">
        <v>202652</v>
      </c>
      <c r="BA57" s="2015">
        <v>6407</v>
      </c>
      <c r="BB57" s="1995">
        <f t="shared" si="54"/>
        <v>3.161577482580976E-2</v>
      </c>
      <c r="BC57" s="1999">
        <v>211626</v>
      </c>
      <c r="BD57" s="1251">
        <v>6438</v>
      </c>
      <c r="BE57" s="1247">
        <f t="shared" si="55"/>
        <v>3.0421592809957189E-2</v>
      </c>
      <c r="BF57" s="1999">
        <v>216433</v>
      </c>
      <c r="BG57" s="1251">
        <v>5305</v>
      </c>
      <c r="BH57" s="1247">
        <f t="shared" si="56"/>
        <v>2.451104960888589E-2</v>
      </c>
    </row>
    <row r="58" spans="1:60" ht="12.75" customHeight="1" x14ac:dyDescent="0.3">
      <c r="A58" s="364" t="s">
        <v>134</v>
      </c>
      <c r="B58" s="366" t="s">
        <v>135</v>
      </c>
      <c r="C58" s="186" t="s">
        <v>255</v>
      </c>
      <c r="D58" s="1975">
        <v>12810</v>
      </c>
      <c r="E58" s="1976">
        <v>304</v>
      </c>
      <c r="F58" s="1977">
        <f t="shared" si="38"/>
        <v>2.3731459797033568E-2</v>
      </c>
      <c r="G58" s="1988">
        <v>13127</v>
      </c>
      <c r="H58" s="1989">
        <v>407</v>
      </c>
      <c r="I58" s="1964">
        <f t="shared" si="39"/>
        <v>3.1004799268682867E-2</v>
      </c>
      <c r="J58" s="1988">
        <v>13669</v>
      </c>
      <c r="K58" s="1989">
        <v>595</v>
      </c>
      <c r="L58" s="1995">
        <f t="shared" si="40"/>
        <v>4.3529153559148437E-2</v>
      </c>
      <c r="M58" s="1988">
        <v>14117</v>
      </c>
      <c r="N58" s="1989">
        <v>597</v>
      </c>
      <c r="O58" s="1995">
        <f t="shared" si="41"/>
        <v>4.228943826592052E-2</v>
      </c>
      <c r="P58" s="1988">
        <v>14586</v>
      </c>
      <c r="Q58" s="1989">
        <v>545</v>
      </c>
      <c r="R58" s="1995">
        <f t="shared" si="42"/>
        <v>3.7364596188125598E-2</v>
      </c>
      <c r="S58" s="1988">
        <v>15197</v>
      </c>
      <c r="T58" s="1989">
        <v>547</v>
      </c>
      <c r="U58" s="1995">
        <f t="shared" si="43"/>
        <v>3.5993946173586894E-2</v>
      </c>
      <c r="V58" s="1988">
        <v>15820</v>
      </c>
      <c r="W58" s="1989">
        <v>485</v>
      </c>
      <c r="X58" s="1995">
        <f t="shared" si="44"/>
        <v>3.065739570164349E-2</v>
      </c>
      <c r="Y58" s="1988">
        <v>16073</v>
      </c>
      <c r="Z58" s="1989">
        <v>470</v>
      </c>
      <c r="AA58" s="1995">
        <f t="shared" si="45"/>
        <v>2.9241585267218317E-2</v>
      </c>
      <c r="AB58" s="1988">
        <v>16813</v>
      </c>
      <c r="AC58" s="1989">
        <v>708</v>
      </c>
      <c r="AD58" s="1995">
        <f t="shared" si="46"/>
        <v>4.2110271813477665E-2</v>
      </c>
      <c r="AE58" s="1988">
        <v>16721</v>
      </c>
      <c r="AF58" s="1989">
        <v>1360</v>
      </c>
      <c r="AG58" s="1995">
        <f t="shared" si="47"/>
        <v>8.1334848394234799E-2</v>
      </c>
      <c r="AH58" s="1988">
        <v>16454</v>
      </c>
      <c r="AI58" s="1989">
        <v>1329</v>
      </c>
      <c r="AJ58" s="1995">
        <f t="shared" si="48"/>
        <v>8.0770633280661239E-2</v>
      </c>
      <c r="AK58" s="1984">
        <v>16696</v>
      </c>
      <c r="AL58" s="1985">
        <v>1206</v>
      </c>
      <c r="AM58" s="1995">
        <f t="shared" si="49"/>
        <v>7.2232870148538575E-2</v>
      </c>
      <c r="AN58" s="2005">
        <v>16731</v>
      </c>
      <c r="AO58" s="2006">
        <v>1104</v>
      </c>
      <c r="AP58" s="1967">
        <f t="shared" si="50"/>
        <v>6.5985296754527523E-2</v>
      </c>
      <c r="AQ58" s="2005">
        <v>16818</v>
      </c>
      <c r="AR58" s="1119">
        <v>991</v>
      </c>
      <c r="AS58" s="1967">
        <f t="shared" si="51"/>
        <v>5.8924961350933523E-2</v>
      </c>
      <c r="AT58" s="2011">
        <v>18515</v>
      </c>
      <c r="AU58" s="2012">
        <v>937</v>
      </c>
      <c r="AV58" s="1995">
        <f t="shared" si="52"/>
        <v>5.0607615446934914E-2</v>
      </c>
      <c r="AW58" s="2005">
        <v>18912</v>
      </c>
      <c r="AX58" s="2015">
        <v>804</v>
      </c>
      <c r="AY58" s="1995">
        <f t="shared" si="53"/>
        <v>4.2512690355329952E-2</v>
      </c>
      <c r="AZ58" s="2005">
        <v>18457</v>
      </c>
      <c r="BA58" s="2015">
        <v>695</v>
      </c>
      <c r="BB58" s="1995">
        <f t="shared" si="54"/>
        <v>3.7655090209676542E-2</v>
      </c>
      <c r="BC58" s="1999">
        <v>19087</v>
      </c>
      <c r="BD58" s="1251">
        <v>667</v>
      </c>
      <c r="BE58" s="1247">
        <f t="shared" si="55"/>
        <v>3.4945250694189765E-2</v>
      </c>
      <c r="BF58" s="1999">
        <v>19660</v>
      </c>
      <c r="BG58" s="1251">
        <v>539</v>
      </c>
      <c r="BH58" s="1247">
        <f t="shared" si="56"/>
        <v>2.7416073245167854E-2</v>
      </c>
    </row>
    <row r="59" spans="1:60" ht="12.75" customHeight="1" x14ac:dyDescent="0.3">
      <c r="A59" s="364" t="s">
        <v>136</v>
      </c>
      <c r="B59" s="366" t="s">
        <v>137</v>
      </c>
      <c r="C59" s="186" t="s">
        <v>254</v>
      </c>
      <c r="D59" s="1975">
        <v>5341</v>
      </c>
      <c r="E59" s="1976">
        <v>184</v>
      </c>
      <c r="F59" s="1977">
        <f t="shared" si="38"/>
        <v>3.4450477438681897E-2</v>
      </c>
      <c r="G59" s="1988">
        <v>5377</v>
      </c>
      <c r="H59" s="1989">
        <v>242</v>
      </c>
      <c r="I59" s="1964">
        <f t="shared" si="39"/>
        <v>4.5006509205876885E-2</v>
      </c>
      <c r="J59" s="1988">
        <v>5492</v>
      </c>
      <c r="K59" s="1989">
        <v>306</v>
      </c>
      <c r="L59" s="1995">
        <f t="shared" si="40"/>
        <v>5.5717407137654773E-2</v>
      </c>
      <c r="M59" s="1988">
        <v>5661</v>
      </c>
      <c r="N59" s="1989">
        <v>316</v>
      </c>
      <c r="O59" s="1995">
        <f t="shared" si="41"/>
        <v>5.58205264087617E-2</v>
      </c>
      <c r="P59" s="1988">
        <v>5506</v>
      </c>
      <c r="Q59" s="1989">
        <v>267</v>
      </c>
      <c r="R59" s="1995">
        <f t="shared" si="42"/>
        <v>4.8492553577915001E-2</v>
      </c>
      <c r="S59" s="1988">
        <v>5610</v>
      </c>
      <c r="T59" s="1989">
        <v>292</v>
      </c>
      <c r="U59" s="1995">
        <f t="shared" si="43"/>
        <v>5.2049910873440283E-2</v>
      </c>
      <c r="V59" s="1988">
        <v>5579</v>
      </c>
      <c r="W59" s="1989">
        <v>245</v>
      </c>
      <c r="X59" s="1995">
        <f t="shared" si="44"/>
        <v>4.3914680050188205E-2</v>
      </c>
      <c r="Y59" s="1988">
        <v>5481</v>
      </c>
      <c r="Z59" s="1989">
        <v>250</v>
      </c>
      <c r="AA59" s="1995">
        <f t="shared" si="45"/>
        <v>4.561211457763182E-2</v>
      </c>
      <c r="AB59" s="1988">
        <v>5509</v>
      </c>
      <c r="AC59" s="1989">
        <v>328</v>
      </c>
      <c r="AD59" s="1995">
        <f t="shared" si="46"/>
        <v>5.9538936286077329E-2</v>
      </c>
      <c r="AE59" s="1988">
        <v>5637</v>
      </c>
      <c r="AF59" s="1989">
        <v>542</v>
      </c>
      <c r="AG59" s="1995">
        <f t="shared" si="47"/>
        <v>9.6150434628348408E-2</v>
      </c>
      <c r="AH59" s="1988">
        <v>5351</v>
      </c>
      <c r="AI59" s="1989">
        <v>545</v>
      </c>
      <c r="AJ59" s="1995">
        <f t="shared" si="48"/>
        <v>0.10185012147262194</v>
      </c>
      <c r="AK59" s="1984">
        <v>5283</v>
      </c>
      <c r="AL59" s="1985">
        <v>485</v>
      </c>
      <c r="AM59" s="1995">
        <f t="shared" si="49"/>
        <v>9.1803899299640362E-2</v>
      </c>
      <c r="AN59" s="2005">
        <v>5081</v>
      </c>
      <c r="AO59" s="2006">
        <v>420</v>
      </c>
      <c r="AP59" s="1967">
        <f t="shared" si="50"/>
        <v>8.2660893524896667E-2</v>
      </c>
      <c r="AQ59" s="2005">
        <v>4979</v>
      </c>
      <c r="AR59" s="1119">
        <v>402</v>
      </c>
      <c r="AS59" s="1967">
        <f t="shared" si="51"/>
        <v>8.0739104237798759E-2</v>
      </c>
      <c r="AT59" s="2011">
        <v>5378</v>
      </c>
      <c r="AU59" s="2012">
        <v>320</v>
      </c>
      <c r="AV59" s="1995">
        <f t="shared" si="52"/>
        <v>5.9501673484566753E-2</v>
      </c>
      <c r="AW59" s="2005">
        <v>5313</v>
      </c>
      <c r="AX59" s="2015">
        <v>276</v>
      </c>
      <c r="AY59" s="1995">
        <f t="shared" si="53"/>
        <v>5.1948051948051951E-2</v>
      </c>
      <c r="AZ59" s="2005">
        <v>5252</v>
      </c>
      <c r="BA59" s="2015">
        <v>241</v>
      </c>
      <c r="BB59" s="1995">
        <f t="shared" si="54"/>
        <v>4.5887281035795889E-2</v>
      </c>
      <c r="BC59" s="1999">
        <v>5198</v>
      </c>
      <c r="BD59" s="1251">
        <v>227</v>
      </c>
      <c r="BE59" s="1247">
        <f t="shared" si="55"/>
        <v>4.3670642554828783E-2</v>
      </c>
      <c r="BF59" s="1999">
        <v>5340</v>
      </c>
      <c r="BG59" s="1251">
        <v>173</v>
      </c>
      <c r="BH59" s="1247">
        <f t="shared" si="56"/>
        <v>3.2397003745318349E-2</v>
      </c>
    </row>
    <row r="60" spans="1:60" ht="12.75" customHeight="1" x14ac:dyDescent="0.3">
      <c r="A60" s="364" t="s">
        <v>140</v>
      </c>
      <c r="B60" s="366" t="s">
        <v>141</v>
      </c>
      <c r="C60" s="186" t="s">
        <v>255</v>
      </c>
      <c r="D60" s="1975">
        <v>6520</v>
      </c>
      <c r="E60" s="1976">
        <v>115</v>
      </c>
      <c r="F60" s="1977">
        <f t="shared" si="38"/>
        <v>1.763803680981595E-2</v>
      </c>
      <c r="G60" s="1988">
        <v>6765</v>
      </c>
      <c r="H60" s="1989">
        <v>150</v>
      </c>
      <c r="I60" s="1964">
        <f t="shared" si="39"/>
        <v>2.2172949002217297E-2</v>
      </c>
      <c r="J60" s="1988">
        <v>7021</v>
      </c>
      <c r="K60" s="1989">
        <v>301</v>
      </c>
      <c r="L60" s="1995">
        <f t="shared" si="40"/>
        <v>4.2871385842472583E-2</v>
      </c>
      <c r="M60" s="1988">
        <v>7224</v>
      </c>
      <c r="N60" s="1989">
        <v>278</v>
      </c>
      <c r="O60" s="1995">
        <f t="shared" si="41"/>
        <v>3.8482834994462901E-2</v>
      </c>
      <c r="P60" s="1988">
        <v>7122</v>
      </c>
      <c r="Q60" s="1989">
        <v>211</v>
      </c>
      <c r="R60" s="1995">
        <f t="shared" si="42"/>
        <v>2.962650940746981E-2</v>
      </c>
      <c r="S60" s="1988">
        <v>7218</v>
      </c>
      <c r="T60" s="1989">
        <v>220</v>
      </c>
      <c r="U60" s="1995">
        <f t="shared" si="43"/>
        <v>3.0479357162648935E-2</v>
      </c>
      <c r="V60" s="1988">
        <v>7283</v>
      </c>
      <c r="W60" s="1989">
        <v>191</v>
      </c>
      <c r="X60" s="1995">
        <f t="shared" si="44"/>
        <v>2.622545654263353E-2</v>
      </c>
      <c r="Y60" s="1988">
        <v>7317</v>
      </c>
      <c r="Z60" s="1989">
        <v>197</v>
      </c>
      <c r="AA60" s="1995">
        <f t="shared" si="45"/>
        <v>2.6923602569359027E-2</v>
      </c>
      <c r="AB60" s="1988">
        <v>7412</v>
      </c>
      <c r="AC60" s="1989">
        <v>278</v>
      </c>
      <c r="AD60" s="1995">
        <f t="shared" si="46"/>
        <v>3.7506745817593092E-2</v>
      </c>
      <c r="AE60" s="1988">
        <v>7449</v>
      </c>
      <c r="AF60" s="1989">
        <v>475</v>
      </c>
      <c r="AG60" s="1995">
        <f t="shared" si="47"/>
        <v>6.3766948583702507E-2</v>
      </c>
      <c r="AH60" s="1988">
        <v>7162</v>
      </c>
      <c r="AI60" s="1989">
        <v>453</v>
      </c>
      <c r="AJ60" s="1995">
        <f t="shared" si="48"/>
        <v>6.3250488690309969E-2</v>
      </c>
      <c r="AK60" s="1984">
        <v>7165</v>
      </c>
      <c r="AL60" s="1985">
        <v>373</v>
      </c>
      <c r="AM60" s="1995">
        <f t="shared" si="49"/>
        <v>5.20586182833217E-2</v>
      </c>
      <c r="AN60" s="2005">
        <v>7522</v>
      </c>
      <c r="AO60" s="2006">
        <v>342</v>
      </c>
      <c r="AP60" s="1967">
        <f t="shared" si="50"/>
        <v>4.5466631215102367E-2</v>
      </c>
      <c r="AQ60" s="2005">
        <v>7526</v>
      </c>
      <c r="AR60" s="1119">
        <v>321</v>
      </c>
      <c r="AS60" s="1967">
        <f t="shared" si="51"/>
        <v>4.265213925059793E-2</v>
      </c>
      <c r="AT60" s="2011">
        <v>7309</v>
      </c>
      <c r="AU60" s="2012">
        <v>294</v>
      </c>
      <c r="AV60" s="1995">
        <f t="shared" si="52"/>
        <v>4.0224380900259954E-2</v>
      </c>
      <c r="AW60" s="2005">
        <v>7156</v>
      </c>
      <c r="AX60" s="2015">
        <v>250</v>
      </c>
      <c r="AY60" s="1995">
        <f t="shared" si="53"/>
        <v>3.4935718278367806E-2</v>
      </c>
      <c r="AZ60" s="2005">
        <v>7182</v>
      </c>
      <c r="BA60" s="2015">
        <v>221</v>
      </c>
      <c r="BB60" s="1995">
        <f t="shared" si="54"/>
        <v>3.0771372876636033E-2</v>
      </c>
      <c r="BC60" s="1999">
        <v>7290</v>
      </c>
      <c r="BD60" s="1251">
        <v>215</v>
      </c>
      <c r="BE60" s="1247">
        <f t="shared" si="55"/>
        <v>2.9492455418381344E-2</v>
      </c>
      <c r="BF60" s="1999">
        <v>7261</v>
      </c>
      <c r="BG60" s="1251">
        <v>175</v>
      </c>
      <c r="BH60" s="1247">
        <f t="shared" si="56"/>
        <v>2.4101363448560804E-2</v>
      </c>
    </row>
    <row r="61" spans="1:60" ht="12.75" customHeight="1" x14ac:dyDescent="0.3">
      <c r="A61" s="364" t="s">
        <v>146</v>
      </c>
      <c r="B61" s="366" t="s">
        <v>147</v>
      </c>
      <c r="C61" s="186" t="s">
        <v>252</v>
      </c>
      <c r="D61" s="1975">
        <v>4233</v>
      </c>
      <c r="E61" s="1976">
        <v>92</v>
      </c>
      <c r="F61" s="1977">
        <f t="shared" si="38"/>
        <v>2.1733994802740374E-2</v>
      </c>
      <c r="G61" s="1988">
        <v>4338</v>
      </c>
      <c r="H61" s="1989">
        <v>129</v>
      </c>
      <c r="I61" s="1964">
        <f t="shared" si="39"/>
        <v>2.9737206085753802E-2</v>
      </c>
      <c r="J61" s="1988">
        <v>4445</v>
      </c>
      <c r="K61" s="1989">
        <v>176</v>
      </c>
      <c r="L61" s="1995">
        <f t="shared" si="40"/>
        <v>3.9595050618672668E-2</v>
      </c>
      <c r="M61" s="1988">
        <v>4397</v>
      </c>
      <c r="N61" s="1989">
        <v>140</v>
      </c>
      <c r="O61" s="1995">
        <f t="shared" si="41"/>
        <v>3.1839890834659997E-2</v>
      </c>
      <c r="P61" s="1988">
        <v>4371</v>
      </c>
      <c r="Q61" s="1989">
        <v>130</v>
      </c>
      <c r="R61" s="1995">
        <f t="shared" si="42"/>
        <v>2.9741477922672156E-2</v>
      </c>
      <c r="S61" s="1988">
        <v>4425</v>
      </c>
      <c r="T61" s="1989">
        <v>132</v>
      </c>
      <c r="U61" s="1995">
        <f t="shared" si="43"/>
        <v>2.9830508474576273E-2</v>
      </c>
      <c r="V61" s="1988">
        <v>4461</v>
      </c>
      <c r="W61" s="1989">
        <v>116</v>
      </c>
      <c r="X61" s="1995">
        <f t="shared" si="44"/>
        <v>2.600313830979601E-2</v>
      </c>
      <c r="Y61" s="1988">
        <v>4405</v>
      </c>
      <c r="Z61" s="1989">
        <v>113</v>
      </c>
      <c r="AA61" s="1995">
        <f t="shared" si="45"/>
        <v>2.5652667423382521E-2</v>
      </c>
      <c r="AB61" s="1988">
        <v>4504</v>
      </c>
      <c r="AC61" s="1989">
        <v>160</v>
      </c>
      <c r="AD61" s="1995">
        <f t="shared" si="46"/>
        <v>3.5523978685612786E-2</v>
      </c>
      <c r="AE61" s="1988">
        <v>4346</v>
      </c>
      <c r="AF61" s="1989">
        <v>249</v>
      </c>
      <c r="AG61" s="1995">
        <f t="shared" si="47"/>
        <v>5.72940635066728E-2</v>
      </c>
      <c r="AH61" s="1988">
        <v>4360</v>
      </c>
      <c r="AI61" s="1989">
        <v>269</v>
      </c>
      <c r="AJ61" s="1995">
        <f t="shared" si="48"/>
        <v>6.1697247706422022E-2</v>
      </c>
      <c r="AK61" s="1984">
        <v>4403</v>
      </c>
      <c r="AL61" s="1985">
        <v>280</v>
      </c>
      <c r="AM61" s="1995">
        <f t="shared" si="49"/>
        <v>6.3593004769475353E-2</v>
      </c>
      <c r="AN61" s="2005">
        <v>4307</v>
      </c>
      <c r="AO61" s="2006">
        <v>230</v>
      </c>
      <c r="AP61" s="1967">
        <f t="shared" si="50"/>
        <v>5.340143951706524E-2</v>
      </c>
      <c r="AQ61" s="2005">
        <v>4326</v>
      </c>
      <c r="AR61" s="1119">
        <v>208</v>
      </c>
      <c r="AS61" s="1967">
        <f t="shared" si="51"/>
        <v>4.8081368469717986E-2</v>
      </c>
      <c r="AT61" s="2011">
        <v>4177</v>
      </c>
      <c r="AU61" s="2012">
        <v>194</v>
      </c>
      <c r="AV61" s="1995">
        <f t="shared" si="52"/>
        <v>4.6444816854201577E-2</v>
      </c>
      <c r="AW61" s="2005">
        <v>4106</v>
      </c>
      <c r="AX61" s="2015">
        <v>171</v>
      </c>
      <c r="AY61" s="1995">
        <f t="shared" si="53"/>
        <v>4.1646371164150021E-2</v>
      </c>
      <c r="AZ61" s="2005">
        <v>4067</v>
      </c>
      <c r="BA61" s="2015">
        <v>161</v>
      </c>
      <c r="BB61" s="1995">
        <f t="shared" si="54"/>
        <v>3.9586919104991396E-2</v>
      </c>
      <c r="BC61" s="1999">
        <v>4093</v>
      </c>
      <c r="BD61" s="1251">
        <v>155</v>
      </c>
      <c r="BE61" s="1247">
        <f t="shared" si="55"/>
        <v>3.7869533349621308E-2</v>
      </c>
      <c r="BF61" s="1999">
        <v>4111</v>
      </c>
      <c r="BG61" s="1251">
        <v>124</v>
      </c>
      <c r="BH61" s="1247">
        <f t="shared" si="56"/>
        <v>3.0162977377766968E-2</v>
      </c>
    </row>
    <row r="62" spans="1:60" ht="12.75" customHeight="1" x14ac:dyDescent="0.3">
      <c r="A62" s="364" t="s">
        <v>148</v>
      </c>
      <c r="B62" s="366" t="s">
        <v>149</v>
      </c>
      <c r="C62" s="186" t="s">
        <v>253</v>
      </c>
      <c r="D62" s="1975">
        <v>14159</v>
      </c>
      <c r="E62" s="1976">
        <v>473</v>
      </c>
      <c r="F62" s="1977">
        <f t="shared" si="38"/>
        <v>3.340631400522636E-2</v>
      </c>
      <c r="G62" s="1988">
        <v>14113</v>
      </c>
      <c r="H62" s="1989">
        <v>821</v>
      </c>
      <c r="I62" s="1964">
        <f t="shared" si="39"/>
        <v>5.8173315382980234E-2</v>
      </c>
      <c r="J62" s="1988">
        <v>14150</v>
      </c>
      <c r="K62" s="1989">
        <v>1438</v>
      </c>
      <c r="L62" s="1995">
        <f t="shared" si="40"/>
        <v>0.10162544169611308</v>
      </c>
      <c r="M62" s="1988">
        <v>13784</v>
      </c>
      <c r="N62" s="1989">
        <v>1286</v>
      </c>
      <c r="O62" s="1995">
        <f t="shared" si="41"/>
        <v>9.3296575739988397E-2</v>
      </c>
      <c r="P62" s="1988">
        <v>13216</v>
      </c>
      <c r="Q62" s="1989">
        <v>879</v>
      </c>
      <c r="R62" s="1995">
        <f t="shared" si="42"/>
        <v>6.651029055690072E-2</v>
      </c>
      <c r="S62" s="1988">
        <v>13271</v>
      </c>
      <c r="T62" s="1989">
        <v>809</v>
      </c>
      <c r="U62" s="1995">
        <f t="shared" si="43"/>
        <v>6.0959987943636502E-2</v>
      </c>
      <c r="V62" s="1988">
        <v>13132</v>
      </c>
      <c r="W62" s="1989">
        <v>686</v>
      </c>
      <c r="X62" s="1995">
        <f t="shared" si="44"/>
        <v>5.2238805970149252E-2</v>
      </c>
      <c r="Y62" s="1988">
        <v>13129</v>
      </c>
      <c r="Z62" s="1989">
        <v>668</v>
      </c>
      <c r="AA62" s="1995">
        <f t="shared" si="45"/>
        <v>5.0879731891233147E-2</v>
      </c>
      <c r="AB62" s="1988">
        <v>13482</v>
      </c>
      <c r="AC62" s="1989">
        <v>884</v>
      </c>
      <c r="AD62" s="1995">
        <f t="shared" si="46"/>
        <v>6.5568906690402023E-2</v>
      </c>
      <c r="AE62" s="1988">
        <v>14132</v>
      </c>
      <c r="AF62" s="1989">
        <v>1597</v>
      </c>
      <c r="AG62" s="1995">
        <f t="shared" si="47"/>
        <v>0.11300594395697708</v>
      </c>
      <c r="AH62" s="1988">
        <v>13599</v>
      </c>
      <c r="AI62" s="1989">
        <v>1626</v>
      </c>
      <c r="AJ62" s="1995">
        <f t="shared" si="48"/>
        <v>0.11956761526582838</v>
      </c>
      <c r="AK62" s="1984">
        <v>13507</v>
      </c>
      <c r="AL62" s="1985">
        <v>1462</v>
      </c>
      <c r="AM62" s="1995">
        <f t="shared" si="49"/>
        <v>0.10824017176278966</v>
      </c>
      <c r="AN62" s="2005">
        <v>12873</v>
      </c>
      <c r="AO62" s="2006">
        <v>1272</v>
      </c>
      <c r="AP62" s="1967">
        <f t="shared" si="50"/>
        <v>9.8811465858774178E-2</v>
      </c>
      <c r="AQ62" s="2005">
        <v>12255</v>
      </c>
      <c r="AR62" s="1119">
        <v>1211</v>
      </c>
      <c r="AS62" s="1967">
        <f t="shared" si="51"/>
        <v>9.8816809465524277E-2</v>
      </c>
      <c r="AT62" s="2011">
        <v>12679</v>
      </c>
      <c r="AU62" s="2012">
        <v>982</v>
      </c>
      <c r="AV62" s="1995">
        <f t="shared" si="52"/>
        <v>7.7450903068065305E-2</v>
      </c>
      <c r="AW62" s="2005">
        <v>12530</v>
      </c>
      <c r="AX62" s="2015">
        <v>773</v>
      </c>
      <c r="AY62" s="1995">
        <f t="shared" si="53"/>
        <v>6.1691939345570629E-2</v>
      </c>
      <c r="AZ62" s="2005">
        <v>12420</v>
      </c>
      <c r="BA62" s="2015">
        <v>698</v>
      </c>
      <c r="BB62" s="1995">
        <f t="shared" si="54"/>
        <v>5.6199677938808375E-2</v>
      </c>
      <c r="BC62" s="1999">
        <v>12150</v>
      </c>
      <c r="BD62" s="1251">
        <v>638</v>
      </c>
      <c r="BE62" s="1247">
        <f t="shared" si="55"/>
        <v>5.2510288065843624E-2</v>
      </c>
      <c r="BF62" s="1999">
        <v>12636</v>
      </c>
      <c r="BG62" s="1251">
        <v>515</v>
      </c>
      <c r="BH62" s="1247">
        <f t="shared" si="56"/>
        <v>4.075656853434631E-2</v>
      </c>
    </row>
    <row r="63" spans="1:60" ht="12.75" customHeight="1" x14ac:dyDescent="0.3">
      <c r="A63" s="364" t="s">
        <v>150</v>
      </c>
      <c r="B63" s="366" t="s">
        <v>151</v>
      </c>
      <c r="C63" s="186" t="s">
        <v>254</v>
      </c>
      <c r="D63" s="1975">
        <v>4517</v>
      </c>
      <c r="E63" s="1976">
        <v>94</v>
      </c>
      <c r="F63" s="1977">
        <f t="shared" si="38"/>
        <v>2.0810272304626964E-2</v>
      </c>
      <c r="G63" s="1988">
        <v>4613</v>
      </c>
      <c r="H63" s="1989">
        <v>122</v>
      </c>
      <c r="I63" s="1964">
        <f t="shared" si="39"/>
        <v>2.6446997615434641E-2</v>
      </c>
      <c r="J63" s="1988">
        <v>4762</v>
      </c>
      <c r="K63" s="1989">
        <v>157</v>
      </c>
      <c r="L63" s="1995">
        <f t="shared" si="40"/>
        <v>3.2969340613187736E-2</v>
      </c>
      <c r="M63" s="1988">
        <v>4900</v>
      </c>
      <c r="N63" s="1989">
        <v>171</v>
      </c>
      <c r="O63" s="1995">
        <f t="shared" si="41"/>
        <v>3.4897959183673471E-2</v>
      </c>
      <c r="P63" s="1988">
        <v>4940</v>
      </c>
      <c r="Q63" s="1989">
        <v>165</v>
      </c>
      <c r="R63" s="1995">
        <f t="shared" si="42"/>
        <v>3.3400809716599193E-2</v>
      </c>
      <c r="S63" s="1988">
        <v>5063</v>
      </c>
      <c r="T63" s="1989">
        <v>177</v>
      </c>
      <c r="U63" s="1995">
        <f t="shared" si="43"/>
        <v>3.4959510171834879E-2</v>
      </c>
      <c r="V63" s="1988">
        <v>5066</v>
      </c>
      <c r="W63" s="1989">
        <v>160</v>
      </c>
      <c r="X63" s="1995">
        <f t="shared" si="44"/>
        <v>3.1583103039873668E-2</v>
      </c>
      <c r="Y63" s="1988">
        <v>5017</v>
      </c>
      <c r="Z63" s="1989">
        <v>152</v>
      </c>
      <c r="AA63" s="1995">
        <f t="shared" si="45"/>
        <v>3.0296990233207095E-2</v>
      </c>
      <c r="AB63" s="1988">
        <v>5138</v>
      </c>
      <c r="AC63" s="1989">
        <v>197</v>
      </c>
      <c r="AD63" s="1995">
        <f t="shared" si="46"/>
        <v>3.834176722460101E-2</v>
      </c>
      <c r="AE63" s="1988">
        <v>5200</v>
      </c>
      <c r="AF63" s="1989">
        <v>359</v>
      </c>
      <c r="AG63" s="1995">
        <f t="shared" si="47"/>
        <v>6.9038461538461535E-2</v>
      </c>
      <c r="AH63" s="1988">
        <v>5041</v>
      </c>
      <c r="AI63" s="1989">
        <v>375</v>
      </c>
      <c r="AJ63" s="1995">
        <f t="shared" si="48"/>
        <v>7.4390001983733384E-2</v>
      </c>
      <c r="AK63" s="1984">
        <v>5032</v>
      </c>
      <c r="AL63" s="1985">
        <v>336</v>
      </c>
      <c r="AM63" s="1995">
        <f t="shared" si="49"/>
        <v>6.6772655007949128E-2</v>
      </c>
      <c r="AN63" s="2005">
        <v>5001</v>
      </c>
      <c r="AO63" s="2006">
        <v>310</v>
      </c>
      <c r="AP63" s="1967">
        <f t="shared" si="50"/>
        <v>6.1987602479504099E-2</v>
      </c>
      <c r="AQ63" s="2005">
        <v>4989</v>
      </c>
      <c r="AR63" s="1119">
        <v>289</v>
      </c>
      <c r="AS63" s="1967">
        <f t="shared" si="51"/>
        <v>5.7927440368811388E-2</v>
      </c>
      <c r="AT63" s="2011">
        <v>5066</v>
      </c>
      <c r="AU63" s="2012">
        <v>257</v>
      </c>
      <c r="AV63" s="1995">
        <f t="shared" si="52"/>
        <v>5.0730359257797078E-2</v>
      </c>
      <c r="AW63" s="2005">
        <v>4984</v>
      </c>
      <c r="AX63" s="2015">
        <v>214</v>
      </c>
      <c r="AY63" s="1995">
        <f t="shared" si="53"/>
        <v>4.2937399678972712E-2</v>
      </c>
      <c r="AZ63" s="2005">
        <v>4985</v>
      </c>
      <c r="BA63" s="2015">
        <v>188</v>
      </c>
      <c r="BB63" s="1995">
        <f t="shared" si="54"/>
        <v>3.7713139418254764E-2</v>
      </c>
      <c r="BC63" s="1999">
        <v>5194</v>
      </c>
      <c r="BD63" s="1251">
        <v>177</v>
      </c>
      <c r="BE63" s="1247">
        <f t="shared" si="55"/>
        <v>3.4077782056218711E-2</v>
      </c>
      <c r="BF63" s="1999">
        <v>5258</v>
      </c>
      <c r="BG63" s="1251">
        <v>139</v>
      </c>
      <c r="BH63" s="1247">
        <f t="shared" si="56"/>
        <v>2.6435907189045264E-2</v>
      </c>
    </row>
    <row r="64" spans="1:60" ht="12.75" customHeight="1" x14ac:dyDescent="0.3">
      <c r="A64" s="364" t="s">
        <v>152</v>
      </c>
      <c r="B64" s="366" t="s">
        <v>153</v>
      </c>
      <c r="C64" s="186" t="s">
        <v>256</v>
      </c>
      <c r="D64" s="1975">
        <v>40573</v>
      </c>
      <c r="E64" s="1976">
        <v>1019</v>
      </c>
      <c r="F64" s="1977">
        <f t="shared" si="38"/>
        <v>2.5115224410322136E-2</v>
      </c>
      <c r="G64" s="1988">
        <v>40788</v>
      </c>
      <c r="H64" s="1989">
        <v>1346</v>
      </c>
      <c r="I64" s="1964">
        <f t="shared" si="39"/>
        <v>3.2999901931940766E-2</v>
      </c>
      <c r="J64" s="1988">
        <v>41554</v>
      </c>
      <c r="K64" s="1989">
        <v>1654</v>
      </c>
      <c r="L64" s="1995">
        <f t="shared" si="40"/>
        <v>3.9803629012850748E-2</v>
      </c>
      <c r="M64" s="1988">
        <v>43087</v>
      </c>
      <c r="N64" s="1989">
        <v>1636</v>
      </c>
      <c r="O64" s="1995">
        <f t="shared" si="41"/>
        <v>3.7969689233411472E-2</v>
      </c>
      <c r="P64" s="1988">
        <v>43097</v>
      </c>
      <c r="Q64" s="1989">
        <v>1563</v>
      </c>
      <c r="R64" s="1995">
        <f t="shared" si="42"/>
        <v>3.6267025547021832E-2</v>
      </c>
      <c r="S64" s="1988">
        <v>43395</v>
      </c>
      <c r="T64" s="1989">
        <v>1538</v>
      </c>
      <c r="U64" s="1995">
        <f t="shared" si="43"/>
        <v>3.544187118331605E-2</v>
      </c>
      <c r="V64" s="1988">
        <v>43612</v>
      </c>
      <c r="W64" s="1989">
        <v>1337</v>
      </c>
      <c r="X64" s="1995">
        <f t="shared" si="44"/>
        <v>3.0656699990828214E-2</v>
      </c>
      <c r="Y64" s="1988">
        <v>44077</v>
      </c>
      <c r="Z64" s="1989">
        <v>1423</v>
      </c>
      <c r="AA64" s="1995">
        <f t="shared" si="45"/>
        <v>3.2284411371009826E-2</v>
      </c>
      <c r="AB64" s="1988">
        <v>45930</v>
      </c>
      <c r="AC64" s="1989">
        <v>1877</v>
      </c>
      <c r="AD64" s="1995">
        <f t="shared" si="46"/>
        <v>4.0866536033093835E-2</v>
      </c>
      <c r="AE64" s="1988">
        <v>45586</v>
      </c>
      <c r="AF64" s="1989">
        <v>3294</v>
      </c>
      <c r="AG64" s="1995">
        <f t="shared" si="47"/>
        <v>7.2259026894221909E-2</v>
      </c>
      <c r="AH64" s="1988">
        <v>46045</v>
      </c>
      <c r="AI64" s="1989">
        <v>3436</v>
      </c>
      <c r="AJ64" s="1995">
        <f t="shared" si="48"/>
        <v>7.4622651753719182E-2</v>
      </c>
      <c r="AK64" s="1984">
        <v>47219</v>
      </c>
      <c r="AL64" s="1985">
        <v>3139</v>
      </c>
      <c r="AM64" s="1995">
        <f t="shared" si="49"/>
        <v>6.6477477286685446E-2</v>
      </c>
      <c r="AN64" s="2005">
        <v>47889</v>
      </c>
      <c r="AO64" s="2006">
        <v>2879</v>
      </c>
      <c r="AP64" s="1967">
        <f t="shared" si="50"/>
        <v>6.0118189980997723E-2</v>
      </c>
      <c r="AQ64" s="2005">
        <v>48601</v>
      </c>
      <c r="AR64" s="1119">
        <v>2681</v>
      </c>
      <c r="AS64" s="1967">
        <f t="shared" si="51"/>
        <v>5.5163474002592541E-2</v>
      </c>
      <c r="AT64" s="2011">
        <v>50249</v>
      </c>
      <c r="AU64" s="2012">
        <v>2536</v>
      </c>
      <c r="AV64" s="1995">
        <f t="shared" si="52"/>
        <v>5.0468666043105334E-2</v>
      </c>
      <c r="AW64" s="2005">
        <v>50008</v>
      </c>
      <c r="AX64" s="2015">
        <v>2162</v>
      </c>
      <c r="AY64" s="1995">
        <f t="shared" si="53"/>
        <v>4.3233082706766915E-2</v>
      </c>
      <c r="AZ64" s="2005">
        <v>49782</v>
      </c>
      <c r="BA64" s="2015">
        <v>2006</v>
      </c>
      <c r="BB64" s="1995">
        <f t="shared" si="54"/>
        <v>4.029568920493351E-2</v>
      </c>
      <c r="BC64" s="1999">
        <v>49863</v>
      </c>
      <c r="BD64" s="1251">
        <v>1911</v>
      </c>
      <c r="BE64" s="1247">
        <f t="shared" si="55"/>
        <v>3.8325010528849048E-2</v>
      </c>
      <c r="BF64" s="1999">
        <v>49715</v>
      </c>
      <c r="BG64" s="1251">
        <v>1453</v>
      </c>
      <c r="BH64" s="1247">
        <f t="shared" si="56"/>
        <v>2.9226591571960173E-2</v>
      </c>
    </row>
    <row r="65" spans="1:60" ht="12.75" customHeight="1" x14ac:dyDescent="0.3">
      <c r="A65" s="364" t="s">
        <v>154</v>
      </c>
      <c r="B65" s="366" t="s">
        <v>155</v>
      </c>
      <c r="C65" s="186" t="s">
        <v>253</v>
      </c>
      <c r="D65" s="1975">
        <v>6991</v>
      </c>
      <c r="E65" s="1976">
        <v>162</v>
      </c>
      <c r="F65" s="1977">
        <f t="shared" si="38"/>
        <v>2.3172650550708052E-2</v>
      </c>
      <c r="G65" s="1988">
        <v>7091</v>
      </c>
      <c r="H65" s="1989">
        <v>232</v>
      </c>
      <c r="I65" s="1964">
        <f t="shared" si="39"/>
        <v>3.2717529262445352E-2</v>
      </c>
      <c r="J65" s="1988">
        <v>7137</v>
      </c>
      <c r="K65" s="1989">
        <v>259</v>
      </c>
      <c r="L65" s="1995">
        <f t="shared" si="40"/>
        <v>3.6289757601233014E-2</v>
      </c>
      <c r="M65" s="1988">
        <v>7237</v>
      </c>
      <c r="N65" s="1989">
        <v>263</v>
      </c>
      <c r="O65" s="1995">
        <f t="shared" si="41"/>
        <v>3.6341025286721014E-2</v>
      </c>
      <c r="P65" s="1988">
        <v>7339</v>
      </c>
      <c r="Q65" s="1989">
        <v>261</v>
      </c>
      <c r="R65" s="1995">
        <f t="shared" si="42"/>
        <v>3.5563428259980927E-2</v>
      </c>
      <c r="S65" s="1988">
        <v>7471</v>
      </c>
      <c r="T65" s="1989">
        <v>239</v>
      </c>
      <c r="U65" s="1995">
        <f t="shared" si="43"/>
        <v>3.1990362735912194E-2</v>
      </c>
      <c r="V65" s="1988">
        <v>7726</v>
      </c>
      <c r="W65" s="1989">
        <v>212</v>
      </c>
      <c r="X65" s="1995">
        <f t="shared" si="44"/>
        <v>2.7439813616360342E-2</v>
      </c>
      <c r="Y65" s="1988">
        <v>7866</v>
      </c>
      <c r="Z65" s="1989">
        <v>213</v>
      </c>
      <c r="AA65" s="1995">
        <f t="shared" si="45"/>
        <v>2.707856598016781E-2</v>
      </c>
      <c r="AB65" s="1988">
        <v>8088</v>
      </c>
      <c r="AC65" s="1989">
        <v>291</v>
      </c>
      <c r="AD65" s="1995">
        <f t="shared" si="46"/>
        <v>3.5979228486646884E-2</v>
      </c>
      <c r="AE65" s="1988">
        <v>8063</v>
      </c>
      <c r="AF65" s="1989">
        <v>535</v>
      </c>
      <c r="AG65" s="1995">
        <f t="shared" si="47"/>
        <v>6.6352474265161845E-2</v>
      </c>
      <c r="AH65" s="1988">
        <v>7654</v>
      </c>
      <c r="AI65" s="1989">
        <v>525</v>
      </c>
      <c r="AJ65" s="1995">
        <f t="shared" si="48"/>
        <v>6.859158609877189E-2</v>
      </c>
      <c r="AK65" s="1984">
        <v>7737</v>
      </c>
      <c r="AL65" s="1985">
        <v>450</v>
      </c>
      <c r="AM65" s="1995">
        <f t="shared" si="49"/>
        <v>5.8162078324932143E-2</v>
      </c>
      <c r="AN65" s="2005">
        <v>7572</v>
      </c>
      <c r="AO65" s="2006">
        <v>414</v>
      </c>
      <c r="AP65" s="1967">
        <f t="shared" si="50"/>
        <v>5.4675118858954042E-2</v>
      </c>
      <c r="AQ65" s="2005">
        <v>7627</v>
      </c>
      <c r="AR65" s="1119">
        <v>393</v>
      </c>
      <c r="AS65" s="1967">
        <f t="shared" si="51"/>
        <v>5.1527468205060968E-2</v>
      </c>
      <c r="AT65" s="2011">
        <v>7519</v>
      </c>
      <c r="AU65" s="2012">
        <v>364</v>
      </c>
      <c r="AV65" s="1995">
        <f t="shared" si="52"/>
        <v>4.8410692911291395E-2</v>
      </c>
      <c r="AW65" s="2005">
        <v>7442</v>
      </c>
      <c r="AX65" s="2015">
        <v>300</v>
      </c>
      <c r="AY65" s="1995">
        <f t="shared" si="53"/>
        <v>4.0311744154797095E-2</v>
      </c>
      <c r="AZ65" s="2005">
        <v>7223</v>
      </c>
      <c r="BA65" s="2015">
        <v>257</v>
      </c>
      <c r="BB65" s="1995">
        <f t="shared" si="54"/>
        <v>3.558078360791915E-2</v>
      </c>
      <c r="BC65" s="1999">
        <v>7354</v>
      </c>
      <c r="BD65" s="1251">
        <v>257</v>
      </c>
      <c r="BE65" s="1247">
        <f t="shared" si="55"/>
        <v>3.4946967636660324E-2</v>
      </c>
      <c r="BF65" s="1999">
        <v>7399</v>
      </c>
      <c r="BG65" s="1251">
        <v>226</v>
      </c>
      <c r="BH65" s="1247">
        <f t="shared" si="56"/>
        <v>3.0544668198405189E-2</v>
      </c>
    </row>
    <row r="66" spans="1:60" ht="12.75" customHeight="1" x14ac:dyDescent="0.3">
      <c r="A66" s="364" t="s">
        <v>156</v>
      </c>
      <c r="B66" s="366" t="s">
        <v>157</v>
      </c>
      <c r="C66" s="186" t="s">
        <v>254</v>
      </c>
      <c r="D66" s="1975">
        <v>7256</v>
      </c>
      <c r="E66" s="1976">
        <v>132</v>
      </c>
      <c r="F66" s="1977">
        <f t="shared" si="38"/>
        <v>1.8191841234840134E-2</v>
      </c>
      <c r="G66" s="1988">
        <v>7506</v>
      </c>
      <c r="H66" s="1989">
        <v>225</v>
      </c>
      <c r="I66" s="1964">
        <f t="shared" si="39"/>
        <v>2.9976019184652279E-2</v>
      </c>
      <c r="J66" s="1988">
        <v>7755</v>
      </c>
      <c r="K66" s="1989">
        <v>280</v>
      </c>
      <c r="L66" s="1995">
        <f t="shared" si="40"/>
        <v>3.6105738233397806E-2</v>
      </c>
      <c r="M66" s="1988">
        <v>8122</v>
      </c>
      <c r="N66" s="1989">
        <v>299</v>
      </c>
      <c r="O66" s="1995">
        <f t="shared" si="41"/>
        <v>3.6813592711154891E-2</v>
      </c>
      <c r="P66" s="1988">
        <v>8511</v>
      </c>
      <c r="Q66" s="1989">
        <v>287</v>
      </c>
      <c r="R66" s="1995">
        <f t="shared" si="42"/>
        <v>3.3721066854658678E-2</v>
      </c>
      <c r="S66" s="1988">
        <v>8846</v>
      </c>
      <c r="T66" s="1989">
        <v>283</v>
      </c>
      <c r="U66" s="1995">
        <f t="shared" si="43"/>
        <v>3.1991860728012661E-2</v>
      </c>
      <c r="V66" s="1988">
        <v>9280</v>
      </c>
      <c r="W66" s="1989">
        <v>254</v>
      </c>
      <c r="X66" s="1995">
        <f t="shared" si="44"/>
        <v>2.7370689655172413E-2</v>
      </c>
      <c r="Y66" s="1988">
        <v>9368</v>
      </c>
      <c r="Z66" s="1989">
        <v>256</v>
      </c>
      <c r="AA66" s="1995">
        <f t="shared" si="45"/>
        <v>2.7327070879590094E-2</v>
      </c>
      <c r="AB66" s="1988">
        <v>9939</v>
      </c>
      <c r="AC66" s="1989">
        <v>357</v>
      </c>
      <c r="AD66" s="1995">
        <f t="shared" si="46"/>
        <v>3.5919106549954727E-2</v>
      </c>
      <c r="AE66" s="1988">
        <v>9904</v>
      </c>
      <c r="AF66" s="1989">
        <v>715</v>
      </c>
      <c r="AG66" s="1995">
        <f t="shared" si="47"/>
        <v>7.2193053311793209E-2</v>
      </c>
      <c r="AH66" s="1988">
        <v>9956</v>
      </c>
      <c r="AI66" s="1989">
        <v>767</v>
      </c>
      <c r="AJ66" s="1995">
        <f t="shared" si="48"/>
        <v>7.7038971474487752E-2</v>
      </c>
      <c r="AK66" s="1984">
        <v>10226</v>
      </c>
      <c r="AL66" s="1985">
        <v>680</v>
      </c>
      <c r="AM66" s="1995">
        <f t="shared" si="49"/>
        <v>6.6497164091531391E-2</v>
      </c>
      <c r="AN66" s="2005">
        <v>10393</v>
      </c>
      <c r="AO66" s="2006">
        <v>591</v>
      </c>
      <c r="AP66" s="1967">
        <f t="shared" si="50"/>
        <v>5.6865197729240834E-2</v>
      </c>
      <c r="AQ66" s="2005">
        <v>10481</v>
      </c>
      <c r="AR66" s="1119">
        <v>553</v>
      </c>
      <c r="AS66" s="1967">
        <f t="shared" si="51"/>
        <v>5.2762141017078525E-2</v>
      </c>
      <c r="AT66" s="2011">
        <v>10944</v>
      </c>
      <c r="AU66" s="2012">
        <v>494</v>
      </c>
      <c r="AV66" s="1995">
        <f t="shared" si="52"/>
        <v>4.5138888888888888E-2</v>
      </c>
      <c r="AW66" s="2005">
        <v>11200</v>
      </c>
      <c r="AX66" s="2015">
        <v>426</v>
      </c>
      <c r="AY66" s="1995">
        <f t="shared" si="53"/>
        <v>3.8035714285714284E-2</v>
      </c>
      <c r="AZ66" s="2005">
        <v>11325</v>
      </c>
      <c r="BA66" s="2015">
        <v>383</v>
      </c>
      <c r="BB66" s="1995">
        <f t="shared" si="54"/>
        <v>3.3818984547461371E-2</v>
      </c>
      <c r="BC66" s="1999">
        <v>11857</v>
      </c>
      <c r="BD66" s="1251">
        <v>382</v>
      </c>
      <c r="BE66" s="1247">
        <f t="shared" si="55"/>
        <v>3.2217255629585898E-2</v>
      </c>
      <c r="BF66" s="1999">
        <v>12070</v>
      </c>
      <c r="BG66" s="1251">
        <v>329</v>
      </c>
      <c r="BH66" s="1247">
        <f t="shared" si="56"/>
        <v>2.7257663628831814E-2</v>
      </c>
    </row>
    <row r="67" spans="1:60" ht="12.75" customHeight="1" x14ac:dyDescent="0.3">
      <c r="A67" s="364" t="s">
        <v>162</v>
      </c>
      <c r="B67" s="366" t="s">
        <v>163</v>
      </c>
      <c r="C67" s="186" t="s">
        <v>252</v>
      </c>
      <c r="D67" s="1975">
        <v>5568</v>
      </c>
      <c r="E67" s="1976">
        <v>147</v>
      </c>
      <c r="F67" s="1977">
        <f t="shared" si="38"/>
        <v>2.6400862068965518E-2</v>
      </c>
      <c r="G67" s="1988">
        <v>5646</v>
      </c>
      <c r="H67" s="1989">
        <v>207</v>
      </c>
      <c r="I67" s="1964">
        <f t="shared" si="39"/>
        <v>3.6663124335812966E-2</v>
      </c>
      <c r="J67" s="1988">
        <v>5904</v>
      </c>
      <c r="K67" s="1989">
        <v>299</v>
      </c>
      <c r="L67" s="1995">
        <f t="shared" si="40"/>
        <v>5.0643631436314361E-2</v>
      </c>
      <c r="M67" s="1988">
        <v>6013</v>
      </c>
      <c r="N67" s="1989">
        <v>291</v>
      </c>
      <c r="O67" s="1995">
        <f t="shared" si="41"/>
        <v>4.8395143854980872E-2</v>
      </c>
      <c r="P67" s="1988">
        <v>5998</v>
      </c>
      <c r="Q67" s="1989">
        <v>277</v>
      </c>
      <c r="R67" s="1995">
        <f t="shared" si="42"/>
        <v>4.6182060686895635E-2</v>
      </c>
      <c r="S67" s="1988">
        <v>5949</v>
      </c>
      <c r="T67" s="1989">
        <v>302</v>
      </c>
      <c r="U67" s="1995">
        <f t="shared" si="43"/>
        <v>5.0764834425953941E-2</v>
      </c>
      <c r="V67" s="1988">
        <v>5872</v>
      </c>
      <c r="W67" s="1989">
        <v>257</v>
      </c>
      <c r="X67" s="1995">
        <f t="shared" si="44"/>
        <v>4.3767029972752045E-2</v>
      </c>
      <c r="Y67" s="1988">
        <v>5930</v>
      </c>
      <c r="Z67" s="1989">
        <v>242</v>
      </c>
      <c r="AA67" s="1995">
        <f t="shared" si="45"/>
        <v>4.0809443507588535E-2</v>
      </c>
      <c r="AB67" s="1988">
        <v>6120</v>
      </c>
      <c r="AC67" s="1989">
        <v>333</v>
      </c>
      <c r="AD67" s="1995">
        <f t="shared" si="46"/>
        <v>5.4411764705882354E-2</v>
      </c>
      <c r="AE67" s="1988">
        <v>6403</v>
      </c>
      <c r="AF67" s="1989">
        <v>509</v>
      </c>
      <c r="AG67" s="1995">
        <f t="shared" si="47"/>
        <v>7.9493987193503049E-2</v>
      </c>
      <c r="AH67" s="1988">
        <v>6515</v>
      </c>
      <c r="AI67" s="1989">
        <v>518</v>
      </c>
      <c r="AJ67" s="1995">
        <f t="shared" si="48"/>
        <v>7.9508825786646198E-2</v>
      </c>
      <c r="AK67" s="1984">
        <v>6398</v>
      </c>
      <c r="AL67" s="1985">
        <v>543</v>
      </c>
      <c r="AM67" s="1995">
        <f t="shared" si="49"/>
        <v>8.4870271959987489E-2</v>
      </c>
      <c r="AN67" s="2005">
        <v>6273</v>
      </c>
      <c r="AO67" s="2006">
        <v>551</v>
      </c>
      <c r="AP67" s="1967">
        <f t="shared" si="50"/>
        <v>8.7836760720548385E-2</v>
      </c>
      <c r="AQ67" s="2005">
        <v>6134</v>
      </c>
      <c r="AR67" s="1119">
        <v>470</v>
      </c>
      <c r="AS67" s="1967">
        <f t="shared" si="51"/>
        <v>7.6622106292794256E-2</v>
      </c>
      <c r="AT67" s="2011">
        <v>6080</v>
      </c>
      <c r="AU67" s="2012">
        <v>452</v>
      </c>
      <c r="AV67" s="1995">
        <f t="shared" si="52"/>
        <v>7.434210526315789E-2</v>
      </c>
      <c r="AW67" s="2005">
        <v>6103</v>
      </c>
      <c r="AX67" s="2015">
        <v>374</v>
      </c>
      <c r="AY67" s="1995">
        <f t="shared" si="53"/>
        <v>6.1281337047353758E-2</v>
      </c>
      <c r="AZ67" s="2005">
        <v>5905</v>
      </c>
      <c r="BA67" s="2015">
        <v>338</v>
      </c>
      <c r="BB67" s="1995">
        <f t="shared" si="54"/>
        <v>5.7239627434377646E-2</v>
      </c>
      <c r="BC67" s="1999">
        <v>5403</v>
      </c>
      <c r="BD67" s="1251">
        <v>316</v>
      </c>
      <c r="BE67" s="1247">
        <f t="shared" si="55"/>
        <v>5.8486026281695351E-2</v>
      </c>
      <c r="BF67" s="1999">
        <v>5382</v>
      </c>
      <c r="BG67" s="1251">
        <v>291</v>
      </c>
      <c r="BH67" s="1247">
        <f t="shared" si="56"/>
        <v>5.4069119286510592E-2</v>
      </c>
    </row>
    <row r="68" spans="1:60" ht="12.75" customHeight="1" x14ac:dyDescent="0.3">
      <c r="A68" s="364" t="s">
        <v>164</v>
      </c>
      <c r="B68" s="366" t="s">
        <v>165</v>
      </c>
      <c r="C68" s="186" t="s">
        <v>254</v>
      </c>
      <c r="D68" s="1975">
        <v>5404</v>
      </c>
      <c r="E68" s="1976">
        <v>242</v>
      </c>
      <c r="F68" s="1977">
        <f t="shared" si="38"/>
        <v>4.4781643227239085E-2</v>
      </c>
      <c r="G68" s="1988">
        <v>5478</v>
      </c>
      <c r="H68" s="1989">
        <v>275</v>
      </c>
      <c r="I68" s="1964">
        <f t="shared" si="39"/>
        <v>5.0200803212851405E-2</v>
      </c>
      <c r="J68" s="1988">
        <v>5603</v>
      </c>
      <c r="K68" s="1989">
        <v>333</v>
      </c>
      <c r="L68" s="1995">
        <f t="shared" si="40"/>
        <v>5.9432446903444583E-2</v>
      </c>
      <c r="M68" s="1988">
        <v>5703</v>
      </c>
      <c r="N68" s="1989">
        <v>318</v>
      </c>
      <c r="O68" s="1995">
        <f t="shared" si="41"/>
        <v>5.576012624934245E-2</v>
      </c>
      <c r="P68" s="1988">
        <v>6022</v>
      </c>
      <c r="Q68" s="1989">
        <v>297</v>
      </c>
      <c r="R68" s="1995">
        <f t="shared" si="42"/>
        <v>4.9319163068747923E-2</v>
      </c>
      <c r="S68" s="1988">
        <v>6074</v>
      </c>
      <c r="T68" s="1989">
        <v>291</v>
      </c>
      <c r="U68" s="1995">
        <f t="shared" si="43"/>
        <v>4.7909120842937108E-2</v>
      </c>
      <c r="V68" s="1988">
        <v>5977</v>
      </c>
      <c r="W68" s="1989">
        <v>248</v>
      </c>
      <c r="X68" s="1995">
        <f t="shared" si="44"/>
        <v>4.1492387485360549E-2</v>
      </c>
      <c r="Y68" s="1988">
        <v>5918</v>
      </c>
      <c r="Z68" s="1989">
        <v>258</v>
      </c>
      <c r="AA68" s="1995">
        <f t="shared" si="45"/>
        <v>4.3595809395065903E-2</v>
      </c>
      <c r="AB68" s="1988">
        <v>5917</v>
      </c>
      <c r="AC68" s="1989">
        <v>337</v>
      </c>
      <c r="AD68" s="1995">
        <f t="shared" si="46"/>
        <v>5.695453777251986E-2</v>
      </c>
      <c r="AE68" s="1988">
        <v>6138</v>
      </c>
      <c r="AF68" s="1989">
        <v>554</v>
      </c>
      <c r="AG68" s="1995">
        <f t="shared" si="47"/>
        <v>9.0257412838057993E-2</v>
      </c>
      <c r="AH68" s="1988">
        <v>5918</v>
      </c>
      <c r="AI68" s="1989">
        <v>520</v>
      </c>
      <c r="AJ68" s="1995">
        <f t="shared" si="48"/>
        <v>8.7867522811760732E-2</v>
      </c>
      <c r="AK68" s="1984">
        <v>5832</v>
      </c>
      <c r="AL68" s="1985">
        <v>531</v>
      </c>
      <c r="AM68" s="1995">
        <f t="shared" si="49"/>
        <v>9.1049382716049385E-2</v>
      </c>
      <c r="AN68" s="2005">
        <v>5565</v>
      </c>
      <c r="AO68" s="2006">
        <v>468</v>
      </c>
      <c r="AP68" s="1967">
        <f t="shared" si="50"/>
        <v>8.409703504043127E-2</v>
      </c>
      <c r="AQ68" s="2005">
        <v>5363</v>
      </c>
      <c r="AR68" s="1119">
        <v>419</v>
      </c>
      <c r="AS68" s="1967">
        <f t="shared" si="51"/>
        <v>7.8127913481260483E-2</v>
      </c>
      <c r="AT68" s="2011">
        <v>5671</v>
      </c>
      <c r="AU68" s="2012">
        <v>400</v>
      </c>
      <c r="AV68" s="1995">
        <f t="shared" si="52"/>
        <v>7.0534297302063134E-2</v>
      </c>
      <c r="AW68" s="2005">
        <v>5463</v>
      </c>
      <c r="AX68" s="2015">
        <v>337</v>
      </c>
      <c r="AY68" s="1995">
        <f t="shared" si="53"/>
        <v>6.1687717371407651E-2</v>
      </c>
      <c r="AZ68" s="2005">
        <v>5452</v>
      </c>
      <c r="BA68" s="2015">
        <v>295</v>
      </c>
      <c r="BB68" s="1995">
        <f t="shared" si="54"/>
        <v>5.4108584005869403E-2</v>
      </c>
      <c r="BC68" s="1999">
        <v>5364</v>
      </c>
      <c r="BD68" s="1251">
        <v>292</v>
      </c>
      <c r="BE68" s="1247">
        <f t="shared" si="55"/>
        <v>5.4436987322893364E-2</v>
      </c>
      <c r="BF68" s="1999">
        <v>5556</v>
      </c>
      <c r="BG68" s="1251">
        <v>247</v>
      </c>
      <c r="BH68" s="1247">
        <f t="shared" si="56"/>
        <v>4.4456443484521241E-2</v>
      </c>
    </row>
    <row r="69" spans="1:60" ht="12.75" customHeight="1" x14ac:dyDescent="0.3">
      <c r="A69" s="364" t="s">
        <v>168</v>
      </c>
      <c r="B69" s="366" t="s">
        <v>169</v>
      </c>
      <c r="C69" s="186" t="s">
        <v>254</v>
      </c>
      <c r="D69" s="1975">
        <v>6135</v>
      </c>
      <c r="E69" s="1976">
        <v>179</v>
      </c>
      <c r="F69" s="1977">
        <f t="shared" ref="F69:F100" si="57">E69/D69</f>
        <v>2.9176854115729421E-2</v>
      </c>
      <c r="G69" s="1988">
        <v>6240</v>
      </c>
      <c r="H69" s="1989">
        <v>248</v>
      </c>
      <c r="I69" s="1964">
        <f t="shared" ref="I69:I100" si="58">H69/G69</f>
        <v>3.9743589743589741E-2</v>
      </c>
      <c r="J69" s="1988">
        <v>6383</v>
      </c>
      <c r="K69" s="1989">
        <v>280</v>
      </c>
      <c r="L69" s="1995">
        <f t="shared" ref="L69:L100" si="59">K69/J69</f>
        <v>4.3866520444931847E-2</v>
      </c>
      <c r="M69" s="1988">
        <v>6500</v>
      </c>
      <c r="N69" s="1989">
        <v>288</v>
      </c>
      <c r="O69" s="1995">
        <f t="shared" ref="O69:O100" si="60">N69/M69</f>
        <v>4.4307692307692305E-2</v>
      </c>
      <c r="P69" s="1988">
        <v>6367</v>
      </c>
      <c r="Q69" s="1989">
        <v>278</v>
      </c>
      <c r="R69" s="1995">
        <f t="shared" ref="R69:R100" si="61">Q69/P69</f>
        <v>4.3662635464111824E-2</v>
      </c>
      <c r="S69" s="1988">
        <v>6384</v>
      </c>
      <c r="T69" s="1989">
        <v>289</v>
      </c>
      <c r="U69" s="1995">
        <f t="shared" ref="U69:U100" si="62">T69/S69</f>
        <v>4.5269423558897244E-2</v>
      </c>
      <c r="V69" s="1988">
        <v>6434</v>
      </c>
      <c r="W69" s="1989">
        <v>263</v>
      </c>
      <c r="X69" s="1995">
        <f t="shared" ref="X69:X100" si="63">W69/V69</f>
        <v>4.087659309916071E-2</v>
      </c>
      <c r="Y69" s="1988">
        <v>6546</v>
      </c>
      <c r="Z69" s="1989">
        <v>256</v>
      </c>
      <c r="AA69" s="1995">
        <f t="shared" ref="AA69:AA100" si="64">Z69/Y69</f>
        <v>3.9107852123434157E-2</v>
      </c>
      <c r="AB69" s="1988">
        <v>6597</v>
      </c>
      <c r="AC69" s="1989">
        <v>362</v>
      </c>
      <c r="AD69" s="1995">
        <f t="shared" ref="AD69:AD100" si="65">AC69/AB69</f>
        <v>5.4873427315446414E-2</v>
      </c>
      <c r="AE69" s="1988">
        <v>6662</v>
      </c>
      <c r="AF69" s="1989">
        <v>554</v>
      </c>
      <c r="AG69" s="1995">
        <f t="shared" ref="AG69:AG100" si="66">AF69/AE69</f>
        <v>8.3158210747523262E-2</v>
      </c>
      <c r="AH69" s="1988">
        <v>6443</v>
      </c>
      <c r="AI69" s="1989">
        <v>552</v>
      </c>
      <c r="AJ69" s="1995">
        <f t="shared" ref="AJ69:AJ100" si="67">AI69/AH69</f>
        <v>8.5674375291013502E-2</v>
      </c>
      <c r="AK69" s="1984">
        <v>6467</v>
      </c>
      <c r="AL69" s="1985">
        <v>514</v>
      </c>
      <c r="AM69" s="1995">
        <f t="shared" ref="AM69:AM100" si="68">AL69/AK69</f>
        <v>7.9480439152620999E-2</v>
      </c>
      <c r="AN69" s="2005">
        <v>6375</v>
      </c>
      <c r="AO69" s="2006">
        <v>460</v>
      </c>
      <c r="AP69" s="1967">
        <f t="shared" ref="AP69:AP100" si="69">AO69/AN69</f>
        <v>7.2156862745098041E-2</v>
      </c>
      <c r="AQ69" s="2005">
        <v>6604</v>
      </c>
      <c r="AR69" s="1119">
        <v>449</v>
      </c>
      <c r="AS69" s="1967">
        <f t="shared" ref="AS69:AS100" si="70">AR69/AQ69</f>
        <v>6.7989097516656577E-2</v>
      </c>
      <c r="AT69" s="2011">
        <v>7100</v>
      </c>
      <c r="AU69" s="2012">
        <v>385</v>
      </c>
      <c r="AV69" s="1995">
        <f t="shared" ref="AV69:AV100" si="71">AU69/AT69</f>
        <v>5.4225352112676053E-2</v>
      </c>
      <c r="AW69" s="2005">
        <v>7159</v>
      </c>
      <c r="AX69" s="2015">
        <v>325</v>
      </c>
      <c r="AY69" s="1995">
        <f t="shared" ref="AY69:AY100" si="72">AX69/AW69</f>
        <v>4.5397401871769799E-2</v>
      </c>
      <c r="AZ69" s="2005">
        <v>7050</v>
      </c>
      <c r="BA69" s="2015">
        <v>278</v>
      </c>
      <c r="BB69" s="1995">
        <f t="shared" ref="BB69:BB100" si="73">BA69/AZ69</f>
        <v>3.943262411347518E-2</v>
      </c>
      <c r="BC69" s="1999">
        <v>6985</v>
      </c>
      <c r="BD69" s="1251">
        <v>277</v>
      </c>
      <c r="BE69" s="1247">
        <f t="shared" ref="BE69:BE100" si="74">BD69/BC69</f>
        <v>3.9656406585540441E-2</v>
      </c>
      <c r="BF69" s="1999">
        <v>7226</v>
      </c>
      <c r="BG69" s="1251">
        <v>222</v>
      </c>
      <c r="BH69" s="1247">
        <f t="shared" ref="BH69:BH100" si="75">BG69/BF69</f>
        <v>3.0722391364517022E-2</v>
      </c>
    </row>
    <row r="70" spans="1:60" ht="12.75" customHeight="1" x14ac:dyDescent="0.3">
      <c r="A70" s="364" t="s">
        <v>170</v>
      </c>
      <c r="B70" s="366" t="s">
        <v>171</v>
      </c>
      <c r="C70" s="186" t="s">
        <v>255</v>
      </c>
      <c r="D70" s="1975">
        <v>12661</v>
      </c>
      <c r="E70" s="1976">
        <v>259</v>
      </c>
      <c r="F70" s="1977">
        <f t="shared" si="57"/>
        <v>2.0456520022115156E-2</v>
      </c>
      <c r="G70" s="1988">
        <v>12881</v>
      </c>
      <c r="H70" s="1989">
        <v>346</v>
      </c>
      <c r="I70" s="1964">
        <f t="shared" si="58"/>
        <v>2.6861268535051625E-2</v>
      </c>
      <c r="J70" s="1988">
        <v>13352</v>
      </c>
      <c r="K70" s="1989">
        <v>598</v>
      </c>
      <c r="L70" s="1995">
        <f t="shared" si="59"/>
        <v>4.4787297783103655E-2</v>
      </c>
      <c r="M70" s="1988">
        <v>13906</v>
      </c>
      <c r="N70" s="1989">
        <v>555</v>
      </c>
      <c r="O70" s="1995">
        <f t="shared" si="60"/>
        <v>3.9910829857615418E-2</v>
      </c>
      <c r="P70" s="1988">
        <v>14327</v>
      </c>
      <c r="Q70" s="1989">
        <v>474</v>
      </c>
      <c r="R70" s="1995">
        <f t="shared" si="61"/>
        <v>3.3084386124101348E-2</v>
      </c>
      <c r="S70" s="1988">
        <v>14745</v>
      </c>
      <c r="T70" s="1989">
        <v>467</v>
      </c>
      <c r="U70" s="1995">
        <f t="shared" si="62"/>
        <v>3.1671753136656496E-2</v>
      </c>
      <c r="V70" s="1988">
        <v>15062</v>
      </c>
      <c r="W70" s="1989">
        <v>454</v>
      </c>
      <c r="X70" s="1995">
        <f t="shared" si="63"/>
        <v>3.014207940512548E-2</v>
      </c>
      <c r="Y70" s="1988">
        <v>15321</v>
      </c>
      <c r="Z70" s="1989">
        <v>494</v>
      </c>
      <c r="AA70" s="1995">
        <f t="shared" si="64"/>
        <v>3.2243326153645321E-2</v>
      </c>
      <c r="AB70" s="1988">
        <v>15696</v>
      </c>
      <c r="AC70" s="1989">
        <v>720</v>
      </c>
      <c r="AD70" s="1995">
        <f t="shared" si="65"/>
        <v>4.5871559633027525E-2</v>
      </c>
      <c r="AE70" s="1988">
        <v>15888</v>
      </c>
      <c r="AF70" s="1989">
        <v>1272</v>
      </c>
      <c r="AG70" s="1995">
        <f t="shared" si="66"/>
        <v>8.0060422960725075E-2</v>
      </c>
      <c r="AH70" s="1988">
        <v>15647</v>
      </c>
      <c r="AI70" s="1989">
        <v>1280</v>
      </c>
      <c r="AJ70" s="1995">
        <f t="shared" si="67"/>
        <v>8.1804818815108329E-2</v>
      </c>
      <c r="AK70" s="1984">
        <v>15288</v>
      </c>
      <c r="AL70" s="1985">
        <v>1171</v>
      </c>
      <c r="AM70" s="1995">
        <f t="shared" si="68"/>
        <v>7.6596023024594451E-2</v>
      </c>
      <c r="AN70" s="2005">
        <v>15324</v>
      </c>
      <c r="AO70" s="2006">
        <v>1046</v>
      </c>
      <c r="AP70" s="1967">
        <f t="shared" si="69"/>
        <v>6.8258940224484463E-2</v>
      </c>
      <c r="AQ70" s="2005">
        <v>15709</v>
      </c>
      <c r="AR70" s="1119">
        <v>937</v>
      </c>
      <c r="AS70" s="1967">
        <f t="shared" si="70"/>
        <v>5.9647335922082885E-2</v>
      </c>
      <c r="AT70" s="2011">
        <v>16234</v>
      </c>
      <c r="AU70" s="2012">
        <v>848</v>
      </c>
      <c r="AV70" s="1995">
        <f t="shared" si="71"/>
        <v>5.2236047800911664E-2</v>
      </c>
      <c r="AW70" s="2005">
        <v>16100</v>
      </c>
      <c r="AX70" s="2015">
        <v>738</v>
      </c>
      <c r="AY70" s="1995">
        <f t="shared" si="72"/>
        <v>4.5838509316770186E-2</v>
      </c>
      <c r="AZ70" s="2005">
        <v>16375</v>
      </c>
      <c r="BA70" s="2015">
        <v>658</v>
      </c>
      <c r="BB70" s="1995">
        <f t="shared" si="73"/>
        <v>4.0183206106870227E-2</v>
      </c>
      <c r="BC70" s="1999">
        <v>16539</v>
      </c>
      <c r="BD70" s="1251">
        <v>636</v>
      </c>
      <c r="BE70" s="1247">
        <f t="shared" si="74"/>
        <v>3.8454561944494828E-2</v>
      </c>
      <c r="BF70" s="1999">
        <v>16967</v>
      </c>
      <c r="BG70" s="1251">
        <v>508</v>
      </c>
      <c r="BH70" s="1247">
        <f t="shared" si="75"/>
        <v>2.9940472682265573E-2</v>
      </c>
    </row>
    <row r="71" spans="1:60" ht="12.75" customHeight="1" x14ac:dyDescent="0.3">
      <c r="A71" s="364" t="s">
        <v>172</v>
      </c>
      <c r="B71" s="366" t="s">
        <v>173</v>
      </c>
      <c r="C71" s="186" t="s">
        <v>255</v>
      </c>
      <c r="D71" s="1978">
        <v>11712</v>
      </c>
      <c r="E71" s="1979">
        <v>304</v>
      </c>
      <c r="F71" s="1977">
        <f t="shared" si="57"/>
        <v>2.5956284153005466E-2</v>
      </c>
      <c r="G71" s="1988">
        <v>12114</v>
      </c>
      <c r="H71" s="1989">
        <v>405</v>
      </c>
      <c r="I71" s="1964">
        <f t="shared" si="58"/>
        <v>3.3432392273402674E-2</v>
      </c>
      <c r="J71" s="1988">
        <v>12351</v>
      </c>
      <c r="K71" s="1989">
        <v>756</v>
      </c>
      <c r="L71" s="1995">
        <f t="shared" si="59"/>
        <v>6.1209618654359969E-2</v>
      </c>
      <c r="M71" s="1988">
        <v>12035</v>
      </c>
      <c r="N71" s="1989">
        <v>838</v>
      </c>
      <c r="O71" s="1995">
        <f t="shared" si="60"/>
        <v>6.9630245118404654E-2</v>
      </c>
      <c r="P71" s="1984">
        <v>11510</v>
      </c>
      <c r="Q71" s="1985">
        <v>624</v>
      </c>
      <c r="R71" s="1995">
        <f t="shared" si="61"/>
        <v>5.4213727193744572E-2</v>
      </c>
      <c r="S71" s="1984">
        <v>11503</v>
      </c>
      <c r="T71" s="1985">
        <v>585</v>
      </c>
      <c r="U71" s="1995">
        <f t="shared" si="62"/>
        <v>5.0856298356950359E-2</v>
      </c>
      <c r="V71" s="1984">
        <v>11189</v>
      </c>
      <c r="W71" s="1985">
        <v>520</v>
      </c>
      <c r="X71" s="1995">
        <f t="shared" si="63"/>
        <v>4.6474215747609258E-2</v>
      </c>
      <c r="Y71" s="1984">
        <v>11274</v>
      </c>
      <c r="Z71" s="1985">
        <v>574</v>
      </c>
      <c r="AA71" s="1995">
        <f t="shared" si="64"/>
        <v>5.0913606528295192E-2</v>
      </c>
      <c r="AB71" s="1984">
        <v>11795</v>
      </c>
      <c r="AC71" s="1985">
        <v>814</v>
      </c>
      <c r="AD71" s="1995">
        <f t="shared" si="65"/>
        <v>6.9012293344637557E-2</v>
      </c>
      <c r="AE71" s="1984">
        <v>12129</v>
      </c>
      <c r="AF71" s="1985">
        <v>1477</v>
      </c>
      <c r="AG71" s="1995">
        <f t="shared" si="66"/>
        <v>0.12177426003792563</v>
      </c>
      <c r="AH71" s="1988">
        <v>11844</v>
      </c>
      <c r="AI71" s="1989">
        <v>1419</v>
      </c>
      <c r="AJ71" s="1995">
        <f t="shared" si="67"/>
        <v>0.11980749746707194</v>
      </c>
      <c r="AK71" s="1984">
        <v>12031</v>
      </c>
      <c r="AL71" s="1985">
        <v>1357</v>
      </c>
      <c r="AM71" s="1995">
        <f t="shared" si="68"/>
        <v>0.11279195411852713</v>
      </c>
      <c r="AN71" s="2005">
        <v>11508</v>
      </c>
      <c r="AO71" s="2006">
        <v>1207</v>
      </c>
      <c r="AP71" s="1967">
        <f t="shared" si="69"/>
        <v>0.1048835592631213</v>
      </c>
      <c r="AQ71" s="2005">
        <v>11267</v>
      </c>
      <c r="AR71" s="1119">
        <v>1060</v>
      </c>
      <c r="AS71" s="1967">
        <f t="shared" si="70"/>
        <v>9.4080056803053161E-2</v>
      </c>
      <c r="AT71" s="2011">
        <v>11922</v>
      </c>
      <c r="AU71" s="2012">
        <v>963</v>
      </c>
      <c r="AV71" s="1995">
        <f t="shared" si="71"/>
        <v>8.0775037745344738E-2</v>
      </c>
      <c r="AW71" s="2005">
        <v>11707</v>
      </c>
      <c r="AX71" s="2015">
        <v>812</v>
      </c>
      <c r="AY71" s="1995">
        <f t="shared" si="72"/>
        <v>6.9360211839070637E-2</v>
      </c>
      <c r="AZ71" s="2005">
        <v>11534</v>
      </c>
      <c r="BA71" s="2015">
        <v>641</v>
      </c>
      <c r="BB71" s="1995">
        <f t="shared" si="73"/>
        <v>5.5574822264608983E-2</v>
      </c>
      <c r="BC71" s="1999">
        <v>11640</v>
      </c>
      <c r="BD71" s="1251">
        <v>617</v>
      </c>
      <c r="BE71" s="1247">
        <f t="shared" si="74"/>
        <v>5.3006872852233676E-2</v>
      </c>
      <c r="BF71" s="1999">
        <v>11849</v>
      </c>
      <c r="BG71" s="1251">
        <v>492</v>
      </c>
      <c r="BH71" s="1247">
        <f t="shared" si="75"/>
        <v>4.1522491349480967E-2</v>
      </c>
    </row>
    <row r="72" spans="1:60" ht="12.75" customHeight="1" x14ac:dyDescent="0.3">
      <c r="A72" s="364" t="s">
        <v>174</v>
      </c>
      <c r="B72" s="366" t="s">
        <v>175</v>
      </c>
      <c r="C72" s="186" t="s">
        <v>256</v>
      </c>
      <c r="D72" s="1975">
        <v>9450</v>
      </c>
      <c r="E72" s="1976">
        <v>310</v>
      </c>
      <c r="F72" s="1977">
        <f t="shared" si="57"/>
        <v>3.2804232804232801E-2</v>
      </c>
      <c r="G72" s="1988">
        <v>9551</v>
      </c>
      <c r="H72" s="1989">
        <v>502</v>
      </c>
      <c r="I72" s="1964">
        <f t="shared" si="58"/>
        <v>5.2559941367396085E-2</v>
      </c>
      <c r="J72" s="1988">
        <v>9645</v>
      </c>
      <c r="K72" s="1989">
        <v>809</v>
      </c>
      <c r="L72" s="1995">
        <f t="shared" si="59"/>
        <v>8.3877656817003626E-2</v>
      </c>
      <c r="M72" s="1988">
        <v>9885</v>
      </c>
      <c r="N72" s="1989">
        <v>755</v>
      </c>
      <c r="O72" s="1995">
        <f t="shared" si="60"/>
        <v>7.6378351036924627E-2</v>
      </c>
      <c r="P72" s="1988">
        <v>9159</v>
      </c>
      <c r="Q72" s="1989">
        <v>693</v>
      </c>
      <c r="R72" s="1995">
        <f t="shared" si="61"/>
        <v>7.5663282017687516E-2</v>
      </c>
      <c r="S72" s="1988">
        <v>8830</v>
      </c>
      <c r="T72" s="1989">
        <v>578</v>
      </c>
      <c r="U72" s="1995">
        <f t="shared" si="62"/>
        <v>6.5458663646659115E-2</v>
      </c>
      <c r="V72" s="1988">
        <v>8817</v>
      </c>
      <c r="W72" s="1989">
        <v>405</v>
      </c>
      <c r="X72" s="1995">
        <f t="shared" si="63"/>
        <v>4.5933991153453556E-2</v>
      </c>
      <c r="Y72" s="1988">
        <v>9006</v>
      </c>
      <c r="Z72" s="1989">
        <v>368</v>
      </c>
      <c r="AA72" s="1995">
        <f t="shared" si="64"/>
        <v>4.0861647790361978E-2</v>
      </c>
      <c r="AB72" s="1988">
        <v>9153</v>
      </c>
      <c r="AC72" s="1989">
        <v>594</v>
      </c>
      <c r="AD72" s="1995">
        <f t="shared" si="65"/>
        <v>6.4896755162241887E-2</v>
      </c>
      <c r="AE72" s="1988">
        <v>9295</v>
      </c>
      <c r="AF72" s="1989">
        <v>1072</v>
      </c>
      <c r="AG72" s="1995">
        <f t="shared" si="66"/>
        <v>0.11533082302313072</v>
      </c>
      <c r="AH72" s="1988">
        <v>9122</v>
      </c>
      <c r="AI72" s="1989">
        <v>1051</v>
      </c>
      <c r="AJ72" s="1995">
        <f t="shared" si="67"/>
        <v>0.11521596141197106</v>
      </c>
      <c r="AK72" s="1984">
        <v>8857</v>
      </c>
      <c r="AL72" s="1985">
        <v>851</v>
      </c>
      <c r="AM72" s="1995">
        <f t="shared" si="68"/>
        <v>9.6082194874110877E-2</v>
      </c>
      <c r="AN72" s="2005">
        <v>8605</v>
      </c>
      <c r="AO72" s="2006">
        <v>690</v>
      </c>
      <c r="AP72" s="1967">
        <f t="shared" si="69"/>
        <v>8.0185938407902377E-2</v>
      </c>
      <c r="AQ72" s="2005">
        <v>8344</v>
      </c>
      <c r="AR72" s="1119">
        <v>620</v>
      </c>
      <c r="AS72" s="1967">
        <f t="shared" si="70"/>
        <v>7.430488974113135E-2</v>
      </c>
      <c r="AT72" s="2011">
        <v>7764</v>
      </c>
      <c r="AU72" s="2012">
        <v>505</v>
      </c>
      <c r="AV72" s="1995">
        <f t="shared" si="71"/>
        <v>6.5043791859866043E-2</v>
      </c>
      <c r="AW72" s="2005">
        <v>7621</v>
      </c>
      <c r="AX72" s="2015">
        <v>418</v>
      </c>
      <c r="AY72" s="1995">
        <f t="shared" si="72"/>
        <v>5.4848445085946725E-2</v>
      </c>
      <c r="AZ72" s="2005">
        <v>8034</v>
      </c>
      <c r="BA72" s="2015">
        <v>386</v>
      </c>
      <c r="BB72" s="1995">
        <f t="shared" si="73"/>
        <v>4.8045805327358727E-2</v>
      </c>
      <c r="BC72" s="1999">
        <v>7429</v>
      </c>
      <c r="BD72" s="1251">
        <v>335</v>
      </c>
      <c r="BE72" s="1247">
        <f t="shared" si="74"/>
        <v>4.5093552295059902E-2</v>
      </c>
      <c r="BF72" s="1999">
        <v>7438</v>
      </c>
      <c r="BG72" s="1251">
        <v>287</v>
      </c>
      <c r="BH72" s="1247">
        <f t="shared" si="75"/>
        <v>3.8585641301425111E-2</v>
      </c>
    </row>
    <row r="73" spans="1:60" ht="12.75" customHeight="1" x14ac:dyDescent="0.3">
      <c r="A73" s="364" t="s">
        <v>178</v>
      </c>
      <c r="B73" s="366" t="s">
        <v>179</v>
      </c>
      <c r="C73" s="186" t="s">
        <v>253</v>
      </c>
      <c r="D73" s="1975">
        <v>31761</v>
      </c>
      <c r="E73" s="1976">
        <v>1045</v>
      </c>
      <c r="F73" s="1977">
        <f t="shared" si="57"/>
        <v>3.2901986713264698E-2</v>
      </c>
      <c r="G73" s="1988">
        <v>32367</v>
      </c>
      <c r="H73" s="1989">
        <v>1893</v>
      </c>
      <c r="I73" s="1964">
        <f t="shared" si="58"/>
        <v>5.8485494485123739E-2</v>
      </c>
      <c r="J73" s="1988">
        <v>32993</v>
      </c>
      <c r="K73" s="1989">
        <v>2310</v>
      </c>
      <c r="L73" s="1995">
        <f t="shared" si="59"/>
        <v>7.0014851635195344E-2</v>
      </c>
      <c r="M73" s="1988">
        <v>33035</v>
      </c>
      <c r="N73" s="1989">
        <v>2153</v>
      </c>
      <c r="O73" s="1995">
        <f t="shared" si="60"/>
        <v>6.5173301044346904E-2</v>
      </c>
      <c r="P73" s="1988">
        <v>32122</v>
      </c>
      <c r="Q73" s="1989">
        <v>1980</v>
      </c>
      <c r="R73" s="1995">
        <f t="shared" si="61"/>
        <v>6.1639997509495052E-2</v>
      </c>
      <c r="S73" s="1988">
        <v>31976</v>
      </c>
      <c r="T73" s="1989">
        <v>2014</v>
      </c>
      <c r="U73" s="1995">
        <f t="shared" si="62"/>
        <v>6.298473855391544E-2</v>
      </c>
      <c r="V73" s="1988">
        <v>31071</v>
      </c>
      <c r="W73" s="1989">
        <v>1685</v>
      </c>
      <c r="X73" s="1995">
        <f t="shared" si="63"/>
        <v>5.423063306620321E-2</v>
      </c>
      <c r="Y73" s="1988">
        <v>30809</v>
      </c>
      <c r="Z73" s="1989">
        <v>1774</v>
      </c>
      <c r="AA73" s="1995">
        <f t="shared" si="64"/>
        <v>5.7580577104092957E-2</v>
      </c>
      <c r="AB73" s="1988">
        <v>31753</v>
      </c>
      <c r="AC73" s="1989">
        <v>2117</v>
      </c>
      <c r="AD73" s="1995">
        <f t="shared" si="65"/>
        <v>6.6670865744968985E-2</v>
      </c>
      <c r="AE73" s="1988">
        <v>31943</v>
      </c>
      <c r="AF73" s="1989">
        <v>3507</v>
      </c>
      <c r="AG73" s="1995">
        <f t="shared" si="66"/>
        <v>0.1097893122123783</v>
      </c>
      <c r="AH73" s="1988">
        <v>32184</v>
      </c>
      <c r="AI73" s="1989">
        <v>3435</v>
      </c>
      <c r="AJ73" s="1995">
        <f t="shared" si="67"/>
        <v>0.10673005219985086</v>
      </c>
      <c r="AK73" s="1984">
        <v>32462</v>
      </c>
      <c r="AL73" s="1985">
        <v>2820</v>
      </c>
      <c r="AM73" s="1995">
        <f t="shared" si="68"/>
        <v>8.6870802784794532E-2</v>
      </c>
      <c r="AN73" s="2005">
        <v>31934</v>
      </c>
      <c r="AO73" s="2006">
        <v>2380</v>
      </c>
      <c r="AP73" s="1967">
        <f t="shared" si="69"/>
        <v>7.4528715475668569E-2</v>
      </c>
      <c r="AQ73" s="2005">
        <v>31676</v>
      </c>
      <c r="AR73" s="1119">
        <v>2175</v>
      </c>
      <c r="AS73" s="1967">
        <f t="shared" si="70"/>
        <v>6.8663972723828764E-2</v>
      </c>
      <c r="AT73" s="2011">
        <v>30418</v>
      </c>
      <c r="AU73" s="2012">
        <v>1916</v>
      </c>
      <c r="AV73" s="1995">
        <f t="shared" si="71"/>
        <v>6.2989019659412185E-2</v>
      </c>
      <c r="AW73" s="2005">
        <v>30102</v>
      </c>
      <c r="AX73" s="2015">
        <v>1609</v>
      </c>
      <c r="AY73" s="1995">
        <f t="shared" si="72"/>
        <v>5.3451597900471728E-2</v>
      </c>
      <c r="AZ73" s="2005">
        <v>29629</v>
      </c>
      <c r="BA73" s="2015">
        <v>1398</v>
      </c>
      <c r="BB73" s="1995">
        <f t="shared" si="73"/>
        <v>4.7183502649431303E-2</v>
      </c>
      <c r="BC73" s="1999">
        <v>29542</v>
      </c>
      <c r="BD73" s="1251">
        <v>1341</v>
      </c>
      <c r="BE73" s="1247">
        <f t="shared" si="74"/>
        <v>4.5392999796899328E-2</v>
      </c>
      <c r="BF73" s="1999">
        <v>30546</v>
      </c>
      <c r="BG73" s="1251">
        <v>1085</v>
      </c>
      <c r="BH73" s="1247">
        <f t="shared" si="75"/>
        <v>3.5520199044064692E-2</v>
      </c>
    </row>
    <row r="74" spans="1:60" ht="12.75" customHeight="1" x14ac:dyDescent="0.3">
      <c r="A74" s="364" t="s">
        <v>182</v>
      </c>
      <c r="B74" s="366" t="s">
        <v>183</v>
      </c>
      <c r="C74" s="186" t="s">
        <v>254</v>
      </c>
      <c r="D74" s="1975">
        <v>11183</v>
      </c>
      <c r="E74" s="1976">
        <v>202</v>
      </c>
      <c r="F74" s="1977">
        <f t="shared" si="57"/>
        <v>1.8063131538943039E-2</v>
      </c>
      <c r="G74" s="1988">
        <v>11515</v>
      </c>
      <c r="H74" s="1989">
        <v>289</v>
      </c>
      <c r="I74" s="1964">
        <f t="shared" si="58"/>
        <v>2.5097698653929659E-2</v>
      </c>
      <c r="J74" s="1988">
        <v>12174</v>
      </c>
      <c r="K74" s="1989">
        <v>381</v>
      </c>
      <c r="L74" s="1995">
        <f t="shared" si="59"/>
        <v>3.1296205027106949E-2</v>
      </c>
      <c r="M74" s="1988">
        <v>12631</v>
      </c>
      <c r="N74" s="1989">
        <v>398</v>
      </c>
      <c r="O74" s="1995">
        <f t="shared" si="60"/>
        <v>3.150977753147019E-2</v>
      </c>
      <c r="P74" s="1988">
        <v>13155</v>
      </c>
      <c r="Q74" s="1989">
        <v>377</v>
      </c>
      <c r="R74" s="1995">
        <f t="shared" si="61"/>
        <v>2.8658304827061953E-2</v>
      </c>
      <c r="S74" s="1988">
        <v>13594</v>
      </c>
      <c r="T74" s="1989">
        <v>384</v>
      </c>
      <c r="U74" s="1995">
        <f t="shared" si="62"/>
        <v>2.8247756363101367E-2</v>
      </c>
      <c r="V74" s="1988">
        <v>14236</v>
      </c>
      <c r="W74" s="1989">
        <v>366</v>
      </c>
      <c r="X74" s="1995">
        <f t="shared" si="63"/>
        <v>2.5709468951952797E-2</v>
      </c>
      <c r="Y74" s="1988">
        <v>14217</v>
      </c>
      <c r="Z74" s="1989">
        <v>338</v>
      </c>
      <c r="AA74" s="1995">
        <f t="shared" si="64"/>
        <v>2.3774354645846523E-2</v>
      </c>
      <c r="AB74" s="1988">
        <v>14590</v>
      </c>
      <c r="AC74" s="1989">
        <v>491</v>
      </c>
      <c r="AD74" s="1995">
        <f t="shared" si="65"/>
        <v>3.3653187114461962E-2</v>
      </c>
      <c r="AE74" s="1988">
        <v>14203</v>
      </c>
      <c r="AF74" s="1989">
        <v>928</v>
      </c>
      <c r="AG74" s="1995">
        <f t="shared" si="66"/>
        <v>6.5338308807998305E-2</v>
      </c>
      <c r="AH74" s="1988">
        <v>14071</v>
      </c>
      <c r="AI74" s="1989">
        <v>986</v>
      </c>
      <c r="AJ74" s="1995">
        <f t="shared" si="67"/>
        <v>7.0073200198990826E-2</v>
      </c>
      <c r="AK74" s="1984">
        <v>14205</v>
      </c>
      <c r="AL74" s="1985">
        <v>869</v>
      </c>
      <c r="AM74" s="1995">
        <f t="shared" si="68"/>
        <v>6.1175642379443861E-2</v>
      </c>
      <c r="AN74" s="2005">
        <v>14227</v>
      </c>
      <c r="AO74" s="2006">
        <v>780</v>
      </c>
      <c r="AP74" s="1967">
        <f t="shared" si="69"/>
        <v>5.4825332114992617E-2</v>
      </c>
      <c r="AQ74" s="2005">
        <v>14322</v>
      </c>
      <c r="AR74" s="1119">
        <v>703</v>
      </c>
      <c r="AS74" s="1967">
        <f t="shared" si="70"/>
        <v>4.9085323278871669E-2</v>
      </c>
      <c r="AT74" s="2011">
        <v>13761</v>
      </c>
      <c r="AU74" s="2012">
        <v>623</v>
      </c>
      <c r="AV74" s="1995">
        <f t="shared" si="71"/>
        <v>4.5272872611002109E-2</v>
      </c>
      <c r="AW74" s="2005">
        <v>13816</v>
      </c>
      <c r="AX74" s="2015">
        <v>542</v>
      </c>
      <c r="AY74" s="1995">
        <f t="shared" si="72"/>
        <v>3.9229878401852922E-2</v>
      </c>
      <c r="AZ74" s="2005">
        <v>13523</v>
      </c>
      <c r="BA74" s="2015">
        <v>480</v>
      </c>
      <c r="BB74" s="1995">
        <f t="shared" si="73"/>
        <v>3.5495082452118611E-2</v>
      </c>
      <c r="BC74" s="1999">
        <v>13858</v>
      </c>
      <c r="BD74" s="1251">
        <v>464</v>
      </c>
      <c r="BE74" s="1247">
        <f t="shared" si="74"/>
        <v>3.3482465002164813E-2</v>
      </c>
      <c r="BF74" s="1999">
        <v>13821</v>
      </c>
      <c r="BG74" s="1251">
        <v>374</v>
      </c>
      <c r="BH74" s="1247">
        <f t="shared" si="75"/>
        <v>2.7060270602706028E-2</v>
      </c>
    </row>
    <row r="75" spans="1:60" ht="12.75" customHeight="1" x14ac:dyDescent="0.3">
      <c r="A75" s="364" t="s">
        <v>184</v>
      </c>
      <c r="B75" s="366" t="s">
        <v>185</v>
      </c>
      <c r="C75" s="186" t="s">
        <v>254</v>
      </c>
      <c r="D75" s="1975">
        <v>8084</v>
      </c>
      <c r="E75" s="1976">
        <v>270</v>
      </c>
      <c r="F75" s="1977">
        <f t="shared" si="57"/>
        <v>3.3399307273626916E-2</v>
      </c>
      <c r="G75" s="1988">
        <v>8198</v>
      </c>
      <c r="H75" s="1989">
        <v>343</v>
      </c>
      <c r="I75" s="1964">
        <f t="shared" si="58"/>
        <v>4.1839473042205415E-2</v>
      </c>
      <c r="J75" s="1988">
        <v>8304</v>
      </c>
      <c r="K75" s="1989">
        <v>485</v>
      </c>
      <c r="L75" s="1995">
        <f t="shared" si="59"/>
        <v>5.8405587668593446E-2</v>
      </c>
      <c r="M75" s="1988">
        <v>8567</v>
      </c>
      <c r="N75" s="1989">
        <v>488</v>
      </c>
      <c r="O75" s="1995">
        <f t="shared" si="60"/>
        <v>5.6962764094782306E-2</v>
      </c>
      <c r="P75" s="1988">
        <v>8422</v>
      </c>
      <c r="Q75" s="1989">
        <v>467</v>
      </c>
      <c r="R75" s="1995">
        <f t="shared" si="61"/>
        <v>5.5450011873664211E-2</v>
      </c>
      <c r="S75" s="1988">
        <v>8584</v>
      </c>
      <c r="T75" s="1989">
        <v>487</v>
      </c>
      <c r="U75" s="1995">
        <f t="shared" si="62"/>
        <v>5.673345759552656E-2</v>
      </c>
      <c r="V75" s="1988">
        <v>8900</v>
      </c>
      <c r="W75" s="1989">
        <v>423</v>
      </c>
      <c r="X75" s="1995">
        <f t="shared" si="63"/>
        <v>4.752808988764045E-2</v>
      </c>
      <c r="Y75" s="1988">
        <v>9010</v>
      </c>
      <c r="Z75" s="1989">
        <v>417</v>
      </c>
      <c r="AA75" s="1995">
        <f t="shared" si="64"/>
        <v>4.6281908990011097E-2</v>
      </c>
      <c r="AB75" s="1988">
        <v>9658</v>
      </c>
      <c r="AC75" s="1989">
        <v>533</v>
      </c>
      <c r="AD75" s="1995">
        <f t="shared" si="65"/>
        <v>5.5187409401532411E-2</v>
      </c>
      <c r="AE75" s="1988">
        <v>10031</v>
      </c>
      <c r="AF75" s="1989">
        <v>925</v>
      </c>
      <c r="AG75" s="1995">
        <f t="shared" si="66"/>
        <v>9.2214136177848668E-2</v>
      </c>
      <c r="AH75" s="1988">
        <v>9818</v>
      </c>
      <c r="AI75" s="1989">
        <v>1008</v>
      </c>
      <c r="AJ75" s="1995">
        <f t="shared" si="67"/>
        <v>0.10266856793644327</v>
      </c>
      <c r="AK75" s="1984">
        <v>9959</v>
      </c>
      <c r="AL75" s="1985">
        <v>933</v>
      </c>
      <c r="AM75" s="1995">
        <f t="shared" si="68"/>
        <v>9.3684104829802189E-2</v>
      </c>
      <c r="AN75" s="2005">
        <v>9554</v>
      </c>
      <c r="AO75" s="2006">
        <v>865</v>
      </c>
      <c r="AP75" s="1967">
        <f t="shared" si="69"/>
        <v>9.0537994557253504E-2</v>
      </c>
      <c r="AQ75" s="2005">
        <v>9360</v>
      </c>
      <c r="AR75" s="1119">
        <v>842</v>
      </c>
      <c r="AS75" s="1967">
        <f t="shared" si="70"/>
        <v>8.9957264957264957E-2</v>
      </c>
      <c r="AT75" s="2011">
        <v>9831</v>
      </c>
      <c r="AU75" s="2012">
        <v>771</v>
      </c>
      <c r="AV75" s="1995">
        <f t="shared" si="71"/>
        <v>7.8425389075373816E-2</v>
      </c>
      <c r="AW75" s="2005">
        <v>9798</v>
      </c>
      <c r="AX75" s="2015">
        <v>632</v>
      </c>
      <c r="AY75" s="1995">
        <f t="shared" si="72"/>
        <v>6.4502959787711783E-2</v>
      </c>
      <c r="AZ75" s="2005">
        <v>10140</v>
      </c>
      <c r="BA75" s="2015">
        <v>541</v>
      </c>
      <c r="BB75" s="1995">
        <f t="shared" si="73"/>
        <v>5.3353057199211046E-2</v>
      </c>
      <c r="BC75" s="1999">
        <v>10306</v>
      </c>
      <c r="BD75" s="1251">
        <v>514</v>
      </c>
      <c r="BE75" s="1247">
        <f t="shared" si="74"/>
        <v>4.9873859887444208E-2</v>
      </c>
      <c r="BF75" s="1999">
        <v>10330</v>
      </c>
      <c r="BG75" s="1251">
        <v>394</v>
      </c>
      <c r="BH75" s="1247">
        <f t="shared" si="75"/>
        <v>3.8141335914811232E-2</v>
      </c>
    </row>
    <row r="76" spans="1:60" ht="12.75" customHeight="1" x14ac:dyDescent="0.3">
      <c r="A76" s="364" t="s">
        <v>186</v>
      </c>
      <c r="B76" s="366" t="s">
        <v>187</v>
      </c>
      <c r="C76" s="186" t="s">
        <v>252</v>
      </c>
      <c r="D76" s="1975">
        <v>13144</v>
      </c>
      <c r="E76" s="1976">
        <v>335</v>
      </c>
      <c r="F76" s="1977">
        <f t="shared" si="57"/>
        <v>2.5486914181375532E-2</v>
      </c>
      <c r="G76" s="1988">
        <v>13538</v>
      </c>
      <c r="H76" s="1989">
        <v>472</v>
      </c>
      <c r="I76" s="1964">
        <f t="shared" si="58"/>
        <v>3.4864824937213768E-2</v>
      </c>
      <c r="J76" s="1988">
        <v>14184</v>
      </c>
      <c r="K76" s="1989">
        <v>545</v>
      </c>
      <c r="L76" s="1995">
        <f t="shared" si="59"/>
        <v>3.8423575860124085E-2</v>
      </c>
      <c r="M76" s="1988">
        <v>14736</v>
      </c>
      <c r="N76" s="1989">
        <v>612</v>
      </c>
      <c r="O76" s="1995">
        <f t="shared" si="60"/>
        <v>4.1530944625407164E-2</v>
      </c>
      <c r="P76" s="1988">
        <v>14948</v>
      </c>
      <c r="Q76" s="1989">
        <v>539</v>
      </c>
      <c r="R76" s="1995">
        <f t="shared" si="61"/>
        <v>3.6058335563286061E-2</v>
      </c>
      <c r="S76" s="1988">
        <v>15121</v>
      </c>
      <c r="T76" s="1989">
        <v>578</v>
      </c>
      <c r="U76" s="1995">
        <f t="shared" si="62"/>
        <v>3.8224985120031744E-2</v>
      </c>
      <c r="V76" s="1988">
        <v>14872</v>
      </c>
      <c r="W76" s="1989">
        <v>497</v>
      </c>
      <c r="X76" s="1995">
        <f t="shared" si="63"/>
        <v>3.3418504572350724E-2</v>
      </c>
      <c r="Y76" s="1988">
        <v>14621</v>
      </c>
      <c r="Z76" s="1989">
        <v>475</v>
      </c>
      <c r="AA76" s="1995">
        <f t="shared" si="64"/>
        <v>3.2487517953628343E-2</v>
      </c>
      <c r="AB76" s="1988">
        <v>15001</v>
      </c>
      <c r="AC76" s="1989">
        <v>640</v>
      </c>
      <c r="AD76" s="1995">
        <f t="shared" si="65"/>
        <v>4.2663822411839213E-2</v>
      </c>
      <c r="AE76" s="1988">
        <v>15097</v>
      </c>
      <c r="AF76" s="1989">
        <v>1086</v>
      </c>
      <c r="AG76" s="1995">
        <f t="shared" si="66"/>
        <v>7.1934821487712797E-2</v>
      </c>
      <c r="AH76" s="1988">
        <v>14245</v>
      </c>
      <c r="AI76" s="1989">
        <v>1098</v>
      </c>
      <c r="AJ76" s="1995">
        <f t="shared" si="67"/>
        <v>7.7079677079677084E-2</v>
      </c>
      <c r="AK76" s="1984">
        <v>14844</v>
      </c>
      <c r="AL76" s="1985">
        <v>1103</v>
      </c>
      <c r="AM76" s="1995">
        <f t="shared" si="68"/>
        <v>7.4306116949609272E-2</v>
      </c>
      <c r="AN76" s="2005">
        <v>15040</v>
      </c>
      <c r="AO76" s="2006">
        <v>1015</v>
      </c>
      <c r="AP76" s="1967">
        <f t="shared" si="69"/>
        <v>6.7486702127659573E-2</v>
      </c>
      <c r="AQ76" s="2005">
        <v>15138</v>
      </c>
      <c r="AR76" s="1119">
        <v>934</v>
      </c>
      <c r="AS76" s="1967">
        <f t="shared" si="70"/>
        <v>6.1699035539701415E-2</v>
      </c>
      <c r="AT76" s="2011">
        <v>14925</v>
      </c>
      <c r="AU76" s="2012">
        <v>927</v>
      </c>
      <c r="AV76" s="1995">
        <f t="shared" si="71"/>
        <v>6.2110552763819098E-2</v>
      </c>
      <c r="AW76" s="2005">
        <v>14909</v>
      </c>
      <c r="AX76" s="2015">
        <v>795</v>
      </c>
      <c r="AY76" s="1995">
        <f t="shared" si="72"/>
        <v>5.3323495874974848E-2</v>
      </c>
      <c r="AZ76" s="2005">
        <v>15022</v>
      </c>
      <c r="BA76" s="2015">
        <v>721</v>
      </c>
      <c r="BB76" s="1995">
        <f t="shared" si="73"/>
        <v>4.7996272134203169E-2</v>
      </c>
      <c r="BC76" s="1999">
        <v>15149</v>
      </c>
      <c r="BD76" s="1251">
        <v>672</v>
      </c>
      <c r="BE76" s="1247">
        <f t="shared" si="74"/>
        <v>4.4359363654366622E-2</v>
      </c>
      <c r="BF76" s="1999">
        <v>14955</v>
      </c>
      <c r="BG76" s="1251">
        <v>541</v>
      </c>
      <c r="BH76" s="1247">
        <f t="shared" si="75"/>
        <v>3.617519224339686E-2</v>
      </c>
    </row>
    <row r="77" spans="1:60" ht="12.75" customHeight="1" x14ac:dyDescent="0.3">
      <c r="A77" s="364" t="s">
        <v>188</v>
      </c>
      <c r="B77" s="366" t="s">
        <v>189</v>
      </c>
      <c r="C77" s="186" t="s">
        <v>255</v>
      </c>
      <c r="D77" s="1975">
        <v>152695</v>
      </c>
      <c r="E77" s="1976">
        <v>2686</v>
      </c>
      <c r="F77" s="1977">
        <f t="shared" si="57"/>
        <v>1.7590621827826714E-2</v>
      </c>
      <c r="G77" s="1988">
        <v>160057</v>
      </c>
      <c r="H77" s="1989">
        <v>3930</v>
      </c>
      <c r="I77" s="1964">
        <f t="shared" si="58"/>
        <v>2.4553752725591509E-2</v>
      </c>
      <c r="J77" s="1988">
        <v>166966</v>
      </c>
      <c r="K77" s="1989">
        <v>5677</v>
      </c>
      <c r="L77" s="1995">
        <f t="shared" si="59"/>
        <v>3.4000934321957763E-2</v>
      </c>
      <c r="M77" s="1988">
        <v>172948</v>
      </c>
      <c r="N77" s="1989">
        <v>5853</v>
      </c>
      <c r="O77" s="1995">
        <f t="shared" si="60"/>
        <v>3.3842542267039803E-2</v>
      </c>
      <c r="P77" s="1988">
        <v>182238</v>
      </c>
      <c r="Q77" s="1989">
        <v>5235</v>
      </c>
      <c r="R77" s="1995">
        <f t="shared" si="61"/>
        <v>2.8726171270536331E-2</v>
      </c>
      <c r="S77" s="1988">
        <v>190880</v>
      </c>
      <c r="T77" s="1989">
        <v>5149</v>
      </c>
      <c r="U77" s="1995">
        <f t="shared" si="62"/>
        <v>2.6975062866722549E-2</v>
      </c>
      <c r="V77" s="1988">
        <v>197358</v>
      </c>
      <c r="W77" s="1989">
        <v>4714</v>
      </c>
      <c r="X77" s="1995">
        <f t="shared" si="63"/>
        <v>2.3885527822535696E-2</v>
      </c>
      <c r="Y77" s="1988">
        <v>199326</v>
      </c>
      <c r="Z77" s="1989">
        <v>4955</v>
      </c>
      <c r="AA77" s="1995">
        <f t="shared" si="64"/>
        <v>2.4858774068611221E-2</v>
      </c>
      <c r="AB77" s="1988">
        <v>206319</v>
      </c>
      <c r="AC77" s="1989">
        <v>6810</v>
      </c>
      <c r="AD77" s="1995">
        <f t="shared" si="65"/>
        <v>3.3007139429718058E-2</v>
      </c>
      <c r="AE77" s="1988">
        <v>208913</v>
      </c>
      <c r="AF77" s="1989">
        <v>11824</v>
      </c>
      <c r="AG77" s="1995">
        <f t="shared" si="66"/>
        <v>5.659772249692456E-2</v>
      </c>
      <c r="AH77" s="1988">
        <v>220193</v>
      </c>
      <c r="AI77" s="1989">
        <v>13032</v>
      </c>
      <c r="AJ77" s="1995">
        <f t="shared" si="67"/>
        <v>5.918444273886999E-2</v>
      </c>
      <c r="AK77" s="1984">
        <v>229165</v>
      </c>
      <c r="AL77" s="1985">
        <v>12336</v>
      </c>
      <c r="AM77" s="1995">
        <f t="shared" si="68"/>
        <v>5.3830209674252179E-2</v>
      </c>
      <c r="AN77" s="2005">
        <v>232908</v>
      </c>
      <c r="AO77" s="2006">
        <v>11628</v>
      </c>
      <c r="AP77" s="1967">
        <f t="shared" si="69"/>
        <v>4.9925292390128294E-2</v>
      </c>
      <c r="AQ77" s="2005">
        <v>234795</v>
      </c>
      <c r="AR77" s="1119">
        <v>11478</v>
      </c>
      <c r="AS77" s="1967">
        <f t="shared" si="70"/>
        <v>4.8885197725675587E-2</v>
      </c>
      <c r="AT77" s="2011">
        <v>232150</v>
      </c>
      <c r="AU77" s="2012">
        <v>11151</v>
      </c>
      <c r="AV77" s="1995">
        <f t="shared" si="71"/>
        <v>4.8033598966185656E-2</v>
      </c>
      <c r="AW77" s="2005">
        <v>231924</v>
      </c>
      <c r="AX77" s="2015">
        <v>9538</v>
      </c>
      <c r="AY77" s="1995">
        <f t="shared" si="72"/>
        <v>4.1125541125541128E-2</v>
      </c>
      <c r="AZ77" s="2005">
        <v>234139</v>
      </c>
      <c r="BA77" s="2015">
        <v>8402</v>
      </c>
      <c r="BB77" s="1995">
        <f t="shared" si="73"/>
        <v>3.5884666800490309E-2</v>
      </c>
      <c r="BC77" s="1999">
        <v>239833</v>
      </c>
      <c r="BD77" s="1251">
        <v>8166</v>
      </c>
      <c r="BE77" s="1247">
        <f t="shared" si="74"/>
        <v>3.4048692214999607E-2</v>
      </c>
      <c r="BF77" s="1999">
        <v>241651</v>
      </c>
      <c r="BG77" s="1251">
        <v>6581</v>
      </c>
      <c r="BH77" s="1247">
        <f t="shared" si="75"/>
        <v>2.7233489619327048E-2</v>
      </c>
    </row>
    <row r="78" spans="1:60" ht="12.75" customHeight="1" x14ac:dyDescent="0.3">
      <c r="A78" s="364" t="s">
        <v>190</v>
      </c>
      <c r="B78" s="366" t="s">
        <v>191</v>
      </c>
      <c r="C78" s="186" t="s">
        <v>256</v>
      </c>
      <c r="D78" s="1975">
        <v>17288</v>
      </c>
      <c r="E78" s="1976">
        <v>777</v>
      </c>
      <c r="F78" s="1977">
        <f t="shared" si="57"/>
        <v>4.4944470152707083E-2</v>
      </c>
      <c r="G78" s="1988">
        <v>17660</v>
      </c>
      <c r="H78" s="1989">
        <v>1249</v>
      </c>
      <c r="I78" s="1964">
        <f t="shared" si="58"/>
        <v>7.0724801812004537E-2</v>
      </c>
      <c r="J78" s="1988">
        <v>17648</v>
      </c>
      <c r="K78" s="1989">
        <v>1111</v>
      </c>
      <c r="L78" s="1995">
        <f t="shared" si="59"/>
        <v>6.2953309156844967E-2</v>
      </c>
      <c r="M78" s="1988">
        <v>18276</v>
      </c>
      <c r="N78" s="1989">
        <v>1112</v>
      </c>
      <c r="O78" s="1995">
        <f t="shared" si="60"/>
        <v>6.0844823812650474E-2</v>
      </c>
      <c r="P78" s="1988">
        <v>18324</v>
      </c>
      <c r="Q78" s="1989">
        <v>1064</v>
      </c>
      <c r="R78" s="1995">
        <f t="shared" si="61"/>
        <v>5.8065924470639602E-2</v>
      </c>
      <c r="S78" s="1988">
        <v>18107</v>
      </c>
      <c r="T78" s="1989">
        <v>808</v>
      </c>
      <c r="U78" s="1995">
        <f t="shared" si="62"/>
        <v>4.4623626221903134E-2</v>
      </c>
      <c r="V78" s="1988">
        <v>18107</v>
      </c>
      <c r="W78" s="1989">
        <v>699</v>
      </c>
      <c r="X78" s="1995">
        <f t="shared" si="63"/>
        <v>3.8603854862760259E-2</v>
      </c>
      <c r="Y78" s="1988">
        <v>17622</v>
      </c>
      <c r="Z78" s="1989">
        <v>978</v>
      </c>
      <c r="AA78" s="1995">
        <f t="shared" si="64"/>
        <v>5.5498808307797069E-2</v>
      </c>
      <c r="AB78" s="1988">
        <v>18168</v>
      </c>
      <c r="AC78" s="1989">
        <v>1163</v>
      </c>
      <c r="AD78" s="1995">
        <f t="shared" si="65"/>
        <v>6.4013650374284456E-2</v>
      </c>
      <c r="AE78" s="1988">
        <v>18210</v>
      </c>
      <c r="AF78" s="1989">
        <v>2060</v>
      </c>
      <c r="AG78" s="1995">
        <f t="shared" si="66"/>
        <v>0.11312465678198792</v>
      </c>
      <c r="AH78" s="1988">
        <v>17341</v>
      </c>
      <c r="AI78" s="1989">
        <v>1724</v>
      </c>
      <c r="AJ78" s="1995">
        <f t="shared" si="67"/>
        <v>9.9417565307652389E-2</v>
      </c>
      <c r="AK78" s="1984">
        <v>17330</v>
      </c>
      <c r="AL78" s="1985">
        <v>1292</v>
      </c>
      <c r="AM78" s="1995">
        <f t="shared" si="68"/>
        <v>7.4552798615118293E-2</v>
      </c>
      <c r="AN78" s="2005">
        <v>17452</v>
      </c>
      <c r="AO78" s="2006">
        <v>1160</v>
      </c>
      <c r="AP78" s="1967">
        <f t="shared" si="69"/>
        <v>6.6468026587210641E-2</v>
      </c>
      <c r="AQ78" s="2005">
        <v>17897</v>
      </c>
      <c r="AR78" s="1119">
        <v>1276</v>
      </c>
      <c r="AS78" s="1967">
        <f t="shared" si="70"/>
        <v>7.1296865396435163E-2</v>
      </c>
      <c r="AT78" s="2011">
        <v>16871</v>
      </c>
      <c r="AU78" s="2012">
        <v>1009</v>
      </c>
      <c r="AV78" s="1995">
        <f t="shared" si="71"/>
        <v>5.9806769011913938E-2</v>
      </c>
      <c r="AW78" s="2005">
        <v>16461</v>
      </c>
      <c r="AX78" s="2015">
        <v>826</v>
      </c>
      <c r="AY78" s="1995">
        <f t="shared" si="72"/>
        <v>5.0179211469534052E-2</v>
      </c>
      <c r="AZ78" s="2005">
        <v>16498</v>
      </c>
      <c r="BA78" s="2015">
        <v>959</v>
      </c>
      <c r="BB78" s="1995">
        <f t="shared" si="73"/>
        <v>5.8128257970663108E-2</v>
      </c>
      <c r="BC78" s="1999">
        <v>16260</v>
      </c>
      <c r="BD78" s="1251">
        <v>870</v>
      </c>
      <c r="BE78" s="1247">
        <f t="shared" si="74"/>
        <v>5.350553505535055E-2</v>
      </c>
      <c r="BF78" s="1999">
        <v>16055</v>
      </c>
      <c r="BG78" s="1251">
        <v>555</v>
      </c>
      <c r="BH78" s="1247">
        <f t="shared" si="75"/>
        <v>3.4568670196200559E-2</v>
      </c>
    </row>
    <row r="79" spans="1:60" ht="12.75" customHeight="1" x14ac:dyDescent="0.3">
      <c r="A79" s="364" t="s">
        <v>194</v>
      </c>
      <c r="B79" s="366" t="s">
        <v>195</v>
      </c>
      <c r="C79" s="186" t="s">
        <v>255</v>
      </c>
      <c r="D79" s="1975">
        <v>3731</v>
      </c>
      <c r="E79" s="1976">
        <v>69</v>
      </c>
      <c r="F79" s="1977">
        <f t="shared" si="57"/>
        <v>1.8493701420530688E-2</v>
      </c>
      <c r="G79" s="1988">
        <v>3725</v>
      </c>
      <c r="H79" s="1989">
        <v>88</v>
      </c>
      <c r="I79" s="1964">
        <f t="shared" si="58"/>
        <v>2.3624161073825502E-2</v>
      </c>
      <c r="J79" s="1988">
        <v>3747</v>
      </c>
      <c r="K79" s="1989">
        <v>127</v>
      </c>
      <c r="L79" s="1995">
        <f t="shared" si="59"/>
        <v>3.3893781692020286E-2</v>
      </c>
      <c r="M79" s="1988">
        <v>3997</v>
      </c>
      <c r="N79" s="1989">
        <v>121</v>
      </c>
      <c r="O79" s="1995">
        <f t="shared" si="60"/>
        <v>3.0272704528396296E-2</v>
      </c>
      <c r="P79" s="1988">
        <v>4118</v>
      </c>
      <c r="Q79" s="1989">
        <v>106</v>
      </c>
      <c r="R79" s="1995">
        <f t="shared" si="61"/>
        <v>2.5740650801359885E-2</v>
      </c>
      <c r="S79" s="1988">
        <v>4139</v>
      </c>
      <c r="T79" s="1989">
        <v>107</v>
      </c>
      <c r="U79" s="1995">
        <f t="shared" si="62"/>
        <v>2.5851654989127809E-2</v>
      </c>
      <c r="V79" s="1988">
        <v>4271</v>
      </c>
      <c r="W79" s="1989">
        <v>99</v>
      </c>
      <c r="X79" s="1995">
        <f t="shared" si="63"/>
        <v>2.3179583235776166E-2</v>
      </c>
      <c r="Y79" s="1988">
        <v>4294</v>
      </c>
      <c r="Z79" s="1989">
        <v>109</v>
      </c>
      <c r="AA79" s="1995">
        <f t="shared" si="64"/>
        <v>2.5384257102934328E-2</v>
      </c>
      <c r="AB79" s="1988">
        <v>4286</v>
      </c>
      <c r="AC79" s="1989">
        <v>150</v>
      </c>
      <c r="AD79" s="1995">
        <f t="shared" si="65"/>
        <v>3.4997666822211851E-2</v>
      </c>
      <c r="AE79" s="1988">
        <v>4239</v>
      </c>
      <c r="AF79" s="1989">
        <v>256</v>
      </c>
      <c r="AG79" s="1995">
        <f t="shared" si="66"/>
        <v>6.0391601792875678E-2</v>
      </c>
      <c r="AH79" s="1988">
        <v>4164</v>
      </c>
      <c r="AI79" s="1989">
        <v>251</v>
      </c>
      <c r="AJ79" s="1995">
        <f t="shared" si="67"/>
        <v>6.0278578290105668E-2</v>
      </c>
      <c r="AK79" s="1984">
        <v>4212</v>
      </c>
      <c r="AL79" s="1985">
        <v>221</v>
      </c>
      <c r="AM79" s="1995">
        <f t="shared" si="68"/>
        <v>5.2469135802469133E-2</v>
      </c>
      <c r="AN79" s="2005">
        <v>4395</v>
      </c>
      <c r="AO79" s="2006">
        <v>210</v>
      </c>
      <c r="AP79" s="1967">
        <f t="shared" si="69"/>
        <v>4.778156996587031E-2</v>
      </c>
      <c r="AQ79" s="2005">
        <v>4327</v>
      </c>
      <c r="AR79" s="1119">
        <v>196</v>
      </c>
      <c r="AS79" s="1967">
        <f t="shared" si="70"/>
        <v>4.5296972498266697E-2</v>
      </c>
      <c r="AT79" s="2011">
        <v>3925</v>
      </c>
      <c r="AU79" s="2012">
        <v>183</v>
      </c>
      <c r="AV79" s="1995">
        <f t="shared" si="71"/>
        <v>4.6624203821656052E-2</v>
      </c>
      <c r="AW79" s="2005">
        <v>3781</v>
      </c>
      <c r="AX79" s="2015">
        <v>155</v>
      </c>
      <c r="AY79" s="1995">
        <f t="shared" si="72"/>
        <v>4.0994445913779425E-2</v>
      </c>
      <c r="AZ79" s="2005">
        <v>3720</v>
      </c>
      <c r="BA79" s="2015">
        <v>130</v>
      </c>
      <c r="BB79" s="1995">
        <f t="shared" si="73"/>
        <v>3.4946236559139782E-2</v>
      </c>
      <c r="BC79" s="1999">
        <v>3745</v>
      </c>
      <c r="BD79" s="1251">
        <v>130</v>
      </c>
      <c r="BE79" s="1247">
        <f t="shared" si="74"/>
        <v>3.4712950600801068E-2</v>
      </c>
      <c r="BF79" s="1999">
        <v>3701</v>
      </c>
      <c r="BG79" s="1251">
        <v>101</v>
      </c>
      <c r="BH79" s="1247">
        <f t="shared" si="75"/>
        <v>2.7289921642799243E-2</v>
      </c>
    </row>
    <row r="80" spans="1:60" ht="12.75" customHeight="1" x14ac:dyDescent="0.3">
      <c r="A80" s="364" t="s">
        <v>198</v>
      </c>
      <c r="B80" s="366" t="s">
        <v>199</v>
      </c>
      <c r="C80" s="186" t="s">
        <v>254</v>
      </c>
      <c r="D80" s="1975">
        <v>3404</v>
      </c>
      <c r="E80" s="1976">
        <v>146</v>
      </c>
      <c r="F80" s="1977">
        <f t="shared" si="57"/>
        <v>4.2890716803760283E-2</v>
      </c>
      <c r="G80" s="1988">
        <v>3427</v>
      </c>
      <c r="H80" s="1989">
        <v>141</v>
      </c>
      <c r="I80" s="1964">
        <f t="shared" si="58"/>
        <v>4.1143857601400644E-2</v>
      </c>
      <c r="J80" s="1988">
        <v>3524</v>
      </c>
      <c r="K80" s="1989">
        <v>199</v>
      </c>
      <c r="L80" s="1995">
        <f t="shared" si="59"/>
        <v>5.6469920544835413E-2</v>
      </c>
      <c r="M80" s="1988">
        <v>3611</v>
      </c>
      <c r="N80" s="1989">
        <v>225</v>
      </c>
      <c r="O80" s="1995">
        <f t="shared" si="60"/>
        <v>6.2309609526446964E-2</v>
      </c>
      <c r="P80" s="1988">
        <v>3519</v>
      </c>
      <c r="Q80" s="1989">
        <v>182</v>
      </c>
      <c r="R80" s="1995">
        <f t="shared" si="61"/>
        <v>5.1719238420005684E-2</v>
      </c>
      <c r="S80" s="1988">
        <v>3503</v>
      </c>
      <c r="T80" s="1989">
        <v>163</v>
      </c>
      <c r="U80" s="1995">
        <f t="shared" si="62"/>
        <v>4.6531544390522407E-2</v>
      </c>
      <c r="V80" s="1988">
        <v>3499</v>
      </c>
      <c r="W80" s="1989">
        <v>167</v>
      </c>
      <c r="X80" s="1995">
        <f t="shared" si="63"/>
        <v>4.7727922263503857E-2</v>
      </c>
      <c r="Y80" s="1988">
        <v>3483</v>
      </c>
      <c r="Z80" s="1989">
        <v>152</v>
      </c>
      <c r="AA80" s="1995">
        <f t="shared" si="64"/>
        <v>4.3640539764570774E-2</v>
      </c>
      <c r="AB80" s="1988">
        <v>3885</v>
      </c>
      <c r="AC80" s="1989">
        <v>196</v>
      </c>
      <c r="AD80" s="1995">
        <f t="shared" si="65"/>
        <v>5.0450450450450449E-2</v>
      </c>
      <c r="AE80" s="1988">
        <v>4101</v>
      </c>
      <c r="AF80" s="1989">
        <v>328</v>
      </c>
      <c r="AG80" s="1995">
        <f t="shared" si="66"/>
        <v>7.9980492562789565E-2</v>
      </c>
      <c r="AH80" s="1988">
        <v>4023</v>
      </c>
      <c r="AI80" s="1989">
        <v>339</v>
      </c>
      <c r="AJ80" s="1995">
        <f t="shared" si="67"/>
        <v>8.4265473527218498E-2</v>
      </c>
      <c r="AK80" s="1984">
        <v>3987</v>
      </c>
      <c r="AL80" s="1985">
        <v>318</v>
      </c>
      <c r="AM80" s="1995">
        <f t="shared" si="68"/>
        <v>7.9759217456734394E-2</v>
      </c>
      <c r="AN80" s="2005">
        <v>3436</v>
      </c>
      <c r="AO80" s="2006">
        <v>282</v>
      </c>
      <c r="AP80" s="1967">
        <f t="shared" si="69"/>
        <v>8.2072176949941789E-2</v>
      </c>
      <c r="AQ80" s="2005">
        <v>3401</v>
      </c>
      <c r="AR80" s="1119">
        <v>290</v>
      </c>
      <c r="AS80" s="1967">
        <f t="shared" si="70"/>
        <v>8.5269038518082915E-2</v>
      </c>
      <c r="AT80" s="2011">
        <v>4019</v>
      </c>
      <c r="AU80" s="2012">
        <v>223</v>
      </c>
      <c r="AV80" s="1995">
        <f t="shared" si="71"/>
        <v>5.5486439412789253E-2</v>
      </c>
      <c r="AW80" s="2005">
        <v>3903</v>
      </c>
      <c r="AX80" s="2015">
        <v>178</v>
      </c>
      <c r="AY80" s="1995">
        <f t="shared" si="72"/>
        <v>4.5605944145529077E-2</v>
      </c>
      <c r="AZ80" s="2005">
        <v>3897</v>
      </c>
      <c r="BA80" s="2015">
        <v>145</v>
      </c>
      <c r="BB80" s="1995">
        <f t="shared" si="73"/>
        <v>3.7208108801642291E-2</v>
      </c>
      <c r="BC80" s="1999">
        <v>3893</v>
      </c>
      <c r="BD80" s="1251">
        <v>147</v>
      </c>
      <c r="BE80" s="1247">
        <f t="shared" si="74"/>
        <v>3.7760082198818393E-2</v>
      </c>
      <c r="BF80" s="1999">
        <v>4040</v>
      </c>
      <c r="BG80" s="1251">
        <v>124</v>
      </c>
      <c r="BH80" s="1247">
        <f t="shared" si="75"/>
        <v>3.0693069306930693E-2</v>
      </c>
    </row>
    <row r="81" spans="1:60" ht="12.75" customHeight="1" x14ac:dyDescent="0.3">
      <c r="A81" s="364" t="s">
        <v>202</v>
      </c>
      <c r="B81" s="366" t="s">
        <v>203</v>
      </c>
      <c r="C81" s="186" t="s">
        <v>253</v>
      </c>
      <c r="D81" s="1978">
        <v>58633</v>
      </c>
      <c r="E81" s="1979">
        <v>1039</v>
      </c>
      <c r="F81" s="1977">
        <f t="shared" si="57"/>
        <v>1.7720396363822419E-2</v>
      </c>
      <c r="G81" s="1990">
        <v>59265</v>
      </c>
      <c r="H81" s="1991">
        <v>1501</v>
      </c>
      <c r="I81" s="1964">
        <f t="shared" si="58"/>
        <v>2.5326921454484098E-2</v>
      </c>
      <c r="J81" s="1990">
        <v>60657</v>
      </c>
      <c r="K81" s="1991">
        <v>2044</v>
      </c>
      <c r="L81" s="1995">
        <f t="shared" si="59"/>
        <v>3.3697677102395435E-2</v>
      </c>
      <c r="M81" s="1990">
        <v>59694</v>
      </c>
      <c r="N81" s="1991">
        <v>2069</v>
      </c>
      <c r="O81" s="1995">
        <f t="shared" si="60"/>
        <v>3.466009984253024E-2</v>
      </c>
      <c r="P81" s="1990">
        <v>59149</v>
      </c>
      <c r="Q81" s="1991">
        <v>1918</v>
      </c>
      <c r="R81" s="1995">
        <f t="shared" si="61"/>
        <v>3.2426583712319733E-2</v>
      </c>
      <c r="S81" s="1990">
        <v>59740</v>
      </c>
      <c r="T81" s="1991">
        <v>1792</v>
      </c>
      <c r="U81" s="1995">
        <f t="shared" si="62"/>
        <v>2.9996652159357214E-2</v>
      </c>
      <c r="V81" s="1990">
        <v>61908</v>
      </c>
      <c r="W81" s="1991">
        <v>1639</v>
      </c>
      <c r="X81" s="1995">
        <f t="shared" si="63"/>
        <v>2.6474769012082445E-2</v>
      </c>
      <c r="Y81" s="1990">
        <v>62042</v>
      </c>
      <c r="Z81" s="1991">
        <v>1634</v>
      </c>
      <c r="AA81" s="1995">
        <f t="shared" si="64"/>
        <v>2.6336997517810514E-2</v>
      </c>
      <c r="AB81" s="1990">
        <v>63514</v>
      </c>
      <c r="AC81" s="1991">
        <v>2090</v>
      </c>
      <c r="AD81" s="1995">
        <f t="shared" si="65"/>
        <v>3.2906130931763075E-2</v>
      </c>
      <c r="AE81" s="1990">
        <v>61955</v>
      </c>
      <c r="AF81" s="1991">
        <v>3851</v>
      </c>
      <c r="AG81" s="1995">
        <f t="shared" si="66"/>
        <v>6.2158017916229519E-2</v>
      </c>
      <c r="AH81" s="1990">
        <v>61047</v>
      </c>
      <c r="AI81" s="1991">
        <v>4121</v>
      </c>
      <c r="AJ81" s="1995">
        <f t="shared" si="67"/>
        <v>6.7505364718987007E-2</v>
      </c>
      <c r="AK81" s="1984">
        <v>61922</v>
      </c>
      <c r="AL81" s="1985">
        <v>3695</v>
      </c>
      <c r="AM81" s="1995">
        <f t="shared" si="68"/>
        <v>5.9671845224637449E-2</v>
      </c>
      <c r="AN81" s="2005">
        <v>61773</v>
      </c>
      <c r="AO81" s="2006">
        <v>3367</v>
      </c>
      <c r="AP81" s="1967">
        <f t="shared" si="69"/>
        <v>5.4506013954316611E-2</v>
      </c>
      <c r="AQ81" s="2005">
        <v>62016</v>
      </c>
      <c r="AR81" s="1119">
        <v>3288</v>
      </c>
      <c r="AS81" s="1967">
        <f t="shared" si="70"/>
        <v>5.301857585139319E-2</v>
      </c>
      <c r="AT81" s="2011">
        <v>63557</v>
      </c>
      <c r="AU81" s="2012">
        <v>2956</v>
      </c>
      <c r="AV81" s="1995">
        <f t="shared" si="71"/>
        <v>4.6509432477933196E-2</v>
      </c>
      <c r="AW81" s="2005">
        <v>62552</v>
      </c>
      <c r="AX81" s="2015">
        <v>2501</v>
      </c>
      <c r="AY81" s="1995">
        <f t="shared" si="72"/>
        <v>3.9982734365008314E-2</v>
      </c>
      <c r="AZ81" s="2005">
        <v>62110</v>
      </c>
      <c r="BA81" s="2015">
        <v>2252</v>
      </c>
      <c r="BB81" s="1995">
        <f t="shared" si="73"/>
        <v>3.6258251489293188E-2</v>
      </c>
      <c r="BC81" s="1999">
        <v>62051</v>
      </c>
      <c r="BD81" s="1251">
        <v>2189</v>
      </c>
      <c r="BE81" s="1247">
        <f t="shared" si="74"/>
        <v>3.527743307924127E-2</v>
      </c>
      <c r="BF81" s="1999">
        <v>61826</v>
      </c>
      <c r="BG81" s="1251">
        <v>1712</v>
      </c>
      <c r="BH81" s="1247">
        <f t="shared" si="75"/>
        <v>2.7690615598615468E-2</v>
      </c>
    </row>
    <row r="82" spans="1:60" ht="12.75" customHeight="1" x14ac:dyDescent="0.3">
      <c r="A82" s="364" t="s">
        <v>204</v>
      </c>
      <c r="B82" s="367" t="s">
        <v>205</v>
      </c>
      <c r="C82" s="186" t="s">
        <v>253</v>
      </c>
      <c r="D82" s="1978">
        <v>16047</v>
      </c>
      <c r="E82" s="1979">
        <v>380</v>
      </c>
      <c r="F82" s="1977">
        <f t="shared" si="57"/>
        <v>2.3680438711285598E-2</v>
      </c>
      <c r="G82" s="1990">
        <v>16423</v>
      </c>
      <c r="H82" s="1991">
        <v>520</v>
      </c>
      <c r="I82" s="1964">
        <f t="shared" si="58"/>
        <v>3.1662911770078551E-2</v>
      </c>
      <c r="J82" s="1990">
        <v>16806</v>
      </c>
      <c r="K82" s="1991">
        <v>668</v>
      </c>
      <c r="L82" s="1995">
        <f t="shared" si="59"/>
        <v>3.9747709151493511E-2</v>
      </c>
      <c r="M82" s="1990">
        <v>17126</v>
      </c>
      <c r="N82" s="1991">
        <v>705</v>
      </c>
      <c r="O82" s="1995">
        <f t="shared" si="60"/>
        <v>4.1165479388064932E-2</v>
      </c>
      <c r="P82" s="1990">
        <v>16785</v>
      </c>
      <c r="Q82" s="1991">
        <v>620</v>
      </c>
      <c r="R82" s="1995">
        <f t="shared" si="61"/>
        <v>3.6937742031575814E-2</v>
      </c>
      <c r="S82" s="1990">
        <v>17047</v>
      </c>
      <c r="T82" s="1991">
        <v>594</v>
      </c>
      <c r="U82" s="1995">
        <f t="shared" si="62"/>
        <v>3.484484073444008E-2</v>
      </c>
      <c r="V82" s="1990">
        <v>16939</v>
      </c>
      <c r="W82" s="1991">
        <v>526</v>
      </c>
      <c r="X82" s="1995">
        <f t="shared" si="63"/>
        <v>3.1052600507704115E-2</v>
      </c>
      <c r="Y82" s="1990">
        <v>16901</v>
      </c>
      <c r="Z82" s="1991">
        <v>560</v>
      </c>
      <c r="AA82" s="1995">
        <f t="shared" si="64"/>
        <v>3.3134134074906813E-2</v>
      </c>
      <c r="AB82" s="1990">
        <v>17398</v>
      </c>
      <c r="AC82" s="1991">
        <v>810</v>
      </c>
      <c r="AD82" s="1995">
        <f t="shared" si="65"/>
        <v>4.6557075525922517E-2</v>
      </c>
      <c r="AE82" s="1990">
        <v>17654</v>
      </c>
      <c r="AF82" s="1991">
        <v>1339</v>
      </c>
      <c r="AG82" s="1995">
        <f t="shared" si="66"/>
        <v>7.5846833578792336E-2</v>
      </c>
      <c r="AH82" s="1990">
        <v>16764</v>
      </c>
      <c r="AI82" s="1991">
        <v>1430</v>
      </c>
      <c r="AJ82" s="1995">
        <f t="shared" si="67"/>
        <v>8.5301837270341213E-2</v>
      </c>
      <c r="AK82" s="1984">
        <v>16778</v>
      </c>
      <c r="AL82" s="1985">
        <v>1285</v>
      </c>
      <c r="AM82" s="1995">
        <f t="shared" si="68"/>
        <v>7.6588389557754197E-2</v>
      </c>
      <c r="AN82" s="2005">
        <v>17920</v>
      </c>
      <c r="AO82" s="2006">
        <v>1153</v>
      </c>
      <c r="AP82" s="1967">
        <f t="shared" si="69"/>
        <v>6.4341517857142858E-2</v>
      </c>
      <c r="AQ82" s="2005">
        <v>17446</v>
      </c>
      <c r="AR82" s="1119">
        <v>1061</v>
      </c>
      <c r="AS82" s="1967">
        <f t="shared" si="70"/>
        <v>6.0816232947380491E-2</v>
      </c>
      <c r="AT82" s="2011">
        <v>15781</v>
      </c>
      <c r="AU82" s="2012">
        <v>918</v>
      </c>
      <c r="AV82" s="1995">
        <f t="shared" si="71"/>
        <v>5.8171218553957293E-2</v>
      </c>
      <c r="AW82" s="2005">
        <v>15128</v>
      </c>
      <c r="AX82" s="2015">
        <v>811</v>
      </c>
      <c r="AY82" s="1995">
        <f t="shared" si="72"/>
        <v>5.3609201480698046E-2</v>
      </c>
      <c r="AZ82" s="2005">
        <v>15853</v>
      </c>
      <c r="BA82" s="2015">
        <v>765</v>
      </c>
      <c r="BB82" s="1995">
        <f t="shared" si="73"/>
        <v>4.8255850627641456E-2</v>
      </c>
      <c r="BC82" s="1999">
        <v>16169</v>
      </c>
      <c r="BD82" s="1251">
        <v>706</v>
      </c>
      <c r="BE82" s="1247">
        <f t="shared" si="74"/>
        <v>4.3663801100872042E-2</v>
      </c>
      <c r="BF82" s="1999">
        <v>15935</v>
      </c>
      <c r="BG82" s="1251">
        <v>516</v>
      </c>
      <c r="BH82" s="1247">
        <f t="shared" si="75"/>
        <v>3.2381550047066207E-2</v>
      </c>
    </row>
    <row r="83" spans="1:60" ht="12.75" customHeight="1" x14ac:dyDescent="0.3">
      <c r="A83" s="364" t="s">
        <v>206</v>
      </c>
      <c r="B83" s="366" t="s">
        <v>207</v>
      </c>
      <c r="C83" s="186" t="s">
        <v>255</v>
      </c>
      <c r="D83" s="1978">
        <v>55446</v>
      </c>
      <c r="E83" s="1979">
        <v>1048</v>
      </c>
      <c r="F83" s="1977">
        <f t="shared" si="57"/>
        <v>1.8901273310969233E-2</v>
      </c>
      <c r="G83" s="1990">
        <v>56663</v>
      </c>
      <c r="H83" s="1991">
        <v>1440</v>
      </c>
      <c r="I83" s="1964">
        <f t="shared" si="58"/>
        <v>2.5413409102941955E-2</v>
      </c>
      <c r="J83" s="1990">
        <v>58325</v>
      </c>
      <c r="K83" s="1991">
        <v>2068</v>
      </c>
      <c r="L83" s="1995">
        <f t="shared" si="59"/>
        <v>3.5456493784826404E-2</v>
      </c>
      <c r="M83" s="1990">
        <v>60744</v>
      </c>
      <c r="N83" s="1991">
        <v>2076</v>
      </c>
      <c r="O83" s="1995">
        <f t="shared" si="60"/>
        <v>3.4176214934808373E-2</v>
      </c>
      <c r="P83" s="1990">
        <v>61747</v>
      </c>
      <c r="Q83" s="1991">
        <v>2035</v>
      </c>
      <c r="R83" s="1995">
        <f t="shared" si="61"/>
        <v>3.2957066740084535E-2</v>
      </c>
      <c r="S83" s="1990">
        <v>61590</v>
      </c>
      <c r="T83" s="1991">
        <v>1998</v>
      </c>
      <c r="U83" s="1995">
        <f t="shared" si="62"/>
        <v>3.2440331222601072E-2</v>
      </c>
      <c r="V83" s="1990">
        <v>63918</v>
      </c>
      <c r="W83" s="1991">
        <v>1647</v>
      </c>
      <c r="X83" s="1995">
        <f t="shared" si="63"/>
        <v>2.5767389467755562E-2</v>
      </c>
      <c r="Y83" s="1990">
        <v>63977</v>
      </c>
      <c r="Z83" s="1991">
        <v>1700</v>
      </c>
      <c r="AA83" s="1995">
        <f t="shared" si="64"/>
        <v>2.657204933022805E-2</v>
      </c>
      <c r="AB83" s="1990">
        <v>65323</v>
      </c>
      <c r="AC83" s="1991">
        <v>2377</v>
      </c>
      <c r="AD83" s="1995">
        <f t="shared" si="65"/>
        <v>3.6388408370711695E-2</v>
      </c>
      <c r="AE83" s="1990">
        <v>64929</v>
      </c>
      <c r="AF83" s="1991">
        <v>4162</v>
      </c>
      <c r="AG83" s="1995">
        <f t="shared" si="66"/>
        <v>6.4100787013507063E-2</v>
      </c>
      <c r="AH83" s="1990">
        <v>65720</v>
      </c>
      <c r="AI83" s="1991">
        <v>4613</v>
      </c>
      <c r="AJ83" s="1995">
        <f t="shared" si="67"/>
        <v>7.0191722458916611E-2</v>
      </c>
      <c r="AK83" s="1984">
        <v>67448</v>
      </c>
      <c r="AL83" s="1985">
        <v>4292</v>
      </c>
      <c r="AM83" s="1995">
        <f t="shared" si="68"/>
        <v>6.3634207092871542E-2</v>
      </c>
      <c r="AN83" s="2005">
        <v>67124</v>
      </c>
      <c r="AO83" s="2006">
        <v>3966</v>
      </c>
      <c r="AP83" s="1967">
        <f t="shared" si="69"/>
        <v>5.908467910136464E-2</v>
      </c>
      <c r="AQ83" s="2005">
        <v>66821</v>
      </c>
      <c r="AR83" s="1119">
        <v>3588</v>
      </c>
      <c r="AS83" s="1967">
        <f t="shared" si="70"/>
        <v>5.369569446730818E-2</v>
      </c>
      <c r="AT83" s="2011">
        <v>64921</v>
      </c>
      <c r="AU83" s="2012">
        <v>3344</v>
      </c>
      <c r="AV83" s="1995">
        <f t="shared" si="71"/>
        <v>5.150875679672217E-2</v>
      </c>
      <c r="AW83" s="2005">
        <v>64253</v>
      </c>
      <c r="AX83" s="2015">
        <v>2931</v>
      </c>
      <c r="AY83" s="1995">
        <f t="shared" si="72"/>
        <v>4.5616547087295532E-2</v>
      </c>
      <c r="AZ83" s="2005">
        <v>64716</v>
      </c>
      <c r="BA83" s="2015">
        <v>2541</v>
      </c>
      <c r="BB83" s="1995">
        <f t="shared" si="73"/>
        <v>3.9263860559985167E-2</v>
      </c>
      <c r="BC83" s="1999">
        <v>65396</v>
      </c>
      <c r="BD83" s="1251">
        <v>2433</v>
      </c>
      <c r="BE83" s="1247">
        <f t="shared" si="74"/>
        <v>3.7204110343140251E-2</v>
      </c>
      <c r="BF83" s="1999">
        <v>65473</v>
      </c>
      <c r="BG83" s="1251">
        <v>1936</v>
      </c>
      <c r="BH83" s="1247">
        <f t="shared" si="75"/>
        <v>2.9569440838208116E-2</v>
      </c>
    </row>
    <row r="84" spans="1:60" ht="12.75" customHeight="1" x14ac:dyDescent="0.3">
      <c r="A84" s="364" t="s">
        <v>208</v>
      </c>
      <c r="B84" s="366" t="s">
        <v>209</v>
      </c>
      <c r="C84" s="186" t="s">
        <v>256</v>
      </c>
      <c r="D84" s="1975">
        <v>11789</v>
      </c>
      <c r="E84" s="1976">
        <v>606</v>
      </c>
      <c r="F84" s="1977">
        <f t="shared" si="57"/>
        <v>5.1403851047586734E-2</v>
      </c>
      <c r="G84" s="1988">
        <v>11853</v>
      </c>
      <c r="H84" s="1989">
        <v>757</v>
      </c>
      <c r="I84" s="1964">
        <f t="shared" si="58"/>
        <v>6.3865688011473895E-2</v>
      </c>
      <c r="J84" s="1988">
        <v>12198</v>
      </c>
      <c r="K84" s="1989">
        <v>770</v>
      </c>
      <c r="L84" s="1995">
        <f t="shared" si="59"/>
        <v>6.3125102475815709E-2</v>
      </c>
      <c r="M84" s="1988">
        <v>12440</v>
      </c>
      <c r="N84" s="1989">
        <v>768</v>
      </c>
      <c r="O84" s="1995">
        <f t="shared" si="60"/>
        <v>6.1736334405144692E-2</v>
      </c>
      <c r="P84" s="1988">
        <v>11703</v>
      </c>
      <c r="Q84" s="1989">
        <v>670</v>
      </c>
      <c r="R84" s="1995">
        <f t="shared" si="61"/>
        <v>5.7250277706570964E-2</v>
      </c>
      <c r="S84" s="1988">
        <v>12027</v>
      </c>
      <c r="T84" s="1989">
        <v>683</v>
      </c>
      <c r="U84" s="1995">
        <f t="shared" si="62"/>
        <v>5.6788891660430697E-2</v>
      </c>
      <c r="V84" s="1988">
        <v>11821</v>
      </c>
      <c r="W84" s="1989">
        <v>703</v>
      </c>
      <c r="X84" s="1995">
        <f t="shared" si="63"/>
        <v>5.9470433973437105E-2</v>
      </c>
      <c r="Y84" s="1988">
        <v>11716</v>
      </c>
      <c r="Z84" s="1989">
        <v>608</v>
      </c>
      <c r="AA84" s="1995">
        <f t="shared" si="64"/>
        <v>5.1894844656879484E-2</v>
      </c>
      <c r="AB84" s="1988">
        <v>11889</v>
      </c>
      <c r="AC84" s="1989">
        <v>684</v>
      </c>
      <c r="AD84" s="1995">
        <f t="shared" si="65"/>
        <v>5.7532172596517793E-2</v>
      </c>
      <c r="AE84" s="1988">
        <v>12453</v>
      </c>
      <c r="AF84" s="1989">
        <v>1357</v>
      </c>
      <c r="AG84" s="1995">
        <f t="shared" si="66"/>
        <v>0.10896972617040071</v>
      </c>
      <c r="AH84" s="1988">
        <v>11871</v>
      </c>
      <c r="AI84" s="1989">
        <v>1237</v>
      </c>
      <c r="AJ84" s="1995">
        <f t="shared" si="67"/>
        <v>0.10420352118608374</v>
      </c>
      <c r="AK84" s="1984">
        <v>11750</v>
      </c>
      <c r="AL84" s="1985">
        <v>1119</v>
      </c>
      <c r="AM84" s="1995">
        <f t="shared" si="68"/>
        <v>9.5234042553191484E-2</v>
      </c>
      <c r="AN84" s="2005">
        <v>11374</v>
      </c>
      <c r="AO84" s="2006">
        <v>1002</v>
      </c>
      <c r="AP84" s="1967">
        <f t="shared" si="69"/>
        <v>8.8095656761033939E-2</v>
      </c>
      <c r="AQ84" s="2005">
        <v>11264</v>
      </c>
      <c r="AR84" s="1119">
        <v>984</v>
      </c>
      <c r="AS84" s="1967">
        <f t="shared" si="70"/>
        <v>8.7357954545454544E-2</v>
      </c>
      <c r="AT84" s="2011">
        <v>11307</v>
      </c>
      <c r="AU84" s="2012">
        <v>901</v>
      </c>
      <c r="AV84" s="1995">
        <f t="shared" si="71"/>
        <v>7.9685150791545062E-2</v>
      </c>
      <c r="AW84" s="2005">
        <v>11609</v>
      </c>
      <c r="AX84" s="2015">
        <v>753</v>
      </c>
      <c r="AY84" s="1995">
        <f t="shared" si="72"/>
        <v>6.486346799896632E-2</v>
      </c>
      <c r="AZ84" s="2005">
        <v>11162</v>
      </c>
      <c r="BA84" s="2015">
        <v>723</v>
      </c>
      <c r="BB84" s="1995">
        <f t="shared" si="73"/>
        <v>6.4773338111449558E-2</v>
      </c>
      <c r="BC84" s="1999">
        <v>11056</v>
      </c>
      <c r="BD84" s="1251">
        <v>609</v>
      </c>
      <c r="BE84" s="1247">
        <f t="shared" si="74"/>
        <v>5.5083212735166427E-2</v>
      </c>
      <c r="BF84" s="1999">
        <v>11205</v>
      </c>
      <c r="BG84" s="1251">
        <v>478</v>
      </c>
      <c r="BH84" s="1247">
        <f t="shared" si="75"/>
        <v>4.2659526996876397E-2</v>
      </c>
    </row>
    <row r="85" spans="1:60" ht="12.75" customHeight="1" x14ac:dyDescent="0.3">
      <c r="A85" s="364" t="s">
        <v>210</v>
      </c>
      <c r="B85" s="366" t="s">
        <v>211</v>
      </c>
      <c r="C85" s="186" t="s">
        <v>256</v>
      </c>
      <c r="D85" s="1975">
        <v>9710</v>
      </c>
      <c r="E85" s="1976">
        <v>370</v>
      </c>
      <c r="F85" s="1977">
        <f t="shared" si="57"/>
        <v>3.8105046343975282E-2</v>
      </c>
      <c r="G85" s="1988">
        <v>9726</v>
      </c>
      <c r="H85" s="1989">
        <v>448</v>
      </c>
      <c r="I85" s="1964">
        <f t="shared" si="58"/>
        <v>4.6062101583384744E-2</v>
      </c>
      <c r="J85" s="1988">
        <v>9862</v>
      </c>
      <c r="K85" s="1989">
        <v>522</v>
      </c>
      <c r="L85" s="1995">
        <f t="shared" si="59"/>
        <v>5.2930440073007505E-2</v>
      </c>
      <c r="M85" s="1988">
        <v>9989</v>
      </c>
      <c r="N85" s="1989">
        <v>544</v>
      </c>
      <c r="O85" s="1995">
        <f t="shared" si="60"/>
        <v>5.4459905896486131E-2</v>
      </c>
      <c r="P85" s="1988">
        <v>9869</v>
      </c>
      <c r="Q85" s="1989">
        <v>545</v>
      </c>
      <c r="R85" s="1995">
        <f t="shared" si="61"/>
        <v>5.5223426892288985E-2</v>
      </c>
      <c r="S85" s="1988">
        <v>9827</v>
      </c>
      <c r="T85" s="1989">
        <v>508</v>
      </c>
      <c r="U85" s="1995">
        <f t="shared" si="62"/>
        <v>5.1694311590515928E-2</v>
      </c>
      <c r="V85" s="1988">
        <v>9934</v>
      </c>
      <c r="W85" s="1989">
        <v>483</v>
      </c>
      <c r="X85" s="1995">
        <f t="shared" si="63"/>
        <v>4.8620897926313668E-2</v>
      </c>
      <c r="Y85" s="1988">
        <v>9757</v>
      </c>
      <c r="Z85" s="1989">
        <v>455</v>
      </c>
      <c r="AA85" s="1995">
        <f t="shared" si="64"/>
        <v>4.66331864302552E-2</v>
      </c>
      <c r="AB85" s="1988">
        <v>10114</v>
      </c>
      <c r="AC85" s="1989">
        <v>549</v>
      </c>
      <c r="AD85" s="1995">
        <f t="shared" si="65"/>
        <v>5.4281194384022145E-2</v>
      </c>
      <c r="AE85" s="1988">
        <v>9900</v>
      </c>
      <c r="AF85" s="1989">
        <v>979</v>
      </c>
      <c r="AG85" s="1995">
        <f t="shared" si="66"/>
        <v>9.8888888888888887E-2</v>
      </c>
      <c r="AH85" s="1988">
        <v>9976</v>
      </c>
      <c r="AI85" s="1989">
        <v>973</v>
      </c>
      <c r="AJ85" s="1995">
        <f t="shared" si="67"/>
        <v>9.7534081796311151E-2</v>
      </c>
      <c r="AK85" s="1984">
        <v>10077</v>
      </c>
      <c r="AL85" s="1985">
        <v>833</v>
      </c>
      <c r="AM85" s="1995">
        <f t="shared" si="68"/>
        <v>8.2663491118388416E-2</v>
      </c>
      <c r="AN85" s="2005">
        <v>9955</v>
      </c>
      <c r="AO85" s="2006">
        <v>852</v>
      </c>
      <c r="AP85" s="1967">
        <f t="shared" si="69"/>
        <v>8.5585133098945249E-2</v>
      </c>
      <c r="AQ85" s="2005">
        <v>9850</v>
      </c>
      <c r="AR85" s="1119">
        <v>726</v>
      </c>
      <c r="AS85" s="1967">
        <f t="shared" si="70"/>
        <v>7.3705583756345172E-2</v>
      </c>
      <c r="AT85" s="2011">
        <v>9998</v>
      </c>
      <c r="AU85" s="2012">
        <v>585</v>
      </c>
      <c r="AV85" s="1995">
        <f t="shared" si="71"/>
        <v>5.8511702340468097E-2</v>
      </c>
      <c r="AW85" s="2005">
        <v>9676</v>
      </c>
      <c r="AX85" s="2015">
        <v>497</v>
      </c>
      <c r="AY85" s="1995">
        <f t="shared" si="72"/>
        <v>5.1364200082678793E-2</v>
      </c>
      <c r="AZ85" s="2005">
        <v>9471</v>
      </c>
      <c r="BA85" s="2015">
        <v>457</v>
      </c>
      <c r="BB85" s="1995">
        <f t="shared" si="73"/>
        <v>4.8252560447682398E-2</v>
      </c>
      <c r="BC85" s="1999">
        <v>9393</v>
      </c>
      <c r="BD85" s="1251">
        <v>384</v>
      </c>
      <c r="BE85" s="1247">
        <f t="shared" si="74"/>
        <v>4.0881507505589269E-2</v>
      </c>
      <c r="BF85" s="1999">
        <v>9250</v>
      </c>
      <c r="BG85" s="1251">
        <v>299</v>
      </c>
      <c r="BH85" s="1247">
        <f t="shared" si="75"/>
        <v>3.2324324324324326E-2</v>
      </c>
    </row>
    <row r="86" spans="1:60" ht="12.75" customHeight="1" x14ac:dyDescent="0.3">
      <c r="A86" s="364" t="s">
        <v>212</v>
      </c>
      <c r="B86" s="366" t="s">
        <v>213</v>
      </c>
      <c r="C86" s="186" t="s">
        <v>255</v>
      </c>
      <c r="D86" s="1975">
        <v>18401</v>
      </c>
      <c r="E86" s="1976">
        <v>327</v>
      </c>
      <c r="F86" s="1977">
        <f t="shared" si="57"/>
        <v>1.7770773327536547E-2</v>
      </c>
      <c r="G86" s="1988">
        <v>18712</v>
      </c>
      <c r="H86" s="1989">
        <v>455</v>
      </c>
      <c r="I86" s="1964">
        <f t="shared" si="58"/>
        <v>2.4315946985891408E-2</v>
      </c>
      <c r="J86" s="1988">
        <v>19152</v>
      </c>
      <c r="K86" s="1989">
        <v>596</v>
      </c>
      <c r="L86" s="1995">
        <f t="shared" si="59"/>
        <v>3.1119465329991644E-2</v>
      </c>
      <c r="M86" s="1988">
        <v>19384</v>
      </c>
      <c r="N86" s="1989">
        <v>752</v>
      </c>
      <c r="O86" s="1995">
        <f t="shared" si="60"/>
        <v>3.8794882377218322E-2</v>
      </c>
      <c r="P86" s="1988">
        <v>19336</v>
      </c>
      <c r="Q86" s="1989">
        <v>630</v>
      </c>
      <c r="R86" s="1995">
        <f t="shared" si="61"/>
        <v>3.2581712867190735E-2</v>
      </c>
      <c r="S86" s="1988">
        <v>19646</v>
      </c>
      <c r="T86" s="1989">
        <v>594</v>
      </c>
      <c r="U86" s="1995">
        <f t="shared" si="62"/>
        <v>3.0235162374020158E-2</v>
      </c>
      <c r="V86" s="1988">
        <v>19812</v>
      </c>
      <c r="W86" s="1989">
        <v>590</v>
      </c>
      <c r="X86" s="1995">
        <f t="shared" si="63"/>
        <v>2.9779931354734505E-2</v>
      </c>
      <c r="Y86" s="1988">
        <v>19913</v>
      </c>
      <c r="Z86" s="1989">
        <v>639</v>
      </c>
      <c r="AA86" s="1995">
        <f t="shared" si="64"/>
        <v>3.2089589715261387E-2</v>
      </c>
      <c r="AB86" s="1988">
        <v>20314</v>
      </c>
      <c r="AC86" s="1989">
        <v>947</v>
      </c>
      <c r="AD86" s="1995">
        <f t="shared" si="65"/>
        <v>4.6618095894457028E-2</v>
      </c>
      <c r="AE86" s="1988">
        <v>20304</v>
      </c>
      <c r="AF86" s="1989">
        <v>1725</v>
      </c>
      <c r="AG86" s="1995">
        <f t="shared" si="66"/>
        <v>8.495862884160757E-2</v>
      </c>
      <c r="AH86" s="1988">
        <v>19901</v>
      </c>
      <c r="AI86" s="1989">
        <v>1710</v>
      </c>
      <c r="AJ86" s="1995">
        <f t="shared" si="67"/>
        <v>8.5925330385407769E-2</v>
      </c>
      <c r="AK86" s="1984">
        <v>20142</v>
      </c>
      <c r="AL86" s="1985">
        <v>1468</v>
      </c>
      <c r="AM86" s="1995">
        <f t="shared" si="68"/>
        <v>7.2882534008539376E-2</v>
      </c>
      <c r="AN86" s="2005">
        <v>19792</v>
      </c>
      <c r="AO86" s="2006">
        <v>1303</v>
      </c>
      <c r="AP86" s="1967">
        <f t="shared" si="69"/>
        <v>6.5834680679062244E-2</v>
      </c>
      <c r="AQ86" s="2005">
        <v>19739</v>
      </c>
      <c r="AR86" s="1119">
        <v>1169</v>
      </c>
      <c r="AS86" s="1967">
        <f t="shared" si="70"/>
        <v>5.9222858300825777E-2</v>
      </c>
      <c r="AT86" s="2011">
        <v>21300</v>
      </c>
      <c r="AU86" s="2012">
        <v>1063</v>
      </c>
      <c r="AV86" s="1995">
        <f t="shared" si="71"/>
        <v>4.9906103286384979E-2</v>
      </c>
      <c r="AW86" s="2005">
        <v>21226</v>
      </c>
      <c r="AX86" s="2015">
        <v>904</v>
      </c>
      <c r="AY86" s="1995">
        <f t="shared" si="72"/>
        <v>4.2589277301422784E-2</v>
      </c>
      <c r="AZ86" s="2005">
        <v>20845</v>
      </c>
      <c r="BA86" s="2015">
        <v>777</v>
      </c>
      <c r="BB86" s="1995">
        <f t="shared" si="73"/>
        <v>3.7275125929479493E-2</v>
      </c>
      <c r="BC86" s="1999">
        <v>21027</v>
      </c>
      <c r="BD86" s="1251">
        <v>745</v>
      </c>
      <c r="BE86" s="1247">
        <f t="shared" si="74"/>
        <v>3.5430636800304373E-2</v>
      </c>
      <c r="BF86" s="1999">
        <v>22092</v>
      </c>
      <c r="BG86" s="1251">
        <v>627</v>
      </c>
      <c r="BH86" s="1247">
        <f t="shared" si="75"/>
        <v>2.8381314502987507E-2</v>
      </c>
    </row>
    <row r="87" spans="1:60" ht="12.75" customHeight="1" x14ac:dyDescent="0.3">
      <c r="A87" s="364" t="s">
        <v>214</v>
      </c>
      <c r="B87" s="366" t="s">
        <v>215</v>
      </c>
      <c r="C87" s="186" t="s">
        <v>256</v>
      </c>
      <c r="D87" s="1975">
        <v>15764</v>
      </c>
      <c r="E87" s="1976">
        <v>680</v>
      </c>
      <c r="F87" s="1977">
        <f t="shared" si="57"/>
        <v>4.3136259832529812E-2</v>
      </c>
      <c r="G87" s="1988">
        <v>15497</v>
      </c>
      <c r="H87" s="1989">
        <v>984</v>
      </c>
      <c r="I87" s="1964">
        <f t="shared" si="58"/>
        <v>6.3496160547202682E-2</v>
      </c>
      <c r="J87" s="1988">
        <v>15545</v>
      </c>
      <c r="K87" s="1989">
        <v>1248</v>
      </c>
      <c r="L87" s="1995">
        <f t="shared" si="59"/>
        <v>8.028304921196526E-2</v>
      </c>
      <c r="M87" s="1988">
        <v>15975</v>
      </c>
      <c r="N87" s="1989">
        <v>1205</v>
      </c>
      <c r="O87" s="1995">
        <f t="shared" si="60"/>
        <v>7.5430359937402186E-2</v>
      </c>
      <c r="P87" s="1988">
        <v>15620</v>
      </c>
      <c r="Q87" s="1989">
        <v>797</v>
      </c>
      <c r="R87" s="1995">
        <f t="shared" si="61"/>
        <v>5.1024327784891167E-2</v>
      </c>
      <c r="S87" s="1988">
        <v>15686</v>
      </c>
      <c r="T87" s="1989">
        <v>720</v>
      </c>
      <c r="U87" s="1995">
        <f t="shared" si="62"/>
        <v>4.590080326405712E-2</v>
      </c>
      <c r="V87" s="1988">
        <v>15356</v>
      </c>
      <c r="W87" s="1989">
        <v>710</v>
      </c>
      <c r="X87" s="1995">
        <f t="shared" si="63"/>
        <v>4.6235998958061998E-2</v>
      </c>
      <c r="Y87" s="1988">
        <v>14994</v>
      </c>
      <c r="Z87" s="1989">
        <v>823</v>
      </c>
      <c r="AA87" s="1995">
        <f t="shared" si="64"/>
        <v>5.4888622115512875E-2</v>
      </c>
      <c r="AB87" s="1988">
        <v>15145</v>
      </c>
      <c r="AC87" s="1989">
        <v>923</v>
      </c>
      <c r="AD87" s="1995">
        <f t="shared" si="65"/>
        <v>6.094420600858369E-2</v>
      </c>
      <c r="AE87" s="1988">
        <v>15227</v>
      </c>
      <c r="AF87" s="1989">
        <v>1753</v>
      </c>
      <c r="AG87" s="1995">
        <f t="shared" si="66"/>
        <v>0.11512444999014908</v>
      </c>
      <c r="AH87" s="1988">
        <v>14628</v>
      </c>
      <c r="AI87" s="1989">
        <v>1661</v>
      </c>
      <c r="AJ87" s="1995">
        <f t="shared" si="67"/>
        <v>0.11354935739677331</v>
      </c>
      <c r="AK87" s="1984">
        <v>14711</v>
      </c>
      <c r="AL87" s="1985">
        <v>1478</v>
      </c>
      <c r="AM87" s="1995">
        <f t="shared" si="68"/>
        <v>0.10046903677520223</v>
      </c>
      <c r="AN87" s="2005">
        <v>14192</v>
      </c>
      <c r="AO87" s="2006">
        <v>1253</v>
      </c>
      <c r="AP87" s="1967">
        <f t="shared" si="69"/>
        <v>8.82891770011274E-2</v>
      </c>
      <c r="AQ87" s="2005">
        <v>14124</v>
      </c>
      <c r="AR87" s="1119">
        <v>1182</v>
      </c>
      <c r="AS87" s="1967">
        <f t="shared" si="70"/>
        <v>8.3687340696686485E-2</v>
      </c>
      <c r="AT87" s="2011">
        <v>13422</v>
      </c>
      <c r="AU87" s="2012">
        <v>1041</v>
      </c>
      <c r="AV87" s="1995">
        <f t="shared" si="71"/>
        <v>7.7559231113097898E-2</v>
      </c>
      <c r="AW87" s="2005">
        <v>13580</v>
      </c>
      <c r="AX87" s="2015">
        <v>880</v>
      </c>
      <c r="AY87" s="1995">
        <f t="shared" si="72"/>
        <v>6.4801178203240065E-2</v>
      </c>
      <c r="AZ87" s="2005">
        <v>13728</v>
      </c>
      <c r="BA87" s="2015">
        <v>792</v>
      </c>
      <c r="BB87" s="1995">
        <f t="shared" si="73"/>
        <v>5.7692307692307696E-2</v>
      </c>
      <c r="BC87" s="1999">
        <v>13117</v>
      </c>
      <c r="BD87" s="1251">
        <v>706</v>
      </c>
      <c r="BE87" s="1247">
        <f t="shared" si="74"/>
        <v>5.3823282762826864E-2</v>
      </c>
      <c r="BF87" s="1999">
        <v>13714</v>
      </c>
      <c r="BG87" s="1251">
        <v>545</v>
      </c>
      <c r="BH87" s="1247">
        <f t="shared" si="75"/>
        <v>3.9740411258567886E-2</v>
      </c>
    </row>
    <row r="88" spans="1:60" ht="12.75" customHeight="1" x14ac:dyDescent="0.3">
      <c r="A88" s="364" t="s">
        <v>216</v>
      </c>
      <c r="B88" s="366" t="s">
        <v>217</v>
      </c>
      <c r="C88" s="186" t="s">
        <v>252</v>
      </c>
      <c r="D88" s="1975">
        <v>7443</v>
      </c>
      <c r="E88" s="1976">
        <v>204</v>
      </c>
      <c r="F88" s="1977">
        <f t="shared" si="57"/>
        <v>2.7408303103587262E-2</v>
      </c>
      <c r="G88" s="1988">
        <v>7382</v>
      </c>
      <c r="H88" s="1989">
        <v>238</v>
      </c>
      <c r="I88" s="1964">
        <f t="shared" si="58"/>
        <v>3.2240585207260905E-2</v>
      </c>
      <c r="J88" s="1988">
        <v>7473</v>
      </c>
      <c r="K88" s="1989">
        <v>312</v>
      </c>
      <c r="L88" s="1995">
        <f t="shared" si="59"/>
        <v>4.1750301083902049E-2</v>
      </c>
      <c r="M88" s="1988">
        <v>7665</v>
      </c>
      <c r="N88" s="1989">
        <v>335</v>
      </c>
      <c r="O88" s="1995">
        <f t="shared" si="60"/>
        <v>4.3705153294194388E-2</v>
      </c>
      <c r="P88" s="1988">
        <v>7541</v>
      </c>
      <c r="Q88" s="1989">
        <v>316</v>
      </c>
      <c r="R88" s="1995">
        <f t="shared" si="61"/>
        <v>4.1904256729876674E-2</v>
      </c>
      <c r="S88" s="1988">
        <v>7570</v>
      </c>
      <c r="T88" s="1989">
        <v>313</v>
      </c>
      <c r="U88" s="1995">
        <f t="shared" si="62"/>
        <v>4.1347424042272124E-2</v>
      </c>
      <c r="V88" s="1988">
        <v>7596</v>
      </c>
      <c r="W88" s="1989">
        <v>275</v>
      </c>
      <c r="X88" s="1995">
        <f t="shared" si="63"/>
        <v>3.6203264876250661E-2</v>
      </c>
      <c r="Y88" s="1988">
        <v>7635</v>
      </c>
      <c r="Z88" s="1989">
        <v>276</v>
      </c>
      <c r="AA88" s="1995">
        <f t="shared" si="64"/>
        <v>3.6149312377210217E-2</v>
      </c>
      <c r="AB88" s="1988">
        <v>8121</v>
      </c>
      <c r="AC88" s="1989">
        <v>391</v>
      </c>
      <c r="AD88" s="1995">
        <f t="shared" si="65"/>
        <v>4.8146779953207736E-2</v>
      </c>
      <c r="AE88" s="1988">
        <v>8122</v>
      </c>
      <c r="AF88" s="1989">
        <v>671</v>
      </c>
      <c r="AG88" s="1995">
        <f t="shared" si="66"/>
        <v>8.2615119428712136E-2</v>
      </c>
      <c r="AH88" s="1988">
        <v>8118</v>
      </c>
      <c r="AI88" s="1989">
        <v>834</v>
      </c>
      <c r="AJ88" s="1995">
        <f t="shared" si="67"/>
        <v>0.10273466371027347</v>
      </c>
      <c r="AK88" s="1984">
        <v>8046</v>
      </c>
      <c r="AL88" s="1985">
        <v>733</v>
      </c>
      <c r="AM88" s="1995">
        <f t="shared" si="68"/>
        <v>9.1101168282376341E-2</v>
      </c>
      <c r="AN88" s="2005">
        <v>7984</v>
      </c>
      <c r="AO88" s="2006">
        <v>595</v>
      </c>
      <c r="AP88" s="1967">
        <f t="shared" si="69"/>
        <v>7.4524048096192383E-2</v>
      </c>
      <c r="AQ88" s="2005">
        <v>7764</v>
      </c>
      <c r="AR88" s="1119">
        <v>544</v>
      </c>
      <c r="AS88" s="1967">
        <f t="shared" si="70"/>
        <v>7.0066975785677485E-2</v>
      </c>
      <c r="AT88" s="2011">
        <v>9157</v>
      </c>
      <c r="AU88" s="2012">
        <v>459</v>
      </c>
      <c r="AV88" s="1995">
        <f t="shared" si="71"/>
        <v>5.0125586982636236E-2</v>
      </c>
      <c r="AW88" s="2005">
        <v>9239</v>
      </c>
      <c r="AX88" s="2015">
        <v>372</v>
      </c>
      <c r="AY88" s="1995">
        <f t="shared" si="72"/>
        <v>4.0264097846087241E-2</v>
      </c>
      <c r="AZ88" s="2005">
        <v>9038</v>
      </c>
      <c r="BA88" s="2015">
        <v>352</v>
      </c>
      <c r="BB88" s="1995">
        <f t="shared" si="73"/>
        <v>3.8946669617171942E-2</v>
      </c>
      <c r="BC88" s="1999">
        <v>8845</v>
      </c>
      <c r="BD88" s="1251">
        <v>333</v>
      </c>
      <c r="BE88" s="1247">
        <f t="shared" si="74"/>
        <v>3.764838892029395E-2</v>
      </c>
      <c r="BF88" s="1999">
        <v>9024</v>
      </c>
      <c r="BG88" s="1251">
        <v>252</v>
      </c>
      <c r="BH88" s="1247">
        <f t="shared" si="75"/>
        <v>2.7925531914893616E-2</v>
      </c>
    </row>
    <row r="89" spans="1:60" ht="12.75" customHeight="1" x14ac:dyDescent="0.3">
      <c r="A89" s="364" t="s">
        <v>218</v>
      </c>
      <c r="B89" s="366" t="s">
        <v>219</v>
      </c>
      <c r="C89" s="186" t="s">
        <v>255</v>
      </c>
      <c r="D89" s="1975">
        <v>48232</v>
      </c>
      <c r="E89" s="1976">
        <v>819</v>
      </c>
      <c r="F89" s="1977">
        <f t="shared" si="57"/>
        <v>1.6980427931663628E-2</v>
      </c>
      <c r="G89" s="1988">
        <v>50728</v>
      </c>
      <c r="H89" s="1989">
        <v>1065</v>
      </c>
      <c r="I89" s="1964">
        <f t="shared" si="58"/>
        <v>2.0994322662040689E-2</v>
      </c>
      <c r="J89" s="1988">
        <v>53586</v>
      </c>
      <c r="K89" s="1989">
        <v>1541</v>
      </c>
      <c r="L89" s="1995">
        <f t="shared" si="59"/>
        <v>2.8757511290262383E-2</v>
      </c>
      <c r="M89" s="1988">
        <v>56198</v>
      </c>
      <c r="N89" s="1989">
        <v>1710</v>
      </c>
      <c r="O89" s="1995">
        <f t="shared" si="60"/>
        <v>3.0428129114915121E-2</v>
      </c>
      <c r="P89" s="1988">
        <v>59099</v>
      </c>
      <c r="Q89" s="1989">
        <v>1664</v>
      </c>
      <c r="R89" s="1995">
        <f t="shared" si="61"/>
        <v>2.8156144774023249E-2</v>
      </c>
      <c r="S89" s="1988">
        <v>62281</v>
      </c>
      <c r="T89" s="1989">
        <v>1664</v>
      </c>
      <c r="U89" s="1995">
        <f t="shared" si="62"/>
        <v>2.6717618535347858E-2</v>
      </c>
      <c r="V89" s="1988">
        <v>64402</v>
      </c>
      <c r="W89" s="1989">
        <v>1555</v>
      </c>
      <c r="X89" s="1995">
        <f t="shared" si="63"/>
        <v>2.4145212881587528E-2</v>
      </c>
      <c r="Y89" s="1988">
        <v>64351</v>
      </c>
      <c r="Z89" s="1989">
        <v>1643</v>
      </c>
      <c r="AA89" s="1995">
        <f t="shared" si="64"/>
        <v>2.553184876691893E-2</v>
      </c>
      <c r="AB89" s="1988">
        <v>66304</v>
      </c>
      <c r="AC89" s="1989">
        <v>2269</v>
      </c>
      <c r="AD89" s="1995">
        <f t="shared" si="65"/>
        <v>3.4221163127413128E-2</v>
      </c>
      <c r="AE89" s="1988">
        <v>65076</v>
      </c>
      <c r="AF89" s="1989">
        <v>3799</v>
      </c>
      <c r="AG89" s="1995">
        <f t="shared" si="66"/>
        <v>5.8377896613190733E-2</v>
      </c>
      <c r="AH89" s="1988">
        <v>65677</v>
      </c>
      <c r="AI89" s="1989">
        <v>4291</v>
      </c>
      <c r="AJ89" s="1995">
        <f t="shared" si="67"/>
        <v>6.5334896539123291E-2</v>
      </c>
      <c r="AK89" s="1984">
        <v>66644</v>
      </c>
      <c r="AL89" s="1985">
        <v>4076</v>
      </c>
      <c r="AM89" s="1995">
        <f t="shared" si="68"/>
        <v>6.1160794670187861E-2</v>
      </c>
      <c r="AN89" s="2005">
        <v>66407</v>
      </c>
      <c r="AO89" s="2006">
        <v>3580</v>
      </c>
      <c r="AP89" s="1967">
        <f t="shared" si="69"/>
        <v>5.3909979369644763E-2</v>
      </c>
      <c r="AQ89" s="2005">
        <v>66869</v>
      </c>
      <c r="AR89" s="1119">
        <v>3464</v>
      </c>
      <c r="AS89" s="1967">
        <f t="shared" si="70"/>
        <v>5.1802778567049006E-2</v>
      </c>
      <c r="AT89" s="2011">
        <v>64372</v>
      </c>
      <c r="AU89" s="2012">
        <v>3422</v>
      </c>
      <c r="AV89" s="1995">
        <f t="shared" si="71"/>
        <v>5.3159758901385697E-2</v>
      </c>
      <c r="AW89" s="2005">
        <v>64130</v>
      </c>
      <c r="AX89" s="2015">
        <v>2965</v>
      </c>
      <c r="AY89" s="1995">
        <f t="shared" si="72"/>
        <v>4.6234211757367846E-2</v>
      </c>
      <c r="AZ89" s="2005">
        <v>64475</v>
      </c>
      <c r="BA89" s="2015">
        <v>2618</v>
      </c>
      <c r="BB89" s="1995">
        <f t="shared" si="73"/>
        <v>4.0604885614579297E-2</v>
      </c>
      <c r="BC89" s="1999">
        <v>66131</v>
      </c>
      <c r="BD89" s="1251">
        <v>2466</v>
      </c>
      <c r="BE89" s="1247">
        <f t="shared" si="74"/>
        <v>3.7289622113683446E-2</v>
      </c>
      <c r="BF89" s="1999">
        <v>66032</v>
      </c>
      <c r="BG89" s="1251">
        <v>2006</v>
      </c>
      <c r="BH89" s="1247">
        <f t="shared" si="75"/>
        <v>3.0379210079961232E-2</v>
      </c>
    </row>
    <row r="90" spans="1:60" ht="12.75" customHeight="1" x14ac:dyDescent="0.3">
      <c r="A90" s="364" t="s">
        <v>220</v>
      </c>
      <c r="B90" s="366" t="s">
        <v>221</v>
      </c>
      <c r="C90" s="186" t="s">
        <v>255</v>
      </c>
      <c r="D90" s="1975">
        <v>48134</v>
      </c>
      <c r="E90" s="1976">
        <v>809</v>
      </c>
      <c r="F90" s="1977">
        <f t="shared" si="57"/>
        <v>1.6807246437029959E-2</v>
      </c>
      <c r="G90" s="1988">
        <v>50537</v>
      </c>
      <c r="H90" s="1989">
        <v>1115</v>
      </c>
      <c r="I90" s="1964">
        <f t="shared" si="58"/>
        <v>2.2063042919049411E-2</v>
      </c>
      <c r="J90" s="1988">
        <v>53466</v>
      </c>
      <c r="K90" s="1989">
        <v>1606</v>
      </c>
      <c r="L90" s="1995">
        <f t="shared" si="59"/>
        <v>3.0037781019713463E-2</v>
      </c>
      <c r="M90" s="1988">
        <v>56071</v>
      </c>
      <c r="N90" s="1989">
        <v>1735</v>
      </c>
      <c r="O90" s="1995">
        <f t="shared" si="60"/>
        <v>3.0942911665566869E-2</v>
      </c>
      <c r="P90" s="1988">
        <v>59459</v>
      </c>
      <c r="Q90" s="1989">
        <v>1647</v>
      </c>
      <c r="R90" s="1995">
        <f t="shared" si="61"/>
        <v>2.7699759498141577E-2</v>
      </c>
      <c r="S90" s="1988">
        <v>61957</v>
      </c>
      <c r="T90" s="1989">
        <v>1670</v>
      </c>
      <c r="U90" s="1995">
        <f t="shared" si="62"/>
        <v>2.6954177897574125E-2</v>
      </c>
      <c r="V90" s="1988">
        <v>63723</v>
      </c>
      <c r="W90" s="1989">
        <v>1561</v>
      </c>
      <c r="X90" s="1995">
        <f t="shared" si="63"/>
        <v>2.4496649561382859E-2</v>
      </c>
      <c r="Y90" s="1988">
        <v>64187</v>
      </c>
      <c r="Z90" s="1989">
        <v>1691</v>
      </c>
      <c r="AA90" s="1995">
        <f t="shared" si="64"/>
        <v>2.63448984996962E-2</v>
      </c>
      <c r="AB90" s="1988">
        <v>66203</v>
      </c>
      <c r="AC90" s="1989">
        <v>2284</v>
      </c>
      <c r="AD90" s="1995">
        <f t="shared" si="65"/>
        <v>3.4499947132305184E-2</v>
      </c>
      <c r="AE90" s="1988">
        <v>65668</v>
      </c>
      <c r="AF90" s="1989">
        <v>3732</v>
      </c>
      <c r="AG90" s="1995">
        <f t="shared" si="66"/>
        <v>5.6831333373941646E-2</v>
      </c>
      <c r="AH90" s="1988">
        <v>67793</v>
      </c>
      <c r="AI90" s="1989">
        <v>4027</v>
      </c>
      <c r="AJ90" s="1995">
        <f t="shared" si="67"/>
        <v>5.9401413125248922E-2</v>
      </c>
      <c r="AK90" s="1984">
        <v>69482</v>
      </c>
      <c r="AL90" s="1985">
        <v>3882</v>
      </c>
      <c r="AM90" s="1995">
        <f t="shared" si="68"/>
        <v>5.5870585187530582E-2</v>
      </c>
      <c r="AN90" s="2005">
        <v>69882</v>
      </c>
      <c r="AO90" s="2006">
        <v>3599</v>
      </c>
      <c r="AP90" s="1967">
        <f t="shared" si="69"/>
        <v>5.1501101857416791E-2</v>
      </c>
      <c r="AQ90" s="2005">
        <v>70478</v>
      </c>
      <c r="AR90" s="1119">
        <v>3585</v>
      </c>
      <c r="AS90" s="1967">
        <f t="shared" si="70"/>
        <v>5.0866937200261073E-2</v>
      </c>
      <c r="AT90" s="2011">
        <v>66378</v>
      </c>
      <c r="AU90" s="2012">
        <v>3483</v>
      </c>
      <c r="AV90" s="1995">
        <f t="shared" si="71"/>
        <v>5.2472204646117689E-2</v>
      </c>
      <c r="AW90" s="2005">
        <v>66721</v>
      </c>
      <c r="AX90" s="2015">
        <v>2985</v>
      </c>
      <c r="AY90" s="1995">
        <f t="shared" si="72"/>
        <v>4.4738538091455463E-2</v>
      </c>
      <c r="AZ90" s="2005">
        <v>67494</v>
      </c>
      <c r="BA90" s="2015">
        <v>2636</v>
      </c>
      <c r="BB90" s="1995">
        <f t="shared" si="73"/>
        <v>3.9055323436157287E-2</v>
      </c>
      <c r="BC90" s="1999">
        <v>69689</v>
      </c>
      <c r="BD90" s="1251">
        <v>2524</v>
      </c>
      <c r="BE90" s="1247">
        <f t="shared" si="74"/>
        <v>3.621805449927535E-2</v>
      </c>
      <c r="BF90" s="1999">
        <v>70084</v>
      </c>
      <c r="BG90" s="1251">
        <v>2070</v>
      </c>
      <c r="BH90" s="1247">
        <f t="shared" si="75"/>
        <v>2.9535985388961818E-2</v>
      </c>
    </row>
    <row r="91" spans="1:60" ht="12.75" customHeight="1" x14ac:dyDescent="0.3">
      <c r="A91" s="364" t="s">
        <v>224</v>
      </c>
      <c r="B91" s="366" t="s">
        <v>225</v>
      </c>
      <c r="C91" s="186" t="s">
        <v>252</v>
      </c>
      <c r="D91" s="1975">
        <v>3375</v>
      </c>
      <c r="E91" s="1976">
        <v>97</v>
      </c>
      <c r="F91" s="1977">
        <f t="shared" si="57"/>
        <v>2.874074074074074E-2</v>
      </c>
      <c r="G91" s="1988">
        <v>3444</v>
      </c>
      <c r="H91" s="1989">
        <v>114</v>
      </c>
      <c r="I91" s="1964">
        <f t="shared" si="58"/>
        <v>3.3101045296167246E-2</v>
      </c>
      <c r="J91" s="1988">
        <v>3576</v>
      </c>
      <c r="K91" s="1989">
        <v>161</v>
      </c>
      <c r="L91" s="1995">
        <f t="shared" si="59"/>
        <v>4.5022371364653244E-2</v>
      </c>
      <c r="M91" s="1988">
        <v>3595</v>
      </c>
      <c r="N91" s="1989">
        <v>164</v>
      </c>
      <c r="O91" s="1995">
        <f t="shared" si="60"/>
        <v>4.5618915159944366E-2</v>
      </c>
      <c r="P91" s="1988">
        <v>3594</v>
      </c>
      <c r="Q91" s="1989">
        <v>148</v>
      </c>
      <c r="R91" s="1995">
        <f t="shared" si="61"/>
        <v>4.1179744017807454E-2</v>
      </c>
      <c r="S91" s="1988">
        <v>3660</v>
      </c>
      <c r="T91" s="1989">
        <v>174</v>
      </c>
      <c r="U91" s="1995">
        <f t="shared" si="62"/>
        <v>4.7540983606557376E-2</v>
      </c>
      <c r="V91" s="1988">
        <v>3711</v>
      </c>
      <c r="W91" s="1989">
        <v>125</v>
      </c>
      <c r="X91" s="1995">
        <f t="shared" si="63"/>
        <v>3.3683643222850987E-2</v>
      </c>
      <c r="Y91" s="1988">
        <v>3711</v>
      </c>
      <c r="Z91" s="1989">
        <v>127</v>
      </c>
      <c r="AA91" s="1995">
        <f t="shared" si="64"/>
        <v>3.4222581514416602E-2</v>
      </c>
      <c r="AB91" s="1988">
        <v>3820</v>
      </c>
      <c r="AC91" s="1989">
        <v>171</v>
      </c>
      <c r="AD91" s="1995">
        <f t="shared" si="65"/>
        <v>4.476439790575916E-2</v>
      </c>
      <c r="AE91" s="1988">
        <v>3732</v>
      </c>
      <c r="AF91" s="1989">
        <v>290</v>
      </c>
      <c r="AG91" s="1995">
        <f t="shared" si="66"/>
        <v>7.7706323687031079E-2</v>
      </c>
      <c r="AH91" s="1988">
        <v>3757</v>
      </c>
      <c r="AI91" s="1989">
        <v>332</v>
      </c>
      <c r="AJ91" s="1995">
        <f t="shared" si="67"/>
        <v>8.8368379025818469E-2</v>
      </c>
      <c r="AK91" s="1984">
        <v>3702</v>
      </c>
      <c r="AL91" s="1985">
        <v>305</v>
      </c>
      <c r="AM91" s="1995">
        <f t="shared" si="68"/>
        <v>8.2387898433279302E-2</v>
      </c>
      <c r="AN91" s="2005">
        <v>3622</v>
      </c>
      <c r="AO91" s="2006">
        <v>276</v>
      </c>
      <c r="AP91" s="1967">
        <f t="shared" si="69"/>
        <v>7.6200993926007737E-2</v>
      </c>
      <c r="AQ91" s="2005">
        <v>3634</v>
      </c>
      <c r="AR91" s="1119">
        <v>255</v>
      </c>
      <c r="AS91" s="1967">
        <f t="shared" si="70"/>
        <v>7.0170610897083111E-2</v>
      </c>
      <c r="AT91" s="2011">
        <v>3684</v>
      </c>
      <c r="AU91" s="2012">
        <v>224</v>
      </c>
      <c r="AV91" s="1995">
        <f t="shared" si="71"/>
        <v>6.0803474484256242E-2</v>
      </c>
      <c r="AW91" s="2005">
        <v>3715</v>
      </c>
      <c r="AX91" s="2015">
        <v>193</v>
      </c>
      <c r="AY91" s="1995">
        <f t="shared" si="72"/>
        <v>5.1951547779273216E-2</v>
      </c>
      <c r="AZ91" s="2005">
        <v>3649</v>
      </c>
      <c r="BA91" s="2015">
        <v>192</v>
      </c>
      <c r="BB91" s="1995">
        <f t="shared" si="73"/>
        <v>5.2617155385036994E-2</v>
      </c>
      <c r="BC91" s="1999">
        <v>3708</v>
      </c>
      <c r="BD91" s="1251">
        <v>168</v>
      </c>
      <c r="BE91" s="1247">
        <f t="shared" si="74"/>
        <v>4.5307443365695796E-2</v>
      </c>
      <c r="BF91" s="1999">
        <v>3716</v>
      </c>
      <c r="BG91" s="1251">
        <v>129</v>
      </c>
      <c r="BH91" s="1247">
        <f t="shared" si="75"/>
        <v>3.471474703982777E-2</v>
      </c>
    </row>
    <row r="92" spans="1:60" ht="12.75" customHeight="1" x14ac:dyDescent="0.3">
      <c r="A92" s="364" t="s">
        <v>226</v>
      </c>
      <c r="B92" s="366" t="s">
        <v>227</v>
      </c>
      <c r="C92" s="186" t="s">
        <v>252</v>
      </c>
      <c r="D92" s="1975">
        <v>4504</v>
      </c>
      <c r="E92" s="1976">
        <v>165</v>
      </c>
      <c r="F92" s="1977">
        <f t="shared" si="57"/>
        <v>3.6634103019538192E-2</v>
      </c>
      <c r="G92" s="1988">
        <v>4453</v>
      </c>
      <c r="H92" s="1989">
        <v>210</v>
      </c>
      <c r="I92" s="1964">
        <f t="shared" si="58"/>
        <v>4.7159218504379069E-2</v>
      </c>
      <c r="J92" s="1988">
        <v>4406</v>
      </c>
      <c r="K92" s="1989">
        <v>254</v>
      </c>
      <c r="L92" s="1995">
        <f t="shared" si="59"/>
        <v>5.7648660916931459E-2</v>
      </c>
      <c r="M92" s="1988">
        <v>4531</v>
      </c>
      <c r="N92" s="1989">
        <v>313</v>
      </c>
      <c r="O92" s="1995">
        <f t="shared" si="60"/>
        <v>6.9079673361288896E-2</v>
      </c>
      <c r="P92" s="1988">
        <v>4477</v>
      </c>
      <c r="Q92" s="1989">
        <v>262</v>
      </c>
      <c r="R92" s="1995">
        <f t="shared" si="61"/>
        <v>5.8521331248603974E-2</v>
      </c>
      <c r="S92" s="1988">
        <v>4434</v>
      </c>
      <c r="T92" s="1989">
        <v>257</v>
      </c>
      <c r="U92" s="1995">
        <f t="shared" si="62"/>
        <v>5.7961208840775824E-2</v>
      </c>
      <c r="V92" s="1988">
        <v>4480</v>
      </c>
      <c r="W92" s="1989">
        <v>200</v>
      </c>
      <c r="X92" s="1995">
        <f t="shared" si="63"/>
        <v>4.4642857142857144E-2</v>
      </c>
      <c r="Y92" s="1988">
        <v>4442</v>
      </c>
      <c r="Z92" s="1989">
        <v>200</v>
      </c>
      <c r="AA92" s="1995">
        <f t="shared" si="64"/>
        <v>4.5024763619990998E-2</v>
      </c>
      <c r="AB92" s="1988">
        <v>4509</v>
      </c>
      <c r="AC92" s="1989">
        <v>263</v>
      </c>
      <c r="AD92" s="1995">
        <f t="shared" si="65"/>
        <v>5.8327788866711021E-2</v>
      </c>
      <c r="AE92" s="1988">
        <v>4460</v>
      </c>
      <c r="AF92" s="1989">
        <v>469</v>
      </c>
      <c r="AG92" s="1995">
        <f t="shared" si="66"/>
        <v>0.10515695067264574</v>
      </c>
      <c r="AH92" s="1988">
        <v>4377</v>
      </c>
      <c r="AI92" s="1989">
        <v>467</v>
      </c>
      <c r="AJ92" s="1995">
        <f t="shared" si="67"/>
        <v>0.10669408270504913</v>
      </c>
      <c r="AK92" s="1984">
        <v>4391</v>
      </c>
      <c r="AL92" s="1985">
        <v>416</v>
      </c>
      <c r="AM92" s="1995">
        <f t="shared" si="68"/>
        <v>9.4739239353222496E-2</v>
      </c>
      <c r="AN92" s="2005">
        <v>4331</v>
      </c>
      <c r="AO92" s="2006">
        <v>373</v>
      </c>
      <c r="AP92" s="1967">
        <f t="shared" si="69"/>
        <v>8.612329716000923E-2</v>
      </c>
      <c r="AQ92" s="2005">
        <v>4350</v>
      </c>
      <c r="AR92" s="1119">
        <v>342</v>
      </c>
      <c r="AS92" s="1967">
        <f t="shared" si="70"/>
        <v>7.862068965517241E-2</v>
      </c>
      <c r="AT92" s="2011">
        <v>4161</v>
      </c>
      <c r="AU92" s="2012">
        <v>309</v>
      </c>
      <c r="AV92" s="1995">
        <f t="shared" si="71"/>
        <v>7.4260994953136261E-2</v>
      </c>
      <c r="AW92" s="2005">
        <v>4156</v>
      </c>
      <c r="AX92" s="2015">
        <v>281</v>
      </c>
      <c r="AY92" s="1995">
        <f t="shared" si="72"/>
        <v>6.7613089509143409E-2</v>
      </c>
      <c r="AZ92" s="2005">
        <v>4037</v>
      </c>
      <c r="BA92" s="2015">
        <v>248</v>
      </c>
      <c r="BB92" s="1995">
        <f t="shared" si="73"/>
        <v>6.1431756254644539E-2</v>
      </c>
      <c r="BC92" s="1999">
        <v>3917</v>
      </c>
      <c r="BD92" s="1251">
        <v>233</v>
      </c>
      <c r="BE92" s="1247">
        <f t="shared" si="74"/>
        <v>5.9484299208577993E-2</v>
      </c>
      <c r="BF92" s="1999">
        <v>3822</v>
      </c>
      <c r="BG92" s="1251">
        <v>187</v>
      </c>
      <c r="BH92" s="1247">
        <f t="shared" si="75"/>
        <v>4.8927263212977495E-2</v>
      </c>
    </row>
    <row r="93" spans="1:60" ht="12.75" customHeight="1" x14ac:dyDescent="0.3">
      <c r="A93" s="364" t="s">
        <v>228</v>
      </c>
      <c r="B93" s="366" t="s">
        <v>229</v>
      </c>
      <c r="C93" s="186" t="s">
        <v>256</v>
      </c>
      <c r="D93" s="1975">
        <v>18877</v>
      </c>
      <c r="E93" s="1976">
        <v>959</v>
      </c>
      <c r="F93" s="1977">
        <f t="shared" si="57"/>
        <v>5.0802563966732002E-2</v>
      </c>
      <c r="G93" s="1988">
        <v>19304</v>
      </c>
      <c r="H93" s="1989">
        <v>948</v>
      </c>
      <c r="I93" s="1964">
        <f t="shared" si="58"/>
        <v>4.9108992954828012E-2</v>
      </c>
      <c r="J93" s="1988">
        <v>20196</v>
      </c>
      <c r="K93" s="1989">
        <v>1162</v>
      </c>
      <c r="L93" s="1995">
        <f t="shared" si="59"/>
        <v>5.7536145771439888E-2</v>
      </c>
      <c r="M93" s="1988">
        <v>20162</v>
      </c>
      <c r="N93" s="1989">
        <v>1086</v>
      </c>
      <c r="O93" s="1995">
        <f t="shared" si="60"/>
        <v>5.3863703997619285E-2</v>
      </c>
      <c r="P93" s="1988">
        <v>19581</v>
      </c>
      <c r="Q93" s="1989">
        <v>908</v>
      </c>
      <c r="R93" s="1995">
        <f t="shared" si="61"/>
        <v>4.6371482559624123E-2</v>
      </c>
      <c r="S93" s="1988">
        <v>19610</v>
      </c>
      <c r="T93" s="1989">
        <v>882</v>
      </c>
      <c r="U93" s="1995">
        <f t="shared" si="62"/>
        <v>4.4977052524222336E-2</v>
      </c>
      <c r="V93" s="1988">
        <v>20007</v>
      </c>
      <c r="W93" s="1989">
        <v>787</v>
      </c>
      <c r="X93" s="1995">
        <f t="shared" si="63"/>
        <v>3.9336232318688456E-2</v>
      </c>
      <c r="Y93" s="1988">
        <v>20202</v>
      </c>
      <c r="Z93" s="1989">
        <v>917</v>
      </c>
      <c r="AA93" s="1995">
        <f t="shared" si="64"/>
        <v>4.5391545391545392E-2</v>
      </c>
      <c r="AB93" s="1988">
        <v>20773</v>
      </c>
      <c r="AC93" s="1989">
        <v>913</v>
      </c>
      <c r="AD93" s="1995">
        <f t="shared" si="65"/>
        <v>4.3951282915322777E-2</v>
      </c>
      <c r="AE93" s="1988">
        <v>21554</v>
      </c>
      <c r="AF93" s="1989">
        <v>1687</v>
      </c>
      <c r="AG93" s="1995">
        <f t="shared" si="66"/>
        <v>7.8268534842720602E-2</v>
      </c>
      <c r="AH93" s="1988">
        <v>20886</v>
      </c>
      <c r="AI93" s="1989">
        <v>1496</v>
      </c>
      <c r="AJ93" s="1995">
        <f t="shared" si="67"/>
        <v>7.1626927128219858E-2</v>
      </c>
      <c r="AK93" s="1984">
        <v>20804</v>
      </c>
      <c r="AL93" s="1985">
        <v>1406</v>
      </c>
      <c r="AM93" s="1995">
        <f t="shared" si="68"/>
        <v>6.7583157085175927E-2</v>
      </c>
      <c r="AN93" s="2005">
        <v>20404</v>
      </c>
      <c r="AO93" s="2006">
        <v>1450</v>
      </c>
      <c r="AP93" s="1967">
        <f t="shared" si="69"/>
        <v>7.1064497157420109E-2</v>
      </c>
      <c r="AQ93" s="2005">
        <v>20068</v>
      </c>
      <c r="AR93" s="1119">
        <v>1412</v>
      </c>
      <c r="AS93" s="1967">
        <f t="shared" si="70"/>
        <v>7.0360773370540169E-2</v>
      </c>
      <c r="AT93" s="2011">
        <v>17303</v>
      </c>
      <c r="AU93" s="2012">
        <v>1390</v>
      </c>
      <c r="AV93" s="1995">
        <f t="shared" si="71"/>
        <v>8.033289025024562E-2</v>
      </c>
      <c r="AW93" s="2005">
        <v>16620</v>
      </c>
      <c r="AX93" s="2015">
        <v>1244</v>
      </c>
      <c r="AY93" s="1995">
        <f t="shared" si="72"/>
        <v>7.4849578820697954E-2</v>
      </c>
      <c r="AZ93" s="2005">
        <v>15969</v>
      </c>
      <c r="BA93" s="2015">
        <v>1205</v>
      </c>
      <c r="BB93" s="1995">
        <f t="shared" si="73"/>
        <v>7.545870123364018E-2</v>
      </c>
      <c r="BC93" s="1999">
        <v>15866</v>
      </c>
      <c r="BD93" s="1251">
        <v>939</v>
      </c>
      <c r="BE93" s="1247">
        <f t="shared" si="74"/>
        <v>5.9183158956258669E-2</v>
      </c>
      <c r="BF93" s="1999">
        <v>15905</v>
      </c>
      <c r="BG93" s="1251">
        <v>698</v>
      </c>
      <c r="BH93" s="1247">
        <f t="shared" si="75"/>
        <v>4.3885570575290786E-2</v>
      </c>
    </row>
    <row r="94" spans="1:60" ht="12.75" customHeight="1" x14ac:dyDescent="0.3">
      <c r="A94" s="364" t="s">
        <v>232</v>
      </c>
      <c r="B94" s="366" t="s">
        <v>233</v>
      </c>
      <c r="C94" s="186" t="s">
        <v>255</v>
      </c>
      <c r="D94" s="1975">
        <v>16483</v>
      </c>
      <c r="E94" s="1976">
        <v>332</v>
      </c>
      <c r="F94" s="1977">
        <f t="shared" si="57"/>
        <v>2.0141964448219377E-2</v>
      </c>
      <c r="G94" s="1988">
        <v>16733</v>
      </c>
      <c r="H94" s="1989">
        <v>468</v>
      </c>
      <c r="I94" s="1964">
        <f t="shared" si="58"/>
        <v>2.7968684635152095E-2</v>
      </c>
      <c r="J94" s="1988">
        <v>17166</v>
      </c>
      <c r="K94" s="1989">
        <v>681</v>
      </c>
      <c r="L94" s="1995">
        <f t="shared" si="59"/>
        <v>3.9671443551205873E-2</v>
      </c>
      <c r="M94" s="1988">
        <v>17535</v>
      </c>
      <c r="N94" s="1989">
        <v>701</v>
      </c>
      <c r="O94" s="1995">
        <f t="shared" si="60"/>
        <v>3.9977188480182495E-2</v>
      </c>
      <c r="P94" s="1988">
        <v>17999</v>
      </c>
      <c r="Q94" s="1989">
        <v>597</v>
      </c>
      <c r="R94" s="1995">
        <f t="shared" si="61"/>
        <v>3.3168509361631203E-2</v>
      </c>
      <c r="S94" s="1988">
        <v>18724</v>
      </c>
      <c r="T94" s="1989">
        <v>564</v>
      </c>
      <c r="U94" s="1995">
        <f t="shared" si="62"/>
        <v>3.012176885280923E-2</v>
      </c>
      <c r="V94" s="1988">
        <v>19173</v>
      </c>
      <c r="W94" s="1989">
        <v>535</v>
      </c>
      <c r="X94" s="1995">
        <f t="shared" si="63"/>
        <v>2.7903823084545976E-2</v>
      </c>
      <c r="Y94" s="1988">
        <v>19343</v>
      </c>
      <c r="Z94" s="1989">
        <v>593</v>
      </c>
      <c r="AA94" s="1995">
        <f t="shared" si="64"/>
        <v>3.0657085250478208E-2</v>
      </c>
      <c r="AB94" s="1988">
        <v>20094</v>
      </c>
      <c r="AC94" s="1989">
        <v>887</v>
      </c>
      <c r="AD94" s="1995">
        <f t="shared" si="65"/>
        <v>4.4142530108490098E-2</v>
      </c>
      <c r="AE94" s="1988">
        <v>19811</v>
      </c>
      <c r="AF94" s="1989">
        <v>1551</v>
      </c>
      <c r="AG94" s="1995">
        <f t="shared" si="66"/>
        <v>7.8289838978345364E-2</v>
      </c>
      <c r="AH94" s="1988">
        <v>19985</v>
      </c>
      <c r="AI94" s="1989">
        <v>1479</v>
      </c>
      <c r="AJ94" s="1995">
        <f t="shared" si="67"/>
        <v>7.4005504128096075E-2</v>
      </c>
      <c r="AK94" s="1984">
        <v>20004</v>
      </c>
      <c r="AL94" s="1985">
        <v>1351</v>
      </c>
      <c r="AM94" s="1995">
        <f t="shared" si="68"/>
        <v>6.7536492701459713E-2</v>
      </c>
      <c r="AN94" s="2005">
        <v>19881</v>
      </c>
      <c r="AO94" s="2006">
        <v>1195</v>
      </c>
      <c r="AP94" s="1967">
        <f t="shared" si="69"/>
        <v>6.0107640460741414E-2</v>
      </c>
      <c r="AQ94" s="2005">
        <v>19982</v>
      </c>
      <c r="AR94" s="1119">
        <v>1124</v>
      </c>
      <c r="AS94" s="1967">
        <f t="shared" si="70"/>
        <v>5.6250625563006709E-2</v>
      </c>
      <c r="AT94" s="2011">
        <v>20128</v>
      </c>
      <c r="AU94" s="2012">
        <v>1113</v>
      </c>
      <c r="AV94" s="1995">
        <f t="shared" si="71"/>
        <v>5.5296104928457872E-2</v>
      </c>
      <c r="AW94" s="2005">
        <v>19866</v>
      </c>
      <c r="AX94" s="2015">
        <v>941</v>
      </c>
      <c r="AY94" s="1995">
        <f t="shared" si="72"/>
        <v>4.7367361320849691E-2</v>
      </c>
      <c r="AZ94" s="2005">
        <v>19746</v>
      </c>
      <c r="BA94" s="2015">
        <v>790</v>
      </c>
      <c r="BB94" s="1995">
        <f t="shared" si="73"/>
        <v>4.0008102906917857E-2</v>
      </c>
      <c r="BC94" s="1999">
        <v>20033</v>
      </c>
      <c r="BD94" s="1251">
        <v>743</v>
      </c>
      <c r="BE94" s="1247">
        <f t="shared" si="74"/>
        <v>3.7088803474267462E-2</v>
      </c>
      <c r="BF94" s="1999">
        <v>20094</v>
      </c>
      <c r="BG94" s="1251">
        <v>615</v>
      </c>
      <c r="BH94" s="1247">
        <f t="shared" si="75"/>
        <v>3.0606151089877576E-2</v>
      </c>
    </row>
    <row r="95" spans="1:60" ht="12.75" customHeight="1" x14ac:dyDescent="0.3">
      <c r="A95" s="364" t="s">
        <v>234</v>
      </c>
      <c r="B95" s="366" t="s">
        <v>235</v>
      </c>
      <c r="C95" s="186" t="s">
        <v>256</v>
      </c>
      <c r="D95" s="1975">
        <v>24989</v>
      </c>
      <c r="E95" s="1976">
        <v>889</v>
      </c>
      <c r="F95" s="1977">
        <f t="shared" si="57"/>
        <v>3.5575653287446475E-2</v>
      </c>
      <c r="G95" s="1988">
        <v>25428</v>
      </c>
      <c r="H95" s="1989">
        <v>1281</v>
      </c>
      <c r="I95" s="1964">
        <f t="shared" si="58"/>
        <v>5.0377536573855596E-2</v>
      </c>
      <c r="J95" s="1988">
        <v>26054</v>
      </c>
      <c r="K95" s="1989">
        <v>1576</v>
      </c>
      <c r="L95" s="1995">
        <f t="shared" si="59"/>
        <v>6.0489752053427499E-2</v>
      </c>
      <c r="M95" s="1988">
        <v>26314</v>
      </c>
      <c r="N95" s="1989">
        <v>1419</v>
      </c>
      <c r="O95" s="1995">
        <f t="shared" si="60"/>
        <v>5.3925666945352287E-2</v>
      </c>
      <c r="P95" s="1988">
        <v>25992</v>
      </c>
      <c r="Q95" s="1989">
        <v>1233</v>
      </c>
      <c r="R95" s="1995">
        <f t="shared" si="61"/>
        <v>4.7437673130193904E-2</v>
      </c>
      <c r="S95" s="1988">
        <v>26094</v>
      </c>
      <c r="T95" s="1989">
        <v>1163</v>
      </c>
      <c r="U95" s="1995">
        <f t="shared" si="62"/>
        <v>4.4569632865792901E-2</v>
      </c>
      <c r="V95" s="1988">
        <v>26406</v>
      </c>
      <c r="W95" s="1989">
        <v>1083</v>
      </c>
      <c r="X95" s="1995">
        <f t="shared" si="63"/>
        <v>4.1013406044080894E-2</v>
      </c>
      <c r="Y95" s="1988">
        <v>26611</v>
      </c>
      <c r="Z95" s="1989">
        <v>1217</v>
      </c>
      <c r="AA95" s="1995">
        <f t="shared" si="64"/>
        <v>4.5732967569801962E-2</v>
      </c>
      <c r="AB95" s="1988">
        <v>27544</v>
      </c>
      <c r="AC95" s="1989">
        <v>1357</v>
      </c>
      <c r="AD95" s="1995">
        <f t="shared" si="65"/>
        <v>4.9266627940749347E-2</v>
      </c>
      <c r="AE95" s="1988">
        <v>27093</v>
      </c>
      <c r="AF95" s="1989">
        <v>2389</v>
      </c>
      <c r="AG95" s="1995">
        <f t="shared" si="66"/>
        <v>8.8177758092496214E-2</v>
      </c>
      <c r="AH95" s="1988">
        <v>27568</v>
      </c>
      <c r="AI95" s="1989">
        <v>2421</v>
      </c>
      <c r="AJ95" s="1995">
        <f t="shared" si="67"/>
        <v>8.7819210679048174E-2</v>
      </c>
      <c r="AK95" s="1984">
        <v>28095</v>
      </c>
      <c r="AL95" s="1985">
        <v>2241</v>
      </c>
      <c r="AM95" s="1995">
        <f t="shared" si="68"/>
        <v>7.9765082754938599E-2</v>
      </c>
      <c r="AN95" s="2005">
        <v>28002</v>
      </c>
      <c r="AO95" s="2006">
        <v>1978</v>
      </c>
      <c r="AP95" s="1967">
        <f t="shared" si="69"/>
        <v>7.06378115848868E-2</v>
      </c>
      <c r="AQ95" s="2005">
        <v>28019</v>
      </c>
      <c r="AR95" s="1119">
        <v>1935</v>
      </c>
      <c r="AS95" s="1967">
        <f t="shared" si="70"/>
        <v>6.9060280523930193E-2</v>
      </c>
      <c r="AT95" s="2011">
        <v>27983</v>
      </c>
      <c r="AU95" s="2012">
        <v>1603</v>
      </c>
      <c r="AV95" s="1995">
        <f t="shared" si="71"/>
        <v>5.7284780045027336E-2</v>
      </c>
      <c r="AW95" s="2005">
        <v>27234</v>
      </c>
      <c r="AX95" s="2015">
        <v>1306</v>
      </c>
      <c r="AY95" s="1995">
        <f t="shared" si="72"/>
        <v>4.7954762429316296E-2</v>
      </c>
      <c r="AZ95" s="2005">
        <v>26933</v>
      </c>
      <c r="BA95" s="2015">
        <v>1208</v>
      </c>
      <c r="BB95" s="1995">
        <f t="shared" si="73"/>
        <v>4.4852040248022869E-2</v>
      </c>
      <c r="BC95" s="1999">
        <v>26908</v>
      </c>
      <c r="BD95" s="1251">
        <v>1104</v>
      </c>
      <c r="BE95" s="1247">
        <f t="shared" si="74"/>
        <v>4.1028690352311582E-2</v>
      </c>
      <c r="BF95" s="1999">
        <v>26683</v>
      </c>
      <c r="BG95" s="1251">
        <v>898</v>
      </c>
      <c r="BH95" s="1247">
        <f t="shared" si="75"/>
        <v>3.3654386688153508E-2</v>
      </c>
    </row>
    <row r="96" spans="1:60" ht="12.75" customHeight="1" x14ac:dyDescent="0.3">
      <c r="A96" s="364" t="s">
        <v>236</v>
      </c>
      <c r="B96" s="366" t="s">
        <v>237</v>
      </c>
      <c r="C96" s="186" t="s">
        <v>254</v>
      </c>
      <c r="D96" s="1975">
        <v>7637</v>
      </c>
      <c r="E96" s="1976">
        <v>269</v>
      </c>
      <c r="F96" s="1977">
        <f t="shared" si="57"/>
        <v>3.52232552049234E-2</v>
      </c>
      <c r="G96" s="1988">
        <v>7644</v>
      </c>
      <c r="H96" s="1989">
        <v>312</v>
      </c>
      <c r="I96" s="1964">
        <f t="shared" si="58"/>
        <v>4.0816326530612242E-2</v>
      </c>
      <c r="J96" s="1988">
        <v>7913</v>
      </c>
      <c r="K96" s="1989">
        <v>374</v>
      </c>
      <c r="L96" s="1995">
        <f t="shared" si="59"/>
        <v>4.7263995956021737E-2</v>
      </c>
      <c r="M96" s="1988">
        <v>8166</v>
      </c>
      <c r="N96" s="1989">
        <v>392</v>
      </c>
      <c r="O96" s="1995">
        <f t="shared" si="60"/>
        <v>4.8003918687239772E-2</v>
      </c>
      <c r="P96" s="1988">
        <v>7963</v>
      </c>
      <c r="Q96" s="1989">
        <v>365</v>
      </c>
      <c r="R96" s="1995">
        <f t="shared" si="61"/>
        <v>4.5836996106994848E-2</v>
      </c>
      <c r="S96" s="1988">
        <v>8164</v>
      </c>
      <c r="T96" s="1989">
        <v>368</v>
      </c>
      <c r="U96" s="1995">
        <f t="shared" si="62"/>
        <v>4.5075943165115137E-2</v>
      </c>
      <c r="V96" s="1988">
        <v>8269</v>
      </c>
      <c r="W96" s="1989">
        <v>321</v>
      </c>
      <c r="X96" s="1995">
        <f t="shared" si="63"/>
        <v>3.8819687991292783E-2</v>
      </c>
      <c r="Y96" s="1988">
        <v>8273</v>
      </c>
      <c r="Z96" s="1989">
        <v>350</v>
      </c>
      <c r="AA96" s="1995">
        <f t="shared" si="64"/>
        <v>4.2306297594584791E-2</v>
      </c>
      <c r="AB96" s="1988">
        <v>8886</v>
      </c>
      <c r="AC96" s="1989">
        <v>449</v>
      </c>
      <c r="AD96" s="1995">
        <f t="shared" si="65"/>
        <v>5.0528921899617378E-2</v>
      </c>
      <c r="AE96" s="1988">
        <v>9162</v>
      </c>
      <c r="AF96" s="1989">
        <v>723</v>
      </c>
      <c r="AG96" s="1995">
        <f t="shared" si="66"/>
        <v>7.8912901113294034E-2</v>
      </c>
      <c r="AH96" s="1988">
        <v>8952</v>
      </c>
      <c r="AI96" s="1989">
        <v>737</v>
      </c>
      <c r="AJ96" s="1995">
        <f t="shared" si="67"/>
        <v>8.2327971403038422E-2</v>
      </c>
      <c r="AK96" s="1984">
        <v>9124</v>
      </c>
      <c r="AL96" s="1985">
        <v>693</v>
      </c>
      <c r="AM96" s="1995">
        <f t="shared" si="68"/>
        <v>7.5953529153879873E-2</v>
      </c>
      <c r="AN96" s="2005">
        <v>8673</v>
      </c>
      <c r="AO96" s="2006">
        <v>646</v>
      </c>
      <c r="AP96" s="1967">
        <f t="shared" si="69"/>
        <v>7.4484030900495796E-2</v>
      </c>
      <c r="AQ96" s="2005">
        <v>8672</v>
      </c>
      <c r="AR96" s="1119">
        <v>609</v>
      </c>
      <c r="AS96" s="1967">
        <f t="shared" si="70"/>
        <v>7.0226014760147601E-2</v>
      </c>
      <c r="AT96" s="2011">
        <v>9073</v>
      </c>
      <c r="AU96" s="2012">
        <v>574</v>
      </c>
      <c r="AV96" s="1995">
        <f t="shared" si="71"/>
        <v>6.3264631323707701E-2</v>
      </c>
      <c r="AW96" s="2005">
        <v>8930</v>
      </c>
      <c r="AX96" s="2015">
        <v>484</v>
      </c>
      <c r="AY96" s="1995">
        <f t="shared" si="72"/>
        <v>5.4199328107502796E-2</v>
      </c>
      <c r="AZ96" s="2005">
        <v>8926</v>
      </c>
      <c r="BA96" s="2015">
        <v>410</v>
      </c>
      <c r="BB96" s="1995">
        <f t="shared" si="73"/>
        <v>4.5933228769885724E-2</v>
      </c>
      <c r="BC96" s="1999">
        <v>9004</v>
      </c>
      <c r="BD96" s="1251">
        <v>423</v>
      </c>
      <c r="BE96" s="1247">
        <f t="shared" si="74"/>
        <v>4.6979120390937358E-2</v>
      </c>
      <c r="BF96" s="1999">
        <v>9367</v>
      </c>
      <c r="BG96" s="1251">
        <v>341</v>
      </c>
      <c r="BH96" s="1247">
        <f t="shared" si="75"/>
        <v>3.6404398419985051E-2</v>
      </c>
    </row>
    <row r="97" spans="1:60" ht="12.75" customHeight="1" x14ac:dyDescent="0.3">
      <c r="A97" s="364" t="s">
        <v>242</v>
      </c>
      <c r="B97" s="366" t="s">
        <v>243</v>
      </c>
      <c r="C97" s="186" t="s">
        <v>256</v>
      </c>
      <c r="D97" s="1975">
        <v>16051</v>
      </c>
      <c r="E97" s="1976">
        <v>673</v>
      </c>
      <c r="F97" s="1977">
        <f t="shared" si="57"/>
        <v>4.1928851784935516E-2</v>
      </c>
      <c r="G97" s="1988">
        <v>16320</v>
      </c>
      <c r="H97" s="1989">
        <v>766</v>
      </c>
      <c r="I97" s="1964">
        <f t="shared" si="58"/>
        <v>4.6936274509803921E-2</v>
      </c>
      <c r="J97" s="1988">
        <v>16998</v>
      </c>
      <c r="K97" s="1989">
        <v>1000</v>
      </c>
      <c r="L97" s="1995">
        <f t="shared" si="59"/>
        <v>5.8830450641251912E-2</v>
      </c>
      <c r="M97" s="1988">
        <v>17482</v>
      </c>
      <c r="N97" s="1989">
        <v>1003</v>
      </c>
      <c r="O97" s="1995">
        <f t="shared" si="60"/>
        <v>5.7373298249628189E-2</v>
      </c>
      <c r="P97" s="1988">
        <v>17106</v>
      </c>
      <c r="Q97" s="1989">
        <v>878</v>
      </c>
      <c r="R97" s="1995">
        <f t="shared" si="61"/>
        <v>5.1327019759148836E-2</v>
      </c>
      <c r="S97" s="1988">
        <v>17344</v>
      </c>
      <c r="T97" s="1989">
        <v>817</v>
      </c>
      <c r="U97" s="1995">
        <f t="shared" si="62"/>
        <v>4.710562730627306E-2</v>
      </c>
      <c r="V97" s="1988">
        <v>17296</v>
      </c>
      <c r="W97" s="1989">
        <v>770</v>
      </c>
      <c r="X97" s="1995">
        <f t="shared" si="63"/>
        <v>4.4518963922294173E-2</v>
      </c>
      <c r="Y97" s="1988">
        <v>17372</v>
      </c>
      <c r="Z97" s="1989">
        <v>689</v>
      </c>
      <c r="AA97" s="1995">
        <f t="shared" si="64"/>
        <v>3.9661524291964081E-2</v>
      </c>
      <c r="AB97" s="1988">
        <v>18127</v>
      </c>
      <c r="AC97" s="1989">
        <v>836</v>
      </c>
      <c r="AD97" s="1995">
        <f t="shared" si="65"/>
        <v>4.6119048932531582E-2</v>
      </c>
      <c r="AE97" s="1988">
        <v>19468</v>
      </c>
      <c r="AF97" s="1989">
        <v>1336</v>
      </c>
      <c r="AG97" s="1995">
        <f t="shared" si="66"/>
        <v>6.8625436613930557E-2</v>
      </c>
      <c r="AH97" s="1988">
        <v>19332</v>
      </c>
      <c r="AI97" s="1989">
        <v>1451</v>
      </c>
      <c r="AJ97" s="1995">
        <f t="shared" si="67"/>
        <v>7.5056900475894889E-2</v>
      </c>
      <c r="AK97" s="1984">
        <v>19672</v>
      </c>
      <c r="AL97" s="1985">
        <v>1329</v>
      </c>
      <c r="AM97" s="1995">
        <f t="shared" si="68"/>
        <v>6.7557950386335913E-2</v>
      </c>
      <c r="AN97" s="2005">
        <v>18032</v>
      </c>
      <c r="AO97" s="2006">
        <v>1424</v>
      </c>
      <c r="AP97" s="1967">
        <f t="shared" si="69"/>
        <v>7.8970718722271516E-2</v>
      </c>
      <c r="AQ97" s="2005">
        <v>17612</v>
      </c>
      <c r="AR97" s="1119">
        <v>1545</v>
      </c>
      <c r="AS97" s="1967">
        <f t="shared" si="70"/>
        <v>8.7724278900749492E-2</v>
      </c>
      <c r="AT97" s="2011">
        <v>14415</v>
      </c>
      <c r="AU97" s="2012">
        <v>1351</v>
      </c>
      <c r="AV97" s="1995">
        <f t="shared" si="71"/>
        <v>9.372181755116199E-2</v>
      </c>
      <c r="AW97" s="2005">
        <v>13962</v>
      </c>
      <c r="AX97" s="2015">
        <v>1158</v>
      </c>
      <c r="AY97" s="1995">
        <f t="shared" si="72"/>
        <v>8.2939406961753337E-2</v>
      </c>
      <c r="AZ97" s="2005">
        <v>13063</v>
      </c>
      <c r="BA97" s="2015">
        <v>1115</v>
      </c>
      <c r="BB97" s="1995">
        <f t="shared" si="73"/>
        <v>8.5355584475235391E-2</v>
      </c>
      <c r="BC97" s="1999">
        <v>12986</v>
      </c>
      <c r="BD97" s="1251">
        <v>880</v>
      </c>
      <c r="BE97" s="1247">
        <f t="shared" si="74"/>
        <v>6.7765285692284002E-2</v>
      </c>
      <c r="BF97" s="1999">
        <v>13198</v>
      </c>
      <c r="BG97" s="1251">
        <v>656</v>
      </c>
      <c r="BH97" s="1247">
        <f t="shared" si="75"/>
        <v>4.9704500681921504E-2</v>
      </c>
    </row>
    <row r="98" spans="1:60" ht="12.75" customHeight="1" x14ac:dyDescent="0.3">
      <c r="A98" s="364" t="s">
        <v>244</v>
      </c>
      <c r="B98" s="366" t="s">
        <v>245</v>
      </c>
      <c r="C98" s="186" t="s">
        <v>256</v>
      </c>
      <c r="D98" s="1975">
        <v>14074</v>
      </c>
      <c r="E98" s="1976">
        <v>606</v>
      </c>
      <c r="F98" s="1977">
        <f t="shared" si="57"/>
        <v>4.3058121358533465E-2</v>
      </c>
      <c r="G98" s="1988">
        <v>14257</v>
      </c>
      <c r="H98" s="1989">
        <v>968</v>
      </c>
      <c r="I98" s="1964">
        <f t="shared" si="58"/>
        <v>6.7896471908536163E-2</v>
      </c>
      <c r="J98" s="1988">
        <v>14401</v>
      </c>
      <c r="K98" s="1989">
        <v>899</v>
      </c>
      <c r="L98" s="1995">
        <f t="shared" si="59"/>
        <v>6.2426220401361018E-2</v>
      </c>
      <c r="M98" s="1988">
        <v>14920</v>
      </c>
      <c r="N98" s="1989">
        <v>785</v>
      </c>
      <c r="O98" s="1995">
        <f t="shared" si="60"/>
        <v>5.2613941018766756E-2</v>
      </c>
      <c r="P98" s="1988">
        <v>14719</v>
      </c>
      <c r="Q98" s="1989">
        <v>694</v>
      </c>
      <c r="R98" s="1995">
        <f t="shared" si="61"/>
        <v>4.7149942251511652E-2</v>
      </c>
      <c r="S98" s="1988">
        <v>15058</v>
      </c>
      <c r="T98" s="1989">
        <v>646</v>
      </c>
      <c r="U98" s="1995">
        <f t="shared" si="62"/>
        <v>4.2900783636605128E-2</v>
      </c>
      <c r="V98" s="1988">
        <v>15000</v>
      </c>
      <c r="W98" s="1989">
        <v>609</v>
      </c>
      <c r="X98" s="1995">
        <f t="shared" si="63"/>
        <v>4.0599999999999997E-2</v>
      </c>
      <c r="Y98" s="1988">
        <v>15401</v>
      </c>
      <c r="Z98" s="1989">
        <v>693</v>
      </c>
      <c r="AA98" s="1995">
        <f t="shared" si="64"/>
        <v>4.4997078111810924E-2</v>
      </c>
      <c r="AB98" s="1988">
        <v>16196</v>
      </c>
      <c r="AC98" s="1989">
        <v>868</v>
      </c>
      <c r="AD98" s="1995">
        <f t="shared" si="65"/>
        <v>5.359347987157323E-2</v>
      </c>
      <c r="AE98" s="1988">
        <v>16470</v>
      </c>
      <c r="AF98" s="1989">
        <v>1788</v>
      </c>
      <c r="AG98" s="1995">
        <f t="shared" si="66"/>
        <v>0.10856102003642987</v>
      </c>
      <c r="AH98" s="1988">
        <v>15736</v>
      </c>
      <c r="AI98" s="1989">
        <v>1582</v>
      </c>
      <c r="AJ98" s="1995">
        <f t="shared" si="67"/>
        <v>0.10053380782918149</v>
      </c>
      <c r="AK98" s="1984">
        <v>15853</v>
      </c>
      <c r="AL98" s="1985">
        <v>1291</v>
      </c>
      <c r="AM98" s="1995">
        <f t="shared" si="68"/>
        <v>8.143569040560146E-2</v>
      </c>
      <c r="AN98" s="2005">
        <v>15136</v>
      </c>
      <c r="AO98" s="2006">
        <v>1050</v>
      </c>
      <c r="AP98" s="1967">
        <f t="shared" si="69"/>
        <v>6.9371035940803377E-2</v>
      </c>
      <c r="AQ98" s="2005">
        <v>15096</v>
      </c>
      <c r="AR98" s="1119">
        <v>1060</v>
      </c>
      <c r="AS98" s="1967">
        <f t="shared" si="70"/>
        <v>7.0217276099629036E-2</v>
      </c>
      <c r="AT98" s="2011">
        <v>13859</v>
      </c>
      <c r="AU98" s="2012">
        <v>885</v>
      </c>
      <c r="AV98" s="1995">
        <f t="shared" si="71"/>
        <v>6.3857421170358614E-2</v>
      </c>
      <c r="AW98" s="2005">
        <v>13713</v>
      </c>
      <c r="AX98" s="2015">
        <v>745</v>
      </c>
      <c r="AY98" s="1995">
        <f t="shared" si="72"/>
        <v>5.432800991759644E-2</v>
      </c>
      <c r="AZ98" s="2005">
        <v>13588</v>
      </c>
      <c r="BA98" s="2015">
        <v>773</v>
      </c>
      <c r="BB98" s="1995">
        <f t="shared" si="73"/>
        <v>5.6888430968501616E-2</v>
      </c>
      <c r="BC98" s="1999">
        <v>13646</v>
      </c>
      <c r="BD98" s="1251">
        <v>711</v>
      </c>
      <c r="BE98" s="1247">
        <f t="shared" si="74"/>
        <v>5.2103180419170454E-2</v>
      </c>
      <c r="BF98" s="1999">
        <v>13694</v>
      </c>
      <c r="BG98" s="1251">
        <v>508</v>
      </c>
      <c r="BH98" s="1247">
        <f t="shared" si="75"/>
        <v>3.7096538630056956E-2</v>
      </c>
    </row>
    <row r="99" spans="1:60" ht="12.75" customHeight="1" x14ac:dyDescent="0.3">
      <c r="A99" s="364" t="s">
        <v>246</v>
      </c>
      <c r="B99" s="366" t="s">
        <v>247</v>
      </c>
      <c r="C99" s="186" t="s">
        <v>252</v>
      </c>
      <c r="D99" s="1978">
        <v>32494</v>
      </c>
      <c r="E99" s="1979">
        <v>623</v>
      </c>
      <c r="F99" s="1977">
        <f t="shared" si="57"/>
        <v>1.9172770357604479E-2</v>
      </c>
      <c r="G99" s="1990">
        <v>33716</v>
      </c>
      <c r="H99" s="1991">
        <v>828</v>
      </c>
      <c r="I99" s="1964">
        <f t="shared" si="58"/>
        <v>2.455807331830585E-2</v>
      </c>
      <c r="J99" s="1990">
        <v>35072</v>
      </c>
      <c r="K99" s="1991">
        <v>1056</v>
      </c>
      <c r="L99" s="1995">
        <f t="shared" si="59"/>
        <v>3.0109489051094892E-2</v>
      </c>
      <c r="M99" s="1990">
        <v>35648</v>
      </c>
      <c r="N99" s="1991">
        <v>1124</v>
      </c>
      <c r="O99" s="1995">
        <f t="shared" si="60"/>
        <v>3.1530520646319567E-2</v>
      </c>
      <c r="P99" s="1990">
        <v>36082</v>
      </c>
      <c r="Q99" s="1991">
        <v>1080</v>
      </c>
      <c r="R99" s="1995">
        <f t="shared" si="61"/>
        <v>2.9931821961088633E-2</v>
      </c>
      <c r="S99" s="1990">
        <v>36952</v>
      </c>
      <c r="T99" s="1991">
        <v>1100</v>
      </c>
      <c r="U99" s="1995">
        <f t="shared" si="62"/>
        <v>2.9768348127300281E-2</v>
      </c>
      <c r="V99" s="1990">
        <v>37420</v>
      </c>
      <c r="W99" s="1991">
        <v>973</v>
      </c>
      <c r="X99" s="1995">
        <f t="shared" si="63"/>
        <v>2.600213789417424E-2</v>
      </c>
      <c r="Y99" s="1990">
        <v>37146</v>
      </c>
      <c r="Z99" s="1991">
        <v>915</v>
      </c>
      <c r="AA99" s="1995">
        <f t="shared" si="64"/>
        <v>2.4632531093522855E-2</v>
      </c>
      <c r="AB99" s="1990">
        <v>37767</v>
      </c>
      <c r="AC99" s="1991">
        <v>1230</v>
      </c>
      <c r="AD99" s="1995">
        <f t="shared" si="65"/>
        <v>3.2568115021050122E-2</v>
      </c>
      <c r="AE99" s="1990">
        <v>36716</v>
      </c>
      <c r="AF99" s="1991">
        <v>2014</v>
      </c>
      <c r="AG99" s="1995">
        <f t="shared" si="66"/>
        <v>5.4853469876892907E-2</v>
      </c>
      <c r="AH99" s="1990">
        <v>39349</v>
      </c>
      <c r="AI99" s="1991">
        <v>2326</v>
      </c>
      <c r="AJ99" s="1995">
        <f t="shared" si="67"/>
        <v>5.9112048590815522E-2</v>
      </c>
      <c r="AK99" s="1984">
        <v>40021</v>
      </c>
      <c r="AL99" s="1985">
        <v>2373</v>
      </c>
      <c r="AM99" s="1995">
        <f t="shared" si="68"/>
        <v>5.9293870717873114E-2</v>
      </c>
      <c r="AN99" s="2005">
        <v>39768</v>
      </c>
      <c r="AO99" s="2006">
        <v>2156</v>
      </c>
      <c r="AP99" s="1967">
        <f t="shared" si="69"/>
        <v>5.4214443773888552E-2</v>
      </c>
      <c r="AQ99" s="2005">
        <v>40012</v>
      </c>
      <c r="AR99" s="1119">
        <v>2024</v>
      </c>
      <c r="AS99" s="1967">
        <f t="shared" si="70"/>
        <v>5.058482455263421E-2</v>
      </c>
      <c r="AT99" s="2011">
        <v>38341</v>
      </c>
      <c r="AU99" s="2012">
        <v>1891</v>
      </c>
      <c r="AV99" s="1995">
        <f t="shared" si="71"/>
        <v>4.9320570668474999E-2</v>
      </c>
      <c r="AW99" s="2005">
        <v>37914</v>
      </c>
      <c r="AX99" s="2015">
        <v>1609</v>
      </c>
      <c r="AY99" s="1995">
        <f t="shared" si="72"/>
        <v>4.2438149496228303E-2</v>
      </c>
      <c r="AZ99" s="2005">
        <v>38163</v>
      </c>
      <c r="BA99" s="2015">
        <v>1462</v>
      </c>
      <c r="BB99" s="1995">
        <f t="shared" si="73"/>
        <v>3.8309357230825666E-2</v>
      </c>
      <c r="BC99" s="1999">
        <v>38838</v>
      </c>
      <c r="BD99" s="1251">
        <v>1379</v>
      </c>
      <c r="BE99" s="1247">
        <f t="shared" si="74"/>
        <v>3.5506462742674702E-2</v>
      </c>
      <c r="BF99" s="1999">
        <v>38878</v>
      </c>
      <c r="BG99" s="1251">
        <v>1078</v>
      </c>
      <c r="BH99" s="1247">
        <f t="shared" si="75"/>
        <v>2.7727763773856679E-2</v>
      </c>
    </row>
    <row r="100" spans="1:60" ht="12.75" customHeight="1" x14ac:dyDescent="0.3">
      <c r="A100" s="364" t="s">
        <v>14</v>
      </c>
      <c r="B100" s="366" t="s">
        <v>15</v>
      </c>
      <c r="C100" s="186" t="s">
        <v>255</v>
      </c>
      <c r="D100" s="1975">
        <v>80458</v>
      </c>
      <c r="E100" s="1976">
        <v>1422</v>
      </c>
      <c r="F100" s="1977">
        <f t="shared" si="57"/>
        <v>1.7673817395411271E-2</v>
      </c>
      <c r="G100" s="1988">
        <v>81303</v>
      </c>
      <c r="H100" s="1989">
        <v>2193</v>
      </c>
      <c r="I100" s="1964">
        <f t="shared" si="58"/>
        <v>2.697317442160806E-2</v>
      </c>
      <c r="J100" s="1988">
        <v>83557</v>
      </c>
      <c r="K100" s="1989">
        <v>2858</v>
      </c>
      <c r="L100" s="1995">
        <f t="shared" si="59"/>
        <v>3.420419593810213E-2</v>
      </c>
      <c r="M100" s="1988">
        <v>83579</v>
      </c>
      <c r="N100" s="1989">
        <v>2496</v>
      </c>
      <c r="O100" s="1995">
        <f t="shared" si="60"/>
        <v>2.986396104284569E-2</v>
      </c>
      <c r="P100" s="1988">
        <v>85197</v>
      </c>
      <c r="Q100" s="1989">
        <v>2269</v>
      </c>
      <c r="R100" s="1995">
        <f t="shared" si="61"/>
        <v>2.6632393159383545E-2</v>
      </c>
      <c r="S100" s="1988">
        <v>85299</v>
      </c>
      <c r="T100" s="1989">
        <v>2188</v>
      </c>
      <c r="U100" s="1995">
        <f t="shared" si="62"/>
        <v>2.5650945497602551E-2</v>
      </c>
      <c r="V100" s="1988">
        <v>86955</v>
      </c>
      <c r="W100" s="1989">
        <v>1913</v>
      </c>
      <c r="X100" s="1995">
        <f t="shared" si="63"/>
        <v>2.1999884997987464E-2</v>
      </c>
      <c r="Y100" s="1988">
        <v>89035</v>
      </c>
      <c r="Z100" s="1989">
        <v>1998</v>
      </c>
      <c r="AA100" s="1995">
        <f t="shared" si="64"/>
        <v>2.244061324198349E-2</v>
      </c>
      <c r="AB100" s="1988">
        <v>93325</v>
      </c>
      <c r="AC100" s="1989">
        <v>2579</v>
      </c>
      <c r="AD100" s="1995">
        <f t="shared" si="65"/>
        <v>2.7634610233056522E-2</v>
      </c>
      <c r="AE100" s="1988">
        <v>94625</v>
      </c>
      <c r="AF100" s="1989">
        <v>4722</v>
      </c>
      <c r="AG100" s="1995">
        <f t="shared" si="66"/>
        <v>4.9902245706737118E-2</v>
      </c>
      <c r="AH100" s="1988">
        <v>87408</v>
      </c>
      <c r="AI100" s="1989">
        <v>4489</v>
      </c>
      <c r="AJ100" s="1995">
        <f t="shared" si="67"/>
        <v>5.1356855207761301E-2</v>
      </c>
      <c r="AK100" s="1984">
        <v>89988</v>
      </c>
      <c r="AL100" s="1985">
        <v>4158</v>
      </c>
      <c r="AM100" s="1995">
        <f t="shared" si="68"/>
        <v>4.6206160821442861E-2</v>
      </c>
      <c r="AN100" s="2005">
        <v>90256</v>
      </c>
      <c r="AO100" s="2006">
        <v>3803</v>
      </c>
      <c r="AP100" s="1967">
        <f t="shared" si="69"/>
        <v>4.2135702889558591E-2</v>
      </c>
      <c r="AQ100" s="2005">
        <v>90980</v>
      </c>
      <c r="AR100" s="1119">
        <v>3732</v>
      </c>
      <c r="AS100" s="1967">
        <f t="shared" si="70"/>
        <v>4.1020004396570678E-2</v>
      </c>
      <c r="AT100" s="2011">
        <v>94209</v>
      </c>
      <c r="AU100" s="2012">
        <v>3528</v>
      </c>
      <c r="AV100" s="1995">
        <f t="shared" si="71"/>
        <v>3.7448651402732222E-2</v>
      </c>
      <c r="AW100" s="2005">
        <v>93782</v>
      </c>
      <c r="AX100" s="2015">
        <v>3094</v>
      </c>
      <c r="AY100" s="1995">
        <f t="shared" si="72"/>
        <v>3.299140560022179E-2</v>
      </c>
      <c r="AZ100" s="2005">
        <v>95389</v>
      </c>
      <c r="BA100" s="2015">
        <v>2740</v>
      </c>
      <c r="BB100" s="1995">
        <f t="shared" si="73"/>
        <v>2.8724486051850844E-2</v>
      </c>
      <c r="BC100" s="1999">
        <v>98590</v>
      </c>
      <c r="BD100" s="1251">
        <v>2829</v>
      </c>
      <c r="BE100" s="1247">
        <f t="shared" si="74"/>
        <v>2.8694593772187849E-2</v>
      </c>
      <c r="BF100" s="1999">
        <v>100409</v>
      </c>
      <c r="BG100" s="1251">
        <v>2255</v>
      </c>
      <c r="BH100" s="1247">
        <f t="shared" si="75"/>
        <v>2.2458146182115148E-2</v>
      </c>
    </row>
    <row r="101" spans="1:60" ht="12.75" customHeight="1" x14ac:dyDescent="0.3">
      <c r="A101" s="364" t="s">
        <v>34</v>
      </c>
      <c r="B101" s="366" t="s">
        <v>35</v>
      </c>
      <c r="C101" s="186" t="s">
        <v>256</v>
      </c>
      <c r="D101" s="1975">
        <v>7468</v>
      </c>
      <c r="E101" s="1976">
        <v>237</v>
      </c>
      <c r="F101" s="1977">
        <f t="shared" ref="F101:F124" si="76">E101/D101</f>
        <v>3.1735404392072841E-2</v>
      </c>
      <c r="G101" s="1988">
        <v>7555</v>
      </c>
      <c r="H101" s="1989">
        <v>315</v>
      </c>
      <c r="I101" s="1964">
        <f t="shared" ref="I101:I124" si="77">H101/G101</f>
        <v>4.1694242223692918E-2</v>
      </c>
      <c r="J101" s="1988">
        <v>7609</v>
      </c>
      <c r="K101" s="1989">
        <v>377</v>
      </c>
      <c r="L101" s="1995">
        <f t="shared" ref="L101:L124" si="78">K101/J101</f>
        <v>4.9546589564988829E-2</v>
      </c>
      <c r="M101" s="1988">
        <v>7939</v>
      </c>
      <c r="N101" s="1989">
        <v>491</v>
      </c>
      <c r="O101" s="1995">
        <f t="shared" ref="O101:O124" si="79">N101/M101</f>
        <v>6.1846580173825418E-2</v>
      </c>
      <c r="P101" s="1988">
        <v>7834</v>
      </c>
      <c r="Q101" s="1989">
        <v>475</v>
      </c>
      <c r="R101" s="1995">
        <f t="shared" ref="R101:R124" si="80">Q101/P101</f>
        <v>6.0633137605310188E-2</v>
      </c>
      <c r="S101" s="1988">
        <v>7784</v>
      </c>
      <c r="T101" s="1989">
        <v>421</v>
      </c>
      <c r="U101" s="1995">
        <f t="shared" ref="U101:U124" si="81">T101/S101</f>
        <v>5.4085303186022608E-2</v>
      </c>
      <c r="V101" s="1988">
        <v>7944</v>
      </c>
      <c r="W101" s="1989">
        <v>381</v>
      </c>
      <c r="X101" s="1995">
        <f t="shared" ref="X101:X124" si="82">W101/V101</f>
        <v>4.7960725075528704E-2</v>
      </c>
      <c r="Y101" s="1988">
        <v>7928</v>
      </c>
      <c r="Z101" s="1989">
        <v>410</v>
      </c>
      <c r="AA101" s="1995">
        <f t="shared" ref="AA101:AA124" si="83">Z101/Y101</f>
        <v>5.1715438950554998E-2</v>
      </c>
      <c r="AB101" s="1988">
        <v>8101</v>
      </c>
      <c r="AC101" s="1989">
        <v>468</v>
      </c>
      <c r="AD101" s="1995">
        <f t="shared" ref="AD101:AD124" si="84">AC101/AB101</f>
        <v>5.777064559930873E-2</v>
      </c>
      <c r="AE101" s="1988">
        <v>8159</v>
      </c>
      <c r="AF101" s="1989">
        <v>843</v>
      </c>
      <c r="AG101" s="1995">
        <f t="shared" ref="AG101:AG124" si="85">AF101/AE101</f>
        <v>0.1033214854761613</v>
      </c>
      <c r="AH101" s="1988">
        <v>8050</v>
      </c>
      <c r="AI101" s="1989">
        <v>797</v>
      </c>
      <c r="AJ101" s="1995">
        <f t="shared" ref="AJ101:AJ124" si="86">AI101/AH101</f>
        <v>9.9006211180124218E-2</v>
      </c>
      <c r="AK101" s="1984">
        <v>8223</v>
      </c>
      <c r="AL101" s="1985">
        <v>796</v>
      </c>
      <c r="AM101" s="1995">
        <f t="shared" ref="AM101:AM124" si="87">AL101/AK101</f>
        <v>9.6801653897604284E-2</v>
      </c>
      <c r="AN101" s="2005">
        <v>8013</v>
      </c>
      <c r="AO101" s="2006">
        <v>625</v>
      </c>
      <c r="AP101" s="1967">
        <f t="shared" ref="AP101:AP124" si="88">AO101/AN101</f>
        <v>7.7998252839136403E-2</v>
      </c>
      <c r="AQ101" s="2005">
        <v>8033</v>
      </c>
      <c r="AR101" s="1119">
        <v>628</v>
      </c>
      <c r="AS101" s="1967">
        <f t="shared" ref="AS101:AS124" si="89">AR101/AQ101</f>
        <v>7.8177517739325283E-2</v>
      </c>
      <c r="AT101" s="2011">
        <v>7870</v>
      </c>
      <c r="AU101" s="2012">
        <v>502</v>
      </c>
      <c r="AV101" s="1995">
        <f t="shared" ref="AV101:AV124" si="90">AU101/AT101</f>
        <v>6.3786531130876747E-2</v>
      </c>
      <c r="AW101" s="2005">
        <v>7582</v>
      </c>
      <c r="AX101" s="2015">
        <v>403</v>
      </c>
      <c r="AY101" s="1995">
        <f t="shared" ref="AY101:AY124" si="91">AX101/AW101</f>
        <v>5.3152202585069905E-2</v>
      </c>
      <c r="AZ101" s="2005">
        <v>7501</v>
      </c>
      <c r="BA101" s="2015">
        <v>379</v>
      </c>
      <c r="BB101" s="1995">
        <f t="shared" ref="BB101:BB124" si="92">BA101/AZ101</f>
        <v>5.0526596453806159E-2</v>
      </c>
      <c r="BC101" s="1999">
        <v>7471</v>
      </c>
      <c r="BD101" s="1251">
        <v>341</v>
      </c>
      <c r="BE101" s="1247">
        <f t="shared" ref="BE101:BE124" si="93">BD101/BC101</f>
        <v>4.5643153526970952E-2</v>
      </c>
      <c r="BF101" s="1999">
        <v>7316</v>
      </c>
      <c r="BG101" s="1251">
        <v>271</v>
      </c>
      <c r="BH101" s="1247">
        <f t="shared" ref="BH101:BH124" si="94">BG101/BF101</f>
        <v>3.7042099507927827E-2</v>
      </c>
    </row>
    <row r="102" spans="1:60" ht="12.75" customHeight="1" x14ac:dyDescent="0.3">
      <c r="A102" s="364" t="s">
        <v>52</v>
      </c>
      <c r="B102" s="366" t="s">
        <v>53</v>
      </c>
      <c r="C102" s="186" t="s">
        <v>253</v>
      </c>
      <c r="D102" s="1975">
        <v>19260</v>
      </c>
      <c r="E102" s="1976">
        <v>566</v>
      </c>
      <c r="F102" s="1977">
        <f t="shared" si="76"/>
        <v>2.9387331256490134E-2</v>
      </c>
      <c r="G102" s="1988">
        <v>19020</v>
      </c>
      <c r="H102" s="1989">
        <v>683</v>
      </c>
      <c r="I102" s="1964">
        <f t="shared" si="77"/>
        <v>3.5909568874868562E-2</v>
      </c>
      <c r="J102" s="1988">
        <v>19740</v>
      </c>
      <c r="K102" s="1989">
        <v>763</v>
      </c>
      <c r="L102" s="1995">
        <f t="shared" si="78"/>
        <v>3.8652482269503546E-2</v>
      </c>
      <c r="M102" s="1988">
        <v>19652</v>
      </c>
      <c r="N102" s="1989">
        <v>814</v>
      </c>
      <c r="O102" s="1995">
        <f t="shared" si="79"/>
        <v>4.1420720537349888E-2</v>
      </c>
      <c r="P102" s="1988">
        <v>19905</v>
      </c>
      <c r="Q102" s="1989">
        <v>801</v>
      </c>
      <c r="R102" s="1995">
        <f t="shared" si="80"/>
        <v>4.0241145440844006E-2</v>
      </c>
      <c r="S102" s="1988">
        <v>19922</v>
      </c>
      <c r="T102" s="1989">
        <v>750</v>
      </c>
      <c r="U102" s="1995">
        <f t="shared" si="81"/>
        <v>3.764682260817187E-2</v>
      </c>
      <c r="V102" s="1988">
        <v>20432</v>
      </c>
      <c r="W102" s="1989">
        <v>653</v>
      </c>
      <c r="X102" s="1995">
        <f t="shared" si="82"/>
        <v>3.195967110415035E-2</v>
      </c>
      <c r="Y102" s="1988">
        <v>21142</v>
      </c>
      <c r="Z102" s="1989">
        <v>651</v>
      </c>
      <c r="AA102" s="1995">
        <f t="shared" si="83"/>
        <v>3.0791788856304986E-2</v>
      </c>
      <c r="AB102" s="1988">
        <v>21754</v>
      </c>
      <c r="AC102" s="1989">
        <v>848</v>
      </c>
      <c r="AD102" s="1995">
        <f t="shared" si="84"/>
        <v>3.8981336765652297E-2</v>
      </c>
      <c r="AE102" s="1988">
        <v>21780</v>
      </c>
      <c r="AF102" s="1989">
        <v>1460</v>
      </c>
      <c r="AG102" s="1995">
        <f t="shared" si="85"/>
        <v>6.7033976124885222E-2</v>
      </c>
      <c r="AH102" s="1988">
        <v>21852</v>
      </c>
      <c r="AI102" s="1989">
        <v>1405</v>
      </c>
      <c r="AJ102" s="1995">
        <f t="shared" si="86"/>
        <v>6.4296174263225328E-2</v>
      </c>
      <c r="AK102" s="1984">
        <v>22139</v>
      </c>
      <c r="AL102" s="1985">
        <v>1331</v>
      </c>
      <c r="AM102" s="1995">
        <f t="shared" si="87"/>
        <v>6.0120149961606216E-2</v>
      </c>
      <c r="AN102" s="2005">
        <v>22195</v>
      </c>
      <c r="AO102" s="2006">
        <v>1166</v>
      </c>
      <c r="AP102" s="1967">
        <f t="shared" si="88"/>
        <v>5.2534354584365846E-2</v>
      </c>
      <c r="AQ102" s="2005">
        <v>22340</v>
      </c>
      <c r="AR102" s="1119">
        <v>1088</v>
      </c>
      <c r="AS102" s="1967">
        <f t="shared" si="89"/>
        <v>4.8701880035810205E-2</v>
      </c>
      <c r="AT102" s="2011">
        <v>24106</v>
      </c>
      <c r="AU102" s="2012">
        <v>1031</v>
      </c>
      <c r="AV102" s="1995">
        <f t="shared" si="90"/>
        <v>4.2769434995436818E-2</v>
      </c>
      <c r="AW102" s="2005">
        <v>24613</v>
      </c>
      <c r="AX102" s="2015">
        <v>909</v>
      </c>
      <c r="AY102" s="1995">
        <f t="shared" si="91"/>
        <v>3.6931702758704749E-2</v>
      </c>
      <c r="AZ102" s="2005">
        <v>24830</v>
      </c>
      <c r="BA102" s="2015">
        <v>831</v>
      </c>
      <c r="BB102" s="1995">
        <f t="shared" si="92"/>
        <v>3.3467579540877972E-2</v>
      </c>
      <c r="BC102" s="1999">
        <v>25558</v>
      </c>
      <c r="BD102" s="1251">
        <v>791</v>
      </c>
      <c r="BE102" s="1247">
        <f t="shared" si="93"/>
        <v>3.0949213553486187E-2</v>
      </c>
      <c r="BF102" s="1999">
        <v>26014</v>
      </c>
      <c r="BG102" s="1251">
        <v>662</v>
      </c>
      <c r="BH102" s="1247">
        <f t="shared" si="94"/>
        <v>2.5447835780733452E-2</v>
      </c>
    </row>
    <row r="103" spans="1:60" ht="12.75" customHeight="1" x14ac:dyDescent="0.3">
      <c r="A103" s="364" t="s">
        <v>54</v>
      </c>
      <c r="B103" s="366" t="s">
        <v>55</v>
      </c>
      <c r="C103" s="186" t="s">
        <v>252</v>
      </c>
      <c r="D103" s="1975">
        <v>97374</v>
      </c>
      <c r="E103" s="1976">
        <v>2213</v>
      </c>
      <c r="F103" s="1977">
        <f t="shared" si="76"/>
        <v>2.2726805923552487E-2</v>
      </c>
      <c r="G103" s="1988">
        <v>100735</v>
      </c>
      <c r="H103" s="1989">
        <v>2954</v>
      </c>
      <c r="I103" s="1964">
        <f t="shared" si="77"/>
        <v>2.9324465180920235E-2</v>
      </c>
      <c r="J103" s="1988">
        <v>103859</v>
      </c>
      <c r="K103" s="1989">
        <v>3817</v>
      </c>
      <c r="L103" s="1995">
        <f t="shared" si="78"/>
        <v>3.6751749968707573E-2</v>
      </c>
      <c r="M103" s="1988">
        <v>106494</v>
      </c>
      <c r="N103" s="1989">
        <v>4092</v>
      </c>
      <c r="O103" s="1995">
        <f t="shared" si="79"/>
        <v>3.8424699983097638E-2</v>
      </c>
      <c r="P103" s="1988">
        <v>109364</v>
      </c>
      <c r="Q103" s="1989">
        <v>3979</v>
      </c>
      <c r="R103" s="1995">
        <f t="shared" si="80"/>
        <v>3.6383087670531437E-2</v>
      </c>
      <c r="S103" s="1988">
        <v>112386</v>
      </c>
      <c r="T103" s="1989">
        <v>3998</v>
      </c>
      <c r="U103" s="1995">
        <f t="shared" si="81"/>
        <v>3.5573825921378109E-2</v>
      </c>
      <c r="V103" s="1988">
        <v>114347</v>
      </c>
      <c r="W103" s="1989">
        <v>3682</v>
      </c>
      <c r="X103" s="1995">
        <f t="shared" si="82"/>
        <v>3.2200232625254704E-2</v>
      </c>
      <c r="Y103" s="1988">
        <v>113782</v>
      </c>
      <c r="Z103" s="1989">
        <v>3453</v>
      </c>
      <c r="AA103" s="1995">
        <f t="shared" si="83"/>
        <v>3.0347506635495947E-2</v>
      </c>
      <c r="AB103" s="1988">
        <v>116711</v>
      </c>
      <c r="AC103" s="1989">
        <v>4502</v>
      </c>
      <c r="AD103" s="1995">
        <f t="shared" si="84"/>
        <v>3.8573913341501655E-2</v>
      </c>
      <c r="AE103" s="1988">
        <v>115252</v>
      </c>
      <c r="AF103" s="1989">
        <v>7617</v>
      </c>
      <c r="AG103" s="1995">
        <f t="shared" si="85"/>
        <v>6.6089959393329401E-2</v>
      </c>
      <c r="AH103" s="1988">
        <v>115555</v>
      </c>
      <c r="AI103" s="1989">
        <v>8118</v>
      </c>
      <c r="AJ103" s="1995">
        <f t="shared" si="86"/>
        <v>7.0252260828177052E-2</v>
      </c>
      <c r="AK103" s="1984">
        <v>117732</v>
      </c>
      <c r="AL103" s="1985">
        <v>7796</v>
      </c>
      <c r="AM103" s="1995">
        <f t="shared" si="87"/>
        <v>6.6218190466483196E-2</v>
      </c>
      <c r="AN103" s="2005">
        <v>118578</v>
      </c>
      <c r="AO103" s="2006">
        <v>7196</v>
      </c>
      <c r="AP103" s="1967">
        <f t="shared" si="88"/>
        <v>6.0685793317478788E-2</v>
      </c>
      <c r="AQ103" s="2005">
        <v>119244</v>
      </c>
      <c r="AR103" s="1119">
        <v>6746</v>
      </c>
      <c r="AS103" s="1967">
        <f t="shared" si="89"/>
        <v>5.6573077052094863E-2</v>
      </c>
      <c r="AT103" s="2011">
        <v>116496</v>
      </c>
      <c r="AU103" s="2012">
        <v>6134</v>
      </c>
      <c r="AV103" s="1995">
        <f t="shared" si="90"/>
        <v>5.2654168383463811E-2</v>
      </c>
      <c r="AW103" s="2005">
        <v>116597</v>
      </c>
      <c r="AX103" s="2015">
        <v>5302</v>
      </c>
      <c r="AY103" s="1995">
        <f t="shared" si="91"/>
        <v>4.5472868084084496E-2</v>
      </c>
      <c r="AZ103" s="2005">
        <v>116459</v>
      </c>
      <c r="BA103" s="2015">
        <v>4973</v>
      </c>
      <c r="BB103" s="1995">
        <f t="shared" si="92"/>
        <v>4.2701723353283129E-2</v>
      </c>
      <c r="BC103" s="1999">
        <v>119577</v>
      </c>
      <c r="BD103" s="1251">
        <v>4624</v>
      </c>
      <c r="BE103" s="1247">
        <f t="shared" si="93"/>
        <v>3.8669643827826422E-2</v>
      </c>
      <c r="BF103" s="1999">
        <v>121125</v>
      </c>
      <c r="BG103" s="1251">
        <v>3685</v>
      </c>
      <c r="BH103" s="1247">
        <f t="shared" si="94"/>
        <v>3.0423116615067081E-2</v>
      </c>
    </row>
    <row r="104" spans="1:60" ht="12.75" customHeight="1" x14ac:dyDescent="0.3">
      <c r="A104" s="364" t="s">
        <v>66</v>
      </c>
      <c r="B104" s="366" t="s">
        <v>67</v>
      </c>
      <c r="C104" s="186" t="s">
        <v>253</v>
      </c>
      <c r="D104" s="1975">
        <v>21255</v>
      </c>
      <c r="E104" s="1976">
        <v>926</v>
      </c>
      <c r="F104" s="1977">
        <f t="shared" si="76"/>
        <v>4.3566219713008704E-2</v>
      </c>
      <c r="G104" s="1988">
        <v>21357</v>
      </c>
      <c r="H104" s="1989">
        <v>1485</v>
      </c>
      <c r="I104" s="1964">
        <f t="shared" si="77"/>
        <v>6.9532237673830599E-2</v>
      </c>
      <c r="J104" s="1988">
        <v>21787</v>
      </c>
      <c r="K104" s="1989">
        <v>1873</v>
      </c>
      <c r="L104" s="1995">
        <f t="shared" si="78"/>
        <v>8.5968696929361543E-2</v>
      </c>
      <c r="M104" s="1988">
        <v>22026</v>
      </c>
      <c r="N104" s="1989">
        <v>2078</v>
      </c>
      <c r="O104" s="1995">
        <f t="shared" si="79"/>
        <v>9.4343049123762832E-2</v>
      </c>
      <c r="P104" s="1988">
        <v>21143</v>
      </c>
      <c r="Q104" s="1989">
        <v>1945</v>
      </c>
      <c r="R104" s="1995">
        <f t="shared" si="80"/>
        <v>9.1992621671475192E-2</v>
      </c>
      <c r="S104" s="1988">
        <v>21029</v>
      </c>
      <c r="T104" s="1989">
        <v>2105</v>
      </c>
      <c r="U104" s="1995">
        <f t="shared" si="81"/>
        <v>0.10009986209520186</v>
      </c>
      <c r="V104" s="1988">
        <v>20179</v>
      </c>
      <c r="W104" s="1989">
        <v>1742</v>
      </c>
      <c r="X104" s="1995">
        <f t="shared" si="82"/>
        <v>8.6327370038158477E-2</v>
      </c>
      <c r="Y104" s="1988">
        <v>19617</v>
      </c>
      <c r="Z104" s="1989">
        <v>1461</v>
      </c>
      <c r="AA104" s="1995">
        <f t="shared" si="83"/>
        <v>7.447621960544426E-2</v>
      </c>
      <c r="AB104" s="1988">
        <v>20187</v>
      </c>
      <c r="AC104" s="1989">
        <v>1867</v>
      </c>
      <c r="AD104" s="1995">
        <f t="shared" si="84"/>
        <v>9.2485262792886505E-2</v>
      </c>
      <c r="AE104" s="1988">
        <v>20217</v>
      </c>
      <c r="AF104" s="1989">
        <v>2826</v>
      </c>
      <c r="AG104" s="1995">
        <f t="shared" si="85"/>
        <v>0.13978335064549635</v>
      </c>
      <c r="AH104" s="1988">
        <v>19081</v>
      </c>
      <c r="AI104" s="1989">
        <v>2610</v>
      </c>
      <c r="AJ104" s="1995">
        <f t="shared" si="86"/>
        <v>0.13678528379015775</v>
      </c>
      <c r="AK104" s="1984">
        <v>19371</v>
      </c>
      <c r="AL104" s="1985">
        <v>2291</v>
      </c>
      <c r="AM104" s="1995">
        <f t="shared" si="87"/>
        <v>0.11826957823550668</v>
      </c>
      <c r="AN104" s="2005">
        <v>19059</v>
      </c>
      <c r="AO104" s="2006">
        <v>1960</v>
      </c>
      <c r="AP104" s="1967">
        <f t="shared" si="88"/>
        <v>0.10283855396400651</v>
      </c>
      <c r="AQ104" s="2005">
        <v>18867</v>
      </c>
      <c r="AR104" s="1119">
        <v>1799</v>
      </c>
      <c r="AS104" s="1967">
        <f t="shared" si="89"/>
        <v>9.5351672231939369E-2</v>
      </c>
      <c r="AT104" s="2011">
        <v>19714</v>
      </c>
      <c r="AU104" s="2012">
        <v>1710</v>
      </c>
      <c r="AV104" s="1995">
        <f t="shared" si="90"/>
        <v>8.6740387541848429E-2</v>
      </c>
      <c r="AW104" s="2005">
        <v>19010</v>
      </c>
      <c r="AX104" s="2015">
        <v>1393</v>
      </c>
      <c r="AY104" s="1995">
        <f t="shared" si="91"/>
        <v>7.327722251446607E-2</v>
      </c>
      <c r="AZ104" s="2005">
        <v>19036</v>
      </c>
      <c r="BA104" s="2015">
        <v>1144</v>
      </c>
      <c r="BB104" s="1995">
        <f t="shared" si="92"/>
        <v>6.0096658961966802E-2</v>
      </c>
      <c r="BC104" s="1999">
        <v>19140</v>
      </c>
      <c r="BD104" s="1251">
        <v>1151</v>
      </c>
      <c r="BE104" s="1247">
        <f t="shared" si="93"/>
        <v>6.0135841170323931E-2</v>
      </c>
      <c r="BF104" s="1999">
        <v>19579</v>
      </c>
      <c r="BG104" s="1251">
        <v>989</v>
      </c>
      <c r="BH104" s="1247">
        <f t="shared" si="94"/>
        <v>5.0513305071760557E-2</v>
      </c>
    </row>
    <row r="105" spans="1:60" ht="12.75" customHeight="1" x14ac:dyDescent="0.3">
      <c r="A105" s="364" t="s">
        <v>82</v>
      </c>
      <c r="B105" s="366" t="s">
        <v>299</v>
      </c>
      <c r="C105" s="186" t="s">
        <v>252</v>
      </c>
      <c r="D105" s="1975">
        <v>3548</v>
      </c>
      <c r="E105" s="1976">
        <v>112</v>
      </c>
      <c r="F105" s="1977">
        <f t="shared" si="76"/>
        <v>3.1567080045095827E-2</v>
      </c>
      <c r="G105" s="1988">
        <v>3534</v>
      </c>
      <c r="H105" s="1989">
        <v>154</v>
      </c>
      <c r="I105" s="1964">
        <f t="shared" si="77"/>
        <v>4.3576683644595361E-2</v>
      </c>
      <c r="J105" s="1988">
        <v>3551</v>
      </c>
      <c r="K105" s="1989">
        <v>170</v>
      </c>
      <c r="L105" s="1995">
        <f t="shared" si="78"/>
        <v>4.7873838355392849E-2</v>
      </c>
      <c r="M105" s="1988">
        <v>3714</v>
      </c>
      <c r="N105" s="1989">
        <v>181</v>
      </c>
      <c r="O105" s="1995">
        <f t="shared" si="79"/>
        <v>4.8734518039849219E-2</v>
      </c>
      <c r="P105" s="1988">
        <v>3701</v>
      </c>
      <c r="Q105" s="1989">
        <v>182</v>
      </c>
      <c r="R105" s="1995">
        <f t="shared" si="80"/>
        <v>4.9175898405836263E-2</v>
      </c>
      <c r="S105" s="1988">
        <v>3747</v>
      </c>
      <c r="T105" s="1989">
        <v>192</v>
      </c>
      <c r="U105" s="1995">
        <f t="shared" si="81"/>
        <v>5.1240992794235385E-2</v>
      </c>
      <c r="V105" s="1988">
        <v>3801</v>
      </c>
      <c r="W105" s="1989">
        <v>178</v>
      </c>
      <c r="X105" s="1995">
        <f t="shared" si="82"/>
        <v>4.6829781636411473E-2</v>
      </c>
      <c r="Y105" s="1988">
        <v>3905</v>
      </c>
      <c r="Z105" s="1989">
        <v>181</v>
      </c>
      <c r="AA105" s="1995">
        <f t="shared" si="83"/>
        <v>4.6350832266325227E-2</v>
      </c>
      <c r="AB105" s="1988">
        <v>3956</v>
      </c>
      <c r="AC105" s="1989">
        <v>248</v>
      </c>
      <c r="AD105" s="1995">
        <f t="shared" si="84"/>
        <v>6.2689585439838214E-2</v>
      </c>
      <c r="AE105" s="1988">
        <v>3962</v>
      </c>
      <c r="AF105" s="1989">
        <v>415</v>
      </c>
      <c r="AG105" s="1995">
        <f t="shared" si="85"/>
        <v>0.10474507824331146</v>
      </c>
      <c r="AH105" s="1988">
        <v>3791</v>
      </c>
      <c r="AI105" s="1989">
        <v>434</v>
      </c>
      <c r="AJ105" s="1995">
        <f t="shared" si="86"/>
        <v>0.11448166710630441</v>
      </c>
      <c r="AK105" s="1984">
        <v>3807</v>
      </c>
      <c r="AL105" s="1985">
        <v>403</v>
      </c>
      <c r="AM105" s="1995">
        <f t="shared" si="87"/>
        <v>0.10585763068032572</v>
      </c>
      <c r="AN105" s="2005">
        <v>3774</v>
      </c>
      <c r="AO105" s="2006">
        <v>359</v>
      </c>
      <c r="AP105" s="1967">
        <f t="shared" si="88"/>
        <v>9.5124536301006896E-2</v>
      </c>
      <c r="AQ105" s="2005">
        <v>3652</v>
      </c>
      <c r="AR105" s="1119">
        <v>315</v>
      </c>
      <c r="AS105" s="1967">
        <f t="shared" si="89"/>
        <v>8.6254107338444685E-2</v>
      </c>
      <c r="AT105" s="2011">
        <v>3620</v>
      </c>
      <c r="AU105" s="2012">
        <v>286</v>
      </c>
      <c r="AV105" s="1995">
        <f t="shared" si="90"/>
        <v>7.9005524861878451E-2</v>
      </c>
      <c r="AW105" s="2005">
        <v>3638</v>
      </c>
      <c r="AX105" s="2015">
        <v>245</v>
      </c>
      <c r="AY105" s="1995">
        <f t="shared" si="91"/>
        <v>6.7344694887300716E-2</v>
      </c>
      <c r="AZ105" s="2005">
        <v>3547</v>
      </c>
      <c r="BA105" s="2015">
        <v>211</v>
      </c>
      <c r="BB105" s="1995">
        <f t="shared" si="92"/>
        <v>5.9486890329856219E-2</v>
      </c>
      <c r="BC105" s="1999">
        <v>3484</v>
      </c>
      <c r="BD105" s="1251">
        <v>193</v>
      </c>
      <c r="BE105" s="1247">
        <f t="shared" si="93"/>
        <v>5.539609644087256E-2</v>
      </c>
      <c r="BF105" s="1999">
        <v>3587</v>
      </c>
      <c r="BG105" s="1251">
        <v>157</v>
      </c>
      <c r="BH105" s="1247">
        <f t="shared" si="94"/>
        <v>4.3769166434346252E-2</v>
      </c>
    </row>
    <row r="106" spans="1:60" ht="12.75" customHeight="1" x14ac:dyDescent="0.3">
      <c r="A106" s="364" t="s">
        <v>88</v>
      </c>
      <c r="B106" s="366" t="s">
        <v>89</v>
      </c>
      <c r="C106" s="186" t="s">
        <v>255</v>
      </c>
      <c r="D106" s="1975">
        <v>10262</v>
      </c>
      <c r="E106" s="1976">
        <v>235</v>
      </c>
      <c r="F106" s="1977">
        <f t="shared" si="76"/>
        <v>2.2900019489378289E-2</v>
      </c>
      <c r="G106" s="1988">
        <v>10536</v>
      </c>
      <c r="H106" s="1989">
        <v>375</v>
      </c>
      <c r="I106" s="1964">
        <f t="shared" si="77"/>
        <v>3.5592255125284737E-2</v>
      </c>
      <c r="J106" s="1988">
        <v>10762</v>
      </c>
      <c r="K106" s="1989">
        <v>583</v>
      </c>
      <c r="L106" s="1995">
        <f t="shared" si="78"/>
        <v>5.4172086972681659E-2</v>
      </c>
      <c r="M106" s="1988">
        <v>10736</v>
      </c>
      <c r="N106" s="1989">
        <v>561</v>
      </c>
      <c r="O106" s="1995">
        <f t="shared" si="79"/>
        <v>5.225409836065574E-2</v>
      </c>
      <c r="P106" s="1988">
        <v>11223</v>
      </c>
      <c r="Q106" s="1989">
        <v>533</v>
      </c>
      <c r="R106" s="1995">
        <f t="shared" si="80"/>
        <v>4.7491757996970509E-2</v>
      </c>
      <c r="S106" s="1988">
        <v>11294</v>
      </c>
      <c r="T106" s="1989">
        <v>498</v>
      </c>
      <c r="U106" s="1995">
        <f t="shared" si="81"/>
        <v>4.409420931468036E-2</v>
      </c>
      <c r="V106" s="1988">
        <v>11658</v>
      </c>
      <c r="W106" s="1989">
        <v>458</v>
      </c>
      <c r="X106" s="1995">
        <f t="shared" si="82"/>
        <v>3.9286326985760851E-2</v>
      </c>
      <c r="Y106" s="1988">
        <v>12370</v>
      </c>
      <c r="Z106" s="1989">
        <v>559</v>
      </c>
      <c r="AA106" s="1995">
        <f t="shared" si="83"/>
        <v>4.5189975747776882E-2</v>
      </c>
      <c r="AB106" s="1988">
        <v>12981</v>
      </c>
      <c r="AC106" s="1989">
        <v>785</v>
      </c>
      <c r="AD106" s="1995">
        <f t="shared" si="84"/>
        <v>6.0472998998536323E-2</v>
      </c>
      <c r="AE106" s="1988">
        <v>13035</v>
      </c>
      <c r="AF106" s="1989">
        <v>1265</v>
      </c>
      <c r="AG106" s="1995">
        <f t="shared" si="85"/>
        <v>9.7046413502109699E-2</v>
      </c>
      <c r="AH106" s="1988">
        <v>13159</v>
      </c>
      <c r="AI106" s="1989">
        <v>951</v>
      </c>
      <c r="AJ106" s="1995">
        <f t="shared" si="86"/>
        <v>7.2269929325936622E-2</v>
      </c>
      <c r="AK106" s="1984">
        <v>13876</v>
      </c>
      <c r="AL106" s="1985">
        <v>914</v>
      </c>
      <c r="AM106" s="1995">
        <f t="shared" si="87"/>
        <v>6.5869126549437884E-2</v>
      </c>
      <c r="AN106" s="2005">
        <v>14539</v>
      </c>
      <c r="AO106" s="2006">
        <v>849</v>
      </c>
      <c r="AP106" s="1967">
        <f t="shared" si="88"/>
        <v>5.8394662631542749E-2</v>
      </c>
      <c r="AQ106" s="2005">
        <v>14629</v>
      </c>
      <c r="AR106" s="1119">
        <v>813</v>
      </c>
      <c r="AS106" s="1967">
        <f t="shared" si="89"/>
        <v>5.5574543714539612E-2</v>
      </c>
      <c r="AT106" s="2011">
        <v>13814</v>
      </c>
      <c r="AU106" s="2012">
        <v>827</v>
      </c>
      <c r="AV106" s="1995">
        <f t="shared" si="90"/>
        <v>5.9866801795280151E-2</v>
      </c>
      <c r="AW106" s="2005">
        <v>13679</v>
      </c>
      <c r="AX106" s="2015">
        <v>727</v>
      </c>
      <c r="AY106" s="1995">
        <f t="shared" si="91"/>
        <v>5.3147159880108194E-2</v>
      </c>
      <c r="AZ106" s="2005">
        <v>13530</v>
      </c>
      <c r="BA106" s="2015">
        <v>639</v>
      </c>
      <c r="BB106" s="1995">
        <f t="shared" si="92"/>
        <v>4.7228381374722836E-2</v>
      </c>
      <c r="BC106" s="1999">
        <v>13823</v>
      </c>
      <c r="BD106" s="1251">
        <v>601</v>
      </c>
      <c r="BE106" s="1247">
        <f t="shared" si="93"/>
        <v>4.3478260869565216E-2</v>
      </c>
      <c r="BF106" s="1999">
        <v>13690</v>
      </c>
      <c r="BG106" s="1251">
        <v>476</v>
      </c>
      <c r="BH106" s="1247">
        <f t="shared" si="94"/>
        <v>3.4769905040175311E-2</v>
      </c>
    </row>
    <row r="107" spans="1:60" ht="12.75" customHeight="1" x14ac:dyDescent="0.3">
      <c r="A107" s="364" t="s">
        <v>90</v>
      </c>
      <c r="B107" s="366" t="s">
        <v>91</v>
      </c>
      <c r="C107" s="186" t="s">
        <v>256</v>
      </c>
      <c r="D107" s="1975">
        <v>3285</v>
      </c>
      <c r="E107" s="1976">
        <v>114</v>
      </c>
      <c r="F107" s="1977">
        <f t="shared" si="76"/>
        <v>3.4703196347031964E-2</v>
      </c>
      <c r="G107" s="1988">
        <v>3173</v>
      </c>
      <c r="H107" s="1989">
        <v>191</v>
      </c>
      <c r="I107" s="1964">
        <f t="shared" si="77"/>
        <v>6.019539867633155E-2</v>
      </c>
      <c r="J107" s="1988">
        <v>3284</v>
      </c>
      <c r="K107" s="1989">
        <v>263</v>
      </c>
      <c r="L107" s="1995">
        <f t="shared" si="78"/>
        <v>8.008526187576126E-2</v>
      </c>
      <c r="M107" s="1988">
        <v>3307</v>
      </c>
      <c r="N107" s="1989">
        <v>211</v>
      </c>
      <c r="O107" s="1995">
        <f t="shared" si="79"/>
        <v>6.3804052010886E-2</v>
      </c>
      <c r="P107" s="1988">
        <v>3188</v>
      </c>
      <c r="Q107" s="1989">
        <v>176</v>
      </c>
      <c r="R107" s="1995">
        <f t="shared" si="80"/>
        <v>5.520702634880803E-2</v>
      </c>
      <c r="S107" s="1988">
        <v>3129</v>
      </c>
      <c r="T107" s="1989">
        <v>159</v>
      </c>
      <c r="U107" s="1995">
        <f t="shared" si="81"/>
        <v>5.0814956855225309E-2</v>
      </c>
      <c r="V107" s="1988">
        <v>3037</v>
      </c>
      <c r="W107" s="1989">
        <v>183</v>
      </c>
      <c r="X107" s="1995">
        <f t="shared" si="82"/>
        <v>6.025683240039513E-2</v>
      </c>
      <c r="Y107" s="1988">
        <v>3110</v>
      </c>
      <c r="Z107" s="1989">
        <v>177</v>
      </c>
      <c r="AA107" s="1995">
        <f t="shared" si="83"/>
        <v>5.6913183279742763E-2</v>
      </c>
      <c r="AB107" s="1988">
        <v>3134</v>
      </c>
      <c r="AC107" s="1989">
        <v>192</v>
      </c>
      <c r="AD107" s="1995">
        <f t="shared" si="84"/>
        <v>6.1263560944479899E-2</v>
      </c>
      <c r="AE107" s="1988">
        <v>3247</v>
      </c>
      <c r="AF107" s="1989">
        <v>326</v>
      </c>
      <c r="AG107" s="1995">
        <f t="shared" si="85"/>
        <v>0.10040036957191253</v>
      </c>
      <c r="AH107" s="1988">
        <v>3201</v>
      </c>
      <c r="AI107" s="1989">
        <v>356</v>
      </c>
      <c r="AJ107" s="1995">
        <f t="shared" si="86"/>
        <v>0.11121524523586379</v>
      </c>
      <c r="AK107" s="1984">
        <v>3160</v>
      </c>
      <c r="AL107" s="1985">
        <v>319</v>
      </c>
      <c r="AM107" s="1995">
        <f t="shared" si="87"/>
        <v>0.10094936708860759</v>
      </c>
      <c r="AN107" s="2005">
        <v>2984</v>
      </c>
      <c r="AO107" s="2006">
        <v>260</v>
      </c>
      <c r="AP107" s="1967">
        <f t="shared" si="88"/>
        <v>8.7131367292225204E-2</v>
      </c>
      <c r="AQ107" s="2005">
        <v>3008</v>
      </c>
      <c r="AR107" s="1119">
        <v>257</v>
      </c>
      <c r="AS107" s="1967">
        <f t="shared" si="89"/>
        <v>8.5438829787234036E-2</v>
      </c>
      <c r="AT107" s="2011">
        <v>2998</v>
      </c>
      <c r="AU107" s="2012">
        <v>216</v>
      </c>
      <c r="AV107" s="1995">
        <f t="shared" si="90"/>
        <v>7.2048032021347561E-2</v>
      </c>
      <c r="AW107" s="2005">
        <v>2966</v>
      </c>
      <c r="AX107" s="2015">
        <v>163</v>
      </c>
      <c r="AY107" s="1995">
        <f t="shared" si="91"/>
        <v>5.4956169925826026E-2</v>
      </c>
      <c r="AZ107" s="2005">
        <v>2905</v>
      </c>
      <c r="BA107" s="2015">
        <v>145</v>
      </c>
      <c r="BB107" s="1995">
        <f t="shared" si="92"/>
        <v>4.9913941480206538E-2</v>
      </c>
      <c r="BC107" s="1999">
        <v>2879</v>
      </c>
      <c r="BD107" s="1251">
        <v>130</v>
      </c>
      <c r="BE107" s="1247">
        <f t="shared" si="93"/>
        <v>4.5154567558179926E-2</v>
      </c>
      <c r="BF107" s="1999">
        <v>2946</v>
      </c>
      <c r="BG107" s="1251">
        <v>102</v>
      </c>
      <c r="BH107" s="1247">
        <f t="shared" si="94"/>
        <v>3.4623217922606926E-2</v>
      </c>
    </row>
    <row r="108" spans="1:60" ht="12.75" customHeight="1" x14ac:dyDescent="0.3">
      <c r="A108" s="364" t="s">
        <v>106</v>
      </c>
      <c r="B108" s="366" t="s">
        <v>107</v>
      </c>
      <c r="C108" s="186" t="s">
        <v>252</v>
      </c>
      <c r="D108" s="1975">
        <v>63944</v>
      </c>
      <c r="E108" s="1976">
        <v>1719</v>
      </c>
      <c r="F108" s="1977">
        <f t="shared" si="76"/>
        <v>2.6882897535343425E-2</v>
      </c>
      <c r="G108" s="1988">
        <v>64715</v>
      </c>
      <c r="H108" s="1989">
        <v>2256</v>
      </c>
      <c r="I108" s="1964">
        <f t="shared" si="77"/>
        <v>3.4860542378119447E-2</v>
      </c>
      <c r="J108" s="1988">
        <v>66173</v>
      </c>
      <c r="K108" s="1989">
        <v>3200</v>
      </c>
      <c r="L108" s="1995">
        <f t="shared" si="78"/>
        <v>4.8358091668807522E-2</v>
      </c>
      <c r="M108" s="1988">
        <v>66580</v>
      </c>
      <c r="N108" s="1989">
        <v>3249</v>
      </c>
      <c r="O108" s="1995">
        <f t="shared" si="79"/>
        <v>4.8798437969360169E-2</v>
      </c>
      <c r="P108" s="1988">
        <v>66478</v>
      </c>
      <c r="Q108" s="1989">
        <v>3093</v>
      </c>
      <c r="R108" s="1995">
        <f t="shared" si="80"/>
        <v>4.6526670477451189E-2</v>
      </c>
      <c r="S108" s="1988">
        <v>67176</v>
      </c>
      <c r="T108" s="1989">
        <v>2986</v>
      </c>
      <c r="U108" s="1995">
        <f t="shared" si="81"/>
        <v>4.445039895200667E-2</v>
      </c>
      <c r="V108" s="1988">
        <v>67228</v>
      </c>
      <c r="W108" s="1989">
        <v>2465</v>
      </c>
      <c r="X108" s="1995">
        <f t="shared" si="82"/>
        <v>3.666627000654489E-2</v>
      </c>
      <c r="Y108" s="1988">
        <v>68162</v>
      </c>
      <c r="Z108" s="1989">
        <v>2446</v>
      </c>
      <c r="AA108" s="1995">
        <f t="shared" si="83"/>
        <v>3.5885097268272645E-2</v>
      </c>
      <c r="AB108" s="1988">
        <v>69343</v>
      </c>
      <c r="AC108" s="1989">
        <v>3294</v>
      </c>
      <c r="AD108" s="1995">
        <f t="shared" si="84"/>
        <v>4.750299237125593E-2</v>
      </c>
      <c r="AE108" s="1988">
        <v>67532</v>
      </c>
      <c r="AF108" s="1989">
        <v>5481</v>
      </c>
      <c r="AG108" s="1995">
        <f t="shared" si="85"/>
        <v>8.1161523425931414E-2</v>
      </c>
      <c r="AH108" s="1988">
        <v>64391</v>
      </c>
      <c r="AI108" s="1989">
        <v>5672</v>
      </c>
      <c r="AJ108" s="1995">
        <f t="shared" si="86"/>
        <v>8.8086844434781264E-2</v>
      </c>
      <c r="AK108" s="1984">
        <v>64312</v>
      </c>
      <c r="AL108" s="1985">
        <v>5524</v>
      </c>
      <c r="AM108" s="1995">
        <f t="shared" si="87"/>
        <v>8.5893767881577307E-2</v>
      </c>
      <c r="AN108" s="2005">
        <v>63788</v>
      </c>
      <c r="AO108" s="2006">
        <v>4931</v>
      </c>
      <c r="AP108" s="1967">
        <f t="shared" si="88"/>
        <v>7.730294099203612E-2</v>
      </c>
      <c r="AQ108" s="2005">
        <v>63893</v>
      </c>
      <c r="AR108" s="1119">
        <v>4447</v>
      </c>
      <c r="AS108" s="1967">
        <f t="shared" si="89"/>
        <v>6.9600738735072706E-2</v>
      </c>
      <c r="AT108" s="2011">
        <v>65819</v>
      </c>
      <c r="AU108" s="2012">
        <v>4406</v>
      </c>
      <c r="AV108" s="1995">
        <f t="shared" si="90"/>
        <v>6.6941156808824204E-2</v>
      </c>
      <c r="AW108" s="2005">
        <v>65159</v>
      </c>
      <c r="AX108" s="2015">
        <v>3891</v>
      </c>
      <c r="AY108" s="1995">
        <f t="shared" si="91"/>
        <v>5.9715465246550747E-2</v>
      </c>
      <c r="AZ108" s="2005">
        <v>64276</v>
      </c>
      <c r="BA108" s="2015">
        <v>3614</v>
      </c>
      <c r="BB108" s="1995">
        <f t="shared" si="92"/>
        <v>5.6226274192544654E-2</v>
      </c>
      <c r="BC108" s="1999">
        <v>64727</v>
      </c>
      <c r="BD108" s="1251">
        <v>3292</v>
      </c>
      <c r="BE108" s="1247">
        <f t="shared" si="93"/>
        <v>5.0859764858559794E-2</v>
      </c>
      <c r="BF108" s="1999">
        <v>64378</v>
      </c>
      <c r="BG108" s="1251">
        <v>2596</v>
      </c>
      <c r="BH108" s="1247">
        <f t="shared" si="94"/>
        <v>4.0324334399950292E-2</v>
      </c>
    </row>
    <row r="109" spans="1:60" ht="12.75" customHeight="1" x14ac:dyDescent="0.3">
      <c r="A109" s="364" t="s">
        <v>116</v>
      </c>
      <c r="B109" s="366" t="s">
        <v>117</v>
      </c>
      <c r="C109" s="186" t="s">
        <v>254</v>
      </c>
      <c r="D109" s="1975">
        <v>9813</v>
      </c>
      <c r="E109" s="1976">
        <v>278</v>
      </c>
      <c r="F109" s="1977">
        <f t="shared" si="76"/>
        <v>2.8329766636094975E-2</v>
      </c>
      <c r="G109" s="1988">
        <v>9933</v>
      </c>
      <c r="H109" s="1989">
        <v>460</v>
      </c>
      <c r="I109" s="1964">
        <f t="shared" si="77"/>
        <v>4.6310278868418403E-2</v>
      </c>
      <c r="J109" s="1988">
        <v>10155</v>
      </c>
      <c r="K109" s="1989">
        <v>625</v>
      </c>
      <c r="L109" s="1995">
        <f t="shared" si="78"/>
        <v>6.1546036435253568E-2</v>
      </c>
      <c r="M109" s="1988">
        <v>10150</v>
      </c>
      <c r="N109" s="1989">
        <v>641</v>
      </c>
      <c r="O109" s="1995">
        <f t="shared" si="79"/>
        <v>6.3152709359605916E-2</v>
      </c>
      <c r="P109" s="1988">
        <v>10175</v>
      </c>
      <c r="Q109" s="1989">
        <v>558</v>
      </c>
      <c r="R109" s="1995">
        <f t="shared" si="80"/>
        <v>5.4840294840294838E-2</v>
      </c>
      <c r="S109" s="1988">
        <v>10338</v>
      </c>
      <c r="T109" s="1989">
        <v>587</v>
      </c>
      <c r="U109" s="1995">
        <f t="shared" si="81"/>
        <v>5.6780808667053588E-2</v>
      </c>
      <c r="V109" s="1988">
        <v>10304</v>
      </c>
      <c r="W109" s="1989">
        <v>476</v>
      </c>
      <c r="X109" s="1995">
        <f t="shared" si="82"/>
        <v>4.619565217391304E-2</v>
      </c>
      <c r="Y109" s="1988">
        <v>10387</v>
      </c>
      <c r="Z109" s="1989">
        <v>488</v>
      </c>
      <c r="AA109" s="1995">
        <f t="shared" si="83"/>
        <v>4.6981804178299801E-2</v>
      </c>
      <c r="AB109" s="1988">
        <v>10670</v>
      </c>
      <c r="AC109" s="1989">
        <v>638</v>
      </c>
      <c r="AD109" s="1995">
        <f t="shared" si="84"/>
        <v>5.9793814432989693E-2</v>
      </c>
      <c r="AE109" s="1988">
        <v>10600</v>
      </c>
      <c r="AF109" s="1989">
        <v>1145</v>
      </c>
      <c r="AG109" s="1995">
        <f t="shared" si="85"/>
        <v>0.10801886792452831</v>
      </c>
      <c r="AH109" s="1988">
        <v>10171</v>
      </c>
      <c r="AI109" s="1989">
        <v>1099</v>
      </c>
      <c r="AJ109" s="1995">
        <f t="shared" si="86"/>
        <v>0.10805230557467309</v>
      </c>
      <c r="AK109" s="1984">
        <v>10283</v>
      </c>
      <c r="AL109" s="1985">
        <v>1064</v>
      </c>
      <c r="AM109" s="1995">
        <f t="shared" si="87"/>
        <v>0.10347174948944861</v>
      </c>
      <c r="AN109" s="2005">
        <v>10032</v>
      </c>
      <c r="AO109" s="2006">
        <v>840</v>
      </c>
      <c r="AP109" s="1967">
        <f t="shared" si="88"/>
        <v>8.3732057416267949E-2</v>
      </c>
      <c r="AQ109" s="2005">
        <v>10176</v>
      </c>
      <c r="AR109" s="1119">
        <v>866</v>
      </c>
      <c r="AS109" s="1967">
        <f t="shared" si="89"/>
        <v>8.5102201257861637E-2</v>
      </c>
      <c r="AT109" s="2011">
        <v>9744</v>
      </c>
      <c r="AU109" s="2012">
        <v>844</v>
      </c>
      <c r="AV109" s="1995">
        <f t="shared" si="90"/>
        <v>8.661740558292283E-2</v>
      </c>
      <c r="AW109" s="2005">
        <v>9703</v>
      </c>
      <c r="AX109" s="2015">
        <v>729</v>
      </c>
      <c r="AY109" s="1995">
        <f t="shared" si="91"/>
        <v>7.5131402658971447E-2</v>
      </c>
      <c r="AZ109" s="2005">
        <v>9681</v>
      </c>
      <c r="BA109" s="2015">
        <v>629</v>
      </c>
      <c r="BB109" s="1995">
        <f t="shared" si="92"/>
        <v>6.4972626794752603E-2</v>
      </c>
      <c r="BC109" s="1999">
        <v>9931</v>
      </c>
      <c r="BD109" s="1251">
        <v>605</v>
      </c>
      <c r="BE109" s="1247">
        <f t="shared" si="93"/>
        <v>6.0920350417883393E-2</v>
      </c>
      <c r="BF109" s="1999">
        <v>9703</v>
      </c>
      <c r="BG109" s="1251">
        <v>463</v>
      </c>
      <c r="BH109" s="1247">
        <f t="shared" si="94"/>
        <v>4.7717200865711636E-2</v>
      </c>
    </row>
    <row r="110" spans="1:60" ht="12.75" customHeight="1" x14ac:dyDescent="0.3">
      <c r="A110" s="364" t="s">
        <v>138</v>
      </c>
      <c r="B110" s="366" t="s">
        <v>139</v>
      </c>
      <c r="C110" s="186" t="s">
        <v>253</v>
      </c>
      <c r="D110" s="1975">
        <v>30601</v>
      </c>
      <c r="E110" s="1976">
        <v>740</v>
      </c>
      <c r="F110" s="1977">
        <f t="shared" si="76"/>
        <v>2.4182216267442241E-2</v>
      </c>
      <c r="G110" s="1988">
        <v>29894</v>
      </c>
      <c r="H110" s="1989">
        <v>1236</v>
      </c>
      <c r="I110" s="1964">
        <f t="shared" si="77"/>
        <v>4.1346089516290895E-2</v>
      </c>
      <c r="J110" s="1988">
        <v>30473</v>
      </c>
      <c r="K110" s="1989">
        <v>1785</v>
      </c>
      <c r="L110" s="1995">
        <f t="shared" si="78"/>
        <v>5.8576444721556785E-2</v>
      </c>
      <c r="M110" s="1988">
        <v>31093</v>
      </c>
      <c r="N110" s="1989">
        <v>1734</v>
      </c>
      <c r="O110" s="1995">
        <f t="shared" si="79"/>
        <v>5.5768179332968834E-2</v>
      </c>
      <c r="P110" s="1988">
        <v>31075</v>
      </c>
      <c r="Q110" s="1989">
        <v>1558</v>
      </c>
      <c r="R110" s="1995">
        <f t="shared" si="80"/>
        <v>5.013676588897828E-2</v>
      </c>
      <c r="S110" s="1988">
        <v>31442</v>
      </c>
      <c r="T110" s="1989">
        <v>1417</v>
      </c>
      <c r="U110" s="1995">
        <f t="shared" si="81"/>
        <v>4.5067107690350487E-2</v>
      </c>
      <c r="V110" s="1988">
        <v>31962</v>
      </c>
      <c r="W110" s="1989">
        <v>1157</v>
      </c>
      <c r="X110" s="1995">
        <f t="shared" si="82"/>
        <v>3.6199236593454726E-2</v>
      </c>
      <c r="Y110" s="1988">
        <v>33448</v>
      </c>
      <c r="Z110" s="1989">
        <v>1263</v>
      </c>
      <c r="AA110" s="1995">
        <f t="shared" si="83"/>
        <v>3.7760105237981345E-2</v>
      </c>
      <c r="AB110" s="1988">
        <v>35169</v>
      </c>
      <c r="AC110" s="1989">
        <v>1683</v>
      </c>
      <c r="AD110" s="1995">
        <f t="shared" si="84"/>
        <v>4.7854644715516509E-2</v>
      </c>
      <c r="AE110" s="1988">
        <v>34966</v>
      </c>
      <c r="AF110" s="1989">
        <v>2922</v>
      </c>
      <c r="AG110" s="1995">
        <f t="shared" si="85"/>
        <v>8.356689355373792E-2</v>
      </c>
      <c r="AH110" s="1988">
        <v>34823</v>
      </c>
      <c r="AI110" s="1989">
        <v>2994</v>
      </c>
      <c r="AJ110" s="1995">
        <f t="shared" si="86"/>
        <v>8.5977658444131758E-2</v>
      </c>
      <c r="AK110" s="1984">
        <v>35019</v>
      </c>
      <c r="AL110" s="1985">
        <v>2838</v>
      </c>
      <c r="AM110" s="1995">
        <f t="shared" si="87"/>
        <v>8.1041720209029389E-2</v>
      </c>
      <c r="AN110" s="2005">
        <v>34797</v>
      </c>
      <c r="AO110" s="2006">
        <v>2608</v>
      </c>
      <c r="AP110" s="1967">
        <f t="shared" si="88"/>
        <v>7.4948989855447304E-2</v>
      </c>
      <c r="AQ110" s="2005">
        <v>34806</v>
      </c>
      <c r="AR110" s="1119">
        <v>2473</v>
      </c>
      <c r="AS110" s="1967">
        <f t="shared" si="89"/>
        <v>7.1050968223869443E-2</v>
      </c>
      <c r="AT110" s="2011">
        <v>35955</v>
      </c>
      <c r="AU110" s="2012">
        <v>2283</v>
      </c>
      <c r="AV110" s="1995">
        <f t="shared" si="90"/>
        <v>6.3496036712557366E-2</v>
      </c>
      <c r="AW110" s="2005">
        <v>35740</v>
      </c>
      <c r="AX110" s="2015">
        <v>1987</v>
      </c>
      <c r="AY110" s="1995">
        <f t="shared" si="91"/>
        <v>5.5595970900951315E-2</v>
      </c>
      <c r="AZ110" s="2005">
        <v>35374</v>
      </c>
      <c r="BA110" s="2015">
        <v>1825</v>
      </c>
      <c r="BB110" s="1995">
        <f t="shared" si="92"/>
        <v>5.1591564425849494E-2</v>
      </c>
      <c r="BC110" s="1999">
        <v>35820</v>
      </c>
      <c r="BD110" s="1251">
        <v>1777</v>
      </c>
      <c r="BE110" s="1247">
        <f t="shared" si="93"/>
        <v>4.9609156895589056E-2</v>
      </c>
      <c r="BF110" s="1999">
        <v>35927</v>
      </c>
      <c r="BG110" s="1251">
        <v>1437</v>
      </c>
      <c r="BH110" s="1247">
        <f t="shared" si="94"/>
        <v>3.9997773262448855E-2</v>
      </c>
    </row>
    <row r="111" spans="1:60" ht="12.75" customHeight="1" x14ac:dyDescent="0.3">
      <c r="A111" s="364" t="s">
        <v>142</v>
      </c>
      <c r="B111" s="366" t="s">
        <v>143</v>
      </c>
      <c r="C111" s="186" t="s">
        <v>255</v>
      </c>
      <c r="D111" s="1975">
        <v>19160</v>
      </c>
      <c r="E111" s="1976">
        <v>320</v>
      </c>
      <c r="F111" s="1977">
        <f t="shared" si="76"/>
        <v>1.6701461377870562E-2</v>
      </c>
      <c r="G111" s="1988">
        <v>19565</v>
      </c>
      <c r="H111" s="1989">
        <v>616</v>
      </c>
      <c r="I111" s="1964">
        <f t="shared" si="77"/>
        <v>3.1484794275491952E-2</v>
      </c>
      <c r="J111" s="1988">
        <v>19960</v>
      </c>
      <c r="K111" s="1989">
        <v>859</v>
      </c>
      <c r="L111" s="1995">
        <f t="shared" si="78"/>
        <v>4.3036072144288576E-2</v>
      </c>
      <c r="M111" s="1988">
        <v>20006</v>
      </c>
      <c r="N111" s="1989">
        <v>684</v>
      </c>
      <c r="O111" s="1995">
        <f t="shared" si="79"/>
        <v>3.4189743077076874E-2</v>
      </c>
      <c r="P111" s="1988">
        <v>20483</v>
      </c>
      <c r="Q111" s="1989">
        <v>623</v>
      </c>
      <c r="R111" s="1995">
        <f t="shared" si="80"/>
        <v>3.0415466484401698E-2</v>
      </c>
      <c r="S111" s="1988">
        <v>20654</v>
      </c>
      <c r="T111" s="1989">
        <v>587</v>
      </c>
      <c r="U111" s="1995">
        <f t="shared" si="81"/>
        <v>2.8420644911397307E-2</v>
      </c>
      <c r="V111" s="1988">
        <v>20294</v>
      </c>
      <c r="W111" s="1989">
        <v>527</v>
      </c>
      <c r="X111" s="1995">
        <f t="shared" si="82"/>
        <v>2.5968266482704248E-2</v>
      </c>
      <c r="Y111" s="1988">
        <v>19679</v>
      </c>
      <c r="Z111" s="1989">
        <v>577</v>
      </c>
      <c r="AA111" s="1995">
        <f t="shared" si="83"/>
        <v>2.9320595558717414E-2</v>
      </c>
      <c r="AB111" s="1988">
        <v>20100</v>
      </c>
      <c r="AC111" s="1989">
        <v>849</v>
      </c>
      <c r="AD111" s="1995">
        <f t="shared" si="84"/>
        <v>4.2238805970149257E-2</v>
      </c>
      <c r="AE111" s="1988">
        <v>20532</v>
      </c>
      <c r="AF111" s="1989">
        <v>1557</v>
      </c>
      <c r="AG111" s="1995">
        <f t="shared" si="85"/>
        <v>7.5832846288720043E-2</v>
      </c>
      <c r="AH111" s="1988">
        <v>20806</v>
      </c>
      <c r="AI111" s="1989">
        <v>1330</v>
      </c>
      <c r="AJ111" s="1995">
        <f t="shared" si="86"/>
        <v>6.3923868114966836E-2</v>
      </c>
      <c r="AK111" s="1984">
        <v>21518</v>
      </c>
      <c r="AL111" s="1985">
        <v>1195</v>
      </c>
      <c r="AM111" s="1995">
        <f t="shared" si="87"/>
        <v>5.5534901013105306E-2</v>
      </c>
      <c r="AN111" s="2005">
        <v>22009</v>
      </c>
      <c r="AO111" s="2006">
        <v>1138</v>
      </c>
      <c r="AP111" s="1967">
        <f t="shared" si="88"/>
        <v>5.1706120223544913E-2</v>
      </c>
      <c r="AQ111" s="2005">
        <v>22187</v>
      </c>
      <c r="AR111" s="1119">
        <v>1124</v>
      </c>
      <c r="AS111" s="1967">
        <f t="shared" si="89"/>
        <v>5.0660296570063552E-2</v>
      </c>
      <c r="AT111" s="2011">
        <v>22330</v>
      </c>
      <c r="AU111" s="2012">
        <v>1103</v>
      </c>
      <c r="AV111" s="1995">
        <f t="shared" si="90"/>
        <v>4.9395432154052843E-2</v>
      </c>
      <c r="AW111" s="2005">
        <v>22087</v>
      </c>
      <c r="AX111" s="2015">
        <v>913</v>
      </c>
      <c r="AY111" s="1995">
        <f t="shared" si="91"/>
        <v>4.1336532802100784E-2</v>
      </c>
      <c r="AZ111" s="2005">
        <v>21834</v>
      </c>
      <c r="BA111" s="2015">
        <v>776</v>
      </c>
      <c r="BB111" s="1995">
        <f t="shared" si="92"/>
        <v>3.5540899514518644E-2</v>
      </c>
      <c r="BC111" s="1999">
        <v>22051</v>
      </c>
      <c r="BD111" s="1251">
        <v>749</v>
      </c>
      <c r="BE111" s="1247">
        <f t="shared" si="93"/>
        <v>3.3966713527731167E-2</v>
      </c>
      <c r="BF111" s="1999">
        <v>21856</v>
      </c>
      <c r="BG111" s="1251">
        <v>585</v>
      </c>
      <c r="BH111" s="1247">
        <f t="shared" si="94"/>
        <v>2.6766105417276722E-2</v>
      </c>
    </row>
    <row r="112" spans="1:60" ht="12.75" customHeight="1" x14ac:dyDescent="0.3">
      <c r="A112" s="364" t="s">
        <v>144</v>
      </c>
      <c r="B112" s="366" t="s">
        <v>145</v>
      </c>
      <c r="C112" s="186" t="s">
        <v>255</v>
      </c>
      <c r="D112" s="1975">
        <v>5756</v>
      </c>
      <c r="E112" s="1976">
        <v>80</v>
      </c>
      <c r="F112" s="1977">
        <f t="shared" si="76"/>
        <v>1.3898540653231411E-2</v>
      </c>
      <c r="G112" s="1988">
        <v>5971</v>
      </c>
      <c r="H112" s="1989">
        <v>108</v>
      </c>
      <c r="I112" s="1964">
        <f t="shared" si="77"/>
        <v>1.8087422542287724E-2</v>
      </c>
      <c r="J112" s="1988">
        <v>6046</v>
      </c>
      <c r="K112" s="1989">
        <v>167</v>
      </c>
      <c r="L112" s="1995">
        <f t="shared" si="78"/>
        <v>2.7621567978828979E-2</v>
      </c>
      <c r="M112" s="1988">
        <v>6047</v>
      </c>
      <c r="N112" s="1989">
        <v>160</v>
      </c>
      <c r="O112" s="1995">
        <f t="shared" si="79"/>
        <v>2.6459401356044319E-2</v>
      </c>
      <c r="P112" s="1988">
        <v>6412</v>
      </c>
      <c r="Q112" s="1989">
        <v>173</v>
      </c>
      <c r="R112" s="1995">
        <f t="shared" si="80"/>
        <v>2.6980661260137241E-2</v>
      </c>
      <c r="S112" s="1988">
        <v>6562</v>
      </c>
      <c r="T112" s="1989">
        <v>163</v>
      </c>
      <c r="U112" s="1995">
        <f t="shared" si="81"/>
        <v>2.4839987808594942E-2</v>
      </c>
      <c r="V112" s="1988">
        <v>6631</v>
      </c>
      <c r="W112" s="1989">
        <v>152</v>
      </c>
      <c r="X112" s="1995">
        <f t="shared" si="82"/>
        <v>2.2922636103151862E-2</v>
      </c>
      <c r="Y112" s="1988">
        <v>6529</v>
      </c>
      <c r="Z112" s="1989">
        <v>167</v>
      </c>
      <c r="AA112" s="1995">
        <f t="shared" si="83"/>
        <v>2.5578189615561343E-2</v>
      </c>
      <c r="AB112" s="1988">
        <v>6639</v>
      </c>
      <c r="AC112" s="1989">
        <v>249</v>
      </c>
      <c r="AD112" s="1995">
        <f t="shared" si="84"/>
        <v>3.7505648441030277E-2</v>
      </c>
      <c r="AE112" s="1988">
        <v>6888</v>
      </c>
      <c r="AF112" s="1989">
        <v>432</v>
      </c>
      <c r="AG112" s="1995">
        <f t="shared" si="85"/>
        <v>6.2717770034843204E-2</v>
      </c>
      <c r="AH112" s="1988">
        <v>8072</v>
      </c>
      <c r="AI112" s="1989">
        <v>493</v>
      </c>
      <c r="AJ112" s="1995">
        <f t="shared" si="86"/>
        <v>6.1075322101090186E-2</v>
      </c>
      <c r="AK112" s="1984">
        <v>8640</v>
      </c>
      <c r="AL112" s="1985">
        <v>471</v>
      </c>
      <c r="AM112" s="1995">
        <f t="shared" si="87"/>
        <v>5.451388888888889E-2</v>
      </c>
      <c r="AN112" s="2005">
        <v>8804</v>
      </c>
      <c r="AO112" s="2006">
        <v>443</v>
      </c>
      <c r="AP112" s="1967">
        <f t="shared" si="88"/>
        <v>5.031803725579282E-2</v>
      </c>
      <c r="AQ112" s="2005">
        <v>8855</v>
      </c>
      <c r="AR112" s="1119">
        <v>417</v>
      </c>
      <c r="AS112" s="1967">
        <f t="shared" si="89"/>
        <v>4.7092038396386225E-2</v>
      </c>
      <c r="AT112" s="2011">
        <v>8831</v>
      </c>
      <c r="AU112" s="2012">
        <v>400</v>
      </c>
      <c r="AV112" s="1995">
        <f t="shared" si="90"/>
        <v>4.5294983580568451E-2</v>
      </c>
      <c r="AW112" s="2005">
        <v>8166</v>
      </c>
      <c r="AX112" s="2015">
        <v>342</v>
      </c>
      <c r="AY112" s="1995">
        <f t="shared" si="91"/>
        <v>4.1880969875091843E-2</v>
      </c>
      <c r="AZ112" s="2005">
        <v>8410</v>
      </c>
      <c r="BA112" s="2015">
        <v>298</v>
      </c>
      <c r="BB112" s="1995">
        <f t="shared" si="92"/>
        <v>3.543400713436385E-2</v>
      </c>
      <c r="BC112" s="1999">
        <v>8644</v>
      </c>
      <c r="BD112" s="1251">
        <v>290</v>
      </c>
      <c r="BE112" s="1247">
        <f t="shared" si="93"/>
        <v>3.3549282739472469E-2</v>
      </c>
      <c r="BF112" s="1999">
        <v>8944</v>
      </c>
      <c r="BG112" s="1251">
        <v>242</v>
      </c>
      <c r="BH112" s="1247">
        <f t="shared" si="94"/>
        <v>2.7057245080500895E-2</v>
      </c>
    </row>
    <row r="113" spans="1:60" ht="12.75" customHeight="1" x14ac:dyDescent="0.3">
      <c r="A113" s="364" t="s">
        <v>158</v>
      </c>
      <c r="B113" s="366" t="s">
        <v>159</v>
      </c>
      <c r="C113" s="186" t="s">
        <v>252</v>
      </c>
      <c r="D113" s="1975">
        <v>82380</v>
      </c>
      <c r="E113" s="1976">
        <v>2135</v>
      </c>
      <c r="F113" s="1977">
        <f t="shared" si="76"/>
        <v>2.5916484583636806E-2</v>
      </c>
      <c r="G113" s="1988">
        <v>83823</v>
      </c>
      <c r="H113" s="1989">
        <v>2970</v>
      </c>
      <c r="I113" s="1964">
        <f t="shared" si="77"/>
        <v>3.5431802727175117E-2</v>
      </c>
      <c r="J113" s="1988">
        <v>85660</v>
      </c>
      <c r="K113" s="1989">
        <v>3903</v>
      </c>
      <c r="L113" s="1995">
        <f t="shared" si="78"/>
        <v>4.5563857109502684E-2</v>
      </c>
      <c r="M113" s="1988">
        <v>86716</v>
      </c>
      <c r="N113" s="1989">
        <v>4101</v>
      </c>
      <c r="O113" s="1995">
        <f t="shared" si="79"/>
        <v>4.7292310530928548E-2</v>
      </c>
      <c r="P113" s="1988">
        <v>87143</v>
      </c>
      <c r="Q113" s="1989">
        <v>3865</v>
      </c>
      <c r="R113" s="1995">
        <f t="shared" si="80"/>
        <v>4.4352386307563434E-2</v>
      </c>
      <c r="S113" s="1988">
        <v>86823</v>
      </c>
      <c r="T113" s="1989">
        <v>3860</v>
      </c>
      <c r="U113" s="1995">
        <f t="shared" si="81"/>
        <v>4.4458265666931576E-2</v>
      </c>
      <c r="V113" s="1988">
        <v>86322</v>
      </c>
      <c r="W113" s="1989">
        <v>3063</v>
      </c>
      <c r="X113" s="1995">
        <f t="shared" si="82"/>
        <v>3.5483422534232291E-2</v>
      </c>
      <c r="Y113" s="1988">
        <v>87132</v>
      </c>
      <c r="Z113" s="1989">
        <v>3132</v>
      </c>
      <c r="AA113" s="1995">
        <f t="shared" si="83"/>
        <v>3.594546205756783E-2</v>
      </c>
      <c r="AB113" s="1988">
        <v>89429</v>
      </c>
      <c r="AC113" s="1989">
        <v>4151</v>
      </c>
      <c r="AD113" s="1995">
        <f t="shared" si="84"/>
        <v>4.6416710463048898E-2</v>
      </c>
      <c r="AE113" s="1988">
        <v>94728</v>
      </c>
      <c r="AF113" s="1989">
        <v>7289</v>
      </c>
      <c r="AG113" s="1995">
        <f t="shared" si="85"/>
        <v>7.6946626129549875E-2</v>
      </c>
      <c r="AH113" s="1988">
        <v>88729</v>
      </c>
      <c r="AI113" s="1989">
        <v>7351</v>
      </c>
      <c r="AJ113" s="1995">
        <f t="shared" si="86"/>
        <v>8.2847772430659647E-2</v>
      </c>
      <c r="AK113" s="1984">
        <v>88736</v>
      </c>
      <c r="AL113" s="1985">
        <v>7100</v>
      </c>
      <c r="AM113" s="1995">
        <f t="shared" si="87"/>
        <v>8.0012621709340065E-2</v>
      </c>
      <c r="AN113" s="2005">
        <v>88329</v>
      </c>
      <c r="AO113" s="2006">
        <v>6351</v>
      </c>
      <c r="AP113" s="1967">
        <f t="shared" si="88"/>
        <v>7.1901640457833774E-2</v>
      </c>
      <c r="AQ113" s="2005">
        <v>88638</v>
      </c>
      <c r="AR113" s="1119">
        <v>5838</v>
      </c>
      <c r="AS113" s="1967">
        <f t="shared" si="89"/>
        <v>6.5863399444933329E-2</v>
      </c>
      <c r="AT113" s="2011">
        <v>90692</v>
      </c>
      <c r="AU113" s="2012">
        <v>5645</v>
      </c>
      <c r="AV113" s="1995">
        <f t="shared" si="90"/>
        <v>6.2243637807083314E-2</v>
      </c>
      <c r="AW113" s="2005">
        <v>90051</v>
      </c>
      <c r="AX113" s="2015">
        <v>4866</v>
      </c>
      <c r="AY113" s="1995">
        <f t="shared" si="91"/>
        <v>5.4036046240463737E-2</v>
      </c>
      <c r="AZ113" s="2005">
        <v>88891</v>
      </c>
      <c r="BA113" s="2015">
        <v>4516</v>
      </c>
      <c r="BB113" s="1995">
        <f t="shared" si="92"/>
        <v>5.0803793409906511E-2</v>
      </c>
      <c r="BC113" s="1999">
        <v>90074</v>
      </c>
      <c r="BD113" s="1251">
        <v>4191</v>
      </c>
      <c r="BE113" s="1247">
        <f t="shared" si="93"/>
        <v>4.6528409974021363E-2</v>
      </c>
      <c r="BF113" s="1999">
        <v>88872</v>
      </c>
      <c r="BG113" s="1251">
        <v>3207</v>
      </c>
      <c r="BH113" s="1247">
        <f t="shared" si="94"/>
        <v>3.6085606265190383E-2</v>
      </c>
    </row>
    <row r="114" spans="1:60" ht="12.75" customHeight="1" x14ac:dyDescent="0.3">
      <c r="A114" s="364" t="s">
        <v>160</v>
      </c>
      <c r="B114" s="366" t="s">
        <v>161</v>
      </c>
      <c r="C114" s="186" t="s">
        <v>252</v>
      </c>
      <c r="D114" s="1975">
        <v>92428</v>
      </c>
      <c r="E114" s="1976">
        <v>3015</v>
      </c>
      <c r="F114" s="1977">
        <f t="shared" si="76"/>
        <v>3.2619985285844116E-2</v>
      </c>
      <c r="G114" s="1988">
        <v>94408</v>
      </c>
      <c r="H114" s="1989">
        <v>4057</v>
      </c>
      <c r="I114" s="1964">
        <f t="shared" si="77"/>
        <v>4.2973053131090587E-2</v>
      </c>
      <c r="J114" s="1988">
        <v>98547</v>
      </c>
      <c r="K114" s="1989">
        <v>5054</v>
      </c>
      <c r="L114" s="1995">
        <f t="shared" si="78"/>
        <v>5.1285173572001179E-2</v>
      </c>
      <c r="M114" s="1988">
        <v>98485</v>
      </c>
      <c r="N114" s="1989">
        <v>5189</v>
      </c>
      <c r="O114" s="1995">
        <f t="shared" si="79"/>
        <v>5.2688226633497488E-2</v>
      </c>
      <c r="P114" s="1988">
        <v>98538</v>
      </c>
      <c r="Q114" s="1989">
        <v>4998</v>
      </c>
      <c r="R114" s="1995">
        <f t="shared" si="80"/>
        <v>5.0721549047068139E-2</v>
      </c>
      <c r="S114" s="1988">
        <v>96697</v>
      </c>
      <c r="T114" s="1989">
        <v>4847</v>
      </c>
      <c r="U114" s="1995">
        <f t="shared" si="81"/>
        <v>5.0125650226997734E-2</v>
      </c>
      <c r="V114" s="1988">
        <v>95812</v>
      </c>
      <c r="W114" s="1989">
        <v>4050</v>
      </c>
      <c r="X114" s="1995">
        <f t="shared" si="82"/>
        <v>4.2270279296956537E-2</v>
      </c>
      <c r="Y114" s="1988">
        <v>99265</v>
      </c>
      <c r="Z114" s="1989">
        <v>4097</v>
      </c>
      <c r="AA114" s="1995">
        <f t="shared" si="83"/>
        <v>4.1273359190046842E-2</v>
      </c>
      <c r="AB114" s="1988">
        <v>100965</v>
      </c>
      <c r="AC114" s="1989">
        <v>5330</v>
      </c>
      <c r="AD114" s="1995">
        <f t="shared" si="84"/>
        <v>5.2790570989947008E-2</v>
      </c>
      <c r="AE114" s="1988">
        <v>99110</v>
      </c>
      <c r="AF114" s="1989">
        <v>8778</v>
      </c>
      <c r="AG114" s="1995">
        <f t="shared" si="85"/>
        <v>8.856825749167592E-2</v>
      </c>
      <c r="AH114" s="1988">
        <v>103915</v>
      </c>
      <c r="AI114" s="1989">
        <v>9435</v>
      </c>
      <c r="AJ114" s="1995">
        <f t="shared" si="86"/>
        <v>9.0795361593610166E-2</v>
      </c>
      <c r="AK114" s="1984">
        <v>103996</v>
      </c>
      <c r="AL114" s="1985">
        <v>8670</v>
      </c>
      <c r="AM114" s="1995">
        <f t="shared" si="87"/>
        <v>8.3368591099657677E-2</v>
      </c>
      <c r="AN114" s="2005">
        <v>104512</v>
      </c>
      <c r="AO114" s="2006">
        <v>8006</v>
      </c>
      <c r="AP114" s="1967">
        <f t="shared" si="88"/>
        <v>7.660364360073485E-2</v>
      </c>
      <c r="AQ114" s="2005">
        <v>104793</v>
      </c>
      <c r="AR114" s="1119">
        <v>7320</v>
      </c>
      <c r="AS114" s="1967">
        <f t="shared" si="89"/>
        <v>6.9851993930892337E-2</v>
      </c>
      <c r="AT114" s="2011">
        <v>112971</v>
      </c>
      <c r="AU114" s="2012">
        <v>7182</v>
      </c>
      <c r="AV114" s="1995">
        <f t="shared" si="90"/>
        <v>6.3573837533526301E-2</v>
      </c>
      <c r="AW114" s="2005">
        <v>111318</v>
      </c>
      <c r="AX114" s="2015">
        <v>6211</v>
      </c>
      <c r="AY114" s="1995">
        <f t="shared" si="91"/>
        <v>5.5795109506099644E-2</v>
      </c>
      <c r="AZ114" s="2005">
        <v>110644</v>
      </c>
      <c r="BA114" s="2015">
        <v>5794</v>
      </c>
      <c r="BB114" s="1995">
        <f t="shared" si="92"/>
        <v>5.2366147283178482E-2</v>
      </c>
      <c r="BC114" s="1999">
        <v>111699</v>
      </c>
      <c r="BD114" s="1251">
        <v>5197</v>
      </c>
      <c r="BE114" s="1247">
        <f t="shared" si="93"/>
        <v>4.6526826560667506E-2</v>
      </c>
      <c r="BF114" s="1999">
        <v>111524</v>
      </c>
      <c r="BG114" s="1251">
        <v>4028</v>
      </c>
      <c r="BH114" s="1247">
        <f t="shared" si="94"/>
        <v>3.6117786306086586E-2</v>
      </c>
    </row>
    <row r="115" spans="1:60" ht="12.75" customHeight="1" x14ac:dyDescent="0.3">
      <c r="A115" s="364" t="s">
        <v>166</v>
      </c>
      <c r="B115" s="366" t="s">
        <v>167</v>
      </c>
      <c r="C115" s="186" t="s">
        <v>256</v>
      </c>
      <c r="D115" s="1975">
        <v>1479</v>
      </c>
      <c r="E115" s="1976">
        <v>61</v>
      </c>
      <c r="F115" s="1977">
        <f t="shared" si="76"/>
        <v>4.1244083840432724E-2</v>
      </c>
      <c r="G115" s="1988">
        <v>1518</v>
      </c>
      <c r="H115" s="1989">
        <v>69</v>
      </c>
      <c r="I115" s="1964">
        <f t="shared" si="77"/>
        <v>4.5454545454545456E-2</v>
      </c>
      <c r="J115" s="1988">
        <v>1589</v>
      </c>
      <c r="K115" s="1989">
        <v>78</v>
      </c>
      <c r="L115" s="1995">
        <f t="shared" si="78"/>
        <v>4.9087476400251732E-2</v>
      </c>
      <c r="M115" s="1988">
        <v>1631</v>
      </c>
      <c r="N115" s="1989">
        <v>88</v>
      </c>
      <c r="O115" s="1995">
        <f t="shared" si="79"/>
        <v>5.3954629061925198E-2</v>
      </c>
      <c r="P115" s="1988">
        <v>1560</v>
      </c>
      <c r="Q115" s="1989">
        <v>84</v>
      </c>
      <c r="R115" s="1995">
        <f t="shared" si="80"/>
        <v>5.3846153846153849E-2</v>
      </c>
      <c r="S115" s="1988">
        <v>1533</v>
      </c>
      <c r="T115" s="1989">
        <v>84</v>
      </c>
      <c r="U115" s="1995">
        <f t="shared" si="81"/>
        <v>5.4794520547945202E-2</v>
      </c>
      <c r="V115" s="1988">
        <v>1516</v>
      </c>
      <c r="W115" s="1989">
        <v>78</v>
      </c>
      <c r="X115" s="1995">
        <f t="shared" si="82"/>
        <v>5.1451187335092345E-2</v>
      </c>
      <c r="Y115" s="1988">
        <v>1557</v>
      </c>
      <c r="Z115" s="1989">
        <v>64</v>
      </c>
      <c r="AA115" s="1995">
        <f t="shared" si="83"/>
        <v>4.1104688503532431E-2</v>
      </c>
      <c r="AB115" s="1988">
        <v>1623</v>
      </c>
      <c r="AC115" s="1989">
        <v>85</v>
      </c>
      <c r="AD115" s="1995">
        <f t="shared" si="84"/>
        <v>5.2372150338878619E-2</v>
      </c>
      <c r="AE115" s="1988">
        <v>1729</v>
      </c>
      <c r="AF115" s="1989">
        <v>114</v>
      </c>
      <c r="AG115" s="1995">
        <f t="shared" si="85"/>
        <v>6.5934065934065936E-2</v>
      </c>
      <c r="AH115" s="1988">
        <v>1871</v>
      </c>
      <c r="AI115" s="1989">
        <v>160</v>
      </c>
      <c r="AJ115" s="1995">
        <f t="shared" si="86"/>
        <v>8.5515766969535015E-2</v>
      </c>
      <c r="AK115" s="1984">
        <v>1942</v>
      </c>
      <c r="AL115" s="1985">
        <v>147</v>
      </c>
      <c r="AM115" s="1995">
        <f t="shared" si="87"/>
        <v>7.5695159629248193E-2</v>
      </c>
      <c r="AN115" s="2005">
        <v>1801</v>
      </c>
      <c r="AO115" s="2006">
        <v>145</v>
      </c>
      <c r="AP115" s="1967">
        <f t="shared" si="88"/>
        <v>8.0510827318156578E-2</v>
      </c>
      <c r="AQ115" s="2005">
        <v>1755</v>
      </c>
      <c r="AR115" s="1119">
        <v>153</v>
      </c>
      <c r="AS115" s="1967">
        <f t="shared" si="89"/>
        <v>8.7179487179487175E-2</v>
      </c>
      <c r="AT115" s="2011">
        <v>1812</v>
      </c>
      <c r="AU115" s="2012">
        <v>142</v>
      </c>
      <c r="AV115" s="1995">
        <f t="shared" si="90"/>
        <v>7.8366445916114788E-2</v>
      </c>
      <c r="AW115" s="2005">
        <v>1754</v>
      </c>
      <c r="AX115" s="2015">
        <v>122</v>
      </c>
      <c r="AY115" s="1995">
        <f t="shared" si="91"/>
        <v>6.9555302166476624E-2</v>
      </c>
      <c r="AZ115" s="2005">
        <v>1649</v>
      </c>
      <c r="BA115" s="2015">
        <v>112</v>
      </c>
      <c r="BB115" s="1995">
        <f t="shared" si="92"/>
        <v>6.7919951485748933E-2</v>
      </c>
      <c r="BC115" s="1999">
        <v>1628</v>
      </c>
      <c r="BD115" s="1251">
        <v>90</v>
      </c>
      <c r="BE115" s="1247">
        <f t="shared" si="93"/>
        <v>5.5282555282555282E-2</v>
      </c>
      <c r="BF115" s="1999">
        <v>1659</v>
      </c>
      <c r="BG115" s="1251">
        <v>65</v>
      </c>
      <c r="BH115" s="1247">
        <f t="shared" si="94"/>
        <v>3.9180229053646778E-2</v>
      </c>
    </row>
    <row r="116" spans="1:60" ht="12.75" customHeight="1" x14ac:dyDescent="0.3">
      <c r="A116" s="364" t="s">
        <v>176</v>
      </c>
      <c r="B116" s="366" t="s">
        <v>177</v>
      </c>
      <c r="C116" s="186" t="s">
        <v>254</v>
      </c>
      <c r="D116" s="1975">
        <v>13832</v>
      </c>
      <c r="E116" s="1976">
        <v>470</v>
      </c>
      <c r="F116" s="1977">
        <f t="shared" si="76"/>
        <v>3.3979178716020825E-2</v>
      </c>
      <c r="G116" s="1988">
        <v>13959</v>
      </c>
      <c r="H116" s="1989">
        <v>768</v>
      </c>
      <c r="I116" s="1964">
        <f t="shared" si="77"/>
        <v>5.5018267784225229E-2</v>
      </c>
      <c r="J116" s="1988">
        <v>14141</v>
      </c>
      <c r="K116" s="1989">
        <v>1052</v>
      </c>
      <c r="L116" s="1995">
        <f t="shared" si="78"/>
        <v>7.4393607241354923E-2</v>
      </c>
      <c r="M116" s="1988">
        <v>14304</v>
      </c>
      <c r="N116" s="1989">
        <v>1232</v>
      </c>
      <c r="O116" s="1995">
        <f t="shared" si="79"/>
        <v>8.612975391498881E-2</v>
      </c>
      <c r="P116" s="1988">
        <v>14157</v>
      </c>
      <c r="Q116" s="1989">
        <v>1080</v>
      </c>
      <c r="R116" s="1995">
        <f t="shared" si="80"/>
        <v>7.6287349014621739E-2</v>
      </c>
      <c r="S116" s="1988">
        <v>14044</v>
      </c>
      <c r="T116" s="1989">
        <v>1024</v>
      </c>
      <c r="U116" s="1995">
        <f t="shared" si="81"/>
        <v>7.2913699800626605E-2</v>
      </c>
      <c r="V116" s="1988">
        <v>13898</v>
      </c>
      <c r="W116" s="1989">
        <v>863</v>
      </c>
      <c r="X116" s="1995">
        <f t="shared" si="82"/>
        <v>6.2095265505828175E-2</v>
      </c>
      <c r="Y116" s="1988">
        <v>14021</v>
      </c>
      <c r="Z116" s="1989">
        <v>883</v>
      </c>
      <c r="AA116" s="1995">
        <f t="shared" si="83"/>
        <v>6.2976963126738464E-2</v>
      </c>
      <c r="AB116" s="1988">
        <v>14306</v>
      </c>
      <c r="AC116" s="1989">
        <v>1046</v>
      </c>
      <c r="AD116" s="1995">
        <f t="shared" si="84"/>
        <v>7.311617503145533E-2</v>
      </c>
      <c r="AE116" s="1988">
        <v>14540</v>
      </c>
      <c r="AF116" s="1989">
        <v>2006</v>
      </c>
      <c r="AG116" s="1995">
        <f t="shared" si="85"/>
        <v>0.13796423658872076</v>
      </c>
      <c r="AH116" s="1988">
        <v>13819</v>
      </c>
      <c r="AI116" s="1989">
        <v>1721</v>
      </c>
      <c r="AJ116" s="1995">
        <f t="shared" si="86"/>
        <v>0.12453867863087054</v>
      </c>
      <c r="AK116" s="1984">
        <v>13828</v>
      </c>
      <c r="AL116" s="1985">
        <v>1566</v>
      </c>
      <c r="AM116" s="1995">
        <f t="shared" si="87"/>
        <v>0.11324848134220422</v>
      </c>
      <c r="AN116" s="2005">
        <v>13639</v>
      </c>
      <c r="AO116" s="2006">
        <v>1420</v>
      </c>
      <c r="AP116" s="1967">
        <f t="shared" si="88"/>
        <v>0.10411320478040913</v>
      </c>
      <c r="AQ116" s="2005">
        <v>13754</v>
      </c>
      <c r="AR116" s="1119">
        <v>1378</v>
      </c>
      <c r="AS116" s="1967">
        <f t="shared" si="89"/>
        <v>0.1001890359168242</v>
      </c>
      <c r="AT116" s="2011">
        <v>13909</v>
      </c>
      <c r="AU116" s="2012">
        <v>1481</v>
      </c>
      <c r="AV116" s="1995">
        <f t="shared" si="90"/>
        <v>0.10647782011647135</v>
      </c>
      <c r="AW116" s="2005">
        <v>13811</v>
      </c>
      <c r="AX116" s="2015">
        <v>1247</v>
      </c>
      <c r="AY116" s="1995">
        <f t="shared" si="91"/>
        <v>9.0290348273115634E-2</v>
      </c>
      <c r="AZ116" s="2005">
        <v>13509</v>
      </c>
      <c r="BA116" s="2015">
        <v>1033</v>
      </c>
      <c r="BB116" s="1995">
        <f t="shared" si="92"/>
        <v>7.6467540158412908E-2</v>
      </c>
      <c r="BC116" s="1999">
        <v>13392</v>
      </c>
      <c r="BD116" s="1251">
        <v>978</v>
      </c>
      <c r="BE116" s="1247">
        <f t="shared" si="93"/>
        <v>7.3028673835125443E-2</v>
      </c>
      <c r="BF116" s="1999">
        <v>13120</v>
      </c>
      <c r="BG116" s="1251">
        <v>798</v>
      </c>
      <c r="BH116" s="1247">
        <f t="shared" si="94"/>
        <v>6.0823170731707316E-2</v>
      </c>
    </row>
    <row r="117" spans="1:60" ht="12.75" customHeight="1" x14ac:dyDescent="0.3">
      <c r="A117" s="364" t="s">
        <v>180</v>
      </c>
      <c r="B117" s="366" t="s">
        <v>181</v>
      </c>
      <c r="C117" s="186" t="s">
        <v>252</v>
      </c>
      <c r="D117" s="1975">
        <v>42693</v>
      </c>
      <c r="E117" s="1976">
        <v>1446</v>
      </c>
      <c r="F117" s="1977">
        <f t="shared" si="76"/>
        <v>3.3869721031550837E-2</v>
      </c>
      <c r="G117" s="1988">
        <v>43353</v>
      </c>
      <c r="H117" s="1989">
        <v>1901</v>
      </c>
      <c r="I117" s="1964">
        <f t="shared" si="77"/>
        <v>4.3849329919498074E-2</v>
      </c>
      <c r="J117" s="1988">
        <v>44094</v>
      </c>
      <c r="K117" s="1989">
        <v>2326</v>
      </c>
      <c r="L117" s="1995">
        <f t="shared" si="78"/>
        <v>5.2750941171134394E-2</v>
      </c>
      <c r="M117" s="1988">
        <v>44125</v>
      </c>
      <c r="N117" s="1989">
        <v>2382</v>
      </c>
      <c r="O117" s="1995">
        <f t="shared" si="79"/>
        <v>5.3983002832861192E-2</v>
      </c>
      <c r="P117" s="1988">
        <v>44391</v>
      </c>
      <c r="Q117" s="1989">
        <v>2385</v>
      </c>
      <c r="R117" s="1995">
        <f t="shared" si="80"/>
        <v>5.3727106845982295E-2</v>
      </c>
      <c r="S117" s="1988">
        <v>45091</v>
      </c>
      <c r="T117" s="1989">
        <v>2393</v>
      </c>
      <c r="U117" s="1995">
        <f t="shared" si="81"/>
        <v>5.3070457519238876E-2</v>
      </c>
      <c r="V117" s="1988">
        <v>45829</v>
      </c>
      <c r="W117" s="1989">
        <v>2006</v>
      </c>
      <c r="X117" s="1995">
        <f t="shared" si="82"/>
        <v>4.3771411115232715E-2</v>
      </c>
      <c r="Y117" s="1988">
        <v>46207</v>
      </c>
      <c r="Z117" s="1989">
        <v>1951</v>
      </c>
      <c r="AA117" s="1995">
        <f t="shared" si="83"/>
        <v>4.2223039799164627E-2</v>
      </c>
      <c r="AB117" s="1988">
        <v>46557</v>
      </c>
      <c r="AC117" s="1989">
        <v>2402</v>
      </c>
      <c r="AD117" s="1995">
        <f t="shared" si="84"/>
        <v>5.1592671349098951E-2</v>
      </c>
      <c r="AE117" s="1988">
        <v>45329</v>
      </c>
      <c r="AF117" s="1989">
        <v>3998</v>
      </c>
      <c r="AG117" s="1995">
        <f t="shared" si="85"/>
        <v>8.8199607315405146E-2</v>
      </c>
      <c r="AH117" s="1988">
        <v>43753</v>
      </c>
      <c r="AI117" s="1989">
        <v>4130</v>
      </c>
      <c r="AJ117" s="1995">
        <f t="shared" si="86"/>
        <v>9.4393527300985075E-2</v>
      </c>
      <c r="AK117" s="1984">
        <v>43971</v>
      </c>
      <c r="AL117" s="1985">
        <v>3893</v>
      </c>
      <c r="AM117" s="1995">
        <f t="shared" si="87"/>
        <v>8.8535625753337427E-2</v>
      </c>
      <c r="AN117" s="2005">
        <v>43923</v>
      </c>
      <c r="AO117" s="2006">
        <v>3592</v>
      </c>
      <c r="AP117" s="1967">
        <f t="shared" si="88"/>
        <v>8.17794777223778E-2</v>
      </c>
      <c r="AQ117" s="2005">
        <v>44024</v>
      </c>
      <c r="AR117" s="1119">
        <v>3289</v>
      </c>
      <c r="AS117" s="1967">
        <f t="shared" si="89"/>
        <v>7.4709249500272579E-2</v>
      </c>
      <c r="AT117" s="2011">
        <v>45364</v>
      </c>
      <c r="AU117" s="2012">
        <v>3236</v>
      </c>
      <c r="AV117" s="1995">
        <f t="shared" si="90"/>
        <v>7.1334097522264356E-2</v>
      </c>
      <c r="AW117" s="2005">
        <v>44656</v>
      </c>
      <c r="AX117" s="2015">
        <v>2781</v>
      </c>
      <c r="AY117" s="1995">
        <f t="shared" si="91"/>
        <v>6.227606592619133E-2</v>
      </c>
      <c r="AZ117" s="2005">
        <v>44370</v>
      </c>
      <c r="BA117" s="2015">
        <v>2688</v>
      </c>
      <c r="BB117" s="1995">
        <f t="shared" si="92"/>
        <v>6.0581473968897903E-2</v>
      </c>
      <c r="BC117" s="1999">
        <v>44552</v>
      </c>
      <c r="BD117" s="1251">
        <v>2418</v>
      </c>
      <c r="BE117" s="1247">
        <f t="shared" si="93"/>
        <v>5.4273657748249236E-2</v>
      </c>
      <c r="BF117" s="1999">
        <v>44095</v>
      </c>
      <c r="BG117" s="1251">
        <v>1792</v>
      </c>
      <c r="BH117" s="1247">
        <f t="shared" si="94"/>
        <v>4.0639528291189476E-2</v>
      </c>
    </row>
    <row r="118" spans="1:60" ht="12.75" customHeight="1" x14ac:dyDescent="0.3">
      <c r="A118" s="364" t="s">
        <v>192</v>
      </c>
      <c r="B118" s="366" t="s">
        <v>193</v>
      </c>
      <c r="C118" s="186" t="s">
        <v>256</v>
      </c>
      <c r="D118" s="1975">
        <v>7423</v>
      </c>
      <c r="E118" s="1976">
        <v>238</v>
      </c>
      <c r="F118" s="1977">
        <f t="shared" si="76"/>
        <v>3.206250841977637E-2</v>
      </c>
      <c r="G118" s="1988">
        <v>7409</v>
      </c>
      <c r="H118" s="1989">
        <v>306</v>
      </c>
      <c r="I118" s="1964">
        <f t="shared" si="77"/>
        <v>4.1301120259144286E-2</v>
      </c>
      <c r="J118" s="1988">
        <v>7393</v>
      </c>
      <c r="K118" s="1989">
        <v>385</v>
      </c>
      <c r="L118" s="1995">
        <f t="shared" si="78"/>
        <v>5.2076288380900851E-2</v>
      </c>
      <c r="M118" s="1988">
        <v>7417</v>
      </c>
      <c r="N118" s="1989">
        <v>387</v>
      </c>
      <c r="O118" s="1995">
        <f t="shared" si="79"/>
        <v>5.2177430227854926E-2</v>
      </c>
      <c r="P118" s="1988">
        <v>7350</v>
      </c>
      <c r="Q118" s="1989">
        <v>379</v>
      </c>
      <c r="R118" s="1995">
        <f t="shared" si="80"/>
        <v>5.1564625850340134E-2</v>
      </c>
      <c r="S118" s="1988">
        <v>7272</v>
      </c>
      <c r="T118" s="1989">
        <v>325</v>
      </c>
      <c r="U118" s="1995">
        <f t="shared" si="81"/>
        <v>4.4691969196919694E-2</v>
      </c>
      <c r="V118" s="1988">
        <v>7247</v>
      </c>
      <c r="W118" s="1989">
        <v>274</v>
      </c>
      <c r="X118" s="1995">
        <f t="shared" si="82"/>
        <v>3.7808748447633503E-2</v>
      </c>
      <c r="Y118" s="1988">
        <v>7719</v>
      </c>
      <c r="Z118" s="1989">
        <v>314</v>
      </c>
      <c r="AA118" s="1995">
        <f t="shared" si="83"/>
        <v>4.0678844409897656E-2</v>
      </c>
      <c r="AB118" s="1988">
        <v>8003</v>
      </c>
      <c r="AC118" s="1989">
        <v>425</v>
      </c>
      <c r="AD118" s="1995">
        <f t="shared" si="84"/>
        <v>5.3105085592902661E-2</v>
      </c>
      <c r="AE118" s="1988">
        <v>7952</v>
      </c>
      <c r="AF118" s="1989">
        <v>736</v>
      </c>
      <c r="AG118" s="1995">
        <f t="shared" si="85"/>
        <v>9.2555331991951706E-2</v>
      </c>
      <c r="AH118" s="1988">
        <v>7825</v>
      </c>
      <c r="AI118" s="1989">
        <v>719</v>
      </c>
      <c r="AJ118" s="1995">
        <f t="shared" si="86"/>
        <v>9.1884984025559099E-2</v>
      </c>
      <c r="AK118" s="1984">
        <v>8005</v>
      </c>
      <c r="AL118" s="1985">
        <v>647</v>
      </c>
      <c r="AM118" s="1995">
        <f t="shared" si="87"/>
        <v>8.0824484697064339E-2</v>
      </c>
      <c r="AN118" s="2005">
        <v>8176</v>
      </c>
      <c r="AO118" s="2006">
        <v>608</v>
      </c>
      <c r="AP118" s="1967">
        <f t="shared" si="88"/>
        <v>7.4363992172211346E-2</v>
      </c>
      <c r="AQ118" s="2005">
        <v>8316</v>
      </c>
      <c r="AR118" s="1119">
        <v>594</v>
      </c>
      <c r="AS118" s="1967">
        <f t="shared" si="89"/>
        <v>7.1428571428571425E-2</v>
      </c>
      <c r="AT118" s="2011">
        <v>8411</v>
      </c>
      <c r="AU118" s="2012">
        <v>558</v>
      </c>
      <c r="AV118" s="1995">
        <f t="shared" si="90"/>
        <v>6.6341695398882419E-2</v>
      </c>
      <c r="AW118" s="2005">
        <v>8487</v>
      </c>
      <c r="AX118" s="2015">
        <v>478</v>
      </c>
      <c r="AY118" s="1995">
        <f t="shared" si="91"/>
        <v>5.632143277954519E-2</v>
      </c>
      <c r="AZ118" s="2005">
        <v>8316</v>
      </c>
      <c r="BA118" s="2015">
        <v>447</v>
      </c>
      <c r="BB118" s="1995">
        <f t="shared" si="92"/>
        <v>5.3751803751803752E-2</v>
      </c>
      <c r="BC118" s="1999">
        <v>8285</v>
      </c>
      <c r="BD118" s="1251">
        <v>418</v>
      </c>
      <c r="BE118" s="1247">
        <f t="shared" si="93"/>
        <v>5.0452625226312615E-2</v>
      </c>
      <c r="BF118" s="1999">
        <v>8301</v>
      </c>
      <c r="BG118" s="1251">
        <v>308</v>
      </c>
      <c r="BH118" s="1247">
        <f t="shared" si="94"/>
        <v>3.7103963377906279E-2</v>
      </c>
    </row>
    <row r="119" spans="1:60" ht="12.75" customHeight="1" x14ac:dyDescent="0.3">
      <c r="A119" s="364" t="s">
        <v>196</v>
      </c>
      <c r="B119" s="366" t="s">
        <v>300</v>
      </c>
      <c r="C119" s="186" t="s">
        <v>254</v>
      </c>
      <c r="D119" s="1975">
        <v>94849</v>
      </c>
      <c r="E119" s="1976">
        <v>2498</v>
      </c>
      <c r="F119" s="1977">
        <f t="shared" si="76"/>
        <v>2.6336598171831014E-2</v>
      </c>
      <c r="G119" s="1988">
        <v>95842</v>
      </c>
      <c r="H119" s="1989">
        <v>3980</v>
      </c>
      <c r="I119" s="1964">
        <f t="shared" si="77"/>
        <v>4.1526679326391355E-2</v>
      </c>
      <c r="J119" s="1988">
        <v>96755</v>
      </c>
      <c r="K119" s="1989">
        <v>5525</v>
      </c>
      <c r="L119" s="1995">
        <f t="shared" si="78"/>
        <v>5.7102992093431865E-2</v>
      </c>
      <c r="M119" s="1988">
        <v>96268</v>
      </c>
      <c r="N119" s="1989">
        <v>5546</v>
      </c>
      <c r="O119" s="1995">
        <f t="shared" si="79"/>
        <v>5.7610005401587235E-2</v>
      </c>
      <c r="P119" s="1988">
        <v>96409</v>
      </c>
      <c r="Q119" s="1989">
        <v>5391</v>
      </c>
      <c r="R119" s="1995">
        <f t="shared" si="80"/>
        <v>5.5918015952867474E-2</v>
      </c>
      <c r="S119" s="1988">
        <v>96082</v>
      </c>
      <c r="T119" s="1989">
        <v>5069</v>
      </c>
      <c r="U119" s="1995">
        <f t="shared" si="81"/>
        <v>5.2757020045377905E-2</v>
      </c>
      <c r="V119" s="1988">
        <v>95545</v>
      </c>
      <c r="W119" s="1989">
        <v>4386</v>
      </c>
      <c r="X119" s="1995">
        <f t="shared" si="82"/>
        <v>4.590507090899576E-2</v>
      </c>
      <c r="Y119" s="1988">
        <v>98404</v>
      </c>
      <c r="Z119" s="1989">
        <v>4339</v>
      </c>
      <c r="AA119" s="1995">
        <f t="shared" si="83"/>
        <v>4.4093736026990772E-2</v>
      </c>
      <c r="AB119" s="1988">
        <v>101627</v>
      </c>
      <c r="AC119" s="1989">
        <v>5876</v>
      </c>
      <c r="AD119" s="1995">
        <f t="shared" si="84"/>
        <v>5.7819280309366602E-2</v>
      </c>
      <c r="AE119" s="1988">
        <v>101508</v>
      </c>
      <c r="AF119" s="1989">
        <v>10078</v>
      </c>
      <c r="AG119" s="1995">
        <f t="shared" si="85"/>
        <v>9.9282815147574574E-2</v>
      </c>
      <c r="AH119" s="1988">
        <v>99237</v>
      </c>
      <c r="AI119" s="1989">
        <v>9514</v>
      </c>
      <c r="AJ119" s="1995">
        <f t="shared" si="86"/>
        <v>9.5871499541501662E-2</v>
      </c>
      <c r="AK119" s="1984">
        <v>100191</v>
      </c>
      <c r="AL119" s="1985">
        <v>8376</v>
      </c>
      <c r="AM119" s="1995">
        <f t="shared" si="87"/>
        <v>8.3600323382339733E-2</v>
      </c>
      <c r="AN119" s="2005">
        <v>102345</v>
      </c>
      <c r="AO119" s="2006">
        <v>7626</v>
      </c>
      <c r="AP119" s="1967">
        <f t="shared" si="88"/>
        <v>7.4512677707753189E-2</v>
      </c>
      <c r="AQ119" s="2005">
        <v>103041</v>
      </c>
      <c r="AR119" s="1119">
        <v>7110</v>
      </c>
      <c r="AS119" s="1967">
        <f t="shared" si="89"/>
        <v>6.9001659533583726E-2</v>
      </c>
      <c r="AT119" s="2011">
        <v>111992</v>
      </c>
      <c r="AU119" s="2012">
        <v>6858</v>
      </c>
      <c r="AV119" s="1995">
        <f t="shared" si="90"/>
        <v>6.1236516894063862E-2</v>
      </c>
      <c r="AW119" s="2005">
        <v>113384</v>
      </c>
      <c r="AX119" s="2015">
        <v>5888</v>
      </c>
      <c r="AY119" s="1995">
        <f t="shared" si="91"/>
        <v>5.1929725534466946E-2</v>
      </c>
      <c r="AZ119" s="2005">
        <v>113825</v>
      </c>
      <c r="BA119" s="2015">
        <v>5226</v>
      </c>
      <c r="BB119" s="1995">
        <f t="shared" si="92"/>
        <v>4.5912585108719525E-2</v>
      </c>
      <c r="BC119" s="1999">
        <v>116588</v>
      </c>
      <c r="BD119" s="1251">
        <v>5089</v>
      </c>
      <c r="BE119" s="1247">
        <f t="shared" si="93"/>
        <v>4.3649432188561432E-2</v>
      </c>
      <c r="BF119" s="1999">
        <v>117259</v>
      </c>
      <c r="BG119" s="1251">
        <v>4134</v>
      </c>
      <c r="BH119" s="1247">
        <f t="shared" si="94"/>
        <v>3.5255289572655404E-2</v>
      </c>
    </row>
    <row r="120" spans="1:60" ht="12.75" customHeight="1" x14ac:dyDescent="0.3">
      <c r="A120" s="364" t="s">
        <v>200</v>
      </c>
      <c r="B120" s="366" t="s">
        <v>301</v>
      </c>
      <c r="C120" s="186" t="s">
        <v>253</v>
      </c>
      <c r="D120" s="1975">
        <v>46423</v>
      </c>
      <c r="E120" s="1976">
        <v>1133</v>
      </c>
      <c r="F120" s="1977">
        <f t="shared" si="76"/>
        <v>2.4406005643754173E-2</v>
      </c>
      <c r="G120" s="1988">
        <v>46933</v>
      </c>
      <c r="H120" s="1989">
        <v>1651</v>
      </c>
      <c r="I120" s="1964">
        <f t="shared" si="77"/>
        <v>3.5177806660558669E-2</v>
      </c>
      <c r="J120" s="1988">
        <v>47343</v>
      </c>
      <c r="K120" s="1989">
        <v>2341</v>
      </c>
      <c r="L120" s="1995">
        <f t="shared" si="78"/>
        <v>4.9447648015546124E-2</v>
      </c>
      <c r="M120" s="1988">
        <v>46212</v>
      </c>
      <c r="N120" s="1989">
        <v>2386</v>
      </c>
      <c r="O120" s="1995">
        <f t="shared" si="79"/>
        <v>5.1631610837012031E-2</v>
      </c>
      <c r="P120" s="1988">
        <v>45404</v>
      </c>
      <c r="Q120" s="1989">
        <v>2042</v>
      </c>
      <c r="R120" s="1995">
        <f t="shared" si="80"/>
        <v>4.4974011100343582E-2</v>
      </c>
      <c r="S120" s="1988">
        <v>45508</v>
      </c>
      <c r="T120" s="1989">
        <v>1893</v>
      </c>
      <c r="U120" s="1995">
        <f t="shared" si="81"/>
        <v>4.1597081831765845E-2</v>
      </c>
      <c r="V120" s="1988">
        <v>45534</v>
      </c>
      <c r="W120" s="1989">
        <v>1695</v>
      </c>
      <c r="X120" s="1995">
        <f t="shared" si="82"/>
        <v>3.7224930820925026E-2</v>
      </c>
      <c r="Y120" s="1988">
        <v>46065</v>
      </c>
      <c r="Z120" s="1989">
        <v>1746</v>
      </c>
      <c r="AA120" s="1995">
        <f t="shared" si="83"/>
        <v>3.7902963204168021E-2</v>
      </c>
      <c r="AB120" s="1988">
        <v>47126</v>
      </c>
      <c r="AC120" s="1989">
        <v>2142</v>
      </c>
      <c r="AD120" s="1995">
        <f t="shared" si="84"/>
        <v>4.5452616390103125E-2</v>
      </c>
      <c r="AE120" s="1988">
        <v>47439</v>
      </c>
      <c r="AF120" s="1989">
        <v>4238</v>
      </c>
      <c r="AG120" s="1995">
        <f t="shared" si="85"/>
        <v>8.9335778578806466E-2</v>
      </c>
      <c r="AH120" s="1988">
        <v>47367</v>
      </c>
      <c r="AI120" s="1989">
        <v>4149</v>
      </c>
      <c r="AJ120" s="1995">
        <f t="shared" si="86"/>
        <v>8.7592627778833365E-2</v>
      </c>
      <c r="AK120" s="1984">
        <v>47704</v>
      </c>
      <c r="AL120" s="1985">
        <v>3844</v>
      </c>
      <c r="AM120" s="1995">
        <f t="shared" si="87"/>
        <v>8.0580244843199728E-2</v>
      </c>
      <c r="AN120" s="2005">
        <v>47654</v>
      </c>
      <c r="AO120" s="2006">
        <v>3375</v>
      </c>
      <c r="AP120" s="1967">
        <f t="shared" si="88"/>
        <v>7.0823015906324754E-2</v>
      </c>
      <c r="AQ120" s="2005">
        <v>47730</v>
      </c>
      <c r="AR120" s="1119">
        <v>3207</v>
      </c>
      <c r="AS120" s="1967">
        <f t="shared" si="89"/>
        <v>6.7190446260213699E-2</v>
      </c>
      <c r="AT120" s="2011">
        <v>50175</v>
      </c>
      <c r="AU120" s="2012">
        <v>2945</v>
      </c>
      <c r="AV120" s="1995">
        <f t="shared" si="90"/>
        <v>5.8694569008470351E-2</v>
      </c>
      <c r="AW120" s="2005">
        <v>49475</v>
      </c>
      <c r="AX120" s="2015">
        <v>2404</v>
      </c>
      <c r="AY120" s="1995">
        <f t="shared" si="91"/>
        <v>4.8590197069226883E-2</v>
      </c>
      <c r="AZ120" s="2005">
        <v>48994</v>
      </c>
      <c r="BA120" s="2015">
        <v>2085</v>
      </c>
      <c r="BB120" s="1995">
        <f t="shared" si="92"/>
        <v>4.255623137527044E-2</v>
      </c>
      <c r="BC120" s="1999">
        <v>48976</v>
      </c>
      <c r="BD120" s="1251">
        <v>2066</v>
      </c>
      <c r="BE120" s="1247">
        <f t="shared" si="93"/>
        <v>4.2183926821300226E-2</v>
      </c>
      <c r="BF120" s="1999">
        <v>48774</v>
      </c>
      <c r="BG120" s="1251">
        <v>1575</v>
      </c>
      <c r="BH120" s="1247">
        <f t="shared" si="94"/>
        <v>3.2291794808709556E-2</v>
      </c>
    </row>
    <row r="121" spans="1:60" ht="12.75" customHeight="1" x14ac:dyDescent="0.3">
      <c r="A121" s="364" t="s">
        <v>222</v>
      </c>
      <c r="B121" s="366" t="s">
        <v>223</v>
      </c>
      <c r="C121" s="186" t="s">
        <v>252</v>
      </c>
      <c r="D121" s="1975">
        <v>29149</v>
      </c>
      <c r="E121" s="1976">
        <v>728</v>
      </c>
      <c r="F121" s="1977">
        <f t="shared" si="76"/>
        <v>2.4975127791690966E-2</v>
      </c>
      <c r="G121" s="1988">
        <v>30900</v>
      </c>
      <c r="H121" s="1989">
        <v>960</v>
      </c>
      <c r="I121" s="1964">
        <f t="shared" si="77"/>
        <v>3.1067961165048542E-2</v>
      </c>
      <c r="J121" s="1988">
        <v>33162</v>
      </c>
      <c r="K121" s="1989">
        <v>1424</v>
      </c>
      <c r="L121" s="1995">
        <f t="shared" si="78"/>
        <v>4.2940715276521317E-2</v>
      </c>
      <c r="M121" s="1988">
        <v>34991</v>
      </c>
      <c r="N121" s="1989">
        <v>1503</v>
      </c>
      <c r="O121" s="1995">
        <f t="shared" si="79"/>
        <v>4.2953902432053957E-2</v>
      </c>
      <c r="P121" s="1988">
        <v>36569</v>
      </c>
      <c r="Q121" s="1989">
        <v>1493</v>
      </c>
      <c r="R121" s="1995">
        <f t="shared" si="80"/>
        <v>4.0826929913314554E-2</v>
      </c>
      <c r="S121" s="1988">
        <v>38029</v>
      </c>
      <c r="T121" s="1989">
        <v>1492</v>
      </c>
      <c r="U121" s="1995">
        <f t="shared" si="81"/>
        <v>3.9233216755633855E-2</v>
      </c>
      <c r="V121" s="1988">
        <v>39389</v>
      </c>
      <c r="W121" s="1989">
        <v>1364</v>
      </c>
      <c r="X121" s="1995">
        <f t="shared" si="82"/>
        <v>3.4628957323110512E-2</v>
      </c>
      <c r="Y121" s="1988">
        <v>39601</v>
      </c>
      <c r="Z121" s="1989">
        <v>1310</v>
      </c>
      <c r="AA121" s="1995">
        <f t="shared" si="83"/>
        <v>3.3079972727961413E-2</v>
      </c>
      <c r="AB121" s="1988">
        <v>40917</v>
      </c>
      <c r="AC121" s="1989">
        <v>1675</v>
      </c>
      <c r="AD121" s="1995">
        <f t="shared" si="84"/>
        <v>4.0936530048635039E-2</v>
      </c>
      <c r="AE121" s="1988">
        <v>40694</v>
      </c>
      <c r="AF121" s="1989">
        <v>2834</v>
      </c>
      <c r="AG121" s="1995">
        <f t="shared" si="85"/>
        <v>6.9641716223521902E-2</v>
      </c>
      <c r="AH121" s="1988">
        <v>41505</v>
      </c>
      <c r="AI121" s="1989">
        <v>3241</v>
      </c>
      <c r="AJ121" s="1995">
        <f t="shared" si="86"/>
        <v>7.8086977472593661E-2</v>
      </c>
      <c r="AK121" s="1984">
        <v>41868</v>
      </c>
      <c r="AL121" s="1985">
        <v>3067</v>
      </c>
      <c r="AM121" s="1995">
        <f t="shared" si="87"/>
        <v>7.3254036495652999E-2</v>
      </c>
      <c r="AN121" s="2005">
        <v>41653</v>
      </c>
      <c r="AO121" s="2006">
        <v>2830</v>
      </c>
      <c r="AP121" s="1967">
        <f t="shared" si="88"/>
        <v>6.7942285069502797E-2</v>
      </c>
      <c r="AQ121" s="2005">
        <v>41772</v>
      </c>
      <c r="AR121" s="1119">
        <v>2560</v>
      </c>
      <c r="AS121" s="1967">
        <f t="shared" si="89"/>
        <v>6.1285071339653358E-2</v>
      </c>
      <c r="AT121" s="2011">
        <v>42076</v>
      </c>
      <c r="AU121" s="2012">
        <v>2428</v>
      </c>
      <c r="AV121" s="1995">
        <f t="shared" si="90"/>
        <v>5.7705105048008368E-2</v>
      </c>
      <c r="AW121" s="2005">
        <v>42106</v>
      </c>
      <c r="AX121" s="2015">
        <v>2089</v>
      </c>
      <c r="AY121" s="1995">
        <f t="shared" si="91"/>
        <v>4.9612881774568948E-2</v>
      </c>
      <c r="AZ121" s="2005">
        <v>42341</v>
      </c>
      <c r="BA121" s="2015">
        <v>1983</v>
      </c>
      <c r="BB121" s="1995">
        <f t="shared" si="92"/>
        <v>4.6834037930138635E-2</v>
      </c>
      <c r="BC121" s="1999">
        <v>43492</v>
      </c>
      <c r="BD121" s="1251">
        <v>1808</v>
      </c>
      <c r="BE121" s="1247">
        <f t="shared" si="93"/>
        <v>4.1570863607100154E-2</v>
      </c>
      <c r="BF121" s="1999">
        <v>44014</v>
      </c>
      <c r="BG121" s="1251">
        <v>1419</v>
      </c>
      <c r="BH121" s="1247">
        <f t="shared" si="94"/>
        <v>3.2239741900304451E-2</v>
      </c>
    </row>
    <row r="122" spans="1:60" ht="12.75" customHeight="1" x14ac:dyDescent="0.3">
      <c r="A122" s="364" t="s">
        <v>230</v>
      </c>
      <c r="B122" s="366" t="s">
        <v>231</v>
      </c>
      <c r="C122" s="186" t="s">
        <v>252</v>
      </c>
      <c r="D122" s="1975">
        <v>204662</v>
      </c>
      <c r="E122" s="1976">
        <v>4529</v>
      </c>
      <c r="F122" s="1977">
        <f t="shared" si="76"/>
        <v>2.2129169069001572E-2</v>
      </c>
      <c r="G122" s="1988">
        <v>209636</v>
      </c>
      <c r="H122" s="1989">
        <v>6078</v>
      </c>
      <c r="I122" s="1964">
        <f t="shared" si="77"/>
        <v>2.8993111870098648E-2</v>
      </c>
      <c r="J122" s="1988">
        <v>214898</v>
      </c>
      <c r="K122" s="1989">
        <v>7622</v>
      </c>
      <c r="L122" s="1995">
        <f t="shared" si="78"/>
        <v>3.5467989464769333E-2</v>
      </c>
      <c r="M122" s="1988">
        <v>218133</v>
      </c>
      <c r="N122" s="1989">
        <v>7940</v>
      </c>
      <c r="O122" s="1995">
        <f t="shared" si="79"/>
        <v>3.6399811124405754E-2</v>
      </c>
      <c r="P122" s="1988">
        <v>220309</v>
      </c>
      <c r="Q122" s="1989">
        <v>7539</v>
      </c>
      <c r="R122" s="1995">
        <f t="shared" si="80"/>
        <v>3.4220118106840849E-2</v>
      </c>
      <c r="S122" s="1988">
        <v>221406</v>
      </c>
      <c r="T122" s="1989">
        <v>7322</v>
      </c>
      <c r="U122" s="1995">
        <f t="shared" si="81"/>
        <v>3.307046782833347E-2</v>
      </c>
      <c r="V122" s="1988">
        <v>221872</v>
      </c>
      <c r="W122" s="1989">
        <v>6438</v>
      </c>
      <c r="X122" s="1995">
        <f t="shared" si="82"/>
        <v>2.9016730367058485E-2</v>
      </c>
      <c r="Y122" s="1988">
        <v>221889</v>
      </c>
      <c r="Z122" s="1989">
        <v>6140</v>
      </c>
      <c r="AA122" s="1995">
        <f t="shared" si="83"/>
        <v>2.7671493404359839E-2</v>
      </c>
      <c r="AB122" s="1988">
        <v>226108</v>
      </c>
      <c r="AC122" s="1989">
        <v>8222</v>
      </c>
      <c r="AD122" s="1995">
        <f t="shared" si="84"/>
        <v>3.6363153891060908E-2</v>
      </c>
      <c r="AE122" s="1988">
        <v>220310</v>
      </c>
      <c r="AF122" s="1989">
        <v>13694</v>
      </c>
      <c r="AG122" s="1995">
        <f t="shared" si="85"/>
        <v>6.2157868458081793E-2</v>
      </c>
      <c r="AH122" s="1988">
        <v>223231</v>
      </c>
      <c r="AI122" s="1989">
        <v>14473</v>
      </c>
      <c r="AJ122" s="1995">
        <f t="shared" si="86"/>
        <v>6.483418521621101E-2</v>
      </c>
      <c r="AK122" s="1984">
        <v>227135</v>
      </c>
      <c r="AL122" s="1985">
        <v>13877</v>
      </c>
      <c r="AM122" s="1995">
        <f t="shared" si="87"/>
        <v>6.1095824069386045E-2</v>
      </c>
      <c r="AN122" s="2005">
        <v>227904</v>
      </c>
      <c r="AO122" s="2006">
        <v>12921</v>
      </c>
      <c r="AP122" s="1967">
        <f t="shared" si="88"/>
        <v>5.6694924178601516E-2</v>
      </c>
      <c r="AQ122" s="2005">
        <v>229380</v>
      </c>
      <c r="AR122" s="1119">
        <v>12242</v>
      </c>
      <c r="AS122" s="1967">
        <f t="shared" si="89"/>
        <v>5.3369953788473277E-2</v>
      </c>
      <c r="AT122" s="2011">
        <v>231784</v>
      </c>
      <c r="AU122" s="2012">
        <v>11442</v>
      </c>
      <c r="AV122" s="1995">
        <f t="shared" si="90"/>
        <v>4.9364925965554134E-2</v>
      </c>
      <c r="AW122" s="2005">
        <v>230434</v>
      </c>
      <c r="AX122" s="2015">
        <v>9869</v>
      </c>
      <c r="AY122" s="1995">
        <f t="shared" si="91"/>
        <v>4.2827881302238385E-2</v>
      </c>
      <c r="AZ122" s="2005">
        <v>228787</v>
      </c>
      <c r="BA122" s="2015">
        <v>9012</v>
      </c>
      <c r="BB122" s="1995">
        <f t="shared" si="92"/>
        <v>3.9390349976178719E-2</v>
      </c>
      <c r="BC122" s="1999">
        <v>232521</v>
      </c>
      <c r="BD122" s="1251">
        <v>8373</v>
      </c>
      <c r="BE122" s="1247">
        <f t="shared" si="93"/>
        <v>3.6009650741223372E-2</v>
      </c>
      <c r="BF122" s="1999">
        <v>232342</v>
      </c>
      <c r="BG122" s="1251">
        <v>6647</v>
      </c>
      <c r="BH122" s="1247">
        <f t="shared" si="94"/>
        <v>2.8608688915478044E-2</v>
      </c>
    </row>
    <row r="123" spans="1:60" ht="12.75" customHeight="1" x14ac:dyDescent="0.3">
      <c r="A123" s="364" t="s">
        <v>238</v>
      </c>
      <c r="B123" s="366" t="s">
        <v>239</v>
      </c>
      <c r="C123" s="186" t="s">
        <v>252</v>
      </c>
      <c r="D123" s="1975">
        <v>4577</v>
      </c>
      <c r="E123" s="1976">
        <v>198</v>
      </c>
      <c r="F123" s="1977">
        <f t="shared" si="76"/>
        <v>4.3259777146602577E-2</v>
      </c>
      <c r="G123" s="1988">
        <v>4653</v>
      </c>
      <c r="H123" s="1989">
        <v>264</v>
      </c>
      <c r="I123" s="1964">
        <f t="shared" si="77"/>
        <v>5.6737588652482268E-2</v>
      </c>
      <c r="J123" s="1988">
        <v>4656</v>
      </c>
      <c r="K123" s="1989">
        <v>336</v>
      </c>
      <c r="L123" s="1995">
        <f t="shared" si="78"/>
        <v>7.2164948453608241E-2</v>
      </c>
      <c r="M123" s="1988">
        <v>4647</v>
      </c>
      <c r="N123" s="1989">
        <v>371</v>
      </c>
      <c r="O123" s="1995">
        <f t="shared" si="79"/>
        <v>7.9836453625995271E-2</v>
      </c>
      <c r="P123" s="1988">
        <v>4669</v>
      </c>
      <c r="Q123" s="1989">
        <v>350</v>
      </c>
      <c r="R123" s="1995">
        <f t="shared" si="80"/>
        <v>7.4962518740629688E-2</v>
      </c>
      <c r="S123" s="1988">
        <v>4800</v>
      </c>
      <c r="T123" s="1989">
        <v>343</v>
      </c>
      <c r="U123" s="1995">
        <f t="shared" si="81"/>
        <v>7.1458333333333332E-2</v>
      </c>
      <c r="V123" s="1988">
        <v>4815</v>
      </c>
      <c r="W123" s="1989">
        <v>282</v>
      </c>
      <c r="X123" s="1995">
        <f t="shared" si="82"/>
        <v>5.8566978193146414E-2</v>
      </c>
      <c r="Y123" s="1988">
        <v>5087</v>
      </c>
      <c r="Z123" s="1989">
        <v>287</v>
      </c>
      <c r="AA123" s="1995">
        <f t="shared" si="83"/>
        <v>5.6418321210929823E-2</v>
      </c>
      <c r="AB123" s="1988">
        <v>5338</v>
      </c>
      <c r="AC123" s="1989">
        <v>459</v>
      </c>
      <c r="AD123" s="1995">
        <f t="shared" si="84"/>
        <v>8.598726114649681E-2</v>
      </c>
      <c r="AE123" s="1988">
        <v>5578</v>
      </c>
      <c r="AF123" s="1989">
        <v>856</v>
      </c>
      <c r="AG123" s="1995">
        <f t="shared" si="85"/>
        <v>0.15346002151308713</v>
      </c>
      <c r="AH123" s="1988">
        <v>5818</v>
      </c>
      <c r="AI123" s="1989">
        <v>595</v>
      </c>
      <c r="AJ123" s="1995">
        <f t="shared" si="86"/>
        <v>0.10226882090065315</v>
      </c>
      <c r="AK123" s="1984">
        <v>6005</v>
      </c>
      <c r="AL123" s="1985">
        <v>589</v>
      </c>
      <c r="AM123" s="1995">
        <f t="shared" si="87"/>
        <v>9.8084929225645295E-2</v>
      </c>
      <c r="AN123" s="2005">
        <v>6231</v>
      </c>
      <c r="AO123" s="2006">
        <v>554</v>
      </c>
      <c r="AP123" s="1967">
        <f t="shared" si="88"/>
        <v>8.8910287273310865E-2</v>
      </c>
      <c r="AQ123" s="2005">
        <v>6251</v>
      </c>
      <c r="AR123" s="1119">
        <v>518</v>
      </c>
      <c r="AS123" s="1967">
        <f t="shared" si="89"/>
        <v>8.2866741321388576E-2</v>
      </c>
      <c r="AT123" s="2011">
        <v>6891</v>
      </c>
      <c r="AU123" s="2012">
        <v>488</v>
      </c>
      <c r="AV123" s="1995">
        <f t="shared" si="90"/>
        <v>7.0817007691191411E-2</v>
      </c>
      <c r="AW123" s="2005">
        <v>6572</v>
      </c>
      <c r="AX123" s="2015">
        <v>417</v>
      </c>
      <c r="AY123" s="1995">
        <f t="shared" si="91"/>
        <v>6.3451004260499086E-2</v>
      </c>
      <c r="AZ123" s="2005">
        <v>6630</v>
      </c>
      <c r="BA123" s="2015">
        <v>370</v>
      </c>
      <c r="BB123" s="1995">
        <f t="shared" si="92"/>
        <v>5.5806938159879339E-2</v>
      </c>
      <c r="BC123" s="1999">
        <v>6820</v>
      </c>
      <c r="BD123" s="1251">
        <v>360</v>
      </c>
      <c r="BE123" s="1247">
        <f t="shared" si="93"/>
        <v>5.2785923753665691E-2</v>
      </c>
      <c r="BF123" s="1999">
        <v>6729</v>
      </c>
      <c r="BG123" s="1251">
        <v>271</v>
      </c>
      <c r="BH123" s="1247">
        <f t="shared" si="94"/>
        <v>4.0273443305097342E-2</v>
      </c>
    </row>
    <row r="124" spans="1:60" ht="12.75" customHeight="1" x14ac:dyDescent="0.3">
      <c r="A124" s="368" t="s">
        <v>240</v>
      </c>
      <c r="B124" s="369" t="s">
        <v>241</v>
      </c>
      <c r="C124" s="1969" t="s">
        <v>255</v>
      </c>
      <c r="D124" s="1980">
        <v>12835</v>
      </c>
      <c r="E124" s="1981">
        <v>284</v>
      </c>
      <c r="F124" s="1982">
        <f t="shared" si="76"/>
        <v>2.2126996493961822E-2</v>
      </c>
      <c r="G124" s="1992">
        <v>13031</v>
      </c>
      <c r="H124" s="1993">
        <v>416</v>
      </c>
      <c r="I124" s="1965">
        <f t="shared" si="77"/>
        <v>3.1923873839306269E-2</v>
      </c>
      <c r="J124" s="1992">
        <v>13313</v>
      </c>
      <c r="K124" s="1993">
        <v>525</v>
      </c>
      <c r="L124" s="1997">
        <f t="shared" si="78"/>
        <v>3.9435138586344176E-2</v>
      </c>
      <c r="M124" s="1992">
        <v>13505</v>
      </c>
      <c r="N124" s="1993">
        <v>495</v>
      </c>
      <c r="O124" s="1997">
        <f t="shared" si="79"/>
        <v>3.6653091447611995E-2</v>
      </c>
      <c r="P124" s="1992">
        <v>13822</v>
      </c>
      <c r="Q124" s="1993">
        <v>443</v>
      </c>
      <c r="R124" s="1997">
        <f t="shared" si="80"/>
        <v>3.2050354507307192E-2</v>
      </c>
      <c r="S124" s="1992">
        <v>13827</v>
      </c>
      <c r="T124" s="1993">
        <v>424</v>
      </c>
      <c r="U124" s="1997">
        <f t="shared" si="81"/>
        <v>3.0664641643161929E-2</v>
      </c>
      <c r="V124" s="1992">
        <v>14231</v>
      </c>
      <c r="W124" s="1993">
        <v>414</v>
      </c>
      <c r="X124" s="1997">
        <f t="shared" si="82"/>
        <v>2.9091420139132879E-2</v>
      </c>
      <c r="Y124" s="1992">
        <v>14258</v>
      </c>
      <c r="Z124" s="1993">
        <v>461</v>
      </c>
      <c r="AA124" s="1997">
        <f t="shared" si="83"/>
        <v>3.2332725487445646E-2</v>
      </c>
      <c r="AB124" s="1992">
        <v>14371</v>
      </c>
      <c r="AC124" s="1993">
        <v>656</v>
      </c>
      <c r="AD124" s="1997">
        <f t="shared" si="84"/>
        <v>4.564748451743094E-2</v>
      </c>
      <c r="AE124" s="1992">
        <v>14268</v>
      </c>
      <c r="AF124" s="1993">
        <v>1199</v>
      </c>
      <c r="AG124" s="1997">
        <f t="shared" si="85"/>
        <v>8.4034202410989634E-2</v>
      </c>
      <c r="AH124" s="1992">
        <v>13846</v>
      </c>
      <c r="AI124" s="1993">
        <v>1058</v>
      </c>
      <c r="AJ124" s="1997">
        <f t="shared" si="86"/>
        <v>7.6411960132890366E-2</v>
      </c>
      <c r="AK124" s="1383">
        <v>14369</v>
      </c>
      <c r="AL124" s="1384">
        <v>1043</v>
      </c>
      <c r="AM124" s="1997">
        <f t="shared" si="87"/>
        <v>7.2586818846127082E-2</v>
      </c>
      <c r="AN124" s="1385">
        <v>14477</v>
      </c>
      <c r="AO124" s="1386">
        <v>899</v>
      </c>
      <c r="AP124" s="1968">
        <f t="shared" si="88"/>
        <v>6.2098501070663809E-2</v>
      </c>
      <c r="AQ124" s="1385">
        <v>14673</v>
      </c>
      <c r="AR124" s="1387">
        <v>790</v>
      </c>
      <c r="AS124" s="1968">
        <f t="shared" si="89"/>
        <v>5.3840387105568051E-2</v>
      </c>
      <c r="AT124" s="1388">
        <v>14501</v>
      </c>
      <c r="AU124" s="2013">
        <v>726</v>
      </c>
      <c r="AV124" s="1997">
        <f t="shared" si="90"/>
        <v>5.0065512723260465E-2</v>
      </c>
      <c r="AW124" s="1385">
        <v>14519</v>
      </c>
      <c r="AX124" s="2016">
        <v>630</v>
      </c>
      <c r="AY124" s="1997">
        <f t="shared" si="91"/>
        <v>4.3391418141745297E-2</v>
      </c>
      <c r="AZ124" s="1385">
        <v>14289</v>
      </c>
      <c r="BA124" s="2016">
        <v>563</v>
      </c>
      <c r="BB124" s="1997">
        <f t="shared" si="92"/>
        <v>3.9400937784309607E-2</v>
      </c>
      <c r="BC124" s="2000">
        <v>14570</v>
      </c>
      <c r="BD124" s="1389">
        <v>527</v>
      </c>
      <c r="BE124" s="1248">
        <f t="shared" si="93"/>
        <v>3.6170212765957444E-2</v>
      </c>
      <c r="BF124" s="2000">
        <v>14588</v>
      </c>
      <c r="BG124" s="1389">
        <v>427</v>
      </c>
      <c r="BH124" s="1248">
        <f t="shared" si="94"/>
        <v>2.927063339731286E-2</v>
      </c>
    </row>
    <row r="125" spans="1:60" ht="15" customHeight="1" x14ac:dyDescent="0.3">
      <c r="A125" s="364"/>
      <c r="B125" s="371"/>
      <c r="C125" s="186"/>
      <c r="D125" s="1961"/>
      <c r="E125" s="186"/>
      <c r="F125" s="1983"/>
      <c r="G125" s="1994"/>
      <c r="H125" s="373"/>
      <c r="I125" s="1964"/>
      <c r="J125" s="1994"/>
      <c r="K125" s="373"/>
      <c r="L125" s="1964"/>
      <c r="M125" s="1994"/>
      <c r="N125" s="373"/>
      <c r="O125" s="1964"/>
      <c r="P125" s="1994"/>
      <c r="Q125" s="373"/>
      <c r="R125" s="1964"/>
      <c r="S125" s="1994"/>
      <c r="T125" s="373"/>
      <c r="U125" s="1964"/>
      <c r="V125" s="1994"/>
      <c r="W125" s="373"/>
      <c r="X125" s="1964"/>
      <c r="Y125" s="1994"/>
      <c r="Z125" s="373"/>
      <c r="AA125" s="1964"/>
      <c r="AB125" s="1994"/>
      <c r="AC125" s="373"/>
      <c r="AD125" s="1964"/>
      <c r="AE125" s="1994"/>
      <c r="AF125" s="373"/>
      <c r="AG125" s="1964"/>
      <c r="AH125" s="1994"/>
      <c r="AI125" s="373"/>
      <c r="AJ125" s="1964"/>
      <c r="AK125" s="2001"/>
      <c r="AL125" s="374"/>
      <c r="AM125" s="2002"/>
      <c r="AN125" s="2007"/>
      <c r="AO125" s="714"/>
      <c r="AP125" s="2002"/>
      <c r="AQ125" s="2007"/>
      <c r="AR125" s="714"/>
      <c r="AS125" s="2002"/>
      <c r="AT125" s="2011"/>
      <c r="AU125" s="2012"/>
      <c r="AV125" s="2014"/>
      <c r="AW125" s="2011"/>
      <c r="AX125" s="2012"/>
      <c r="AY125" s="2014"/>
      <c r="AZ125" s="2011"/>
      <c r="BA125" s="2012"/>
      <c r="BB125" s="2014"/>
      <c r="BE125" s="183"/>
      <c r="BH125" s="183"/>
    </row>
    <row r="126" spans="1:60" ht="15" customHeight="1" x14ac:dyDescent="0.3">
      <c r="A126" s="527" t="s">
        <v>254</v>
      </c>
      <c r="B126" s="371"/>
      <c r="C126" s="186"/>
      <c r="D126" s="1984">
        <v>589140</v>
      </c>
      <c r="E126" s="1985">
        <v>12772</v>
      </c>
      <c r="F126" s="1967">
        <f>E126/D126</f>
        <v>2.1679057609396746E-2</v>
      </c>
      <c r="G126" s="1984">
        <v>599526</v>
      </c>
      <c r="H126" s="1985">
        <v>19203</v>
      </c>
      <c r="I126" s="1995">
        <f>H126/G126</f>
        <v>3.2030303940112692E-2</v>
      </c>
      <c r="J126" s="1984">
        <v>612786</v>
      </c>
      <c r="K126" s="1985">
        <v>25482</v>
      </c>
      <c r="L126" s="1995">
        <f>K126/J126</f>
        <v>4.1583848194965287E-2</v>
      </c>
      <c r="M126" s="1984">
        <v>623054</v>
      </c>
      <c r="N126" s="1985">
        <v>26414</v>
      </c>
      <c r="O126" s="1995">
        <f>N126/M126</f>
        <v>4.2394399201353336E-2</v>
      </c>
      <c r="P126" s="1984">
        <v>635544</v>
      </c>
      <c r="Q126" s="1985">
        <v>25061</v>
      </c>
      <c r="R126" s="1995">
        <f>Q126/P126</f>
        <v>3.9432360308648967E-2</v>
      </c>
      <c r="S126" s="1984">
        <v>645966</v>
      </c>
      <c r="T126" s="1985">
        <v>24624</v>
      </c>
      <c r="U126" s="1995">
        <f>T126/S126</f>
        <v>3.8119653356368605E-2</v>
      </c>
      <c r="V126" s="1984">
        <v>656948</v>
      </c>
      <c r="W126" s="1985">
        <v>21483</v>
      </c>
      <c r="X126" s="1995">
        <f>W126/V126</f>
        <v>3.2701218361270601E-2</v>
      </c>
      <c r="Y126" s="1984">
        <v>663432</v>
      </c>
      <c r="Z126" s="1985">
        <v>21275</v>
      </c>
      <c r="AA126" s="1995">
        <f>Z126/Y126</f>
        <v>3.2068094393999685E-2</v>
      </c>
      <c r="AB126" s="1984">
        <v>684214</v>
      </c>
      <c r="AC126" s="1985">
        <v>29149</v>
      </c>
      <c r="AD126" s="1995">
        <f>AC126/AB126</f>
        <v>4.2602168327453109E-2</v>
      </c>
      <c r="AE126" s="1984">
        <v>679879</v>
      </c>
      <c r="AF126" s="1985">
        <v>53296</v>
      </c>
      <c r="AG126" s="1995">
        <f>AF126/AE126</f>
        <v>7.8390419471700112E-2</v>
      </c>
      <c r="AH126" s="1984">
        <v>678960</v>
      </c>
      <c r="AI126" s="1985">
        <v>54241</v>
      </c>
      <c r="AJ126" s="1995">
        <f>AI126/AH126</f>
        <v>7.9888358666195355E-2</v>
      </c>
      <c r="AK126" s="1984">
        <v>689669</v>
      </c>
      <c r="AL126" s="1985">
        <v>49566</v>
      </c>
      <c r="AM126" s="1995">
        <f>AL126/AK126</f>
        <v>7.1869259021356616E-2</v>
      </c>
      <c r="AN126" s="1984">
        <v>693851</v>
      </c>
      <c r="AO126" s="1985">
        <v>44608</v>
      </c>
      <c r="AP126" s="1995">
        <f>AO126/AN126</f>
        <v>6.4290460055545062E-2</v>
      </c>
      <c r="AQ126" s="1984">
        <v>698224</v>
      </c>
      <c r="AR126" s="1120">
        <v>41709</v>
      </c>
      <c r="AS126" s="1995">
        <f>AR126/AQ126</f>
        <v>5.9735844084419898E-2</v>
      </c>
      <c r="AT126" s="2005">
        <v>709119</v>
      </c>
      <c r="AU126" s="2015">
        <v>38957</v>
      </c>
      <c r="AV126" s="1995">
        <f>AU126/AT126</f>
        <v>5.4937182616739924E-2</v>
      </c>
      <c r="AW126" s="2005">
        <v>713186</v>
      </c>
      <c r="AX126" s="2015">
        <v>33154</v>
      </c>
      <c r="AY126" s="1995">
        <f>AX126/AW126</f>
        <v>4.6487171649471526E-2</v>
      </c>
      <c r="AZ126" s="2005">
        <v>714983</v>
      </c>
      <c r="BA126" s="2015">
        <v>29482</v>
      </c>
      <c r="BB126" s="1995">
        <f>BA126/AZ126</f>
        <v>4.1234546835379304E-2</v>
      </c>
      <c r="BC126" s="2268">
        <v>728316</v>
      </c>
      <c r="BD126" s="1249">
        <v>28636</v>
      </c>
      <c r="BE126" s="1964">
        <f>BD126/BC126</f>
        <v>3.9318098188149103E-2</v>
      </c>
      <c r="BF126" s="2268">
        <v>729698</v>
      </c>
      <c r="BG126" s="1249">
        <v>23097</v>
      </c>
      <c r="BH126" s="1964">
        <f>BG126/BF126</f>
        <v>3.1652820755983982E-2</v>
      </c>
    </row>
    <row r="127" spans="1:60" ht="15" customHeight="1" x14ac:dyDescent="0.3">
      <c r="A127" s="527" t="s">
        <v>252</v>
      </c>
      <c r="B127" s="371"/>
      <c r="C127" s="186"/>
      <c r="D127" s="1984">
        <v>790104</v>
      </c>
      <c r="E127" s="1985">
        <v>20092</v>
      </c>
      <c r="F127" s="1967">
        <f>E127/D127</f>
        <v>2.5429563703006187E-2</v>
      </c>
      <c r="G127" s="1984">
        <v>809343</v>
      </c>
      <c r="H127" s="1985">
        <v>26884</v>
      </c>
      <c r="I127" s="1995">
        <f>H127/G127</f>
        <v>3.321706618825393E-2</v>
      </c>
      <c r="J127" s="1984">
        <v>834322</v>
      </c>
      <c r="K127" s="1985">
        <v>34653</v>
      </c>
      <c r="L127" s="1995">
        <f>K127/J127</f>
        <v>4.1534323678387962E-2</v>
      </c>
      <c r="M127" s="1984">
        <v>848187</v>
      </c>
      <c r="N127" s="1985">
        <v>36295</v>
      </c>
      <c r="O127" s="1995">
        <f>N127/M127</f>
        <v>4.2791271264473518E-2</v>
      </c>
      <c r="P127" s="1984">
        <v>857407</v>
      </c>
      <c r="Q127" s="1985">
        <v>34949</v>
      </c>
      <c r="R127" s="1995">
        <f>Q127/P127</f>
        <v>4.0761272067991045E-2</v>
      </c>
      <c r="S127" s="1984">
        <v>865422</v>
      </c>
      <c r="T127" s="1985">
        <v>34525</v>
      </c>
      <c r="U127" s="1995">
        <f>T127/S127</f>
        <v>3.9893832142007021E-2</v>
      </c>
      <c r="V127" s="1984">
        <v>871524</v>
      </c>
      <c r="W127" s="1985">
        <v>29679</v>
      </c>
      <c r="X127" s="1995">
        <f>W127/V127</f>
        <v>3.4054139645035592E-2</v>
      </c>
      <c r="Y127" s="1984">
        <v>878077</v>
      </c>
      <c r="Z127" s="1985">
        <v>29057</v>
      </c>
      <c r="AA127" s="1995">
        <f>Z127/Y127</f>
        <v>3.3091630916195276E-2</v>
      </c>
      <c r="AB127" s="1984">
        <v>898015</v>
      </c>
      <c r="AC127" s="1985">
        <v>38385</v>
      </c>
      <c r="AD127" s="1995">
        <f>AC127/AB127</f>
        <v>4.2744274872914149E-2</v>
      </c>
      <c r="AE127" s="1984">
        <v>890451</v>
      </c>
      <c r="AF127" s="1985">
        <v>64560</v>
      </c>
      <c r="AG127" s="1995">
        <f>AF127/AE127</f>
        <v>7.2502585768335376E-2</v>
      </c>
      <c r="AH127" s="1984">
        <v>890332</v>
      </c>
      <c r="AI127" s="1985">
        <v>68256</v>
      </c>
      <c r="AJ127" s="1995">
        <f>AI127/AH127</f>
        <v>7.6663536748089484E-2</v>
      </c>
      <c r="AK127" s="1984">
        <v>899059</v>
      </c>
      <c r="AL127" s="1985">
        <v>65102</v>
      </c>
      <c r="AM127" s="1995">
        <f>AL127/AK127</f>
        <v>7.2411265556543009E-2</v>
      </c>
      <c r="AN127" s="1984">
        <v>898951</v>
      </c>
      <c r="AO127" s="1985">
        <v>59703</v>
      </c>
      <c r="AP127" s="1995">
        <f>AO127/AN127</f>
        <v>6.6414075961871114E-2</v>
      </c>
      <c r="AQ127" s="1984">
        <v>901944</v>
      </c>
      <c r="AR127" s="1120">
        <v>55359</v>
      </c>
      <c r="AS127" s="1995">
        <f>AR127/AQ127</f>
        <v>6.1377424762512969E-2</v>
      </c>
      <c r="AT127" s="2005">
        <v>911181</v>
      </c>
      <c r="AU127" s="2015">
        <v>52242</v>
      </c>
      <c r="AV127" s="1995">
        <f>AU127/AT127</f>
        <v>5.7334382521145637E-2</v>
      </c>
      <c r="AW127" s="2005">
        <v>905490</v>
      </c>
      <c r="AX127" s="2015">
        <v>45000</v>
      </c>
      <c r="AY127" s="1995">
        <f>AX127/AW127</f>
        <v>4.9696849219759469E-2</v>
      </c>
      <c r="AZ127" s="2005">
        <v>899641</v>
      </c>
      <c r="BA127" s="2015">
        <v>41605</v>
      </c>
      <c r="BB127" s="1995">
        <f>BA127/AZ127</f>
        <v>4.6246224883036681E-2</v>
      </c>
      <c r="BC127" s="2268">
        <v>912760</v>
      </c>
      <c r="BD127" s="1249">
        <v>38411</v>
      </c>
      <c r="BE127" s="1964">
        <f>BD127/BC127</f>
        <v>4.2082256014724574E-2</v>
      </c>
      <c r="BF127" s="2268">
        <v>914155</v>
      </c>
      <c r="BG127" s="1249">
        <v>30215</v>
      </c>
      <c r="BH127" s="1964">
        <f>BG127/BF127</f>
        <v>3.3052381707697275E-2</v>
      </c>
    </row>
    <row r="128" spans="1:60" ht="15" customHeight="1" x14ac:dyDescent="0.3">
      <c r="A128" s="527" t="s">
        <v>255</v>
      </c>
      <c r="B128" s="371"/>
      <c r="C128" s="186"/>
      <c r="D128" s="1984">
        <v>1402523</v>
      </c>
      <c r="E128" s="1985">
        <v>23674</v>
      </c>
      <c r="F128" s="1967">
        <f>E128/D128</f>
        <v>1.6879580584418224E-2</v>
      </c>
      <c r="G128" s="1984">
        <v>1438717</v>
      </c>
      <c r="H128" s="1985">
        <v>36108</v>
      </c>
      <c r="I128" s="1995">
        <f>H128/G128</f>
        <v>2.5097361051548011E-2</v>
      </c>
      <c r="J128" s="1984">
        <v>1474609</v>
      </c>
      <c r="K128" s="1985">
        <v>50369</v>
      </c>
      <c r="L128" s="1995">
        <f>K128/J128</f>
        <v>3.4157529216219347E-2</v>
      </c>
      <c r="M128" s="1984">
        <v>1502602</v>
      </c>
      <c r="N128" s="1985">
        <v>48411</v>
      </c>
      <c r="O128" s="1995">
        <f>N128/M128</f>
        <v>3.2218112314505103E-2</v>
      </c>
      <c r="P128" s="1984">
        <v>1549035</v>
      </c>
      <c r="Q128" s="1985">
        <v>43560</v>
      </c>
      <c r="R128" s="1995">
        <f>Q128/P128</f>
        <v>2.8120733230688783E-2</v>
      </c>
      <c r="S128" s="1984">
        <v>1589464</v>
      </c>
      <c r="T128" s="1985">
        <v>42338</v>
      </c>
      <c r="U128" s="1995">
        <f>T128/S128</f>
        <v>2.6636652355762697E-2</v>
      </c>
      <c r="V128" s="1984">
        <v>1629620</v>
      </c>
      <c r="W128" s="1985">
        <v>38214</v>
      </c>
      <c r="X128" s="1995">
        <f>W128/V128</f>
        <v>2.3449638566046073E-2</v>
      </c>
      <c r="Y128" s="1984">
        <v>1645544</v>
      </c>
      <c r="Z128" s="1985">
        <v>39692</v>
      </c>
      <c r="AA128" s="1995">
        <f>Z128/Y128</f>
        <v>2.4120898620760063E-2</v>
      </c>
      <c r="AB128" s="1984">
        <v>1702014</v>
      </c>
      <c r="AC128" s="1985">
        <v>54375</v>
      </c>
      <c r="AD128" s="1995">
        <f>AC128/AB128</f>
        <v>3.1947445790692676E-2</v>
      </c>
      <c r="AE128" s="1984">
        <v>1702367</v>
      </c>
      <c r="AF128" s="1985">
        <v>94960</v>
      </c>
      <c r="AG128" s="1995">
        <f>AF128/AE128</f>
        <v>5.5781156472135565E-2</v>
      </c>
      <c r="AH128" s="1984">
        <v>1723194</v>
      </c>
      <c r="AI128" s="1985">
        <v>97325</v>
      </c>
      <c r="AJ128" s="1995">
        <f>AI128/AH128</f>
        <v>5.647942135360267E-2</v>
      </c>
      <c r="AK128" s="1984">
        <v>1767637</v>
      </c>
      <c r="AL128" s="1985">
        <v>90880</v>
      </c>
      <c r="AM128" s="1995">
        <f>AL128/AK128</f>
        <v>5.1413270937415316E-2</v>
      </c>
      <c r="AN128" s="1984">
        <v>1784674</v>
      </c>
      <c r="AO128" s="1985">
        <v>84979</v>
      </c>
      <c r="AP128" s="1995">
        <f>AO128/AN128</f>
        <v>4.7615979164822256E-2</v>
      </c>
      <c r="AQ128" s="1984">
        <v>1797933</v>
      </c>
      <c r="AR128" s="1120">
        <v>82112</v>
      </c>
      <c r="AS128" s="1995">
        <f>AR128/AQ128</f>
        <v>4.5670222416519413E-2</v>
      </c>
      <c r="AT128" s="2005">
        <v>1801813</v>
      </c>
      <c r="AU128" s="2015">
        <v>78855</v>
      </c>
      <c r="AV128" s="1995">
        <f>AU128/AT128</f>
        <v>4.3764253005167571E-2</v>
      </c>
      <c r="AW128" s="2005">
        <v>1794515</v>
      </c>
      <c r="AX128" s="2015">
        <v>68003</v>
      </c>
      <c r="AY128" s="1995">
        <f>AX128/AW128</f>
        <v>3.7894918682763866E-2</v>
      </c>
      <c r="AZ128" s="2005">
        <v>1807255</v>
      </c>
      <c r="BA128" s="2015">
        <v>60444</v>
      </c>
      <c r="BB128" s="1995">
        <f>BA128/AZ128</f>
        <v>3.3445197274319341E-2</v>
      </c>
      <c r="BC128" s="2268">
        <v>1846971</v>
      </c>
      <c r="BD128" s="1249">
        <v>58860</v>
      </c>
      <c r="BE128" s="1964">
        <f>BD128/BC128</f>
        <v>3.1868394251994211E-2</v>
      </c>
      <c r="BF128" s="2268">
        <v>1862543</v>
      </c>
      <c r="BG128" s="1249">
        <v>47474</v>
      </c>
      <c r="BH128" s="1964">
        <f>BG128/BF128</f>
        <v>2.5488807506726018E-2</v>
      </c>
    </row>
    <row r="129" spans="1:60" ht="15" customHeight="1" x14ac:dyDescent="0.3">
      <c r="A129" s="527" t="s">
        <v>253</v>
      </c>
      <c r="B129" s="371"/>
      <c r="C129" s="186"/>
      <c r="D129" s="1984">
        <v>540908</v>
      </c>
      <c r="E129" s="1985">
        <v>14526</v>
      </c>
      <c r="F129" s="1967">
        <f>E129/D129</f>
        <v>2.6854844076996457E-2</v>
      </c>
      <c r="G129" s="1984">
        <v>544018</v>
      </c>
      <c r="H129" s="1985">
        <v>21447</v>
      </c>
      <c r="I129" s="1995">
        <f>H129/G129</f>
        <v>3.9423327904591389E-2</v>
      </c>
      <c r="J129" s="1984">
        <v>553934</v>
      </c>
      <c r="K129" s="1985">
        <v>30022</v>
      </c>
      <c r="L129" s="1995">
        <f>K129/J129</f>
        <v>5.419779251679803E-2</v>
      </c>
      <c r="M129" s="1984">
        <v>553817</v>
      </c>
      <c r="N129" s="1985">
        <v>29183</v>
      </c>
      <c r="O129" s="1995">
        <f>N129/M129</f>
        <v>5.2694301547261999E-2</v>
      </c>
      <c r="P129" s="1984">
        <v>546694</v>
      </c>
      <c r="Q129" s="1985">
        <v>25700</v>
      </c>
      <c r="R129" s="1995">
        <f>Q129/P129</f>
        <v>4.7009844629719737E-2</v>
      </c>
      <c r="S129" s="1984">
        <v>551231</v>
      </c>
      <c r="T129" s="1985">
        <v>23933</v>
      </c>
      <c r="U129" s="1995">
        <f>T129/S129</f>
        <v>4.3417369487565104E-2</v>
      </c>
      <c r="V129" s="1984">
        <v>556484</v>
      </c>
      <c r="W129" s="1985">
        <v>20465</v>
      </c>
      <c r="X129" s="1995">
        <f>W129/V129</f>
        <v>3.6775540716354825E-2</v>
      </c>
      <c r="Y129" s="1984">
        <v>559677</v>
      </c>
      <c r="Z129" s="1985">
        <v>20893</v>
      </c>
      <c r="AA129" s="1995">
        <f>Z129/Y129</f>
        <v>3.7330460247607104E-2</v>
      </c>
      <c r="AB129" s="1984">
        <v>574937</v>
      </c>
      <c r="AC129" s="1985">
        <v>27097</v>
      </c>
      <c r="AD129" s="1995">
        <f>AC129/AB129</f>
        <v>4.7130381241770838E-2</v>
      </c>
      <c r="AE129" s="1984">
        <v>574080</v>
      </c>
      <c r="AF129" s="1985">
        <v>48246</v>
      </c>
      <c r="AG129" s="1995">
        <f>AF129/AE129</f>
        <v>8.4040551839464878E-2</v>
      </c>
      <c r="AH129" s="1984">
        <v>567704</v>
      </c>
      <c r="AI129" s="1985">
        <v>48649</v>
      </c>
      <c r="AJ129" s="1995">
        <f>AI129/AH129</f>
        <v>8.5694305483139097E-2</v>
      </c>
      <c r="AK129" s="1984">
        <v>570640</v>
      </c>
      <c r="AL129" s="1985">
        <v>43272</v>
      </c>
      <c r="AM129" s="1995">
        <f>AL129/AK129</f>
        <v>7.5830646291882797E-2</v>
      </c>
      <c r="AN129" s="1984">
        <v>567449</v>
      </c>
      <c r="AO129" s="1985">
        <v>38276</v>
      </c>
      <c r="AP129" s="1995">
        <f>AO129/AN129</f>
        <v>6.7452757868989105E-2</v>
      </c>
      <c r="AQ129" s="1984">
        <v>566992</v>
      </c>
      <c r="AR129" s="1120">
        <v>35678</v>
      </c>
      <c r="AS129" s="1995">
        <f>AR129/AQ129</f>
        <v>6.2925050088890142E-2</v>
      </c>
      <c r="AT129" s="2005">
        <v>572835</v>
      </c>
      <c r="AU129" s="2015">
        <v>32225</v>
      </c>
      <c r="AV129" s="1995">
        <f>AU129/AT129</f>
        <v>5.6255291663393471E-2</v>
      </c>
      <c r="AW129" s="2005">
        <v>565680</v>
      </c>
      <c r="AX129" s="2015">
        <v>27313</v>
      </c>
      <c r="AY129" s="1995">
        <f>AX129/AW129</f>
        <v>4.8283481827181444E-2</v>
      </c>
      <c r="AZ129" s="2005">
        <v>561207</v>
      </c>
      <c r="BA129" s="2015">
        <v>24224</v>
      </c>
      <c r="BB129" s="1995">
        <f>BA129/AZ129</f>
        <v>4.3164108786953835E-2</v>
      </c>
      <c r="BC129" s="2268">
        <v>564624</v>
      </c>
      <c r="BD129" s="1249">
        <v>23289</v>
      </c>
      <c r="BE129" s="1964">
        <f>BD129/BC129</f>
        <v>4.1246918303153961E-2</v>
      </c>
      <c r="BF129" s="2268">
        <v>568372</v>
      </c>
      <c r="BG129" s="1249">
        <v>18436</v>
      </c>
      <c r="BH129" s="1964">
        <f>BG129/BF129</f>
        <v>3.2436502853764787E-2</v>
      </c>
    </row>
    <row r="130" spans="1:60" ht="15" customHeight="1" x14ac:dyDescent="0.3">
      <c r="A130" s="527" t="s">
        <v>256</v>
      </c>
      <c r="B130" s="371"/>
      <c r="C130" s="186"/>
      <c r="D130" s="1984">
        <v>261372</v>
      </c>
      <c r="E130" s="1985">
        <v>10453</v>
      </c>
      <c r="F130" s="1967">
        <f>E130/D130</f>
        <v>3.9992807186691764E-2</v>
      </c>
      <c r="G130" s="1984">
        <v>263789</v>
      </c>
      <c r="H130" s="1985">
        <v>14017</v>
      </c>
      <c r="I130" s="1995">
        <f>H130/G130</f>
        <v>5.3137166447425783E-2</v>
      </c>
      <c r="J130" s="1984">
        <v>269002</v>
      </c>
      <c r="K130" s="1985">
        <v>16039</v>
      </c>
      <c r="L130" s="1995">
        <f>K130/J130</f>
        <v>5.9624092014185767E-2</v>
      </c>
      <c r="M130" s="1984">
        <v>275175</v>
      </c>
      <c r="N130" s="1985">
        <v>15427</v>
      </c>
      <c r="O130" s="1995">
        <f>N130/M130</f>
        <v>5.6062505678204776E-2</v>
      </c>
      <c r="P130" s="1984">
        <v>269277</v>
      </c>
      <c r="Q130" s="1985">
        <v>13411</v>
      </c>
      <c r="R130" s="1995">
        <f>Q130/P130</f>
        <v>4.9803733701727221E-2</v>
      </c>
      <c r="S130" s="1984">
        <v>269717</v>
      </c>
      <c r="T130" s="1985">
        <v>12565</v>
      </c>
      <c r="U130" s="1995">
        <f>T130/S130</f>
        <v>4.6585865926137393E-2</v>
      </c>
      <c r="V130" s="1984">
        <v>269148</v>
      </c>
      <c r="W130" s="1985">
        <v>11368</v>
      </c>
      <c r="X130" s="1995">
        <f>W130/V130</f>
        <v>4.2236984855915705E-2</v>
      </c>
      <c r="Y130" s="1984">
        <v>270456</v>
      </c>
      <c r="Z130" s="1985">
        <v>12158</v>
      </c>
      <c r="AA130" s="1995">
        <f>Z130/Y130</f>
        <v>4.4953707811991601E-2</v>
      </c>
      <c r="AB130" s="1984">
        <v>279048</v>
      </c>
      <c r="AC130" s="1985">
        <v>14591</v>
      </c>
      <c r="AD130" s="1995">
        <f>AC130/AB130</f>
        <v>5.2288495169289871E-2</v>
      </c>
      <c r="AE130" s="1984">
        <v>283371</v>
      </c>
      <c r="AF130" s="1985">
        <v>25987</v>
      </c>
      <c r="AG130" s="1995">
        <f>AF130/AE130</f>
        <v>9.1706631941871258E-2</v>
      </c>
      <c r="AH130" s="1984">
        <v>278985</v>
      </c>
      <c r="AI130" s="1985">
        <v>25395</v>
      </c>
      <c r="AJ130" s="1995">
        <f>AI130/AH130</f>
        <v>9.1026399268777897E-2</v>
      </c>
      <c r="AK130" s="1984">
        <v>281236</v>
      </c>
      <c r="AL130" s="1985">
        <v>22348</v>
      </c>
      <c r="AM130" s="1995">
        <f>AL130/AK130</f>
        <v>7.946351107255116E-2</v>
      </c>
      <c r="AN130" s="1984">
        <v>275726</v>
      </c>
      <c r="AO130" s="1985">
        <v>20500</v>
      </c>
      <c r="AP130" s="1995">
        <f>AO130/AN130</f>
        <v>7.4349172729448798E-2</v>
      </c>
      <c r="AQ130" s="1984">
        <v>275020</v>
      </c>
      <c r="AR130" s="1120">
        <v>20276</v>
      </c>
      <c r="AS130" s="1995">
        <f>AR130/AQ130</f>
        <v>7.3725547232928512E-2</v>
      </c>
      <c r="AT130" s="2005">
        <v>266234</v>
      </c>
      <c r="AU130" s="2015">
        <v>17792</v>
      </c>
      <c r="AV130" s="1995">
        <f>AU130/AT130</f>
        <v>6.6828429126257347E-2</v>
      </c>
      <c r="AW130" s="2005">
        <v>261605</v>
      </c>
      <c r="AX130" s="2015">
        <v>15093</v>
      </c>
      <c r="AY130" s="1995">
        <f>AX130/AW130</f>
        <v>5.7693851417212977E-2</v>
      </c>
      <c r="AZ130" s="2005">
        <v>257330</v>
      </c>
      <c r="BA130" s="2015">
        <v>14396</v>
      </c>
      <c r="BB130" s="1995">
        <f>BA130/AZ130</f>
        <v>5.5943729841060115E-2</v>
      </c>
      <c r="BC130" s="2268">
        <v>255087</v>
      </c>
      <c r="BD130" s="1249">
        <v>12427</v>
      </c>
      <c r="BE130" s="1964">
        <f>BD130/BC130</f>
        <v>4.8716712337359414E-2</v>
      </c>
      <c r="BF130" s="2268">
        <v>256616</v>
      </c>
      <c r="BG130" s="1249">
        <v>9363</v>
      </c>
      <c r="BH130" s="1964">
        <f>BG130/BF130</f>
        <v>3.6486423293948939E-2</v>
      </c>
    </row>
    <row r="131" spans="1:60" ht="15" customHeight="1" x14ac:dyDescent="0.3">
      <c r="A131" s="375"/>
      <c r="B131" s="371"/>
      <c r="C131" s="186"/>
      <c r="D131" s="186"/>
      <c r="E131" s="186"/>
      <c r="F131" s="186"/>
      <c r="G131" s="373"/>
      <c r="H131" s="373"/>
      <c r="I131" s="372"/>
      <c r="J131" s="373"/>
      <c r="K131" s="373"/>
      <c r="L131" s="372"/>
      <c r="M131" s="373"/>
      <c r="N131" s="373"/>
      <c r="O131" s="372"/>
      <c r="P131" s="373"/>
      <c r="Q131" s="373"/>
      <c r="R131" s="372"/>
      <c r="S131" s="373"/>
      <c r="T131" s="373"/>
      <c r="U131" s="372"/>
      <c r="V131" s="373"/>
      <c r="W131" s="373"/>
      <c r="X131" s="372"/>
      <c r="Y131" s="373"/>
      <c r="Z131" s="373"/>
      <c r="AA131" s="372"/>
      <c r="AB131" s="373"/>
      <c r="AC131" s="373"/>
      <c r="AD131" s="372"/>
      <c r="AE131" s="373"/>
      <c r="AF131" s="373"/>
      <c r="AG131" s="372"/>
      <c r="AH131" s="373"/>
      <c r="AI131" s="373"/>
      <c r="AJ131" s="372"/>
      <c r="AK131" s="374"/>
      <c r="AL131" s="374"/>
      <c r="AM131" s="183"/>
      <c r="AP131" s="183"/>
      <c r="AS131" s="183"/>
      <c r="AV131" s="183"/>
      <c r="AY131" s="183"/>
      <c r="BB131" s="183"/>
      <c r="BE131" s="183"/>
      <c r="BH131" s="183"/>
    </row>
    <row r="132" spans="1:60" ht="16.5" customHeight="1" x14ac:dyDescent="0.3">
      <c r="A132" s="1930" t="s">
        <v>685</v>
      </c>
      <c r="B132" s="1931"/>
      <c r="C132" s="1931"/>
      <c r="F132" s="1931"/>
      <c r="I132" s="1931"/>
      <c r="L132" s="1931"/>
      <c r="O132" s="1931"/>
      <c r="R132" s="1931"/>
      <c r="U132" s="1931"/>
      <c r="X132" s="1931"/>
      <c r="AA132" s="1931"/>
      <c r="AD132" s="1931"/>
      <c r="AG132" s="1931"/>
      <c r="AJ132" s="1931"/>
      <c r="AM132" s="1931"/>
      <c r="AP132" s="515"/>
      <c r="AS132" s="515"/>
      <c r="AV132" s="515"/>
      <c r="AY132" s="515"/>
      <c r="BB132" s="515"/>
      <c r="BE132" s="515"/>
      <c r="BH132" s="515"/>
    </row>
    <row r="133" spans="1:60" ht="16.5" customHeight="1" x14ac:dyDescent="0.3">
      <c r="A133" s="1931"/>
      <c r="B133" s="1931"/>
      <c r="C133" s="1931"/>
      <c r="F133" s="1931"/>
      <c r="I133" s="1931"/>
      <c r="L133" s="1931"/>
      <c r="O133" s="1931"/>
      <c r="R133" s="1931"/>
      <c r="U133" s="1931"/>
      <c r="X133" s="1931"/>
      <c r="AA133" s="1931"/>
      <c r="AD133" s="1931"/>
      <c r="AG133" s="1931"/>
      <c r="AJ133" s="1931"/>
      <c r="AM133" s="1931"/>
      <c r="AP133" s="419"/>
      <c r="AS133" s="419"/>
      <c r="AV133" s="419"/>
      <c r="AY133" s="419"/>
      <c r="BB133" s="419"/>
      <c r="BE133" s="419"/>
      <c r="BH133" s="419"/>
    </row>
    <row r="134" spans="1:60" ht="16.5" customHeight="1" x14ac:dyDescent="0.3">
      <c r="A134" s="1931"/>
      <c r="B134" s="1931"/>
      <c r="C134" s="1931"/>
      <c r="F134" s="1931"/>
      <c r="I134" s="1931"/>
      <c r="L134" s="1931"/>
      <c r="O134" s="1931"/>
      <c r="R134" s="1931"/>
      <c r="U134" s="1931"/>
      <c r="X134" s="1931"/>
      <c r="AA134" s="1931"/>
      <c r="AD134" s="1931"/>
      <c r="AG134" s="1931"/>
      <c r="AJ134" s="1931"/>
      <c r="AM134" s="1931"/>
      <c r="AP134" s="419"/>
      <c r="AS134" s="419"/>
      <c r="AV134" s="419"/>
      <c r="AY134" s="419"/>
      <c r="BB134" s="419"/>
      <c r="BE134" s="419"/>
      <c r="BH134" s="419"/>
    </row>
    <row r="135" spans="1:60" x14ac:dyDescent="0.3">
      <c r="A135" s="359" t="s">
        <v>248</v>
      </c>
    </row>
    <row r="136" spans="1:60" x14ac:dyDescent="0.3">
      <c r="A136" s="360" t="s">
        <v>249</v>
      </c>
      <c r="B136" s="361" t="s">
        <v>250</v>
      </c>
    </row>
    <row r="137" spans="1:60" x14ac:dyDescent="0.3">
      <c r="G137" s="376"/>
      <c r="H137" s="376"/>
      <c r="J137" s="376"/>
      <c r="K137" s="376"/>
      <c r="M137" s="376"/>
      <c r="N137" s="376"/>
      <c r="P137" s="376"/>
      <c r="Q137" s="376"/>
      <c r="S137" s="376"/>
      <c r="T137" s="376"/>
      <c r="V137" s="376"/>
      <c r="W137" s="376"/>
      <c r="Y137" s="376"/>
      <c r="Z137" s="376"/>
      <c r="AB137" s="376"/>
      <c r="AC137" s="376"/>
      <c r="AE137" s="376"/>
      <c r="AF137" s="376"/>
      <c r="AH137" s="376"/>
      <c r="AI137" s="376"/>
    </row>
  </sheetData>
  <autoFilter ref="A3:C124"/>
  <sortState ref="A5:BH124">
    <sortCondition ref="A5:A124"/>
  </sortState>
  <mergeCells count="19">
    <mergeCell ref="D2:F2"/>
    <mergeCell ref="G2:I2"/>
    <mergeCell ref="J2:L2"/>
    <mergeCell ref="M2:O2"/>
    <mergeCell ref="P2:R2"/>
    <mergeCell ref="AQ2:AS2"/>
    <mergeCell ref="AT2:AV2"/>
    <mergeCell ref="AW2:AY2"/>
    <mergeCell ref="BF2:BH2"/>
    <mergeCell ref="S2:U2"/>
    <mergeCell ref="V2:X2"/>
    <mergeCell ref="Y2:AA2"/>
    <mergeCell ref="AB2:AD2"/>
    <mergeCell ref="AE2:AG2"/>
    <mergeCell ref="AH2:AJ2"/>
    <mergeCell ref="AZ2:BB2"/>
    <mergeCell ref="BC2:BE2"/>
    <mergeCell ref="AK2:AM2"/>
    <mergeCell ref="AN2:AP2"/>
  </mergeCells>
  <hyperlinks>
    <hyperlink ref="B136"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ySplit="6" topLeftCell="A122" activePane="bottomLeft" state="frozen"/>
      <selection pane="bottomLeft" activeCell="D6" sqref="D6:G6"/>
    </sheetView>
  </sheetViews>
  <sheetFormatPr defaultColWidth="9" defaultRowHeight="15.6" x14ac:dyDescent="0.3"/>
  <cols>
    <col min="1" max="1" width="7.69921875" style="134" customWidth="1"/>
    <col min="2" max="2" width="28.59765625" style="158" customWidth="1"/>
    <col min="3" max="3" width="10" style="158" customWidth="1"/>
    <col min="4" max="4" width="8.296875" style="158" customWidth="1"/>
    <col min="5" max="7" width="8.296875" style="157" customWidth="1"/>
    <col min="8" max="11" width="6.796875" style="134" customWidth="1"/>
    <col min="12" max="15" width="6.796875" style="135" customWidth="1"/>
    <col min="16" max="16384" width="9" style="134"/>
  </cols>
  <sheetData>
    <row r="1" spans="1:15" x14ac:dyDescent="0.3">
      <c r="A1" s="301" t="s">
        <v>1124</v>
      </c>
      <c r="B1" s="301"/>
      <c r="C1" s="301"/>
      <c r="D1" s="301"/>
      <c r="E1" s="301"/>
      <c r="F1" s="301"/>
      <c r="G1" s="301"/>
      <c r="H1" s="301"/>
      <c r="I1" s="302"/>
      <c r="J1" s="302"/>
      <c r="K1" s="302"/>
      <c r="L1" s="302"/>
      <c r="M1" s="302"/>
      <c r="N1" s="302"/>
      <c r="O1" s="302"/>
    </row>
    <row r="2" spans="1:15" x14ac:dyDescent="0.3">
      <c r="A2" s="96"/>
      <c r="B2" s="136"/>
      <c r="C2" s="136"/>
      <c r="D2" s="136"/>
      <c r="E2" s="2724"/>
      <c r="F2" s="2724"/>
      <c r="G2" s="2724"/>
    </row>
    <row r="3" spans="1:15" s="142" customFormat="1" ht="15.75" customHeight="1" x14ac:dyDescent="0.3">
      <c r="A3" s="137"/>
      <c r="B3" s="138"/>
      <c r="C3" s="138"/>
      <c r="D3" s="139" t="s">
        <v>491</v>
      </c>
      <c r="E3" s="140"/>
      <c r="F3" s="140"/>
      <c r="G3" s="141"/>
      <c r="H3" s="2721" t="s">
        <v>492</v>
      </c>
      <c r="I3" s="2722"/>
      <c r="J3" s="2722"/>
      <c r="K3" s="2722"/>
      <c r="L3" s="2722"/>
      <c r="M3" s="2722"/>
      <c r="N3" s="2722"/>
      <c r="O3" s="2722"/>
    </row>
    <row r="4" spans="1:15" s="142" customFormat="1" ht="24.75" customHeight="1" x14ac:dyDescent="0.3">
      <c r="A4" s="2725" t="s">
        <v>4</v>
      </c>
      <c r="B4" s="2727" t="s">
        <v>5</v>
      </c>
      <c r="C4" s="2727" t="s">
        <v>251</v>
      </c>
      <c r="D4" s="2721" t="s">
        <v>493</v>
      </c>
      <c r="E4" s="2722"/>
      <c r="F4" s="2722"/>
      <c r="G4" s="2723"/>
      <c r="H4" s="2721" t="s">
        <v>494</v>
      </c>
      <c r="I4" s="2722"/>
      <c r="J4" s="2722"/>
      <c r="K4" s="2723"/>
      <c r="L4" s="2721" t="s">
        <v>495</v>
      </c>
      <c r="M4" s="2722"/>
      <c r="N4" s="2722"/>
      <c r="O4" s="2723"/>
    </row>
    <row r="5" spans="1:15" s="142" customFormat="1" ht="15" customHeight="1" x14ac:dyDescent="0.3">
      <c r="A5" s="2726"/>
      <c r="B5" s="2728"/>
      <c r="C5" s="2728"/>
      <c r="D5" s="143" t="s">
        <v>496</v>
      </c>
      <c r="E5" s="144" t="s">
        <v>432</v>
      </c>
      <c r="F5" s="144" t="s">
        <v>433</v>
      </c>
      <c r="G5" s="288" t="s">
        <v>497</v>
      </c>
      <c r="H5" s="143" t="s">
        <v>496</v>
      </c>
      <c r="I5" s="144" t="s">
        <v>432</v>
      </c>
      <c r="J5" s="144" t="s">
        <v>433</v>
      </c>
      <c r="K5" s="288" t="s">
        <v>497</v>
      </c>
      <c r="L5" s="143" t="s">
        <v>496</v>
      </c>
      <c r="M5" s="144" t="s">
        <v>432</v>
      </c>
      <c r="N5" s="144" t="s">
        <v>433</v>
      </c>
      <c r="O5" s="145" t="s">
        <v>497</v>
      </c>
    </row>
    <row r="6" spans="1:15" s="142" customFormat="1" ht="15.75" customHeight="1" x14ac:dyDescent="0.3">
      <c r="A6" s="146" t="s">
        <v>8</v>
      </c>
      <c r="B6" s="147" t="s">
        <v>9</v>
      </c>
      <c r="C6" s="148"/>
      <c r="D6" s="1944">
        <f t="shared" ref="D6:G6" si="0">SUM(D7:D126)</f>
        <v>99629</v>
      </c>
      <c r="E6" s="1944">
        <f t="shared" si="0"/>
        <v>61548</v>
      </c>
      <c r="F6" s="1944">
        <f t="shared" si="0"/>
        <v>21010</v>
      </c>
      <c r="G6" s="1944">
        <f t="shared" si="0"/>
        <v>17071</v>
      </c>
      <c r="H6" s="1944">
        <f>SUM(H7:H126)</f>
        <v>33663</v>
      </c>
      <c r="I6" s="949">
        <f t="shared" ref="I6:K6" si="1">SUM(I7:I126)</f>
        <v>14910</v>
      </c>
      <c r="J6" s="949">
        <f t="shared" si="1"/>
        <v>13290</v>
      </c>
      <c r="K6" s="1945">
        <f t="shared" si="1"/>
        <v>5463</v>
      </c>
      <c r="L6" s="278">
        <f>(H6/D6)</f>
        <v>0.33788354796294251</v>
      </c>
      <c r="M6" s="278">
        <f>(I6/E6)</f>
        <v>0.24224995125755508</v>
      </c>
      <c r="N6" s="278">
        <f>(J6/F6)</f>
        <v>0.63255592574964303</v>
      </c>
      <c r="O6" s="278">
        <f>(K6/G6)</f>
        <v>0.32001640208540799</v>
      </c>
    </row>
    <row r="7" spans="1:15" s="142" customFormat="1" ht="15.75" customHeight="1" x14ac:dyDescent="0.3">
      <c r="A7" s="149" t="s">
        <v>10</v>
      </c>
      <c r="B7" s="184" t="s">
        <v>11</v>
      </c>
      <c r="C7" s="150" t="s">
        <v>252</v>
      </c>
      <c r="D7" s="938">
        <v>351</v>
      </c>
      <c r="E7" s="939">
        <v>213</v>
      </c>
      <c r="F7" s="940">
        <v>125</v>
      </c>
      <c r="G7" s="937">
        <v>13</v>
      </c>
      <c r="H7" s="938">
        <v>191</v>
      </c>
      <c r="I7" s="939">
        <v>89</v>
      </c>
      <c r="J7" s="940">
        <v>95</v>
      </c>
      <c r="K7" s="937">
        <v>7</v>
      </c>
      <c r="L7" s="279">
        <f t="shared" ref="L7:L38" si="2">IF(D7=0,"NA",(H7/D7))</f>
        <v>0.54415954415954415</v>
      </c>
      <c r="M7" s="280">
        <f t="shared" ref="M7:M38" si="3">IF(E7=0,"NA",(I7/E7))</f>
        <v>0.41784037558685444</v>
      </c>
      <c r="N7" s="280">
        <f t="shared" ref="N7:N38" si="4">IF(F7=0,"NA",(J7/F7))</f>
        <v>0.76</v>
      </c>
      <c r="O7" s="281">
        <f t="shared" ref="O7:O38" si="5">IF(G7=0,"NA",(K7/G7))</f>
        <v>0.53846153846153844</v>
      </c>
    </row>
    <row r="8" spans="1:15" s="142" customFormat="1" ht="15.75" customHeight="1" x14ac:dyDescent="0.3">
      <c r="A8" s="149" t="s">
        <v>12</v>
      </c>
      <c r="B8" s="185" t="s">
        <v>13</v>
      </c>
      <c r="C8" s="150" t="s">
        <v>253</v>
      </c>
      <c r="D8" s="938">
        <v>1052</v>
      </c>
      <c r="E8" s="939">
        <v>809</v>
      </c>
      <c r="F8" s="940">
        <v>121</v>
      </c>
      <c r="G8" s="937">
        <v>122</v>
      </c>
      <c r="H8" s="938">
        <v>292</v>
      </c>
      <c r="I8" s="939">
        <v>177</v>
      </c>
      <c r="J8" s="940">
        <v>83</v>
      </c>
      <c r="K8" s="937">
        <v>32</v>
      </c>
      <c r="L8" s="279">
        <f t="shared" si="2"/>
        <v>0.27756653992395436</v>
      </c>
      <c r="M8" s="280">
        <f t="shared" si="3"/>
        <v>0.21878862793572312</v>
      </c>
      <c r="N8" s="280">
        <f t="shared" si="4"/>
        <v>0.68595041322314054</v>
      </c>
      <c r="O8" s="281">
        <f t="shared" si="5"/>
        <v>0.26229508196721313</v>
      </c>
    </row>
    <row r="9" spans="1:15" s="142" customFormat="1" ht="15.75" customHeight="1" x14ac:dyDescent="0.3">
      <c r="A9" s="149" t="s">
        <v>16</v>
      </c>
      <c r="B9" s="185" t="s">
        <v>285</v>
      </c>
      <c r="C9" s="150" t="s">
        <v>253</v>
      </c>
      <c r="D9" s="938">
        <v>209</v>
      </c>
      <c r="E9" s="939">
        <v>189</v>
      </c>
      <c r="F9" s="940">
        <v>16</v>
      </c>
      <c r="G9" s="937">
        <v>4</v>
      </c>
      <c r="H9" s="938">
        <v>79</v>
      </c>
      <c r="I9" s="939">
        <v>63</v>
      </c>
      <c r="J9" s="940">
        <v>13</v>
      </c>
      <c r="K9" s="937">
        <v>3</v>
      </c>
      <c r="L9" s="279">
        <f t="shared" si="2"/>
        <v>0.37799043062200954</v>
      </c>
      <c r="M9" s="280">
        <f t="shared" si="3"/>
        <v>0.33333333333333331</v>
      </c>
      <c r="N9" s="280">
        <f t="shared" si="4"/>
        <v>0.8125</v>
      </c>
      <c r="O9" s="281">
        <f t="shared" si="5"/>
        <v>0.75</v>
      </c>
    </row>
    <row r="10" spans="1:15" s="142" customFormat="1" ht="15.75" customHeight="1" x14ac:dyDescent="0.3">
      <c r="A10" s="149" t="s">
        <v>18</v>
      </c>
      <c r="B10" s="185" t="s">
        <v>19</v>
      </c>
      <c r="C10" s="150" t="s">
        <v>254</v>
      </c>
      <c r="D10" s="938">
        <v>140</v>
      </c>
      <c r="E10" s="939">
        <v>117</v>
      </c>
      <c r="F10" s="940">
        <v>19</v>
      </c>
      <c r="G10" s="937">
        <v>4</v>
      </c>
      <c r="H10" s="938">
        <v>51</v>
      </c>
      <c r="I10" s="939">
        <v>40</v>
      </c>
      <c r="J10" s="940">
        <v>11</v>
      </c>
      <c r="K10" s="937"/>
      <c r="L10" s="279">
        <f t="shared" si="2"/>
        <v>0.36428571428571427</v>
      </c>
      <c r="M10" s="280">
        <f t="shared" si="3"/>
        <v>0.34188034188034189</v>
      </c>
      <c r="N10" s="280">
        <f t="shared" si="4"/>
        <v>0.57894736842105265</v>
      </c>
      <c r="O10" s="281">
        <f t="shared" si="5"/>
        <v>0</v>
      </c>
    </row>
    <row r="11" spans="1:15" s="142" customFormat="1" ht="13.5" customHeight="1" x14ac:dyDescent="0.3">
      <c r="A11" s="149" t="s">
        <v>20</v>
      </c>
      <c r="B11" s="185" t="s">
        <v>21</v>
      </c>
      <c r="C11" s="150" t="s">
        <v>253</v>
      </c>
      <c r="D11" s="938">
        <v>343</v>
      </c>
      <c r="E11" s="939">
        <v>267</v>
      </c>
      <c r="F11" s="940">
        <v>59</v>
      </c>
      <c r="G11" s="937">
        <v>17</v>
      </c>
      <c r="H11" s="938">
        <v>153</v>
      </c>
      <c r="I11" s="939">
        <v>99</v>
      </c>
      <c r="J11" s="940">
        <v>45</v>
      </c>
      <c r="K11" s="937">
        <v>9</v>
      </c>
      <c r="L11" s="279">
        <f t="shared" si="2"/>
        <v>0.44606413994169097</v>
      </c>
      <c r="M11" s="280">
        <f t="shared" si="3"/>
        <v>0.3707865168539326</v>
      </c>
      <c r="N11" s="280">
        <f t="shared" si="4"/>
        <v>0.76271186440677963</v>
      </c>
      <c r="O11" s="281">
        <f t="shared" si="5"/>
        <v>0.52941176470588236</v>
      </c>
    </row>
    <row r="12" spans="1:15" s="142" customFormat="1" ht="13.5" customHeight="1" x14ac:dyDescent="0.3">
      <c r="A12" s="149" t="s">
        <v>22</v>
      </c>
      <c r="B12" s="185" t="s">
        <v>23</v>
      </c>
      <c r="C12" s="150" t="s">
        <v>253</v>
      </c>
      <c r="D12" s="938">
        <v>192</v>
      </c>
      <c r="E12" s="939">
        <v>153</v>
      </c>
      <c r="F12" s="940">
        <v>35</v>
      </c>
      <c r="G12" s="937">
        <v>4</v>
      </c>
      <c r="H12" s="938">
        <v>83</v>
      </c>
      <c r="I12" s="939">
        <v>53</v>
      </c>
      <c r="J12" s="940">
        <v>27</v>
      </c>
      <c r="K12" s="937">
        <v>3</v>
      </c>
      <c r="L12" s="279">
        <f t="shared" si="2"/>
        <v>0.43229166666666669</v>
      </c>
      <c r="M12" s="280">
        <f t="shared" si="3"/>
        <v>0.34640522875816993</v>
      </c>
      <c r="N12" s="280">
        <f t="shared" si="4"/>
        <v>0.77142857142857146</v>
      </c>
      <c r="O12" s="281">
        <f t="shared" si="5"/>
        <v>0.75</v>
      </c>
    </row>
    <row r="13" spans="1:15" s="142" customFormat="1" ht="13.5" customHeight="1" x14ac:dyDescent="0.3">
      <c r="A13" s="149" t="s">
        <v>24</v>
      </c>
      <c r="B13" s="185" t="s">
        <v>25</v>
      </c>
      <c r="C13" s="150" t="s">
        <v>255</v>
      </c>
      <c r="D13" s="938">
        <v>2929</v>
      </c>
      <c r="E13" s="939">
        <v>2026</v>
      </c>
      <c r="F13" s="940">
        <v>241</v>
      </c>
      <c r="G13" s="937">
        <v>662</v>
      </c>
      <c r="H13" s="938">
        <v>434</v>
      </c>
      <c r="I13" s="939">
        <v>246</v>
      </c>
      <c r="J13" s="940">
        <v>82</v>
      </c>
      <c r="K13" s="937">
        <v>106</v>
      </c>
      <c r="L13" s="279">
        <f t="shared" si="2"/>
        <v>0.1481734380334585</v>
      </c>
      <c r="M13" s="280">
        <f t="shared" si="3"/>
        <v>0.12142152023692004</v>
      </c>
      <c r="N13" s="280">
        <f t="shared" si="4"/>
        <v>0.34024896265560167</v>
      </c>
      <c r="O13" s="281">
        <f t="shared" si="5"/>
        <v>0.16012084592145015</v>
      </c>
    </row>
    <row r="14" spans="1:15" s="142" customFormat="1" ht="13.5" customHeight="1" x14ac:dyDescent="0.3">
      <c r="A14" s="149" t="s">
        <v>26</v>
      </c>
      <c r="B14" s="185" t="s">
        <v>286</v>
      </c>
      <c r="C14" s="150" t="s">
        <v>253</v>
      </c>
      <c r="D14" s="938">
        <v>1314</v>
      </c>
      <c r="E14" s="939">
        <v>1186</v>
      </c>
      <c r="F14" s="940">
        <v>91</v>
      </c>
      <c r="G14" s="937">
        <v>37</v>
      </c>
      <c r="H14" s="938">
        <v>531</v>
      </c>
      <c r="I14" s="939">
        <v>447</v>
      </c>
      <c r="J14" s="940">
        <v>70</v>
      </c>
      <c r="K14" s="937">
        <v>14</v>
      </c>
      <c r="L14" s="279">
        <f t="shared" si="2"/>
        <v>0.4041095890410959</v>
      </c>
      <c r="M14" s="280">
        <f t="shared" si="3"/>
        <v>0.37689713322091062</v>
      </c>
      <c r="N14" s="280">
        <f t="shared" si="4"/>
        <v>0.76923076923076927</v>
      </c>
      <c r="O14" s="281">
        <f t="shared" si="5"/>
        <v>0.3783783783783784</v>
      </c>
    </row>
    <row r="15" spans="1:15" s="142" customFormat="1" ht="13.5" customHeight="1" x14ac:dyDescent="0.3">
      <c r="A15" s="149" t="s">
        <v>27</v>
      </c>
      <c r="B15" s="185" t="s">
        <v>28</v>
      </c>
      <c r="C15" s="150" t="s">
        <v>253</v>
      </c>
      <c r="D15" s="938">
        <v>43</v>
      </c>
      <c r="E15" s="939">
        <v>42</v>
      </c>
      <c r="F15" s="940"/>
      <c r="G15" s="937">
        <v>1</v>
      </c>
      <c r="H15" s="938">
        <v>13</v>
      </c>
      <c r="I15" s="939">
        <v>13</v>
      </c>
      <c r="J15" s="940"/>
      <c r="K15" s="937"/>
      <c r="L15" s="279">
        <f t="shared" si="2"/>
        <v>0.30232558139534882</v>
      </c>
      <c r="M15" s="280">
        <f t="shared" si="3"/>
        <v>0.30952380952380953</v>
      </c>
      <c r="N15" s="280" t="str">
        <f t="shared" si="4"/>
        <v>NA</v>
      </c>
      <c r="O15" s="281">
        <f t="shared" si="5"/>
        <v>0</v>
      </c>
    </row>
    <row r="16" spans="1:15" s="142" customFormat="1" ht="13.5" customHeight="1" x14ac:dyDescent="0.3">
      <c r="A16" s="149" t="s">
        <v>29</v>
      </c>
      <c r="B16" s="185" t="s">
        <v>736</v>
      </c>
      <c r="C16" s="150" t="s">
        <v>253</v>
      </c>
      <c r="D16" s="938">
        <v>663</v>
      </c>
      <c r="E16" s="939">
        <v>610</v>
      </c>
      <c r="F16" s="940">
        <v>38</v>
      </c>
      <c r="G16" s="937">
        <v>15</v>
      </c>
      <c r="H16" s="938">
        <v>208</v>
      </c>
      <c r="I16" s="939">
        <v>181</v>
      </c>
      <c r="J16" s="940">
        <v>22</v>
      </c>
      <c r="K16" s="937">
        <v>5</v>
      </c>
      <c r="L16" s="279">
        <f t="shared" si="2"/>
        <v>0.31372549019607843</v>
      </c>
      <c r="M16" s="280">
        <f t="shared" si="3"/>
        <v>0.29672131147540981</v>
      </c>
      <c r="N16" s="280">
        <f t="shared" si="4"/>
        <v>0.57894736842105265</v>
      </c>
      <c r="O16" s="281">
        <f t="shared" si="5"/>
        <v>0.33333333333333331</v>
      </c>
    </row>
    <row r="17" spans="1:15" s="142" customFormat="1" ht="13.5" customHeight="1" x14ac:dyDescent="0.3">
      <c r="A17" s="149" t="s">
        <v>30</v>
      </c>
      <c r="B17" s="185" t="s">
        <v>31</v>
      </c>
      <c r="C17" s="150" t="s">
        <v>256</v>
      </c>
      <c r="D17" s="938">
        <v>34</v>
      </c>
      <c r="E17" s="939">
        <v>34</v>
      </c>
      <c r="F17" s="940"/>
      <c r="G17" s="937"/>
      <c r="H17" s="938">
        <v>10</v>
      </c>
      <c r="I17" s="939">
        <v>10</v>
      </c>
      <c r="J17" s="940"/>
      <c r="K17" s="937"/>
      <c r="L17" s="279">
        <f t="shared" si="2"/>
        <v>0.29411764705882354</v>
      </c>
      <c r="M17" s="280">
        <f t="shared" si="3"/>
        <v>0.29411764705882354</v>
      </c>
      <c r="N17" s="280" t="str">
        <f t="shared" si="4"/>
        <v>NA</v>
      </c>
      <c r="O17" s="281" t="str">
        <f t="shared" si="5"/>
        <v>NA</v>
      </c>
    </row>
    <row r="18" spans="1:15" s="142" customFormat="1" ht="13.5" customHeight="1" x14ac:dyDescent="0.3">
      <c r="A18" s="149" t="s">
        <v>32</v>
      </c>
      <c r="B18" s="185" t="s">
        <v>33</v>
      </c>
      <c r="C18" s="150" t="s">
        <v>253</v>
      </c>
      <c r="D18" s="938">
        <v>253</v>
      </c>
      <c r="E18" s="939">
        <v>249</v>
      </c>
      <c r="F18" s="940">
        <v>2</v>
      </c>
      <c r="G18" s="937">
        <v>2</v>
      </c>
      <c r="H18" s="938">
        <v>67</v>
      </c>
      <c r="I18" s="939">
        <v>67</v>
      </c>
      <c r="J18" s="940"/>
      <c r="K18" s="937"/>
      <c r="L18" s="279">
        <f t="shared" si="2"/>
        <v>0.2648221343873518</v>
      </c>
      <c r="M18" s="280">
        <f t="shared" si="3"/>
        <v>0.26907630522088355</v>
      </c>
      <c r="N18" s="280">
        <f t="shared" si="4"/>
        <v>0</v>
      </c>
      <c r="O18" s="281">
        <f t="shared" si="5"/>
        <v>0</v>
      </c>
    </row>
    <row r="19" spans="1:15" s="142" customFormat="1" ht="13.5" customHeight="1" x14ac:dyDescent="0.3">
      <c r="A19" s="149" t="s">
        <v>36</v>
      </c>
      <c r="B19" s="185" t="s">
        <v>37</v>
      </c>
      <c r="C19" s="150" t="s">
        <v>252</v>
      </c>
      <c r="D19" s="938">
        <v>130</v>
      </c>
      <c r="E19" s="939">
        <v>52</v>
      </c>
      <c r="F19" s="940">
        <v>75</v>
      </c>
      <c r="G19" s="937">
        <v>3</v>
      </c>
      <c r="H19" s="938">
        <v>88</v>
      </c>
      <c r="I19" s="939">
        <v>24</v>
      </c>
      <c r="J19" s="940">
        <v>62</v>
      </c>
      <c r="K19" s="937">
        <v>2</v>
      </c>
      <c r="L19" s="279">
        <f t="shared" si="2"/>
        <v>0.67692307692307696</v>
      </c>
      <c r="M19" s="280">
        <f t="shared" si="3"/>
        <v>0.46153846153846156</v>
      </c>
      <c r="N19" s="280">
        <f t="shared" si="4"/>
        <v>0.82666666666666666</v>
      </c>
      <c r="O19" s="281">
        <f t="shared" si="5"/>
        <v>0.66666666666666663</v>
      </c>
    </row>
    <row r="20" spans="1:15" s="142" customFormat="1" ht="13.5" customHeight="1" x14ac:dyDescent="0.3">
      <c r="A20" s="149" t="s">
        <v>38</v>
      </c>
      <c r="B20" s="185" t="s">
        <v>39</v>
      </c>
      <c r="C20" s="150" t="s">
        <v>256</v>
      </c>
      <c r="D20" s="938">
        <v>175</v>
      </c>
      <c r="E20" s="939">
        <v>172</v>
      </c>
      <c r="F20" s="940">
        <v>2</v>
      </c>
      <c r="G20" s="937">
        <v>1</v>
      </c>
      <c r="H20" s="938">
        <v>55</v>
      </c>
      <c r="I20" s="939">
        <v>54</v>
      </c>
      <c r="J20" s="940">
        <v>1</v>
      </c>
      <c r="K20" s="937"/>
      <c r="L20" s="279">
        <f t="shared" si="2"/>
        <v>0.31428571428571428</v>
      </c>
      <c r="M20" s="280">
        <f t="shared" si="3"/>
        <v>0.31395348837209303</v>
      </c>
      <c r="N20" s="280">
        <f t="shared" si="4"/>
        <v>0.5</v>
      </c>
      <c r="O20" s="281">
        <f t="shared" si="5"/>
        <v>0</v>
      </c>
    </row>
    <row r="21" spans="1:15" s="142" customFormat="1" ht="13.5" customHeight="1" x14ac:dyDescent="0.3">
      <c r="A21" s="149" t="s">
        <v>40</v>
      </c>
      <c r="B21" s="185" t="s">
        <v>41</v>
      </c>
      <c r="C21" s="150" t="s">
        <v>254</v>
      </c>
      <c r="D21" s="938">
        <v>141</v>
      </c>
      <c r="E21" s="939">
        <v>90</v>
      </c>
      <c r="F21" s="940">
        <v>49</v>
      </c>
      <c r="G21" s="937">
        <v>2</v>
      </c>
      <c r="H21" s="938">
        <v>70</v>
      </c>
      <c r="I21" s="939">
        <v>35</v>
      </c>
      <c r="J21" s="940">
        <v>35</v>
      </c>
      <c r="K21" s="937"/>
      <c r="L21" s="279">
        <f t="shared" si="2"/>
        <v>0.49645390070921985</v>
      </c>
      <c r="M21" s="280">
        <f t="shared" si="3"/>
        <v>0.3888888888888889</v>
      </c>
      <c r="N21" s="280">
        <f t="shared" si="4"/>
        <v>0.7142857142857143</v>
      </c>
      <c r="O21" s="281">
        <f t="shared" si="5"/>
        <v>0</v>
      </c>
    </row>
    <row r="22" spans="1:15" s="142" customFormat="1" ht="13.5" customHeight="1" x14ac:dyDescent="0.3">
      <c r="A22" s="149" t="s">
        <v>42</v>
      </c>
      <c r="B22" s="185" t="s">
        <v>43</v>
      </c>
      <c r="C22" s="150" t="s">
        <v>253</v>
      </c>
      <c r="D22" s="938">
        <v>488</v>
      </c>
      <c r="E22" s="939">
        <v>402</v>
      </c>
      <c r="F22" s="940">
        <v>75</v>
      </c>
      <c r="G22" s="937">
        <v>11</v>
      </c>
      <c r="H22" s="938">
        <v>192</v>
      </c>
      <c r="I22" s="939">
        <v>126</v>
      </c>
      <c r="J22" s="940">
        <v>60</v>
      </c>
      <c r="K22" s="937">
        <v>6</v>
      </c>
      <c r="L22" s="279">
        <f t="shared" si="2"/>
        <v>0.39344262295081966</v>
      </c>
      <c r="M22" s="280">
        <f t="shared" si="3"/>
        <v>0.31343283582089554</v>
      </c>
      <c r="N22" s="280">
        <f t="shared" si="4"/>
        <v>0.8</v>
      </c>
      <c r="O22" s="281">
        <f t="shared" si="5"/>
        <v>0.54545454545454541</v>
      </c>
    </row>
    <row r="23" spans="1:15" s="142" customFormat="1" ht="13.5" customHeight="1" x14ac:dyDescent="0.3">
      <c r="A23" s="149" t="s">
        <v>44</v>
      </c>
      <c r="B23" s="185" t="s">
        <v>45</v>
      </c>
      <c r="C23" s="150" t="s">
        <v>254</v>
      </c>
      <c r="D23" s="938">
        <v>368</v>
      </c>
      <c r="E23" s="939">
        <v>278</v>
      </c>
      <c r="F23" s="940">
        <v>77</v>
      </c>
      <c r="G23" s="937">
        <v>13</v>
      </c>
      <c r="H23" s="938">
        <v>160</v>
      </c>
      <c r="I23" s="939">
        <v>96</v>
      </c>
      <c r="J23" s="940">
        <v>58</v>
      </c>
      <c r="K23" s="937">
        <v>6</v>
      </c>
      <c r="L23" s="279">
        <f t="shared" si="2"/>
        <v>0.43478260869565216</v>
      </c>
      <c r="M23" s="280">
        <f t="shared" si="3"/>
        <v>0.34532374100719426</v>
      </c>
      <c r="N23" s="280">
        <f t="shared" si="4"/>
        <v>0.75324675324675328</v>
      </c>
      <c r="O23" s="281">
        <f t="shared" si="5"/>
        <v>0.46153846153846156</v>
      </c>
    </row>
    <row r="24" spans="1:15" s="142" customFormat="1" ht="13.5" customHeight="1" x14ac:dyDescent="0.3">
      <c r="A24" s="149" t="s">
        <v>46</v>
      </c>
      <c r="B24" s="185" t="s">
        <v>47</v>
      </c>
      <c r="C24" s="150" t="s">
        <v>256</v>
      </c>
      <c r="D24" s="938">
        <v>246</v>
      </c>
      <c r="E24" s="939">
        <v>234</v>
      </c>
      <c r="F24" s="940">
        <v>2</v>
      </c>
      <c r="G24" s="937">
        <v>10</v>
      </c>
      <c r="H24" s="938">
        <v>78</v>
      </c>
      <c r="I24" s="939">
        <v>73</v>
      </c>
      <c r="J24" s="940">
        <v>1</v>
      </c>
      <c r="K24" s="937">
        <v>4</v>
      </c>
      <c r="L24" s="279">
        <f t="shared" si="2"/>
        <v>0.31707317073170732</v>
      </c>
      <c r="M24" s="280">
        <f t="shared" si="3"/>
        <v>0.31196581196581197</v>
      </c>
      <c r="N24" s="280">
        <f t="shared" si="4"/>
        <v>0.5</v>
      </c>
      <c r="O24" s="281">
        <f t="shared" si="5"/>
        <v>0.4</v>
      </c>
    </row>
    <row r="25" spans="1:15" s="142" customFormat="1" ht="13.5" customHeight="1" x14ac:dyDescent="0.3">
      <c r="A25" s="149" t="s">
        <v>48</v>
      </c>
      <c r="B25" s="185" t="s">
        <v>257</v>
      </c>
      <c r="C25" s="150" t="s">
        <v>254</v>
      </c>
      <c r="D25" s="938">
        <v>48</v>
      </c>
      <c r="E25" s="939">
        <v>24</v>
      </c>
      <c r="F25" s="940">
        <v>19</v>
      </c>
      <c r="G25" s="937">
        <v>5</v>
      </c>
      <c r="H25" s="938">
        <v>24</v>
      </c>
      <c r="I25" s="939">
        <v>6</v>
      </c>
      <c r="J25" s="940">
        <v>15</v>
      </c>
      <c r="K25" s="937">
        <v>3</v>
      </c>
      <c r="L25" s="279">
        <f t="shared" si="2"/>
        <v>0.5</v>
      </c>
      <c r="M25" s="280">
        <f t="shared" si="3"/>
        <v>0.25</v>
      </c>
      <c r="N25" s="280">
        <f t="shared" si="4"/>
        <v>0.78947368421052633</v>
      </c>
      <c r="O25" s="281">
        <f t="shared" si="5"/>
        <v>0.6</v>
      </c>
    </row>
    <row r="26" spans="1:15" s="142" customFormat="1" ht="13.5" customHeight="1" x14ac:dyDescent="0.3">
      <c r="A26" s="149" t="s">
        <v>50</v>
      </c>
      <c r="B26" s="185" t="s">
        <v>51</v>
      </c>
      <c r="C26" s="150" t="s">
        <v>253</v>
      </c>
      <c r="D26" s="938">
        <v>142</v>
      </c>
      <c r="E26" s="939">
        <v>110</v>
      </c>
      <c r="F26" s="940">
        <v>28</v>
      </c>
      <c r="G26" s="937">
        <v>4</v>
      </c>
      <c r="H26" s="938">
        <v>52</v>
      </c>
      <c r="I26" s="939">
        <v>36</v>
      </c>
      <c r="J26" s="940">
        <v>16</v>
      </c>
      <c r="K26" s="937"/>
      <c r="L26" s="279">
        <f t="shared" si="2"/>
        <v>0.36619718309859156</v>
      </c>
      <c r="M26" s="280">
        <f t="shared" si="3"/>
        <v>0.32727272727272727</v>
      </c>
      <c r="N26" s="280">
        <f t="shared" si="4"/>
        <v>0.5714285714285714</v>
      </c>
      <c r="O26" s="281">
        <f t="shared" si="5"/>
        <v>0</v>
      </c>
    </row>
    <row r="27" spans="1:15" s="142" customFormat="1" ht="13.5" customHeight="1" x14ac:dyDescent="0.3">
      <c r="A27" s="149" t="s">
        <v>56</v>
      </c>
      <c r="B27" s="185" t="s">
        <v>283</v>
      </c>
      <c r="C27" s="150" t="s">
        <v>254</v>
      </c>
      <c r="D27" s="938">
        <v>4121</v>
      </c>
      <c r="E27" s="939">
        <v>2756</v>
      </c>
      <c r="F27" s="940">
        <v>998</v>
      </c>
      <c r="G27" s="937">
        <v>367</v>
      </c>
      <c r="H27" s="938">
        <v>1499</v>
      </c>
      <c r="I27" s="939">
        <v>746</v>
      </c>
      <c r="J27" s="940">
        <v>603</v>
      </c>
      <c r="K27" s="937">
        <v>150</v>
      </c>
      <c r="L27" s="279">
        <f t="shared" si="2"/>
        <v>0.36374666343120604</v>
      </c>
      <c r="M27" s="280">
        <f t="shared" si="3"/>
        <v>0.27068214804063861</v>
      </c>
      <c r="N27" s="280">
        <f t="shared" si="4"/>
        <v>0.60420841683366733</v>
      </c>
      <c r="O27" s="281">
        <f t="shared" si="5"/>
        <v>0.40871934604904631</v>
      </c>
    </row>
    <row r="28" spans="1:15" s="142" customFormat="1" ht="13.5" customHeight="1" x14ac:dyDescent="0.3">
      <c r="A28" s="149" t="s">
        <v>58</v>
      </c>
      <c r="B28" s="185" t="s">
        <v>59</v>
      </c>
      <c r="C28" s="150" t="s">
        <v>255</v>
      </c>
      <c r="D28" s="938">
        <v>125</v>
      </c>
      <c r="E28" s="939">
        <v>117</v>
      </c>
      <c r="F28" s="940">
        <v>5</v>
      </c>
      <c r="G28" s="937">
        <v>3</v>
      </c>
      <c r="H28" s="938">
        <v>33</v>
      </c>
      <c r="I28" s="939">
        <v>28</v>
      </c>
      <c r="J28" s="940">
        <v>4</v>
      </c>
      <c r="K28" s="937">
        <v>1</v>
      </c>
      <c r="L28" s="279">
        <f t="shared" si="2"/>
        <v>0.26400000000000001</v>
      </c>
      <c r="M28" s="280">
        <f t="shared" si="3"/>
        <v>0.23931623931623933</v>
      </c>
      <c r="N28" s="280">
        <f t="shared" si="4"/>
        <v>0.8</v>
      </c>
      <c r="O28" s="281">
        <f t="shared" si="5"/>
        <v>0.33333333333333331</v>
      </c>
    </row>
    <row r="29" spans="1:15" s="142" customFormat="1" ht="13.5" customHeight="1" x14ac:dyDescent="0.3">
      <c r="A29" s="149" t="s">
        <v>60</v>
      </c>
      <c r="B29" s="185" t="s">
        <v>61</v>
      </c>
      <c r="C29" s="150" t="s">
        <v>253</v>
      </c>
      <c r="D29" s="938">
        <v>38</v>
      </c>
      <c r="E29" s="939">
        <v>38</v>
      </c>
      <c r="F29" s="940"/>
      <c r="G29" s="937"/>
      <c r="H29" s="938">
        <v>14</v>
      </c>
      <c r="I29" s="939">
        <v>14</v>
      </c>
      <c r="J29" s="940"/>
      <c r="K29" s="937"/>
      <c r="L29" s="279">
        <f t="shared" si="2"/>
        <v>0.36842105263157893</v>
      </c>
      <c r="M29" s="280">
        <f t="shared" si="3"/>
        <v>0.36842105263157893</v>
      </c>
      <c r="N29" s="280" t="str">
        <f t="shared" si="4"/>
        <v>NA</v>
      </c>
      <c r="O29" s="281" t="str">
        <f t="shared" si="5"/>
        <v>NA</v>
      </c>
    </row>
    <row r="30" spans="1:15" s="142" customFormat="1" ht="13.5" customHeight="1" x14ac:dyDescent="0.3">
      <c r="A30" s="149" t="s">
        <v>62</v>
      </c>
      <c r="B30" s="185" t="s">
        <v>63</v>
      </c>
      <c r="C30" s="150" t="s">
        <v>255</v>
      </c>
      <c r="D30" s="938">
        <v>678</v>
      </c>
      <c r="E30" s="939">
        <v>551</v>
      </c>
      <c r="F30" s="940">
        <v>85</v>
      </c>
      <c r="G30" s="937">
        <v>42</v>
      </c>
      <c r="H30" s="938">
        <v>293</v>
      </c>
      <c r="I30" s="939">
        <v>222</v>
      </c>
      <c r="J30" s="940">
        <v>56</v>
      </c>
      <c r="K30" s="937">
        <v>15</v>
      </c>
      <c r="L30" s="279">
        <f t="shared" si="2"/>
        <v>0.43215339233038347</v>
      </c>
      <c r="M30" s="280">
        <f t="shared" si="3"/>
        <v>0.4029038112522686</v>
      </c>
      <c r="N30" s="280">
        <f t="shared" si="4"/>
        <v>0.6588235294117647</v>
      </c>
      <c r="O30" s="281">
        <f t="shared" si="5"/>
        <v>0.35714285714285715</v>
      </c>
    </row>
    <row r="31" spans="1:15" s="142" customFormat="1" ht="13.5" customHeight="1" x14ac:dyDescent="0.3">
      <c r="A31" s="149" t="s">
        <v>64</v>
      </c>
      <c r="B31" s="185" t="s">
        <v>65</v>
      </c>
      <c r="C31" s="150" t="s">
        <v>254</v>
      </c>
      <c r="D31" s="938">
        <v>75</v>
      </c>
      <c r="E31" s="939">
        <v>57</v>
      </c>
      <c r="F31" s="940">
        <v>18</v>
      </c>
      <c r="G31" s="937"/>
      <c r="H31" s="938">
        <v>42</v>
      </c>
      <c r="I31" s="939">
        <v>28</v>
      </c>
      <c r="J31" s="940">
        <v>14</v>
      </c>
      <c r="K31" s="937"/>
      <c r="L31" s="279">
        <f t="shared" si="2"/>
        <v>0.56000000000000005</v>
      </c>
      <c r="M31" s="280">
        <f t="shared" si="3"/>
        <v>0.49122807017543857</v>
      </c>
      <c r="N31" s="280">
        <f t="shared" si="4"/>
        <v>0.77777777777777779</v>
      </c>
      <c r="O31" s="281" t="str">
        <f t="shared" si="5"/>
        <v>NA</v>
      </c>
    </row>
    <row r="32" spans="1:15" s="142" customFormat="1" ht="13.5" customHeight="1" x14ac:dyDescent="0.3">
      <c r="A32" s="149" t="s">
        <v>68</v>
      </c>
      <c r="B32" s="185" t="s">
        <v>69</v>
      </c>
      <c r="C32" s="150" t="s">
        <v>256</v>
      </c>
      <c r="D32" s="938">
        <v>116</v>
      </c>
      <c r="E32" s="939">
        <v>115</v>
      </c>
      <c r="F32" s="940"/>
      <c r="G32" s="937">
        <v>1</v>
      </c>
      <c r="H32" s="938">
        <v>28</v>
      </c>
      <c r="I32" s="939">
        <v>28</v>
      </c>
      <c r="J32" s="940"/>
      <c r="K32" s="937"/>
      <c r="L32" s="279">
        <f t="shared" si="2"/>
        <v>0.2413793103448276</v>
      </c>
      <c r="M32" s="280">
        <f t="shared" si="3"/>
        <v>0.24347826086956523</v>
      </c>
      <c r="N32" s="280" t="str">
        <f t="shared" si="4"/>
        <v>NA</v>
      </c>
      <c r="O32" s="281">
        <f t="shared" si="5"/>
        <v>0</v>
      </c>
    </row>
    <row r="33" spans="1:15" s="142" customFormat="1" ht="13.5" customHeight="1" x14ac:dyDescent="0.3">
      <c r="A33" s="149" t="s">
        <v>70</v>
      </c>
      <c r="B33" s="185" t="s">
        <v>71</v>
      </c>
      <c r="C33" s="150" t="s">
        <v>252</v>
      </c>
      <c r="D33" s="938">
        <v>213</v>
      </c>
      <c r="E33" s="939">
        <v>160</v>
      </c>
      <c r="F33" s="940">
        <v>46</v>
      </c>
      <c r="G33" s="937">
        <v>7</v>
      </c>
      <c r="H33" s="938">
        <v>102</v>
      </c>
      <c r="I33" s="939">
        <v>60</v>
      </c>
      <c r="J33" s="940">
        <v>38</v>
      </c>
      <c r="K33" s="937">
        <v>4</v>
      </c>
      <c r="L33" s="279">
        <f t="shared" si="2"/>
        <v>0.47887323943661969</v>
      </c>
      <c r="M33" s="280">
        <f t="shared" si="3"/>
        <v>0.375</v>
      </c>
      <c r="N33" s="280">
        <f t="shared" si="4"/>
        <v>0.82608695652173914</v>
      </c>
      <c r="O33" s="281">
        <f t="shared" si="5"/>
        <v>0.5714285714285714</v>
      </c>
    </row>
    <row r="34" spans="1:15" s="142" customFormat="1" ht="13.5" customHeight="1" x14ac:dyDescent="0.3">
      <c r="A34" s="149" t="s">
        <v>72</v>
      </c>
      <c r="B34" s="185" t="s">
        <v>73</v>
      </c>
      <c r="C34" s="150" t="s">
        <v>254</v>
      </c>
      <c r="D34" s="938">
        <v>97</v>
      </c>
      <c r="E34" s="939">
        <v>44</v>
      </c>
      <c r="F34" s="940">
        <v>43</v>
      </c>
      <c r="G34" s="937">
        <v>10</v>
      </c>
      <c r="H34" s="938">
        <v>55</v>
      </c>
      <c r="I34" s="939">
        <v>16</v>
      </c>
      <c r="J34" s="940">
        <v>35</v>
      </c>
      <c r="K34" s="937">
        <v>4</v>
      </c>
      <c r="L34" s="279">
        <f t="shared" si="2"/>
        <v>0.5670103092783505</v>
      </c>
      <c r="M34" s="280">
        <f t="shared" si="3"/>
        <v>0.36363636363636365</v>
      </c>
      <c r="N34" s="280">
        <f t="shared" si="4"/>
        <v>0.81395348837209303</v>
      </c>
      <c r="O34" s="281">
        <f t="shared" si="5"/>
        <v>0.4</v>
      </c>
    </row>
    <row r="35" spans="1:15" s="142" customFormat="1" ht="13.5" customHeight="1" x14ac:dyDescent="0.3">
      <c r="A35" s="149" t="s">
        <v>74</v>
      </c>
      <c r="B35" s="185" t="s">
        <v>472</v>
      </c>
      <c r="C35" s="150" t="s">
        <v>255</v>
      </c>
      <c r="D35" s="938">
        <v>14669</v>
      </c>
      <c r="E35" s="939">
        <v>7202</v>
      </c>
      <c r="F35" s="940">
        <v>1548</v>
      </c>
      <c r="G35" s="937">
        <v>5919</v>
      </c>
      <c r="H35" s="938">
        <v>3140</v>
      </c>
      <c r="I35" s="939">
        <v>638</v>
      </c>
      <c r="J35" s="940">
        <v>547</v>
      </c>
      <c r="K35" s="937">
        <v>1955</v>
      </c>
      <c r="L35" s="279">
        <f t="shared" si="2"/>
        <v>0.21405685459131502</v>
      </c>
      <c r="M35" s="280">
        <f t="shared" si="3"/>
        <v>8.8586503748958628E-2</v>
      </c>
      <c r="N35" s="280">
        <f t="shared" si="4"/>
        <v>0.35335917312661497</v>
      </c>
      <c r="O35" s="281">
        <f t="shared" si="5"/>
        <v>0.33029227910119952</v>
      </c>
    </row>
    <row r="36" spans="1:15" s="142" customFormat="1" ht="13.5" customHeight="1" x14ac:dyDescent="0.3">
      <c r="A36" s="149" t="s">
        <v>76</v>
      </c>
      <c r="B36" s="185" t="s">
        <v>77</v>
      </c>
      <c r="C36" s="150" t="s">
        <v>255</v>
      </c>
      <c r="D36" s="938">
        <v>803</v>
      </c>
      <c r="E36" s="939">
        <v>683</v>
      </c>
      <c r="F36" s="940">
        <v>65</v>
      </c>
      <c r="G36" s="937">
        <v>55</v>
      </c>
      <c r="H36" s="938">
        <v>221</v>
      </c>
      <c r="I36" s="939">
        <v>157</v>
      </c>
      <c r="J36" s="940">
        <v>44</v>
      </c>
      <c r="K36" s="937">
        <v>20</v>
      </c>
      <c r="L36" s="279">
        <f t="shared" si="2"/>
        <v>0.27521793275217932</v>
      </c>
      <c r="M36" s="280">
        <f t="shared" si="3"/>
        <v>0.22986822840409957</v>
      </c>
      <c r="N36" s="280">
        <f t="shared" si="4"/>
        <v>0.67692307692307696</v>
      </c>
      <c r="O36" s="281">
        <f t="shared" si="5"/>
        <v>0.36363636363636365</v>
      </c>
    </row>
    <row r="37" spans="1:15" s="142" customFormat="1" ht="13.5" customHeight="1" x14ac:dyDescent="0.3">
      <c r="A37" s="149" t="s">
        <v>78</v>
      </c>
      <c r="B37" s="185" t="s">
        <v>79</v>
      </c>
      <c r="C37" s="150" t="s">
        <v>256</v>
      </c>
      <c r="D37" s="938">
        <v>126</v>
      </c>
      <c r="E37" s="939">
        <v>123</v>
      </c>
      <c r="F37" s="940">
        <v>2</v>
      </c>
      <c r="G37" s="937">
        <v>1</v>
      </c>
      <c r="H37" s="938">
        <v>38</v>
      </c>
      <c r="I37" s="939">
        <v>37</v>
      </c>
      <c r="J37" s="940">
        <v>1</v>
      </c>
      <c r="K37" s="937"/>
      <c r="L37" s="279">
        <f t="shared" si="2"/>
        <v>0.30158730158730157</v>
      </c>
      <c r="M37" s="280">
        <f t="shared" si="3"/>
        <v>0.30081300813008133</v>
      </c>
      <c r="N37" s="280">
        <f t="shared" si="4"/>
        <v>0.5</v>
      </c>
      <c r="O37" s="281">
        <f t="shared" si="5"/>
        <v>0</v>
      </c>
    </row>
    <row r="38" spans="1:15" s="142" customFormat="1" ht="13.5" customHeight="1" x14ac:dyDescent="0.3">
      <c r="A38" s="149" t="s">
        <v>80</v>
      </c>
      <c r="B38" s="185" t="s">
        <v>81</v>
      </c>
      <c r="C38" s="150" t="s">
        <v>254</v>
      </c>
      <c r="D38" s="938">
        <v>267</v>
      </c>
      <c r="E38" s="939">
        <v>220</v>
      </c>
      <c r="F38" s="940">
        <v>38</v>
      </c>
      <c r="G38" s="937">
        <v>9</v>
      </c>
      <c r="H38" s="938">
        <v>104</v>
      </c>
      <c r="I38" s="939">
        <v>70</v>
      </c>
      <c r="J38" s="940">
        <v>30</v>
      </c>
      <c r="K38" s="937">
        <v>4</v>
      </c>
      <c r="L38" s="279">
        <f t="shared" si="2"/>
        <v>0.38951310861423222</v>
      </c>
      <c r="M38" s="280">
        <f t="shared" si="3"/>
        <v>0.31818181818181818</v>
      </c>
      <c r="N38" s="280">
        <f t="shared" si="4"/>
        <v>0.78947368421052633</v>
      </c>
      <c r="O38" s="281">
        <f t="shared" si="5"/>
        <v>0.44444444444444442</v>
      </c>
    </row>
    <row r="39" spans="1:15" s="142" customFormat="1" ht="13.5" customHeight="1" x14ac:dyDescent="0.3">
      <c r="A39" s="149" t="s">
        <v>84</v>
      </c>
      <c r="B39" s="185" t="s">
        <v>85</v>
      </c>
      <c r="C39" s="150" t="s">
        <v>253</v>
      </c>
      <c r="D39" s="938">
        <v>480</v>
      </c>
      <c r="E39" s="939">
        <v>436</v>
      </c>
      <c r="F39" s="940">
        <v>37</v>
      </c>
      <c r="G39" s="937">
        <v>7</v>
      </c>
      <c r="H39" s="938">
        <v>205</v>
      </c>
      <c r="I39" s="939">
        <v>175</v>
      </c>
      <c r="J39" s="940">
        <v>28</v>
      </c>
      <c r="K39" s="937">
        <v>2</v>
      </c>
      <c r="L39" s="279">
        <f t="shared" ref="L39:L70" si="6">IF(D39=0,"NA",(H39/D39))</f>
        <v>0.42708333333333331</v>
      </c>
      <c r="M39" s="280">
        <f t="shared" ref="M39:M70" si="7">IF(E39=0,"NA",(I39/E39))</f>
        <v>0.40137614678899081</v>
      </c>
      <c r="N39" s="280">
        <f t="shared" ref="N39:N70" si="8">IF(F39=0,"NA",(J39/F39))</f>
        <v>0.7567567567567568</v>
      </c>
      <c r="O39" s="281">
        <f t="shared" ref="O39:O70" si="9">IF(G39=0,"NA",(K39/G39))</f>
        <v>0.2857142857142857</v>
      </c>
    </row>
    <row r="40" spans="1:15" s="142" customFormat="1" ht="13.5" customHeight="1" x14ac:dyDescent="0.3">
      <c r="A40" s="149" t="s">
        <v>86</v>
      </c>
      <c r="B40" s="185" t="s">
        <v>87</v>
      </c>
      <c r="C40" s="150" t="s">
        <v>255</v>
      </c>
      <c r="D40" s="938">
        <v>978</v>
      </c>
      <c r="E40" s="939">
        <v>861</v>
      </c>
      <c r="F40" s="940">
        <v>40</v>
      </c>
      <c r="G40" s="937">
        <v>77</v>
      </c>
      <c r="H40" s="938">
        <v>316</v>
      </c>
      <c r="I40" s="939">
        <v>273</v>
      </c>
      <c r="J40" s="940">
        <v>21</v>
      </c>
      <c r="K40" s="937">
        <v>22</v>
      </c>
      <c r="L40" s="279">
        <f t="shared" si="6"/>
        <v>0.32310838445807771</v>
      </c>
      <c r="M40" s="280">
        <f t="shared" si="7"/>
        <v>0.31707317073170732</v>
      </c>
      <c r="N40" s="280">
        <f t="shared" si="8"/>
        <v>0.52500000000000002</v>
      </c>
      <c r="O40" s="281">
        <f t="shared" si="9"/>
        <v>0.2857142857142857</v>
      </c>
    </row>
    <row r="41" spans="1:15" s="142" customFormat="1" ht="13.5" customHeight="1" x14ac:dyDescent="0.3">
      <c r="A41" s="149" t="s">
        <v>92</v>
      </c>
      <c r="B41" s="185" t="s">
        <v>93</v>
      </c>
      <c r="C41" s="150" t="s">
        <v>256</v>
      </c>
      <c r="D41" s="938">
        <v>156</v>
      </c>
      <c r="E41" s="939">
        <v>152</v>
      </c>
      <c r="F41" s="940">
        <v>1</v>
      </c>
      <c r="G41" s="937">
        <v>3</v>
      </c>
      <c r="H41" s="938">
        <v>63</v>
      </c>
      <c r="I41" s="939">
        <v>60</v>
      </c>
      <c r="J41" s="940">
        <v>1</v>
      </c>
      <c r="K41" s="937">
        <v>2</v>
      </c>
      <c r="L41" s="279">
        <f t="shared" si="6"/>
        <v>0.40384615384615385</v>
      </c>
      <c r="M41" s="280">
        <f t="shared" si="7"/>
        <v>0.39473684210526316</v>
      </c>
      <c r="N41" s="280">
        <f t="shared" si="8"/>
        <v>1</v>
      </c>
      <c r="O41" s="281">
        <f t="shared" si="9"/>
        <v>0.66666666666666663</v>
      </c>
    </row>
    <row r="42" spans="1:15" s="142" customFormat="1" ht="13.5" customHeight="1" x14ac:dyDescent="0.3">
      <c r="A42" s="149" t="s">
        <v>94</v>
      </c>
      <c r="B42" s="185" t="s">
        <v>95</v>
      </c>
      <c r="C42" s="150" t="s">
        <v>252</v>
      </c>
      <c r="D42" s="938">
        <v>349</v>
      </c>
      <c r="E42" s="939">
        <v>310</v>
      </c>
      <c r="F42" s="940">
        <v>20</v>
      </c>
      <c r="G42" s="937">
        <v>19</v>
      </c>
      <c r="H42" s="938">
        <v>121</v>
      </c>
      <c r="I42" s="939">
        <v>101</v>
      </c>
      <c r="J42" s="940">
        <v>11</v>
      </c>
      <c r="K42" s="937">
        <v>9</v>
      </c>
      <c r="L42" s="279">
        <f t="shared" si="6"/>
        <v>0.34670487106017189</v>
      </c>
      <c r="M42" s="280">
        <f t="shared" si="7"/>
        <v>0.32580645161290323</v>
      </c>
      <c r="N42" s="280">
        <f t="shared" si="8"/>
        <v>0.55000000000000004</v>
      </c>
      <c r="O42" s="281">
        <f t="shared" si="9"/>
        <v>0.47368421052631576</v>
      </c>
    </row>
    <row r="43" spans="1:15" s="142" customFormat="1" ht="13.5" customHeight="1" x14ac:dyDescent="0.3">
      <c r="A43" s="149" t="s">
        <v>96</v>
      </c>
      <c r="B43" s="185" t="s">
        <v>97</v>
      </c>
      <c r="C43" s="150" t="s">
        <v>254</v>
      </c>
      <c r="D43" s="938">
        <v>165</v>
      </c>
      <c r="E43" s="939">
        <v>138</v>
      </c>
      <c r="F43" s="940">
        <v>19</v>
      </c>
      <c r="G43" s="937">
        <v>8</v>
      </c>
      <c r="H43" s="938">
        <v>43</v>
      </c>
      <c r="I43" s="939">
        <v>28</v>
      </c>
      <c r="J43" s="940">
        <v>14</v>
      </c>
      <c r="K43" s="937">
        <v>1</v>
      </c>
      <c r="L43" s="279">
        <f t="shared" si="6"/>
        <v>0.26060606060606062</v>
      </c>
      <c r="M43" s="280">
        <f t="shared" si="7"/>
        <v>0.20289855072463769</v>
      </c>
      <c r="N43" s="280">
        <f t="shared" si="8"/>
        <v>0.73684210526315785</v>
      </c>
      <c r="O43" s="281">
        <f t="shared" si="9"/>
        <v>0.125</v>
      </c>
    </row>
    <row r="44" spans="1:15" s="142" customFormat="1" ht="13.5" customHeight="1" x14ac:dyDescent="0.3">
      <c r="A44" s="149" t="s">
        <v>98</v>
      </c>
      <c r="B44" s="185" t="s">
        <v>99</v>
      </c>
      <c r="C44" s="150" t="s">
        <v>256</v>
      </c>
      <c r="D44" s="938">
        <v>130</v>
      </c>
      <c r="E44" s="939">
        <v>121</v>
      </c>
      <c r="F44" s="940">
        <v>2</v>
      </c>
      <c r="G44" s="937">
        <v>7</v>
      </c>
      <c r="H44" s="938">
        <v>43</v>
      </c>
      <c r="I44" s="939">
        <v>40</v>
      </c>
      <c r="J44" s="940"/>
      <c r="K44" s="937">
        <v>3</v>
      </c>
      <c r="L44" s="279">
        <f t="shared" si="6"/>
        <v>0.33076923076923076</v>
      </c>
      <c r="M44" s="280">
        <f t="shared" si="7"/>
        <v>0.33057851239669422</v>
      </c>
      <c r="N44" s="280">
        <f t="shared" si="8"/>
        <v>0</v>
      </c>
      <c r="O44" s="281">
        <f t="shared" si="9"/>
        <v>0.42857142857142855</v>
      </c>
    </row>
    <row r="45" spans="1:15" s="142" customFormat="1" ht="13.5" customHeight="1" x14ac:dyDescent="0.3">
      <c r="A45" s="149" t="s">
        <v>100</v>
      </c>
      <c r="B45" s="185" t="s">
        <v>101</v>
      </c>
      <c r="C45" s="150" t="s">
        <v>255</v>
      </c>
      <c r="D45" s="938">
        <v>200</v>
      </c>
      <c r="E45" s="939">
        <v>166</v>
      </c>
      <c r="F45" s="940">
        <v>21</v>
      </c>
      <c r="G45" s="937">
        <v>13</v>
      </c>
      <c r="H45" s="938">
        <v>87</v>
      </c>
      <c r="I45" s="939">
        <v>66</v>
      </c>
      <c r="J45" s="940">
        <v>13</v>
      </c>
      <c r="K45" s="937">
        <v>8</v>
      </c>
      <c r="L45" s="279">
        <f t="shared" si="6"/>
        <v>0.435</v>
      </c>
      <c r="M45" s="280">
        <f t="shared" si="7"/>
        <v>0.39759036144578314</v>
      </c>
      <c r="N45" s="280">
        <f t="shared" si="8"/>
        <v>0.61904761904761907</v>
      </c>
      <c r="O45" s="281">
        <f t="shared" si="9"/>
        <v>0.61538461538461542</v>
      </c>
    </row>
    <row r="46" spans="1:15" s="142" customFormat="1" ht="13.5" customHeight="1" x14ac:dyDescent="0.3">
      <c r="A46" s="149" t="s">
        <v>102</v>
      </c>
      <c r="B46" s="185" t="s">
        <v>270</v>
      </c>
      <c r="C46" s="150" t="s">
        <v>252</v>
      </c>
      <c r="D46" s="938">
        <v>184</v>
      </c>
      <c r="E46" s="939">
        <v>44</v>
      </c>
      <c r="F46" s="940">
        <v>133</v>
      </c>
      <c r="G46" s="937">
        <v>7</v>
      </c>
      <c r="H46" s="938">
        <v>107</v>
      </c>
      <c r="I46" s="939">
        <v>15</v>
      </c>
      <c r="J46" s="940">
        <v>91</v>
      </c>
      <c r="K46" s="937">
        <v>1</v>
      </c>
      <c r="L46" s="279">
        <f t="shared" si="6"/>
        <v>0.58152173913043481</v>
      </c>
      <c r="M46" s="280">
        <f t="shared" si="7"/>
        <v>0.34090909090909088</v>
      </c>
      <c r="N46" s="280">
        <f t="shared" si="8"/>
        <v>0.68421052631578949</v>
      </c>
      <c r="O46" s="281">
        <f t="shared" si="9"/>
        <v>0.14285714285714285</v>
      </c>
    </row>
    <row r="47" spans="1:15" s="142" customFormat="1" ht="13.5" customHeight="1" x14ac:dyDescent="0.3">
      <c r="A47" s="149" t="s">
        <v>104</v>
      </c>
      <c r="B47" s="185" t="s">
        <v>105</v>
      </c>
      <c r="C47" s="150" t="s">
        <v>253</v>
      </c>
      <c r="D47" s="938">
        <v>344</v>
      </c>
      <c r="E47" s="939">
        <v>201</v>
      </c>
      <c r="F47" s="940">
        <v>137</v>
      </c>
      <c r="G47" s="937">
        <v>6</v>
      </c>
      <c r="H47" s="938">
        <v>191</v>
      </c>
      <c r="I47" s="939">
        <v>77</v>
      </c>
      <c r="J47" s="940">
        <v>112</v>
      </c>
      <c r="K47" s="937">
        <v>2</v>
      </c>
      <c r="L47" s="279">
        <f t="shared" si="6"/>
        <v>0.55523255813953487</v>
      </c>
      <c r="M47" s="280">
        <f t="shared" si="7"/>
        <v>0.38308457711442784</v>
      </c>
      <c r="N47" s="280">
        <f t="shared" si="8"/>
        <v>0.81751824817518248</v>
      </c>
      <c r="O47" s="281">
        <f t="shared" si="9"/>
        <v>0.33333333333333331</v>
      </c>
    </row>
    <row r="48" spans="1:15" s="142" customFormat="1" ht="13.5" customHeight="1" x14ac:dyDescent="0.3">
      <c r="A48" s="149" t="s">
        <v>108</v>
      </c>
      <c r="B48" s="185" t="s">
        <v>109</v>
      </c>
      <c r="C48" s="150" t="s">
        <v>254</v>
      </c>
      <c r="D48" s="938">
        <v>951</v>
      </c>
      <c r="E48" s="939">
        <v>805</v>
      </c>
      <c r="F48" s="940">
        <v>87</v>
      </c>
      <c r="G48" s="937">
        <v>59</v>
      </c>
      <c r="H48" s="938">
        <v>232</v>
      </c>
      <c r="I48" s="939">
        <v>157</v>
      </c>
      <c r="J48" s="940">
        <v>48</v>
      </c>
      <c r="K48" s="937">
        <v>27</v>
      </c>
      <c r="L48" s="279">
        <f t="shared" si="6"/>
        <v>0.24395373291272346</v>
      </c>
      <c r="M48" s="280">
        <f t="shared" si="7"/>
        <v>0.19503105590062111</v>
      </c>
      <c r="N48" s="280">
        <f t="shared" si="8"/>
        <v>0.55172413793103448</v>
      </c>
      <c r="O48" s="281">
        <f t="shared" si="9"/>
        <v>0.4576271186440678</v>
      </c>
    </row>
    <row r="49" spans="1:15" s="142" customFormat="1" ht="13.5" customHeight="1" x14ac:dyDescent="0.3">
      <c r="A49" s="149" t="s">
        <v>110</v>
      </c>
      <c r="B49" s="185" t="s">
        <v>111</v>
      </c>
      <c r="C49" s="150" t="s">
        <v>254</v>
      </c>
      <c r="D49" s="938">
        <v>3908</v>
      </c>
      <c r="E49" s="939">
        <v>2194</v>
      </c>
      <c r="F49" s="940">
        <v>1053</v>
      </c>
      <c r="G49" s="937">
        <v>661</v>
      </c>
      <c r="H49" s="938">
        <v>1320</v>
      </c>
      <c r="I49" s="939">
        <v>514</v>
      </c>
      <c r="J49" s="940">
        <v>699</v>
      </c>
      <c r="K49" s="937">
        <v>107</v>
      </c>
      <c r="L49" s="279">
        <f t="shared" si="6"/>
        <v>0.33776867963152507</v>
      </c>
      <c r="M49" s="280">
        <f t="shared" si="7"/>
        <v>0.23427529626253418</v>
      </c>
      <c r="N49" s="280">
        <f t="shared" si="8"/>
        <v>0.66381766381766383</v>
      </c>
      <c r="O49" s="281">
        <f t="shared" si="9"/>
        <v>0.16187594553706505</v>
      </c>
    </row>
    <row r="50" spans="1:15" s="142" customFormat="1" ht="13.5" customHeight="1" x14ac:dyDescent="0.3">
      <c r="A50" s="149" t="s">
        <v>112</v>
      </c>
      <c r="B50" s="185" t="s">
        <v>288</v>
      </c>
      <c r="C50" s="150" t="s">
        <v>253</v>
      </c>
      <c r="D50" s="938">
        <v>603</v>
      </c>
      <c r="E50" s="939">
        <v>398</v>
      </c>
      <c r="F50" s="940">
        <v>177</v>
      </c>
      <c r="G50" s="937">
        <v>28</v>
      </c>
      <c r="H50" s="938">
        <v>258</v>
      </c>
      <c r="I50" s="939">
        <v>131</v>
      </c>
      <c r="J50" s="940">
        <v>108</v>
      </c>
      <c r="K50" s="937">
        <v>19</v>
      </c>
      <c r="L50" s="279">
        <f t="shared" si="6"/>
        <v>0.42786069651741293</v>
      </c>
      <c r="M50" s="280">
        <f t="shared" si="7"/>
        <v>0.32914572864321606</v>
      </c>
      <c r="N50" s="280">
        <f t="shared" si="8"/>
        <v>0.61016949152542377</v>
      </c>
      <c r="O50" s="281">
        <f t="shared" si="9"/>
        <v>0.6785714285714286</v>
      </c>
    </row>
    <row r="51" spans="1:15" s="142" customFormat="1" ht="13.5" customHeight="1" x14ac:dyDescent="0.3">
      <c r="A51" s="149" t="s">
        <v>114</v>
      </c>
      <c r="B51" s="185" t="s">
        <v>115</v>
      </c>
      <c r="C51" s="150" t="s">
        <v>253</v>
      </c>
      <c r="D51" s="938">
        <v>13</v>
      </c>
      <c r="E51" s="939">
        <v>13</v>
      </c>
      <c r="F51" s="940"/>
      <c r="G51" s="937"/>
      <c r="H51" s="938">
        <v>3</v>
      </c>
      <c r="I51" s="939">
        <v>3</v>
      </c>
      <c r="J51" s="940"/>
      <c r="K51" s="937"/>
      <c r="L51" s="279">
        <f t="shared" si="6"/>
        <v>0.23076923076923078</v>
      </c>
      <c r="M51" s="280">
        <f t="shared" si="7"/>
        <v>0.23076923076923078</v>
      </c>
      <c r="N51" s="280" t="str">
        <f t="shared" si="8"/>
        <v>NA</v>
      </c>
      <c r="O51" s="281" t="str">
        <f t="shared" si="9"/>
        <v>NA</v>
      </c>
    </row>
    <row r="52" spans="1:15" s="142" customFormat="1" ht="13.5" customHeight="1" x14ac:dyDescent="0.3">
      <c r="A52" s="149" t="s">
        <v>118</v>
      </c>
      <c r="B52" s="185" t="s">
        <v>258</v>
      </c>
      <c r="C52" s="150" t="s">
        <v>252</v>
      </c>
      <c r="D52" s="938">
        <v>350</v>
      </c>
      <c r="E52" s="939">
        <v>267</v>
      </c>
      <c r="F52" s="940">
        <v>72</v>
      </c>
      <c r="G52" s="937">
        <v>11</v>
      </c>
      <c r="H52" s="938">
        <v>116</v>
      </c>
      <c r="I52" s="939">
        <v>61</v>
      </c>
      <c r="J52" s="940">
        <v>49</v>
      </c>
      <c r="K52" s="937">
        <v>6</v>
      </c>
      <c r="L52" s="279">
        <f t="shared" si="6"/>
        <v>0.33142857142857141</v>
      </c>
      <c r="M52" s="280">
        <f t="shared" si="7"/>
        <v>0.22846441947565543</v>
      </c>
      <c r="N52" s="280">
        <f t="shared" si="8"/>
        <v>0.68055555555555558</v>
      </c>
      <c r="O52" s="281">
        <f t="shared" si="9"/>
        <v>0.54545454545454541</v>
      </c>
    </row>
    <row r="53" spans="1:15" s="142" customFormat="1" ht="13.5" customHeight="1" x14ac:dyDescent="0.3">
      <c r="A53" s="149" t="s">
        <v>120</v>
      </c>
      <c r="B53" s="185" t="s">
        <v>121</v>
      </c>
      <c r="C53" s="150" t="s">
        <v>252</v>
      </c>
      <c r="D53" s="938">
        <v>679</v>
      </c>
      <c r="E53" s="939">
        <v>474</v>
      </c>
      <c r="F53" s="940">
        <v>117</v>
      </c>
      <c r="G53" s="937">
        <v>88</v>
      </c>
      <c r="H53" s="938">
        <v>205</v>
      </c>
      <c r="I53" s="939">
        <v>93</v>
      </c>
      <c r="J53" s="940">
        <v>74</v>
      </c>
      <c r="K53" s="937">
        <v>38</v>
      </c>
      <c r="L53" s="279">
        <f t="shared" si="6"/>
        <v>0.30191458026509571</v>
      </c>
      <c r="M53" s="280">
        <f t="shared" si="7"/>
        <v>0.19620253164556961</v>
      </c>
      <c r="N53" s="280">
        <f t="shared" si="8"/>
        <v>0.63247863247863245</v>
      </c>
      <c r="O53" s="281">
        <f t="shared" si="9"/>
        <v>0.43181818181818182</v>
      </c>
    </row>
    <row r="54" spans="1:15" s="142" customFormat="1" ht="13.5" customHeight="1" x14ac:dyDescent="0.3">
      <c r="A54" s="149" t="s">
        <v>122</v>
      </c>
      <c r="B54" s="185" t="s">
        <v>259</v>
      </c>
      <c r="C54" s="150" t="s">
        <v>254</v>
      </c>
      <c r="D54" s="938">
        <v>53</v>
      </c>
      <c r="E54" s="939">
        <v>35</v>
      </c>
      <c r="F54" s="940">
        <v>16</v>
      </c>
      <c r="G54" s="937">
        <v>2</v>
      </c>
      <c r="H54" s="938">
        <v>32</v>
      </c>
      <c r="I54" s="939">
        <v>17</v>
      </c>
      <c r="J54" s="940">
        <v>13</v>
      </c>
      <c r="K54" s="937">
        <v>2</v>
      </c>
      <c r="L54" s="279">
        <f t="shared" si="6"/>
        <v>0.60377358490566035</v>
      </c>
      <c r="M54" s="280">
        <f t="shared" si="7"/>
        <v>0.48571428571428571</v>
      </c>
      <c r="N54" s="280">
        <f t="shared" si="8"/>
        <v>0.8125</v>
      </c>
      <c r="O54" s="281">
        <f t="shared" si="9"/>
        <v>1</v>
      </c>
    </row>
    <row r="55" spans="1:15" s="142" customFormat="1" ht="13.5" customHeight="1" x14ac:dyDescent="0.3">
      <c r="A55" s="149" t="s">
        <v>124</v>
      </c>
      <c r="B55" s="185" t="s">
        <v>125</v>
      </c>
      <c r="C55" s="150" t="s">
        <v>255</v>
      </c>
      <c r="D55" s="938">
        <v>304</v>
      </c>
      <c r="E55" s="939">
        <v>250</v>
      </c>
      <c r="F55" s="940">
        <v>41</v>
      </c>
      <c r="G55" s="937">
        <v>13</v>
      </c>
      <c r="H55" s="938">
        <v>89</v>
      </c>
      <c r="I55" s="939">
        <v>55</v>
      </c>
      <c r="J55" s="940">
        <v>28</v>
      </c>
      <c r="K55" s="937">
        <v>6</v>
      </c>
      <c r="L55" s="279">
        <f t="shared" si="6"/>
        <v>0.29276315789473684</v>
      </c>
      <c r="M55" s="280">
        <f t="shared" si="7"/>
        <v>0.22</v>
      </c>
      <c r="N55" s="280">
        <f t="shared" si="8"/>
        <v>0.68292682926829273</v>
      </c>
      <c r="O55" s="281">
        <f t="shared" si="9"/>
        <v>0.46153846153846156</v>
      </c>
    </row>
    <row r="56" spans="1:15" s="142" customFormat="1" ht="13.5" customHeight="1" x14ac:dyDescent="0.3">
      <c r="A56" s="149" t="s">
        <v>126</v>
      </c>
      <c r="B56" s="185" t="s">
        <v>127</v>
      </c>
      <c r="C56" s="150" t="s">
        <v>254</v>
      </c>
      <c r="D56" s="938">
        <v>219</v>
      </c>
      <c r="E56" s="939">
        <v>189</v>
      </c>
      <c r="F56" s="940">
        <v>24</v>
      </c>
      <c r="G56" s="937">
        <v>6</v>
      </c>
      <c r="H56" s="938">
        <v>74</v>
      </c>
      <c r="I56" s="939">
        <v>53</v>
      </c>
      <c r="J56" s="940">
        <v>19</v>
      </c>
      <c r="K56" s="937">
        <v>2</v>
      </c>
      <c r="L56" s="279">
        <f t="shared" si="6"/>
        <v>0.33789954337899542</v>
      </c>
      <c r="M56" s="280">
        <f t="shared" si="7"/>
        <v>0.28042328042328041</v>
      </c>
      <c r="N56" s="280">
        <f t="shared" si="8"/>
        <v>0.79166666666666663</v>
      </c>
      <c r="O56" s="281">
        <f t="shared" si="9"/>
        <v>0.33333333333333331</v>
      </c>
    </row>
    <row r="57" spans="1:15" s="142" customFormat="1" ht="13.5" customHeight="1" x14ac:dyDescent="0.3">
      <c r="A57" s="149" t="s">
        <v>128</v>
      </c>
      <c r="B57" s="185" t="s">
        <v>129</v>
      </c>
      <c r="C57" s="150" t="s">
        <v>254</v>
      </c>
      <c r="D57" s="938">
        <v>89</v>
      </c>
      <c r="E57" s="939">
        <v>46</v>
      </c>
      <c r="F57" s="940">
        <v>39</v>
      </c>
      <c r="G57" s="937">
        <v>4</v>
      </c>
      <c r="H57" s="938">
        <v>58</v>
      </c>
      <c r="I57" s="939">
        <v>23</v>
      </c>
      <c r="J57" s="940">
        <v>34</v>
      </c>
      <c r="K57" s="937">
        <v>1</v>
      </c>
      <c r="L57" s="279">
        <f t="shared" si="6"/>
        <v>0.651685393258427</v>
      </c>
      <c r="M57" s="280">
        <f t="shared" si="7"/>
        <v>0.5</v>
      </c>
      <c r="N57" s="280">
        <f t="shared" si="8"/>
        <v>0.87179487179487181</v>
      </c>
      <c r="O57" s="281">
        <f t="shared" si="9"/>
        <v>0.25</v>
      </c>
    </row>
    <row r="58" spans="1:15" s="142" customFormat="1" ht="13.5" customHeight="1" x14ac:dyDescent="0.3">
      <c r="A58" s="149" t="s">
        <v>130</v>
      </c>
      <c r="B58" s="185" t="s">
        <v>131</v>
      </c>
      <c r="C58" s="150" t="s">
        <v>256</v>
      </c>
      <c r="D58" s="938">
        <v>203</v>
      </c>
      <c r="E58" s="939">
        <v>202</v>
      </c>
      <c r="F58" s="940"/>
      <c r="G58" s="937">
        <v>1</v>
      </c>
      <c r="H58" s="938">
        <v>52</v>
      </c>
      <c r="I58" s="939">
        <v>51</v>
      </c>
      <c r="J58" s="940"/>
      <c r="K58" s="937">
        <v>1</v>
      </c>
      <c r="L58" s="279">
        <f t="shared" si="6"/>
        <v>0.25615763546798032</v>
      </c>
      <c r="M58" s="280">
        <f t="shared" si="7"/>
        <v>0.25247524752475248</v>
      </c>
      <c r="N58" s="280" t="str">
        <f t="shared" si="8"/>
        <v>NA</v>
      </c>
      <c r="O58" s="281">
        <f t="shared" si="9"/>
        <v>1</v>
      </c>
    </row>
    <row r="59" spans="1:15" s="142" customFormat="1" ht="13.5" customHeight="1" x14ac:dyDescent="0.3">
      <c r="A59" s="149" t="s">
        <v>132</v>
      </c>
      <c r="B59" s="185" t="s">
        <v>133</v>
      </c>
      <c r="C59" s="150" t="s">
        <v>255</v>
      </c>
      <c r="D59" s="938">
        <v>5214</v>
      </c>
      <c r="E59" s="939">
        <v>2905</v>
      </c>
      <c r="F59" s="940">
        <v>406</v>
      </c>
      <c r="G59" s="937">
        <v>1903</v>
      </c>
      <c r="H59" s="938">
        <v>819</v>
      </c>
      <c r="I59" s="939">
        <v>262</v>
      </c>
      <c r="J59" s="940">
        <v>112</v>
      </c>
      <c r="K59" s="937">
        <v>445</v>
      </c>
      <c r="L59" s="279">
        <f t="shared" si="6"/>
        <v>0.15707710011507481</v>
      </c>
      <c r="M59" s="280">
        <f t="shared" si="7"/>
        <v>9.0189328743545613E-2</v>
      </c>
      <c r="N59" s="280">
        <f t="shared" si="8"/>
        <v>0.27586206896551724</v>
      </c>
      <c r="O59" s="281">
        <f t="shared" si="9"/>
        <v>0.23384130320546506</v>
      </c>
    </row>
    <row r="60" spans="1:15" s="142" customFormat="1" ht="13.5" customHeight="1" x14ac:dyDescent="0.3">
      <c r="A60" s="149" t="s">
        <v>134</v>
      </c>
      <c r="B60" s="185" t="s">
        <v>135</v>
      </c>
      <c r="C60" s="150" t="s">
        <v>255</v>
      </c>
      <c r="D60" s="938">
        <v>355</v>
      </c>
      <c r="E60" s="939">
        <v>293</v>
      </c>
      <c r="F60" s="940">
        <v>47</v>
      </c>
      <c r="G60" s="937">
        <v>15</v>
      </c>
      <c r="H60" s="938">
        <v>149</v>
      </c>
      <c r="I60" s="939">
        <v>109</v>
      </c>
      <c r="J60" s="940">
        <v>34</v>
      </c>
      <c r="K60" s="937">
        <v>6</v>
      </c>
      <c r="L60" s="279">
        <f t="shared" si="6"/>
        <v>0.41971830985915493</v>
      </c>
      <c r="M60" s="280">
        <f t="shared" si="7"/>
        <v>0.37201365187713309</v>
      </c>
      <c r="N60" s="280">
        <f t="shared" si="8"/>
        <v>0.72340425531914898</v>
      </c>
      <c r="O60" s="281">
        <f t="shared" si="9"/>
        <v>0.4</v>
      </c>
    </row>
    <row r="61" spans="1:15" s="142" customFormat="1" ht="13.5" customHeight="1" x14ac:dyDescent="0.3">
      <c r="A61" s="149" t="s">
        <v>136</v>
      </c>
      <c r="B61" s="185" t="s">
        <v>137</v>
      </c>
      <c r="C61" s="150" t="s">
        <v>254</v>
      </c>
      <c r="D61" s="938">
        <v>99</v>
      </c>
      <c r="E61" s="939">
        <v>59</v>
      </c>
      <c r="F61" s="940">
        <v>32</v>
      </c>
      <c r="G61" s="937">
        <v>8</v>
      </c>
      <c r="H61" s="938">
        <v>65</v>
      </c>
      <c r="I61" s="939">
        <v>32</v>
      </c>
      <c r="J61" s="940">
        <v>28</v>
      </c>
      <c r="K61" s="937">
        <v>5</v>
      </c>
      <c r="L61" s="279">
        <f t="shared" si="6"/>
        <v>0.65656565656565657</v>
      </c>
      <c r="M61" s="280">
        <f t="shared" si="7"/>
        <v>0.5423728813559322</v>
      </c>
      <c r="N61" s="280">
        <f t="shared" si="8"/>
        <v>0.875</v>
      </c>
      <c r="O61" s="281">
        <f t="shared" si="9"/>
        <v>0.625</v>
      </c>
    </row>
    <row r="62" spans="1:15" s="142" customFormat="1" ht="13.5" customHeight="1" x14ac:dyDescent="0.3">
      <c r="A62" s="149" t="s">
        <v>140</v>
      </c>
      <c r="B62" s="185" t="s">
        <v>141</v>
      </c>
      <c r="C62" s="150" t="s">
        <v>255</v>
      </c>
      <c r="D62" s="938">
        <v>118</v>
      </c>
      <c r="E62" s="939">
        <v>104</v>
      </c>
      <c r="F62" s="940">
        <v>9</v>
      </c>
      <c r="G62" s="937">
        <v>5</v>
      </c>
      <c r="H62" s="938">
        <v>47</v>
      </c>
      <c r="I62" s="939">
        <v>36</v>
      </c>
      <c r="J62" s="940">
        <v>8</v>
      </c>
      <c r="K62" s="937">
        <v>3</v>
      </c>
      <c r="L62" s="279">
        <f t="shared" si="6"/>
        <v>0.39830508474576271</v>
      </c>
      <c r="M62" s="280">
        <f t="shared" si="7"/>
        <v>0.34615384615384615</v>
      </c>
      <c r="N62" s="280">
        <f t="shared" si="8"/>
        <v>0.88888888888888884</v>
      </c>
      <c r="O62" s="281">
        <f t="shared" si="9"/>
        <v>0.6</v>
      </c>
    </row>
    <row r="63" spans="1:15" s="142" customFormat="1" ht="13.5" customHeight="1" x14ac:dyDescent="0.3">
      <c r="A63" s="149" t="s">
        <v>146</v>
      </c>
      <c r="B63" s="185" t="s">
        <v>147</v>
      </c>
      <c r="C63" s="150" t="s">
        <v>252</v>
      </c>
      <c r="D63" s="938">
        <v>45</v>
      </c>
      <c r="E63" s="939">
        <v>40</v>
      </c>
      <c r="F63" s="940">
        <v>2</v>
      </c>
      <c r="G63" s="937">
        <v>3</v>
      </c>
      <c r="H63" s="938">
        <v>16</v>
      </c>
      <c r="I63" s="939">
        <v>13</v>
      </c>
      <c r="J63" s="940">
        <v>1</v>
      </c>
      <c r="K63" s="937">
        <v>2</v>
      </c>
      <c r="L63" s="279">
        <f t="shared" si="6"/>
        <v>0.35555555555555557</v>
      </c>
      <c r="M63" s="280">
        <f t="shared" si="7"/>
        <v>0.32500000000000001</v>
      </c>
      <c r="N63" s="280">
        <f t="shared" si="8"/>
        <v>0.5</v>
      </c>
      <c r="O63" s="281">
        <f t="shared" si="9"/>
        <v>0.66666666666666663</v>
      </c>
    </row>
    <row r="64" spans="1:15" s="142" customFormat="1" ht="13.5" customHeight="1" x14ac:dyDescent="0.3">
      <c r="A64" s="149" t="s">
        <v>148</v>
      </c>
      <c r="B64" s="185" t="s">
        <v>149</v>
      </c>
      <c r="C64" s="150" t="s">
        <v>253</v>
      </c>
      <c r="D64" s="938">
        <v>326</v>
      </c>
      <c r="E64" s="939">
        <v>162</v>
      </c>
      <c r="F64" s="940">
        <v>146</v>
      </c>
      <c r="G64" s="937">
        <v>18</v>
      </c>
      <c r="H64" s="938">
        <v>185</v>
      </c>
      <c r="I64" s="939">
        <v>62</v>
      </c>
      <c r="J64" s="940">
        <v>117</v>
      </c>
      <c r="K64" s="937">
        <v>6</v>
      </c>
      <c r="L64" s="279">
        <f t="shared" si="6"/>
        <v>0.56748466257668717</v>
      </c>
      <c r="M64" s="280">
        <f t="shared" si="7"/>
        <v>0.38271604938271603</v>
      </c>
      <c r="N64" s="280">
        <f t="shared" si="8"/>
        <v>0.80136986301369861</v>
      </c>
      <c r="O64" s="281">
        <f t="shared" si="9"/>
        <v>0.33333333333333331</v>
      </c>
    </row>
    <row r="65" spans="1:15" s="142" customFormat="1" ht="13.5" customHeight="1" x14ac:dyDescent="0.3">
      <c r="A65" s="149" t="s">
        <v>150</v>
      </c>
      <c r="B65" s="185" t="s">
        <v>151</v>
      </c>
      <c r="C65" s="150" t="s">
        <v>254</v>
      </c>
      <c r="D65" s="938">
        <v>80</v>
      </c>
      <c r="E65" s="939">
        <v>68</v>
      </c>
      <c r="F65" s="940">
        <v>8</v>
      </c>
      <c r="G65" s="937">
        <v>4</v>
      </c>
      <c r="H65" s="938">
        <v>37</v>
      </c>
      <c r="I65" s="939">
        <v>26</v>
      </c>
      <c r="J65" s="940">
        <v>8</v>
      </c>
      <c r="K65" s="937">
        <v>3</v>
      </c>
      <c r="L65" s="279">
        <f t="shared" si="6"/>
        <v>0.46250000000000002</v>
      </c>
      <c r="M65" s="280">
        <f t="shared" si="7"/>
        <v>0.38235294117647056</v>
      </c>
      <c r="N65" s="280">
        <f t="shared" si="8"/>
        <v>1</v>
      </c>
      <c r="O65" s="281">
        <f t="shared" si="9"/>
        <v>0.75</v>
      </c>
    </row>
    <row r="66" spans="1:15" s="142" customFormat="1" ht="13.5" customHeight="1" x14ac:dyDescent="0.3">
      <c r="A66" s="149" t="s">
        <v>152</v>
      </c>
      <c r="B66" s="185" t="s">
        <v>153</v>
      </c>
      <c r="C66" s="150" t="s">
        <v>256</v>
      </c>
      <c r="D66" s="938">
        <v>825</v>
      </c>
      <c r="E66" s="939">
        <v>724</v>
      </c>
      <c r="F66" s="940">
        <v>35</v>
      </c>
      <c r="G66" s="937">
        <v>66</v>
      </c>
      <c r="H66" s="938">
        <v>238</v>
      </c>
      <c r="I66" s="939">
        <v>206</v>
      </c>
      <c r="J66" s="940">
        <v>22</v>
      </c>
      <c r="K66" s="937">
        <v>10</v>
      </c>
      <c r="L66" s="279">
        <f t="shared" si="6"/>
        <v>0.28848484848484851</v>
      </c>
      <c r="M66" s="280">
        <f t="shared" si="7"/>
        <v>0.28453038674033149</v>
      </c>
      <c r="N66" s="280">
        <f t="shared" si="8"/>
        <v>0.62857142857142856</v>
      </c>
      <c r="O66" s="281">
        <f t="shared" si="9"/>
        <v>0.15151515151515152</v>
      </c>
    </row>
    <row r="67" spans="1:15" s="142" customFormat="1" ht="13.5" customHeight="1" x14ac:dyDescent="0.3">
      <c r="A67" s="149" t="s">
        <v>154</v>
      </c>
      <c r="B67" s="185" t="s">
        <v>155</v>
      </c>
      <c r="C67" s="150" t="s">
        <v>253</v>
      </c>
      <c r="D67" s="938">
        <v>136</v>
      </c>
      <c r="E67" s="939">
        <v>111</v>
      </c>
      <c r="F67" s="940">
        <v>14</v>
      </c>
      <c r="G67" s="937">
        <v>11</v>
      </c>
      <c r="H67" s="938">
        <v>60</v>
      </c>
      <c r="I67" s="939">
        <v>47</v>
      </c>
      <c r="J67" s="940">
        <v>10</v>
      </c>
      <c r="K67" s="937">
        <v>3</v>
      </c>
      <c r="L67" s="279">
        <f t="shared" si="6"/>
        <v>0.44117647058823528</v>
      </c>
      <c r="M67" s="280">
        <f t="shared" si="7"/>
        <v>0.42342342342342343</v>
      </c>
      <c r="N67" s="280">
        <f t="shared" si="8"/>
        <v>0.7142857142857143</v>
      </c>
      <c r="O67" s="281">
        <f t="shared" si="9"/>
        <v>0.27272727272727271</v>
      </c>
    </row>
    <row r="68" spans="1:15" s="142" customFormat="1" ht="13.5" customHeight="1" x14ac:dyDescent="0.3">
      <c r="A68" s="149" t="s">
        <v>156</v>
      </c>
      <c r="B68" s="185" t="s">
        <v>157</v>
      </c>
      <c r="C68" s="150" t="s">
        <v>254</v>
      </c>
      <c r="D68" s="938">
        <v>214</v>
      </c>
      <c r="E68" s="939">
        <v>186</v>
      </c>
      <c r="F68" s="940">
        <v>16</v>
      </c>
      <c r="G68" s="937">
        <v>12</v>
      </c>
      <c r="H68" s="938">
        <v>61</v>
      </c>
      <c r="I68" s="939">
        <v>46</v>
      </c>
      <c r="J68" s="940">
        <v>11</v>
      </c>
      <c r="K68" s="937">
        <v>4</v>
      </c>
      <c r="L68" s="279">
        <f t="shared" si="6"/>
        <v>0.28504672897196259</v>
      </c>
      <c r="M68" s="280">
        <f t="shared" si="7"/>
        <v>0.24731182795698925</v>
      </c>
      <c r="N68" s="280">
        <f t="shared" si="8"/>
        <v>0.6875</v>
      </c>
      <c r="O68" s="281">
        <f t="shared" si="9"/>
        <v>0.33333333333333331</v>
      </c>
    </row>
    <row r="69" spans="1:15" s="142" customFormat="1" ht="13.5" customHeight="1" x14ac:dyDescent="0.3">
      <c r="A69" s="149" t="s">
        <v>162</v>
      </c>
      <c r="B69" s="185" t="s">
        <v>163</v>
      </c>
      <c r="C69" s="150" t="s">
        <v>252</v>
      </c>
      <c r="D69" s="938">
        <v>128</v>
      </c>
      <c r="E69" s="939">
        <v>72</v>
      </c>
      <c r="F69" s="940">
        <v>49</v>
      </c>
      <c r="G69" s="937">
        <v>7</v>
      </c>
      <c r="H69" s="938">
        <v>74</v>
      </c>
      <c r="I69" s="939">
        <v>33</v>
      </c>
      <c r="J69" s="940">
        <v>37</v>
      </c>
      <c r="K69" s="937">
        <v>4</v>
      </c>
      <c r="L69" s="279">
        <f t="shared" si="6"/>
        <v>0.578125</v>
      </c>
      <c r="M69" s="280">
        <f t="shared" si="7"/>
        <v>0.45833333333333331</v>
      </c>
      <c r="N69" s="280">
        <f t="shared" si="8"/>
        <v>0.75510204081632648</v>
      </c>
      <c r="O69" s="281">
        <f t="shared" si="9"/>
        <v>0.5714285714285714</v>
      </c>
    </row>
    <row r="70" spans="1:15" s="142" customFormat="1" ht="13.5" customHeight="1" x14ac:dyDescent="0.3">
      <c r="A70" s="149" t="s">
        <v>164</v>
      </c>
      <c r="B70" s="185" t="s">
        <v>165</v>
      </c>
      <c r="C70" s="150" t="s">
        <v>254</v>
      </c>
      <c r="D70" s="938">
        <v>71</v>
      </c>
      <c r="E70" s="939">
        <v>37</v>
      </c>
      <c r="F70" s="940">
        <v>31</v>
      </c>
      <c r="G70" s="937">
        <v>3</v>
      </c>
      <c r="H70" s="938">
        <v>42</v>
      </c>
      <c r="I70" s="939">
        <v>15</v>
      </c>
      <c r="J70" s="940">
        <v>26</v>
      </c>
      <c r="K70" s="937">
        <v>1</v>
      </c>
      <c r="L70" s="279">
        <f t="shared" si="6"/>
        <v>0.59154929577464788</v>
      </c>
      <c r="M70" s="280">
        <f t="shared" si="7"/>
        <v>0.40540540540540543</v>
      </c>
      <c r="N70" s="280">
        <f t="shared" si="8"/>
        <v>0.83870967741935487</v>
      </c>
      <c r="O70" s="281">
        <f t="shared" si="9"/>
        <v>0.33333333333333331</v>
      </c>
    </row>
    <row r="71" spans="1:15" s="142" customFormat="1" ht="13.5" customHeight="1" x14ac:dyDescent="0.3">
      <c r="A71" s="149" t="s">
        <v>168</v>
      </c>
      <c r="B71" s="185" t="s">
        <v>169</v>
      </c>
      <c r="C71" s="150" t="s">
        <v>254</v>
      </c>
      <c r="D71" s="938">
        <v>150</v>
      </c>
      <c r="E71" s="939">
        <v>82</v>
      </c>
      <c r="F71" s="940">
        <v>66</v>
      </c>
      <c r="G71" s="937">
        <v>2</v>
      </c>
      <c r="H71" s="938">
        <v>92</v>
      </c>
      <c r="I71" s="939">
        <v>39</v>
      </c>
      <c r="J71" s="940">
        <v>52</v>
      </c>
      <c r="K71" s="937">
        <v>1</v>
      </c>
      <c r="L71" s="279">
        <f t="shared" ref="L71:L102" si="10">IF(D71=0,"NA",(H71/D71))</f>
        <v>0.61333333333333329</v>
      </c>
      <c r="M71" s="280">
        <f t="shared" ref="M71:M102" si="11">IF(E71=0,"NA",(I71/E71))</f>
        <v>0.47560975609756095</v>
      </c>
      <c r="N71" s="280">
        <f t="shared" ref="N71:N102" si="12">IF(F71=0,"NA",(J71/F71))</f>
        <v>0.78787878787878785</v>
      </c>
      <c r="O71" s="281">
        <f t="shared" ref="O71:O102" si="13">IF(G71=0,"NA",(K71/G71))</f>
        <v>0.5</v>
      </c>
    </row>
    <row r="72" spans="1:15" s="142" customFormat="1" ht="13.5" customHeight="1" x14ac:dyDescent="0.3">
      <c r="A72" s="149" t="s">
        <v>170</v>
      </c>
      <c r="B72" s="185" t="s">
        <v>171</v>
      </c>
      <c r="C72" s="150" t="s">
        <v>255</v>
      </c>
      <c r="D72" s="938">
        <v>408</v>
      </c>
      <c r="E72" s="939">
        <v>336</v>
      </c>
      <c r="F72" s="940">
        <v>48</v>
      </c>
      <c r="G72" s="937">
        <v>24</v>
      </c>
      <c r="H72" s="938">
        <v>169</v>
      </c>
      <c r="I72" s="939">
        <v>124</v>
      </c>
      <c r="J72" s="940">
        <v>37</v>
      </c>
      <c r="K72" s="937">
        <v>8</v>
      </c>
      <c r="L72" s="279">
        <f t="shared" si="10"/>
        <v>0.41421568627450983</v>
      </c>
      <c r="M72" s="280">
        <f t="shared" si="11"/>
        <v>0.36904761904761907</v>
      </c>
      <c r="N72" s="280">
        <f t="shared" si="12"/>
        <v>0.77083333333333337</v>
      </c>
      <c r="O72" s="281">
        <f t="shared" si="13"/>
        <v>0.33333333333333331</v>
      </c>
    </row>
    <row r="73" spans="1:15" s="142" customFormat="1" ht="13.5" customHeight="1" x14ac:dyDescent="0.3">
      <c r="A73" s="149" t="s">
        <v>172</v>
      </c>
      <c r="B73" s="185" t="s">
        <v>173</v>
      </c>
      <c r="C73" s="150" t="s">
        <v>255</v>
      </c>
      <c r="D73" s="938">
        <v>255</v>
      </c>
      <c r="E73" s="939">
        <v>248</v>
      </c>
      <c r="F73" s="940">
        <v>3</v>
      </c>
      <c r="G73" s="937">
        <v>4</v>
      </c>
      <c r="H73" s="938">
        <v>116</v>
      </c>
      <c r="I73" s="939">
        <v>112</v>
      </c>
      <c r="J73" s="940">
        <v>2</v>
      </c>
      <c r="K73" s="937">
        <v>2</v>
      </c>
      <c r="L73" s="279">
        <f t="shared" si="10"/>
        <v>0.45490196078431372</v>
      </c>
      <c r="M73" s="280">
        <f t="shared" si="11"/>
        <v>0.45161290322580644</v>
      </c>
      <c r="N73" s="280">
        <f t="shared" si="12"/>
        <v>0.66666666666666663</v>
      </c>
      <c r="O73" s="281">
        <f t="shared" si="13"/>
        <v>0.5</v>
      </c>
    </row>
    <row r="74" spans="1:15" s="142" customFormat="1" ht="13.5" customHeight="1" x14ac:dyDescent="0.3">
      <c r="A74" s="149" t="s">
        <v>174</v>
      </c>
      <c r="B74" s="185" t="s">
        <v>175</v>
      </c>
      <c r="C74" s="150" t="s">
        <v>256</v>
      </c>
      <c r="D74" s="938">
        <v>138</v>
      </c>
      <c r="E74" s="939">
        <v>133</v>
      </c>
      <c r="F74" s="940">
        <v>2</v>
      </c>
      <c r="G74" s="937">
        <v>3</v>
      </c>
      <c r="H74" s="938">
        <v>21</v>
      </c>
      <c r="I74" s="939">
        <v>20</v>
      </c>
      <c r="J74" s="940"/>
      <c r="K74" s="937">
        <v>1</v>
      </c>
      <c r="L74" s="279">
        <f t="shared" si="10"/>
        <v>0.15217391304347827</v>
      </c>
      <c r="M74" s="280">
        <f t="shared" si="11"/>
        <v>0.15037593984962405</v>
      </c>
      <c r="N74" s="280">
        <f t="shared" si="12"/>
        <v>0</v>
      </c>
      <c r="O74" s="281">
        <f t="shared" si="13"/>
        <v>0.33333333333333331</v>
      </c>
    </row>
    <row r="75" spans="1:15" s="142" customFormat="1" ht="13.5" customHeight="1" x14ac:dyDescent="0.3">
      <c r="A75" s="149" t="s">
        <v>178</v>
      </c>
      <c r="B75" s="185" t="s">
        <v>179</v>
      </c>
      <c r="C75" s="150" t="s">
        <v>253</v>
      </c>
      <c r="D75" s="938">
        <v>487</v>
      </c>
      <c r="E75" s="939">
        <v>356</v>
      </c>
      <c r="F75" s="940">
        <v>103</v>
      </c>
      <c r="G75" s="937">
        <v>28</v>
      </c>
      <c r="H75" s="938">
        <v>202</v>
      </c>
      <c r="I75" s="939">
        <v>114</v>
      </c>
      <c r="J75" s="940">
        <v>74</v>
      </c>
      <c r="K75" s="937">
        <v>14</v>
      </c>
      <c r="L75" s="279">
        <f t="shared" si="10"/>
        <v>0.41478439425051333</v>
      </c>
      <c r="M75" s="280">
        <f t="shared" si="11"/>
        <v>0.3202247191011236</v>
      </c>
      <c r="N75" s="280">
        <f t="shared" si="12"/>
        <v>0.71844660194174759</v>
      </c>
      <c r="O75" s="281">
        <f t="shared" si="13"/>
        <v>0.5</v>
      </c>
    </row>
    <row r="76" spans="1:15" s="142" customFormat="1" ht="13.5" customHeight="1" x14ac:dyDescent="0.3">
      <c r="A76" s="149" t="s">
        <v>182</v>
      </c>
      <c r="B76" s="185" t="s">
        <v>183</v>
      </c>
      <c r="C76" s="150" t="s">
        <v>254</v>
      </c>
      <c r="D76" s="938">
        <v>249</v>
      </c>
      <c r="E76" s="939">
        <v>228</v>
      </c>
      <c r="F76" s="940">
        <v>12</v>
      </c>
      <c r="G76" s="937">
        <v>9</v>
      </c>
      <c r="H76" s="938">
        <v>60</v>
      </c>
      <c r="I76" s="939">
        <v>49</v>
      </c>
      <c r="J76" s="940">
        <v>8</v>
      </c>
      <c r="K76" s="937">
        <v>3</v>
      </c>
      <c r="L76" s="279">
        <f t="shared" si="10"/>
        <v>0.24096385542168675</v>
      </c>
      <c r="M76" s="280">
        <f t="shared" si="11"/>
        <v>0.21491228070175439</v>
      </c>
      <c r="N76" s="280">
        <f t="shared" si="12"/>
        <v>0.66666666666666663</v>
      </c>
      <c r="O76" s="281">
        <f t="shared" si="13"/>
        <v>0.33333333333333331</v>
      </c>
    </row>
    <row r="77" spans="1:15" s="142" customFormat="1" ht="13.5" customHeight="1" x14ac:dyDescent="0.3">
      <c r="A77" s="149" t="s">
        <v>184</v>
      </c>
      <c r="B77" s="185" t="s">
        <v>185</v>
      </c>
      <c r="C77" s="150" t="s">
        <v>254</v>
      </c>
      <c r="D77" s="938">
        <v>245</v>
      </c>
      <c r="E77" s="939">
        <v>146</v>
      </c>
      <c r="F77" s="940">
        <v>91</v>
      </c>
      <c r="G77" s="937">
        <v>8</v>
      </c>
      <c r="H77" s="938">
        <v>121</v>
      </c>
      <c r="I77" s="939">
        <v>37</v>
      </c>
      <c r="J77" s="940">
        <v>81</v>
      </c>
      <c r="K77" s="937">
        <v>3</v>
      </c>
      <c r="L77" s="279">
        <f t="shared" si="10"/>
        <v>0.49387755102040815</v>
      </c>
      <c r="M77" s="280">
        <f t="shared" si="11"/>
        <v>0.25342465753424659</v>
      </c>
      <c r="N77" s="280">
        <f t="shared" si="12"/>
        <v>0.89010989010989006</v>
      </c>
      <c r="O77" s="281">
        <f t="shared" si="13"/>
        <v>0.375</v>
      </c>
    </row>
    <row r="78" spans="1:15" s="142" customFormat="1" ht="13.5" customHeight="1" x14ac:dyDescent="0.3">
      <c r="A78" s="149" t="s">
        <v>186</v>
      </c>
      <c r="B78" s="185" t="s">
        <v>187</v>
      </c>
      <c r="C78" s="150" t="s">
        <v>252</v>
      </c>
      <c r="D78" s="938">
        <v>357</v>
      </c>
      <c r="E78" s="939">
        <v>221</v>
      </c>
      <c r="F78" s="940">
        <v>108</v>
      </c>
      <c r="G78" s="937">
        <v>28</v>
      </c>
      <c r="H78" s="938">
        <v>113</v>
      </c>
      <c r="I78" s="939">
        <v>35</v>
      </c>
      <c r="J78" s="940">
        <v>66</v>
      </c>
      <c r="K78" s="937">
        <v>12</v>
      </c>
      <c r="L78" s="279">
        <f t="shared" si="10"/>
        <v>0.31652661064425769</v>
      </c>
      <c r="M78" s="280">
        <f t="shared" si="11"/>
        <v>0.15837104072398189</v>
      </c>
      <c r="N78" s="280">
        <f t="shared" si="12"/>
        <v>0.61111111111111116</v>
      </c>
      <c r="O78" s="281">
        <f t="shared" si="13"/>
        <v>0.42857142857142855</v>
      </c>
    </row>
    <row r="79" spans="1:15" s="142" customFormat="1" ht="13.5" customHeight="1" x14ac:dyDescent="0.3">
      <c r="A79" s="149" t="s">
        <v>188</v>
      </c>
      <c r="B79" s="185" t="s">
        <v>189</v>
      </c>
      <c r="C79" s="150" t="s">
        <v>255</v>
      </c>
      <c r="D79" s="938">
        <v>6477</v>
      </c>
      <c r="E79" s="939">
        <v>3284</v>
      </c>
      <c r="F79" s="940">
        <v>1338</v>
      </c>
      <c r="G79" s="937">
        <v>1855</v>
      </c>
      <c r="H79" s="938">
        <v>1964</v>
      </c>
      <c r="I79" s="939">
        <v>805</v>
      </c>
      <c r="J79" s="940">
        <v>603</v>
      </c>
      <c r="K79" s="937">
        <v>556</v>
      </c>
      <c r="L79" s="279">
        <f t="shared" si="10"/>
        <v>0.30322680253203643</v>
      </c>
      <c r="M79" s="280">
        <f t="shared" si="11"/>
        <v>0.24512789281364189</v>
      </c>
      <c r="N79" s="280">
        <f t="shared" si="12"/>
        <v>0.45067264573991034</v>
      </c>
      <c r="O79" s="281">
        <f t="shared" si="13"/>
        <v>0.29973045822102423</v>
      </c>
    </row>
    <row r="80" spans="1:15" s="142" customFormat="1" ht="13.5" customHeight="1" x14ac:dyDescent="0.3">
      <c r="A80" s="149" t="s">
        <v>190</v>
      </c>
      <c r="B80" s="185" t="s">
        <v>191</v>
      </c>
      <c r="C80" s="150" t="s">
        <v>256</v>
      </c>
      <c r="D80" s="938">
        <v>277</v>
      </c>
      <c r="E80" s="939">
        <v>269</v>
      </c>
      <c r="F80" s="940">
        <v>6</v>
      </c>
      <c r="G80" s="937">
        <v>2</v>
      </c>
      <c r="H80" s="938">
        <v>125</v>
      </c>
      <c r="I80" s="939">
        <v>119</v>
      </c>
      <c r="J80" s="940">
        <v>5</v>
      </c>
      <c r="K80" s="937">
        <v>1</v>
      </c>
      <c r="L80" s="279">
        <f t="shared" si="10"/>
        <v>0.45126353790613716</v>
      </c>
      <c r="M80" s="280">
        <f t="shared" si="11"/>
        <v>0.44237918215613381</v>
      </c>
      <c r="N80" s="280">
        <f t="shared" si="12"/>
        <v>0.83333333333333337</v>
      </c>
      <c r="O80" s="281">
        <f t="shared" si="13"/>
        <v>0.5</v>
      </c>
    </row>
    <row r="81" spans="1:15" s="142" customFormat="1" ht="13.5" customHeight="1" x14ac:dyDescent="0.3">
      <c r="A81" s="149" t="s">
        <v>194</v>
      </c>
      <c r="B81" s="185" t="s">
        <v>195</v>
      </c>
      <c r="C81" s="150" t="s">
        <v>255</v>
      </c>
      <c r="D81" s="938">
        <v>56</v>
      </c>
      <c r="E81" s="939">
        <v>56</v>
      </c>
      <c r="F81" s="940"/>
      <c r="G81" s="937"/>
      <c r="H81" s="938">
        <v>20</v>
      </c>
      <c r="I81" s="939">
        <v>20</v>
      </c>
      <c r="J81" s="940"/>
      <c r="K81" s="937"/>
      <c r="L81" s="279">
        <f t="shared" si="10"/>
        <v>0.35714285714285715</v>
      </c>
      <c r="M81" s="280">
        <f t="shared" si="11"/>
        <v>0.35714285714285715</v>
      </c>
      <c r="N81" s="280" t="str">
        <f t="shared" si="12"/>
        <v>NA</v>
      </c>
      <c r="O81" s="281" t="str">
        <f t="shared" si="13"/>
        <v>NA</v>
      </c>
    </row>
    <row r="82" spans="1:15" s="142" customFormat="1" ht="13.5" customHeight="1" x14ac:dyDescent="0.3">
      <c r="A82" s="149" t="s">
        <v>198</v>
      </c>
      <c r="B82" s="185" t="s">
        <v>260</v>
      </c>
      <c r="C82" s="150" t="s">
        <v>254</v>
      </c>
      <c r="D82" s="938">
        <v>76</v>
      </c>
      <c r="E82" s="939">
        <v>51</v>
      </c>
      <c r="F82" s="940">
        <v>17</v>
      </c>
      <c r="G82" s="937">
        <v>8</v>
      </c>
      <c r="H82" s="938">
        <v>35</v>
      </c>
      <c r="I82" s="939">
        <v>18</v>
      </c>
      <c r="J82" s="940">
        <v>16</v>
      </c>
      <c r="K82" s="937">
        <v>1</v>
      </c>
      <c r="L82" s="279">
        <f t="shared" si="10"/>
        <v>0.46052631578947367</v>
      </c>
      <c r="M82" s="280">
        <f t="shared" si="11"/>
        <v>0.35294117647058826</v>
      </c>
      <c r="N82" s="280">
        <f t="shared" si="12"/>
        <v>0.94117647058823528</v>
      </c>
      <c r="O82" s="281">
        <f t="shared" si="13"/>
        <v>0.125</v>
      </c>
    </row>
    <row r="83" spans="1:15" s="142" customFormat="1" ht="13.5" customHeight="1" x14ac:dyDescent="0.3">
      <c r="A83" s="149" t="s">
        <v>202</v>
      </c>
      <c r="B83" s="185" t="s">
        <v>289</v>
      </c>
      <c r="C83" s="150" t="s">
        <v>253</v>
      </c>
      <c r="D83" s="938">
        <v>965</v>
      </c>
      <c r="E83" s="939">
        <v>831</v>
      </c>
      <c r="F83" s="940">
        <v>83</v>
      </c>
      <c r="G83" s="937">
        <v>51</v>
      </c>
      <c r="H83" s="938">
        <v>295</v>
      </c>
      <c r="I83" s="939">
        <v>231</v>
      </c>
      <c r="J83" s="940">
        <v>50</v>
      </c>
      <c r="K83" s="937">
        <v>14</v>
      </c>
      <c r="L83" s="279">
        <f t="shared" si="10"/>
        <v>0.30569948186528495</v>
      </c>
      <c r="M83" s="280">
        <f t="shared" si="11"/>
        <v>0.27797833935018051</v>
      </c>
      <c r="N83" s="280">
        <f t="shared" si="12"/>
        <v>0.60240963855421692</v>
      </c>
      <c r="O83" s="281">
        <f t="shared" si="13"/>
        <v>0.27450980392156865</v>
      </c>
    </row>
    <row r="84" spans="1:15" s="142" customFormat="1" ht="13.5" customHeight="1" x14ac:dyDescent="0.3">
      <c r="A84" s="149" t="s">
        <v>204</v>
      </c>
      <c r="B84" s="185" t="s">
        <v>281</v>
      </c>
      <c r="C84" s="150" t="s">
        <v>253</v>
      </c>
      <c r="D84" s="938">
        <v>308</v>
      </c>
      <c r="E84" s="939">
        <v>286</v>
      </c>
      <c r="F84" s="940">
        <v>13</v>
      </c>
      <c r="G84" s="937">
        <v>9</v>
      </c>
      <c r="H84" s="938">
        <v>123</v>
      </c>
      <c r="I84" s="939">
        <v>114</v>
      </c>
      <c r="J84" s="940">
        <v>7</v>
      </c>
      <c r="K84" s="937">
        <v>2</v>
      </c>
      <c r="L84" s="279">
        <f t="shared" si="10"/>
        <v>0.39935064935064934</v>
      </c>
      <c r="M84" s="280">
        <f t="shared" si="11"/>
        <v>0.39860139860139859</v>
      </c>
      <c r="N84" s="280">
        <f t="shared" si="12"/>
        <v>0.53846153846153844</v>
      </c>
      <c r="O84" s="281">
        <f t="shared" si="13"/>
        <v>0.22222222222222221</v>
      </c>
    </row>
    <row r="85" spans="1:15" s="142" customFormat="1" ht="13.5" customHeight="1" x14ac:dyDescent="0.3">
      <c r="A85" s="149" t="s">
        <v>206</v>
      </c>
      <c r="B85" s="185" t="s">
        <v>282</v>
      </c>
      <c r="C85" s="150" t="s">
        <v>255</v>
      </c>
      <c r="D85" s="938">
        <v>1573</v>
      </c>
      <c r="E85" s="939">
        <v>1246</v>
      </c>
      <c r="F85" s="940">
        <v>87</v>
      </c>
      <c r="G85" s="937">
        <v>240</v>
      </c>
      <c r="H85" s="938">
        <v>574</v>
      </c>
      <c r="I85" s="939">
        <v>404</v>
      </c>
      <c r="J85" s="940">
        <v>47</v>
      </c>
      <c r="K85" s="937">
        <v>123</v>
      </c>
      <c r="L85" s="279">
        <f t="shared" si="10"/>
        <v>0.364907819453274</v>
      </c>
      <c r="M85" s="280">
        <f t="shared" si="11"/>
        <v>0.32423756019261635</v>
      </c>
      <c r="N85" s="280">
        <f t="shared" si="12"/>
        <v>0.54022988505747127</v>
      </c>
      <c r="O85" s="281">
        <f t="shared" si="13"/>
        <v>0.51249999999999996</v>
      </c>
    </row>
    <row r="86" spans="1:15" s="142" customFormat="1" ht="13.5" customHeight="1" x14ac:dyDescent="0.3">
      <c r="A86" s="149" t="s">
        <v>208</v>
      </c>
      <c r="B86" s="185" t="s">
        <v>209</v>
      </c>
      <c r="C86" s="150" t="s">
        <v>256</v>
      </c>
      <c r="D86" s="938">
        <v>252</v>
      </c>
      <c r="E86" s="939">
        <v>247</v>
      </c>
      <c r="F86" s="940">
        <v>2</v>
      </c>
      <c r="G86" s="937">
        <v>3</v>
      </c>
      <c r="H86" s="938">
        <v>64</v>
      </c>
      <c r="I86" s="939">
        <v>62</v>
      </c>
      <c r="J86" s="940">
        <v>2</v>
      </c>
      <c r="K86" s="937"/>
      <c r="L86" s="279">
        <f t="shared" si="10"/>
        <v>0.25396825396825395</v>
      </c>
      <c r="M86" s="280">
        <f t="shared" si="11"/>
        <v>0.25101214574898784</v>
      </c>
      <c r="N86" s="280">
        <f t="shared" si="12"/>
        <v>1</v>
      </c>
      <c r="O86" s="281">
        <f t="shared" si="13"/>
        <v>0</v>
      </c>
    </row>
    <row r="87" spans="1:15" s="142" customFormat="1" ht="13.5" customHeight="1" x14ac:dyDescent="0.3">
      <c r="A87" s="149" t="s">
        <v>210</v>
      </c>
      <c r="B87" s="185" t="s">
        <v>211</v>
      </c>
      <c r="C87" s="150" t="s">
        <v>256</v>
      </c>
      <c r="D87" s="938">
        <v>156</v>
      </c>
      <c r="E87" s="939">
        <v>153</v>
      </c>
      <c r="F87" s="940">
        <v>1</v>
      </c>
      <c r="G87" s="937">
        <v>2</v>
      </c>
      <c r="H87" s="938">
        <v>3</v>
      </c>
      <c r="I87" s="939">
        <v>3</v>
      </c>
      <c r="J87" s="940"/>
      <c r="K87" s="937"/>
      <c r="L87" s="279">
        <f t="shared" si="10"/>
        <v>1.9230769230769232E-2</v>
      </c>
      <c r="M87" s="280">
        <f t="shared" si="11"/>
        <v>1.9607843137254902E-2</v>
      </c>
      <c r="N87" s="280">
        <f t="shared" si="12"/>
        <v>0</v>
      </c>
      <c r="O87" s="281">
        <f t="shared" si="13"/>
        <v>0</v>
      </c>
    </row>
    <row r="88" spans="1:15" s="142" customFormat="1" ht="13.5" customHeight="1" x14ac:dyDescent="0.3">
      <c r="A88" s="149" t="s">
        <v>212</v>
      </c>
      <c r="B88" s="185" t="s">
        <v>213</v>
      </c>
      <c r="C88" s="150" t="s">
        <v>255</v>
      </c>
      <c r="D88" s="938">
        <v>484</v>
      </c>
      <c r="E88" s="939">
        <v>457</v>
      </c>
      <c r="F88" s="940">
        <v>12</v>
      </c>
      <c r="G88" s="937">
        <v>15</v>
      </c>
      <c r="H88" s="938">
        <v>220</v>
      </c>
      <c r="I88" s="939">
        <v>203</v>
      </c>
      <c r="J88" s="940">
        <v>8</v>
      </c>
      <c r="K88" s="937">
        <v>9</v>
      </c>
      <c r="L88" s="279">
        <f t="shared" si="10"/>
        <v>0.45454545454545453</v>
      </c>
      <c r="M88" s="280">
        <f t="shared" si="11"/>
        <v>0.44420131291028447</v>
      </c>
      <c r="N88" s="280">
        <f t="shared" si="12"/>
        <v>0.66666666666666663</v>
      </c>
      <c r="O88" s="281">
        <f t="shared" si="13"/>
        <v>0.6</v>
      </c>
    </row>
    <row r="89" spans="1:15" s="142" customFormat="1" ht="13.5" customHeight="1" x14ac:dyDescent="0.3">
      <c r="A89" s="149" t="s">
        <v>214</v>
      </c>
      <c r="B89" s="185" t="s">
        <v>215</v>
      </c>
      <c r="C89" s="150" t="s">
        <v>256</v>
      </c>
      <c r="D89" s="938">
        <v>290</v>
      </c>
      <c r="E89" s="939">
        <v>280</v>
      </c>
      <c r="F89" s="940">
        <v>5</v>
      </c>
      <c r="G89" s="937">
        <v>5</v>
      </c>
      <c r="H89" s="938">
        <v>118</v>
      </c>
      <c r="I89" s="939">
        <v>115</v>
      </c>
      <c r="J89" s="940"/>
      <c r="K89" s="937">
        <v>3</v>
      </c>
      <c r="L89" s="279">
        <f t="shared" si="10"/>
        <v>0.40689655172413791</v>
      </c>
      <c r="M89" s="280">
        <f t="shared" si="11"/>
        <v>0.4107142857142857</v>
      </c>
      <c r="N89" s="280">
        <f t="shared" si="12"/>
        <v>0</v>
      </c>
      <c r="O89" s="281">
        <f t="shared" si="13"/>
        <v>0.6</v>
      </c>
    </row>
    <row r="90" spans="1:15" s="142" customFormat="1" ht="13.5" customHeight="1" x14ac:dyDescent="0.3">
      <c r="A90" s="149" t="s">
        <v>216</v>
      </c>
      <c r="B90" s="185" t="s">
        <v>217</v>
      </c>
      <c r="C90" s="150" t="s">
        <v>252</v>
      </c>
      <c r="D90" s="938">
        <v>123</v>
      </c>
      <c r="E90" s="939">
        <v>80</v>
      </c>
      <c r="F90" s="940">
        <v>41</v>
      </c>
      <c r="G90" s="937">
        <v>2</v>
      </c>
      <c r="H90" s="938">
        <v>49</v>
      </c>
      <c r="I90" s="939">
        <v>18</v>
      </c>
      <c r="J90" s="940">
        <v>31</v>
      </c>
      <c r="K90" s="937"/>
      <c r="L90" s="279">
        <f t="shared" si="10"/>
        <v>0.3983739837398374</v>
      </c>
      <c r="M90" s="280">
        <f t="shared" si="11"/>
        <v>0.22500000000000001</v>
      </c>
      <c r="N90" s="280">
        <f t="shared" si="12"/>
        <v>0.75609756097560976</v>
      </c>
      <c r="O90" s="281">
        <f t="shared" si="13"/>
        <v>0</v>
      </c>
    </row>
    <row r="91" spans="1:15" s="142" customFormat="1" ht="13.5" customHeight="1" x14ac:dyDescent="0.3">
      <c r="A91" s="149" t="s">
        <v>218</v>
      </c>
      <c r="B91" s="185" t="s">
        <v>219</v>
      </c>
      <c r="C91" s="150" t="s">
        <v>255</v>
      </c>
      <c r="D91" s="938">
        <v>1503</v>
      </c>
      <c r="E91" s="939">
        <v>1051</v>
      </c>
      <c r="F91" s="940">
        <v>244</v>
      </c>
      <c r="G91" s="937">
        <v>208</v>
      </c>
      <c r="H91" s="938">
        <v>544</v>
      </c>
      <c r="I91" s="939">
        <v>318</v>
      </c>
      <c r="J91" s="940">
        <v>149</v>
      </c>
      <c r="K91" s="937">
        <v>77</v>
      </c>
      <c r="L91" s="279">
        <f t="shared" si="10"/>
        <v>0.36194278110445777</v>
      </c>
      <c r="M91" s="280">
        <f t="shared" si="11"/>
        <v>0.30256898192197906</v>
      </c>
      <c r="N91" s="280">
        <f t="shared" si="12"/>
        <v>0.61065573770491799</v>
      </c>
      <c r="O91" s="281">
        <f t="shared" si="13"/>
        <v>0.37019230769230771</v>
      </c>
    </row>
    <row r="92" spans="1:15" s="142" customFormat="1" ht="13.5" customHeight="1" x14ac:dyDescent="0.3">
      <c r="A92" s="149" t="s">
        <v>220</v>
      </c>
      <c r="B92" s="185" t="s">
        <v>221</v>
      </c>
      <c r="C92" s="150" t="s">
        <v>255</v>
      </c>
      <c r="D92" s="938">
        <v>1744</v>
      </c>
      <c r="E92" s="939">
        <v>1092</v>
      </c>
      <c r="F92" s="940">
        <v>391</v>
      </c>
      <c r="G92" s="937">
        <v>261</v>
      </c>
      <c r="H92" s="938">
        <v>546</v>
      </c>
      <c r="I92" s="939">
        <v>282</v>
      </c>
      <c r="J92" s="940">
        <v>178</v>
      </c>
      <c r="K92" s="937">
        <v>86</v>
      </c>
      <c r="L92" s="279">
        <f t="shared" si="10"/>
        <v>0.31307339449541283</v>
      </c>
      <c r="M92" s="280">
        <f t="shared" si="11"/>
        <v>0.25824175824175827</v>
      </c>
      <c r="N92" s="280">
        <f t="shared" si="12"/>
        <v>0.45524296675191817</v>
      </c>
      <c r="O92" s="281">
        <f t="shared" si="13"/>
        <v>0.32950191570881227</v>
      </c>
    </row>
    <row r="93" spans="1:15" s="142" customFormat="1" ht="13.5" customHeight="1" x14ac:dyDescent="0.3">
      <c r="A93" s="149" t="s">
        <v>224</v>
      </c>
      <c r="B93" s="185" t="s">
        <v>225</v>
      </c>
      <c r="C93" s="150" t="s">
        <v>252</v>
      </c>
      <c r="D93" s="938">
        <v>59</v>
      </c>
      <c r="E93" s="939">
        <v>38</v>
      </c>
      <c r="F93" s="940">
        <v>18</v>
      </c>
      <c r="G93" s="937">
        <v>3</v>
      </c>
      <c r="H93" s="938">
        <v>32</v>
      </c>
      <c r="I93" s="939">
        <v>16</v>
      </c>
      <c r="J93" s="940">
        <v>14</v>
      </c>
      <c r="K93" s="937">
        <v>2</v>
      </c>
      <c r="L93" s="279">
        <f t="shared" si="10"/>
        <v>0.5423728813559322</v>
      </c>
      <c r="M93" s="280">
        <f t="shared" si="11"/>
        <v>0.42105263157894735</v>
      </c>
      <c r="N93" s="280">
        <f t="shared" si="12"/>
        <v>0.77777777777777779</v>
      </c>
      <c r="O93" s="281">
        <f t="shared" si="13"/>
        <v>0.66666666666666663</v>
      </c>
    </row>
    <row r="94" spans="1:15" s="142" customFormat="1" ht="13.5" customHeight="1" x14ac:dyDescent="0.3">
      <c r="A94" s="149" t="s">
        <v>226</v>
      </c>
      <c r="B94" s="185" t="s">
        <v>227</v>
      </c>
      <c r="C94" s="150" t="s">
        <v>252</v>
      </c>
      <c r="D94" s="938">
        <v>71</v>
      </c>
      <c r="E94" s="939">
        <v>27</v>
      </c>
      <c r="F94" s="940">
        <v>44</v>
      </c>
      <c r="G94" s="937"/>
      <c r="H94" s="938">
        <v>48</v>
      </c>
      <c r="I94" s="939">
        <v>13</v>
      </c>
      <c r="J94" s="940">
        <v>35</v>
      </c>
      <c r="K94" s="937"/>
      <c r="L94" s="279">
        <f t="shared" si="10"/>
        <v>0.676056338028169</v>
      </c>
      <c r="M94" s="280">
        <f t="shared" si="11"/>
        <v>0.48148148148148145</v>
      </c>
      <c r="N94" s="280">
        <f t="shared" si="12"/>
        <v>0.79545454545454541</v>
      </c>
      <c r="O94" s="281" t="str">
        <f t="shared" si="13"/>
        <v>NA</v>
      </c>
    </row>
    <row r="95" spans="1:15" s="142" customFormat="1" ht="13.5" customHeight="1" x14ac:dyDescent="0.3">
      <c r="A95" s="149" t="s">
        <v>228</v>
      </c>
      <c r="B95" s="185" t="s">
        <v>229</v>
      </c>
      <c r="C95" s="150" t="s">
        <v>256</v>
      </c>
      <c r="D95" s="938">
        <v>392</v>
      </c>
      <c r="E95" s="939">
        <v>386</v>
      </c>
      <c r="F95" s="940">
        <v>5</v>
      </c>
      <c r="G95" s="937">
        <v>1</v>
      </c>
      <c r="H95" s="938">
        <v>73</v>
      </c>
      <c r="I95" s="939">
        <v>72</v>
      </c>
      <c r="J95" s="940">
        <v>1</v>
      </c>
      <c r="K95" s="937"/>
      <c r="L95" s="279">
        <f t="shared" si="10"/>
        <v>0.18622448979591838</v>
      </c>
      <c r="M95" s="280">
        <f t="shared" si="11"/>
        <v>0.18652849740932642</v>
      </c>
      <c r="N95" s="280">
        <f t="shared" si="12"/>
        <v>0.2</v>
      </c>
      <c r="O95" s="281">
        <f t="shared" si="13"/>
        <v>0</v>
      </c>
    </row>
    <row r="96" spans="1:15" s="142" customFormat="1" ht="13.5" customHeight="1" x14ac:dyDescent="0.3">
      <c r="A96" s="149" t="s">
        <v>232</v>
      </c>
      <c r="B96" s="185" t="s">
        <v>233</v>
      </c>
      <c r="C96" s="150" t="s">
        <v>255</v>
      </c>
      <c r="D96" s="938">
        <v>498</v>
      </c>
      <c r="E96" s="939">
        <v>448</v>
      </c>
      <c r="F96" s="940">
        <v>20</v>
      </c>
      <c r="G96" s="937">
        <v>30</v>
      </c>
      <c r="H96" s="938">
        <v>188</v>
      </c>
      <c r="I96" s="939">
        <v>161</v>
      </c>
      <c r="J96" s="940">
        <v>17</v>
      </c>
      <c r="K96" s="937">
        <v>10</v>
      </c>
      <c r="L96" s="279">
        <f t="shared" si="10"/>
        <v>0.37751004016064255</v>
      </c>
      <c r="M96" s="280">
        <f t="shared" si="11"/>
        <v>0.359375</v>
      </c>
      <c r="N96" s="280">
        <f t="shared" si="12"/>
        <v>0.85</v>
      </c>
      <c r="O96" s="281">
        <f t="shared" si="13"/>
        <v>0.33333333333333331</v>
      </c>
    </row>
    <row r="97" spans="1:15" s="142" customFormat="1" ht="13.5" customHeight="1" x14ac:dyDescent="0.3">
      <c r="A97" s="149" t="s">
        <v>234</v>
      </c>
      <c r="B97" s="185" t="s">
        <v>235</v>
      </c>
      <c r="C97" s="150" t="s">
        <v>256</v>
      </c>
      <c r="D97" s="938">
        <v>524</v>
      </c>
      <c r="E97" s="939">
        <v>502</v>
      </c>
      <c r="F97" s="940">
        <v>8</v>
      </c>
      <c r="G97" s="937">
        <v>14</v>
      </c>
      <c r="H97" s="938">
        <v>87</v>
      </c>
      <c r="I97" s="939">
        <v>81</v>
      </c>
      <c r="J97" s="940">
        <v>3</v>
      </c>
      <c r="K97" s="937">
        <v>3</v>
      </c>
      <c r="L97" s="279">
        <f t="shared" si="10"/>
        <v>0.16603053435114504</v>
      </c>
      <c r="M97" s="280">
        <f t="shared" si="11"/>
        <v>0.16135458167330677</v>
      </c>
      <c r="N97" s="280">
        <f t="shared" si="12"/>
        <v>0.375</v>
      </c>
      <c r="O97" s="281">
        <f t="shared" si="13"/>
        <v>0.21428571428571427</v>
      </c>
    </row>
    <row r="98" spans="1:15" s="142" customFormat="1" ht="13.5" customHeight="1" x14ac:dyDescent="0.3">
      <c r="A98" s="149" t="s">
        <v>236</v>
      </c>
      <c r="B98" s="185" t="s">
        <v>237</v>
      </c>
      <c r="C98" s="150" t="s">
        <v>254</v>
      </c>
      <c r="D98" s="938">
        <v>166</v>
      </c>
      <c r="E98" s="939">
        <v>112</v>
      </c>
      <c r="F98" s="940">
        <v>46</v>
      </c>
      <c r="G98" s="937">
        <v>8</v>
      </c>
      <c r="H98" s="938">
        <v>84</v>
      </c>
      <c r="I98" s="939">
        <v>51</v>
      </c>
      <c r="J98" s="940">
        <v>31</v>
      </c>
      <c r="K98" s="937">
        <v>2</v>
      </c>
      <c r="L98" s="279">
        <f t="shared" si="10"/>
        <v>0.50602409638554213</v>
      </c>
      <c r="M98" s="280">
        <f t="shared" si="11"/>
        <v>0.45535714285714285</v>
      </c>
      <c r="N98" s="280">
        <f t="shared" si="12"/>
        <v>0.67391304347826086</v>
      </c>
      <c r="O98" s="281">
        <f t="shared" si="13"/>
        <v>0.25</v>
      </c>
    </row>
    <row r="99" spans="1:15" s="142" customFormat="1" ht="13.5" customHeight="1" x14ac:dyDescent="0.3">
      <c r="A99" s="149" t="s">
        <v>242</v>
      </c>
      <c r="B99" s="185" t="s">
        <v>243</v>
      </c>
      <c r="C99" s="150" t="s">
        <v>256</v>
      </c>
      <c r="D99" s="938">
        <v>359</v>
      </c>
      <c r="E99" s="939">
        <v>353</v>
      </c>
      <c r="F99" s="940">
        <v>2</v>
      </c>
      <c r="G99" s="937">
        <v>4</v>
      </c>
      <c r="H99" s="938">
        <v>115</v>
      </c>
      <c r="I99" s="939">
        <v>112</v>
      </c>
      <c r="J99" s="940">
        <v>2</v>
      </c>
      <c r="K99" s="937">
        <v>1</v>
      </c>
      <c r="L99" s="279">
        <f t="shared" si="10"/>
        <v>0.3203342618384401</v>
      </c>
      <c r="M99" s="280">
        <f t="shared" si="11"/>
        <v>0.31728045325779036</v>
      </c>
      <c r="N99" s="280">
        <f t="shared" si="12"/>
        <v>1</v>
      </c>
      <c r="O99" s="281">
        <f t="shared" si="13"/>
        <v>0.25</v>
      </c>
    </row>
    <row r="100" spans="1:15" s="142" customFormat="1" ht="13.5" customHeight="1" x14ac:dyDescent="0.3">
      <c r="A100" s="149" t="s">
        <v>244</v>
      </c>
      <c r="B100" s="185" t="s">
        <v>245</v>
      </c>
      <c r="C100" s="150" t="s">
        <v>256</v>
      </c>
      <c r="D100" s="938">
        <v>285</v>
      </c>
      <c r="E100" s="939">
        <v>275</v>
      </c>
      <c r="F100" s="940">
        <v>8</v>
      </c>
      <c r="G100" s="937">
        <v>2</v>
      </c>
      <c r="H100" s="938">
        <v>111</v>
      </c>
      <c r="I100" s="939">
        <v>104</v>
      </c>
      <c r="J100" s="940">
        <v>6</v>
      </c>
      <c r="K100" s="937">
        <v>1</v>
      </c>
      <c r="L100" s="279">
        <f t="shared" si="10"/>
        <v>0.38947368421052631</v>
      </c>
      <c r="M100" s="280">
        <f t="shared" si="11"/>
        <v>0.37818181818181817</v>
      </c>
      <c r="N100" s="280">
        <f t="shared" si="12"/>
        <v>0.75</v>
      </c>
      <c r="O100" s="281">
        <f t="shared" si="13"/>
        <v>0.5</v>
      </c>
    </row>
    <row r="101" spans="1:15" s="142" customFormat="1" ht="13.5" customHeight="1" x14ac:dyDescent="0.3">
      <c r="A101" s="149" t="s">
        <v>246</v>
      </c>
      <c r="B101" s="185" t="s">
        <v>247</v>
      </c>
      <c r="C101" s="150" t="s">
        <v>252</v>
      </c>
      <c r="D101" s="938">
        <v>742</v>
      </c>
      <c r="E101" s="939">
        <v>536</v>
      </c>
      <c r="F101" s="940">
        <v>113</v>
      </c>
      <c r="G101" s="937">
        <v>93</v>
      </c>
      <c r="H101" s="938">
        <v>160</v>
      </c>
      <c r="I101" s="939">
        <v>76</v>
      </c>
      <c r="J101" s="940">
        <v>62</v>
      </c>
      <c r="K101" s="937">
        <v>22</v>
      </c>
      <c r="L101" s="279">
        <f t="shared" si="10"/>
        <v>0.215633423180593</v>
      </c>
      <c r="M101" s="280">
        <f t="shared" si="11"/>
        <v>0.1417910447761194</v>
      </c>
      <c r="N101" s="280">
        <f t="shared" si="12"/>
        <v>0.54867256637168138</v>
      </c>
      <c r="O101" s="281">
        <f t="shared" si="13"/>
        <v>0.23655913978494625</v>
      </c>
    </row>
    <row r="102" spans="1:15" s="142" customFormat="1" ht="13.5" customHeight="1" x14ac:dyDescent="0.3">
      <c r="A102" s="149" t="s">
        <v>14</v>
      </c>
      <c r="B102" s="185" t="s">
        <v>15</v>
      </c>
      <c r="C102" s="150" t="s">
        <v>255</v>
      </c>
      <c r="D102" s="938">
        <v>2594</v>
      </c>
      <c r="E102" s="939">
        <v>1453</v>
      </c>
      <c r="F102" s="940">
        <v>504</v>
      </c>
      <c r="G102" s="937">
        <v>637</v>
      </c>
      <c r="H102" s="938">
        <v>566</v>
      </c>
      <c r="I102" s="939">
        <v>114</v>
      </c>
      <c r="J102" s="940">
        <v>216</v>
      </c>
      <c r="K102" s="937">
        <v>236</v>
      </c>
      <c r="L102" s="279">
        <f t="shared" si="10"/>
        <v>0.2181958365458751</v>
      </c>
      <c r="M102" s="280">
        <f t="shared" si="11"/>
        <v>7.8458362009635241E-2</v>
      </c>
      <c r="N102" s="280">
        <f t="shared" si="12"/>
        <v>0.42857142857142855</v>
      </c>
      <c r="O102" s="281">
        <f t="shared" si="13"/>
        <v>0.3704866562009419</v>
      </c>
    </row>
    <row r="103" spans="1:15" s="142" customFormat="1" ht="13.5" customHeight="1" x14ac:dyDescent="0.3">
      <c r="A103" s="149" t="s">
        <v>34</v>
      </c>
      <c r="B103" s="185" t="s">
        <v>35</v>
      </c>
      <c r="C103" s="150" t="s">
        <v>256</v>
      </c>
      <c r="D103" s="938">
        <v>139</v>
      </c>
      <c r="E103" s="939">
        <v>124</v>
      </c>
      <c r="F103" s="940">
        <v>13</v>
      </c>
      <c r="G103" s="937">
        <v>2</v>
      </c>
      <c r="H103" s="938">
        <v>14</v>
      </c>
      <c r="I103" s="939">
        <v>11</v>
      </c>
      <c r="J103" s="940">
        <v>1</v>
      </c>
      <c r="K103" s="937">
        <v>2</v>
      </c>
      <c r="L103" s="279">
        <f t="shared" ref="L103:L126" si="14">IF(D103=0,"NA",(H103/D103))</f>
        <v>0.10071942446043165</v>
      </c>
      <c r="M103" s="280">
        <f t="shared" ref="M103:M126" si="15">IF(E103=0,"NA",(I103/E103))</f>
        <v>8.8709677419354843E-2</v>
      </c>
      <c r="N103" s="280">
        <f t="shared" ref="N103:N126" si="16">IF(F103=0,"NA",(J103/F103))</f>
        <v>7.6923076923076927E-2</v>
      </c>
      <c r="O103" s="281">
        <f t="shared" ref="O103:O126" si="17">IF(G103=0,"NA",(K103/G103))</f>
        <v>1</v>
      </c>
    </row>
    <row r="104" spans="1:15" s="142" customFormat="1" ht="13.5" customHeight="1" x14ac:dyDescent="0.3">
      <c r="A104" s="149" t="s">
        <v>52</v>
      </c>
      <c r="B104" s="185" t="s">
        <v>53</v>
      </c>
      <c r="C104" s="150" t="s">
        <v>253</v>
      </c>
      <c r="D104" s="938">
        <v>605</v>
      </c>
      <c r="E104" s="939">
        <v>432</v>
      </c>
      <c r="F104" s="940">
        <v>107</v>
      </c>
      <c r="G104" s="937">
        <v>66</v>
      </c>
      <c r="H104" s="938">
        <v>175</v>
      </c>
      <c r="I104" s="939">
        <v>83</v>
      </c>
      <c r="J104" s="940">
        <v>81</v>
      </c>
      <c r="K104" s="937">
        <v>11</v>
      </c>
      <c r="L104" s="279">
        <f t="shared" si="14"/>
        <v>0.28925619834710742</v>
      </c>
      <c r="M104" s="280">
        <f t="shared" si="15"/>
        <v>0.19212962962962962</v>
      </c>
      <c r="N104" s="280">
        <f t="shared" si="16"/>
        <v>0.7570093457943925</v>
      </c>
      <c r="O104" s="281">
        <f t="shared" si="17"/>
        <v>0.16666666666666666</v>
      </c>
    </row>
    <row r="105" spans="1:15" s="142" customFormat="1" ht="13.5" customHeight="1" x14ac:dyDescent="0.3">
      <c r="A105" s="149" t="s">
        <v>54</v>
      </c>
      <c r="B105" s="185" t="s">
        <v>55</v>
      </c>
      <c r="C105" s="150" t="s">
        <v>252</v>
      </c>
      <c r="D105" s="938">
        <v>2924</v>
      </c>
      <c r="E105" s="939">
        <v>1672</v>
      </c>
      <c r="F105" s="940">
        <v>927</v>
      </c>
      <c r="G105" s="937">
        <v>325</v>
      </c>
      <c r="H105" s="938">
        <v>1040</v>
      </c>
      <c r="I105" s="939">
        <v>367</v>
      </c>
      <c r="J105" s="940">
        <v>558</v>
      </c>
      <c r="K105" s="937">
        <v>115</v>
      </c>
      <c r="L105" s="279">
        <f t="shared" si="14"/>
        <v>0.35567715458276333</v>
      </c>
      <c r="M105" s="280">
        <f t="shared" si="15"/>
        <v>0.21949760765550239</v>
      </c>
      <c r="N105" s="280">
        <f t="shared" si="16"/>
        <v>0.60194174757281549</v>
      </c>
      <c r="O105" s="281">
        <f t="shared" si="17"/>
        <v>0.35384615384615387</v>
      </c>
    </row>
    <row r="106" spans="1:15" s="142" customFormat="1" ht="13.5" customHeight="1" x14ac:dyDescent="0.3">
      <c r="A106" s="149" t="s">
        <v>66</v>
      </c>
      <c r="B106" s="185" t="s">
        <v>67</v>
      </c>
      <c r="C106" s="150" t="s">
        <v>253</v>
      </c>
      <c r="D106" s="938">
        <v>489</v>
      </c>
      <c r="E106" s="939">
        <v>171</v>
      </c>
      <c r="F106" s="940">
        <v>281</v>
      </c>
      <c r="G106" s="937">
        <v>37</v>
      </c>
      <c r="H106" s="938">
        <v>328</v>
      </c>
      <c r="I106" s="939">
        <v>77</v>
      </c>
      <c r="J106" s="940">
        <v>232</v>
      </c>
      <c r="K106" s="937">
        <v>19</v>
      </c>
      <c r="L106" s="279">
        <f t="shared" si="14"/>
        <v>0.67075664621676889</v>
      </c>
      <c r="M106" s="280">
        <f t="shared" si="15"/>
        <v>0.45029239766081869</v>
      </c>
      <c r="N106" s="280">
        <f t="shared" si="16"/>
        <v>0.82562277580071175</v>
      </c>
      <c r="O106" s="281">
        <f t="shared" si="17"/>
        <v>0.51351351351351349</v>
      </c>
    </row>
    <row r="107" spans="1:15" s="142" customFormat="1" ht="13.5" customHeight="1" x14ac:dyDescent="0.3">
      <c r="A107" s="149" t="s">
        <v>82</v>
      </c>
      <c r="B107" s="185" t="s">
        <v>83</v>
      </c>
      <c r="C107" s="150" t="s">
        <v>252</v>
      </c>
      <c r="D107" s="938">
        <v>160</v>
      </c>
      <c r="E107" s="939">
        <v>58</v>
      </c>
      <c r="F107" s="940">
        <v>98</v>
      </c>
      <c r="G107" s="937">
        <v>4</v>
      </c>
      <c r="H107" s="938">
        <v>93</v>
      </c>
      <c r="I107" s="939">
        <v>18</v>
      </c>
      <c r="J107" s="940">
        <v>75</v>
      </c>
      <c r="K107" s="937"/>
      <c r="L107" s="279">
        <f t="shared" si="14"/>
        <v>0.58125000000000004</v>
      </c>
      <c r="M107" s="280">
        <f t="shared" si="15"/>
        <v>0.31034482758620691</v>
      </c>
      <c r="N107" s="280">
        <f t="shared" si="16"/>
        <v>0.76530612244897955</v>
      </c>
      <c r="O107" s="281">
        <f t="shared" si="17"/>
        <v>0</v>
      </c>
    </row>
    <row r="108" spans="1:15" s="142" customFormat="1" ht="13.5" customHeight="1" x14ac:dyDescent="0.3">
      <c r="A108" s="149" t="s">
        <v>88</v>
      </c>
      <c r="B108" s="185" t="s">
        <v>89</v>
      </c>
      <c r="C108" s="150" t="s">
        <v>255</v>
      </c>
      <c r="D108" s="938">
        <v>385</v>
      </c>
      <c r="E108" s="939">
        <v>216</v>
      </c>
      <c r="F108" s="940">
        <v>114</v>
      </c>
      <c r="G108" s="937">
        <v>55</v>
      </c>
      <c r="H108" s="938">
        <v>184</v>
      </c>
      <c r="I108" s="939">
        <v>73</v>
      </c>
      <c r="J108" s="940">
        <v>87</v>
      </c>
      <c r="K108" s="937">
        <v>24</v>
      </c>
      <c r="L108" s="279">
        <f t="shared" si="14"/>
        <v>0.47792207792207791</v>
      </c>
      <c r="M108" s="280">
        <f t="shared" si="15"/>
        <v>0.33796296296296297</v>
      </c>
      <c r="N108" s="280">
        <f t="shared" si="16"/>
        <v>0.76315789473684215</v>
      </c>
      <c r="O108" s="281">
        <f t="shared" si="17"/>
        <v>0.43636363636363634</v>
      </c>
    </row>
    <row r="109" spans="1:15" s="142" customFormat="1" ht="13.5" customHeight="1" x14ac:dyDescent="0.3">
      <c r="A109" s="149" t="s">
        <v>90</v>
      </c>
      <c r="B109" s="185" t="s">
        <v>91</v>
      </c>
      <c r="C109" s="150" t="s">
        <v>256</v>
      </c>
      <c r="D109" s="938">
        <v>93</v>
      </c>
      <c r="E109" s="939">
        <v>79</v>
      </c>
      <c r="F109" s="940">
        <v>5</v>
      </c>
      <c r="G109" s="937">
        <v>9</v>
      </c>
      <c r="H109" s="938">
        <v>47</v>
      </c>
      <c r="I109" s="939">
        <v>40</v>
      </c>
      <c r="J109" s="940">
        <v>4</v>
      </c>
      <c r="K109" s="937">
        <v>3</v>
      </c>
      <c r="L109" s="279">
        <f t="shared" si="14"/>
        <v>0.5053763440860215</v>
      </c>
      <c r="M109" s="280">
        <f t="shared" si="15"/>
        <v>0.50632911392405067</v>
      </c>
      <c r="N109" s="280">
        <f t="shared" si="16"/>
        <v>0.8</v>
      </c>
      <c r="O109" s="281">
        <f t="shared" si="17"/>
        <v>0.33333333333333331</v>
      </c>
    </row>
    <row r="110" spans="1:15" s="142" customFormat="1" ht="13.5" customHeight="1" x14ac:dyDescent="0.3">
      <c r="A110" s="149" t="s">
        <v>106</v>
      </c>
      <c r="B110" s="185" t="s">
        <v>107</v>
      </c>
      <c r="C110" s="150" t="s">
        <v>252</v>
      </c>
      <c r="D110" s="938">
        <v>1642</v>
      </c>
      <c r="E110" s="939">
        <v>660</v>
      </c>
      <c r="F110" s="940">
        <v>821</v>
      </c>
      <c r="G110" s="937">
        <v>161</v>
      </c>
      <c r="H110" s="938">
        <v>781</v>
      </c>
      <c r="I110" s="939">
        <v>196</v>
      </c>
      <c r="J110" s="940">
        <v>527</v>
      </c>
      <c r="K110" s="937">
        <v>58</v>
      </c>
      <c r="L110" s="279">
        <f t="shared" si="14"/>
        <v>0.47563946406820951</v>
      </c>
      <c r="M110" s="280">
        <f t="shared" si="15"/>
        <v>0.29696969696969699</v>
      </c>
      <c r="N110" s="280">
        <f t="shared" si="16"/>
        <v>0.64190012180267964</v>
      </c>
      <c r="O110" s="281">
        <f t="shared" si="17"/>
        <v>0.36024844720496896</v>
      </c>
    </row>
    <row r="111" spans="1:15" s="142" customFormat="1" ht="13.5" customHeight="1" x14ac:dyDescent="0.3">
      <c r="A111" s="149" t="s">
        <v>116</v>
      </c>
      <c r="B111" s="185" t="s">
        <v>117</v>
      </c>
      <c r="C111" s="150" t="s">
        <v>254</v>
      </c>
      <c r="D111" s="938">
        <v>338</v>
      </c>
      <c r="E111" s="939">
        <v>170</v>
      </c>
      <c r="F111" s="940">
        <v>148</v>
      </c>
      <c r="G111" s="937">
        <v>20</v>
      </c>
      <c r="H111" s="938">
        <v>226</v>
      </c>
      <c r="I111" s="939">
        <v>90</v>
      </c>
      <c r="J111" s="940">
        <v>121</v>
      </c>
      <c r="K111" s="937">
        <v>15</v>
      </c>
      <c r="L111" s="279">
        <f t="shared" si="14"/>
        <v>0.66863905325443784</v>
      </c>
      <c r="M111" s="280">
        <f t="shared" si="15"/>
        <v>0.52941176470588236</v>
      </c>
      <c r="N111" s="280">
        <f t="shared" si="16"/>
        <v>0.81756756756756754</v>
      </c>
      <c r="O111" s="281">
        <f t="shared" si="17"/>
        <v>0.75</v>
      </c>
    </row>
    <row r="112" spans="1:15" s="142" customFormat="1" ht="13.5" customHeight="1" x14ac:dyDescent="0.3">
      <c r="A112" s="149" t="s">
        <v>138</v>
      </c>
      <c r="B112" s="185" t="s">
        <v>139</v>
      </c>
      <c r="C112" s="150" t="s">
        <v>253</v>
      </c>
      <c r="D112" s="938">
        <v>1130</v>
      </c>
      <c r="E112" s="939">
        <v>722</v>
      </c>
      <c r="F112" s="940">
        <v>347</v>
      </c>
      <c r="G112" s="937">
        <v>61</v>
      </c>
      <c r="H112" s="938">
        <v>426</v>
      </c>
      <c r="I112" s="940">
        <v>153</v>
      </c>
      <c r="J112" s="940">
        <v>254</v>
      </c>
      <c r="K112" s="937">
        <v>19</v>
      </c>
      <c r="L112" s="279">
        <f t="shared" si="14"/>
        <v>0.37699115044247788</v>
      </c>
      <c r="M112" s="280">
        <f t="shared" si="15"/>
        <v>0.21191135734072022</v>
      </c>
      <c r="N112" s="280">
        <f t="shared" si="16"/>
        <v>0.73198847262247835</v>
      </c>
      <c r="O112" s="281">
        <f t="shared" si="17"/>
        <v>0.31147540983606559</v>
      </c>
    </row>
    <row r="113" spans="1:15" s="142" customFormat="1" ht="13.5" customHeight="1" x14ac:dyDescent="0.3">
      <c r="A113" s="149" t="s">
        <v>142</v>
      </c>
      <c r="B113" s="185" t="s">
        <v>261</v>
      </c>
      <c r="C113" s="150" t="s">
        <v>255</v>
      </c>
      <c r="D113" s="938">
        <v>727</v>
      </c>
      <c r="E113" s="939">
        <v>509</v>
      </c>
      <c r="F113" s="940">
        <v>96</v>
      </c>
      <c r="G113" s="937">
        <v>122</v>
      </c>
      <c r="H113" s="938">
        <v>298</v>
      </c>
      <c r="I113" s="939">
        <v>209</v>
      </c>
      <c r="J113" s="940">
        <v>46</v>
      </c>
      <c r="K113" s="937">
        <v>43</v>
      </c>
      <c r="L113" s="279">
        <f t="shared" si="14"/>
        <v>0.40990371389270974</v>
      </c>
      <c r="M113" s="280">
        <f t="shared" si="15"/>
        <v>0.41060903732809428</v>
      </c>
      <c r="N113" s="280">
        <f t="shared" si="16"/>
        <v>0.47916666666666669</v>
      </c>
      <c r="O113" s="281">
        <f t="shared" si="17"/>
        <v>0.35245901639344263</v>
      </c>
    </row>
    <row r="114" spans="1:15" s="142" customFormat="1" ht="13.5" customHeight="1" x14ac:dyDescent="0.3">
      <c r="A114" s="149" t="s">
        <v>144</v>
      </c>
      <c r="B114" s="185" t="s">
        <v>145</v>
      </c>
      <c r="C114" s="150" t="s">
        <v>255</v>
      </c>
      <c r="D114" s="938">
        <v>16</v>
      </c>
      <c r="E114" s="939">
        <v>12</v>
      </c>
      <c r="F114" s="940">
        <v>3</v>
      </c>
      <c r="G114" s="937">
        <v>1</v>
      </c>
      <c r="H114" s="938">
        <v>4</v>
      </c>
      <c r="I114" s="939">
        <v>2</v>
      </c>
      <c r="J114" s="940">
        <v>1</v>
      </c>
      <c r="K114" s="937">
        <v>1</v>
      </c>
      <c r="L114" s="279">
        <f t="shared" si="14"/>
        <v>0.25</v>
      </c>
      <c r="M114" s="280">
        <f t="shared" si="15"/>
        <v>0.16666666666666666</v>
      </c>
      <c r="N114" s="280">
        <f t="shared" si="16"/>
        <v>0.33333333333333331</v>
      </c>
      <c r="O114" s="281">
        <f t="shared" si="17"/>
        <v>1</v>
      </c>
    </row>
    <row r="115" spans="1:15" s="142" customFormat="1" ht="13.5" customHeight="1" x14ac:dyDescent="0.3">
      <c r="A115" s="149" t="s">
        <v>158</v>
      </c>
      <c r="B115" s="185" t="s">
        <v>159</v>
      </c>
      <c r="C115" s="150" t="s">
        <v>252</v>
      </c>
      <c r="D115" s="938">
        <v>2674</v>
      </c>
      <c r="E115" s="939">
        <v>1018</v>
      </c>
      <c r="F115" s="940">
        <v>1262</v>
      </c>
      <c r="G115" s="937">
        <v>394</v>
      </c>
      <c r="H115" s="938">
        <v>1330</v>
      </c>
      <c r="I115" s="939">
        <v>279</v>
      </c>
      <c r="J115" s="940">
        <v>868</v>
      </c>
      <c r="K115" s="937">
        <v>183</v>
      </c>
      <c r="L115" s="279">
        <f t="shared" si="14"/>
        <v>0.49738219895287961</v>
      </c>
      <c r="M115" s="280">
        <f t="shared" si="15"/>
        <v>0.27406679764243613</v>
      </c>
      <c r="N115" s="280">
        <f t="shared" si="16"/>
        <v>0.687797147385103</v>
      </c>
      <c r="O115" s="281">
        <f t="shared" si="17"/>
        <v>0.46446700507614214</v>
      </c>
    </row>
    <row r="116" spans="1:15" s="142" customFormat="1" ht="13.5" customHeight="1" x14ac:dyDescent="0.3">
      <c r="A116" s="149" t="s">
        <v>160</v>
      </c>
      <c r="B116" s="185" t="s">
        <v>161</v>
      </c>
      <c r="C116" s="150" t="s">
        <v>252</v>
      </c>
      <c r="D116" s="938">
        <v>3444</v>
      </c>
      <c r="E116" s="939">
        <v>1525</v>
      </c>
      <c r="F116" s="940">
        <v>1485</v>
      </c>
      <c r="G116" s="937">
        <v>434</v>
      </c>
      <c r="H116" s="938">
        <v>1569</v>
      </c>
      <c r="I116" s="939">
        <v>328</v>
      </c>
      <c r="J116" s="940">
        <v>1062</v>
      </c>
      <c r="K116" s="937">
        <v>179</v>
      </c>
      <c r="L116" s="279">
        <f t="shared" si="14"/>
        <v>0.45557491289198604</v>
      </c>
      <c r="M116" s="280">
        <f t="shared" si="15"/>
        <v>0.21508196721311476</v>
      </c>
      <c r="N116" s="280">
        <f t="shared" si="16"/>
        <v>0.7151515151515152</v>
      </c>
      <c r="O116" s="281">
        <f t="shared" si="17"/>
        <v>0.41244239631336405</v>
      </c>
    </row>
    <row r="117" spans="1:15" s="142" customFormat="1" ht="13.5" customHeight="1" x14ac:dyDescent="0.3">
      <c r="A117" s="149" t="s">
        <v>166</v>
      </c>
      <c r="B117" s="185" t="s">
        <v>167</v>
      </c>
      <c r="C117" s="150" t="s">
        <v>256</v>
      </c>
      <c r="D117" s="938">
        <v>44</v>
      </c>
      <c r="E117" s="939">
        <v>42</v>
      </c>
      <c r="F117" s="940"/>
      <c r="G117" s="937">
        <v>2</v>
      </c>
      <c r="H117" s="938">
        <v>29</v>
      </c>
      <c r="I117" s="939">
        <v>27</v>
      </c>
      <c r="J117" s="940"/>
      <c r="K117" s="937">
        <v>2</v>
      </c>
      <c r="L117" s="279">
        <f t="shared" si="14"/>
        <v>0.65909090909090906</v>
      </c>
      <c r="M117" s="280">
        <f t="shared" si="15"/>
        <v>0.6428571428571429</v>
      </c>
      <c r="N117" s="280" t="str">
        <f t="shared" si="16"/>
        <v>NA</v>
      </c>
      <c r="O117" s="281">
        <f t="shared" si="17"/>
        <v>1</v>
      </c>
    </row>
    <row r="118" spans="1:15" s="142" customFormat="1" ht="13.5" customHeight="1" x14ac:dyDescent="0.3">
      <c r="A118" s="149" t="s">
        <v>176</v>
      </c>
      <c r="B118" s="185" t="s">
        <v>177</v>
      </c>
      <c r="C118" s="150" t="s">
        <v>254</v>
      </c>
      <c r="D118" s="938">
        <v>722</v>
      </c>
      <c r="E118" s="939">
        <v>242</v>
      </c>
      <c r="F118" s="940">
        <v>454</v>
      </c>
      <c r="G118" s="937">
        <v>26</v>
      </c>
      <c r="H118" s="938">
        <v>500</v>
      </c>
      <c r="I118" s="939">
        <v>106</v>
      </c>
      <c r="J118" s="940">
        <v>381</v>
      </c>
      <c r="K118" s="937">
        <v>13</v>
      </c>
      <c r="L118" s="279">
        <f t="shared" si="14"/>
        <v>0.69252077562326875</v>
      </c>
      <c r="M118" s="280">
        <f t="shared" si="15"/>
        <v>0.43801652892561982</v>
      </c>
      <c r="N118" s="280">
        <f t="shared" si="16"/>
        <v>0.83920704845814975</v>
      </c>
      <c r="O118" s="281">
        <f t="shared" si="17"/>
        <v>0.5</v>
      </c>
    </row>
    <row r="119" spans="1:15" s="142" customFormat="1" ht="13.5" customHeight="1" x14ac:dyDescent="0.3">
      <c r="A119" s="149" t="s">
        <v>180</v>
      </c>
      <c r="B119" s="185" t="s">
        <v>181</v>
      </c>
      <c r="C119" s="150" t="s">
        <v>252</v>
      </c>
      <c r="D119" s="938">
        <v>1372</v>
      </c>
      <c r="E119" s="939">
        <v>475</v>
      </c>
      <c r="F119" s="940">
        <v>804</v>
      </c>
      <c r="G119" s="937">
        <v>93</v>
      </c>
      <c r="H119" s="938">
        <v>754</v>
      </c>
      <c r="I119" s="939">
        <v>129</v>
      </c>
      <c r="J119" s="940">
        <v>585</v>
      </c>
      <c r="K119" s="937">
        <v>40</v>
      </c>
      <c r="L119" s="279">
        <f t="shared" si="14"/>
        <v>0.54956268221574345</v>
      </c>
      <c r="M119" s="280">
        <f t="shared" si="15"/>
        <v>0.27157894736842103</v>
      </c>
      <c r="N119" s="280">
        <f t="shared" si="16"/>
        <v>0.72761194029850751</v>
      </c>
      <c r="O119" s="281">
        <f t="shared" si="17"/>
        <v>0.43010752688172044</v>
      </c>
    </row>
    <row r="120" spans="1:15" s="142" customFormat="1" ht="13.5" customHeight="1" x14ac:dyDescent="0.3">
      <c r="A120" s="149" t="s">
        <v>192</v>
      </c>
      <c r="B120" s="185" t="s">
        <v>193</v>
      </c>
      <c r="C120" s="150" t="s">
        <v>256</v>
      </c>
      <c r="D120" s="938">
        <v>127</v>
      </c>
      <c r="E120" s="939">
        <v>109</v>
      </c>
      <c r="F120" s="940">
        <v>15</v>
      </c>
      <c r="G120" s="937">
        <v>3</v>
      </c>
      <c r="H120" s="938">
        <v>52</v>
      </c>
      <c r="I120" s="939">
        <v>39</v>
      </c>
      <c r="J120" s="940">
        <v>12</v>
      </c>
      <c r="K120" s="937">
        <v>1</v>
      </c>
      <c r="L120" s="279">
        <f t="shared" si="14"/>
        <v>0.40944881889763779</v>
      </c>
      <c r="M120" s="280">
        <f t="shared" si="15"/>
        <v>0.3577981651376147</v>
      </c>
      <c r="N120" s="280">
        <f t="shared" si="16"/>
        <v>0.8</v>
      </c>
      <c r="O120" s="281">
        <f t="shared" si="17"/>
        <v>0.33333333333333331</v>
      </c>
    </row>
    <row r="121" spans="1:15" s="142" customFormat="1" ht="13.5" customHeight="1" x14ac:dyDescent="0.3">
      <c r="A121" s="149" t="s">
        <v>196</v>
      </c>
      <c r="B121" s="185" t="s">
        <v>197</v>
      </c>
      <c r="C121" s="150" t="s">
        <v>254</v>
      </c>
      <c r="D121" s="938">
        <v>3136</v>
      </c>
      <c r="E121" s="939">
        <v>1301</v>
      </c>
      <c r="F121" s="940">
        <v>1598</v>
      </c>
      <c r="G121" s="937">
        <v>237</v>
      </c>
      <c r="H121" s="938">
        <v>1850</v>
      </c>
      <c r="I121" s="939">
        <v>406</v>
      </c>
      <c r="J121" s="940">
        <v>1318</v>
      </c>
      <c r="K121" s="937">
        <v>126</v>
      </c>
      <c r="L121" s="279">
        <f t="shared" si="14"/>
        <v>0.58992346938775508</v>
      </c>
      <c r="M121" s="280">
        <f t="shared" si="15"/>
        <v>0.31206764027671025</v>
      </c>
      <c r="N121" s="280">
        <f t="shared" si="16"/>
        <v>0.82478097622027535</v>
      </c>
      <c r="O121" s="281">
        <f t="shared" si="17"/>
        <v>0.53164556962025311</v>
      </c>
    </row>
    <row r="122" spans="1:15" s="142" customFormat="1" ht="13.5" customHeight="1" x14ac:dyDescent="0.3">
      <c r="A122" s="149" t="s">
        <v>200</v>
      </c>
      <c r="B122" s="185" t="s">
        <v>201</v>
      </c>
      <c r="C122" s="150" t="s">
        <v>253</v>
      </c>
      <c r="D122" s="938">
        <v>1430</v>
      </c>
      <c r="E122" s="939">
        <v>960</v>
      </c>
      <c r="F122" s="940">
        <v>412</v>
      </c>
      <c r="G122" s="937">
        <v>58</v>
      </c>
      <c r="H122" s="938">
        <v>767</v>
      </c>
      <c r="I122" s="939">
        <v>407</v>
      </c>
      <c r="J122" s="940">
        <v>333</v>
      </c>
      <c r="K122" s="937">
        <v>27</v>
      </c>
      <c r="L122" s="279">
        <f t="shared" si="14"/>
        <v>0.53636363636363638</v>
      </c>
      <c r="M122" s="280">
        <f t="shared" si="15"/>
        <v>0.42395833333333333</v>
      </c>
      <c r="N122" s="280">
        <f t="shared" si="16"/>
        <v>0.80825242718446599</v>
      </c>
      <c r="O122" s="281">
        <f t="shared" si="17"/>
        <v>0.46551724137931033</v>
      </c>
    </row>
    <row r="123" spans="1:15" s="142" customFormat="1" ht="13.5" customHeight="1" x14ac:dyDescent="0.3">
      <c r="A123" s="149" t="s">
        <v>222</v>
      </c>
      <c r="B123" s="185" t="s">
        <v>223</v>
      </c>
      <c r="C123" s="150" t="s">
        <v>252</v>
      </c>
      <c r="D123" s="938">
        <v>1172</v>
      </c>
      <c r="E123" s="939">
        <v>588</v>
      </c>
      <c r="F123" s="940">
        <v>518</v>
      </c>
      <c r="G123" s="937">
        <v>66</v>
      </c>
      <c r="H123" s="938">
        <v>429</v>
      </c>
      <c r="I123" s="939">
        <v>90</v>
      </c>
      <c r="J123" s="940">
        <v>326</v>
      </c>
      <c r="K123" s="937">
        <v>13</v>
      </c>
      <c r="L123" s="279">
        <f t="shared" si="14"/>
        <v>0.36604095563139932</v>
      </c>
      <c r="M123" s="280">
        <f t="shared" si="15"/>
        <v>0.15306122448979592</v>
      </c>
      <c r="N123" s="280">
        <f t="shared" si="16"/>
        <v>0.62934362934362931</v>
      </c>
      <c r="O123" s="281">
        <f t="shared" si="17"/>
        <v>0.19696969696969696</v>
      </c>
    </row>
    <row r="124" spans="1:15" s="142" customFormat="1" ht="13.5" customHeight="1" x14ac:dyDescent="0.3">
      <c r="A124" s="149" t="s">
        <v>230</v>
      </c>
      <c r="B124" s="185" t="s">
        <v>231</v>
      </c>
      <c r="C124" s="150" t="s">
        <v>252</v>
      </c>
      <c r="D124" s="938">
        <v>5610</v>
      </c>
      <c r="E124" s="939">
        <v>3500</v>
      </c>
      <c r="F124" s="940">
        <v>1243</v>
      </c>
      <c r="G124" s="937">
        <v>867</v>
      </c>
      <c r="H124" s="938">
        <v>1709</v>
      </c>
      <c r="I124" s="939">
        <v>740</v>
      </c>
      <c r="J124" s="940">
        <v>721</v>
      </c>
      <c r="K124" s="937">
        <v>248</v>
      </c>
      <c r="L124" s="279">
        <f t="shared" si="14"/>
        <v>0.30463458110516933</v>
      </c>
      <c r="M124" s="280">
        <f t="shared" si="15"/>
        <v>0.21142857142857144</v>
      </c>
      <c r="N124" s="280">
        <f t="shared" si="16"/>
        <v>0.58004827031375705</v>
      </c>
      <c r="O124" s="281">
        <f t="shared" si="17"/>
        <v>0.28604382929642447</v>
      </c>
    </row>
    <row r="125" spans="1:15" s="142" customFormat="1" ht="13.5" customHeight="1" x14ac:dyDescent="0.3">
      <c r="A125" s="149" t="s">
        <v>238</v>
      </c>
      <c r="B125" s="185" t="s">
        <v>239</v>
      </c>
      <c r="C125" s="150" t="s">
        <v>252</v>
      </c>
      <c r="D125" s="938">
        <v>72</v>
      </c>
      <c r="E125" s="939">
        <v>23</v>
      </c>
      <c r="F125" s="940">
        <v>24</v>
      </c>
      <c r="G125" s="937">
        <v>25</v>
      </c>
      <c r="H125" s="938">
        <v>35</v>
      </c>
      <c r="I125" s="939">
        <v>5</v>
      </c>
      <c r="J125" s="940">
        <v>19</v>
      </c>
      <c r="K125" s="937">
        <v>11</v>
      </c>
      <c r="L125" s="279">
        <f t="shared" si="14"/>
        <v>0.4861111111111111</v>
      </c>
      <c r="M125" s="280">
        <f t="shared" si="15"/>
        <v>0.21739130434782608</v>
      </c>
      <c r="N125" s="280">
        <f t="shared" si="16"/>
        <v>0.79166666666666663</v>
      </c>
      <c r="O125" s="281">
        <f t="shared" si="17"/>
        <v>0.44</v>
      </c>
    </row>
    <row r="126" spans="1:15" s="142" customFormat="1" ht="13.5" customHeight="1" x14ac:dyDescent="0.3">
      <c r="A126" s="155" t="s">
        <v>240</v>
      </c>
      <c r="B126" s="187" t="s">
        <v>241</v>
      </c>
      <c r="C126" s="156" t="s">
        <v>255</v>
      </c>
      <c r="D126" s="941">
        <v>357</v>
      </c>
      <c r="E126" s="942">
        <v>291</v>
      </c>
      <c r="F126" s="943">
        <v>41</v>
      </c>
      <c r="G126" s="944">
        <v>25</v>
      </c>
      <c r="H126" s="941">
        <v>177</v>
      </c>
      <c r="I126" s="942">
        <v>134</v>
      </c>
      <c r="J126" s="943">
        <v>30</v>
      </c>
      <c r="K126" s="944">
        <v>13</v>
      </c>
      <c r="L126" s="282">
        <f t="shared" si="14"/>
        <v>0.49579831932773111</v>
      </c>
      <c r="M126" s="283">
        <f t="shared" si="15"/>
        <v>0.46048109965635736</v>
      </c>
      <c r="N126" s="283">
        <f t="shared" si="16"/>
        <v>0.73170731707317072</v>
      </c>
      <c r="O126" s="284">
        <f t="shared" si="17"/>
        <v>0.52</v>
      </c>
    </row>
    <row r="127" spans="1:15" s="142" customFormat="1" ht="15.75" customHeight="1" x14ac:dyDescent="0.3">
      <c r="A127" s="274"/>
      <c r="B127" s="231"/>
      <c r="C127" s="275"/>
      <c r="D127" s="152"/>
      <c r="E127" s="151"/>
      <c r="F127" s="152"/>
      <c r="G127" s="276"/>
      <c r="H127" s="152"/>
      <c r="I127" s="151"/>
      <c r="J127" s="152"/>
      <c r="K127" s="151"/>
      <c r="L127" s="277"/>
      <c r="M127" s="277"/>
      <c r="N127" s="277"/>
      <c r="O127" s="277"/>
    </row>
    <row r="128" spans="1:15" s="142" customFormat="1" ht="15.75" customHeight="1" x14ac:dyDescent="0.3">
      <c r="A128" s="274" t="s">
        <v>254</v>
      </c>
      <c r="B128" s="231"/>
      <c r="C128" s="275"/>
      <c r="D128" s="285">
        <f>SUM(E128:G128)</f>
        <v>16188</v>
      </c>
      <c r="E128" s="154">
        <v>9675</v>
      </c>
      <c r="F128" s="153">
        <v>5018</v>
      </c>
      <c r="G128" s="286">
        <v>1495</v>
      </c>
      <c r="H128" s="285">
        <f>SUM(I128:K128)</f>
        <v>6937</v>
      </c>
      <c r="I128" s="154">
        <v>2744</v>
      </c>
      <c r="J128" s="153">
        <v>3709</v>
      </c>
      <c r="K128" s="287">
        <v>484</v>
      </c>
      <c r="L128" s="279">
        <f t="shared" ref="L128:O132" si="18">H128/D128</f>
        <v>0.42852730417593277</v>
      </c>
      <c r="M128" s="280">
        <f t="shared" si="18"/>
        <v>0.28361757105943153</v>
      </c>
      <c r="N128" s="280">
        <f t="shared" si="18"/>
        <v>0.73913909924272614</v>
      </c>
      <c r="O128" s="281">
        <f t="shared" si="18"/>
        <v>0.3237458193979933</v>
      </c>
    </row>
    <row r="129" spans="1:15" s="142" customFormat="1" ht="15.75" customHeight="1" x14ac:dyDescent="0.3">
      <c r="A129" s="274" t="s">
        <v>252</v>
      </c>
      <c r="B129" s="231"/>
      <c r="C129" s="275"/>
      <c r="D129" s="285">
        <f t="shared" ref="D129:D132" si="19">SUM(E129:G129)</f>
        <v>22851</v>
      </c>
      <c r="E129" s="154">
        <v>12053</v>
      </c>
      <c r="F129" s="153">
        <v>8145</v>
      </c>
      <c r="G129" s="286">
        <v>2653</v>
      </c>
      <c r="H129" s="285">
        <f t="shared" ref="H129:H132" si="20">SUM(I129:K129)</f>
        <v>9162</v>
      </c>
      <c r="I129" s="154">
        <v>2799</v>
      </c>
      <c r="J129" s="153">
        <v>5407</v>
      </c>
      <c r="K129" s="287">
        <v>956</v>
      </c>
      <c r="L129" s="279">
        <f t="shared" si="18"/>
        <v>0.40094525403702247</v>
      </c>
      <c r="M129" s="280">
        <f t="shared" si="18"/>
        <v>0.23222434248734755</v>
      </c>
      <c r="N129" s="280">
        <f t="shared" si="18"/>
        <v>0.66384284837323515</v>
      </c>
      <c r="O129" s="281">
        <f t="shared" si="18"/>
        <v>0.36034677723332076</v>
      </c>
    </row>
    <row r="130" spans="1:15" s="142" customFormat="1" ht="15.75" customHeight="1" x14ac:dyDescent="0.3">
      <c r="A130" s="274" t="s">
        <v>255</v>
      </c>
      <c r="B130" s="231"/>
      <c r="C130" s="275"/>
      <c r="D130" s="285">
        <f t="shared" si="19"/>
        <v>43450</v>
      </c>
      <c r="E130" s="154">
        <v>25857</v>
      </c>
      <c r="F130" s="153">
        <v>5409</v>
      </c>
      <c r="G130" s="286">
        <v>12184</v>
      </c>
      <c r="H130" s="285">
        <f t="shared" si="20"/>
        <v>11198</v>
      </c>
      <c r="I130" s="154">
        <v>5053</v>
      </c>
      <c r="J130" s="153">
        <v>2370</v>
      </c>
      <c r="K130" s="287">
        <v>3775</v>
      </c>
      <c r="L130" s="279">
        <f t="shared" si="18"/>
        <v>0.25772151898734175</v>
      </c>
      <c r="M130" s="280">
        <f t="shared" si="18"/>
        <v>0.1954209691766253</v>
      </c>
      <c r="N130" s="280">
        <f t="shared" si="18"/>
        <v>0.43815862451469773</v>
      </c>
      <c r="O130" s="281">
        <f t="shared" si="18"/>
        <v>0.30983256730137887</v>
      </c>
    </row>
    <row r="131" spans="1:15" s="142" customFormat="1" ht="15.75" customHeight="1" x14ac:dyDescent="0.3">
      <c r="A131" s="274" t="s">
        <v>253</v>
      </c>
      <c r="B131" s="231"/>
      <c r="C131" s="275"/>
      <c r="D131" s="285">
        <f t="shared" si="19"/>
        <v>12053</v>
      </c>
      <c r="E131" s="154">
        <v>9134</v>
      </c>
      <c r="F131" s="153">
        <v>2322</v>
      </c>
      <c r="G131" s="286">
        <v>597</v>
      </c>
      <c r="H131" s="285">
        <f t="shared" si="20"/>
        <v>4902</v>
      </c>
      <c r="I131" s="154">
        <v>2950</v>
      </c>
      <c r="J131" s="153">
        <v>1742</v>
      </c>
      <c r="K131" s="287">
        <v>210</v>
      </c>
      <c r="L131" s="279">
        <f t="shared" si="18"/>
        <v>0.40670372521363973</v>
      </c>
      <c r="M131" s="280">
        <f t="shared" si="18"/>
        <v>0.322969126341143</v>
      </c>
      <c r="N131" s="280">
        <f t="shared" si="18"/>
        <v>0.75021533161068044</v>
      </c>
      <c r="O131" s="281">
        <f t="shared" si="18"/>
        <v>0.35175879396984927</v>
      </c>
    </row>
    <row r="132" spans="1:15" s="142" customFormat="1" ht="15.75" customHeight="1" x14ac:dyDescent="0.3">
      <c r="A132" s="274" t="s">
        <v>256</v>
      </c>
      <c r="B132" s="231"/>
      <c r="C132" s="275"/>
      <c r="D132" s="285">
        <f t="shared" si="19"/>
        <v>5087</v>
      </c>
      <c r="E132" s="154">
        <v>4829</v>
      </c>
      <c r="F132" s="153">
        <v>116</v>
      </c>
      <c r="G132" s="286">
        <v>142</v>
      </c>
      <c r="H132" s="285">
        <f t="shared" si="20"/>
        <v>1464</v>
      </c>
      <c r="I132" s="154">
        <v>1364</v>
      </c>
      <c r="J132" s="153">
        <v>62</v>
      </c>
      <c r="K132" s="287">
        <v>38</v>
      </c>
      <c r="L132" s="279">
        <f t="shared" si="18"/>
        <v>0.28779241203066641</v>
      </c>
      <c r="M132" s="280">
        <f t="shared" si="18"/>
        <v>0.28246013667425968</v>
      </c>
      <c r="N132" s="280">
        <f t="shared" si="18"/>
        <v>0.53448275862068961</v>
      </c>
      <c r="O132" s="281">
        <f t="shared" si="18"/>
        <v>0.26760563380281688</v>
      </c>
    </row>
    <row r="133" spans="1:15" s="142" customFormat="1" ht="15.75" customHeight="1" x14ac:dyDescent="0.3">
      <c r="A133" s="274"/>
      <c r="B133" s="231"/>
      <c r="C133" s="275"/>
      <c r="D133" s="152"/>
      <c r="E133" s="151"/>
      <c r="F133" s="152"/>
      <c r="G133" s="276"/>
      <c r="H133" s="152"/>
      <c r="I133" s="151"/>
      <c r="J133" s="152"/>
      <c r="K133" s="151"/>
      <c r="L133" s="277"/>
      <c r="M133" s="277"/>
      <c r="N133" s="277"/>
      <c r="O133" s="277"/>
    </row>
    <row r="134" spans="1:15" ht="28.5" customHeight="1" x14ac:dyDescent="0.3">
      <c r="A134" s="2720" t="s">
        <v>1072</v>
      </c>
      <c r="B134" s="2720"/>
      <c r="C134" s="2720"/>
      <c r="D134" s="2720"/>
      <c r="E134" s="2720"/>
      <c r="F134" s="2720"/>
      <c r="G134" s="2720"/>
      <c r="H134" s="2720"/>
      <c r="I134" s="2720"/>
      <c r="J134" s="2720"/>
      <c r="K134" s="2720"/>
      <c r="L134" s="2720"/>
      <c r="M134" s="2720"/>
      <c r="N134" s="2720"/>
      <c r="O134" s="2720"/>
    </row>
    <row r="135" spans="1:15" s="182" customFormat="1" ht="13.8" x14ac:dyDescent="0.3">
      <c r="A135" s="182" t="s">
        <v>248</v>
      </c>
    </row>
    <row r="136" spans="1:15" s="182" customFormat="1" ht="13.8" x14ac:dyDescent="0.3">
      <c r="A136" s="188" t="s">
        <v>249</v>
      </c>
      <c r="B136" s="167" t="s">
        <v>250</v>
      </c>
    </row>
  </sheetData>
  <autoFilter ref="A4:C126"/>
  <sortState ref="A7:O126">
    <sortCondition ref="A7:A126"/>
  </sortState>
  <mergeCells count="9">
    <mergeCell ref="A134:O134"/>
    <mergeCell ref="H4:K4"/>
    <mergeCell ref="L4:O4"/>
    <mergeCell ref="H3:O3"/>
    <mergeCell ref="E2:G2"/>
    <mergeCell ref="A4:A5"/>
    <mergeCell ref="B4:B5"/>
    <mergeCell ref="C4:C5"/>
    <mergeCell ref="D4:G4"/>
  </mergeCells>
  <hyperlinks>
    <hyperlink ref="B136"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136"/>
  <sheetViews>
    <sheetView workbookViewId="0">
      <pane xSplit="2" ySplit="5" topLeftCell="C101" activePane="bottomRight" state="frozen"/>
      <selection pane="topRight" activeCell="C1" sqref="C1"/>
      <selection pane="bottomLeft" activeCell="A6" sqref="A6"/>
      <selection pane="bottomRight" activeCell="H5" sqref="H5:H131"/>
    </sheetView>
  </sheetViews>
  <sheetFormatPr defaultColWidth="9" defaultRowHeight="13.8" x14ac:dyDescent="0.3"/>
  <cols>
    <col min="1" max="1" width="9" style="983"/>
    <col min="2" max="2" width="24.5" style="983" customWidth="1"/>
    <col min="3" max="3" width="13.59765625" style="983" customWidth="1"/>
    <col min="4" max="7" width="9" style="983"/>
    <col min="8" max="11" width="7.09765625" style="983" customWidth="1"/>
    <col min="12" max="15" width="6.796875" style="983" customWidth="1"/>
    <col min="16" max="16384" width="9" style="983"/>
  </cols>
  <sheetData>
    <row r="1" spans="1:15" ht="15.6" x14ac:dyDescent="0.3">
      <c r="A1" s="982" t="s">
        <v>1128</v>
      </c>
    </row>
    <row r="3" spans="1:15" x14ac:dyDescent="0.3">
      <c r="B3" s="984"/>
      <c r="C3" s="984"/>
      <c r="D3" s="2729" t="s">
        <v>1129</v>
      </c>
      <c r="E3" s="2730"/>
      <c r="F3" s="2730"/>
      <c r="G3" s="2731"/>
      <c r="H3" s="2729" t="s">
        <v>799</v>
      </c>
      <c r="I3" s="2730"/>
      <c r="J3" s="2730"/>
      <c r="K3" s="2731"/>
      <c r="L3" s="2732" t="s">
        <v>715</v>
      </c>
      <c r="M3" s="2732"/>
      <c r="N3" s="2732"/>
      <c r="O3" s="2732"/>
    </row>
    <row r="4" spans="1:15" x14ac:dyDescent="0.3">
      <c r="A4" s="985" t="s">
        <v>4</v>
      </c>
      <c r="B4" s="985" t="s">
        <v>469</v>
      </c>
      <c r="C4" s="985" t="s">
        <v>251</v>
      </c>
      <c r="D4" s="986" t="s">
        <v>269</v>
      </c>
      <c r="E4" s="987" t="s">
        <v>2</v>
      </c>
      <c r="F4" s="987" t="s">
        <v>314</v>
      </c>
      <c r="G4" s="988" t="s">
        <v>315</v>
      </c>
      <c r="H4" s="986" t="s">
        <v>269</v>
      </c>
      <c r="I4" s="987" t="s">
        <v>2</v>
      </c>
      <c r="J4" s="987" t="s">
        <v>314</v>
      </c>
      <c r="K4" s="988" t="s">
        <v>315</v>
      </c>
      <c r="L4" s="986" t="s">
        <v>269</v>
      </c>
      <c r="M4" s="987" t="s">
        <v>2</v>
      </c>
      <c r="N4" s="987" t="s">
        <v>314</v>
      </c>
      <c r="O4" s="988" t="s">
        <v>315</v>
      </c>
    </row>
    <row r="5" spans="1:15" x14ac:dyDescent="0.3">
      <c r="A5" s="993" t="s">
        <v>8</v>
      </c>
      <c r="B5" s="994" t="s">
        <v>9</v>
      </c>
      <c r="C5" s="994"/>
      <c r="D5" s="995">
        <f>SUM(D6:D125)</f>
        <v>3824</v>
      </c>
      <c r="E5" s="996">
        <f t="shared" ref="E5:G5" si="0">SUM(E6:E125)</f>
        <v>2008</v>
      </c>
      <c r="F5" s="996">
        <f t="shared" si="0"/>
        <v>1229</v>
      </c>
      <c r="G5" s="997">
        <f t="shared" si="0"/>
        <v>587</v>
      </c>
      <c r="H5" s="995">
        <f t="shared" ref="H5" si="1">SUM(H6:H125)</f>
        <v>525559</v>
      </c>
      <c r="I5" s="998">
        <f t="shared" ref="I5" si="2">SUM(I6:I125)</f>
        <v>355309</v>
      </c>
      <c r="J5" s="998">
        <f t="shared" ref="J5" si="3">SUM(J6:J125)</f>
        <v>124042</v>
      </c>
      <c r="K5" s="997">
        <f t="shared" ref="K5" si="4">SUM(K6:K125)</f>
        <v>46208</v>
      </c>
      <c r="L5" s="1006">
        <f t="shared" ref="L5" si="5">IF(H5=0,"NA",(D5/H5)*1000)</f>
        <v>7.2760622499091445</v>
      </c>
      <c r="M5" s="1007">
        <f t="shared" ref="M5:O5" si="6">IF(I5=0,"NA",(E5/I5)*1000)</f>
        <v>5.6514189057974891</v>
      </c>
      <c r="N5" s="1007">
        <f t="shared" si="6"/>
        <v>9.9079344093129738</v>
      </c>
      <c r="O5" s="1008">
        <f t="shared" si="6"/>
        <v>12.703427977839336</v>
      </c>
    </row>
    <row r="6" spans="1:15" x14ac:dyDescent="0.3">
      <c r="A6" s="983" t="s">
        <v>10</v>
      </c>
      <c r="B6" s="983" t="s">
        <v>11</v>
      </c>
      <c r="C6" s="983" t="s">
        <v>252</v>
      </c>
      <c r="D6" s="989">
        <f t="shared" ref="D6:D37" si="7">SUM(E6:G6)</f>
        <v>22</v>
      </c>
      <c r="E6" s="990">
        <v>10</v>
      </c>
      <c r="F6" s="990">
        <v>12</v>
      </c>
      <c r="G6" s="991">
        <v>0</v>
      </c>
      <c r="H6" s="989">
        <f t="shared" ref="H6:H37" si="8">SUM(I6:K6)</f>
        <v>1700</v>
      </c>
      <c r="I6" s="990">
        <v>1064</v>
      </c>
      <c r="J6" s="990">
        <v>589</v>
      </c>
      <c r="K6" s="991">
        <v>47</v>
      </c>
      <c r="L6" s="1009">
        <f t="shared" ref="L6:L37" si="9">IF(H6=0,"NA",(D6/H6)*1000)</f>
        <v>12.941176470588236</v>
      </c>
      <c r="M6" s="1010">
        <f t="shared" ref="M6:M37" si="10">IF(I6=0,"NA",(E6/I6)*1000)</f>
        <v>9.3984962406015029</v>
      </c>
      <c r="N6" s="1010">
        <f t="shared" ref="N6:N37" si="11">IF(J6=0,"NA",(F6/J6)*1000)</f>
        <v>20.373514431239389</v>
      </c>
      <c r="O6" s="1011">
        <f t="shared" ref="O6:O37" si="12">IF(K6=0,"NA",(G6/K6)*1000)</f>
        <v>0</v>
      </c>
    </row>
    <row r="7" spans="1:15" x14ac:dyDescent="0.3">
      <c r="A7" s="983" t="s">
        <v>12</v>
      </c>
      <c r="B7" s="983" t="s">
        <v>13</v>
      </c>
      <c r="C7" s="983" t="s">
        <v>253</v>
      </c>
      <c r="D7" s="989">
        <f t="shared" si="7"/>
        <v>30</v>
      </c>
      <c r="E7" s="990">
        <v>21</v>
      </c>
      <c r="F7" s="990">
        <v>5</v>
      </c>
      <c r="G7" s="991">
        <v>4</v>
      </c>
      <c r="H7" s="989">
        <f t="shared" si="8"/>
        <v>7924</v>
      </c>
      <c r="I7" s="990">
        <v>6242</v>
      </c>
      <c r="J7" s="990">
        <v>954</v>
      </c>
      <c r="K7" s="991">
        <v>728</v>
      </c>
      <c r="L7" s="1009">
        <f t="shared" si="9"/>
        <v>3.7859666834931853</v>
      </c>
      <c r="M7" s="1010">
        <f t="shared" si="10"/>
        <v>3.3643063120794618</v>
      </c>
      <c r="N7" s="1010">
        <f t="shared" si="11"/>
        <v>5.2410901467505244</v>
      </c>
      <c r="O7" s="1011">
        <f t="shared" si="12"/>
        <v>5.4945054945054945</v>
      </c>
    </row>
    <row r="8" spans="1:15" x14ac:dyDescent="0.3">
      <c r="A8" s="983" t="s">
        <v>16</v>
      </c>
      <c r="B8" s="983" t="s">
        <v>285</v>
      </c>
      <c r="C8" s="983" t="s">
        <v>253</v>
      </c>
      <c r="D8" s="989">
        <f t="shared" si="7"/>
        <v>15</v>
      </c>
      <c r="E8" s="990">
        <v>14</v>
      </c>
      <c r="F8" s="990">
        <v>1</v>
      </c>
      <c r="G8" s="991">
        <v>0</v>
      </c>
      <c r="H8" s="989">
        <f t="shared" si="8"/>
        <v>1112</v>
      </c>
      <c r="I8" s="990">
        <v>998</v>
      </c>
      <c r="J8" s="990">
        <v>104</v>
      </c>
      <c r="K8" s="991">
        <v>10</v>
      </c>
      <c r="L8" s="1009">
        <f t="shared" si="9"/>
        <v>13.489208633093524</v>
      </c>
      <c r="M8" s="1010">
        <f t="shared" si="10"/>
        <v>14.02805611222445</v>
      </c>
      <c r="N8" s="1010">
        <f t="shared" si="11"/>
        <v>9.6153846153846168</v>
      </c>
      <c r="O8" s="1011">
        <f t="shared" si="12"/>
        <v>0</v>
      </c>
    </row>
    <row r="9" spans="1:15" x14ac:dyDescent="0.3">
      <c r="A9" s="983" t="s">
        <v>18</v>
      </c>
      <c r="B9" s="983" t="s">
        <v>19</v>
      </c>
      <c r="C9" s="983" t="s">
        <v>254</v>
      </c>
      <c r="D9" s="989">
        <f t="shared" si="7"/>
        <v>3</v>
      </c>
      <c r="E9" s="990">
        <v>2</v>
      </c>
      <c r="F9" s="990">
        <v>1</v>
      </c>
      <c r="G9" s="991">
        <v>0</v>
      </c>
      <c r="H9" s="989">
        <f t="shared" si="8"/>
        <v>749</v>
      </c>
      <c r="I9" s="990">
        <v>571</v>
      </c>
      <c r="J9" s="990">
        <v>158</v>
      </c>
      <c r="K9" s="991">
        <v>20</v>
      </c>
      <c r="L9" s="1009">
        <f t="shared" si="9"/>
        <v>4.0053404539385848</v>
      </c>
      <c r="M9" s="1010">
        <f t="shared" si="10"/>
        <v>3.5026269702276709</v>
      </c>
      <c r="N9" s="1010">
        <f t="shared" si="11"/>
        <v>6.3291139240506329</v>
      </c>
      <c r="O9" s="1011">
        <f t="shared" si="12"/>
        <v>0</v>
      </c>
    </row>
    <row r="10" spans="1:15" x14ac:dyDescent="0.3">
      <c r="A10" s="983" t="s">
        <v>20</v>
      </c>
      <c r="B10" s="983" t="s">
        <v>21</v>
      </c>
      <c r="C10" s="983" t="s">
        <v>253</v>
      </c>
      <c r="D10" s="989">
        <f t="shared" si="7"/>
        <v>17</v>
      </c>
      <c r="E10" s="990">
        <v>14</v>
      </c>
      <c r="F10" s="990">
        <v>3</v>
      </c>
      <c r="G10" s="991">
        <v>0</v>
      </c>
      <c r="H10" s="989">
        <f t="shared" si="8"/>
        <v>1789</v>
      </c>
      <c r="I10" s="990">
        <v>1380</v>
      </c>
      <c r="J10" s="990">
        <v>376</v>
      </c>
      <c r="K10" s="991">
        <v>33</v>
      </c>
      <c r="L10" s="1009">
        <f t="shared" si="9"/>
        <v>9.5025153717160435</v>
      </c>
      <c r="M10" s="1010">
        <f t="shared" si="10"/>
        <v>10.144927536231883</v>
      </c>
      <c r="N10" s="1010">
        <f t="shared" si="11"/>
        <v>7.9787234042553186</v>
      </c>
      <c r="O10" s="1011">
        <f t="shared" si="12"/>
        <v>0</v>
      </c>
    </row>
    <row r="11" spans="1:15" x14ac:dyDescent="0.3">
      <c r="A11" s="983" t="s">
        <v>22</v>
      </c>
      <c r="B11" s="983" t="s">
        <v>23</v>
      </c>
      <c r="C11" s="983" t="s">
        <v>253</v>
      </c>
      <c r="D11" s="989">
        <f t="shared" si="7"/>
        <v>10</v>
      </c>
      <c r="E11" s="990">
        <v>8</v>
      </c>
      <c r="F11" s="990">
        <v>2</v>
      </c>
      <c r="G11" s="991">
        <v>0</v>
      </c>
      <c r="H11" s="989">
        <f t="shared" si="8"/>
        <v>905</v>
      </c>
      <c r="I11" s="990">
        <v>684</v>
      </c>
      <c r="J11" s="990">
        <v>217</v>
      </c>
      <c r="K11" s="991">
        <v>4</v>
      </c>
      <c r="L11" s="1009">
        <f t="shared" si="9"/>
        <v>11.049723756906078</v>
      </c>
      <c r="M11" s="1010">
        <f t="shared" si="10"/>
        <v>11.695906432748536</v>
      </c>
      <c r="N11" s="1010">
        <f t="shared" si="11"/>
        <v>9.2165898617511512</v>
      </c>
      <c r="O11" s="1011">
        <f t="shared" si="12"/>
        <v>0</v>
      </c>
    </row>
    <row r="12" spans="1:15" x14ac:dyDescent="0.3">
      <c r="A12" s="983" t="s">
        <v>24</v>
      </c>
      <c r="B12" s="983" t="s">
        <v>25</v>
      </c>
      <c r="C12" s="983" t="s">
        <v>255</v>
      </c>
      <c r="D12" s="989">
        <f t="shared" si="7"/>
        <v>31</v>
      </c>
      <c r="E12" s="990">
        <v>26</v>
      </c>
      <c r="F12" s="990">
        <v>2</v>
      </c>
      <c r="G12" s="991">
        <v>3</v>
      </c>
      <c r="H12" s="989">
        <f t="shared" si="8"/>
        <v>9883</v>
      </c>
      <c r="I12" s="990">
        <v>7293</v>
      </c>
      <c r="J12" s="990">
        <v>1272</v>
      </c>
      <c r="K12" s="991">
        <v>1318</v>
      </c>
      <c r="L12" s="1009">
        <f t="shared" si="9"/>
        <v>3.1366993827785086</v>
      </c>
      <c r="M12" s="1010">
        <f t="shared" si="10"/>
        <v>3.5650623885918002</v>
      </c>
      <c r="N12" s="1010">
        <f t="shared" si="11"/>
        <v>1.5723270440251573</v>
      </c>
      <c r="O12" s="1011">
        <f t="shared" si="12"/>
        <v>2.2761760242792111</v>
      </c>
    </row>
    <row r="13" spans="1:15" x14ac:dyDescent="0.3">
      <c r="A13" s="983" t="s">
        <v>26</v>
      </c>
      <c r="B13" s="983" t="s">
        <v>286</v>
      </c>
      <c r="C13" s="983" t="s">
        <v>253</v>
      </c>
      <c r="D13" s="989">
        <f t="shared" si="7"/>
        <v>77</v>
      </c>
      <c r="E13" s="990">
        <v>74</v>
      </c>
      <c r="F13" s="990">
        <v>3</v>
      </c>
      <c r="G13" s="991">
        <v>0</v>
      </c>
      <c r="H13" s="989">
        <f t="shared" si="8"/>
        <v>6645</v>
      </c>
      <c r="I13" s="990">
        <v>5800</v>
      </c>
      <c r="J13" s="990">
        <v>729</v>
      </c>
      <c r="K13" s="991">
        <v>116</v>
      </c>
      <c r="L13" s="1009">
        <f t="shared" si="9"/>
        <v>11.587659894657637</v>
      </c>
      <c r="M13" s="1010">
        <f t="shared" si="10"/>
        <v>12.758620689655173</v>
      </c>
      <c r="N13" s="1010">
        <f t="shared" si="11"/>
        <v>4.1152263374485596</v>
      </c>
      <c r="O13" s="1011">
        <f t="shared" si="12"/>
        <v>0</v>
      </c>
    </row>
    <row r="14" spans="1:15" x14ac:dyDescent="0.3">
      <c r="A14" s="983" t="s">
        <v>27</v>
      </c>
      <c r="B14" s="983" t="s">
        <v>28</v>
      </c>
      <c r="C14" s="983" t="s">
        <v>253</v>
      </c>
      <c r="D14" s="989">
        <f t="shared" si="7"/>
        <v>2</v>
      </c>
      <c r="E14" s="990">
        <v>2</v>
      </c>
      <c r="F14" s="990">
        <v>0</v>
      </c>
      <c r="G14" s="991">
        <v>0</v>
      </c>
      <c r="H14" s="989">
        <f t="shared" si="8"/>
        <v>174</v>
      </c>
      <c r="I14" s="990">
        <v>159</v>
      </c>
      <c r="J14" s="990">
        <v>14</v>
      </c>
      <c r="K14" s="991">
        <v>1</v>
      </c>
      <c r="L14" s="1009">
        <f t="shared" si="9"/>
        <v>11.494252873563218</v>
      </c>
      <c r="M14" s="1010">
        <f t="shared" si="10"/>
        <v>12.578616352201259</v>
      </c>
      <c r="N14" s="1010">
        <f t="shared" si="11"/>
        <v>0</v>
      </c>
      <c r="O14" s="1011">
        <f t="shared" si="12"/>
        <v>0</v>
      </c>
    </row>
    <row r="15" spans="1:15" x14ac:dyDescent="0.3">
      <c r="A15" s="983" t="s">
        <v>29</v>
      </c>
      <c r="B15" s="983" t="s">
        <v>736</v>
      </c>
      <c r="C15" s="983" t="s">
        <v>253</v>
      </c>
      <c r="D15" s="989">
        <f t="shared" si="7"/>
        <v>38</v>
      </c>
      <c r="E15" s="990">
        <v>36</v>
      </c>
      <c r="F15" s="990">
        <v>2</v>
      </c>
      <c r="G15" s="991">
        <v>0</v>
      </c>
      <c r="H15" s="989">
        <f t="shared" si="8"/>
        <v>4545</v>
      </c>
      <c r="I15" s="990">
        <v>4028</v>
      </c>
      <c r="J15" s="990">
        <v>388</v>
      </c>
      <c r="K15" s="991">
        <v>129</v>
      </c>
      <c r="L15" s="1009">
        <f t="shared" si="9"/>
        <v>8.3608360836083619</v>
      </c>
      <c r="M15" s="1010">
        <f t="shared" si="10"/>
        <v>8.9374379344587886</v>
      </c>
      <c r="N15" s="1010">
        <f t="shared" si="11"/>
        <v>5.1546391752577323</v>
      </c>
      <c r="O15" s="1011">
        <f t="shared" si="12"/>
        <v>0</v>
      </c>
    </row>
    <row r="16" spans="1:15" x14ac:dyDescent="0.3">
      <c r="A16" s="983" t="s">
        <v>30</v>
      </c>
      <c r="B16" s="983" t="s">
        <v>31</v>
      </c>
      <c r="C16" s="983" t="s">
        <v>256</v>
      </c>
      <c r="D16" s="989">
        <f t="shared" si="7"/>
        <v>1</v>
      </c>
      <c r="E16" s="990">
        <v>1</v>
      </c>
      <c r="F16" s="990">
        <v>0</v>
      </c>
      <c r="G16" s="991">
        <v>0</v>
      </c>
      <c r="H16" s="989">
        <f t="shared" si="8"/>
        <v>270</v>
      </c>
      <c r="I16" s="990">
        <v>261</v>
      </c>
      <c r="J16" s="990">
        <v>8</v>
      </c>
      <c r="K16" s="991">
        <v>1</v>
      </c>
      <c r="L16" s="1009">
        <f t="shared" si="9"/>
        <v>3.7037037037037037</v>
      </c>
      <c r="M16" s="1010">
        <f t="shared" si="10"/>
        <v>3.8314176245210727</v>
      </c>
      <c r="N16" s="1010">
        <f t="shared" si="11"/>
        <v>0</v>
      </c>
      <c r="O16" s="1011">
        <f t="shared" si="12"/>
        <v>0</v>
      </c>
    </row>
    <row r="17" spans="1:15" x14ac:dyDescent="0.3">
      <c r="A17" s="983" t="s">
        <v>32</v>
      </c>
      <c r="B17" s="983" t="s">
        <v>33</v>
      </c>
      <c r="C17" s="983" t="s">
        <v>253</v>
      </c>
      <c r="D17" s="989">
        <f t="shared" si="7"/>
        <v>10</v>
      </c>
      <c r="E17" s="990">
        <v>10</v>
      </c>
      <c r="F17" s="990">
        <v>0</v>
      </c>
      <c r="G17" s="991">
        <v>0</v>
      </c>
      <c r="H17" s="989">
        <f t="shared" si="8"/>
        <v>1896</v>
      </c>
      <c r="I17" s="990">
        <v>1790</v>
      </c>
      <c r="J17" s="990">
        <v>66</v>
      </c>
      <c r="K17" s="991">
        <v>40</v>
      </c>
      <c r="L17" s="1009">
        <f t="shared" si="9"/>
        <v>5.2742616033755274</v>
      </c>
      <c r="M17" s="1010">
        <f t="shared" si="10"/>
        <v>5.5865921787709496</v>
      </c>
      <c r="N17" s="1010">
        <f t="shared" si="11"/>
        <v>0</v>
      </c>
      <c r="O17" s="1011">
        <f t="shared" si="12"/>
        <v>0</v>
      </c>
    </row>
    <row r="18" spans="1:15" x14ac:dyDescent="0.3">
      <c r="A18" s="983" t="s">
        <v>36</v>
      </c>
      <c r="B18" s="983" t="s">
        <v>37</v>
      </c>
      <c r="C18" s="983" t="s">
        <v>252</v>
      </c>
      <c r="D18" s="989">
        <f t="shared" si="7"/>
        <v>5</v>
      </c>
      <c r="E18" s="990">
        <v>2</v>
      </c>
      <c r="F18" s="990">
        <v>3</v>
      </c>
      <c r="G18" s="991">
        <v>0</v>
      </c>
      <c r="H18" s="989">
        <f t="shared" si="8"/>
        <v>756</v>
      </c>
      <c r="I18" s="990">
        <v>287</v>
      </c>
      <c r="J18" s="990">
        <v>452</v>
      </c>
      <c r="K18" s="991">
        <v>17</v>
      </c>
      <c r="L18" s="1009">
        <f t="shared" si="9"/>
        <v>6.6137566137566131</v>
      </c>
      <c r="M18" s="1010">
        <f t="shared" si="10"/>
        <v>6.968641114982578</v>
      </c>
      <c r="N18" s="1010">
        <f t="shared" si="11"/>
        <v>6.6371681415929205</v>
      </c>
      <c r="O18" s="1011">
        <f t="shared" si="12"/>
        <v>0</v>
      </c>
    </row>
    <row r="19" spans="1:15" x14ac:dyDescent="0.3">
      <c r="A19" s="983" t="s">
        <v>38</v>
      </c>
      <c r="B19" s="983" t="s">
        <v>39</v>
      </c>
      <c r="C19" s="983" t="s">
        <v>256</v>
      </c>
      <c r="D19" s="989">
        <f t="shared" si="7"/>
        <v>21</v>
      </c>
      <c r="E19" s="990">
        <v>21</v>
      </c>
      <c r="F19" s="990">
        <v>0</v>
      </c>
      <c r="G19" s="991">
        <v>0</v>
      </c>
      <c r="H19" s="989">
        <f t="shared" si="8"/>
        <v>1051</v>
      </c>
      <c r="I19" s="990">
        <v>996</v>
      </c>
      <c r="J19" s="990">
        <v>50</v>
      </c>
      <c r="K19" s="991">
        <v>5</v>
      </c>
      <c r="L19" s="1009">
        <f t="shared" si="9"/>
        <v>19.98097050428164</v>
      </c>
      <c r="M19" s="1010">
        <f t="shared" si="10"/>
        <v>21.08433734939759</v>
      </c>
      <c r="N19" s="1010">
        <f t="shared" si="11"/>
        <v>0</v>
      </c>
      <c r="O19" s="1011">
        <f t="shared" si="12"/>
        <v>0</v>
      </c>
    </row>
    <row r="20" spans="1:15" x14ac:dyDescent="0.3">
      <c r="A20" s="983" t="s">
        <v>40</v>
      </c>
      <c r="B20" s="983" t="s">
        <v>41</v>
      </c>
      <c r="C20" s="983" t="s">
        <v>254</v>
      </c>
      <c r="D20" s="989">
        <f t="shared" si="7"/>
        <v>8</v>
      </c>
      <c r="E20" s="990">
        <v>8</v>
      </c>
      <c r="F20" s="990">
        <v>0</v>
      </c>
      <c r="G20" s="991">
        <v>0</v>
      </c>
      <c r="H20" s="989">
        <f t="shared" si="8"/>
        <v>804</v>
      </c>
      <c r="I20" s="990">
        <v>517</v>
      </c>
      <c r="J20" s="990">
        <v>277</v>
      </c>
      <c r="K20" s="991">
        <v>10</v>
      </c>
      <c r="L20" s="1009">
        <f t="shared" si="9"/>
        <v>9.9502487562189046</v>
      </c>
      <c r="M20" s="1010">
        <f t="shared" si="10"/>
        <v>15.473887814313347</v>
      </c>
      <c r="N20" s="1010">
        <f t="shared" si="11"/>
        <v>0</v>
      </c>
      <c r="O20" s="1011">
        <f t="shared" si="12"/>
        <v>0</v>
      </c>
    </row>
    <row r="21" spans="1:15" x14ac:dyDescent="0.3">
      <c r="A21" s="983" t="s">
        <v>42</v>
      </c>
      <c r="B21" s="983" t="s">
        <v>43</v>
      </c>
      <c r="C21" s="983" t="s">
        <v>253</v>
      </c>
      <c r="D21" s="989">
        <f t="shared" si="7"/>
        <v>28</v>
      </c>
      <c r="E21" s="990">
        <v>20</v>
      </c>
      <c r="F21" s="990">
        <v>8</v>
      </c>
      <c r="G21" s="991">
        <v>0</v>
      </c>
      <c r="H21" s="989">
        <f t="shared" si="8"/>
        <v>3032</v>
      </c>
      <c r="I21" s="990">
        <v>2489</v>
      </c>
      <c r="J21" s="990">
        <v>487</v>
      </c>
      <c r="K21" s="991">
        <v>56</v>
      </c>
      <c r="L21" s="1009">
        <f t="shared" si="9"/>
        <v>9.2348284960422173</v>
      </c>
      <c r="M21" s="1010">
        <f t="shared" si="10"/>
        <v>8.0353555644837282</v>
      </c>
      <c r="N21" s="1010">
        <f t="shared" si="11"/>
        <v>16.42710472279261</v>
      </c>
      <c r="O21" s="1011">
        <f t="shared" si="12"/>
        <v>0</v>
      </c>
    </row>
    <row r="22" spans="1:15" x14ac:dyDescent="0.3">
      <c r="A22" s="983" t="s">
        <v>44</v>
      </c>
      <c r="B22" s="983" t="s">
        <v>45</v>
      </c>
      <c r="C22" s="983" t="s">
        <v>254</v>
      </c>
      <c r="D22" s="989">
        <f t="shared" si="7"/>
        <v>16</v>
      </c>
      <c r="E22" s="990">
        <v>9</v>
      </c>
      <c r="F22" s="990">
        <v>7</v>
      </c>
      <c r="G22" s="991">
        <v>0</v>
      </c>
      <c r="H22" s="989">
        <f t="shared" si="8"/>
        <v>1745</v>
      </c>
      <c r="I22" s="990">
        <v>1159</v>
      </c>
      <c r="J22" s="990">
        <v>548</v>
      </c>
      <c r="K22" s="991">
        <v>38</v>
      </c>
      <c r="L22" s="1009">
        <f t="shared" si="9"/>
        <v>9.1690544412607444</v>
      </c>
      <c r="M22" s="1010">
        <f t="shared" si="10"/>
        <v>7.7653149266609143</v>
      </c>
      <c r="N22" s="1010">
        <f t="shared" si="11"/>
        <v>12.773722627737227</v>
      </c>
      <c r="O22" s="1011">
        <f t="shared" si="12"/>
        <v>0</v>
      </c>
    </row>
    <row r="23" spans="1:15" x14ac:dyDescent="0.3">
      <c r="A23" s="983" t="s">
        <v>46</v>
      </c>
      <c r="B23" s="983" t="s">
        <v>47</v>
      </c>
      <c r="C23" s="983" t="s">
        <v>256</v>
      </c>
      <c r="D23" s="989">
        <f t="shared" si="7"/>
        <v>17</v>
      </c>
      <c r="E23" s="990">
        <v>15</v>
      </c>
      <c r="F23" s="990">
        <v>0</v>
      </c>
      <c r="G23" s="991">
        <v>2</v>
      </c>
      <c r="H23" s="989">
        <f t="shared" si="8"/>
        <v>1567</v>
      </c>
      <c r="I23" s="990">
        <v>1527</v>
      </c>
      <c r="J23" s="990">
        <v>21</v>
      </c>
      <c r="K23" s="991">
        <v>19</v>
      </c>
      <c r="L23" s="1009">
        <f t="shared" si="9"/>
        <v>10.848755583918315</v>
      </c>
      <c r="M23" s="1010">
        <f t="shared" si="10"/>
        <v>9.8231827111984273</v>
      </c>
      <c r="N23" s="1010">
        <f t="shared" si="11"/>
        <v>0</v>
      </c>
      <c r="O23" s="1011">
        <f t="shared" si="12"/>
        <v>105.26315789473684</v>
      </c>
    </row>
    <row r="24" spans="1:15" x14ac:dyDescent="0.3">
      <c r="A24" s="983" t="s">
        <v>48</v>
      </c>
      <c r="B24" s="983" t="s">
        <v>257</v>
      </c>
      <c r="C24" s="983" t="s">
        <v>254</v>
      </c>
      <c r="D24" s="989">
        <f t="shared" si="7"/>
        <v>0</v>
      </c>
      <c r="E24" s="990">
        <v>0</v>
      </c>
      <c r="F24" s="990">
        <v>0</v>
      </c>
      <c r="G24" s="991">
        <v>0</v>
      </c>
      <c r="H24" s="989">
        <f t="shared" si="8"/>
        <v>304</v>
      </c>
      <c r="I24" s="990">
        <v>118</v>
      </c>
      <c r="J24" s="990">
        <v>150</v>
      </c>
      <c r="K24" s="991">
        <v>36</v>
      </c>
      <c r="L24" s="1009">
        <f t="shared" si="9"/>
        <v>0</v>
      </c>
      <c r="M24" s="1010">
        <f t="shared" si="10"/>
        <v>0</v>
      </c>
      <c r="N24" s="1010">
        <f t="shared" si="11"/>
        <v>0</v>
      </c>
      <c r="O24" s="1011">
        <f t="shared" si="12"/>
        <v>0</v>
      </c>
    </row>
    <row r="25" spans="1:15" x14ac:dyDescent="0.3">
      <c r="A25" s="983" t="s">
        <v>50</v>
      </c>
      <c r="B25" s="983" t="s">
        <v>51</v>
      </c>
      <c r="C25" s="983" t="s">
        <v>253</v>
      </c>
      <c r="D25" s="989">
        <f t="shared" si="7"/>
        <v>5</v>
      </c>
      <c r="E25" s="990">
        <v>5</v>
      </c>
      <c r="F25" s="990">
        <v>0</v>
      </c>
      <c r="G25" s="991">
        <v>0</v>
      </c>
      <c r="H25" s="989">
        <f t="shared" si="8"/>
        <v>688</v>
      </c>
      <c r="I25" s="990">
        <v>454</v>
      </c>
      <c r="J25" s="990">
        <v>225</v>
      </c>
      <c r="K25" s="991">
        <v>9</v>
      </c>
      <c r="L25" s="1009">
        <f t="shared" si="9"/>
        <v>7.2674418604651159</v>
      </c>
      <c r="M25" s="1010">
        <f t="shared" si="10"/>
        <v>11.013215859030838</v>
      </c>
      <c r="N25" s="1010">
        <f t="shared" si="11"/>
        <v>0</v>
      </c>
      <c r="O25" s="1011">
        <f t="shared" si="12"/>
        <v>0</v>
      </c>
    </row>
    <row r="26" spans="1:15" x14ac:dyDescent="0.3">
      <c r="A26" s="983" t="s">
        <v>56</v>
      </c>
      <c r="B26" s="983" t="s">
        <v>283</v>
      </c>
      <c r="C26" s="983" t="s">
        <v>254</v>
      </c>
      <c r="D26" s="989">
        <f t="shared" si="7"/>
        <v>139</v>
      </c>
      <c r="E26" s="990">
        <v>81</v>
      </c>
      <c r="F26" s="990">
        <v>43</v>
      </c>
      <c r="G26" s="991">
        <v>15</v>
      </c>
      <c r="H26" s="989">
        <f t="shared" si="8"/>
        <v>25053</v>
      </c>
      <c r="I26" s="990">
        <v>16126</v>
      </c>
      <c r="J26" s="990">
        <v>7768</v>
      </c>
      <c r="K26" s="991">
        <v>1159</v>
      </c>
      <c r="L26" s="1009">
        <f t="shared" si="9"/>
        <v>5.5482377359996802</v>
      </c>
      <c r="M26" s="1010">
        <f t="shared" si="10"/>
        <v>5.0229443135309442</v>
      </c>
      <c r="N26" s="1010">
        <f t="shared" si="11"/>
        <v>5.5355303810504628</v>
      </c>
      <c r="O26" s="1011">
        <f t="shared" si="12"/>
        <v>12.942191544434857</v>
      </c>
    </row>
    <row r="27" spans="1:15" x14ac:dyDescent="0.3">
      <c r="A27" s="983" t="s">
        <v>58</v>
      </c>
      <c r="B27" s="983" t="s">
        <v>59</v>
      </c>
      <c r="C27" s="983" t="s">
        <v>255</v>
      </c>
      <c r="D27" s="989">
        <f t="shared" si="7"/>
        <v>6</v>
      </c>
      <c r="E27" s="990">
        <v>4</v>
      </c>
      <c r="F27" s="990">
        <v>2</v>
      </c>
      <c r="G27" s="991">
        <v>0</v>
      </c>
      <c r="H27" s="989">
        <f t="shared" si="8"/>
        <v>904</v>
      </c>
      <c r="I27" s="990">
        <v>825</v>
      </c>
      <c r="J27" s="990">
        <v>50</v>
      </c>
      <c r="K27" s="991">
        <v>29</v>
      </c>
      <c r="L27" s="1009">
        <f t="shared" si="9"/>
        <v>6.6371681415929205</v>
      </c>
      <c r="M27" s="1010">
        <f t="shared" si="10"/>
        <v>4.8484848484848486</v>
      </c>
      <c r="N27" s="1010">
        <f t="shared" si="11"/>
        <v>40</v>
      </c>
      <c r="O27" s="1011">
        <f t="shared" si="12"/>
        <v>0</v>
      </c>
    </row>
    <row r="28" spans="1:15" x14ac:dyDescent="0.3">
      <c r="A28" s="983" t="s">
        <v>60</v>
      </c>
      <c r="B28" s="983" t="s">
        <v>61</v>
      </c>
      <c r="C28" s="983" t="s">
        <v>253</v>
      </c>
      <c r="D28" s="989">
        <f t="shared" si="7"/>
        <v>6</v>
      </c>
      <c r="E28" s="990">
        <v>6</v>
      </c>
      <c r="F28" s="990">
        <v>0</v>
      </c>
      <c r="G28" s="991">
        <v>0</v>
      </c>
      <c r="H28" s="989">
        <f t="shared" si="8"/>
        <v>276</v>
      </c>
      <c r="I28" s="990">
        <v>269</v>
      </c>
      <c r="J28" s="990">
        <v>5</v>
      </c>
      <c r="K28" s="991">
        <v>2</v>
      </c>
      <c r="L28" s="1009">
        <f t="shared" si="9"/>
        <v>21.739130434782609</v>
      </c>
      <c r="M28" s="1010">
        <f t="shared" si="10"/>
        <v>22.304832713754646</v>
      </c>
      <c r="N28" s="1010">
        <f t="shared" si="11"/>
        <v>0</v>
      </c>
      <c r="O28" s="1011">
        <f t="shared" si="12"/>
        <v>0</v>
      </c>
    </row>
    <row r="29" spans="1:15" x14ac:dyDescent="0.3">
      <c r="A29" s="983" t="s">
        <v>62</v>
      </c>
      <c r="B29" s="983" t="s">
        <v>63</v>
      </c>
      <c r="C29" s="983" t="s">
        <v>255</v>
      </c>
      <c r="D29" s="989">
        <f t="shared" si="7"/>
        <v>29</v>
      </c>
      <c r="E29" s="990">
        <v>21</v>
      </c>
      <c r="F29" s="990">
        <v>7</v>
      </c>
      <c r="G29" s="991">
        <v>1</v>
      </c>
      <c r="H29" s="989">
        <f t="shared" si="8"/>
        <v>3531</v>
      </c>
      <c r="I29" s="990">
        <v>2837</v>
      </c>
      <c r="J29" s="990">
        <v>574</v>
      </c>
      <c r="K29" s="991">
        <v>120</v>
      </c>
      <c r="L29" s="1009">
        <f t="shared" si="9"/>
        <v>8.2129708297932602</v>
      </c>
      <c r="M29" s="1010">
        <f t="shared" si="10"/>
        <v>7.4021854071201973</v>
      </c>
      <c r="N29" s="1010">
        <f t="shared" si="11"/>
        <v>12.195121951219512</v>
      </c>
      <c r="O29" s="1011">
        <f t="shared" si="12"/>
        <v>8.3333333333333339</v>
      </c>
    </row>
    <row r="30" spans="1:15" x14ac:dyDescent="0.3">
      <c r="A30" s="983" t="s">
        <v>64</v>
      </c>
      <c r="B30" s="983" t="s">
        <v>65</v>
      </c>
      <c r="C30" s="983" t="s">
        <v>254</v>
      </c>
      <c r="D30" s="989">
        <f t="shared" si="7"/>
        <v>4</v>
      </c>
      <c r="E30" s="990">
        <v>4</v>
      </c>
      <c r="F30" s="990">
        <v>0</v>
      </c>
      <c r="G30" s="991">
        <v>0</v>
      </c>
      <c r="H30" s="989">
        <f t="shared" si="8"/>
        <v>557</v>
      </c>
      <c r="I30" s="990">
        <v>357</v>
      </c>
      <c r="J30" s="990">
        <v>193</v>
      </c>
      <c r="K30" s="991">
        <v>7</v>
      </c>
      <c r="L30" s="1009">
        <f t="shared" si="9"/>
        <v>7.1813285457809695</v>
      </c>
      <c r="M30" s="1010">
        <f t="shared" si="10"/>
        <v>11.204481792717086</v>
      </c>
      <c r="N30" s="1010">
        <f t="shared" si="11"/>
        <v>0</v>
      </c>
      <c r="O30" s="1011">
        <f t="shared" si="12"/>
        <v>0</v>
      </c>
    </row>
    <row r="31" spans="1:15" x14ac:dyDescent="0.3">
      <c r="A31" s="983" t="s">
        <v>68</v>
      </c>
      <c r="B31" s="983" t="s">
        <v>69</v>
      </c>
      <c r="C31" s="983" t="s">
        <v>256</v>
      </c>
      <c r="D31" s="989">
        <f t="shared" si="7"/>
        <v>5</v>
      </c>
      <c r="E31" s="990">
        <v>5</v>
      </c>
      <c r="F31" s="990">
        <v>0</v>
      </c>
      <c r="G31" s="991">
        <v>0</v>
      </c>
      <c r="H31" s="989">
        <f t="shared" si="8"/>
        <v>787</v>
      </c>
      <c r="I31" s="990">
        <v>778</v>
      </c>
      <c r="J31" s="990">
        <v>4</v>
      </c>
      <c r="K31" s="991">
        <v>5</v>
      </c>
      <c r="L31" s="1009">
        <f t="shared" si="9"/>
        <v>6.3532401524777633</v>
      </c>
      <c r="M31" s="1010">
        <f t="shared" si="10"/>
        <v>6.4267352185089974</v>
      </c>
      <c r="N31" s="1010">
        <f t="shared" si="11"/>
        <v>0</v>
      </c>
      <c r="O31" s="1011">
        <f t="shared" si="12"/>
        <v>0</v>
      </c>
    </row>
    <row r="32" spans="1:15" x14ac:dyDescent="0.3">
      <c r="A32" s="983" t="s">
        <v>70</v>
      </c>
      <c r="B32" s="983" t="s">
        <v>71</v>
      </c>
      <c r="C32" s="983" t="s">
        <v>252</v>
      </c>
      <c r="D32" s="989">
        <f t="shared" si="7"/>
        <v>6</v>
      </c>
      <c r="E32" s="990">
        <v>5</v>
      </c>
      <c r="F32" s="990">
        <v>1</v>
      </c>
      <c r="G32" s="991">
        <v>0</v>
      </c>
      <c r="H32" s="989">
        <f t="shared" si="8"/>
        <v>1693</v>
      </c>
      <c r="I32" s="990">
        <v>1050</v>
      </c>
      <c r="J32" s="990">
        <v>619</v>
      </c>
      <c r="K32" s="991">
        <v>24</v>
      </c>
      <c r="L32" s="1009">
        <f t="shared" si="9"/>
        <v>3.5440047253396338</v>
      </c>
      <c r="M32" s="1010">
        <f t="shared" si="10"/>
        <v>4.7619047619047628</v>
      </c>
      <c r="N32" s="1010">
        <f t="shared" si="11"/>
        <v>1.6155088852988693</v>
      </c>
      <c r="O32" s="1011">
        <f t="shared" si="12"/>
        <v>0</v>
      </c>
    </row>
    <row r="33" spans="1:15" x14ac:dyDescent="0.3">
      <c r="A33" s="983" t="s">
        <v>72</v>
      </c>
      <c r="B33" s="983" t="s">
        <v>73</v>
      </c>
      <c r="C33" s="983" t="s">
        <v>254</v>
      </c>
      <c r="D33" s="989">
        <f t="shared" si="7"/>
        <v>6</v>
      </c>
      <c r="E33" s="990">
        <v>4</v>
      </c>
      <c r="F33" s="990">
        <v>2</v>
      </c>
      <c r="G33" s="991">
        <v>0</v>
      </c>
      <c r="H33" s="989">
        <f t="shared" si="8"/>
        <v>636</v>
      </c>
      <c r="I33" s="990">
        <v>317</v>
      </c>
      <c r="J33" s="990">
        <v>281</v>
      </c>
      <c r="K33" s="991">
        <v>38</v>
      </c>
      <c r="L33" s="1009">
        <f t="shared" si="9"/>
        <v>9.4339622641509422</v>
      </c>
      <c r="M33" s="1010">
        <f t="shared" si="10"/>
        <v>12.618296529968454</v>
      </c>
      <c r="N33" s="1010">
        <f t="shared" si="11"/>
        <v>7.1174377224199281</v>
      </c>
      <c r="O33" s="1011">
        <f t="shared" si="12"/>
        <v>0</v>
      </c>
    </row>
    <row r="34" spans="1:15" x14ac:dyDescent="0.3">
      <c r="A34" s="983" t="s">
        <v>74</v>
      </c>
      <c r="B34" s="983" t="s">
        <v>284</v>
      </c>
      <c r="C34" s="983" t="s">
        <v>255</v>
      </c>
      <c r="D34" s="989">
        <f t="shared" si="7"/>
        <v>321</v>
      </c>
      <c r="E34" s="990">
        <v>52</v>
      </c>
      <c r="F34" s="990">
        <v>28</v>
      </c>
      <c r="G34" s="991">
        <v>241</v>
      </c>
      <c r="H34" s="989">
        <f t="shared" si="8"/>
        <v>75067</v>
      </c>
      <c r="I34" s="990">
        <v>48955</v>
      </c>
      <c r="J34" s="990">
        <v>9228</v>
      </c>
      <c r="K34" s="991">
        <v>16884</v>
      </c>
      <c r="L34" s="1009">
        <f t="shared" si="9"/>
        <v>4.2761799459149827</v>
      </c>
      <c r="M34" s="1010">
        <f t="shared" si="10"/>
        <v>1.0621999795730774</v>
      </c>
      <c r="N34" s="1010">
        <f t="shared" si="11"/>
        <v>3.034243606415258</v>
      </c>
      <c r="O34" s="1011">
        <f t="shared" si="12"/>
        <v>14.273868751480693</v>
      </c>
    </row>
    <row r="35" spans="1:15" x14ac:dyDescent="0.3">
      <c r="A35" s="983" t="s">
        <v>76</v>
      </c>
      <c r="B35" s="983" t="s">
        <v>77</v>
      </c>
      <c r="C35" s="983" t="s">
        <v>255</v>
      </c>
      <c r="D35" s="989">
        <f t="shared" si="7"/>
        <v>22</v>
      </c>
      <c r="E35" s="990">
        <v>19</v>
      </c>
      <c r="F35" s="990">
        <v>3</v>
      </c>
      <c r="G35" s="991">
        <v>0</v>
      </c>
      <c r="H35" s="989">
        <f t="shared" si="8"/>
        <v>4539</v>
      </c>
      <c r="I35" s="990">
        <v>4005</v>
      </c>
      <c r="J35" s="990">
        <v>394</v>
      </c>
      <c r="K35" s="991">
        <v>140</v>
      </c>
      <c r="L35" s="1009">
        <f t="shared" si="9"/>
        <v>4.8468825732540211</v>
      </c>
      <c r="M35" s="1010">
        <f t="shared" si="10"/>
        <v>4.7440699126092385</v>
      </c>
      <c r="N35" s="1010">
        <f t="shared" si="11"/>
        <v>7.6142131979695433</v>
      </c>
      <c r="O35" s="1011">
        <f t="shared" si="12"/>
        <v>0</v>
      </c>
    </row>
    <row r="36" spans="1:15" x14ac:dyDescent="0.3">
      <c r="A36" s="983" t="s">
        <v>78</v>
      </c>
      <c r="B36" s="983" t="s">
        <v>79</v>
      </c>
      <c r="C36" s="983" t="s">
        <v>256</v>
      </c>
      <c r="D36" s="989">
        <f t="shared" si="7"/>
        <v>2</v>
      </c>
      <c r="E36" s="990">
        <v>2</v>
      </c>
      <c r="F36" s="990">
        <v>0</v>
      </c>
      <c r="G36" s="991">
        <v>0</v>
      </c>
      <c r="H36" s="989">
        <f t="shared" si="8"/>
        <v>888</v>
      </c>
      <c r="I36" s="990">
        <v>853</v>
      </c>
      <c r="J36" s="990">
        <v>27</v>
      </c>
      <c r="K36" s="991">
        <v>8</v>
      </c>
      <c r="L36" s="1009">
        <f t="shared" si="9"/>
        <v>2.2522522522522523</v>
      </c>
      <c r="M36" s="1010">
        <f t="shared" si="10"/>
        <v>2.3446658851113713</v>
      </c>
      <c r="N36" s="1010">
        <f t="shared" si="11"/>
        <v>0</v>
      </c>
      <c r="O36" s="1011">
        <f t="shared" si="12"/>
        <v>0</v>
      </c>
    </row>
    <row r="37" spans="1:15" x14ac:dyDescent="0.3">
      <c r="A37" s="983" t="s">
        <v>80</v>
      </c>
      <c r="B37" s="983" t="s">
        <v>81</v>
      </c>
      <c r="C37" s="983" t="s">
        <v>254</v>
      </c>
      <c r="D37" s="989">
        <f t="shared" si="7"/>
        <v>11</v>
      </c>
      <c r="E37" s="990">
        <v>7</v>
      </c>
      <c r="F37" s="990">
        <v>4</v>
      </c>
      <c r="G37" s="991">
        <v>0</v>
      </c>
      <c r="H37" s="989">
        <f t="shared" si="8"/>
        <v>1599</v>
      </c>
      <c r="I37" s="990">
        <v>1280</v>
      </c>
      <c r="J37" s="990">
        <v>287</v>
      </c>
      <c r="K37" s="991">
        <v>32</v>
      </c>
      <c r="L37" s="1009">
        <f t="shared" si="9"/>
        <v>6.8792995622263913</v>
      </c>
      <c r="M37" s="1010">
        <f t="shared" si="10"/>
        <v>5.46875</v>
      </c>
      <c r="N37" s="1010">
        <f t="shared" si="11"/>
        <v>13.937282229965156</v>
      </c>
      <c r="O37" s="1011">
        <f t="shared" si="12"/>
        <v>0</v>
      </c>
    </row>
    <row r="38" spans="1:15" x14ac:dyDescent="0.3">
      <c r="A38" s="983" t="s">
        <v>84</v>
      </c>
      <c r="B38" s="983" t="s">
        <v>85</v>
      </c>
      <c r="C38" s="983" t="s">
        <v>253</v>
      </c>
      <c r="D38" s="989">
        <f t="shared" ref="D38:D69" si="13">SUM(E38:G38)</f>
        <v>23</v>
      </c>
      <c r="E38" s="990">
        <v>21</v>
      </c>
      <c r="F38" s="990">
        <v>2</v>
      </c>
      <c r="G38" s="991">
        <v>0</v>
      </c>
      <c r="H38" s="989">
        <f t="shared" ref="H38:H69" si="14">SUM(I38:K38)</f>
        <v>3243</v>
      </c>
      <c r="I38" s="990">
        <v>2850</v>
      </c>
      <c r="J38" s="990">
        <v>345</v>
      </c>
      <c r="K38" s="991">
        <v>48</v>
      </c>
      <c r="L38" s="1009">
        <f t="shared" ref="L38:L69" si="15">IF(H38=0,"NA",(D38/H38)*1000)</f>
        <v>7.0921985815602833</v>
      </c>
      <c r="M38" s="1010">
        <f t="shared" ref="M38:M69" si="16">IF(I38=0,"NA",(E38/I38)*1000)</f>
        <v>7.3684210526315788</v>
      </c>
      <c r="N38" s="1010">
        <f t="shared" ref="N38:N69" si="17">IF(J38=0,"NA",(F38/J38)*1000)</f>
        <v>5.7971014492753623</v>
      </c>
      <c r="O38" s="1011">
        <f t="shared" ref="O38:O69" si="18">IF(K38=0,"NA",(G38/K38)*1000)</f>
        <v>0</v>
      </c>
    </row>
    <row r="39" spans="1:15" x14ac:dyDescent="0.3">
      <c r="A39" s="983" t="s">
        <v>86</v>
      </c>
      <c r="B39" s="983" t="s">
        <v>87</v>
      </c>
      <c r="C39" s="983" t="s">
        <v>255</v>
      </c>
      <c r="D39" s="989">
        <f t="shared" si="13"/>
        <v>38</v>
      </c>
      <c r="E39" s="990">
        <v>35</v>
      </c>
      <c r="F39" s="990">
        <v>0</v>
      </c>
      <c r="G39" s="991">
        <v>3</v>
      </c>
      <c r="H39" s="989">
        <f t="shared" si="14"/>
        <v>5474</v>
      </c>
      <c r="I39" s="990">
        <v>4945</v>
      </c>
      <c r="J39" s="990">
        <v>379</v>
      </c>
      <c r="K39" s="991">
        <v>150</v>
      </c>
      <c r="L39" s="1009">
        <f t="shared" si="15"/>
        <v>6.9419071976616733</v>
      </c>
      <c r="M39" s="1010">
        <f t="shared" si="16"/>
        <v>7.0778564206268957</v>
      </c>
      <c r="N39" s="1010">
        <f t="shared" si="17"/>
        <v>0</v>
      </c>
      <c r="O39" s="1011">
        <f t="shared" si="18"/>
        <v>20</v>
      </c>
    </row>
    <row r="40" spans="1:15" x14ac:dyDescent="0.3">
      <c r="A40" s="983" t="s">
        <v>92</v>
      </c>
      <c r="B40" s="983" t="s">
        <v>93</v>
      </c>
      <c r="C40" s="983" t="s">
        <v>256</v>
      </c>
      <c r="D40" s="989">
        <f t="shared" si="13"/>
        <v>12</v>
      </c>
      <c r="E40" s="990">
        <v>11</v>
      </c>
      <c r="F40" s="990">
        <v>0</v>
      </c>
      <c r="G40" s="991">
        <v>1</v>
      </c>
      <c r="H40" s="989">
        <f t="shared" si="14"/>
        <v>963</v>
      </c>
      <c r="I40" s="990">
        <v>916</v>
      </c>
      <c r="J40" s="990">
        <v>20</v>
      </c>
      <c r="K40" s="991">
        <v>27</v>
      </c>
      <c r="L40" s="1009">
        <f t="shared" si="15"/>
        <v>12.461059190031152</v>
      </c>
      <c r="M40" s="1010">
        <f t="shared" si="16"/>
        <v>12.008733624454148</v>
      </c>
      <c r="N40" s="1010">
        <f t="shared" si="17"/>
        <v>0</v>
      </c>
      <c r="O40" s="1011">
        <f t="shared" si="18"/>
        <v>37.037037037037038</v>
      </c>
    </row>
    <row r="41" spans="1:15" x14ac:dyDescent="0.3">
      <c r="A41" s="983" t="s">
        <v>94</v>
      </c>
      <c r="B41" s="983" t="s">
        <v>95</v>
      </c>
      <c r="C41" s="983" t="s">
        <v>252</v>
      </c>
      <c r="D41" s="989">
        <f t="shared" si="13"/>
        <v>11</v>
      </c>
      <c r="E41" s="990">
        <v>9</v>
      </c>
      <c r="F41" s="990">
        <v>2</v>
      </c>
      <c r="G41" s="991">
        <v>0</v>
      </c>
      <c r="H41" s="989">
        <f t="shared" si="14"/>
        <v>2033</v>
      </c>
      <c r="I41" s="990">
        <v>1801</v>
      </c>
      <c r="J41" s="990">
        <v>181</v>
      </c>
      <c r="K41" s="991">
        <v>51</v>
      </c>
      <c r="L41" s="1009">
        <f t="shared" si="15"/>
        <v>5.4107230693556323</v>
      </c>
      <c r="M41" s="1010">
        <f t="shared" si="16"/>
        <v>4.997223764575236</v>
      </c>
      <c r="N41" s="1010">
        <f t="shared" si="17"/>
        <v>11.049723756906078</v>
      </c>
      <c r="O41" s="1011">
        <f t="shared" si="18"/>
        <v>0</v>
      </c>
    </row>
    <row r="42" spans="1:15" x14ac:dyDescent="0.3">
      <c r="A42" s="983" t="s">
        <v>96</v>
      </c>
      <c r="B42" s="983" t="s">
        <v>97</v>
      </c>
      <c r="C42" s="983" t="s">
        <v>254</v>
      </c>
      <c r="D42" s="989">
        <f t="shared" si="13"/>
        <v>1</v>
      </c>
      <c r="E42" s="990">
        <v>1</v>
      </c>
      <c r="F42" s="990">
        <v>0</v>
      </c>
      <c r="G42" s="991">
        <v>0</v>
      </c>
      <c r="H42" s="989">
        <f t="shared" si="14"/>
        <v>1267</v>
      </c>
      <c r="I42" s="990">
        <v>1035</v>
      </c>
      <c r="J42" s="990">
        <v>204</v>
      </c>
      <c r="K42" s="991">
        <v>28</v>
      </c>
      <c r="L42" s="1009">
        <f t="shared" si="15"/>
        <v>0.78926598263614833</v>
      </c>
      <c r="M42" s="1010">
        <f t="shared" si="16"/>
        <v>0.96618357487922701</v>
      </c>
      <c r="N42" s="1010">
        <f t="shared" si="17"/>
        <v>0</v>
      </c>
      <c r="O42" s="1011">
        <f t="shared" si="18"/>
        <v>0</v>
      </c>
    </row>
    <row r="43" spans="1:15" x14ac:dyDescent="0.3">
      <c r="A43" s="983" t="s">
        <v>98</v>
      </c>
      <c r="B43" s="983" t="s">
        <v>99</v>
      </c>
      <c r="C43" s="983" t="s">
        <v>256</v>
      </c>
      <c r="D43" s="989">
        <f t="shared" si="13"/>
        <v>6</v>
      </c>
      <c r="E43" s="990">
        <v>5</v>
      </c>
      <c r="F43" s="990">
        <v>0</v>
      </c>
      <c r="G43" s="991">
        <v>1</v>
      </c>
      <c r="H43" s="989">
        <f t="shared" si="14"/>
        <v>748</v>
      </c>
      <c r="I43" s="990">
        <v>712</v>
      </c>
      <c r="J43" s="990">
        <v>29</v>
      </c>
      <c r="K43" s="991">
        <v>7</v>
      </c>
      <c r="L43" s="1009">
        <f t="shared" si="15"/>
        <v>8.0213903743315509</v>
      </c>
      <c r="M43" s="1010">
        <f t="shared" si="16"/>
        <v>7.0224719101123592</v>
      </c>
      <c r="N43" s="1010">
        <f t="shared" si="17"/>
        <v>0</v>
      </c>
      <c r="O43" s="1011">
        <f t="shared" si="18"/>
        <v>142.85714285714286</v>
      </c>
    </row>
    <row r="44" spans="1:15" x14ac:dyDescent="0.3">
      <c r="A44" s="983" t="s">
        <v>100</v>
      </c>
      <c r="B44" s="983" t="s">
        <v>101</v>
      </c>
      <c r="C44" s="983" t="s">
        <v>255</v>
      </c>
      <c r="D44" s="989">
        <f t="shared" si="13"/>
        <v>7</v>
      </c>
      <c r="E44" s="990">
        <v>6</v>
      </c>
      <c r="F44" s="990">
        <v>1</v>
      </c>
      <c r="G44" s="991">
        <v>0</v>
      </c>
      <c r="H44" s="989">
        <f t="shared" si="14"/>
        <v>1250</v>
      </c>
      <c r="I44" s="990">
        <v>1102</v>
      </c>
      <c r="J44" s="990">
        <v>102</v>
      </c>
      <c r="K44" s="991">
        <v>46</v>
      </c>
      <c r="L44" s="1009">
        <f t="shared" si="15"/>
        <v>5.6</v>
      </c>
      <c r="M44" s="1010">
        <f t="shared" si="16"/>
        <v>5.4446460980036298</v>
      </c>
      <c r="N44" s="1010">
        <f t="shared" si="17"/>
        <v>9.8039215686274517</v>
      </c>
      <c r="O44" s="1011">
        <f t="shared" si="18"/>
        <v>0</v>
      </c>
    </row>
    <row r="45" spans="1:15" x14ac:dyDescent="0.3">
      <c r="A45" s="983" t="s">
        <v>102</v>
      </c>
      <c r="B45" s="983" t="s">
        <v>270</v>
      </c>
      <c r="C45" s="983" t="s">
        <v>252</v>
      </c>
      <c r="D45" s="989">
        <f t="shared" si="13"/>
        <v>16</v>
      </c>
      <c r="E45" s="990">
        <v>1</v>
      </c>
      <c r="F45" s="990">
        <v>15</v>
      </c>
      <c r="G45" s="991">
        <v>0</v>
      </c>
      <c r="H45" s="989">
        <f t="shared" si="14"/>
        <v>854</v>
      </c>
      <c r="I45" s="990">
        <v>281</v>
      </c>
      <c r="J45" s="990">
        <v>556</v>
      </c>
      <c r="K45" s="991">
        <v>17</v>
      </c>
      <c r="L45" s="1009">
        <f t="shared" si="15"/>
        <v>18.735362997658079</v>
      </c>
      <c r="M45" s="1010">
        <f t="shared" si="16"/>
        <v>3.5587188612099641</v>
      </c>
      <c r="N45" s="1010">
        <f t="shared" si="17"/>
        <v>26.978417266187048</v>
      </c>
      <c r="O45" s="1011">
        <f t="shared" si="18"/>
        <v>0</v>
      </c>
    </row>
    <row r="46" spans="1:15" x14ac:dyDescent="0.3">
      <c r="A46" s="983" t="s">
        <v>104</v>
      </c>
      <c r="B46" s="983" t="s">
        <v>105</v>
      </c>
      <c r="C46" s="983" t="s">
        <v>253</v>
      </c>
      <c r="D46" s="989">
        <f t="shared" si="13"/>
        <v>20</v>
      </c>
      <c r="E46" s="990">
        <v>10</v>
      </c>
      <c r="F46" s="990">
        <v>8</v>
      </c>
      <c r="G46" s="991">
        <v>2</v>
      </c>
      <c r="H46" s="989">
        <f t="shared" si="14"/>
        <v>2001</v>
      </c>
      <c r="I46" s="990">
        <v>1151</v>
      </c>
      <c r="J46" s="990">
        <v>831</v>
      </c>
      <c r="K46" s="991">
        <v>19</v>
      </c>
      <c r="L46" s="1009">
        <f t="shared" si="15"/>
        <v>9.9950024987506261</v>
      </c>
      <c r="M46" s="1010">
        <f t="shared" si="16"/>
        <v>8.6880973066898353</v>
      </c>
      <c r="N46" s="1010">
        <f t="shared" si="17"/>
        <v>9.6269554753309272</v>
      </c>
      <c r="O46" s="1011">
        <f t="shared" si="18"/>
        <v>105.26315789473684</v>
      </c>
    </row>
    <row r="47" spans="1:15" x14ac:dyDescent="0.3">
      <c r="A47" s="983" t="s">
        <v>108</v>
      </c>
      <c r="B47" s="983" t="s">
        <v>109</v>
      </c>
      <c r="C47" s="983" t="s">
        <v>254</v>
      </c>
      <c r="D47" s="989">
        <f t="shared" si="13"/>
        <v>19</v>
      </c>
      <c r="E47" s="990">
        <v>15</v>
      </c>
      <c r="F47" s="990">
        <v>4</v>
      </c>
      <c r="G47" s="991">
        <v>0</v>
      </c>
      <c r="H47" s="989">
        <f t="shared" si="14"/>
        <v>7136</v>
      </c>
      <c r="I47" s="990">
        <v>6163</v>
      </c>
      <c r="J47" s="990">
        <v>720</v>
      </c>
      <c r="K47" s="991">
        <v>253</v>
      </c>
      <c r="L47" s="1009">
        <f t="shared" si="15"/>
        <v>2.6625560538116591</v>
      </c>
      <c r="M47" s="1010">
        <f t="shared" si="16"/>
        <v>2.4338796040889177</v>
      </c>
      <c r="N47" s="1010">
        <f t="shared" si="17"/>
        <v>5.5555555555555554</v>
      </c>
      <c r="O47" s="1011">
        <f t="shared" si="18"/>
        <v>0</v>
      </c>
    </row>
    <row r="48" spans="1:15" x14ac:dyDescent="0.3">
      <c r="A48" s="983" t="s">
        <v>110</v>
      </c>
      <c r="B48" s="983" t="s">
        <v>111</v>
      </c>
      <c r="C48" s="983" t="s">
        <v>254</v>
      </c>
      <c r="D48" s="989">
        <f t="shared" si="13"/>
        <v>105</v>
      </c>
      <c r="E48" s="990">
        <v>39</v>
      </c>
      <c r="F48" s="990">
        <v>58</v>
      </c>
      <c r="G48" s="991">
        <v>8</v>
      </c>
      <c r="H48" s="989">
        <f t="shared" si="14"/>
        <v>20301</v>
      </c>
      <c r="I48" s="990">
        <v>10803</v>
      </c>
      <c r="J48" s="990">
        <v>7427</v>
      </c>
      <c r="K48" s="991">
        <v>2071</v>
      </c>
      <c r="L48" s="1009">
        <f t="shared" si="15"/>
        <v>5.1721590069454715</v>
      </c>
      <c r="M48" s="1010">
        <f t="shared" si="16"/>
        <v>3.6101083032490977</v>
      </c>
      <c r="N48" s="1010">
        <f t="shared" si="17"/>
        <v>7.8093442843678469</v>
      </c>
      <c r="O48" s="1011">
        <f t="shared" si="18"/>
        <v>3.8628681796233701</v>
      </c>
    </row>
    <row r="49" spans="1:15" x14ac:dyDescent="0.3">
      <c r="A49" s="983" t="s">
        <v>112</v>
      </c>
      <c r="B49" s="983" t="s">
        <v>288</v>
      </c>
      <c r="C49" s="983" t="s">
        <v>253</v>
      </c>
      <c r="D49" s="989">
        <f t="shared" si="13"/>
        <v>43</v>
      </c>
      <c r="E49" s="990">
        <v>28</v>
      </c>
      <c r="F49" s="990">
        <v>12</v>
      </c>
      <c r="G49" s="991">
        <v>3</v>
      </c>
      <c r="H49" s="989">
        <f t="shared" si="14"/>
        <v>3559</v>
      </c>
      <c r="I49" s="990">
        <v>2388</v>
      </c>
      <c r="J49" s="990">
        <v>1121</v>
      </c>
      <c r="K49" s="991">
        <v>50</v>
      </c>
      <c r="L49" s="1009">
        <f t="shared" si="15"/>
        <v>12.082045518404046</v>
      </c>
      <c r="M49" s="1010">
        <f t="shared" si="16"/>
        <v>11.725293132328307</v>
      </c>
      <c r="N49" s="1010">
        <f t="shared" si="17"/>
        <v>10.704727921498661</v>
      </c>
      <c r="O49" s="1011">
        <f t="shared" si="18"/>
        <v>60</v>
      </c>
    </row>
    <row r="50" spans="1:15" x14ac:dyDescent="0.3">
      <c r="A50" s="983" t="s">
        <v>114</v>
      </c>
      <c r="B50" s="983" t="s">
        <v>115</v>
      </c>
      <c r="C50" s="983" t="s">
        <v>253</v>
      </c>
      <c r="D50" s="989">
        <f t="shared" si="13"/>
        <v>2</v>
      </c>
      <c r="E50" s="990">
        <v>2</v>
      </c>
      <c r="F50" s="990">
        <v>0</v>
      </c>
      <c r="G50" s="991">
        <v>0</v>
      </c>
      <c r="H50" s="989">
        <f t="shared" si="14"/>
        <v>80</v>
      </c>
      <c r="I50" s="990">
        <v>79</v>
      </c>
      <c r="J50" s="990">
        <v>1</v>
      </c>
      <c r="K50" s="991">
        <v>0</v>
      </c>
      <c r="L50" s="1009">
        <f t="shared" si="15"/>
        <v>25</v>
      </c>
      <c r="M50" s="1010">
        <f t="shared" si="16"/>
        <v>25.316455696202532</v>
      </c>
      <c r="N50" s="1010">
        <f t="shared" si="17"/>
        <v>0</v>
      </c>
      <c r="O50" s="1011" t="str">
        <f t="shared" si="18"/>
        <v>NA</v>
      </c>
    </row>
    <row r="51" spans="1:15" x14ac:dyDescent="0.3">
      <c r="A51" s="983" t="s">
        <v>118</v>
      </c>
      <c r="B51" s="983" t="s">
        <v>258</v>
      </c>
      <c r="C51" s="983" t="s">
        <v>252</v>
      </c>
      <c r="D51" s="989">
        <f t="shared" si="13"/>
        <v>15</v>
      </c>
      <c r="E51" s="990">
        <v>8</v>
      </c>
      <c r="F51" s="990">
        <v>6</v>
      </c>
      <c r="G51" s="991">
        <v>1</v>
      </c>
      <c r="H51" s="989">
        <f t="shared" si="14"/>
        <v>2198</v>
      </c>
      <c r="I51" s="990">
        <v>1583</v>
      </c>
      <c r="J51" s="990">
        <v>565</v>
      </c>
      <c r="K51" s="991">
        <v>50</v>
      </c>
      <c r="L51" s="1009">
        <f t="shared" si="15"/>
        <v>6.824385805277525</v>
      </c>
      <c r="M51" s="1010">
        <f t="shared" si="16"/>
        <v>5.0536955148452298</v>
      </c>
      <c r="N51" s="1010">
        <f t="shared" si="17"/>
        <v>10.619469026548673</v>
      </c>
      <c r="O51" s="1011">
        <f t="shared" si="18"/>
        <v>20</v>
      </c>
    </row>
    <row r="52" spans="1:15" x14ac:dyDescent="0.3">
      <c r="A52" s="983" t="s">
        <v>120</v>
      </c>
      <c r="B52" s="983" t="s">
        <v>121</v>
      </c>
      <c r="C52" s="983" t="s">
        <v>252</v>
      </c>
      <c r="D52" s="989">
        <f t="shared" si="13"/>
        <v>30</v>
      </c>
      <c r="E52" s="990">
        <v>11</v>
      </c>
      <c r="F52" s="990">
        <v>12</v>
      </c>
      <c r="G52" s="991">
        <v>7</v>
      </c>
      <c r="H52" s="989">
        <f t="shared" si="14"/>
        <v>4385</v>
      </c>
      <c r="I52" s="990">
        <v>3399</v>
      </c>
      <c r="J52" s="990">
        <v>752</v>
      </c>
      <c r="K52" s="991">
        <v>234</v>
      </c>
      <c r="L52" s="1009">
        <f t="shared" si="15"/>
        <v>6.8415051311288488</v>
      </c>
      <c r="M52" s="1010">
        <f t="shared" si="16"/>
        <v>3.2362459546925568</v>
      </c>
      <c r="N52" s="1010">
        <f t="shared" si="17"/>
        <v>15.957446808510637</v>
      </c>
      <c r="O52" s="1011">
        <f t="shared" si="18"/>
        <v>29.914529914529915</v>
      </c>
    </row>
    <row r="53" spans="1:15" x14ac:dyDescent="0.3">
      <c r="A53" s="983" t="s">
        <v>122</v>
      </c>
      <c r="B53" s="983" t="s">
        <v>275</v>
      </c>
      <c r="C53" s="983" t="s">
        <v>254</v>
      </c>
      <c r="D53" s="989">
        <f t="shared" si="13"/>
        <v>4</v>
      </c>
      <c r="E53" s="990">
        <v>3</v>
      </c>
      <c r="F53" s="990">
        <v>1</v>
      </c>
      <c r="G53" s="991">
        <v>0</v>
      </c>
      <c r="H53" s="989">
        <f t="shared" si="14"/>
        <v>353</v>
      </c>
      <c r="I53" s="990">
        <v>232</v>
      </c>
      <c r="J53" s="990">
        <v>111</v>
      </c>
      <c r="K53" s="991">
        <v>10</v>
      </c>
      <c r="L53" s="1009">
        <f t="shared" si="15"/>
        <v>11.3314447592068</v>
      </c>
      <c r="M53" s="1010">
        <f t="shared" si="16"/>
        <v>12.931034482758621</v>
      </c>
      <c r="N53" s="1010">
        <f t="shared" si="17"/>
        <v>9.0090090090090094</v>
      </c>
      <c r="O53" s="1011">
        <f t="shared" si="18"/>
        <v>0</v>
      </c>
    </row>
    <row r="54" spans="1:15" x14ac:dyDescent="0.3">
      <c r="A54" s="983" t="s">
        <v>124</v>
      </c>
      <c r="B54" s="983" t="s">
        <v>125</v>
      </c>
      <c r="C54" s="983" t="s">
        <v>255</v>
      </c>
      <c r="D54" s="989">
        <f t="shared" si="13"/>
        <v>12</v>
      </c>
      <c r="E54" s="990">
        <v>8</v>
      </c>
      <c r="F54" s="990">
        <v>4</v>
      </c>
      <c r="G54" s="991">
        <v>0</v>
      </c>
      <c r="H54" s="989">
        <f t="shared" si="14"/>
        <v>1852</v>
      </c>
      <c r="I54" s="990">
        <v>1458</v>
      </c>
      <c r="J54" s="990">
        <v>323</v>
      </c>
      <c r="K54" s="991">
        <v>71</v>
      </c>
      <c r="L54" s="1009">
        <f t="shared" si="15"/>
        <v>6.4794816414686824</v>
      </c>
      <c r="M54" s="1010">
        <f t="shared" si="16"/>
        <v>5.4869684499314122</v>
      </c>
      <c r="N54" s="1010">
        <f t="shared" si="17"/>
        <v>12.383900928792571</v>
      </c>
      <c r="O54" s="1011">
        <f t="shared" si="18"/>
        <v>0</v>
      </c>
    </row>
    <row r="55" spans="1:15" x14ac:dyDescent="0.3">
      <c r="A55" s="983" t="s">
        <v>126</v>
      </c>
      <c r="B55" s="983" t="s">
        <v>127</v>
      </c>
      <c r="C55" s="983" t="s">
        <v>254</v>
      </c>
      <c r="D55" s="989">
        <f t="shared" si="13"/>
        <v>7</v>
      </c>
      <c r="E55" s="990">
        <v>4</v>
      </c>
      <c r="F55" s="990">
        <v>3</v>
      </c>
      <c r="G55" s="991">
        <v>0</v>
      </c>
      <c r="H55" s="989">
        <f t="shared" si="14"/>
        <v>1042</v>
      </c>
      <c r="I55" s="990">
        <v>829</v>
      </c>
      <c r="J55" s="990">
        <v>170</v>
      </c>
      <c r="K55" s="991">
        <v>43</v>
      </c>
      <c r="L55" s="1009">
        <f t="shared" si="15"/>
        <v>6.7178502879078694</v>
      </c>
      <c r="M55" s="1010">
        <f t="shared" si="16"/>
        <v>4.8250904704463204</v>
      </c>
      <c r="N55" s="1010">
        <f t="shared" si="17"/>
        <v>17.647058823529413</v>
      </c>
      <c r="O55" s="1011">
        <f t="shared" si="18"/>
        <v>0</v>
      </c>
    </row>
    <row r="56" spans="1:15" x14ac:dyDescent="0.3">
      <c r="A56" s="983" t="s">
        <v>128</v>
      </c>
      <c r="B56" s="983" t="s">
        <v>129</v>
      </c>
      <c r="C56" s="983" t="s">
        <v>254</v>
      </c>
      <c r="D56" s="989">
        <f t="shared" si="13"/>
        <v>11</v>
      </c>
      <c r="E56" s="990">
        <v>5</v>
      </c>
      <c r="F56" s="990">
        <v>6</v>
      </c>
      <c r="G56" s="991">
        <v>0</v>
      </c>
      <c r="H56" s="989">
        <f t="shared" si="14"/>
        <v>437</v>
      </c>
      <c r="I56" s="990">
        <v>240</v>
      </c>
      <c r="J56" s="990">
        <v>190</v>
      </c>
      <c r="K56" s="991">
        <v>7</v>
      </c>
      <c r="L56" s="1009">
        <f t="shared" si="15"/>
        <v>25.17162471395881</v>
      </c>
      <c r="M56" s="1010">
        <f t="shared" si="16"/>
        <v>20.833333333333332</v>
      </c>
      <c r="N56" s="1010">
        <f t="shared" si="17"/>
        <v>31.578947368421055</v>
      </c>
      <c r="O56" s="1011">
        <f t="shared" si="18"/>
        <v>0</v>
      </c>
    </row>
    <row r="57" spans="1:15" x14ac:dyDescent="0.3">
      <c r="A57" s="983" t="s">
        <v>130</v>
      </c>
      <c r="B57" s="983" t="s">
        <v>131</v>
      </c>
      <c r="C57" s="983" t="s">
        <v>256</v>
      </c>
      <c r="D57" s="989">
        <f t="shared" si="13"/>
        <v>28</v>
      </c>
      <c r="E57" s="990">
        <v>28</v>
      </c>
      <c r="F57" s="990">
        <v>0</v>
      </c>
      <c r="G57" s="991">
        <v>0</v>
      </c>
      <c r="H57" s="989">
        <f t="shared" si="14"/>
        <v>1225</v>
      </c>
      <c r="I57" s="990">
        <v>1201</v>
      </c>
      <c r="J57" s="990">
        <v>18</v>
      </c>
      <c r="K57" s="991">
        <v>6</v>
      </c>
      <c r="L57" s="1009">
        <f t="shared" si="15"/>
        <v>22.857142857142858</v>
      </c>
      <c r="M57" s="1010">
        <f t="shared" si="16"/>
        <v>23.313905079100749</v>
      </c>
      <c r="N57" s="1010">
        <f t="shared" si="17"/>
        <v>0</v>
      </c>
      <c r="O57" s="1011">
        <f t="shared" si="18"/>
        <v>0</v>
      </c>
    </row>
    <row r="58" spans="1:15" x14ac:dyDescent="0.3">
      <c r="A58" s="983" t="s">
        <v>132</v>
      </c>
      <c r="B58" s="983" t="s">
        <v>133</v>
      </c>
      <c r="C58" s="983" t="s">
        <v>255</v>
      </c>
      <c r="D58" s="989">
        <f t="shared" si="13"/>
        <v>75</v>
      </c>
      <c r="E58" s="990">
        <v>24</v>
      </c>
      <c r="F58" s="990">
        <v>4</v>
      </c>
      <c r="G58" s="991">
        <v>47</v>
      </c>
      <c r="H58" s="989">
        <f t="shared" si="14"/>
        <v>31150</v>
      </c>
      <c r="I58" s="990">
        <v>21742</v>
      </c>
      <c r="J58" s="990">
        <v>2681</v>
      </c>
      <c r="K58" s="991">
        <v>6727</v>
      </c>
      <c r="L58" s="1009">
        <f t="shared" si="15"/>
        <v>2.407704654895666</v>
      </c>
      <c r="M58" s="1010">
        <f t="shared" si="16"/>
        <v>1.1038542912335572</v>
      </c>
      <c r="N58" s="1010">
        <f t="shared" si="17"/>
        <v>1.4919806042521448</v>
      </c>
      <c r="O58" s="1011">
        <f t="shared" si="18"/>
        <v>6.9867697339081314</v>
      </c>
    </row>
    <row r="59" spans="1:15" x14ac:dyDescent="0.3">
      <c r="A59" s="983" t="s">
        <v>134</v>
      </c>
      <c r="B59" s="983" t="s">
        <v>135</v>
      </c>
      <c r="C59" s="983" t="s">
        <v>255</v>
      </c>
      <c r="D59" s="989">
        <f t="shared" si="13"/>
        <v>18</v>
      </c>
      <c r="E59" s="990">
        <v>16</v>
      </c>
      <c r="F59" s="990">
        <v>2</v>
      </c>
      <c r="G59" s="991">
        <v>0</v>
      </c>
      <c r="H59" s="989">
        <f t="shared" si="14"/>
        <v>2020</v>
      </c>
      <c r="I59" s="990">
        <v>1583</v>
      </c>
      <c r="J59" s="990">
        <v>399</v>
      </c>
      <c r="K59" s="991">
        <v>38</v>
      </c>
      <c r="L59" s="1009">
        <f t="shared" si="15"/>
        <v>8.9108910891089099</v>
      </c>
      <c r="M59" s="1010">
        <f t="shared" si="16"/>
        <v>10.10739102969046</v>
      </c>
      <c r="N59" s="1010">
        <f t="shared" si="17"/>
        <v>5.0125313283208017</v>
      </c>
      <c r="O59" s="1011">
        <f t="shared" si="18"/>
        <v>0</v>
      </c>
    </row>
    <row r="60" spans="1:15" x14ac:dyDescent="0.3">
      <c r="A60" s="983" t="s">
        <v>136</v>
      </c>
      <c r="B60" s="983" t="s">
        <v>137</v>
      </c>
      <c r="C60" s="983" t="s">
        <v>254</v>
      </c>
      <c r="D60" s="989">
        <f t="shared" si="13"/>
        <v>6</v>
      </c>
      <c r="E60" s="990">
        <v>4</v>
      </c>
      <c r="F60" s="990">
        <v>2</v>
      </c>
      <c r="G60" s="991">
        <v>0</v>
      </c>
      <c r="H60" s="989">
        <f t="shared" si="14"/>
        <v>597</v>
      </c>
      <c r="I60" s="990">
        <v>405</v>
      </c>
      <c r="J60" s="990">
        <v>178</v>
      </c>
      <c r="K60" s="991">
        <v>14</v>
      </c>
      <c r="L60" s="1009">
        <f t="shared" si="15"/>
        <v>10.050251256281408</v>
      </c>
      <c r="M60" s="1010">
        <f t="shared" si="16"/>
        <v>9.8765432098765427</v>
      </c>
      <c r="N60" s="1010">
        <f t="shared" si="17"/>
        <v>11.235955056179774</v>
      </c>
      <c r="O60" s="1011">
        <f t="shared" si="18"/>
        <v>0</v>
      </c>
    </row>
    <row r="61" spans="1:15" x14ac:dyDescent="0.3">
      <c r="A61" s="983" t="s">
        <v>140</v>
      </c>
      <c r="B61" s="983" t="s">
        <v>141</v>
      </c>
      <c r="C61" s="983" t="s">
        <v>255</v>
      </c>
      <c r="D61" s="989">
        <f t="shared" si="13"/>
        <v>4</v>
      </c>
      <c r="E61" s="990">
        <v>4</v>
      </c>
      <c r="F61" s="990">
        <v>0</v>
      </c>
      <c r="G61" s="991">
        <v>0</v>
      </c>
      <c r="H61" s="989">
        <f t="shared" si="14"/>
        <v>809</v>
      </c>
      <c r="I61" s="990">
        <v>712</v>
      </c>
      <c r="J61" s="990">
        <v>80</v>
      </c>
      <c r="K61" s="991">
        <v>17</v>
      </c>
      <c r="L61" s="1009">
        <f t="shared" si="15"/>
        <v>4.9443757725587139</v>
      </c>
      <c r="M61" s="1010">
        <f t="shared" si="16"/>
        <v>5.6179775280898872</v>
      </c>
      <c r="N61" s="1010">
        <f t="shared" si="17"/>
        <v>0</v>
      </c>
      <c r="O61" s="1011">
        <f t="shared" si="18"/>
        <v>0</v>
      </c>
    </row>
    <row r="62" spans="1:15" x14ac:dyDescent="0.3">
      <c r="A62" s="983" t="s">
        <v>146</v>
      </c>
      <c r="B62" s="983" t="s">
        <v>147</v>
      </c>
      <c r="C62" s="983" t="s">
        <v>252</v>
      </c>
      <c r="D62" s="989">
        <f t="shared" si="13"/>
        <v>1</v>
      </c>
      <c r="E62" s="990">
        <v>1</v>
      </c>
      <c r="F62" s="990">
        <v>0</v>
      </c>
      <c r="G62" s="991">
        <v>0</v>
      </c>
      <c r="H62" s="989">
        <f t="shared" si="14"/>
        <v>442</v>
      </c>
      <c r="I62" s="990">
        <v>396</v>
      </c>
      <c r="J62" s="990">
        <v>38</v>
      </c>
      <c r="K62" s="991">
        <v>8</v>
      </c>
      <c r="L62" s="1009">
        <f t="shared" si="15"/>
        <v>2.2624434389140275</v>
      </c>
      <c r="M62" s="1010">
        <f t="shared" si="16"/>
        <v>2.5252525252525255</v>
      </c>
      <c r="N62" s="1010">
        <f t="shared" si="17"/>
        <v>0</v>
      </c>
      <c r="O62" s="1011">
        <f t="shared" si="18"/>
        <v>0</v>
      </c>
    </row>
    <row r="63" spans="1:15" x14ac:dyDescent="0.3">
      <c r="A63" s="983" t="s">
        <v>148</v>
      </c>
      <c r="B63" s="983" t="s">
        <v>149</v>
      </c>
      <c r="C63" s="983" t="s">
        <v>253</v>
      </c>
      <c r="D63" s="989">
        <f t="shared" si="13"/>
        <v>18</v>
      </c>
      <c r="E63" s="990">
        <v>10</v>
      </c>
      <c r="F63" s="990">
        <v>7</v>
      </c>
      <c r="G63" s="991">
        <v>1</v>
      </c>
      <c r="H63" s="989">
        <f t="shared" si="14"/>
        <v>1607</v>
      </c>
      <c r="I63" s="990">
        <v>936</v>
      </c>
      <c r="J63" s="990">
        <v>648</v>
      </c>
      <c r="K63" s="991">
        <v>23</v>
      </c>
      <c r="L63" s="1009">
        <f t="shared" si="15"/>
        <v>11.200995644057251</v>
      </c>
      <c r="M63" s="1010">
        <f t="shared" si="16"/>
        <v>10.683760683760683</v>
      </c>
      <c r="N63" s="1010">
        <f t="shared" si="17"/>
        <v>10.802469135802468</v>
      </c>
      <c r="O63" s="1011">
        <f t="shared" si="18"/>
        <v>43.478260869565219</v>
      </c>
    </row>
    <row r="64" spans="1:15" x14ac:dyDescent="0.3">
      <c r="A64" s="983" t="s">
        <v>150</v>
      </c>
      <c r="B64" s="983" t="s">
        <v>151</v>
      </c>
      <c r="C64" s="983" t="s">
        <v>254</v>
      </c>
      <c r="D64" s="989">
        <f t="shared" si="13"/>
        <v>1</v>
      </c>
      <c r="E64" s="990">
        <v>1</v>
      </c>
      <c r="F64" s="990">
        <v>0</v>
      </c>
      <c r="G64" s="991">
        <v>0</v>
      </c>
      <c r="H64" s="989">
        <f t="shared" si="14"/>
        <v>492</v>
      </c>
      <c r="I64" s="990">
        <v>412</v>
      </c>
      <c r="J64" s="990">
        <v>75</v>
      </c>
      <c r="K64" s="991">
        <v>5</v>
      </c>
      <c r="L64" s="1009">
        <f t="shared" si="15"/>
        <v>2.0325203252032522</v>
      </c>
      <c r="M64" s="1010">
        <f t="shared" si="16"/>
        <v>2.4271844660194173</v>
      </c>
      <c r="N64" s="1010">
        <f t="shared" si="17"/>
        <v>0</v>
      </c>
      <c r="O64" s="1011">
        <f t="shared" si="18"/>
        <v>0</v>
      </c>
    </row>
    <row r="65" spans="1:15" x14ac:dyDescent="0.3">
      <c r="A65" s="983" t="s">
        <v>152</v>
      </c>
      <c r="B65" s="983" t="s">
        <v>153</v>
      </c>
      <c r="C65" s="983" t="s">
        <v>256</v>
      </c>
      <c r="D65" s="989">
        <f t="shared" si="13"/>
        <v>34</v>
      </c>
      <c r="E65" s="990">
        <v>32</v>
      </c>
      <c r="F65" s="990">
        <v>2</v>
      </c>
      <c r="G65" s="991">
        <v>0</v>
      </c>
      <c r="H65" s="989">
        <f t="shared" si="14"/>
        <v>7064</v>
      </c>
      <c r="I65" s="990">
        <v>6138</v>
      </c>
      <c r="J65" s="990">
        <v>367</v>
      </c>
      <c r="K65" s="991">
        <v>559</v>
      </c>
      <c r="L65" s="1009">
        <f t="shared" si="15"/>
        <v>4.8131370328425822</v>
      </c>
      <c r="M65" s="1010">
        <f t="shared" si="16"/>
        <v>5.213424568263278</v>
      </c>
      <c r="N65" s="1010">
        <f t="shared" si="17"/>
        <v>5.4495912806539506</v>
      </c>
      <c r="O65" s="1011">
        <f t="shared" si="18"/>
        <v>0</v>
      </c>
    </row>
    <row r="66" spans="1:15" x14ac:dyDescent="0.3">
      <c r="A66" s="983" t="s">
        <v>154</v>
      </c>
      <c r="B66" s="983" t="s">
        <v>155</v>
      </c>
      <c r="C66" s="983" t="s">
        <v>253</v>
      </c>
      <c r="D66" s="989">
        <f t="shared" si="13"/>
        <v>9</v>
      </c>
      <c r="E66" s="990">
        <v>8</v>
      </c>
      <c r="F66" s="990">
        <v>1</v>
      </c>
      <c r="G66" s="991">
        <v>0</v>
      </c>
      <c r="H66" s="989">
        <f t="shared" si="14"/>
        <v>770</v>
      </c>
      <c r="I66" s="990">
        <v>626</v>
      </c>
      <c r="J66" s="990">
        <v>131</v>
      </c>
      <c r="K66" s="991">
        <v>13</v>
      </c>
      <c r="L66" s="1009">
        <f t="shared" si="15"/>
        <v>11.688311688311689</v>
      </c>
      <c r="M66" s="1010">
        <f t="shared" si="16"/>
        <v>12.779552715654951</v>
      </c>
      <c r="N66" s="1010">
        <f t="shared" si="17"/>
        <v>7.6335877862595414</v>
      </c>
      <c r="O66" s="1011">
        <f t="shared" si="18"/>
        <v>0</v>
      </c>
    </row>
    <row r="67" spans="1:15" x14ac:dyDescent="0.3">
      <c r="A67" s="983" t="s">
        <v>156</v>
      </c>
      <c r="B67" s="983" t="s">
        <v>157</v>
      </c>
      <c r="C67" s="983" t="s">
        <v>254</v>
      </c>
      <c r="D67" s="989">
        <f t="shared" si="13"/>
        <v>5</v>
      </c>
      <c r="E67" s="990">
        <v>5</v>
      </c>
      <c r="F67" s="990">
        <v>0</v>
      </c>
      <c r="G67" s="991">
        <v>0</v>
      </c>
      <c r="H67" s="989">
        <f t="shared" si="14"/>
        <v>1217</v>
      </c>
      <c r="I67" s="990">
        <v>989</v>
      </c>
      <c r="J67" s="990">
        <v>183</v>
      </c>
      <c r="K67" s="991">
        <v>45</v>
      </c>
      <c r="L67" s="1009">
        <f t="shared" si="15"/>
        <v>4.1084634346754321</v>
      </c>
      <c r="M67" s="1010">
        <f t="shared" si="16"/>
        <v>5.0556117290192111</v>
      </c>
      <c r="N67" s="1010">
        <f t="shared" si="17"/>
        <v>0</v>
      </c>
      <c r="O67" s="1011">
        <f t="shared" si="18"/>
        <v>0</v>
      </c>
    </row>
    <row r="68" spans="1:15" x14ac:dyDescent="0.3">
      <c r="A68" s="983" t="s">
        <v>162</v>
      </c>
      <c r="B68" s="983" t="s">
        <v>163</v>
      </c>
      <c r="C68" s="983" t="s">
        <v>252</v>
      </c>
      <c r="D68" s="989">
        <f t="shared" si="13"/>
        <v>9</v>
      </c>
      <c r="E68" s="990">
        <v>2</v>
      </c>
      <c r="F68" s="990">
        <v>6</v>
      </c>
      <c r="G68" s="991">
        <v>1</v>
      </c>
      <c r="H68" s="989">
        <f t="shared" si="14"/>
        <v>603</v>
      </c>
      <c r="I68" s="990">
        <v>352</v>
      </c>
      <c r="J68" s="990">
        <v>241</v>
      </c>
      <c r="K68" s="991">
        <v>10</v>
      </c>
      <c r="L68" s="1009">
        <f t="shared" si="15"/>
        <v>14.925373134328359</v>
      </c>
      <c r="M68" s="1010">
        <f t="shared" si="16"/>
        <v>5.6818181818181817</v>
      </c>
      <c r="N68" s="1010">
        <f t="shared" si="17"/>
        <v>24.896265560165972</v>
      </c>
      <c r="O68" s="1011">
        <f t="shared" si="18"/>
        <v>100</v>
      </c>
    </row>
    <row r="69" spans="1:15" x14ac:dyDescent="0.3">
      <c r="A69" s="983" t="s">
        <v>164</v>
      </c>
      <c r="B69" s="983" t="s">
        <v>165</v>
      </c>
      <c r="C69" s="983" t="s">
        <v>254</v>
      </c>
      <c r="D69" s="989">
        <f t="shared" si="13"/>
        <v>4</v>
      </c>
      <c r="E69" s="990">
        <v>1</v>
      </c>
      <c r="F69" s="990">
        <v>3</v>
      </c>
      <c r="G69" s="991">
        <v>0</v>
      </c>
      <c r="H69" s="989">
        <f t="shared" si="14"/>
        <v>465</v>
      </c>
      <c r="I69" s="990">
        <v>273</v>
      </c>
      <c r="J69" s="990">
        <v>183</v>
      </c>
      <c r="K69" s="991">
        <v>9</v>
      </c>
      <c r="L69" s="1009">
        <f t="shared" si="15"/>
        <v>8.6021505376344081</v>
      </c>
      <c r="M69" s="1010">
        <f t="shared" si="16"/>
        <v>3.6630036630036629</v>
      </c>
      <c r="N69" s="1010">
        <f t="shared" si="17"/>
        <v>16.393442622950822</v>
      </c>
      <c r="O69" s="1011">
        <f t="shared" si="18"/>
        <v>0</v>
      </c>
    </row>
    <row r="70" spans="1:15" x14ac:dyDescent="0.3">
      <c r="A70" s="983" t="s">
        <v>168</v>
      </c>
      <c r="B70" s="983" t="s">
        <v>169</v>
      </c>
      <c r="C70" s="983" t="s">
        <v>254</v>
      </c>
      <c r="D70" s="989">
        <f t="shared" ref="D70:D101" si="19">SUM(E70:G70)</f>
        <v>11</v>
      </c>
      <c r="E70" s="990">
        <v>6</v>
      </c>
      <c r="F70" s="990">
        <v>5</v>
      </c>
      <c r="G70" s="991">
        <v>0</v>
      </c>
      <c r="H70" s="989">
        <f t="shared" ref="H70:H101" si="20">SUM(I70:K70)</f>
        <v>803</v>
      </c>
      <c r="I70" s="990">
        <v>472</v>
      </c>
      <c r="J70" s="990">
        <v>320</v>
      </c>
      <c r="K70" s="991">
        <v>11</v>
      </c>
      <c r="L70" s="1009">
        <f t="shared" ref="L70:L101" si="21">IF(H70=0,"NA",(D70/H70)*1000)</f>
        <v>13.698630136986301</v>
      </c>
      <c r="M70" s="1010">
        <f t="shared" ref="M70:M101" si="22">IF(I70=0,"NA",(E70/I70)*1000)</f>
        <v>12.711864406779663</v>
      </c>
      <c r="N70" s="1010">
        <f t="shared" ref="N70:N101" si="23">IF(J70=0,"NA",(F70/J70)*1000)</f>
        <v>15.625</v>
      </c>
      <c r="O70" s="1011">
        <f t="shared" ref="O70:O101" si="24">IF(K70=0,"NA",(G70/K70)*1000)</f>
        <v>0</v>
      </c>
    </row>
    <row r="71" spans="1:15" x14ac:dyDescent="0.3">
      <c r="A71" s="983" t="s">
        <v>170</v>
      </c>
      <c r="B71" s="983" t="s">
        <v>171</v>
      </c>
      <c r="C71" s="983" t="s">
        <v>255</v>
      </c>
      <c r="D71" s="989">
        <f t="shared" si="19"/>
        <v>18</v>
      </c>
      <c r="E71" s="990">
        <v>15</v>
      </c>
      <c r="F71" s="990">
        <v>3</v>
      </c>
      <c r="G71" s="991">
        <v>0</v>
      </c>
      <c r="H71" s="989">
        <f t="shared" si="20"/>
        <v>2046</v>
      </c>
      <c r="I71" s="990">
        <v>1638</v>
      </c>
      <c r="J71" s="990">
        <v>366</v>
      </c>
      <c r="K71" s="991">
        <v>42</v>
      </c>
      <c r="L71" s="1009">
        <f t="shared" si="21"/>
        <v>8.7976539589442826</v>
      </c>
      <c r="M71" s="1010">
        <f t="shared" si="22"/>
        <v>9.1575091575091587</v>
      </c>
      <c r="N71" s="1010">
        <f t="shared" si="23"/>
        <v>8.1967213114754109</v>
      </c>
      <c r="O71" s="1011">
        <f t="shared" si="24"/>
        <v>0</v>
      </c>
    </row>
    <row r="72" spans="1:15" x14ac:dyDescent="0.3">
      <c r="A72" s="983" t="s">
        <v>172</v>
      </c>
      <c r="B72" s="983" t="s">
        <v>173</v>
      </c>
      <c r="C72" s="983" t="s">
        <v>255</v>
      </c>
      <c r="D72" s="989">
        <f t="shared" si="19"/>
        <v>18</v>
      </c>
      <c r="E72" s="990">
        <v>18</v>
      </c>
      <c r="F72" s="990">
        <v>0</v>
      </c>
      <c r="G72" s="991">
        <v>0</v>
      </c>
      <c r="H72" s="989">
        <f t="shared" si="20"/>
        <v>1317</v>
      </c>
      <c r="I72" s="990">
        <v>1271</v>
      </c>
      <c r="J72" s="990">
        <v>36</v>
      </c>
      <c r="K72" s="991">
        <v>10</v>
      </c>
      <c r="L72" s="1009">
        <f t="shared" si="21"/>
        <v>13.66742596810934</v>
      </c>
      <c r="M72" s="1010">
        <f t="shared" si="22"/>
        <v>14.162077104642014</v>
      </c>
      <c r="N72" s="1010">
        <f t="shared" si="23"/>
        <v>0</v>
      </c>
      <c r="O72" s="1011">
        <f t="shared" si="24"/>
        <v>0</v>
      </c>
    </row>
    <row r="73" spans="1:15" x14ac:dyDescent="0.3">
      <c r="A73" s="983" t="s">
        <v>174</v>
      </c>
      <c r="B73" s="983" t="s">
        <v>175</v>
      </c>
      <c r="C73" s="983" t="s">
        <v>256</v>
      </c>
      <c r="D73" s="989">
        <f t="shared" si="19"/>
        <v>6</v>
      </c>
      <c r="E73" s="990">
        <v>6</v>
      </c>
      <c r="F73" s="990">
        <v>0</v>
      </c>
      <c r="G73" s="991">
        <v>0</v>
      </c>
      <c r="H73" s="989">
        <f t="shared" si="20"/>
        <v>871</v>
      </c>
      <c r="I73" s="990">
        <v>797</v>
      </c>
      <c r="J73" s="990">
        <v>59</v>
      </c>
      <c r="K73" s="991">
        <v>15</v>
      </c>
      <c r="L73" s="1009">
        <f t="shared" si="21"/>
        <v>6.8886337543053955</v>
      </c>
      <c r="M73" s="1010">
        <f t="shared" si="22"/>
        <v>7.5282308657465498</v>
      </c>
      <c r="N73" s="1010">
        <f t="shared" si="23"/>
        <v>0</v>
      </c>
      <c r="O73" s="1011">
        <f t="shared" si="24"/>
        <v>0</v>
      </c>
    </row>
    <row r="74" spans="1:15" x14ac:dyDescent="0.3">
      <c r="A74" s="983" t="s">
        <v>178</v>
      </c>
      <c r="B74" s="983" t="s">
        <v>179</v>
      </c>
      <c r="C74" s="983" t="s">
        <v>253</v>
      </c>
      <c r="D74" s="989">
        <f t="shared" si="19"/>
        <v>33</v>
      </c>
      <c r="E74" s="990">
        <v>23</v>
      </c>
      <c r="F74" s="990">
        <v>10</v>
      </c>
      <c r="G74" s="991">
        <v>0</v>
      </c>
      <c r="H74" s="989">
        <f t="shared" si="20"/>
        <v>3505</v>
      </c>
      <c r="I74" s="990">
        <v>2682</v>
      </c>
      <c r="J74" s="990">
        <v>789</v>
      </c>
      <c r="K74" s="991">
        <v>34</v>
      </c>
      <c r="L74" s="1009">
        <f t="shared" si="21"/>
        <v>9.4151212553495007</v>
      </c>
      <c r="M74" s="1010">
        <f t="shared" si="22"/>
        <v>8.575689783743476</v>
      </c>
      <c r="N74" s="1010">
        <f t="shared" si="23"/>
        <v>12.674271229404308</v>
      </c>
      <c r="O74" s="1011">
        <f t="shared" si="24"/>
        <v>0</v>
      </c>
    </row>
    <row r="75" spans="1:15" x14ac:dyDescent="0.3">
      <c r="A75" s="983" t="s">
        <v>182</v>
      </c>
      <c r="B75" s="983" t="s">
        <v>183</v>
      </c>
      <c r="C75" s="983" t="s">
        <v>254</v>
      </c>
      <c r="D75" s="989">
        <f t="shared" si="19"/>
        <v>4</v>
      </c>
      <c r="E75" s="990">
        <v>2</v>
      </c>
      <c r="F75" s="990">
        <v>1</v>
      </c>
      <c r="G75" s="991">
        <v>1</v>
      </c>
      <c r="H75" s="989">
        <f t="shared" si="20"/>
        <v>1474</v>
      </c>
      <c r="I75" s="990">
        <v>1327</v>
      </c>
      <c r="J75" s="990">
        <v>123</v>
      </c>
      <c r="K75" s="991">
        <v>24</v>
      </c>
      <c r="L75" s="1009">
        <f t="shared" si="21"/>
        <v>2.7137042062415193</v>
      </c>
      <c r="M75" s="1010">
        <f t="shared" si="22"/>
        <v>1.5071590052750565</v>
      </c>
      <c r="N75" s="1010">
        <f t="shared" si="23"/>
        <v>8.1300813008130088</v>
      </c>
      <c r="O75" s="1011">
        <f t="shared" si="24"/>
        <v>41.666666666666664</v>
      </c>
    </row>
    <row r="76" spans="1:15" x14ac:dyDescent="0.3">
      <c r="A76" s="983" t="s">
        <v>184</v>
      </c>
      <c r="B76" s="983" t="s">
        <v>185</v>
      </c>
      <c r="C76" s="983" t="s">
        <v>254</v>
      </c>
      <c r="D76" s="989">
        <f t="shared" si="19"/>
        <v>7</v>
      </c>
      <c r="E76" s="990">
        <v>2</v>
      </c>
      <c r="F76" s="990">
        <v>5</v>
      </c>
      <c r="G76" s="991">
        <v>0</v>
      </c>
      <c r="H76" s="989">
        <f t="shared" si="20"/>
        <v>1903</v>
      </c>
      <c r="I76" s="990">
        <v>1285</v>
      </c>
      <c r="J76" s="990">
        <v>557</v>
      </c>
      <c r="K76" s="991">
        <v>61</v>
      </c>
      <c r="L76" s="1009">
        <f t="shared" si="21"/>
        <v>3.6784025223331582</v>
      </c>
      <c r="M76" s="1010">
        <f t="shared" si="22"/>
        <v>1.556420233463035</v>
      </c>
      <c r="N76" s="1010">
        <f t="shared" si="23"/>
        <v>8.9766606822262123</v>
      </c>
      <c r="O76" s="1011">
        <f t="shared" si="24"/>
        <v>0</v>
      </c>
    </row>
    <row r="77" spans="1:15" x14ac:dyDescent="0.3">
      <c r="A77" s="983" t="s">
        <v>186</v>
      </c>
      <c r="B77" s="983" t="s">
        <v>187</v>
      </c>
      <c r="C77" s="983" t="s">
        <v>252</v>
      </c>
      <c r="D77" s="989">
        <f t="shared" si="19"/>
        <v>17</v>
      </c>
      <c r="E77" s="990">
        <v>9</v>
      </c>
      <c r="F77" s="990">
        <v>8</v>
      </c>
      <c r="G77" s="991">
        <v>0</v>
      </c>
      <c r="H77" s="989">
        <f t="shared" si="20"/>
        <v>2302</v>
      </c>
      <c r="I77" s="990">
        <v>1359</v>
      </c>
      <c r="J77" s="990">
        <v>862</v>
      </c>
      <c r="K77" s="991">
        <v>81</v>
      </c>
      <c r="L77" s="1009">
        <f t="shared" si="21"/>
        <v>7.3848827106863597</v>
      </c>
      <c r="M77" s="1010">
        <f t="shared" si="22"/>
        <v>6.6225165562913908</v>
      </c>
      <c r="N77" s="1010">
        <f t="shared" si="23"/>
        <v>9.2807424593967518</v>
      </c>
      <c r="O77" s="1011">
        <f t="shared" si="24"/>
        <v>0</v>
      </c>
    </row>
    <row r="78" spans="1:15" x14ac:dyDescent="0.3">
      <c r="A78" s="983" t="s">
        <v>188</v>
      </c>
      <c r="B78" s="983" t="s">
        <v>189</v>
      </c>
      <c r="C78" s="983" t="s">
        <v>255</v>
      </c>
      <c r="D78" s="989">
        <f t="shared" si="19"/>
        <v>230</v>
      </c>
      <c r="E78" s="990">
        <v>106</v>
      </c>
      <c r="F78" s="990">
        <v>46</v>
      </c>
      <c r="G78" s="991">
        <v>78</v>
      </c>
      <c r="H78" s="989">
        <f t="shared" si="20"/>
        <v>33478</v>
      </c>
      <c r="I78" s="990">
        <v>21292</v>
      </c>
      <c r="J78" s="990">
        <v>8309</v>
      </c>
      <c r="K78" s="991">
        <v>3877</v>
      </c>
      <c r="L78" s="1009">
        <f t="shared" si="21"/>
        <v>6.8701834040265251</v>
      </c>
      <c r="M78" s="1010">
        <f t="shared" si="22"/>
        <v>4.9783956415555135</v>
      </c>
      <c r="N78" s="1010">
        <f t="shared" si="23"/>
        <v>5.5361656035624023</v>
      </c>
      <c r="O78" s="1011">
        <f t="shared" si="24"/>
        <v>20.118648439515091</v>
      </c>
    </row>
    <row r="79" spans="1:15" x14ac:dyDescent="0.3">
      <c r="A79" s="983" t="s">
        <v>190</v>
      </c>
      <c r="B79" s="983" t="s">
        <v>191</v>
      </c>
      <c r="C79" s="983" t="s">
        <v>256</v>
      </c>
      <c r="D79" s="989">
        <f t="shared" si="19"/>
        <v>24</v>
      </c>
      <c r="E79" s="990">
        <v>23</v>
      </c>
      <c r="F79" s="990">
        <v>1</v>
      </c>
      <c r="G79" s="991">
        <v>0</v>
      </c>
      <c r="H79" s="989">
        <f t="shared" si="20"/>
        <v>1689</v>
      </c>
      <c r="I79" s="990">
        <v>1548</v>
      </c>
      <c r="J79" s="990">
        <v>125</v>
      </c>
      <c r="K79" s="991">
        <v>16</v>
      </c>
      <c r="L79" s="1009">
        <f t="shared" si="21"/>
        <v>14.209591474245116</v>
      </c>
      <c r="M79" s="1010">
        <f t="shared" si="22"/>
        <v>14.857881136950903</v>
      </c>
      <c r="N79" s="1010">
        <f t="shared" si="23"/>
        <v>8</v>
      </c>
      <c r="O79" s="1011">
        <f t="shared" si="24"/>
        <v>0</v>
      </c>
    </row>
    <row r="80" spans="1:15" x14ac:dyDescent="0.3">
      <c r="A80" s="983" t="s">
        <v>194</v>
      </c>
      <c r="B80" s="983" t="s">
        <v>195</v>
      </c>
      <c r="C80" s="983" t="s">
        <v>255</v>
      </c>
      <c r="D80" s="989">
        <f t="shared" si="19"/>
        <v>2</v>
      </c>
      <c r="E80" s="990">
        <v>2</v>
      </c>
      <c r="F80" s="990">
        <v>0</v>
      </c>
      <c r="G80" s="991">
        <v>0</v>
      </c>
      <c r="H80" s="989">
        <f t="shared" si="20"/>
        <v>372</v>
      </c>
      <c r="I80" s="990">
        <v>344</v>
      </c>
      <c r="J80" s="990">
        <v>22</v>
      </c>
      <c r="K80" s="991">
        <v>6</v>
      </c>
      <c r="L80" s="1009">
        <f t="shared" si="21"/>
        <v>5.3763440860215059</v>
      </c>
      <c r="M80" s="1010">
        <f t="shared" si="22"/>
        <v>5.8139534883720927</v>
      </c>
      <c r="N80" s="1010">
        <f t="shared" si="23"/>
        <v>0</v>
      </c>
      <c r="O80" s="1011">
        <f t="shared" si="24"/>
        <v>0</v>
      </c>
    </row>
    <row r="81" spans="1:15" x14ac:dyDescent="0.3">
      <c r="A81" s="983" t="s">
        <v>198</v>
      </c>
      <c r="B81" s="983" t="s">
        <v>260</v>
      </c>
      <c r="C81" s="983" t="s">
        <v>254</v>
      </c>
      <c r="D81" s="989">
        <f t="shared" si="19"/>
        <v>4</v>
      </c>
      <c r="E81" s="990">
        <v>3</v>
      </c>
      <c r="F81" s="990">
        <v>1</v>
      </c>
      <c r="G81" s="991">
        <v>0</v>
      </c>
      <c r="H81" s="989">
        <f t="shared" si="20"/>
        <v>453</v>
      </c>
      <c r="I81" s="990">
        <v>302</v>
      </c>
      <c r="J81" s="990">
        <v>146</v>
      </c>
      <c r="K81" s="991">
        <v>5</v>
      </c>
      <c r="L81" s="1009">
        <f t="shared" si="21"/>
        <v>8.8300220750551883</v>
      </c>
      <c r="M81" s="1010">
        <f t="shared" si="22"/>
        <v>9.9337748344370862</v>
      </c>
      <c r="N81" s="1010">
        <f t="shared" si="23"/>
        <v>6.8493150684931505</v>
      </c>
      <c r="O81" s="1011">
        <f t="shared" si="24"/>
        <v>0</v>
      </c>
    </row>
    <row r="82" spans="1:15" x14ac:dyDescent="0.3">
      <c r="A82" s="983" t="s">
        <v>202</v>
      </c>
      <c r="B82" s="983" t="s">
        <v>289</v>
      </c>
      <c r="C82" s="983" t="s">
        <v>253</v>
      </c>
      <c r="D82" s="989">
        <f t="shared" si="19"/>
        <v>38</v>
      </c>
      <c r="E82" s="990">
        <v>32</v>
      </c>
      <c r="F82" s="990">
        <v>5</v>
      </c>
      <c r="G82" s="991">
        <v>1</v>
      </c>
      <c r="H82" s="989">
        <f t="shared" si="20"/>
        <v>7395</v>
      </c>
      <c r="I82" s="990">
        <v>6367</v>
      </c>
      <c r="J82" s="990">
        <v>700</v>
      </c>
      <c r="K82" s="991">
        <v>328</v>
      </c>
      <c r="L82" s="1009">
        <f t="shared" si="21"/>
        <v>5.1386071670047331</v>
      </c>
      <c r="M82" s="1010">
        <f t="shared" si="22"/>
        <v>5.0259148735668298</v>
      </c>
      <c r="N82" s="1010">
        <f t="shared" si="23"/>
        <v>7.1428571428571423</v>
      </c>
      <c r="O82" s="1011">
        <f t="shared" si="24"/>
        <v>3.0487804878048781</v>
      </c>
    </row>
    <row r="83" spans="1:15" x14ac:dyDescent="0.3">
      <c r="A83" s="983" t="s">
        <v>204</v>
      </c>
      <c r="B83" s="983" t="s">
        <v>281</v>
      </c>
      <c r="C83" s="983" t="s">
        <v>253</v>
      </c>
      <c r="D83" s="989">
        <f t="shared" si="19"/>
        <v>8</v>
      </c>
      <c r="E83" s="990">
        <v>7</v>
      </c>
      <c r="F83" s="990">
        <v>1</v>
      </c>
      <c r="G83" s="991">
        <v>0</v>
      </c>
      <c r="H83" s="989">
        <f t="shared" si="20"/>
        <v>2350</v>
      </c>
      <c r="I83" s="990">
        <v>2130</v>
      </c>
      <c r="J83" s="990">
        <v>155</v>
      </c>
      <c r="K83" s="991">
        <v>65</v>
      </c>
      <c r="L83" s="1009">
        <f t="shared" si="21"/>
        <v>3.4042553191489362</v>
      </c>
      <c r="M83" s="1010">
        <f t="shared" si="22"/>
        <v>3.2863849765258215</v>
      </c>
      <c r="N83" s="1010">
        <f t="shared" si="23"/>
        <v>6.4516129032258061</v>
      </c>
      <c r="O83" s="1011">
        <f t="shared" si="24"/>
        <v>0</v>
      </c>
    </row>
    <row r="84" spans="1:15" x14ac:dyDescent="0.3">
      <c r="A84" s="983" t="s">
        <v>206</v>
      </c>
      <c r="B84" s="983" t="s">
        <v>282</v>
      </c>
      <c r="C84" s="983" t="s">
        <v>255</v>
      </c>
      <c r="D84" s="989">
        <f t="shared" si="19"/>
        <v>90</v>
      </c>
      <c r="E84" s="990">
        <v>72</v>
      </c>
      <c r="F84" s="990">
        <v>7</v>
      </c>
      <c r="G84" s="991">
        <v>11</v>
      </c>
      <c r="H84" s="989">
        <f t="shared" si="20"/>
        <v>10947</v>
      </c>
      <c r="I84" s="990">
        <v>9738</v>
      </c>
      <c r="J84" s="990">
        <v>723</v>
      </c>
      <c r="K84" s="991">
        <v>486</v>
      </c>
      <c r="L84" s="1009">
        <f t="shared" si="21"/>
        <v>8.2214305289120304</v>
      </c>
      <c r="M84" s="1010">
        <f t="shared" si="22"/>
        <v>7.3937153419593349</v>
      </c>
      <c r="N84" s="1010">
        <f t="shared" si="23"/>
        <v>9.6818810511756581</v>
      </c>
      <c r="O84" s="1011">
        <f t="shared" si="24"/>
        <v>22.63374485596708</v>
      </c>
    </row>
    <row r="85" spans="1:15" x14ac:dyDescent="0.3">
      <c r="A85" s="983" t="s">
        <v>208</v>
      </c>
      <c r="B85" s="983" t="s">
        <v>209</v>
      </c>
      <c r="C85" s="983" t="s">
        <v>256</v>
      </c>
      <c r="D85" s="989">
        <f t="shared" si="19"/>
        <v>26</v>
      </c>
      <c r="E85" s="990">
        <v>25</v>
      </c>
      <c r="F85" s="990">
        <v>1</v>
      </c>
      <c r="G85" s="991">
        <v>0</v>
      </c>
      <c r="H85" s="989">
        <f t="shared" si="20"/>
        <v>1459</v>
      </c>
      <c r="I85" s="990">
        <v>1431</v>
      </c>
      <c r="J85" s="990">
        <v>20</v>
      </c>
      <c r="K85" s="991">
        <v>8</v>
      </c>
      <c r="L85" s="1009">
        <f t="shared" si="21"/>
        <v>17.82042494859493</v>
      </c>
      <c r="M85" s="1010">
        <f t="shared" si="22"/>
        <v>17.470300489168416</v>
      </c>
      <c r="N85" s="1010">
        <f t="shared" si="23"/>
        <v>50</v>
      </c>
      <c r="O85" s="1011">
        <f t="shared" si="24"/>
        <v>0</v>
      </c>
    </row>
    <row r="86" spans="1:15" x14ac:dyDescent="0.3">
      <c r="A86" s="983" t="s">
        <v>210</v>
      </c>
      <c r="B86" s="983" t="s">
        <v>211</v>
      </c>
      <c r="C86" s="983" t="s">
        <v>256</v>
      </c>
      <c r="D86" s="989">
        <f t="shared" si="19"/>
        <v>14</v>
      </c>
      <c r="E86" s="990">
        <v>14</v>
      </c>
      <c r="F86" s="990">
        <v>0</v>
      </c>
      <c r="G86" s="991">
        <v>0</v>
      </c>
      <c r="H86" s="989">
        <f t="shared" si="20"/>
        <v>1129</v>
      </c>
      <c r="I86" s="990">
        <v>1105</v>
      </c>
      <c r="J86" s="990">
        <v>15</v>
      </c>
      <c r="K86" s="991">
        <v>9</v>
      </c>
      <c r="L86" s="1009">
        <f t="shared" si="21"/>
        <v>12.400354295837024</v>
      </c>
      <c r="M86" s="1010">
        <f t="shared" si="22"/>
        <v>12.669683257918551</v>
      </c>
      <c r="N86" s="1010">
        <f t="shared" si="23"/>
        <v>0</v>
      </c>
      <c r="O86" s="1011">
        <f t="shared" si="24"/>
        <v>0</v>
      </c>
    </row>
    <row r="87" spans="1:15" x14ac:dyDescent="0.3">
      <c r="A87" s="983" t="s">
        <v>212</v>
      </c>
      <c r="B87" s="983" t="s">
        <v>213</v>
      </c>
      <c r="C87" s="983" t="s">
        <v>255</v>
      </c>
      <c r="D87" s="989">
        <f t="shared" si="19"/>
        <v>19</v>
      </c>
      <c r="E87" s="990">
        <v>19</v>
      </c>
      <c r="F87" s="990">
        <v>0</v>
      </c>
      <c r="G87" s="991">
        <v>0</v>
      </c>
      <c r="H87" s="989">
        <f t="shared" si="20"/>
        <v>2502</v>
      </c>
      <c r="I87" s="990">
        <v>2343</v>
      </c>
      <c r="J87" s="990">
        <v>117</v>
      </c>
      <c r="K87" s="991">
        <v>42</v>
      </c>
      <c r="L87" s="1009">
        <f t="shared" si="21"/>
        <v>7.5939248601119109</v>
      </c>
      <c r="M87" s="1010">
        <f t="shared" si="22"/>
        <v>8.1092616303883904</v>
      </c>
      <c r="N87" s="1010">
        <f t="shared" si="23"/>
        <v>0</v>
      </c>
      <c r="O87" s="1011">
        <f t="shared" si="24"/>
        <v>0</v>
      </c>
    </row>
    <row r="88" spans="1:15" x14ac:dyDescent="0.3">
      <c r="A88" s="983" t="s">
        <v>214</v>
      </c>
      <c r="B88" s="983" t="s">
        <v>215</v>
      </c>
      <c r="C88" s="983" t="s">
        <v>256</v>
      </c>
      <c r="D88" s="989">
        <f t="shared" si="19"/>
        <v>26</v>
      </c>
      <c r="E88" s="990">
        <v>25</v>
      </c>
      <c r="F88" s="990">
        <v>0</v>
      </c>
      <c r="G88" s="991">
        <v>1</v>
      </c>
      <c r="H88" s="989">
        <f t="shared" si="20"/>
        <v>1702</v>
      </c>
      <c r="I88" s="990">
        <v>1601</v>
      </c>
      <c r="J88" s="990">
        <v>84</v>
      </c>
      <c r="K88" s="991">
        <v>17</v>
      </c>
      <c r="L88" s="1009">
        <f t="shared" si="21"/>
        <v>15.276145710928319</v>
      </c>
      <c r="M88" s="1010">
        <f t="shared" si="22"/>
        <v>15.61524047470331</v>
      </c>
      <c r="N88" s="1010">
        <f t="shared" si="23"/>
        <v>0</v>
      </c>
      <c r="O88" s="1011">
        <f t="shared" si="24"/>
        <v>58.823529411764703</v>
      </c>
    </row>
    <row r="89" spans="1:15" x14ac:dyDescent="0.3">
      <c r="A89" s="983" t="s">
        <v>216</v>
      </c>
      <c r="B89" s="983" t="s">
        <v>217</v>
      </c>
      <c r="C89" s="983" t="s">
        <v>252</v>
      </c>
      <c r="D89" s="989">
        <f t="shared" si="19"/>
        <v>8</v>
      </c>
      <c r="E89" s="990">
        <v>5</v>
      </c>
      <c r="F89" s="990">
        <v>3</v>
      </c>
      <c r="G89" s="991">
        <v>0</v>
      </c>
      <c r="H89" s="989">
        <f t="shared" si="20"/>
        <v>979</v>
      </c>
      <c r="I89" s="990">
        <v>594</v>
      </c>
      <c r="J89" s="990">
        <v>375</v>
      </c>
      <c r="K89" s="991">
        <v>10</v>
      </c>
      <c r="L89" s="1009">
        <f t="shared" si="21"/>
        <v>8.1716036772216558</v>
      </c>
      <c r="M89" s="1010">
        <f t="shared" si="22"/>
        <v>8.4175084175084169</v>
      </c>
      <c r="N89" s="1010">
        <f t="shared" si="23"/>
        <v>8</v>
      </c>
      <c r="O89" s="1011">
        <f t="shared" si="24"/>
        <v>0</v>
      </c>
    </row>
    <row r="90" spans="1:15" x14ac:dyDescent="0.3">
      <c r="A90" s="983" t="s">
        <v>218</v>
      </c>
      <c r="B90" s="983" t="s">
        <v>219</v>
      </c>
      <c r="C90" s="983" t="s">
        <v>255</v>
      </c>
      <c r="D90" s="989">
        <f t="shared" si="19"/>
        <v>57</v>
      </c>
      <c r="E90" s="990">
        <v>32</v>
      </c>
      <c r="F90" s="990">
        <v>13</v>
      </c>
      <c r="G90" s="991">
        <v>12</v>
      </c>
      <c r="H90" s="989">
        <f t="shared" si="20"/>
        <v>9404</v>
      </c>
      <c r="I90" s="990">
        <v>7099</v>
      </c>
      <c r="J90" s="990">
        <v>1890</v>
      </c>
      <c r="K90" s="991">
        <v>415</v>
      </c>
      <c r="L90" s="1009">
        <f t="shared" si="21"/>
        <v>6.0612505316886436</v>
      </c>
      <c r="M90" s="1010">
        <f t="shared" si="22"/>
        <v>4.5076771376250182</v>
      </c>
      <c r="N90" s="1010">
        <f t="shared" si="23"/>
        <v>6.8783068783068781</v>
      </c>
      <c r="O90" s="1011">
        <f t="shared" si="24"/>
        <v>28.91566265060241</v>
      </c>
    </row>
    <row r="91" spans="1:15" x14ac:dyDescent="0.3">
      <c r="A91" s="983" t="s">
        <v>220</v>
      </c>
      <c r="B91" s="983" t="s">
        <v>221</v>
      </c>
      <c r="C91" s="983" t="s">
        <v>255</v>
      </c>
      <c r="D91" s="989">
        <f t="shared" si="19"/>
        <v>49</v>
      </c>
      <c r="E91" s="990">
        <v>29</v>
      </c>
      <c r="F91" s="990">
        <v>9</v>
      </c>
      <c r="G91" s="991">
        <v>11</v>
      </c>
      <c r="H91" s="989">
        <f t="shared" si="20"/>
        <v>11105</v>
      </c>
      <c r="I91" s="990">
        <v>7915</v>
      </c>
      <c r="J91" s="990">
        <v>2586</v>
      </c>
      <c r="K91" s="991">
        <v>604</v>
      </c>
      <c r="L91" s="1009">
        <f t="shared" si="21"/>
        <v>4.4124268347591178</v>
      </c>
      <c r="M91" s="1010">
        <f t="shared" si="22"/>
        <v>3.6639292482627921</v>
      </c>
      <c r="N91" s="1010">
        <f t="shared" si="23"/>
        <v>3.4802784222737819</v>
      </c>
      <c r="O91" s="1011">
        <f t="shared" si="24"/>
        <v>18.211920529801326</v>
      </c>
    </row>
    <row r="92" spans="1:15" x14ac:dyDescent="0.3">
      <c r="A92" s="983" t="s">
        <v>224</v>
      </c>
      <c r="B92" s="983" t="s">
        <v>225</v>
      </c>
      <c r="C92" s="983" t="s">
        <v>252</v>
      </c>
      <c r="D92" s="989">
        <f t="shared" si="19"/>
        <v>2</v>
      </c>
      <c r="E92" s="990">
        <v>0</v>
      </c>
      <c r="F92" s="990">
        <v>2</v>
      </c>
      <c r="G92" s="991">
        <v>0</v>
      </c>
      <c r="H92" s="989">
        <f t="shared" si="20"/>
        <v>311</v>
      </c>
      <c r="I92" s="990">
        <v>159</v>
      </c>
      <c r="J92" s="990">
        <v>148</v>
      </c>
      <c r="K92" s="991">
        <v>4</v>
      </c>
      <c r="L92" s="1009">
        <f t="shared" si="21"/>
        <v>6.430868167202572</v>
      </c>
      <c r="M92" s="1010">
        <f t="shared" si="22"/>
        <v>0</v>
      </c>
      <c r="N92" s="1010">
        <f t="shared" si="23"/>
        <v>13.513513513513514</v>
      </c>
      <c r="O92" s="1011">
        <f t="shared" si="24"/>
        <v>0</v>
      </c>
    </row>
    <row r="93" spans="1:15" x14ac:dyDescent="0.3">
      <c r="A93" s="983" t="s">
        <v>226</v>
      </c>
      <c r="B93" s="983" t="s">
        <v>227</v>
      </c>
      <c r="C93" s="983" t="s">
        <v>252</v>
      </c>
      <c r="D93" s="989">
        <f t="shared" si="19"/>
        <v>4</v>
      </c>
      <c r="E93" s="990">
        <v>2</v>
      </c>
      <c r="F93" s="990">
        <v>2</v>
      </c>
      <c r="G93" s="991">
        <v>0</v>
      </c>
      <c r="H93" s="989">
        <f t="shared" si="20"/>
        <v>474</v>
      </c>
      <c r="I93" s="990">
        <v>196</v>
      </c>
      <c r="J93" s="990">
        <v>274</v>
      </c>
      <c r="K93" s="991">
        <v>4</v>
      </c>
      <c r="L93" s="1009">
        <f t="shared" si="21"/>
        <v>8.4388185654008439</v>
      </c>
      <c r="M93" s="1010">
        <f t="shared" si="22"/>
        <v>10.204081632653061</v>
      </c>
      <c r="N93" s="1010">
        <f t="shared" si="23"/>
        <v>7.2992700729927007</v>
      </c>
      <c r="O93" s="1011">
        <f t="shared" si="24"/>
        <v>0</v>
      </c>
    </row>
    <row r="94" spans="1:15" x14ac:dyDescent="0.3">
      <c r="A94" s="983" t="s">
        <v>228</v>
      </c>
      <c r="B94" s="983" t="s">
        <v>229</v>
      </c>
      <c r="C94" s="983" t="s">
        <v>256</v>
      </c>
      <c r="D94" s="989">
        <f t="shared" si="19"/>
        <v>48</v>
      </c>
      <c r="E94" s="990">
        <v>47</v>
      </c>
      <c r="F94" s="990">
        <v>1</v>
      </c>
      <c r="G94" s="991">
        <v>0</v>
      </c>
      <c r="H94" s="989">
        <f t="shared" si="20"/>
        <v>2299</v>
      </c>
      <c r="I94" s="990">
        <v>2198</v>
      </c>
      <c r="J94" s="990">
        <v>77</v>
      </c>
      <c r="K94" s="991">
        <v>24</v>
      </c>
      <c r="L94" s="1009">
        <f t="shared" si="21"/>
        <v>20.878642888212266</v>
      </c>
      <c r="M94" s="1010">
        <f t="shared" si="22"/>
        <v>21.383075523202912</v>
      </c>
      <c r="N94" s="1010">
        <f t="shared" si="23"/>
        <v>12.987012987012989</v>
      </c>
      <c r="O94" s="1011">
        <f t="shared" si="24"/>
        <v>0</v>
      </c>
    </row>
    <row r="95" spans="1:15" x14ac:dyDescent="0.3">
      <c r="A95" s="983" t="s">
        <v>232</v>
      </c>
      <c r="B95" s="983" t="s">
        <v>233</v>
      </c>
      <c r="C95" s="983" t="s">
        <v>255</v>
      </c>
      <c r="D95" s="989">
        <f t="shared" si="19"/>
        <v>16</v>
      </c>
      <c r="E95" s="990">
        <v>14</v>
      </c>
      <c r="F95" s="990">
        <v>2</v>
      </c>
      <c r="G95" s="991">
        <v>0</v>
      </c>
      <c r="H95" s="989">
        <f t="shared" si="20"/>
        <v>2485</v>
      </c>
      <c r="I95" s="990">
        <v>2260</v>
      </c>
      <c r="J95" s="990">
        <v>146</v>
      </c>
      <c r="K95" s="991">
        <v>79</v>
      </c>
      <c r="L95" s="1009">
        <f t="shared" si="21"/>
        <v>6.4386317907444663</v>
      </c>
      <c r="M95" s="1010">
        <f t="shared" si="22"/>
        <v>6.1946902654867255</v>
      </c>
      <c r="N95" s="1010">
        <f t="shared" si="23"/>
        <v>13.698630136986301</v>
      </c>
      <c r="O95" s="1011">
        <f t="shared" si="24"/>
        <v>0</v>
      </c>
    </row>
    <row r="96" spans="1:15" x14ac:dyDescent="0.3">
      <c r="A96" s="983" t="s">
        <v>234</v>
      </c>
      <c r="B96" s="983" t="s">
        <v>235</v>
      </c>
      <c r="C96" s="983" t="s">
        <v>256</v>
      </c>
      <c r="D96" s="989">
        <f t="shared" si="19"/>
        <v>39</v>
      </c>
      <c r="E96" s="990">
        <v>36</v>
      </c>
      <c r="F96" s="990">
        <v>2</v>
      </c>
      <c r="G96" s="991">
        <v>1</v>
      </c>
      <c r="H96" s="989">
        <f t="shared" si="20"/>
        <v>3066</v>
      </c>
      <c r="I96" s="990">
        <v>2948</v>
      </c>
      <c r="J96" s="990">
        <v>68</v>
      </c>
      <c r="K96" s="991">
        <v>50</v>
      </c>
      <c r="L96" s="1009">
        <f t="shared" si="21"/>
        <v>12.720156555772993</v>
      </c>
      <c r="M96" s="1010">
        <f t="shared" si="22"/>
        <v>12.211668928086839</v>
      </c>
      <c r="N96" s="1010">
        <f t="shared" si="23"/>
        <v>29.411764705882351</v>
      </c>
      <c r="O96" s="1011">
        <f t="shared" si="24"/>
        <v>20</v>
      </c>
    </row>
    <row r="97" spans="1:15" x14ac:dyDescent="0.3">
      <c r="A97" s="983" t="s">
        <v>236</v>
      </c>
      <c r="B97" s="983" t="s">
        <v>237</v>
      </c>
      <c r="C97" s="983" t="s">
        <v>254</v>
      </c>
      <c r="D97" s="989">
        <f t="shared" si="19"/>
        <v>10</v>
      </c>
      <c r="E97" s="990">
        <v>5</v>
      </c>
      <c r="F97" s="990">
        <v>5</v>
      </c>
      <c r="G97" s="991">
        <v>0</v>
      </c>
      <c r="H97" s="989">
        <f t="shared" si="20"/>
        <v>882</v>
      </c>
      <c r="I97" s="990">
        <v>555</v>
      </c>
      <c r="J97" s="990">
        <v>306</v>
      </c>
      <c r="K97" s="991">
        <v>21</v>
      </c>
      <c r="L97" s="1009">
        <f t="shared" si="21"/>
        <v>11.337868480725623</v>
      </c>
      <c r="M97" s="1010">
        <f t="shared" si="22"/>
        <v>9.0090090090090094</v>
      </c>
      <c r="N97" s="1010">
        <f t="shared" si="23"/>
        <v>16.339869281045754</v>
      </c>
      <c r="O97" s="1011">
        <f t="shared" si="24"/>
        <v>0</v>
      </c>
    </row>
    <row r="98" spans="1:15" x14ac:dyDescent="0.3">
      <c r="A98" s="983" t="s">
        <v>242</v>
      </c>
      <c r="B98" s="983" t="s">
        <v>243</v>
      </c>
      <c r="C98" s="983" t="s">
        <v>256</v>
      </c>
      <c r="D98" s="989">
        <f t="shared" si="19"/>
        <v>42</v>
      </c>
      <c r="E98" s="990">
        <v>41</v>
      </c>
      <c r="F98" s="990">
        <v>0</v>
      </c>
      <c r="G98" s="991">
        <v>1</v>
      </c>
      <c r="H98" s="989">
        <f t="shared" si="20"/>
        <v>2119</v>
      </c>
      <c r="I98" s="990">
        <v>2034</v>
      </c>
      <c r="J98" s="990">
        <v>73</v>
      </c>
      <c r="K98" s="991">
        <v>12</v>
      </c>
      <c r="L98" s="1009">
        <f t="shared" si="21"/>
        <v>19.820670127418595</v>
      </c>
      <c r="M98" s="1010">
        <f t="shared" si="22"/>
        <v>20.15732546705998</v>
      </c>
      <c r="N98" s="1010">
        <f t="shared" si="23"/>
        <v>0</v>
      </c>
      <c r="O98" s="1011">
        <f t="shared" si="24"/>
        <v>83.333333333333329</v>
      </c>
    </row>
    <row r="99" spans="1:15" x14ac:dyDescent="0.3">
      <c r="A99" s="983" t="s">
        <v>244</v>
      </c>
      <c r="B99" s="983" t="s">
        <v>245</v>
      </c>
      <c r="C99" s="983" t="s">
        <v>256</v>
      </c>
      <c r="D99" s="989">
        <f t="shared" si="19"/>
        <v>17</v>
      </c>
      <c r="E99" s="990">
        <v>16</v>
      </c>
      <c r="F99" s="990">
        <v>1</v>
      </c>
      <c r="G99" s="991">
        <v>0</v>
      </c>
      <c r="H99" s="989">
        <f t="shared" si="20"/>
        <v>1614</v>
      </c>
      <c r="I99" s="990">
        <v>1511</v>
      </c>
      <c r="J99" s="990">
        <v>87</v>
      </c>
      <c r="K99" s="991">
        <v>16</v>
      </c>
      <c r="L99" s="1009">
        <f t="shared" si="21"/>
        <v>10.532837670384138</v>
      </c>
      <c r="M99" s="1010">
        <f t="shared" si="22"/>
        <v>10.589013898080742</v>
      </c>
      <c r="N99" s="1010">
        <f t="shared" si="23"/>
        <v>11.494252873563218</v>
      </c>
      <c r="O99" s="1011">
        <f t="shared" si="24"/>
        <v>0</v>
      </c>
    </row>
    <row r="100" spans="1:15" x14ac:dyDescent="0.3">
      <c r="A100" s="1277" t="s">
        <v>246</v>
      </c>
      <c r="B100" s="1277" t="s">
        <v>247</v>
      </c>
      <c r="C100" s="1277" t="s">
        <v>252</v>
      </c>
      <c r="D100" s="989">
        <f t="shared" si="19"/>
        <v>16</v>
      </c>
      <c r="E100" s="990">
        <v>7</v>
      </c>
      <c r="F100" s="990">
        <v>7</v>
      </c>
      <c r="G100" s="991">
        <v>2</v>
      </c>
      <c r="H100" s="989">
        <f t="shared" si="20"/>
        <v>5545</v>
      </c>
      <c r="I100" s="990">
        <v>4314</v>
      </c>
      <c r="J100" s="990">
        <v>794</v>
      </c>
      <c r="K100" s="991">
        <v>437</v>
      </c>
      <c r="L100" s="1009">
        <f t="shared" si="21"/>
        <v>2.885482416591524</v>
      </c>
      <c r="M100" s="1010">
        <f t="shared" si="22"/>
        <v>1.6226240148354196</v>
      </c>
      <c r="N100" s="1010">
        <f t="shared" si="23"/>
        <v>8.8161209068010074</v>
      </c>
      <c r="O100" s="1011">
        <f t="shared" si="24"/>
        <v>4.5766590389016022</v>
      </c>
    </row>
    <row r="101" spans="1:15" x14ac:dyDescent="0.3">
      <c r="A101" s="983" t="s">
        <v>14</v>
      </c>
      <c r="B101" s="983" t="s">
        <v>15</v>
      </c>
      <c r="C101" s="983" t="s">
        <v>255</v>
      </c>
      <c r="D101" s="989">
        <f t="shared" si="19"/>
        <v>51</v>
      </c>
      <c r="E101" s="990">
        <v>9</v>
      </c>
      <c r="F101" s="990">
        <v>10</v>
      </c>
      <c r="G101" s="991">
        <v>32</v>
      </c>
      <c r="H101" s="989">
        <f t="shared" si="20"/>
        <v>5960</v>
      </c>
      <c r="I101" s="990">
        <v>3817</v>
      </c>
      <c r="J101" s="990">
        <v>1721</v>
      </c>
      <c r="K101" s="991">
        <v>422</v>
      </c>
      <c r="L101" s="1009">
        <f t="shared" si="21"/>
        <v>8.5570469798657722</v>
      </c>
      <c r="M101" s="1010">
        <f t="shared" si="22"/>
        <v>2.3578726748755567</v>
      </c>
      <c r="N101" s="1010">
        <f t="shared" si="23"/>
        <v>5.8105752469494476</v>
      </c>
      <c r="O101" s="1011">
        <f t="shared" si="24"/>
        <v>75.829383886255926</v>
      </c>
    </row>
    <row r="102" spans="1:15" x14ac:dyDescent="0.3">
      <c r="A102" s="983" t="s">
        <v>34</v>
      </c>
      <c r="B102" s="983" t="s">
        <v>35</v>
      </c>
      <c r="C102" s="983" t="s">
        <v>256</v>
      </c>
      <c r="D102" s="989">
        <f t="shared" ref="D102:D125" si="25">SUM(E102:G102)</f>
        <v>8</v>
      </c>
      <c r="E102" s="990">
        <v>8</v>
      </c>
      <c r="F102" s="990">
        <v>0</v>
      </c>
      <c r="G102" s="991">
        <v>0</v>
      </c>
      <c r="H102" s="989">
        <f t="shared" ref="H102:H125" si="26">SUM(I102:K102)</f>
        <v>889</v>
      </c>
      <c r="I102" s="990">
        <v>791</v>
      </c>
      <c r="J102" s="990">
        <v>82</v>
      </c>
      <c r="K102" s="991">
        <v>16</v>
      </c>
      <c r="L102" s="1009">
        <f t="shared" ref="L102:L125" si="27">IF(H102=0,"NA",(D102/H102)*1000)</f>
        <v>8.9988751406074243</v>
      </c>
      <c r="M102" s="1010">
        <f t="shared" ref="M102:M125" si="28">IF(I102=0,"NA",(E102/I102)*1000)</f>
        <v>10.11378002528445</v>
      </c>
      <c r="N102" s="1010">
        <f t="shared" ref="N102:N125" si="29">IF(J102=0,"NA",(F102/J102)*1000)</f>
        <v>0</v>
      </c>
      <c r="O102" s="1011">
        <f t="shared" ref="O102:O125" si="30">IF(K102=0,"NA",(G102/K102)*1000)</f>
        <v>0</v>
      </c>
    </row>
    <row r="103" spans="1:15" x14ac:dyDescent="0.3">
      <c r="A103" s="983" t="s">
        <v>52</v>
      </c>
      <c r="B103" s="983" t="s">
        <v>53</v>
      </c>
      <c r="C103" s="983" t="s">
        <v>253</v>
      </c>
      <c r="D103" s="989">
        <f t="shared" si="25"/>
        <v>15</v>
      </c>
      <c r="E103" s="990">
        <v>7</v>
      </c>
      <c r="F103" s="990">
        <v>5</v>
      </c>
      <c r="G103" s="991">
        <v>3</v>
      </c>
      <c r="H103" s="989">
        <f t="shared" si="26"/>
        <v>2079</v>
      </c>
      <c r="I103" s="990">
        <v>1292</v>
      </c>
      <c r="J103" s="990">
        <v>551</v>
      </c>
      <c r="K103" s="991">
        <v>236</v>
      </c>
      <c r="L103" s="1009">
        <f t="shared" si="27"/>
        <v>7.2150072150072146</v>
      </c>
      <c r="M103" s="1010">
        <f t="shared" si="28"/>
        <v>5.4179566563467496</v>
      </c>
      <c r="N103" s="1010">
        <f t="shared" si="29"/>
        <v>9.0744101633393832</v>
      </c>
      <c r="O103" s="1011">
        <f t="shared" si="30"/>
        <v>12.711864406779663</v>
      </c>
    </row>
    <row r="104" spans="1:15" x14ac:dyDescent="0.3">
      <c r="A104" s="983" t="s">
        <v>54</v>
      </c>
      <c r="B104" s="983" t="s">
        <v>55</v>
      </c>
      <c r="C104" s="983" t="s">
        <v>252</v>
      </c>
      <c r="D104" s="989">
        <f t="shared" si="25"/>
        <v>101</v>
      </c>
      <c r="E104" s="990">
        <v>38</v>
      </c>
      <c r="F104" s="990">
        <v>55</v>
      </c>
      <c r="G104" s="991">
        <v>8</v>
      </c>
      <c r="H104" s="989">
        <f t="shared" si="26"/>
        <v>15977</v>
      </c>
      <c r="I104" s="990">
        <v>9735</v>
      </c>
      <c r="J104" s="990">
        <v>5489</v>
      </c>
      <c r="K104" s="991">
        <v>753</v>
      </c>
      <c r="L104" s="1009">
        <f t="shared" si="27"/>
        <v>6.321587281717469</v>
      </c>
      <c r="M104" s="1010">
        <f t="shared" si="28"/>
        <v>3.903441191576785</v>
      </c>
      <c r="N104" s="1010">
        <f t="shared" si="29"/>
        <v>10.020040080160321</v>
      </c>
      <c r="O104" s="1011">
        <f t="shared" si="30"/>
        <v>10.624169986719787</v>
      </c>
    </row>
    <row r="105" spans="1:15" x14ac:dyDescent="0.3">
      <c r="A105" s="983" t="s">
        <v>66</v>
      </c>
      <c r="B105" s="983" t="s">
        <v>67</v>
      </c>
      <c r="C105" s="983" t="s">
        <v>253</v>
      </c>
      <c r="D105" s="989">
        <f t="shared" si="25"/>
        <v>35</v>
      </c>
      <c r="E105" s="990">
        <v>8</v>
      </c>
      <c r="F105" s="990">
        <v>26</v>
      </c>
      <c r="G105" s="991">
        <v>1</v>
      </c>
      <c r="H105" s="989">
        <f t="shared" si="26"/>
        <v>2406</v>
      </c>
      <c r="I105" s="990">
        <v>848</v>
      </c>
      <c r="J105" s="990">
        <v>1518</v>
      </c>
      <c r="K105" s="991">
        <v>40</v>
      </c>
      <c r="L105" s="1009">
        <f t="shared" si="27"/>
        <v>14.546965918536991</v>
      </c>
      <c r="M105" s="1010">
        <f t="shared" si="28"/>
        <v>9.4339622641509422</v>
      </c>
      <c r="N105" s="1010">
        <f t="shared" si="29"/>
        <v>17.127799736495387</v>
      </c>
      <c r="O105" s="1011">
        <f t="shared" si="30"/>
        <v>25</v>
      </c>
    </row>
    <row r="106" spans="1:15" x14ac:dyDescent="0.3">
      <c r="A106" s="983" t="s">
        <v>82</v>
      </c>
      <c r="B106" s="983" t="s">
        <v>83</v>
      </c>
      <c r="C106" s="983" t="s">
        <v>252</v>
      </c>
      <c r="D106" s="989">
        <f t="shared" si="25"/>
        <v>7</v>
      </c>
      <c r="E106" s="990">
        <v>2</v>
      </c>
      <c r="F106" s="990">
        <v>5</v>
      </c>
      <c r="G106" s="991">
        <v>0</v>
      </c>
      <c r="H106" s="989">
        <f t="shared" si="26"/>
        <v>475</v>
      </c>
      <c r="I106" s="990">
        <v>125</v>
      </c>
      <c r="J106" s="990">
        <v>342</v>
      </c>
      <c r="K106" s="991">
        <v>8</v>
      </c>
      <c r="L106" s="1009">
        <f t="shared" si="27"/>
        <v>14.736842105263158</v>
      </c>
      <c r="M106" s="1010">
        <f t="shared" si="28"/>
        <v>16</v>
      </c>
      <c r="N106" s="1010">
        <f t="shared" si="29"/>
        <v>14.619883040935672</v>
      </c>
      <c r="O106" s="1011">
        <f t="shared" si="30"/>
        <v>0</v>
      </c>
    </row>
    <row r="107" spans="1:15" x14ac:dyDescent="0.3">
      <c r="A107" s="983" t="s">
        <v>88</v>
      </c>
      <c r="B107" s="983" t="s">
        <v>89</v>
      </c>
      <c r="C107" s="983" t="s">
        <v>255</v>
      </c>
      <c r="D107" s="989">
        <f t="shared" si="25"/>
        <v>15</v>
      </c>
      <c r="E107" s="990">
        <v>8</v>
      </c>
      <c r="F107" s="990">
        <v>5</v>
      </c>
      <c r="G107" s="991">
        <v>2</v>
      </c>
      <c r="H107" s="989">
        <f t="shared" si="26"/>
        <v>2292</v>
      </c>
      <c r="I107" s="990">
        <v>1542</v>
      </c>
      <c r="J107" s="990">
        <v>610</v>
      </c>
      <c r="K107" s="991">
        <v>140</v>
      </c>
      <c r="L107" s="1009">
        <f t="shared" si="27"/>
        <v>6.5445026178010473</v>
      </c>
      <c r="M107" s="1010">
        <f t="shared" si="28"/>
        <v>5.1880674448767836</v>
      </c>
      <c r="N107" s="1010">
        <f t="shared" si="29"/>
        <v>8.1967213114754109</v>
      </c>
      <c r="O107" s="1011">
        <f t="shared" si="30"/>
        <v>14.285714285714285</v>
      </c>
    </row>
    <row r="108" spans="1:15" x14ac:dyDescent="0.3">
      <c r="A108" s="983" t="s">
        <v>90</v>
      </c>
      <c r="B108" s="983" t="s">
        <v>91</v>
      </c>
      <c r="C108" s="983" t="s">
        <v>256</v>
      </c>
      <c r="D108" s="989">
        <f t="shared" si="25"/>
        <v>8</v>
      </c>
      <c r="E108" s="990">
        <v>8</v>
      </c>
      <c r="F108" s="990">
        <v>0</v>
      </c>
      <c r="G108" s="991">
        <v>0</v>
      </c>
      <c r="H108" s="989">
        <f t="shared" si="26"/>
        <v>395</v>
      </c>
      <c r="I108" s="990">
        <v>357</v>
      </c>
      <c r="J108" s="990">
        <v>29</v>
      </c>
      <c r="K108" s="991">
        <v>9</v>
      </c>
      <c r="L108" s="1009">
        <f t="shared" si="27"/>
        <v>20.253164556962027</v>
      </c>
      <c r="M108" s="1010">
        <f t="shared" si="28"/>
        <v>22.408963585434172</v>
      </c>
      <c r="N108" s="1010">
        <f t="shared" si="29"/>
        <v>0</v>
      </c>
      <c r="O108" s="1011">
        <f t="shared" si="30"/>
        <v>0</v>
      </c>
    </row>
    <row r="109" spans="1:15" x14ac:dyDescent="0.3">
      <c r="A109" s="983" t="s">
        <v>106</v>
      </c>
      <c r="B109" s="983" t="s">
        <v>107</v>
      </c>
      <c r="C109" s="983" t="s">
        <v>252</v>
      </c>
      <c r="D109" s="989">
        <f t="shared" si="25"/>
        <v>83</v>
      </c>
      <c r="E109" s="990">
        <v>20</v>
      </c>
      <c r="F109" s="990">
        <v>59</v>
      </c>
      <c r="G109" s="991">
        <v>4</v>
      </c>
      <c r="H109" s="989">
        <f t="shared" si="26"/>
        <v>8261</v>
      </c>
      <c r="I109" s="990">
        <v>2455</v>
      </c>
      <c r="J109" s="990">
        <v>5505</v>
      </c>
      <c r="K109" s="991">
        <v>301</v>
      </c>
      <c r="L109" s="1009">
        <f t="shared" si="27"/>
        <v>10.047209780898196</v>
      </c>
      <c r="M109" s="1010">
        <f t="shared" si="28"/>
        <v>8.146639511201629</v>
      </c>
      <c r="N109" s="1010">
        <f t="shared" si="29"/>
        <v>10.717529518619438</v>
      </c>
      <c r="O109" s="1011">
        <f t="shared" si="30"/>
        <v>13.289036544850498</v>
      </c>
    </row>
    <row r="110" spans="1:15" x14ac:dyDescent="0.3">
      <c r="A110" s="983" t="s">
        <v>116</v>
      </c>
      <c r="B110" s="983" t="s">
        <v>117</v>
      </c>
      <c r="C110" s="983" t="s">
        <v>254</v>
      </c>
      <c r="D110" s="989">
        <f t="shared" si="25"/>
        <v>26</v>
      </c>
      <c r="E110" s="990">
        <v>14</v>
      </c>
      <c r="F110" s="990">
        <v>11</v>
      </c>
      <c r="G110" s="991">
        <v>1</v>
      </c>
      <c r="H110" s="989">
        <f t="shared" si="26"/>
        <v>1451</v>
      </c>
      <c r="I110" s="990">
        <v>560</v>
      </c>
      <c r="J110" s="990">
        <v>853</v>
      </c>
      <c r="K110" s="991">
        <v>38</v>
      </c>
      <c r="L110" s="1009">
        <f t="shared" si="27"/>
        <v>17.918676774638183</v>
      </c>
      <c r="M110" s="1010">
        <f t="shared" si="28"/>
        <v>25</v>
      </c>
      <c r="N110" s="1010">
        <f t="shared" si="29"/>
        <v>12.895662368112545</v>
      </c>
      <c r="O110" s="1011">
        <f t="shared" si="30"/>
        <v>26.315789473684209</v>
      </c>
    </row>
    <row r="111" spans="1:15" x14ac:dyDescent="0.3">
      <c r="A111" s="983" t="s">
        <v>138</v>
      </c>
      <c r="B111" s="983" t="s">
        <v>139</v>
      </c>
      <c r="C111" s="983" t="s">
        <v>253</v>
      </c>
      <c r="D111" s="989">
        <f t="shared" si="25"/>
        <v>69</v>
      </c>
      <c r="E111" s="990">
        <v>26</v>
      </c>
      <c r="F111" s="990">
        <v>42</v>
      </c>
      <c r="G111" s="991">
        <v>1</v>
      </c>
      <c r="H111" s="989">
        <f t="shared" si="26"/>
        <v>6747</v>
      </c>
      <c r="I111" s="990">
        <v>4475</v>
      </c>
      <c r="J111" s="990">
        <v>1988</v>
      </c>
      <c r="K111" s="991">
        <v>284</v>
      </c>
      <c r="L111" s="1009">
        <f t="shared" si="27"/>
        <v>10.226767452200978</v>
      </c>
      <c r="M111" s="1010">
        <f t="shared" si="28"/>
        <v>5.8100558659217878</v>
      </c>
      <c r="N111" s="1010">
        <f t="shared" si="29"/>
        <v>21.12676056338028</v>
      </c>
      <c r="O111" s="1011">
        <f t="shared" si="30"/>
        <v>3.5211267605633805</v>
      </c>
    </row>
    <row r="112" spans="1:15" x14ac:dyDescent="0.3">
      <c r="A112" s="983" t="s">
        <v>142</v>
      </c>
      <c r="B112" s="983" t="s">
        <v>143</v>
      </c>
      <c r="C112" s="983" t="s">
        <v>255</v>
      </c>
      <c r="D112" s="989">
        <f t="shared" si="25"/>
        <v>49</v>
      </c>
      <c r="E112" s="990">
        <v>35</v>
      </c>
      <c r="F112" s="990">
        <v>3</v>
      </c>
      <c r="G112" s="991">
        <v>11</v>
      </c>
      <c r="H112" s="989">
        <f t="shared" si="26"/>
        <v>2679</v>
      </c>
      <c r="I112" s="990">
        <v>2044</v>
      </c>
      <c r="J112" s="990">
        <v>427</v>
      </c>
      <c r="K112" s="991">
        <v>208</v>
      </c>
      <c r="L112" s="1009">
        <f t="shared" si="27"/>
        <v>18.290406868234417</v>
      </c>
      <c r="M112" s="1010">
        <f t="shared" si="28"/>
        <v>17.123287671232877</v>
      </c>
      <c r="N112" s="1010">
        <f t="shared" si="29"/>
        <v>7.0257611241217797</v>
      </c>
      <c r="O112" s="1011">
        <f t="shared" si="30"/>
        <v>52.884615384615387</v>
      </c>
    </row>
    <row r="113" spans="1:15" x14ac:dyDescent="0.3">
      <c r="A113" s="983" t="s">
        <v>144</v>
      </c>
      <c r="B113" s="983" t="s">
        <v>145</v>
      </c>
      <c r="C113" s="983" t="s">
        <v>255</v>
      </c>
      <c r="D113" s="989">
        <f t="shared" si="25"/>
        <v>0</v>
      </c>
      <c r="E113" s="990">
        <v>0</v>
      </c>
      <c r="F113" s="990">
        <v>0</v>
      </c>
      <c r="G113" s="991">
        <v>0</v>
      </c>
      <c r="H113" s="989">
        <f t="shared" si="26"/>
        <v>1155</v>
      </c>
      <c r="I113" s="990">
        <v>859</v>
      </c>
      <c r="J113" s="990">
        <v>168</v>
      </c>
      <c r="K113" s="991">
        <v>128</v>
      </c>
      <c r="L113" s="1009">
        <f t="shared" si="27"/>
        <v>0</v>
      </c>
      <c r="M113" s="1010">
        <f t="shared" si="28"/>
        <v>0</v>
      </c>
      <c r="N113" s="1010">
        <f t="shared" si="29"/>
        <v>0</v>
      </c>
      <c r="O113" s="1011">
        <f t="shared" si="30"/>
        <v>0</v>
      </c>
    </row>
    <row r="114" spans="1:15" x14ac:dyDescent="0.3">
      <c r="A114" s="983" t="s">
        <v>158</v>
      </c>
      <c r="B114" s="983" t="s">
        <v>159</v>
      </c>
      <c r="C114" s="983" t="s">
        <v>252</v>
      </c>
      <c r="D114" s="989">
        <f t="shared" si="25"/>
        <v>121</v>
      </c>
      <c r="E114" s="990">
        <v>35</v>
      </c>
      <c r="F114" s="990">
        <v>69</v>
      </c>
      <c r="G114" s="991">
        <v>17</v>
      </c>
      <c r="H114" s="989">
        <f t="shared" si="26"/>
        <v>11199</v>
      </c>
      <c r="I114" s="990">
        <v>4917</v>
      </c>
      <c r="J114" s="990">
        <v>5786</v>
      </c>
      <c r="K114" s="991">
        <v>496</v>
      </c>
      <c r="L114" s="1009">
        <f t="shared" si="27"/>
        <v>10.804536119296365</v>
      </c>
      <c r="M114" s="1010">
        <f t="shared" si="28"/>
        <v>7.1181614805775881</v>
      </c>
      <c r="N114" s="1010">
        <f t="shared" si="29"/>
        <v>11.925337020394053</v>
      </c>
      <c r="O114" s="1011">
        <f t="shared" si="30"/>
        <v>34.274193548387096</v>
      </c>
    </row>
    <row r="115" spans="1:15" x14ac:dyDescent="0.3">
      <c r="A115" s="983" t="s">
        <v>160</v>
      </c>
      <c r="B115" s="983" t="s">
        <v>161</v>
      </c>
      <c r="C115" s="983" t="s">
        <v>252</v>
      </c>
      <c r="D115" s="989">
        <f t="shared" si="25"/>
        <v>170</v>
      </c>
      <c r="E115" s="990">
        <v>37</v>
      </c>
      <c r="F115" s="990">
        <v>118</v>
      </c>
      <c r="G115" s="991">
        <v>15</v>
      </c>
      <c r="H115" s="989">
        <f t="shared" si="26"/>
        <v>13076</v>
      </c>
      <c r="I115" s="990">
        <v>4814</v>
      </c>
      <c r="J115" s="990">
        <v>7626</v>
      </c>
      <c r="K115" s="991">
        <v>636</v>
      </c>
      <c r="L115" s="1009">
        <f t="shared" si="27"/>
        <v>13.000917711838483</v>
      </c>
      <c r="M115" s="1010">
        <f t="shared" si="28"/>
        <v>7.6859160781055254</v>
      </c>
      <c r="N115" s="1010">
        <f t="shared" si="29"/>
        <v>15.473380540257017</v>
      </c>
      <c r="O115" s="1011">
        <f t="shared" si="30"/>
        <v>23.584905660377359</v>
      </c>
    </row>
    <row r="116" spans="1:15" x14ac:dyDescent="0.3">
      <c r="A116" s="983" t="s">
        <v>166</v>
      </c>
      <c r="B116" s="983" t="s">
        <v>167</v>
      </c>
      <c r="C116" s="983" t="s">
        <v>256</v>
      </c>
      <c r="D116" s="989">
        <f t="shared" si="25"/>
        <v>6</v>
      </c>
      <c r="E116" s="990">
        <v>6</v>
      </c>
      <c r="F116" s="990">
        <v>0</v>
      </c>
      <c r="G116" s="991">
        <v>0</v>
      </c>
      <c r="H116" s="989">
        <f t="shared" si="26"/>
        <v>201</v>
      </c>
      <c r="I116" s="990">
        <v>171</v>
      </c>
      <c r="J116" s="990">
        <v>29</v>
      </c>
      <c r="K116" s="991">
        <v>1</v>
      </c>
      <c r="L116" s="1009">
        <f t="shared" si="27"/>
        <v>29.850746268656717</v>
      </c>
      <c r="M116" s="1010">
        <f t="shared" si="28"/>
        <v>35.087719298245609</v>
      </c>
      <c r="N116" s="1010">
        <f t="shared" si="29"/>
        <v>0</v>
      </c>
      <c r="O116" s="1011">
        <f t="shared" si="30"/>
        <v>0</v>
      </c>
    </row>
    <row r="117" spans="1:15" x14ac:dyDescent="0.3">
      <c r="A117" s="983" t="s">
        <v>176</v>
      </c>
      <c r="B117" s="983" t="s">
        <v>177</v>
      </c>
      <c r="C117" s="983" t="s">
        <v>254</v>
      </c>
      <c r="D117" s="989">
        <f t="shared" si="25"/>
        <v>40</v>
      </c>
      <c r="E117" s="990">
        <v>8</v>
      </c>
      <c r="F117" s="990">
        <v>31</v>
      </c>
      <c r="G117" s="991">
        <v>1</v>
      </c>
      <c r="H117" s="989">
        <f t="shared" si="26"/>
        <v>1557</v>
      </c>
      <c r="I117" s="990">
        <v>215</v>
      </c>
      <c r="J117" s="990">
        <v>1314</v>
      </c>
      <c r="K117" s="991">
        <v>28</v>
      </c>
      <c r="L117" s="1009">
        <f t="shared" si="27"/>
        <v>25.690430314707772</v>
      </c>
      <c r="M117" s="1010">
        <f t="shared" si="28"/>
        <v>37.209302325581397</v>
      </c>
      <c r="N117" s="1010">
        <f t="shared" si="29"/>
        <v>23.592085235920852</v>
      </c>
      <c r="O117" s="1011">
        <f t="shared" si="30"/>
        <v>35.714285714285715</v>
      </c>
    </row>
    <row r="118" spans="1:15" x14ac:dyDescent="0.3">
      <c r="A118" s="983" t="s">
        <v>180</v>
      </c>
      <c r="B118" s="983" t="s">
        <v>181</v>
      </c>
      <c r="C118" s="983" t="s">
        <v>252</v>
      </c>
      <c r="D118" s="989">
        <f t="shared" si="25"/>
        <v>76</v>
      </c>
      <c r="E118" s="990">
        <v>13</v>
      </c>
      <c r="F118" s="990">
        <v>61</v>
      </c>
      <c r="G118" s="991">
        <v>2</v>
      </c>
      <c r="H118" s="989">
        <f t="shared" si="26"/>
        <v>5255</v>
      </c>
      <c r="I118" s="990">
        <v>1472</v>
      </c>
      <c r="J118" s="990">
        <v>3652</v>
      </c>
      <c r="K118" s="991">
        <v>131</v>
      </c>
      <c r="L118" s="1009">
        <f t="shared" si="27"/>
        <v>14.462416745956231</v>
      </c>
      <c r="M118" s="1010">
        <f t="shared" si="28"/>
        <v>8.8315217391304337</v>
      </c>
      <c r="N118" s="1010">
        <f t="shared" si="29"/>
        <v>16.703176341730558</v>
      </c>
      <c r="O118" s="1011">
        <f t="shared" si="30"/>
        <v>15.267175572519083</v>
      </c>
    </row>
    <row r="119" spans="1:15" x14ac:dyDescent="0.3">
      <c r="A119" s="983" t="s">
        <v>192</v>
      </c>
      <c r="B119" s="983" t="s">
        <v>193</v>
      </c>
      <c r="C119" s="983" t="s">
        <v>256</v>
      </c>
      <c r="D119" s="989">
        <f t="shared" si="25"/>
        <v>9</v>
      </c>
      <c r="E119" s="990">
        <v>7</v>
      </c>
      <c r="F119" s="990">
        <v>1</v>
      </c>
      <c r="G119" s="991">
        <v>1</v>
      </c>
      <c r="H119" s="989">
        <f t="shared" si="26"/>
        <v>2051</v>
      </c>
      <c r="I119" s="990">
        <v>1803</v>
      </c>
      <c r="J119" s="990">
        <v>206</v>
      </c>
      <c r="K119" s="991">
        <v>42</v>
      </c>
      <c r="L119" s="1009">
        <f t="shared" si="27"/>
        <v>4.3881033642125793</v>
      </c>
      <c r="M119" s="1010">
        <f t="shared" si="28"/>
        <v>3.882418191902385</v>
      </c>
      <c r="N119" s="1010">
        <f t="shared" si="29"/>
        <v>4.8543689320388346</v>
      </c>
      <c r="O119" s="1011">
        <f t="shared" si="30"/>
        <v>23.809523809523807</v>
      </c>
    </row>
    <row r="120" spans="1:15" x14ac:dyDescent="0.3">
      <c r="A120" s="983" t="s">
        <v>196</v>
      </c>
      <c r="B120" s="983" t="s">
        <v>197</v>
      </c>
      <c r="C120" s="983" t="s">
        <v>254</v>
      </c>
      <c r="D120" s="989">
        <f t="shared" si="25"/>
        <v>194</v>
      </c>
      <c r="E120" s="990">
        <v>48</v>
      </c>
      <c r="F120" s="990">
        <v>133</v>
      </c>
      <c r="G120" s="991">
        <v>13</v>
      </c>
      <c r="H120" s="989">
        <f t="shared" si="26"/>
        <v>12150</v>
      </c>
      <c r="I120" s="990">
        <v>4377</v>
      </c>
      <c r="J120" s="990">
        <v>7195</v>
      </c>
      <c r="K120" s="991">
        <v>578</v>
      </c>
      <c r="L120" s="1009">
        <f t="shared" si="27"/>
        <v>15.967078189300411</v>
      </c>
      <c r="M120" s="1010">
        <f t="shared" si="28"/>
        <v>10.966415352981494</v>
      </c>
      <c r="N120" s="1010">
        <f t="shared" si="29"/>
        <v>18.485059068797774</v>
      </c>
      <c r="O120" s="1011">
        <f t="shared" si="30"/>
        <v>22.491349480968861</v>
      </c>
    </row>
    <row r="121" spans="1:15" x14ac:dyDescent="0.3">
      <c r="A121" s="983" t="s">
        <v>200</v>
      </c>
      <c r="B121" s="983" t="s">
        <v>201</v>
      </c>
      <c r="C121" s="983" t="s">
        <v>253</v>
      </c>
      <c r="D121" s="989">
        <f t="shared" si="25"/>
        <v>102</v>
      </c>
      <c r="E121" s="990">
        <v>59</v>
      </c>
      <c r="F121" s="990">
        <v>42</v>
      </c>
      <c r="G121" s="991">
        <v>1</v>
      </c>
      <c r="H121" s="989">
        <f t="shared" si="26"/>
        <v>5279</v>
      </c>
      <c r="I121" s="990">
        <v>2697</v>
      </c>
      <c r="J121" s="990">
        <v>2272</v>
      </c>
      <c r="K121" s="991">
        <v>310</v>
      </c>
      <c r="L121" s="1009">
        <f t="shared" si="27"/>
        <v>19.321841257813983</v>
      </c>
      <c r="M121" s="1010">
        <f t="shared" si="28"/>
        <v>21.876158694846126</v>
      </c>
      <c r="N121" s="1010">
        <f t="shared" si="29"/>
        <v>18.485915492957748</v>
      </c>
      <c r="O121" s="1011">
        <f t="shared" si="30"/>
        <v>3.225806451612903</v>
      </c>
    </row>
    <row r="122" spans="1:15" x14ac:dyDescent="0.3">
      <c r="A122" s="983" t="s">
        <v>222</v>
      </c>
      <c r="B122" s="983" t="s">
        <v>223</v>
      </c>
      <c r="C122" s="983" t="s">
        <v>252</v>
      </c>
      <c r="D122" s="989">
        <f t="shared" si="25"/>
        <v>55</v>
      </c>
      <c r="E122" s="990">
        <v>16</v>
      </c>
      <c r="F122" s="990">
        <v>37</v>
      </c>
      <c r="G122" s="991">
        <v>2</v>
      </c>
      <c r="H122" s="989">
        <f t="shared" si="26"/>
        <v>5811</v>
      </c>
      <c r="I122" s="990">
        <v>2561</v>
      </c>
      <c r="J122" s="990">
        <v>3076</v>
      </c>
      <c r="K122" s="991">
        <v>174</v>
      </c>
      <c r="L122" s="1009">
        <f t="shared" si="27"/>
        <v>9.464808122526243</v>
      </c>
      <c r="M122" s="1010">
        <f t="shared" si="28"/>
        <v>6.2475595470519334</v>
      </c>
      <c r="N122" s="1010">
        <f t="shared" si="29"/>
        <v>12.028608582574773</v>
      </c>
      <c r="O122" s="1011">
        <f t="shared" si="30"/>
        <v>11.494252873563218</v>
      </c>
    </row>
    <row r="123" spans="1:15" x14ac:dyDescent="0.3">
      <c r="A123" s="983" t="s">
        <v>230</v>
      </c>
      <c r="B123" s="983" t="s">
        <v>231</v>
      </c>
      <c r="C123" s="983" t="s">
        <v>252</v>
      </c>
      <c r="D123" s="989">
        <f t="shared" si="25"/>
        <v>147</v>
      </c>
      <c r="E123" s="990">
        <v>66</v>
      </c>
      <c r="F123" s="990">
        <v>71</v>
      </c>
      <c r="G123" s="991">
        <v>10</v>
      </c>
      <c r="H123" s="989">
        <f t="shared" si="26"/>
        <v>26125</v>
      </c>
      <c r="I123" s="990">
        <v>16730</v>
      </c>
      <c r="J123" s="990">
        <v>6983</v>
      </c>
      <c r="K123" s="991">
        <v>2412</v>
      </c>
      <c r="L123" s="1009">
        <f t="shared" si="27"/>
        <v>5.6267942583732058</v>
      </c>
      <c r="M123" s="1010">
        <f t="shared" si="28"/>
        <v>3.945008965929468</v>
      </c>
      <c r="N123" s="1010">
        <f t="shared" si="29"/>
        <v>10.167549763711872</v>
      </c>
      <c r="O123" s="1011">
        <f t="shared" si="30"/>
        <v>4.1459369817578775</v>
      </c>
    </row>
    <row r="124" spans="1:15" x14ac:dyDescent="0.3">
      <c r="A124" s="983" t="s">
        <v>238</v>
      </c>
      <c r="B124" s="983" t="s">
        <v>239</v>
      </c>
      <c r="C124" s="983" t="s">
        <v>252</v>
      </c>
      <c r="D124" s="989">
        <f t="shared" si="25"/>
        <v>4</v>
      </c>
      <c r="E124" s="990">
        <v>3</v>
      </c>
      <c r="F124" s="990">
        <v>1</v>
      </c>
      <c r="G124" s="991">
        <v>0</v>
      </c>
      <c r="H124" s="989">
        <f t="shared" si="26"/>
        <v>1554</v>
      </c>
      <c r="I124" s="990">
        <v>1134</v>
      </c>
      <c r="J124" s="990">
        <v>232</v>
      </c>
      <c r="K124" s="991">
        <v>188</v>
      </c>
      <c r="L124" s="1009">
        <f t="shared" si="27"/>
        <v>2.574002574002574</v>
      </c>
      <c r="M124" s="1010">
        <f t="shared" si="28"/>
        <v>2.6455026455026456</v>
      </c>
      <c r="N124" s="1010">
        <f t="shared" si="29"/>
        <v>4.3103448275862064</v>
      </c>
      <c r="O124" s="1011">
        <f t="shared" si="30"/>
        <v>0</v>
      </c>
    </row>
    <row r="125" spans="1:15" x14ac:dyDescent="0.3">
      <c r="A125" s="999" t="s">
        <v>240</v>
      </c>
      <c r="B125" s="999" t="s">
        <v>241</v>
      </c>
      <c r="C125" s="999" t="s">
        <v>255</v>
      </c>
      <c r="D125" s="989">
        <f t="shared" si="25"/>
        <v>23</v>
      </c>
      <c r="E125" s="1000">
        <v>18</v>
      </c>
      <c r="F125" s="1000">
        <v>3</v>
      </c>
      <c r="G125" s="1001">
        <v>2</v>
      </c>
      <c r="H125" s="989">
        <f t="shared" si="26"/>
        <v>1849</v>
      </c>
      <c r="I125" s="1002">
        <v>1502</v>
      </c>
      <c r="J125" s="1002">
        <v>272</v>
      </c>
      <c r="K125" s="1001">
        <v>75</v>
      </c>
      <c r="L125" s="1009">
        <f t="shared" si="27"/>
        <v>12.439156300703083</v>
      </c>
      <c r="M125" s="1012">
        <f t="shared" si="28"/>
        <v>11.984021304926763</v>
      </c>
      <c r="N125" s="1012">
        <f t="shared" si="29"/>
        <v>11.029411764705882</v>
      </c>
      <c r="O125" s="1013">
        <f t="shared" si="30"/>
        <v>26.666666666666668</v>
      </c>
    </row>
    <row r="127" spans="1:15" x14ac:dyDescent="0.3">
      <c r="A127" s="983" t="s">
        <v>254</v>
      </c>
      <c r="D127" s="989">
        <f t="shared" ref="D127:D131" si="31">SUM(E127:G127)</f>
        <v>646</v>
      </c>
      <c r="E127" s="990">
        <v>281</v>
      </c>
      <c r="F127" s="990">
        <v>326</v>
      </c>
      <c r="G127" s="991">
        <v>39</v>
      </c>
      <c r="H127" s="989">
        <f t="shared" ref="H127:H131" si="32">SUM(I127:K127)</f>
        <v>85427</v>
      </c>
      <c r="I127" s="990">
        <v>50919</v>
      </c>
      <c r="J127" s="990">
        <v>29917</v>
      </c>
      <c r="K127" s="991">
        <v>4591</v>
      </c>
      <c r="L127" s="1003">
        <f t="shared" ref="L127:L131" si="33">IF(H127=0,"NA",(D127/H127)*1000)</f>
        <v>7.5620120102543691</v>
      </c>
      <c r="M127" s="1004">
        <f t="shared" ref="M127:M131" si="34">IF(I127=0,"NA",(E127/I127)*1000)</f>
        <v>5.5185687071623564</v>
      </c>
      <c r="N127" s="1004">
        <f t="shared" ref="N127:N131" si="35">IF(J127=0,"NA",(F127/J127)*1000)</f>
        <v>10.896814520172477</v>
      </c>
      <c r="O127" s="1005">
        <f t="shared" ref="O127:O131" si="36">IF(K127=0,"NA",(G127/K127)*1000)</f>
        <v>8.4948812894794159</v>
      </c>
    </row>
    <row r="128" spans="1:15" x14ac:dyDescent="0.3">
      <c r="A128" s="983" t="s">
        <v>252</v>
      </c>
      <c r="D128" s="989">
        <f t="shared" si="31"/>
        <v>926</v>
      </c>
      <c r="E128" s="990">
        <v>302</v>
      </c>
      <c r="F128" s="990">
        <v>555</v>
      </c>
      <c r="G128" s="991">
        <v>69</v>
      </c>
      <c r="H128" s="989">
        <f t="shared" si="32"/>
        <v>112008</v>
      </c>
      <c r="I128" s="990">
        <v>60778</v>
      </c>
      <c r="J128" s="990">
        <v>45137</v>
      </c>
      <c r="K128" s="991">
        <v>6093</v>
      </c>
      <c r="L128" s="1003">
        <f t="shared" si="33"/>
        <v>8.2672666238125849</v>
      </c>
      <c r="M128" s="1004">
        <f t="shared" si="34"/>
        <v>4.9689032215604332</v>
      </c>
      <c r="N128" s="1004">
        <f t="shared" si="35"/>
        <v>12.295899151472184</v>
      </c>
      <c r="O128" s="1005">
        <f t="shared" si="36"/>
        <v>11.324470704086657</v>
      </c>
    </row>
    <row r="129" spans="1:15" x14ac:dyDescent="0.3">
      <c r="A129" s="983" t="s">
        <v>255</v>
      </c>
      <c r="D129" s="989">
        <f t="shared" si="31"/>
        <v>1200</v>
      </c>
      <c r="E129" s="990">
        <v>592</v>
      </c>
      <c r="F129" s="990">
        <v>154</v>
      </c>
      <c r="G129" s="991">
        <v>454</v>
      </c>
      <c r="H129" s="989">
        <f t="shared" si="32"/>
        <v>224070</v>
      </c>
      <c r="I129" s="990">
        <v>159121</v>
      </c>
      <c r="J129" s="990">
        <v>32875</v>
      </c>
      <c r="K129" s="991">
        <v>32074</v>
      </c>
      <c r="L129" s="1003">
        <f t="shared" si="33"/>
        <v>5.3554692729950464</v>
      </c>
      <c r="M129" s="1004">
        <f t="shared" si="34"/>
        <v>3.7204391626498077</v>
      </c>
      <c r="N129" s="1004">
        <f t="shared" si="35"/>
        <v>4.6844106463878328</v>
      </c>
      <c r="O129" s="1005">
        <f t="shared" si="36"/>
        <v>14.154767101078756</v>
      </c>
    </row>
    <row r="130" spans="1:15" x14ac:dyDescent="0.3">
      <c r="A130" s="983" t="s">
        <v>253</v>
      </c>
      <c r="D130" s="989">
        <f t="shared" si="31"/>
        <v>653</v>
      </c>
      <c r="E130" s="990">
        <v>451</v>
      </c>
      <c r="F130" s="990">
        <v>185</v>
      </c>
      <c r="G130" s="991">
        <v>17</v>
      </c>
      <c r="H130" s="989">
        <f t="shared" si="32"/>
        <v>70007</v>
      </c>
      <c r="I130" s="990">
        <v>52814</v>
      </c>
      <c r="J130" s="990">
        <v>14615</v>
      </c>
      <c r="K130" s="991">
        <v>2578</v>
      </c>
      <c r="L130" s="1003">
        <f t="shared" si="33"/>
        <v>9.3276386647049581</v>
      </c>
      <c r="M130" s="1004">
        <f t="shared" si="34"/>
        <v>8.5394024311735528</v>
      </c>
      <c r="N130" s="1004">
        <f t="shared" si="35"/>
        <v>12.658227848101266</v>
      </c>
      <c r="O130" s="1005">
        <f t="shared" si="36"/>
        <v>6.5942591155934833</v>
      </c>
    </row>
    <row r="131" spans="1:15" x14ac:dyDescent="0.3">
      <c r="A131" s="983" t="s">
        <v>256</v>
      </c>
      <c r="D131" s="989">
        <f t="shared" si="31"/>
        <v>399</v>
      </c>
      <c r="E131" s="990">
        <v>382</v>
      </c>
      <c r="F131" s="990">
        <v>9</v>
      </c>
      <c r="G131" s="991">
        <v>8</v>
      </c>
      <c r="H131" s="989">
        <f t="shared" si="32"/>
        <v>34047</v>
      </c>
      <c r="I131" s="990">
        <v>31677</v>
      </c>
      <c r="J131" s="990">
        <v>1498</v>
      </c>
      <c r="K131" s="991">
        <v>872</v>
      </c>
      <c r="L131" s="1003">
        <f t="shared" si="33"/>
        <v>11.719094193320997</v>
      </c>
      <c r="M131" s="1004">
        <f t="shared" si="34"/>
        <v>12.059222779934968</v>
      </c>
      <c r="N131" s="1004">
        <f t="shared" si="35"/>
        <v>6.0080106809078773</v>
      </c>
      <c r="O131" s="1005">
        <f t="shared" si="36"/>
        <v>9.1743119266055047</v>
      </c>
    </row>
    <row r="133" spans="1:15" x14ac:dyDescent="0.3">
      <c r="B133" s="983" t="s">
        <v>720</v>
      </c>
    </row>
    <row r="135" spans="1:15" x14ac:dyDescent="0.3">
      <c r="B135" s="983" t="s">
        <v>718</v>
      </c>
    </row>
    <row r="136" spans="1:15" x14ac:dyDescent="0.3">
      <c r="B136" s="983" t="s">
        <v>249</v>
      </c>
      <c r="D136" s="992" t="s">
        <v>719</v>
      </c>
    </row>
  </sheetData>
  <autoFilter ref="A4:C125"/>
  <sortState ref="A6:O125">
    <sortCondition ref="A6:A125"/>
  </sortState>
  <mergeCells count="3">
    <mergeCell ref="D3:G3"/>
    <mergeCell ref="H3:K3"/>
    <mergeCell ref="L3:O3"/>
  </mergeCells>
  <hyperlinks>
    <hyperlink ref="D136"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P135"/>
  <sheetViews>
    <sheetView workbookViewId="0">
      <pane xSplit="3" ySplit="5" topLeftCell="K119" activePane="bottomRight" state="frozen"/>
      <selection pane="topRight" activeCell="D1" sqref="D1"/>
      <selection pane="bottomLeft" activeCell="A6" sqref="A6"/>
      <selection pane="bottomRight" activeCell="X127" sqref="X127:X131"/>
    </sheetView>
  </sheetViews>
  <sheetFormatPr defaultColWidth="9" defaultRowHeight="15.6" x14ac:dyDescent="0.3"/>
  <cols>
    <col min="1" max="1" width="7.69921875" style="134" customWidth="1"/>
    <col min="2" max="2" width="28.59765625" style="158" customWidth="1"/>
    <col min="3" max="3" width="10" style="158" customWidth="1"/>
    <col min="4" max="4" width="8.19921875" style="158" customWidth="1"/>
    <col min="5" max="7" width="8.19921875" style="157" customWidth="1"/>
    <col min="8" max="11" width="8.19921875" style="134" customWidth="1"/>
    <col min="12" max="15" width="8.19921875" style="135" customWidth="1"/>
    <col min="16" max="24" width="8.19921875" style="134" customWidth="1"/>
    <col min="25" max="25" width="3.5" style="134" customWidth="1"/>
    <col min="26" max="46" width="9" style="134"/>
    <col min="47" max="47" width="5.19921875" style="134" customWidth="1"/>
    <col min="48" max="16384" width="9" style="134"/>
  </cols>
  <sheetData>
    <row r="1" spans="1:68" x14ac:dyDescent="0.3">
      <c r="A1" s="301" t="s">
        <v>1125</v>
      </c>
      <c r="B1" s="301"/>
      <c r="C1" s="301"/>
      <c r="D1" s="301"/>
      <c r="E1" s="301"/>
      <c r="F1" s="301"/>
      <c r="G1" s="301"/>
      <c r="H1" s="301"/>
      <c r="I1" s="302"/>
      <c r="J1" s="302"/>
      <c r="K1" s="302"/>
      <c r="L1" s="302"/>
      <c r="M1" s="302"/>
      <c r="N1" s="302"/>
      <c r="O1" s="302"/>
    </row>
    <row r="2" spans="1:68" x14ac:dyDescent="0.3">
      <c r="A2" s="96">
        <v>1</v>
      </c>
      <c r="B2" s="136">
        <v>2</v>
      </c>
      <c r="C2" s="96">
        <v>3</v>
      </c>
      <c r="D2" s="96">
        <v>4</v>
      </c>
      <c r="E2" s="136">
        <v>5</v>
      </c>
      <c r="F2" s="96">
        <v>6</v>
      </c>
      <c r="G2" s="96">
        <v>7</v>
      </c>
      <c r="H2" s="136">
        <v>8</v>
      </c>
      <c r="I2" s="96">
        <v>9</v>
      </c>
      <c r="J2" s="96">
        <v>10</v>
      </c>
      <c r="K2" s="136">
        <v>11</v>
      </c>
      <c r="L2" s="96">
        <v>12</v>
      </c>
      <c r="M2" s="96">
        <v>13</v>
      </c>
      <c r="N2" s="136">
        <v>14</v>
      </c>
      <c r="O2" s="96">
        <v>15</v>
      </c>
      <c r="P2" s="96">
        <v>16</v>
      </c>
      <c r="Q2" s="136">
        <v>17</v>
      </c>
      <c r="R2" s="96">
        <v>18</v>
      </c>
      <c r="S2" s="96">
        <v>19</v>
      </c>
      <c r="T2" s="136">
        <v>20</v>
      </c>
      <c r="U2" s="96">
        <v>21</v>
      </c>
      <c r="V2" s="96">
        <v>22</v>
      </c>
      <c r="W2" s="136">
        <v>23</v>
      </c>
      <c r="X2" s="96">
        <v>24</v>
      </c>
      <c r="Y2" s="96">
        <v>25</v>
      </c>
      <c r="Z2" s="136">
        <v>26</v>
      </c>
      <c r="AA2" s="96">
        <v>27</v>
      </c>
      <c r="AB2" s="96">
        <v>28</v>
      </c>
      <c r="AC2" s="136">
        <v>29</v>
      </c>
      <c r="AD2" s="96">
        <v>30</v>
      </c>
      <c r="AE2" s="96">
        <v>31</v>
      </c>
      <c r="AF2" s="136">
        <v>32</v>
      </c>
      <c r="AG2" s="96">
        <v>33</v>
      </c>
      <c r="AH2" s="96">
        <v>34</v>
      </c>
      <c r="AI2" s="136">
        <v>35</v>
      </c>
      <c r="AJ2" s="96">
        <v>36</v>
      </c>
      <c r="AK2" s="96">
        <v>37</v>
      </c>
      <c r="AL2" s="136">
        <v>38</v>
      </c>
      <c r="AM2" s="96">
        <v>39</v>
      </c>
      <c r="AN2" s="96">
        <v>40</v>
      </c>
      <c r="AO2" s="136">
        <v>41</v>
      </c>
      <c r="AP2" s="96">
        <v>42</v>
      </c>
      <c r="AQ2" s="96">
        <v>43</v>
      </c>
      <c r="AR2" s="136">
        <v>44</v>
      </c>
      <c r="AS2" s="96">
        <v>45</v>
      </c>
      <c r="AT2" s="96">
        <v>46</v>
      </c>
      <c r="AU2" s="136">
        <v>47</v>
      </c>
      <c r="AV2" s="96">
        <v>48</v>
      </c>
      <c r="AW2" s="96">
        <v>49</v>
      </c>
      <c r="AX2" s="136">
        <v>50</v>
      </c>
      <c r="AY2" s="96">
        <v>51</v>
      </c>
      <c r="AZ2" s="96">
        <v>52</v>
      </c>
      <c r="BA2" s="136">
        <v>53</v>
      </c>
      <c r="BB2" s="96">
        <v>54</v>
      </c>
      <c r="BC2" s="96">
        <v>55</v>
      </c>
      <c r="BD2" s="136">
        <v>56</v>
      </c>
      <c r="BE2" s="96">
        <v>57</v>
      </c>
      <c r="BF2" s="96">
        <v>58</v>
      </c>
      <c r="BG2" s="136">
        <v>59</v>
      </c>
      <c r="BH2" s="96">
        <v>60</v>
      </c>
      <c r="BI2" s="96">
        <v>61</v>
      </c>
      <c r="BJ2" s="136">
        <v>62</v>
      </c>
      <c r="BK2" s="96">
        <v>63</v>
      </c>
      <c r="BL2" s="96">
        <v>64</v>
      </c>
      <c r="BM2" s="136">
        <v>65</v>
      </c>
      <c r="BN2" s="96">
        <v>66</v>
      </c>
      <c r="BO2" s="96">
        <v>67</v>
      </c>
      <c r="BP2" s="136">
        <v>68</v>
      </c>
    </row>
    <row r="3" spans="1:68" ht="15.75" customHeight="1" x14ac:dyDescent="0.3">
      <c r="A3" s="96"/>
      <c r="B3" s="136"/>
      <c r="C3" s="136"/>
      <c r="D3" s="2733" t="s">
        <v>493</v>
      </c>
      <c r="E3" s="2733"/>
      <c r="F3" s="2733"/>
      <c r="G3" s="2733"/>
      <c r="H3" s="2733"/>
      <c r="I3" s="2733"/>
      <c r="J3" s="2733"/>
      <c r="K3" s="2733"/>
      <c r="L3" s="2733"/>
      <c r="M3" s="2733"/>
      <c r="N3" s="2733"/>
      <c r="O3" s="2733"/>
      <c r="P3" s="2733"/>
      <c r="Q3" s="2733"/>
      <c r="R3" s="2733"/>
      <c r="S3" s="2733"/>
      <c r="T3" s="2733"/>
      <c r="U3" s="1362"/>
      <c r="V3" s="1899"/>
      <c r="W3" s="2266"/>
      <c r="X3" s="2349"/>
      <c r="Y3" s="1266"/>
      <c r="Z3" s="2734" t="s">
        <v>713</v>
      </c>
      <c r="AA3" s="2734"/>
      <c r="AB3" s="2734"/>
      <c r="AC3" s="2734"/>
      <c r="AD3" s="2734"/>
      <c r="AE3" s="2734"/>
      <c r="AF3" s="2734"/>
      <c r="AG3" s="2734"/>
      <c r="AH3" s="2734"/>
      <c r="AI3" s="2734"/>
      <c r="AJ3" s="2734"/>
      <c r="AK3" s="2734"/>
      <c r="AL3" s="2734"/>
      <c r="AM3" s="2734"/>
      <c r="AN3" s="2734"/>
      <c r="AO3" s="2734"/>
      <c r="AP3" s="2734"/>
      <c r="AQ3" s="1363"/>
      <c r="AR3" s="1909"/>
      <c r="AS3" s="1909"/>
      <c r="AT3" s="1909"/>
      <c r="AU3" s="1267"/>
      <c r="AV3" s="2735" t="s">
        <v>714</v>
      </c>
      <c r="AW3" s="2735"/>
      <c r="AX3" s="2735"/>
      <c r="AY3" s="2735"/>
      <c r="AZ3" s="2735"/>
      <c r="BA3" s="2735"/>
      <c r="BB3" s="2735"/>
      <c r="BC3" s="2735"/>
      <c r="BD3" s="2735"/>
      <c r="BE3" s="2735"/>
      <c r="BF3" s="2735"/>
      <c r="BG3" s="2735"/>
      <c r="BH3" s="2735"/>
      <c r="BI3" s="2735"/>
      <c r="BJ3" s="2735"/>
      <c r="BK3" s="2735"/>
      <c r="BL3" s="2735"/>
      <c r="BM3" s="1364"/>
      <c r="BN3" s="1900"/>
      <c r="BO3" s="2267"/>
      <c r="BP3" s="2317"/>
    </row>
    <row r="4" spans="1:68" s="142" customFormat="1" ht="15" customHeight="1" x14ac:dyDescent="0.3">
      <c r="A4" s="946" t="s">
        <v>4</v>
      </c>
      <c r="B4" s="945" t="s">
        <v>5</v>
      </c>
      <c r="C4" s="945" t="s">
        <v>251</v>
      </c>
      <c r="D4" s="956">
        <v>1998</v>
      </c>
      <c r="E4" s="957">
        <v>1999</v>
      </c>
      <c r="F4" s="957">
        <v>2000</v>
      </c>
      <c r="G4" s="957">
        <v>2001</v>
      </c>
      <c r="H4" s="957">
        <v>2002</v>
      </c>
      <c r="I4" s="957">
        <v>2003</v>
      </c>
      <c r="J4" s="957">
        <v>2004</v>
      </c>
      <c r="K4" s="957">
        <v>2005</v>
      </c>
      <c r="L4" s="957">
        <v>2006</v>
      </c>
      <c r="M4" s="957">
        <v>2007</v>
      </c>
      <c r="N4" s="957">
        <v>2008</v>
      </c>
      <c r="O4" s="958">
        <v>2009</v>
      </c>
      <c r="P4" s="959">
        <v>2010</v>
      </c>
      <c r="Q4" s="959">
        <v>2011</v>
      </c>
      <c r="R4" s="1105">
        <v>2012</v>
      </c>
      <c r="S4" s="1903">
        <v>2013</v>
      </c>
      <c r="T4" s="1905">
        <v>2014</v>
      </c>
      <c r="U4" s="1905">
        <v>2015</v>
      </c>
      <c r="V4" s="2287">
        <v>2016</v>
      </c>
      <c r="W4" s="1903">
        <v>2017</v>
      </c>
      <c r="X4" s="1906">
        <v>2018</v>
      </c>
      <c r="Y4" s="1271"/>
      <c r="Z4" s="966">
        <v>1998</v>
      </c>
      <c r="AA4" s="959">
        <v>1999</v>
      </c>
      <c r="AB4" s="959">
        <v>2000</v>
      </c>
      <c r="AC4" s="959">
        <v>2001</v>
      </c>
      <c r="AD4" s="959">
        <v>2002</v>
      </c>
      <c r="AE4" s="959">
        <v>2003</v>
      </c>
      <c r="AF4" s="959">
        <v>2004</v>
      </c>
      <c r="AG4" s="959">
        <v>2005</v>
      </c>
      <c r="AH4" s="959">
        <v>2006</v>
      </c>
      <c r="AI4" s="959">
        <v>2007</v>
      </c>
      <c r="AJ4" s="959">
        <v>2008</v>
      </c>
      <c r="AK4" s="959">
        <v>2009</v>
      </c>
      <c r="AL4" s="959">
        <v>2010</v>
      </c>
      <c r="AM4" s="959">
        <v>2011</v>
      </c>
      <c r="AN4" s="1105">
        <v>2012</v>
      </c>
      <c r="AO4" s="1370">
        <v>2013</v>
      </c>
      <c r="AP4" s="1372">
        <v>2014</v>
      </c>
      <c r="AQ4" s="1903">
        <v>2015</v>
      </c>
      <c r="AR4" s="2287">
        <v>2016</v>
      </c>
      <c r="AS4" s="1903">
        <v>2017</v>
      </c>
      <c r="AT4" s="1906">
        <v>2018</v>
      </c>
      <c r="AU4" s="1271"/>
      <c r="AV4" s="966">
        <v>1998</v>
      </c>
      <c r="AW4" s="959">
        <v>1999</v>
      </c>
      <c r="AX4" s="959">
        <v>2000</v>
      </c>
      <c r="AY4" s="959">
        <v>2001</v>
      </c>
      <c r="AZ4" s="959">
        <v>2002</v>
      </c>
      <c r="BA4" s="959">
        <v>2003</v>
      </c>
      <c r="BB4" s="959">
        <v>2004</v>
      </c>
      <c r="BC4" s="959">
        <v>2005</v>
      </c>
      <c r="BD4" s="959">
        <v>2006</v>
      </c>
      <c r="BE4" s="959">
        <v>2007</v>
      </c>
      <c r="BF4" s="959">
        <v>2008</v>
      </c>
      <c r="BG4" s="959">
        <v>2009</v>
      </c>
      <c r="BH4" s="959">
        <v>2010</v>
      </c>
      <c r="BI4" s="959">
        <v>2011</v>
      </c>
      <c r="BJ4" s="1105">
        <v>2012</v>
      </c>
      <c r="BK4" s="960">
        <v>2013</v>
      </c>
      <c r="BL4" s="1366">
        <v>2014</v>
      </c>
      <c r="BM4" s="1903">
        <v>2015</v>
      </c>
      <c r="BN4" s="1905">
        <v>2016</v>
      </c>
      <c r="BO4" s="1905">
        <v>2017</v>
      </c>
      <c r="BP4" s="2340">
        <v>2018</v>
      </c>
    </row>
    <row r="5" spans="1:68" s="142" customFormat="1" ht="15.75" customHeight="1" x14ac:dyDescent="0.3">
      <c r="A5" s="146" t="s">
        <v>8</v>
      </c>
      <c r="B5" s="147" t="s">
        <v>9</v>
      </c>
      <c r="C5" s="148"/>
      <c r="D5" s="948">
        <v>94114</v>
      </c>
      <c r="E5" s="949">
        <v>95207</v>
      </c>
      <c r="F5" s="949">
        <v>98864</v>
      </c>
      <c r="G5" s="949">
        <v>98531</v>
      </c>
      <c r="H5" s="949">
        <v>99235</v>
      </c>
      <c r="I5" s="949">
        <v>100561</v>
      </c>
      <c r="J5" s="949">
        <v>103830</v>
      </c>
      <c r="K5" s="949">
        <v>104488</v>
      </c>
      <c r="L5" s="950">
        <v>106474</v>
      </c>
      <c r="M5" s="950">
        <v>108417</v>
      </c>
      <c r="N5" s="950">
        <v>106578</v>
      </c>
      <c r="O5" s="950">
        <v>104979</v>
      </c>
      <c r="P5" s="951">
        <v>102934</v>
      </c>
      <c r="Q5" s="951">
        <v>102525</v>
      </c>
      <c r="R5" s="1106">
        <v>102811</v>
      </c>
      <c r="S5" s="1904">
        <v>101977</v>
      </c>
      <c r="T5" s="1907">
        <v>102795</v>
      </c>
      <c r="U5" s="1907">
        <v>103074</v>
      </c>
      <c r="V5" s="2290">
        <v>102243</v>
      </c>
      <c r="W5" s="1904">
        <v>99653</v>
      </c>
      <c r="X5" s="2350">
        <f>'Non-marital births'!D6</f>
        <v>99629</v>
      </c>
      <c r="Y5" s="1272"/>
      <c r="Z5" s="963">
        <v>28057</v>
      </c>
      <c r="AA5" s="964">
        <v>28305</v>
      </c>
      <c r="AB5" s="964">
        <v>29635</v>
      </c>
      <c r="AC5" s="964">
        <v>29922</v>
      </c>
      <c r="AD5" s="964">
        <v>30223</v>
      </c>
      <c r="AE5" s="964">
        <v>30769</v>
      </c>
      <c r="AF5" s="964">
        <v>32190</v>
      </c>
      <c r="AG5" s="964">
        <v>33681</v>
      </c>
      <c r="AH5" s="964">
        <v>36290</v>
      </c>
      <c r="AI5" s="964">
        <v>38281</v>
      </c>
      <c r="AJ5" s="964">
        <v>38201</v>
      </c>
      <c r="AK5" s="964">
        <v>37608</v>
      </c>
      <c r="AL5" s="964">
        <v>36532</v>
      </c>
      <c r="AM5" s="964">
        <v>36390</v>
      </c>
      <c r="AN5" s="1109">
        <v>36271</v>
      </c>
      <c r="AO5" s="1371">
        <v>35289</v>
      </c>
      <c r="AP5" s="1373">
        <v>34955</v>
      </c>
      <c r="AQ5" s="1910">
        <v>35512</v>
      </c>
      <c r="AR5" s="2288">
        <v>34794</v>
      </c>
      <c r="AS5" s="1910">
        <v>34498</v>
      </c>
      <c r="AT5" s="2352">
        <f>'Non-marital births'!H6</f>
        <v>33663</v>
      </c>
      <c r="AU5" s="1275"/>
      <c r="AV5" s="1911">
        <f t="shared" ref="AV5" si="0">Z5/D5</f>
        <v>0.2981171770406103</v>
      </c>
      <c r="AW5" s="1912">
        <f t="shared" ref="AW5" si="1">AA5/E5</f>
        <v>0.29729956830905291</v>
      </c>
      <c r="AX5" s="1912">
        <f t="shared" ref="AX5" si="2">AB5/F5</f>
        <v>0.29975521929114746</v>
      </c>
      <c r="AY5" s="1912">
        <f t="shared" ref="AY5" si="3">AC5/G5</f>
        <v>0.303681074991627</v>
      </c>
      <c r="AZ5" s="1912">
        <f t="shared" ref="AZ5" si="4">AD5/H5</f>
        <v>0.30455988310575904</v>
      </c>
      <c r="BA5" s="1912">
        <f t="shared" ref="BA5" si="5">AE5/I5</f>
        <v>0.3059734887282346</v>
      </c>
      <c r="BB5" s="1912">
        <f t="shared" ref="BB5" si="6">AF5/J5</f>
        <v>0.31002600404507369</v>
      </c>
      <c r="BC5" s="1912">
        <f t="shared" ref="BC5" si="7">AG5/K5</f>
        <v>0.32234323558686168</v>
      </c>
      <c r="BD5" s="1912">
        <f t="shared" ref="BD5" si="8">AH5/L5</f>
        <v>0.34083438210267297</v>
      </c>
      <c r="BE5" s="1912">
        <f t="shared" ref="BE5" si="9">AI5/M5</f>
        <v>0.35309038250458874</v>
      </c>
      <c r="BF5" s="1912">
        <f t="shared" ref="BF5" si="10">AJ5/N5</f>
        <v>0.35843232186755242</v>
      </c>
      <c r="BG5" s="1912">
        <f t="shared" ref="BG5" si="11">AK5/O5</f>
        <v>0.35824307718686593</v>
      </c>
      <c r="BH5" s="1912">
        <f t="shared" ref="BH5" si="12">AL5/P5</f>
        <v>0.35490702780422406</v>
      </c>
      <c r="BI5" s="1912">
        <f t="shared" ref="BI5" si="13">AM5/Q5</f>
        <v>0.35493782004389174</v>
      </c>
      <c r="BJ5" s="1913">
        <f t="shared" ref="BJ5" si="14">AN5/R5</f>
        <v>0.35279298907704426</v>
      </c>
      <c r="BK5" s="1914">
        <f>'Non-marital births'!L6</f>
        <v>0.33788354796294251</v>
      </c>
      <c r="BL5" s="1915">
        <v>0.340045722068194</v>
      </c>
      <c r="BM5" s="1916">
        <f t="shared" ref="BM5" si="15">AQ5/U5</f>
        <v>0.34452917321535986</v>
      </c>
      <c r="BN5" s="2345">
        <f t="shared" ref="BN5" si="16">AR5/V5</f>
        <v>0.34030691587688155</v>
      </c>
      <c r="BO5" s="2346">
        <f t="shared" ref="BO5:BP36" si="17">AS5/W5</f>
        <v>0.34618124893380031</v>
      </c>
      <c r="BP5" s="2341">
        <f t="shared" si="17"/>
        <v>0.33788354796294251</v>
      </c>
    </row>
    <row r="6" spans="1:68" s="142" customFormat="1" ht="13.5" customHeight="1" x14ac:dyDescent="0.3">
      <c r="A6" s="149" t="s">
        <v>10</v>
      </c>
      <c r="B6" s="184" t="s">
        <v>11</v>
      </c>
      <c r="C6" s="150" t="s">
        <v>252</v>
      </c>
      <c r="D6" s="938">
        <v>419</v>
      </c>
      <c r="E6" s="939">
        <v>427</v>
      </c>
      <c r="F6" s="940">
        <v>465</v>
      </c>
      <c r="G6" s="939">
        <v>445</v>
      </c>
      <c r="H6" s="940">
        <v>477</v>
      </c>
      <c r="I6" s="939">
        <v>456</v>
      </c>
      <c r="J6" s="940">
        <v>485</v>
      </c>
      <c r="K6" s="939">
        <v>471</v>
      </c>
      <c r="L6" s="953">
        <v>454</v>
      </c>
      <c r="M6" s="953">
        <v>508</v>
      </c>
      <c r="N6" s="953">
        <v>474</v>
      </c>
      <c r="O6" s="953">
        <v>428</v>
      </c>
      <c r="P6" s="954">
        <v>433</v>
      </c>
      <c r="Q6" s="954">
        <v>478</v>
      </c>
      <c r="R6" s="1107">
        <v>396</v>
      </c>
      <c r="S6" s="1367">
        <v>367</v>
      </c>
      <c r="T6" s="1908">
        <v>376</v>
      </c>
      <c r="U6" s="1908">
        <v>387</v>
      </c>
      <c r="V6" s="2291">
        <v>372</v>
      </c>
      <c r="W6" s="1367">
        <v>392</v>
      </c>
      <c r="X6" s="2351">
        <v>351</v>
      </c>
      <c r="Y6" s="1273"/>
      <c r="Z6" s="961">
        <v>222</v>
      </c>
      <c r="AA6" s="962">
        <v>221</v>
      </c>
      <c r="AB6" s="962">
        <v>230</v>
      </c>
      <c r="AC6" s="962">
        <v>218</v>
      </c>
      <c r="AD6" s="962">
        <v>261</v>
      </c>
      <c r="AE6" s="962">
        <v>261</v>
      </c>
      <c r="AF6" s="962">
        <v>269</v>
      </c>
      <c r="AG6" s="962">
        <v>278</v>
      </c>
      <c r="AH6" s="962">
        <v>298</v>
      </c>
      <c r="AI6" s="962">
        <v>316</v>
      </c>
      <c r="AJ6" s="962">
        <v>293</v>
      </c>
      <c r="AK6" s="962">
        <v>267</v>
      </c>
      <c r="AL6" s="962">
        <v>255</v>
      </c>
      <c r="AM6" s="962">
        <v>276</v>
      </c>
      <c r="AN6" s="1110">
        <v>222</v>
      </c>
      <c r="AO6" s="1368">
        <v>223</v>
      </c>
      <c r="AP6" s="1369">
        <v>209</v>
      </c>
      <c r="AQ6" s="1368">
        <v>223</v>
      </c>
      <c r="AR6" s="2289">
        <v>216</v>
      </c>
      <c r="AS6" s="1368">
        <v>214</v>
      </c>
      <c r="AT6" s="2354">
        <v>191</v>
      </c>
      <c r="AU6" s="1274"/>
      <c r="AV6" s="1917">
        <f t="shared" ref="AV6:AV37" si="18">Z6/D6</f>
        <v>0.5298329355608592</v>
      </c>
      <c r="AW6" s="1918">
        <f t="shared" ref="AW6:AW37" si="19">AA6/E6</f>
        <v>0.51756440281030447</v>
      </c>
      <c r="AX6" s="1918">
        <f t="shared" ref="AX6:AX37" si="20">AB6/F6</f>
        <v>0.4946236559139785</v>
      </c>
      <c r="AY6" s="1918">
        <f t="shared" ref="AY6:AY37" si="21">AC6/G6</f>
        <v>0.48988764044943822</v>
      </c>
      <c r="AZ6" s="1918">
        <f t="shared" ref="AZ6:AZ37" si="22">AD6/H6</f>
        <v>0.54716981132075471</v>
      </c>
      <c r="BA6" s="1918">
        <f t="shared" ref="BA6:BA37" si="23">AE6/I6</f>
        <v>0.57236842105263153</v>
      </c>
      <c r="BB6" s="1918">
        <f t="shared" ref="BB6:BB37" si="24">AF6/J6</f>
        <v>0.55463917525773199</v>
      </c>
      <c r="BC6" s="1918">
        <f t="shared" ref="BC6:BC37" si="25">AG6/K6</f>
        <v>0.59023354564755837</v>
      </c>
      <c r="BD6" s="1918">
        <f t="shared" ref="BD6:BD37" si="26">AH6/L6</f>
        <v>0.65638766519823788</v>
      </c>
      <c r="BE6" s="1918">
        <f t="shared" ref="BE6:BE37" si="27">AI6/M6</f>
        <v>0.62204724409448819</v>
      </c>
      <c r="BF6" s="1918">
        <f t="shared" ref="BF6:BF37" si="28">AJ6/N6</f>
        <v>0.61814345991561181</v>
      </c>
      <c r="BG6" s="1918">
        <f t="shared" ref="BG6:BG37" si="29">AK6/O6</f>
        <v>0.62383177570093462</v>
      </c>
      <c r="BH6" s="1918">
        <f t="shared" ref="BH6:BH37" si="30">AL6/P6</f>
        <v>0.5889145496535797</v>
      </c>
      <c r="BI6" s="1918">
        <f t="shared" ref="BI6:BI37" si="31">AM6/Q6</f>
        <v>0.57740585774058573</v>
      </c>
      <c r="BJ6" s="1919">
        <f t="shared" ref="BJ6:BJ37" si="32">AN6/R6</f>
        <v>0.56060606060606055</v>
      </c>
      <c r="BK6" s="1920">
        <f>'Non-marital births'!L7</f>
        <v>0.54415954415954415</v>
      </c>
      <c r="BL6" s="1921">
        <v>0.55585106382978722</v>
      </c>
      <c r="BM6" s="1922">
        <f t="shared" ref="BM6:BM37" si="33">AQ6/U6</f>
        <v>0.57622739018087854</v>
      </c>
      <c r="BN6" s="2347">
        <f t="shared" ref="BN6:BN37" si="34">AR6/V6</f>
        <v>0.58064516129032262</v>
      </c>
      <c r="BO6" s="2347">
        <f t="shared" si="17"/>
        <v>0.54591836734693877</v>
      </c>
      <c r="BP6" s="2342">
        <f t="shared" si="17"/>
        <v>0.54415954415954415</v>
      </c>
    </row>
    <row r="7" spans="1:68" s="142" customFormat="1" ht="13.5" customHeight="1" x14ac:dyDescent="0.3">
      <c r="A7" s="149" t="s">
        <v>12</v>
      </c>
      <c r="B7" s="185" t="s">
        <v>13</v>
      </c>
      <c r="C7" s="150" t="s">
        <v>253</v>
      </c>
      <c r="D7" s="938">
        <v>943</v>
      </c>
      <c r="E7" s="939">
        <v>1022</v>
      </c>
      <c r="F7" s="940">
        <v>1054</v>
      </c>
      <c r="G7" s="939">
        <v>968</v>
      </c>
      <c r="H7" s="940">
        <v>973</v>
      </c>
      <c r="I7" s="939">
        <v>1018</v>
      </c>
      <c r="J7" s="940">
        <v>960</v>
      </c>
      <c r="K7" s="939">
        <v>1056</v>
      </c>
      <c r="L7" s="953">
        <v>1088</v>
      </c>
      <c r="M7" s="953">
        <v>1132</v>
      </c>
      <c r="N7" s="953">
        <v>1129</v>
      </c>
      <c r="O7" s="953">
        <v>1082</v>
      </c>
      <c r="P7" s="954">
        <v>1094</v>
      </c>
      <c r="Q7" s="954">
        <v>1059</v>
      </c>
      <c r="R7" s="1107">
        <v>1053</v>
      </c>
      <c r="S7" s="1367">
        <v>1064</v>
      </c>
      <c r="T7" s="1908">
        <v>1032</v>
      </c>
      <c r="U7" s="1908">
        <v>1049</v>
      </c>
      <c r="V7" s="2291">
        <v>1150</v>
      </c>
      <c r="W7" s="1367">
        <v>1054</v>
      </c>
      <c r="X7" s="2351">
        <v>1052</v>
      </c>
      <c r="Y7" s="1273"/>
      <c r="Z7" s="961">
        <v>197</v>
      </c>
      <c r="AA7" s="962">
        <v>223</v>
      </c>
      <c r="AB7" s="962">
        <v>249</v>
      </c>
      <c r="AC7" s="962">
        <v>254</v>
      </c>
      <c r="AD7" s="962">
        <v>231</v>
      </c>
      <c r="AE7" s="962">
        <v>212</v>
      </c>
      <c r="AF7" s="962">
        <v>225</v>
      </c>
      <c r="AG7" s="962">
        <v>280</v>
      </c>
      <c r="AH7" s="962">
        <v>289</v>
      </c>
      <c r="AI7" s="962">
        <v>315</v>
      </c>
      <c r="AJ7" s="962">
        <v>364</v>
      </c>
      <c r="AK7" s="962">
        <v>289</v>
      </c>
      <c r="AL7" s="962">
        <v>314</v>
      </c>
      <c r="AM7" s="962">
        <v>295</v>
      </c>
      <c r="AN7" s="1110">
        <v>271</v>
      </c>
      <c r="AO7" s="1368">
        <v>296</v>
      </c>
      <c r="AP7" s="1369">
        <v>259</v>
      </c>
      <c r="AQ7" s="1368">
        <v>253</v>
      </c>
      <c r="AR7" s="2289">
        <v>310</v>
      </c>
      <c r="AS7" s="1368">
        <v>276</v>
      </c>
      <c r="AT7" s="2353">
        <v>292</v>
      </c>
      <c r="AU7" s="1274"/>
      <c r="AV7" s="1917">
        <f t="shared" si="18"/>
        <v>0.20890774125132555</v>
      </c>
      <c r="AW7" s="1918">
        <f t="shared" si="19"/>
        <v>0.2181996086105675</v>
      </c>
      <c r="AX7" s="1918">
        <f t="shared" si="20"/>
        <v>0.23624288425047438</v>
      </c>
      <c r="AY7" s="1918">
        <f t="shared" si="21"/>
        <v>0.26239669421487605</v>
      </c>
      <c r="AZ7" s="1918">
        <f t="shared" si="22"/>
        <v>0.23741007194244604</v>
      </c>
      <c r="BA7" s="1918">
        <f t="shared" si="23"/>
        <v>0.20825147347740669</v>
      </c>
      <c r="BB7" s="1918">
        <f t="shared" si="24"/>
        <v>0.234375</v>
      </c>
      <c r="BC7" s="1918">
        <f t="shared" si="25"/>
        <v>0.26515151515151514</v>
      </c>
      <c r="BD7" s="1918">
        <f t="shared" si="26"/>
        <v>0.265625</v>
      </c>
      <c r="BE7" s="1918">
        <f t="shared" si="27"/>
        <v>0.2782685512367491</v>
      </c>
      <c r="BF7" s="1918">
        <f t="shared" si="28"/>
        <v>0.32240921169176262</v>
      </c>
      <c r="BG7" s="1918">
        <f t="shared" si="29"/>
        <v>0.26709796672828096</v>
      </c>
      <c r="BH7" s="1918">
        <f t="shared" si="30"/>
        <v>0.28702010968921388</v>
      </c>
      <c r="BI7" s="1918">
        <f t="shared" si="31"/>
        <v>0.2785646836638338</v>
      </c>
      <c r="BJ7" s="1919">
        <f t="shared" si="32"/>
        <v>0.25735992402659069</v>
      </c>
      <c r="BK7" s="1920">
        <f>'Non-marital births'!L8</f>
        <v>0.27756653992395436</v>
      </c>
      <c r="BL7" s="1921">
        <v>0.25096899224806202</v>
      </c>
      <c r="BM7" s="1922">
        <f t="shared" si="33"/>
        <v>0.24118207816968543</v>
      </c>
      <c r="BN7" s="2347">
        <f t="shared" si="34"/>
        <v>0.26956521739130435</v>
      </c>
      <c r="BO7" s="2347">
        <f t="shared" si="17"/>
        <v>0.26185958254269448</v>
      </c>
      <c r="BP7" s="2342">
        <f t="shared" si="17"/>
        <v>0.27756653992395436</v>
      </c>
    </row>
    <row r="8" spans="1:68" s="142" customFormat="1" ht="13.5" customHeight="1" x14ac:dyDescent="0.3">
      <c r="A8" s="149" t="s">
        <v>16</v>
      </c>
      <c r="B8" s="185" t="s">
        <v>285</v>
      </c>
      <c r="C8" s="150" t="s">
        <v>253</v>
      </c>
      <c r="D8" s="938">
        <v>284</v>
      </c>
      <c r="E8" s="939">
        <v>248</v>
      </c>
      <c r="F8" s="940">
        <v>279</v>
      </c>
      <c r="G8" s="939">
        <v>273</v>
      </c>
      <c r="H8" s="940">
        <v>216</v>
      </c>
      <c r="I8" s="939">
        <v>234</v>
      </c>
      <c r="J8" s="940">
        <v>239</v>
      </c>
      <c r="K8" s="939">
        <v>231</v>
      </c>
      <c r="L8" s="953">
        <v>222</v>
      </c>
      <c r="M8" s="953">
        <v>218</v>
      </c>
      <c r="N8" s="953">
        <v>233</v>
      </c>
      <c r="O8" s="953">
        <v>213</v>
      </c>
      <c r="P8" s="954">
        <v>224</v>
      </c>
      <c r="Q8" s="954">
        <v>221</v>
      </c>
      <c r="R8" s="1107">
        <v>210</v>
      </c>
      <c r="S8" s="1367">
        <v>203</v>
      </c>
      <c r="T8" s="1908">
        <v>196</v>
      </c>
      <c r="U8" s="1908">
        <v>232</v>
      </c>
      <c r="V8" s="2291">
        <v>195</v>
      </c>
      <c r="W8" s="1367">
        <v>194</v>
      </c>
      <c r="X8" s="2351">
        <v>209</v>
      </c>
      <c r="Y8" s="1273"/>
      <c r="Z8" s="961">
        <v>102</v>
      </c>
      <c r="AA8" s="962">
        <v>85</v>
      </c>
      <c r="AB8" s="962">
        <v>96</v>
      </c>
      <c r="AC8" s="962">
        <v>91</v>
      </c>
      <c r="AD8" s="962">
        <v>82</v>
      </c>
      <c r="AE8" s="962">
        <v>89</v>
      </c>
      <c r="AF8" s="962">
        <v>86</v>
      </c>
      <c r="AG8" s="962">
        <v>93</v>
      </c>
      <c r="AH8" s="962">
        <v>90</v>
      </c>
      <c r="AI8" s="962">
        <v>91</v>
      </c>
      <c r="AJ8" s="962">
        <v>108</v>
      </c>
      <c r="AK8" s="962">
        <v>96</v>
      </c>
      <c r="AL8" s="962">
        <v>108</v>
      </c>
      <c r="AM8" s="962">
        <v>107</v>
      </c>
      <c r="AN8" s="1110">
        <v>88</v>
      </c>
      <c r="AO8" s="1368">
        <v>98</v>
      </c>
      <c r="AP8" s="1369">
        <v>95</v>
      </c>
      <c r="AQ8" s="1368">
        <v>122</v>
      </c>
      <c r="AR8" s="2289">
        <v>92</v>
      </c>
      <c r="AS8" s="1368">
        <v>101</v>
      </c>
      <c r="AT8" s="2353">
        <v>79</v>
      </c>
      <c r="AU8" s="1274"/>
      <c r="AV8" s="1923">
        <f t="shared" si="18"/>
        <v>0.35915492957746481</v>
      </c>
      <c r="AW8" s="1924">
        <f t="shared" si="19"/>
        <v>0.34274193548387094</v>
      </c>
      <c r="AX8" s="1924">
        <f t="shared" si="20"/>
        <v>0.34408602150537637</v>
      </c>
      <c r="AY8" s="1924">
        <f t="shared" si="21"/>
        <v>0.33333333333333331</v>
      </c>
      <c r="AZ8" s="1924">
        <f t="shared" si="22"/>
        <v>0.37962962962962965</v>
      </c>
      <c r="BA8" s="1924">
        <f t="shared" si="23"/>
        <v>0.38034188034188032</v>
      </c>
      <c r="BB8" s="1924">
        <f t="shared" si="24"/>
        <v>0.35983263598326359</v>
      </c>
      <c r="BC8" s="1924">
        <f t="shared" si="25"/>
        <v>0.40259740259740262</v>
      </c>
      <c r="BD8" s="1924">
        <f t="shared" si="26"/>
        <v>0.40540540540540543</v>
      </c>
      <c r="BE8" s="1924">
        <f t="shared" si="27"/>
        <v>0.41743119266055045</v>
      </c>
      <c r="BF8" s="1924">
        <f t="shared" si="28"/>
        <v>0.46351931330472101</v>
      </c>
      <c r="BG8" s="1924">
        <f t="shared" si="29"/>
        <v>0.45070422535211269</v>
      </c>
      <c r="BH8" s="1924">
        <f t="shared" si="30"/>
        <v>0.48214285714285715</v>
      </c>
      <c r="BI8" s="1924">
        <f t="shared" si="31"/>
        <v>0.48416289592760181</v>
      </c>
      <c r="BJ8" s="1925">
        <f t="shared" si="32"/>
        <v>0.41904761904761906</v>
      </c>
      <c r="BK8" s="1926">
        <f>'Non-marital births'!L9</f>
        <v>0.37799043062200954</v>
      </c>
      <c r="BL8" s="1927">
        <v>0.48469387755102039</v>
      </c>
      <c r="BM8" s="1928">
        <f t="shared" si="33"/>
        <v>0.52586206896551724</v>
      </c>
      <c r="BN8" s="2348">
        <f t="shared" si="34"/>
        <v>0.47179487179487178</v>
      </c>
      <c r="BO8" s="2348">
        <f t="shared" si="17"/>
        <v>0.52061855670103097</v>
      </c>
      <c r="BP8" s="2343">
        <f t="shared" si="17"/>
        <v>0.37799043062200954</v>
      </c>
    </row>
    <row r="9" spans="1:68" s="142" customFormat="1" ht="13.5" customHeight="1" x14ac:dyDescent="0.3">
      <c r="A9" s="149" t="s">
        <v>18</v>
      </c>
      <c r="B9" s="185" t="s">
        <v>19</v>
      </c>
      <c r="C9" s="150" t="s">
        <v>254</v>
      </c>
      <c r="D9" s="938">
        <v>137</v>
      </c>
      <c r="E9" s="939">
        <v>126</v>
      </c>
      <c r="F9" s="940">
        <v>152</v>
      </c>
      <c r="G9" s="939">
        <v>148</v>
      </c>
      <c r="H9" s="940">
        <v>151</v>
      </c>
      <c r="I9" s="939">
        <v>139</v>
      </c>
      <c r="J9" s="940">
        <v>140</v>
      </c>
      <c r="K9" s="939">
        <v>140</v>
      </c>
      <c r="L9" s="953">
        <v>148</v>
      </c>
      <c r="M9" s="953">
        <v>147</v>
      </c>
      <c r="N9" s="953">
        <v>152</v>
      </c>
      <c r="O9" s="953">
        <v>159</v>
      </c>
      <c r="P9" s="954">
        <v>154</v>
      </c>
      <c r="Q9" s="954">
        <v>125</v>
      </c>
      <c r="R9" s="1107">
        <v>146</v>
      </c>
      <c r="S9" s="1367">
        <v>123</v>
      </c>
      <c r="T9" s="1908">
        <v>133</v>
      </c>
      <c r="U9" s="1908">
        <v>141</v>
      </c>
      <c r="V9" s="2291">
        <v>122</v>
      </c>
      <c r="W9" s="1367">
        <v>152</v>
      </c>
      <c r="X9" s="2351">
        <v>140</v>
      </c>
      <c r="Y9" s="1273"/>
      <c r="Z9" s="961">
        <v>40</v>
      </c>
      <c r="AA9" s="962">
        <v>36</v>
      </c>
      <c r="AB9" s="962">
        <v>49</v>
      </c>
      <c r="AC9" s="962">
        <v>51</v>
      </c>
      <c r="AD9" s="962">
        <v>44</v>
      </c>
      <c r="AE9" s="962">
        <v>62</v>
      </c>
      <c r="AF9" s="962">
        <v>49</v>
      </c>
      <c r="AG9" s="962">
        <v>49</v>
      </c>
      <c r="AH9" s="962">
        <v>52</v>
      </c>
      <c r="AI9" s="962">
        <v>53</v>
      </c>
      <c r="AJ9" s="962">
        <v>72</v>
      </c>
      <c r="AK9" s="962">
        <v>69</v>
      </c>
      <c r="AL9" s="962">
        <v>63</v>
      </c>
      <c r="AM9" s="962">
        <v>46</v>
      </c>
      <c r="AN9" s="1110">
        <v>67</v>
      </c>
      <c r="AO9" s="1368">
        <v>51</v>
      </c>
      <c r="AP9" s="1369">
        <v>66</v>
      </c>
      <c r="AQ9" s="1368">
        <v>41</v>
      </c>
      <c r="AR9" s="2289">
        <v>54</v>
      </c>
      <c r="AS9" s="1368">
        <v>59</v>
      </c>
      <c r="AT9" s="2353">
        <v>51</v>
      </c>
      <c r="AU9" s="1274"/>
      <c r="AV9" s="1923">
        <f t="shared" si="18"/>
        <v>0.29197080291970801</v>
      </c>
      <c r="AW9" s="1924">
        <f t="shared" si="19"/>
        <v>0.2857142857142857</v>
      </c>
      <c r="AX9" s="1924">
        <f t="shared" si="20"/>
        <v>0.32236842105263158</v>
      </c>
      <c r="AY9" s="1924">
        <f t="shared" si="21"/>
        <v>0.34459459459459457</v>
      </c>
      <c r="AZ9" s="1924">
        <f t="shared" si="22"/>
        <v>0.29139072847682118</v>
      </c>
      <c r="BA9" s="1924">
        <f t="shared" si="23"/>
        <v>0.4460431654676259</v>
      </c>
      <c r="BB9" s="1924">
        <f t="shared" si="24"/>
        <v>0.35</v>
      </c>
      <c r="BC9" s="1924">
        <f t="shared" si="25"/>
        <v>0.35</v>
      </c>
      <c r="BD9" s="1924">
        <f t="shared" si="26"/>
        <v>0.35135135135135137</v>
      </c>
      <c r="BE9" s="1924">
        <f t="shared" si="27"/>
        <v>0.36054421768707484</v>
      </c>
      <c r="BF9" s="1924">
        <f t="shared" si="28"/>
        <v>0.47368421052631576</v>
      </c>
      <c r="BG9" s="1924">
        <f t="shared" si="29"/>
        <v>0.43396226415094341</v>
      </c>
      <c r="BH9" s="1924">
        <f t="shared" si="30"/>
        <v>0.40909090909090912</v>
      </c>
      <c r="BI9" s="1924">
        <f t="shared" si="31"/>
        <v>0.36799999999999999</v>
      </c>
      <c r="BJ9" s="1925">
        <f t="shared" si="32"/>
        <v>0.4589041095890411</v>
      </c>
      <c r="BK9" s="1926">
        <f>'Non-marital births'!L10</f>
        <v>0.36428571428571427</v>
      </c>
      <c r="BL9" s="1927">
        <v>0.49624060150375937</v>
      </c>
      <c r="BM9" s="1928">
        <f t="shared" si="33"/>
        <v>0.29078014184397161</v>
      </c>
      <c r="BN9" s="2348">
        <f t="shared" si="34"/>
        <v>0.44262295081967212</v>
      </c>
      <c r="BO9" s="2348">
        <f t="shared" si="17"/>
        <v>0.38815789473684209</v>
      </c>
      <c r="BP9" s="2343">
        <f t="shared" si="17"/>
        <v>0.36428571428571427</v>
      </c>
    </row>
    <row r="10" spans="1:68" s="142" customFormat="1" ht="13.5" customHeight="1" x14ac:dyDescent="0.3">
      <c r="A10" s="149" t="s">
        <v>20</v>
      </c>
      <c r="B10" s="185" t="s">
        <v>21</v>
      </c>
      <c r="C10" s="150" t="s">
        <v>253</v>
      </c>
      <c r="D10" s="938">
        <v>356</v>
      </c>
      <c r="E10" s="939">
        <v>359</v>
      </c>
      <c r="F10" s="940">
        <v>338</v>
      </c>
      <c r="G10" s="939">
        <v>326</v>
      </c>
      <c r="H10" s="940">
        <v>325</v>
      </c>
      <c r="I10" s="939">
        <v>304</v>
      </c>
      <c r="J10" s="940">
        <v>295</v>
      </c>
      <c r="K10" s="939">
        <v>331</v>
      </c>
      <c r="L10" s="953">
        <v>321</v>
      </c>
      <c r="M10" s="953">
        <v>330</v>
      </c>
      <c r="N10" s="953">
        <v>376</v>
      </c>
      <c r="O10" s="953">
        <v>320</v>
      </c>
      <c r="P10" s="954">
        <v>334</v>
      </c>
      <c r="Q10" s="954">
        <v>343</v>
      </c>
      <c r="R10" s="1107">
        <v>320</v>
      </c>
      <c r="S10" s="1367">
        <v>311</v>
      </c>
      <c r="T10" s="1908">
        <v>319</v>
      </c>
      <c r="U10" s="1908">
        <v>356</v>
      </c>
      <c r="V10" s="2291">
        <v>324</v>
      </c>
      <c r="W10" s="1367">
        <v>318</v>
      </c>
      <c r="X10" s="2351">
        <v>343</v>
      </c>
      <c r="Y10" s="1273"/>
      <c r="Z10" s="961">
        <v>113</v>
      </c>
      <c r="AA10" s="962">
        <v>121</v>
      </c>
      <c r="AB10" s="962">
        <v>125</v>
      </c>
      <c r="AC10" s="962">
        <v>112</v>
      </c>
      <c r="AD10" s="962">
        <v>120</v>
      </c>
      <c r="AE10" s="962">
        <v>104</v>
      </c>
      <c r="AF10" s="962">
        <v>109</v>
      </c>
      <c r="AG10" s="962">
        <v>122</v>
      </c>
      <c r="AH10" s="962">
        <v>132</v>
      </c>
      <c r="AI10" s="962">
        <v>130</v>
      </c>
      <c r="AJ10" s="962">
        <v>153</v>
      </c>
      <c r="AK10" s="962">
        <v>147</v>
      </c>
      <c r="AL10" s="962">
        <v>152</v>
      </c>
      <c r="AM10" s="962">
        <v>141</v>
      </c>
      <c r="AN10" s="1110">
        <v>149</v>
      </c>
      <c r="AO10" s="1368">
        <v>140</v>
      </c>
      <c r="AP10" s="1369">
        <v>142</v>
      </c>
      <c r="AQ10" s="1368">
        <v>162</v>
      </c>
      <c r="AR10" s="2289">
        <v>134</v>
      </c>
      <c r="AS10" s="1368">
        <v>138</v>
      </c>
      <c r="AT10" s="2353">
        <v>153</v>
      </c>
      <c r="AU10" s="1274"/>
      <c r="AV10" s="1923">
        <f t="shared" si="18"/>
        <v>0.31741573033707865</v>
      </c>
      <c r="AW10" s="1924">
        <f t="shared" si="19"/>
        <v>0.3370473537604457</v>
      </c>
      <c r="AX10" s="1924">
        <f t="shared" si="20"/>
        <v>0.36982248520710059</v>
      </c>
      <c r="AY10" s="1924">
        <f t="shared" si="21"/>
        <v>0.34355828220858897</v>
      </c>
      <c r="AZ10" s="1924">
        <f t="shared" si="22"/>
        <v>0.36923076923076925</v>
      </c>
      <c r="BA10" s="1924">
        <f t="shared" si="23"/>
        <v>0.34210526315789475</v>
      </c>
      <c r="BB10" s="1924">
        <f t="shared" si="24"/>
        <v>0.36949152542372882</v>
      </c>
      <c r="BC10" s="1924">
        <f t="shared" si="25"/>
        <v>0.36858006042296071</v>
      </c>
      <c r="BD10" s="1924">
        <f t="shared" si="26"/>
        <v>0.41121495327102803</v>
      </c>
      <c r="BE10" s="1924">
        <f t="shared" si="27"/>
        <v>0.39393939393939392</v>
      </c>
      <c r="BF10" s="1924">
        <f t="shared" si="28"/>
        <v>0.40691489361702127</v>
      </c>
      <c r="BG10" s="1924">
        <f t="shared" si="29"/>
        <v>0.45937499999999998</v>
      </c>
      <c r="BH10" s="1924">
        <f t="shared" si="30"/>
        <v>0.45508982035928142</v>
      </c>
      <c r="BI10" s="1924">
        <f t="shared" si="31"/>
        <v>0.41107871720116618</v>
      </c>
      <c r="BJ10" s="1925">
        <f t="shared" si="32"/>
        <v>0.46562500000000001</v>
      </c>
      <c r="BK10" s="1926">
        <f>'Non-marital births'!L11</f>
        <v>0.44606413994169097</v>
      </c>
      <c r="BL10" s="1927">
        <v>0.44514106583072099</v>
      </c>
      <c r="BM10" s="1928">
        <f t="shared" si="33"/>
        <v>0.4550561797752809</v>
      </c>
      <c r="BN10" s="2348">
        <f t="shared" si="34"/>
        <v>0.41358024691358025</v>
      </c>
      <c r="BO10" s="2348">
        <f t="shared" si="17"/>
        <v>0.43396226415094341</v>
      </c>
      <c r="BP10" s="2343">
        <f t="shared" si="17"/>
        <v>0.44606413994169097</v>
      </c>
    </row>
    <row r="11" spans="1:68" s="142" customFormat="1" ht="13.5" customHeight="1" x14ac:dyDescent="0.3">
      <c r="A11" s="149" t="s">
        <v>22</v>
      </c>
      <c r="B11" s="185" t="s">
        <v>23</v>
      </c>
      <c r="C11" s="150" t="s">
        <v>253</v>
      </c>
      <c r="D11" s="938">
        <v>158</v>
      </c>
      <c r="E11" s="939">
        <v>154</v>
      </c>
      <c r="F11" s="940">
        <v>162</v>
      </c>
      <c r="G11" s="939">
        <v>140</v>
      </c>
      <c r="H11" s="940">
        <v>145</v>
      </c>
      <c r="I11" s="939">
        <v>152</v>
      </c>
      <c r="J11" s="940">
        <v>145</v>
      </c>
      <c r="K11" s="939">
        <v>140</v>
      </c>
      <c r="L11" s="953">
        <v>163</v>
      </c>
      <c r="M11" s="953">
        <v>164</v>
      </c>
      <c r="N11" s="953">
        <v>165</v>
      </c>
      <c r="O11" s="953">
        <v>168</v>
      </c>
      <c r="P11" s="954">
        <v>165</v>
      </c>
      <c r="Q11" s="954">
        <v>180</v>
      </c>
      <c r="R11" s="1107">
        <v>180</v>
      </c>
      <c r="S11" s="1367">
        <v>181</v>
      </c>
      <c r="T11" s="1908">
        <v>187</v>
      </c>
      <c r="U11" s="1908">
        <v>167</v>
      </c>
      <c r="V11" s="2291">
        <v>184</v>
      </c>
      <c r="W11" s="1367">
        <v>186</v>
      </c>
      <c r="X11" s="2351">
        <v>192</v>
      </c>
      <c r="Y11" s="1273"/>
      <c r="Z11" s="961">
        <v>46</v>
      </c>
      <c r="AA11" s="962">
        <v>58</v>
      </c>
      <c r="AB11" s="962">
        <v>60</v>
      </c>
      <c r="AC11" s="962">
        <v>50</v>
      </c>
      <c r="AD11" s="962">
        <v>56</v>
      </c>
      <c r="AE11" s="962">
        <v>52</v>
      </c>
      <c r="AF11" s="962">
        <v>53</v>
      </c>
      <c r="AG11" s="962">
        <v>58</v>
      </c>
      <c r="AH11" s="962">
        <v>71</v>
      </c>
      <c r="AI11" s="962">
        <v>80</v>
      </c>
      <c r="AJ11" s="962">
        <v>69</v>
      </c>
      <c r="AK11" s="962">
        <v>59</v>
      </c>
      <c r="AL11" s="962">
        <v>69</v>
      </c>
      <c r="AM11" s="962">
        <v>65</v>
      </c>
      <c r="AN11" s="1110">
        <v>76</v>
      </c>
      <c r="AO11" s="1368">
        <v>55</v>
      </c>
      <c r="AP11" s="1369">
        <v>78</v>
      </c>
      <c r="AQ11" s="1368">
        <v>76</v>
      </c>
      <c r="AR11" s="2289">
        <v>74</v>
      </c>
      <c r="AS11" s="1368">
        <v>70</v>
      </c>
      <c r="AT11" s="2353">
        <v>83</v>
      </c>
      <c r="AU11" s="1274"/>
      <c r="AV11" s="1923">
        <f t="shared" si="18"/>
        <v>0.29113924050632911</v>
      </c>
      <c r="AW11" s="1924">
        <f t="shared" si="19"/>
        <v>0.37662337662337664</v>
      </c>
      <c r="AX11" s="1924">
        <f t="shared" si="20"/>
        <v>0.37037037037037035</v>
      </c>
      <c r="AY11" s="1924">
        <f t="shared" si="21"/>
        <v>0.35714285714285715</v>
      </c>
      <c r="AZ11" s="1924">
        <f t="shared" si="22"/>
        <v>0.38620689655172413</v>
      </c>
      <c r="BA11" s="1924">
        <f t="shared" si="23"/>
        <v>0.34210526315789475</v>
      </c>
      <c r="BB11" s="1924">
        <f t="shared" si="24"/>
        <v>0.36551724137931035</v>
      </c>
      <c r="BC11" s="1924">
        <f t="shared" si="25"/>
        <v>0.41428571428571431</v>
      </c>
      <c r="BD11" s="1924">
        <f t="shared" si="26"/>
        <v>0.43558282208588955</v>
      </c>
      <c r="BE11" s="1924">
        <f t="shared" si="27"/>
        <v>0.48780487804878048</v>
      </c>
      <c r="BF11" s="1924">
        <f t="shared" si="28"/>
        <v>0.41818181818181815</v>
      </c>
      <c r="BG11" s="1924">
        <f t="shared" si="29"/>
        <v>0.35119047619047616</v>
      </c>
      <c r="BH11" s="1924">
        <f t="shared" si="30"/>
        <v>0.41818181818181815</v>
      </c>
      <c r="BI11" s="1924">
        <f t="shared" si="31"/>
        <v>0.3611111111111111</v>
      </c>
      <c r="BJ11" s="1925">
        <f t="shared" si="32"/>
        <v>0.42222222222222222</v>
      </c>
      <c r="BK11" s="1926">
        <f>'Non-marital births'!L12</f>
        <v>0.43229166666666669</v>
      </c>
      <c r="BL11" s="1927">
        <v>0.41711229946524064</v>
      </c>
      <c r="BM11" s="1928">
        <f t="shared" si="33"/>
        <v>0.45508982035928142</v>
      </c>
      <c r="BN11" s="2348">
        <f t="shared" si="34"/>
        <v>0.40217391304347827</v>
      </c>
      <c r="BO11" s="2348">
        <f t="shared" si="17"/>
        <v>0.37634408602150538</v>
      </c>
      <c r="BP11" s="2343">
        <f t="shared" si="17"/>
        <v>0.43229166666666669</v>
      </c>
    </row>
    <row r="12" spans="1:68" s="142" customFormat="1" ht="13.5" customHeight="1" x14ac:dyDescent="0.3">
      <c r="A12" s="149" t="s">
        <v>24</v>
      </c>
      <c r="B12" s="185" t="s">
        <v>25</v>
      </c>
      <c r="C12" s="150" t="s">
        <v>255</v>
      </c>
      <c r="D12" s="938">
        <v>2672</v>
      </c>
      <c r="E12" s="939">
        <v>2606</v>
      </c>
      <c r="F12" s="940">
        <v>2715</v>
      </c>
      <c r="G12" s="939">
        <v>2814</v>
      </c>
      <c r="H12" s="940">
        <v>2686</v>
      </c>
      <c r="I12" s="939">
        <v>2659</v>
      </c>
      <c r="J12" s="940">
        <v>2810</v>
      </c>
      <c r="K12" s="939">
        <v>2809</v>
      </c>
      <c r="L12" s="953">
        <v>2561</v>
      </c>
      <c r="M12" s="953">
        <v>2778</v>
      </c>
      <c r="N12" s="953">
        <v>2924</v>
      </c>
      <c r="O12" s="953">
        <v>2935</v>
      </c>
      <c r="P12" s="954">
        <v>3097</v>
      </c>
      <c r="Q12" s="954">
        <v>3049</v>
      </c>
      <c r="R12" s="1107">
        <v>3193</v>
      </c>
      <c r="S12" s="1367">
        <v>3195</v>
      </c>
      <c r="T12" s="1908">
        <v>3181</v>
      </c>
      <c r="U12" s="1908">
        <v>3160</v>
      </c>
      <c r="V12" s="2291">
        <v>3207</v>
      </c>
      <c r="W12" s="1367">
        <v>2971</v>
      </c>
      <c r="X12" s="2351">
        <v>2929</v>
      </c>
      <c r="Y12" s="1273"/>
      <c r="Z12" s="961">
        <v>571</v>
      </c>
      <c r="AA12" s="962">
        <v>566</v>
      </c>
      <c r="AB12" s="962">
        <v>598</v>
      </c>
      <c r="AC12" s="962">
        <v>603</v>
      </c>
      <c r="AD12" s="962">
        <v>608</v>
      </c>
      <c r="AE12" s="962">
        <v>575</v>
      </c>
      <c r="AF12" s="962">
        <v>578</v>
      </c>
      <c r="AG12" s="962">
        <v>622</v>
      </c>
      <c r="AH12" s="962">
        <v>579</v>
      </c>
      <c r="AI12" s="962">
        <v>626</v>
      </c>
      <c r="AJ12" s="962">
        <v>599</v>
      </c>
      <c r="AK12" s="962">
        <v>574</v>
      </c>
      <c r="AL12" s="962">
        <v>573</v>
      </c>
      <c r="AM12" s="962">
        <v>529</v>
      </c>
      <c r="AN12" s="1110">
        <v>527</v>
      </c>
      <c r="AO12" s="1368">
        <v>512</v>
      </c>
      <c r="AP12" s="1369">
        <v>492</v>
      </c>
      <c r="AQ12" s="1368">
        <v>506</v>
      </c>
      <c r="AR12" s="2289">
        <v>512</v>
      </c>
      <c r="AS12" s="1368">
        <v>499</v>
      </c>
      <c r="AT12" s="2353">
        <v>434</v>
      </c>
      <c r="AU12" s="1274"/>
      <c r="AV12" s="1923">
        <f t="shared" si="18"/>
        <v>0.21369760479041916</v>
      </c>
      <c r="AW12" s="1924">
        <f t="shared" si="19"/>
        <v>0.21719109746738297</v>
      </c>
      <c r="AX12" s="1924">
        <f t="shared" si="20"/>
        <v>0.22025782688766113</v>
      </c>
      <c r="AY12" s="1924">
        <f t="shared" si="21"/>
        <v>0.21428571428571427</v>
      </c>
      <c r="AZ12" s="1924">
        <f t="shared" si="22"/>
        <v>0.22635889798957556</v>
      </c>
      <c r="BA12" s="1924">
        <f t="shared" si="23"/>
        <v>0.21624670928920647</v>
      </c>
      <c r="BB12" s="1924">
        <f t="shared" si="24"/>
        <v>0.20569395017793593</v>
      </c>
      <c r="BC12" s="1924">
        <f t="shared" si="25"/>
        <v>0.22143111427554291</v>
      </c>
      <c r="BD12" s="1924">
        <f t="shared" si="26"/>
        <v>0.22608356110894182</v>
      </c>
      <c r="BE12" s="1924">
        <f t="shared" si="27"/>
        <v>0.22534197264218864</v>
      </c>
      <c r="BF12" s="1924">
        <f t="shared" si="28"/>
        <v>0.20485636114911079</v>
      </c>
      <c r="BG12" s="1924">
        <f t="shared" si="29"/>
        <v>0.19557069846678024</v>
      </c>
      <c r="BH12" s="1924">
        <f t="shared" si="30"/>
        <v>0.18501775912173071</v>
      </c>
      <c r="BI12" s="1924">
        <f t="shared" si="31"/>
        <v>0.17349950803542144</v>
      </c>
      <c r="BJ12" s="1925">
        <f t="shared" si="32"/>
        <v>0.1650485436893204</v>
      </c>
      <c r="BK12" s="1926">
        <f>'Non-marital births'!L13</f>
        <v>0.1481734380334585</v>
      </c>
      <c r="BL12" s="1927">
        <v>0.15466834328827414</v>
      </c>
      <c r="BM12" s="1928">
        <f t="shared" si="33"/>
        <v>0.16012658227848101</v>
      </c>
      <c r="BN12" s="2348">
        <f t="shared" si="34"/>
        <v>0.15965076395385094</v>
      </c>
      <c r="BO12" s="2348">
        <f t="shared" si="17"/>
        <v>0.16795691686300909</v>
      </c>
      <c r="BP12" s="2343">
        <f t="shared" si="17"/>
        <v>0.1481734380334585</v>
      </c>
    </row>
    <row r="13" spans="1:68" s="142" customFormat="1" ht="13.5" customHeight="1" x14ac:dyDescent="0.3">
      <c r="A13" s="149" t="s">
        <v>26</v>
      </c>
      <c r="B13" s="185" t="s">
        <v>286</v>
      </c>
      <c r="C13" s="150" t="s">
        <v>253</v>
      </c>
      <c r="D13" s="938">
        <v>1263</v>
      </c>
      <c r="E13" s="939">
        <v>1209</v>
      </c>
      <c r="F13" s="940">
        <v>1240</v>
      </c>
      <c r="G13" s="939">
        <v>1174</v>
      </c>
      <c r="H13" s="940">
        <v>1225</v>
      </c>
      <c r="I13" s="939">
        <v>1317</v>
      </c>
      <c r="J13" s="940">
        <v>1317</v>
      </c>
      <c r="K13" s="939">
        <v>1292</v>
      </c>
      <c r="L13" s="953">
        <v>1366</v>
      </c>
      <c r="M13" s="953">
        <v>1443</v>
      </c>
      <c r="N13" s="953">
        <v>1339</v>
      </c>
      <c r="O13" s="953">
        <v>1313</v>
      </c>
      <c r="P13" s="954">
        <v>1196</v>
      </c>
      <c r="Q13" s="954">
        <v>1309</v>
      </c>
      <c r="R13" s="1107">
        <v>1205</v>
      </c>
      <c r="S13" s="1367">
        <v>1213</v>
      </c>
      <c r="T13" s="1908">
        <v>1231</v>
      </c>
      <c r="U13" s="1908">
        <v>1289</v>
      </c>
      <c r="V13" s="2291">
        <v>1245</v>
      </c>
      <c r="W13" s="1367">
        <v>1230</v>
      </c>
      <c r="X13" s="2351">
        <v>1314</v>
      </c>
      <c r="Y13" s="1273"/>
      <c r="Z13" s="961">
        <v>383</v>
      </c>
      <c r="AA13" s="962">
        <v>349</v>
      </c>
      <c r="AB13" s="962">
        <v>394</v>
      </c>
      <c r="AC13" s="962">
        <v>361</v>
      </c>
      <c r="AD13" s="962">
        <v>414</v>
      </c>
      <c r="AE13" s="962">
        <v>471</v>
      </c>
      <c r="AF13" s="962">
        <v>428</v>
      </c>
      <c r="AG13" s="962">
        <v>450</v>
      </c>
      <c r="AH13" s="962">
        <v>495</v>
      </c>
      <c r="AI13" s="962">
        <v>571</v>
      </c>
      <c r="AJ13" s="962">
        <v>523</v>
      </c>
      <c r="AK13" s="962">
        <v>492</v>
      </c>
      <c r="AL13" s="962">
        <v>441</v>
      </c>
      <c r="AM13" s="962">
        <v>472</v>
      </c>
      <c r="AN13" s="1110">
        <v>480</v>
      </c>
      <c r="AO13" s="1368">
        <v>498</v>
      </c>
      <c r="AP13" s="1369">
        <v>470</v>
      </c>
      <c r="AQ13" s="1368">
        <v>513</v>
      </c>
      <c r="AR13" s="2289">
        <v>497</v>
      </c>
      <c r="AS13" s="1368">
        <v>517</v>
      </c>
      <c r="AT13" s="2353">
        <v>531</v>
      </c>
      <c r="AU13" s="1274"/>
      <c r="AV13" s="1923">
        <f t="shared" si="18"/>
        <v>0.30324623911322246</v>
      </c>
      <c r="AW13" s="1924">
        <f t="shared" si="19"/>
        <v>0.28866832092638545</v>
      </c>
      <c r="AX13" s="1924">
        <f t="shared" si="20"/>
        <v>0.31774193548387097</v>
      </c>
      <c r="AY13" s="1924">
        <f t="shared" si="21"/>
        <v>0.30749574105621807</v>
      </c>
      <c r="AZ13" s="1924">
        <f t="shared" si="22"/>
        <v>0.33795918367346939</v>
      </c>
      <c r="BA13" s="1924">
        <f t="shared" si="23"/>
        <v>0.35763097949886102</v>
      </c>
      <c r="BB13" s="1924">
        <f t="shared" si="24"/>
        <v>0.32498101746393321</v>
      </c>
      <c r="BC13" s="1924">
        <f t="shared" si="25"/>
        <v>0.34829721362229105</v>
      </c>
      <c r="BD13" s="1924">
        <f t="shared" si="26"/>
        <v>0.3623718887262079</v>
      </c>
      <c r="BE13" s="1924">
        <f t="shared" si="27"/>
        <v>0.39570339570339569</v>
      </c>
      <c r="BF13" s="1924">
        <f t="shared" si="28"/>
        <v>0.39058999253174009</v>
      </c>
      <c r="BG13" s="1924">
        <f t="shared" si="29"/>
        <v>0.37471439451637473</v>
      </c>
      <c r="BH13" s="1924">
        <f t="shared" si="30"/>
        <v>0.36872909698996653</v>
      </c>
      <c r="BI13" s="1924">
        <f t="shared" si="31"/>
        <v>0.36058059587471353</v>
      </c>
      <c r="BJ13" s="1925">
        <f t="shared" si="32"/>
        <v>0.39834024896265557</v>
      </c>
      <c r="BK13" s="1926">
        <f>'Non-marital births'!L14</f>
        <v>0.4041095890410959</v>
      </c>
      <c r="BL13" s="1927">
        <v>0.38180341186027622</v>
      </c>
      <c r="BM13" s="1928">
        <f t="shared" si="33"/>
        <v>0.39798293250581845</v>
      </c>
      <c r="BN13" s="2348">
        <f t="shared" si="34"/>
        <v>0.39919678714859436</v>
      </c>
      <c r="BO13" s="2348">
        <f t="shared" si="17"/>
        <v>0.42032520325203254</v>
      </c>
      <c r="BP13" s="2343">
        <f t="shared" si="17"/>
        <v>0.4041095890410959</v>
      </c>
    </row>
    <row r="14" spans="1:68" s="142" customFormat="1" ht="13.5" customHeight="1" x14ac:dyDescent="0.3">
      <c r="A14" s="149" t="s">
        <v>27</v>
      </c>
      <c r="B14" s="185" t="s">
        <v>28</v>
      </c>
      <c r="C14" s="150" t="s">
        <v>253</v>
      </c>
      <c r="D14" s="938">
        <v>53</v>
      </c>
      <c r="E14" s="939">
        <v>50</v>
      </c>
      <c r="F14" s="940">
        <v>44</v>
      </c>
      <c r="G14" s="939">
        <v>41</v>
      </c>
      <c r="H14" s="940">
        <v>35</v>
      </c>
      <c r="I14" s="939">
        <v>33</v>
      </c>
      <c r="J14" s="940">
        <v>26</v>
      </c>
      <c r="K14" s="939">
        <v>28</v>
      </c>
      <c r="L14" s="953">
        <v>27</v>
      </c>
      <c r="M14" s="953">
        <v>37</v>
      </c>
      <c r="N14" s="953">
        <v>32</v>
      </c>
      <c r="O14" s="953">
        <v>26</v>
      </c>
      <c r="P14" s="954">
        <v>40</v>
      </c>
      <c r="Q14" s="954">
        <v>39</v>
      </c>
      <c r="R14" s="1107">
        <v>40</v>
      </c>
      <c r="S14" s="1367">
        <v>40</v>
      </c>
      <c r="T14" s="1908">
        <v>49</v>
      </c>
      <c r="U14" s="1908">
        <v>37</v>
      </c>
      <c r="V14" s="2291">
        <v>39</v>
      </c>
      <c r="W14" s="1367">
        <v>27</v>
      </c>
      <c r="X14" s="2351">
        <v>43</v>
      </c>
      <c r="Y14" s="1273"/>
      <c r="Z14" s="961">
        <v>6</v>
      </c>
      <c r="AA14" s="962">
        <v>13</v>
      </c>
      <c r="AB14" s="962">
        <v>10</v>
      </c>
      <c r="AC14" s="962">
        <v>6</v>
      </c>
      <c r="AD14" s="962">
        <v>8</v>
      </c>
      <c r="AE14" s="962">
        <v>10</v>
      </c>
      <c r="AF14" s="962">
        <v>6</v>
      </c>
      <c r="AG14" s="962">
        <v>10</v>
      </c>
      <c r="AH14" s="962">
        <v>6</v>
      </c>
      <c r="AI14" s="962">
        <v>14</v>
      </c>
      <c r="AJ14" s="962">
        <v>9</v>
      </c>
      <c r="AK14" s="962">
        <v>7</v>
      </c>
      <c r="AL14" s="962">
        <v>17</v>
      </c>
      <c r="AM14" s="962">
        <v>13</v>
      </c>
      <c r="AN14" s="1110">
        <v>23</v>
      </c>
      <c r="AO14" s="1368">
        <v>20</v>
      </c>
      <c r="AP14" s="1369">
        <v>23</v>
      </c>
      <c r="AQ14" s="1368">
        <v>20</v>
      </c>
      <c r="AR14" s="2289">
        <v>15</v>
      </c>
      <c r="AS14" s="1368">
        <v>13</v>
      </c>
      <c r="AT14" s="2353">
        <v>13</v>
      </c>
      <c r="AU14" s="1274"/>
      <c r="AV14" s="1923">
        <f t="shared" si="18"/>
        <v>0.11320754716981132</v>
      </c>
      <c r="AW14" s="1924">
        <f t="shared" si="19"/>
        <v>0.26</v>
      </c>
      <c r="AX14" s="1924">
        <f t="shared" si="20"/>
        <v>0.22727272727272727</v>
      </c>
      <c r="AY14" s="1924">
        <f t="shared" si="21"/>
        <v>0.14634146341463414</v>
      </c>
      <c r="AZ14" s="1924">
        <f t="shared" si="22"/>
        <v>0.22857142857142856</v>
      </c>
      <c r="BA14" s="1924">
        <f t="shared" si="23"/>
        <v>0.30303030303030304</v>
      </c>
      <c r="BB14" s="1924">
        <f t="shared" si="24"/>
        <v>0.23076923076923078</v>
      </c>
      <c r="BC14" s="1924">
        <f t="shared" si="25"/>
        <v>0.35714285714285715</v>
      </c>
      <c r="BD14" s="1924">
        <f t="shared" si="26"/>
        <v>0.22222222222222221</v>
      </c>
      <c r="BE14" s="1924">
        <f t="shared" si="27"/>
        <v>0.3783783783783784</v>
      </c>
      <c r="BF14" s="1924">
        <f t="shared" si="28"/>
        <v>0.28125</v>
      </c>
      <c r="BG14" s="1924">
        <f t="shared" si="29"/>
        <v>0.26923076923076922</v>
      </c>
      <c r="BH14" s="1924">
        <f t="shared" si="30"/>
        <v>0.42499999999999999</v>
      </c>
      <c r="BI14" s="1924">
        <f t="shared" si="31"/>
        <v>0.33333333333333331</v>
      </c>
      <c r="BJ14" s="1925">
        <f t="shared" si="32"/>
        <v>0.57499999999999996</v>
      </c>
      <c r="BK14" s="1926">
        <f>'Non-marital births'!L15</f>
        <v>0.30232558139534882</v>
      </c>
      <c r="BL14" s="1927">
        <v>0.46938775510204084</v>
      </c>
      <c r="BM14" s="1928">
        <f t="shared" si="33"/>
        <v>0.54054054054054057</v>
      </c>
      <c r="BN14" s="2348">
        <f t="shared" si="34"/>
        <v>0.38461538461538464</v>
      </c>
      <c r="BO14" s="2348">
        <f t="shared" si="17"/>
        <v>0.48148148148148145</v>
      </c>
      <c r="BP14" s="2343">
        <f t="shared" si="17"/>
        <v>0.30232558139534882</v>
      </c>
    </row>
    <row r="15" spans="1:68" s="142" customFormat="1" ht="13.5" customHeight="1" x14ac:dyDescent="0.3">
      <c r="A15" s="149" t="s">
        <v>29</v>
      </c>
      <c r="B15" s="185" t="s">
        <v>913</v>
      </c>
      <c r="C15" s="150" t="s">
        <v>253</v>
      </c>
      <c r="D15" s="938">
        <v>716</v>
      </c>
      <c r="E15" s="939">
        <v>655</v>
      </c>
      <c r="F15" s="940">
        <v>720</v>
      </c>
      <c r="G15" s="939">
        <v>702</v>
      </c>
      <c r="H15" s="940">
        <v>626</v>
      </c>
      <c r="I15" s="939">
        <v>710</v>
      </c>
      <c r="J15" s="940">
        <v>671</v>
      </c>
      <c r="K15" s="939">
        <v>711</v>
      </c>
      <c r="L15" s="953">
        <v>734</v>
      </c>
      <c r="M15" s="953">
        <v>703</v>
      </c>
      <c r="N15" s="953">
        <v>685</v>
      </c>
      <c r="O15" s="953">
        <v>682</v>
      </c>
      <c r="P15" s="954">
        <v>679</v>
      </c>
      <c r="Q15" s="954">
        <v>644</v>
      </c>
      <c r="R15" s="1107">
        <v>620</v>
      </c>
      <c r="S15" s="1367">
        <v>672</v>
      </c>
      <c r="T15" s="1908">
        <v>642</v>
      </c>
      <c r="U15" s="1908">
        <v>635</v>
      </c>
      <c r="V15" s="2291">
        <v>711</v>
      </c>
      <c r="W15" s="1367">
        <v>678</v>
      </c>
      <c r="X15" s="2351">
        <v>663</v>
      </c>
      <c r="Y15" s="1273"/>
      <c r="Z15" s="961">
        <v>168</v>
      </c>
      <c r="AA15" s="962">
        <v>147</v>
      </c>
      <c r="AB15" s="962">
        <v>154</v>
      </c>
      <c r="AC15" s="962">
        <v>158</v>
      </c>
      <c r="AD15" s="962">
        <v>151</v>
      </c>
      <c r="AE15" s="962">
        <v>173</v>
      </c>
      <c r="AF15" s="962">
        <v>178</v>
      </c>
      <c r="AG15" s="962">
        <v>202</v>
      </c>
      <c r="AH15" s="962">
        <v>215</v>
      </c>
      <c r="AI15" s="962">
        <v>207</v>
      </c>
      <c r="AJ15" s="962">
        <v>211</v>
      </c>
      <c r="AK15" s="962">
        <v>225</v>
      </c>
      <c r="AL15" s="962">
        <v>207</v>
      </c>
      <c r="AM15" s="962">
        <v>207</v>
      </c>
      <c r="AN15" s="1110">
        <v>215</v>
      </c>
      <c r="AO15" s="1368">
        <v>242</v>
      </c>
      <c r="AP15" s="1369">
        <v>202</v>
      </c>
      <c r="AQ15" s="1368">
        <v>184</v>
      </c>
      <c r="AR15" s="2289">
        <v>221</v>
      </c>
      <c r="AS15" s="1368">
        <v>209</v>
      </c>
      <c r="AT15" s="2353">
        <v>208</v>
      </c>
      <c r="AU15" s="1274"/>
      <c r="AV15" s="1923">
        <f t="shared" si="18"/>
        <v>0.23463687150837989</v>
      </c>
      <c r="AW15" s="1924">
        <f t="shared" si="19"/>
        <v>0.22442748091603054</v>
      </c>
      <c r="AX15" s="1924">
        <f t="shared" si="20"/>
        <v>0.21388888888888888</v>
      </c>
      <c r="AY15" s="1924">
        <f t="shared" si="21"/>
        <v>0.22507122507122507</v>
      </c>
      <c r="AZ15" s="1924">
        <f t="shared" si="22"/>
        <v>0.24121405750798722</v>
      </c>
      <c r="BA15" s="1924">
        <f t="shared" si="23"/>
        <v>0.24366197183098592</v>
      </c>
      <c r="BB15" s="1924">
        <f t="shared" si="24"/>
        <v>0.26527570789865873</v>
      </c>
      <c r="BC15" s="1924">
        <f t="shared" si="25"/>
        <v>0.2841068917018284</v>
      </c>
      <c r="BD15" s="1924">
        <f t="shared" si="26"/>
        <v>0.29291553133514986</v>
      </c>
      <c r="BE15" s="1924">
        <f t="shared" si="27"/>
        <v>0.29445234708392604</v>
      </c>
      <c r="BF15" s="1924">
        <f t="shared" si="28"/>
        <v>0.30802919708029197</v>
      </c>
      <c r="BG15" s="1924">
        <f t="shared" si="29"/>
        <v>0.32991202346041054</v>
      </c>
      <c r="BH15" s="1924">
        <f t="shared" si="30"/>
        <v>0.30486008836524303</v>
      </c>
      <c r="BI15" s="1924">
        <f t="shared" si="31"/>
        <v>0.32142857142857145</v>
      </c>
      <c r="BJ15" s="1925">
        <f t="shared" si="32"/>
        <v>0.34677419354838712</v>
      </c>
      <c r="BK15" s="1926">
        <f>'Non-marital births'!L16</f>
        <v>0.31372549019607843</v>
      </c>
      <c r="BL15" s="1927">
        <v>0.31464174454828658</v>
      </c>
      <c r="BM15" s="1928">
        <f t="shared" si="33"/>
        <v>0.28976377952755905</v>
      </c>
      <c r="BN15" s="2348">
        <f t="shared" si="34"/>
        <v>0.3108298171589311</v>
      </c>
      <c r="BO15" s="2348">
        <f t="shared" si="17"/>
        <v>0.30825958702064898</v>
      </c>
      <c r="BP15" s="2343">
        <f t="shared" si="17"/>
        <v>0.31372549019607843</v>
      </c>
    </row>
    <row r="16" spans="1:68" s="142" customFormat="1" ht="13.5" customHeight="1" x14ac:dyDescent="0.3">
      <c r="A16" s="149" t="s">
        <v>30</v>
      </c>
      <c r="B16" s="185" t="s">
        <v>31</v>
      </c>
      <c r="C16" s="150" t="s">
        <v>256</v>
      </c>
      <c r="D16" s="938">
        <v>50</v>
      </c>
      <c r="E16" s="939">
        <v>64</v>
      </c>
      <c r="F16" s="940">
        <v>63</v>
      </c>
      <c r="G16" s="939">
        <v>59</v>
      </c>
      <c r="H16" s="940">
        <v>55</v>
      </c>
      <c r="I16" s="939">
        <v>60</v>
      </c>
      <c r="J16" s="940">
        <v>54</v>
      </c>
      <c r="K16" s="939">
        <v>63</v>
      </c>
      <c r="L16" s="953">
        <v>48</v>
      </c>
      <c r="M16" s="953">
        <v>51</v>
      </c>
      <c r="N16" s="953">
        <v>53</v>
      </c>
      <c r="O16" s="953">
        <v>49</v>
      </c>
      <c r="P16" s="954">
        <v>41</v>
      </c>
      <c r="Q16" s="954">
        <v>53</v>
      </c>
      <c r="R16" s="1107">
        <v>55</v>
      </c>
      <c r="S16" s="1367">
        <v>39</v>
      </c>
      <c r="T16" s="1908">
        <v>47</v>
      </c>
      <c r="U16" s="1908">
        <v>51</v>
      </c>
      <c r="V16" s="2291">
        <v>50</v>
      </c>
      <c r="W16" s="1367">
        <v>42</v>
      </c>
      <c r="X16" s="2351">
        <v>34</v>
      </c>
      <c r="Y16" s="1273"/>
      <c r="Z16" s="961">
        <v>8</v>
      </c>
      <c r="AA16" s="962">
        <v>12</v>
      </c>
      <c r="AB16" s="962">
        <v>9</v>
      </c>
      <c r="AC16" s="962">
        <v>9</v>
      </c>
      <c r="AD16" s="962">
        <v>14</v>
      </c>
      <c r="AE16" s="962">
        <v>8</v>
      </c>
      <c r="AF16" s="962">
        <v>12</v>
      </c>
      <c r="AG16" s="962">
        <v>19</v>
      </c>
      <c r="AH16" s="962">
        <v>13</v>
      </c>
      <c r="AI16" s="962">
        <v>13</v>
      </c>
      <c r="AJ16" s="962">
        <v>19</v>
      </c>
      <c r="AK16" s="962">
        <v>14</v>
      </c>
      <c r="AL16" s="962">
        <v>13</v>
      </c>
      <c r="AM16" s="962">
        <v>29</v>
      </c>
      <c r="AN16" s="1110">
        <v>20</v>
      </c>
      <c r="AO16" s="1368">
        <v>14</v>
      </c>
      <c r="AP16" s="1369">
        <v>14</v>
      </c>
      <c r="AQ16" s="1368">
        <v>15</v>
      </c>
      <c r="AR16" s="2289">
        <v>19</v>
      </c>
      <c r="AS16" s="1368">
        <v>9</v>
      </c>
      <c r="AT16" s="2353">
        <v>10</v>
      </c>
      <c r="AU16" s="1274"/>
      <c r="AV16" s="1923">
        <f t="shared" si="18"/>
        <v>0.16</v>
      </c>
      <c r="AW16" s="1924">
        <f t="shared" si="19"/>
        <v>0.1875</v>
      </c>
      <c r="AX16" s="1924">
        <f t="shared" si="20"/>
        <v>0.14285714285714285</v>
      </c>
      <c r="AY16" s="1924">
        <f t="shared" si="21"/>
        <v>0.15254237288135594</v>
      </c>
      <c r="AZ16" s="1924">
        <f t="shared" si="22"/>
        <v>0.25454545454545452</v>
      </c>
      <c r="BA16" s="1924">
        <f t="shared" si="23"/>
        <v>0.13333333333333333</v>
      </c>
      <c r="BB16" s="1924">
        <f t="shared" si="24"/>
        <v>0.22222222222222221</v>
      </c>
      <c r="BC16" s="1924">
        <f t="shared" si="25"/>
        <v>0.30158730158730157</v>
      </c>
      <c r="BD16" s="1924">
        <f t="shared" si="26"/>
        <v>0.27083333333333331</v>
      </c>
      <c r="BE16" s="1924">
        <f t="shared" si="27"/>
        <v>0.25490196078431371</v>
      </c>
      <c r="BF16" s="1924">
        <f t="shared" si="28"/>
        <v>0.35849056603773582</v>
      </c>
      <c r="BG16" s="1924">
        <f t="shared" si="29"/>
        <v>0.2857142857142857</v>
      </c>
      <c r="BH16" s="1924">
        <f t="shared" si="30"/>
        <v>0.31707317073170732</v>
      </c>
      <c r="BI16" s="1924">
        <f t="shared" si="31"/>
        <v>0.54716981132075471</v>
      </c>
      <c r="BJ16" s="1925">
        <f t="shared" si="32"/>
        <v>0.36363636363636365</v>
      </c>
      <c r="BK16" s="1926">
        <f>'Non-marital births'!L17</f>
        <v>0.29411764705882354</v>
      </c>
      <c r="BL16" s="1927">
        <v>0.2978723404255319</v>
      </c>
      <c r="BM16" s="1928">
        <f t="shared" si="33"/>
        <v>0.29411764705882354</v>
      </c>
      <c r="BN16" s="2348">
        <f t="shared" si="34"/>
        <v>0.38</v>
      </c>
      <c r="BO16" s="2348">
        <f t="shared" si="17"/>
        <v>0.21428571428571427</v>
      </c>
      <c r="BP16" s="2343">
        <f t="shared" si="17"/>
        <v>0.29411764705882354</v>
      </c>
    </row>
    <row r="17" spans="1:68" s="142" customFormat="1" ht="13.5" customHeight="1" x14ac:dyDescent="0.3">
      <c r="A17" s="149" t="s">
        <v>32</v>
      </c>
      <c r="B17" s="185" t="s">
        <v>33</v>
      </c>
      <c r="C17" s="150" t="s">
        <v>253</v>
      </c>
      <c r="D17" s="938">
        <v>309</v>
      </c>
      <c r="E17" s="939">
        <v>328</v>
      </c>
      <c r="F17" s="940">
        <v>312</v>
      </c>
      <c r="G17" s="939">
        <v>253</v>
      </c>
      <c r="H17" s="940">
        <v>297</v>
      </c>
      <c r="I17" s="939">
        <v>308</v>
      </c>
      <c r="J17" s="940">
        <v>258</v>
      </c>
      <c r="K17" s="939">
        <v>265</v>
      </c>
      <c r="L17" s="953">
        <v>278</v>
      </c>
      <c r="M17" s="953">
        <v>308</v>
      </c>
      <c r="N17" s="953">
        <v>265</v>
      </c>
      <c r="O17" s="953">
        <v>262</v>
      </c>
      <c r="P17" s="954">
        <v>243</v>
      </c>
      <c r="Q17" s="954">
        <v>221</v>
      </c>
      <c r="R17" s="1107">
        <v>224</v>
      </c>
      <c r="S17" s="1367">
        <v>220</v>
      </c>
      <c r="T17" s="1908">
        <v>236</v>
      </c>
      <c r="U17" s="1908">
        <v>232</v>
      </c>
      <c r="V17" s="2291">
        <v>279</v>
      </c>
      <c r="W17" s="1367">
        <v>232</v>
      </c>
      <c r="X17" s="2351">
        <v>253</v>
      </c>
      <c r="Y17" s="1273"/>
      <c r="Z17" s="961">
        <v>69</v>
      </c>
      <c r="AA17" s="962">
        <v>59</v>
      </c>
      <c r="AB17" s="962">
        <v>47</v>
      </c>
      <c r="AC17" s="962">
        <v>46</v>
      </c>
      <c r="AD17" s="962">
        <v>62</v>
      </c>
      <c r="AE17" s="962">
        <v>55</v>
      </c>
      <c r="AF17" s="962">
        <v>50</v>
      </c>
      <c r="AG17" s="962">
        <v>57</v>
      </c>
      <c r="AH17" s="962">
        <v>59</v>
      </c>
      <c r="AI17" s="962">
        <v>84</v>
      </c>
      <c r="AJ17" s="962">
        <v>64</v>
      </c>
      <c r="AK17" s="962">
        <v>71</v>
      </c>
      <c r="AL17" s="962">
        <v>64</v>
      </c>
      <c r="AM17" s="962">
        <v>60</v>
      </c>
      <c r="AN17" s="1110">
        <v>54</v>
      </c>
      <c r="AO17" s="1368">
        <v>65</v>
      </c>
      <c r="AP17" s="1369">
        <v>74</v>
      </c>
      <c r="AQ17" s="1368">
        <v>81</v>
      </c>
      <c r="AR17" s="2289">
        <v>74</v>
      </c>
      <c r="AS17" s="1368">
        <v>64</v>
      </c>
      <c r="AT17" s="2353">
        <v>67</v>
      </c>
      <c r="AU17" s="1274"/>
      <c r="AV17" s="1923">
        <f t="shared" si="18"/>
        <v>0.22330097087378642</v>
      </c>
      <c r="AW17" s="1924">
        <f t="shared" si="19"/>
        <v>0.1798780487804878</v>
      </c>
      <c r="AX17" s="1924">
        <f t="shared" si="20"/>
        <v>0.15064102564102563</v>
      </c>
      <c r="AY17" s="1924">
        <f t="shared" si="21"/>
        <v>0.18181818181818182</v>
      </c>
      <c r="AZ17" s="1924">
        <f t="shared" si="22"/>
        <v>0.20875420875420875</v>
      </c>
      <c r="BA17" s="1924">
        <f t="shared" si="23"/>
        <v>0.17857142857142858</v>
      </c>
      <c r="BB17" s="1924">
        <f t="shared" si="24"/>
        <v>0.19379844961240311</v>
      </c>
      <c r="BC17" s="1924">
        <f t="shared" si="25"/>
        <v>0.21509433962264152</v>
      </c>
      <c r="BD17" s="1924">
        <f t="shared" si="26"/>
        <v>0.21223021582733814</v>
      </c>
      <c r="BE17" s="1924">
        <f t="shared" si="27"/>
        <v>0.27272727272727271</v>
      </c>
      <c r="BF17" s="1924">
        <f t="shared" si="28"/>
        <v>0.24150943396226415</v>
      </c>
      <c r="BG17" s="1924">
        <f t="shared" si="29"/>
        <v>0.27099236641221375</v>
      </c>
      <c r="BH17" s="1924">
        <f t="shared" si="30"/>
        <v>0.26337448559670784</v>
      </c>
      <c r="BI17" s="1924">
        <f t="shared" si="31"/>
        <v>0.27149321266968324</v>
      </c>
      <c r="BJ17" s="1925">
        <f t="shared" si="32"/>
        <v>0.24107142857142858</v>
      </c>
      <c r="BK17" s="1926">
        <f>'Non-marital births'!L18</f>
        <v>0.2648221343873518</v>
      </c>
      <c r="BL17" s="1927">
        <v>0.3135593220338983</v>
      </c>
      <c r="BM17" s="1928">
        <f t="shared" si="33"/>
        <v>0.34913793103448276</v>
      </c>
      <c r="BN17" s="2348">
        <f t="shared" si="34"/>
        <v>0.26523297491039427</v>
      </c>
      <c r="BO17" s="2348">
        <f t="shared" si="17"/>
        <v>0.27586206896551724</v>
      </c>
      <c r="BP17" s="2343">
        <f t="shared" si="17"/>
        <v>0.2648221343873518</v>
      </c>
    </row>
    <row r="18" spans="1:68" s="142" customFormat="1" ht="13.5" customHeight="1" x14ac:dyDescent="0.3">
      <c r="A18" s="149" t="s">
        <v>36</v>
      </c>
      <c r="B18" s="185" t="s">
        <v>37</v>
      </c>
      <c r="C18" s="150" t="s">
        <v>252</v>
      </c>
      <c r="D18" s="938">
        <v>179</v>
      </c>
      <c r="E18" s="939">
        <v>176</v>
      </c>
      <c r="F18" s="940">
        <v>185</v>
      </c>
      <c r="G18" s="939">
        <v>191</v>
      </c>
      <c r="H18" s="940">
        <v>179</v>
      </c>
      <c r="I18" s="939">
        <v>170</v>
      </c>
      <c r="J18" s="940">
        <v>173</v>
      </c>
      <c r="K18" s="939">
        <v>165</v>
      </c>
      <c r="L18" s="953">
        <v>174</v>
      </c>
      <c r="M18" s="953">
        <v>175</v>
      </c>
      <c r="N18" s="953">
        <v>191</v>
      </c>
      <c r="O18" s="953">
        <v>163</v>
      </c>
      <c r="P18" s="954">
        <v>162</v>
      </c>
      <c r="Q18" s="954">
        <v>141</v>
      </c>
      <c r="R18" s="1107">
        <v>159</v>
      </c>
      <c r="S18" s="1367">
        <v>131</v>
      </c>
      <c r="T18" s="1908">
        <v>146</v>
      </c>
      <c r="U18" s="1908">
        <v>142</v>
      </c>
      <c r="V18" s="2291">
        <v>137</v>
      </c>
      <c r="W18" s="1367">
        <v>154</v>
      </c>
      <c r="X18" s="2351">
        <v>130</v>
      </c>
      <c r="Y18" s="1273"/>
      <c r="Z18" s="961">
        <v>109</v>
      </c>
      <c r="AA18" s="962">
        <v>100</v>
      </c>
      <c r="AB18" s="962">
        <v>109</v>
      </c>
      <c r="AC18" s="962">
        <v>116</v>
      </c>
      <c r="AD18" s="962">
        <v>99</v>
      </c>
      <c r="AE18" s="962">
        <v>100</v>
      </c>
      <c r="AF18" s="962">
        <v>110</v>
      </c>
      <c r="AG18" s="962">
        <v>103</v>
      </c>
      <c r="AH18" s="962">
        <v>103</v>
      </c>
      <c r="AI18" s="962">
        <v>115</v>
      </c>
      <c r="AJ18" s="962">
        <v>128</v>
      </c>
      <c r="AK18" s="962">
        <v>102</v>
      </c>
      <c r="AL18" s="962">
        <v>104</v>
      </c>
      <c r="AM18" s="962">
        <v>90</v>
      </c>
      <c r="AN18" s="1110">
        <v>100</v>
      </c>
      <c r="AO18" s="1368">
        <v>85</v>
      </c>
      <c r="AP18" s="1369">
        <v>97</v>
      </c>
      <c r="AQ18" s="1368">
        <v>103</v>
      </c>
      <c r="AR18" s="2289">
        <v>89</v>
      </c>
      <c r="AS18" s="1368">
        <v>103</v>
      </c>
      <c r="AT18" s="2353">
        <v>88</v>
      </c>
      <c r="AU18" s="1274"/>
      <c r="AV18" s="1923">
        <f t="shared" si="18"/>
        <v>0.60893854748603349</v>
      </c>
      <c r="AW18" s="1924">
        <f t="shared" si="19"/>
        <v>0.56818181818181823</v>
      </c>
      <c r="AX18" s="1924">
        <f t="shared" si="20"/>
        <v>0.58918918918918917</v>
      </c>
      <c r="AY18" s="1924">
        <f t="shared" si="21"/>
        <v>0.60732984293193715</v>
      </c>
      <c r="AZ18" s="1924">
        <f t="shared" si="22"/>
        <v>0.55307262569832405</v>
      </c>
      <c r="BA18" s="1924">
        <f t="shared" si="23"/>
        <v>0.58823529411764708</v>
      </c>
      <c r="BB18" s="1924">
        <f t="shared" si="24"/>
        <v>0.63583815028901736</v>
      </c>
      <c r="BC18" s="1924">
        <f t="shared" si="25"/>
        <v>0.62424242424242427</v>
      </c>
      <c r="BD18" s="1924">
        <f t="shared" si="26"/>
        <v>0.59195402298850575</v>
      </c>
      <c r="BE18" s="1924">
        <f t="shared" si="27"/>
        <v>0.65714285714285714</v>
      </c>
      <c r="BF18" s="1924">
        <f t="shared" si="28"/>
        <v>0.67015706806282727</v>
      </c>
      <c r="BG18" s="1924">
        <f t="shared" si="29"/>
        <v>0.62576687116564422</v>
      </c>
      <c r="BH18" s="1924">
        <f t="shared" si="30"/>
        <v>0.64197530864197527</v>
      </c>
      <c r="BI18" s="1924">
        <f t="shared" si="31"/>
        <v>0.63829787234042556</v>
      </c>
      <c r="BJ18" s="1925">
        <f t="shared" si="32"/>
        <v>0.62893081761006286</v>
      </c>
      <c r="BK18" s="1926">
        <f>'Non-marital births'!L19</f>
        <v>0.67692307692307696</v>
      </c>
      <c r="BL18" s="1927">
        <v>0.66438356164383561</v>
      </c>
      <c r="BM18" s="1928">
        <f t="shared" si="33"/>
        <v>0.72535211267605637</v>
      </c>
      <c r="BN18" s="2348">
        <f t="shared" si="34"/>
        <v>0.64963503649635035</v>
      </c>
      <c r="BO18" s="2348">
        <f t="shared" si="17"/>
        <v>0.66883116883116878</v>
      </c>
      <c r="BP18" s="2343">
        <f t="shared" si="17"/>
        <v>0.67692307692307696</v>
      </c>
    </row>
    <row r="19" spans="1:68" s="142" customFormat="1" ht="13.5" customHeight="1" x14ac:dyDescent="0.3">
      <c r="A19" s="149" t="s">
        <v>38</v>
      </c>
      <c r="B19" s="185" t="s">
        <v>39</v>
      </c>
      <c r="C19" s="150" t="s">
        <v>256</v>
      </c>
      <c r="D19" s="938">
        <v>281</v>
      </c>
      <c r="E19" s="939">
        <v>270</v>
      </c>
      <c r="F19" s="940">
        <v>259</v>
      </c>
      <c r="G19" s="939">
        <v>248</v>
      </c>
      <c r="H19" s="940">
        <v>234</v>
      </c>
      <c r="I19" s="939">
        <v>240</v>
      </c>
      <c r="J19" s="940">
        <v>238</v>
      </c>
      <c r="K19" s="939">
        <v>234</v>
      </c>
      <c r="L19" s="953">
        <v>208</v>
      </c>
      <c r="M19" s="953">
        <v>202</v>
      </c>
      <c r="N19" s="953">
        <v>251</v>
      </c>
      <c r="O19" s="953">
        <v>207</v>
      </c>
      <c r="P19" s="954">
        <v>218</v>
      </c>
      <c r="Q19" s="954">
        <v>216</v>
      </c>
      <c r="R19" s="1107">
        <v>209</v>
      </c>
      <c r="S19" s="1367">
        <v>190</v>
      </c>
      <c r="T19" s="1908">
        <v>183</v>
      </c>
      <c r="U19" s="1908">
        <v>163</v>
      </c>
      <c r="V19" s="2291">
        <v>153</v>
      </c>
      <c r="W19" s="1367">
        <v>191</v>
      </c>
      <c r="X19" s="2351">
        <v>175</v>
      </c>
      <c r="Y19" s="1273"/>
      <c r="Z19" s="961">
        <v>89</v>
      </c>
      <c r="AA19" s="962">
        <v>73</v>
      </c>
      <c r="AB19" s="962">
        <v>84</v>
      </c>
      <c r="AC19" s="962">
        <v>75</v>
      </c>
      <c r="AD19" s="962">
        <v>63</v>
      </c>
      <c r="AE19" s="962">
        <v>71</v>
      </c>
      <c r="AF19" s="962">
        <v>68</v>
      </c>
      <c r="AG19" s="962">
        <v>67</v>
      </c>
      <c r="AH19" s="962">
        <v>56</v>
      </c>
      <c r="AI19" s="962">
        <v>79</v>
      </c>
      <c r="AJ19" s="962">
        <v>74</v>
      </c>
      <c r="AK19" s="962">
        <v>74</v>
      </c>
      <c r="AL19" s="962">
        <v>76</v>
      </c>
      <c r="AM19" s="962">
        <v>72</v>
      </c>
      <c r="AN19" s="1110">
        <v>67</v>
      </c>
      <c r="AO19" s="1368">
        <v>76</v>
      </c>
      <c r="AP19" s="1369">
        <v>70</v>
      </c>
      <c r="AQ19" s="1368">
        <v>55</v>
      </c>
      <c r="AR19" s="2289">
        <v>58</v>
      </c>
      <c r="AS19" s="1368">
        <v>69</v>
      </c>
      <c r="AT19" s="2353">
        <v>55</v>
      </c>
      <c r="AU19" s="1274"/>
      <c r="AV19" s="1923">
        <f t="shared" si="18"/>
        <v>0.31672597864768681</v>
      </c>
      <c r="AW19" s="1924">
        <f t="shared" si="19"/>
        <v>0.27037037037037037</v>
      </c>
      <c r="AX19" s="1924">
        <f t="shared" si="20"/>
        <v>0.32432432432432434</v>
      </c>
      <c r="AY19" s="1924">
        <f t="shared" si="21"/>
        <v>0.30241935483870969</v>
      </c>
      <c r="AZ19" s="1924">
        <f t="shared" si="22"/>
        <v>0.26923076923076922</v>
      </c>
      <c r="BA19" s="1924">
        <f t="shared" si="23"/>
        <v>0.29583333333333334</v>
      </c>
      <c r="BB19" s="1924">
        <f t="shared" si="24"/>
        <v>0.2857142857142857</v>
      </c>
      <c r="BC19" s="1924">
        <f t="shared" si="25"/>
        <v>0.28632478632478631</v>
      </c>
      <c r="BD19" s="1924">
        <f t="shared" si="26"/>
        <v>0.26923076923076922</v>
      </c>
      <c r="BE19" s="1924">
        <f t="shared" si="27"/>
        <v>0.3910891089108911</v>
      </c>
      <c r="BF19" s="1924">
        <f t="shared" si="28"/>
        <v>0.29482071713147412</v>
      </c>
      <c r="BG19" s="1924">
        <f t="shared" si="29"/>
        <v>0.35748792270531399</v>
      </c>
      <c r="BH19" s="1924">
        <f t="shared" si="30"/>
        <v>0.34862385321100919</v>
      </c>
      <c r="BI19" s="1924">
        <f t="shared" si="31"/>
        <v>0.33333333333333331</v>
      </c>
      <c r="BJ19" s="1925">
        <f t="shared" si="32"/>
        <v>0.32057416267942584</v>
      </c>
      <c r="BK19" s="1926">
        <f>'Non-marital births'!L20</f>
        <v>0.31428571428571428</v>
      </c>
      <c r="BL19" s="1927">
        <v>0.38251366120218577</v>
      </c>
      <c r="BM19" s="1928">
        <f t="shared" si="33"/>
        <v>0.33742331288343558</v>
      </c>
      <c r="BN19" s="2348">
        <f t="shared" si="34"/>
        <v>0.37908496732026142</v>
      </c>
      <c r="BO19" s="2348">
        <f t="shared" si="17"/>
        <v>0.36125654450261779</v>
      </c>
      <c r="BP19" s="2343">
        <f t="shared" si="17"/>
        <v>0.31428571428571428</v>
      </c>
    </row>
    <row r="20" spans="1:68" s="142" customFormat="1" ht="13.5" customHeight="1" x14ac:dyDescent="0.3">
      <c r="A20" s="149" t="s">
        <v>40</v>
      </c>
      <c r="B20" s="185" t="s">
        <v>41</v>
      </c>
      <c r="C20" s="150" t="s">
        <v>254</v>
      </c>
      <c r="D20" s="938">
        <v>143</v>
      </c>
      <c r="E20" s="939">
        <v>111</v>
      </c>
      <c r="F20" s="940">
        <v>96</v>
      </c>
      <c r="G20" s="939">
        <v>126</v>
      </c>
      <c r="H20" s="940">
        <v>160</v>
      </c>
      <c r="I20" s="939">
        <v>153</v>
      </c>
      <c r="J20" s="940">
        <v>161</v>
      </c>
      <c r="K20" s="939">
        <v>139</v>
      </c>
      <c r="L20" s="953">
        <v>163</v>
      </c>
      <c r="M20" s="953">
        <v>206</v>
      </c>
      <c r="N20" s="953">
        <v>184</v>
      </c>
      <c r="O20" s="953">
        <v>191</v>
      </c>
      <c r="P20" s="954">
        <v>164</v>
      </c>
      <c r="Q20" s="954">
        <v>160</v>
      </c>
      <c r="R20" s="1107">
        <v>177</v>
      </c>
      <c r="S20" s="1367">
        <v>166</v>
      </c>
      <c r="T20" s="1908">
        <v>150</v>
      </c>
      <c r="U20" s="1908">
        <v>128</v>
      </c>
      <c r="V20" s="2291">
        <v>134</v>
      </c>
      <c r="W20" s="1367">
        <v>130</v>
      </c>
      <c r="X20" s="2351">
        <v>141</v>
      </c>
      <c r="Y20" s="1273"/>
      <c r="Z20" s="961">
        <v>55</v>
      </c>
      <c r="AA20" s="962">
        <v>56</v>
      </c>
      <c r="AB20" s="962">
        <v>45</v>
      </c>
      <c r="AC20" s="962">
        <v>56</v>
      </c>
      <c r="AD20" s="962">
        <v>74</v>
      </c>
      <c r="AE20" s="962">
        <v>65</v>
      </c>
      <c r="AF20" s="962">
        <v>76</v>
      </c>
      <c r="AG20" s="962">
        <v>60</v>
      </c>
      <c r="AH20" s="962">
        <v>86</v>
      </c>
      <c r="AI20" s="962">
        <v>105</v>
      </c>
      <c r="AJ20" s="962">
        <v>93</v>
      </c>
      <c r="AK20" s="962">
        <v>101</v>
      </c>
      <c r="AL20" s="962">
        <v>90</v>
      </c>
      <c r="AM20" s="962">
        <v>88</v>
      </c>
      <c r="AN20" s="1110">
        <v>93</v>
      </c>
      <c r="AO20" s="1368">
        <v>98</v>
      </c>
      <c r="AP20" s="1369">
        <v>78</v>
      </c>
      <c r="AQ20" s="1368">
        <v>65</v>
      </c>
      <c r="AR20" s="2289">
        <v>65</v>
      </c>
      <c r="AS20" s="1368">
        <v>70</v>
      </c>
      <c r="AT20" s="2353">
        <v>70</v>
      </c>
      <c r="AU20" s="1274"/>
      <c r="AV20" s="1923">
        <f t="shared" si="18"/>
        <v>0.38461538461538464</v>
      </c>
      <c r="AW20" s="1924">
        <f t="shared" si="19"/>
        <v>0.50450450450450446</v>
      </c>
      <c r="AX20" s="1924">
        <f t="shared" si="20"/>
        <v>0.46875</v>
      </c>
      <c r="AY20" s="1924">
        <f t="shared" si="21"/>
        <v>0.44444444444444442</v>
      </c>
      <c r="AZ20" s="1924">
        <f t="shared" si="22"/>
        <v>0.46250000000000002</v>
      </c>
      <c r="BA20" s="1924">
        <f t="shared" si="23"/>
        <v>0.42483660130718953</v>
      </c>
      <c r="BB20" s="1924">
        <f t="shared" si="24"/>
        <v>0.47204968944099379</v>
      </c>
      <c r="BC20" s="1924">
        <f t="shared" si="25"/>
        <v>0.43165467625899279</v>
      </c>
      <c r="BD20" s="1924">
        <f t="shared" si="26"/>
        <v>0.52760736196319014</v>
      </c>
      <c r="BE20" s="1924">
        <f t="shared" si="27"/>
        <v>0.50970873786407767</v>
      </c>
      <c r="BF20" s="1924">
        <f t="shared" si="28"/>
        <v>0.50543478260869568</v>
      </c>
      <c r="BG20" s="1924">
        <f t="shared" si="29"/>
        <v>0.52879581151832455</v>
      </c>
      <c r="BH20" s="1924">
        <f t="shared" si="30"/>
        <v>0.54878048780487809</v>
      </c>
      <c r="BI20" s="1924">
        <f t="shared" si="31"/>
        <v>0.55000000000000004</v>
      </c>
      <c r="BJ20" s="1925">
        <f t="shared" si="32"/>
        <v>0.52542372881355937</v>
      </c>
      <c r="BK20" s="1926">
        <f>'Non-marital births'!L21</f>
        <v>0.49645390070921985</v>
      </c>
      <c r="BL20" s="1927">
        <v>0.52</v>
      </c>
      <c r="BM20" s="1928">
        <f t="shared" si="33"/>
        <v>0.5078125</v>
      </c>
      <c r="BN20" s="2348">
        <f t="shared" si="34"/>
        <v>0.48507462686567165</v>
      </c>
      <c r="BO20" s="2348">
        <f t="shared" si="17"/>
        <v>0.53846153846153844</v>
      </c>
      <c r="BP20" s="2343">
        <f t="shared" si="17"/>
        <v>0.49645390070921985</v>
      </c>
    </row>
    <row r="21" spans="1:68" s="142" customFormat="1" ht="13.5" customHeight="1" x14ac:dyDescent="0.3">
      <c r="A21" s="149" t="s">
        <v>42</v>
      </c>
      <c r="B21" s="185" t="s">
        <v>43</v>
      </c>
      <c r="C21" s="150" t="s">
        <v>253</v>
      </c>
      <c r="D21" s="938">
        <v>668</v>
      </c>
      <c r="E21" s="939">
        <v>661</v>
      </c>
      <c r="F21" s="940">
        <v>664</v>
      </c>
      <c r="G21" s="939">
        <v>585</v>
      </c>
      <c r="H21" s="940">
        <v>616</v>
      </c>
      <c r="I21" s="939">
        <v>582</v>
      </c>
      <c r="J21" s="940">
        <v>574</v>
      </c>
      <c r="K21" s="939">
        <v>565</v>
      </c>
      <c r="L21" s="953">
        <v>515</v>
      </c>
      <c r="M21" s="953">
        <v>549</v>
      </c>
      <c r="N21" s="953">
        <v>593</v>
      </c>
      <c r="O21" s="953">
        <v>514</v>
      </c>
      <c r="P21" s="954">
        <v>485</v>
      </c>
      <c r="Q21" s="954">
        <v>539</v>
      </c>
      <c r="R21" s="1107">
        <v>480</v>
      </c>
      <c r="S21" s="1367">
        <v>475</v>
      </c>
      <c r="T21" s="1908">
        <v>436</v>
      </c>
      <c r="U21" s="1908">
        <v>530</v>
      </c>
      <c r="V21" s="2291">
        <v>632</v>
      </c>
      <c r="W21" s="1367">
        <v>484</v>
      </c>
      <c r="X21" s="2351">
        <v>488</v>
      </c>
      <c r="Y21" s="1273"/>
      <c r="Z21" s="961">
        <v>222</v>
      </c>
      <c r="AA21" s="962">
        <v>217</v>
      </c>
      <c r="AB21" s="962">
        <v>212</v>
      </c>
      <c r="AC21" s="962">
        <v>201</v>
      </c>
      <c r="AD21" s="962">
        <v>200</v>
      </c>
      <c r="AE21" s="962">
        <v>193</v>
      </c>
      <c r="AF21" s="962">
        <v>185</v>
      </c>
      <c r="AG21" s="962">
        <v>205</v>
      </c>
      <c r="AH21" s="962">
        <v>180</v>
      </c>
      <c r="AI21" s="962">
        <v>221</v>
      </c>
      <c r="AJ21" s="962">
        <v>227</v>
      </c>
      <c r="AK21" s="962">
        <v>182</v>
      </c>
      <c r="AL21" s="962">
        <v>183</v>
      </c>
      <c r="AM21" s="962">
        <v>206</v>
      </c>
      <c r="AN21" s="1110">
        <v>164</v>
      </c>
      <c r="AO21" s="1368">
        <v>182</v>
      </c>
      <c r="AP21" s="1369">
        <v>160</v>
      </c>
      <c r="AQ21" s="1368">
        <v>219</v>
      </c>
      <c r="AR21" s="2289">
        <v>227</v>
      </c>
      <c r="AS21" s="1368">
        <v>185</v>
      </c>
      <c r="AT21" s="2353">
        <v>192</v>
      </c>
      <c r="AU21" s="1274"/>
      <c r="AV21" s="1923">
        <f t="shared" si="18"/>
        <v>0.33233532934131738</v>
      </c>
      <c r="AW21" s="1924">
        <f t="shared" si="19"/>
        <v>0.32829046898638425</v>
      </c>
      <c r="AX21" s="1924">
        <f t="shared" si="20"/>
        <v>0.31927710843373491</v>
      </c>
      <c r="AY21" s="1924">
        <f t="shared" si="21"/>
        <v>0.34358974358974359</v>
      </c>
      <c r="AZ21" s="1924">
        <f t="shared" si="22"/>
        <v>0.32467532467532467</v>
      </c>
      <c r="BA21" s="1924">
        <f t="shared" si="23"/>
        <v>0.33161512027491408</v>
      </c>
      <c r="BB21" s="1924">
        <f t="shared" si="24"/>
        <v>0.32229965156794427</v>
      </c>
      <c r="BC21" s="1924">
        <f t="shared" si="25"/>
        <v>0.36283185840707965</v>
      </c>
      <c r="BD21" s="1924">
        <f t="shared" si="26"/>
        <v>0.34951456310679613</v>
      </c>
      <c r="BE21" s="1924">
        <f t="shared" si="27"/>
        <v>0.40255009107468126</v>
      </c>
      <c r="BF21" s="1924">
        <f t="shared" si="28"/>
        <v>0.38279932546374368</v>
      </c>
      <c r="BG21" s="1924">
        <f t="shared" si="29"/>
        <v>0.35408560311284049</v>
      </c>
      <c r="BH21" s="1924">
        <f t="shared" si="30"/>
        <v>0.37731958762886597</v>
      </c>
      <c r="BI21" s="1924">
        <f t="shared" si="31"/>
        <v>0.38218923933209648</v>
      </c>
      <c r="BJ21" s="1925">
        <f t="shared" si="32"/>
        <v>0.34166666666666667</v>
      </c>
      <c r="BK21" s="1926">
        <f>'Non-marital births'!L22</f>
        <v>0.39344262295081966</v>
      </c>
      <c r="BL21" s="1927">
        <v>0.3669724770642202</v>
      </c>
      <c r="BM21" s="1928">
        <f t="shared" si="33"/>
        <v>0.41320754716981134</v>
      </c>
      <c r="BN21" s="2348">
        <f t="shared" si="34"/>
        <v>0.35917721518987344</v>
      </c>
      <c r="BO21" s="2348">
        <f t="shared" si="17"/>
        <v>0.38223140495867769</v>
      </c>
      <c r="BP21" s="2343">
        <f t="shared" si="17"/>
        <v>0.39344262295081966</v>
      </c>
    </row>
    <row r="22" spans="1:68" s="142" customFormat="1" ht="13.5" customHeight="1" x14ac:dyDescent="0.3">
      <c r="A22" s="149" t="s">
        <v>44</v>
      </c>
      <c r="B22" s="185" t="s">
        <v>45</v>
      </c>
      <c r="C22" s="150" t="s">
        <v>254</v>
      </c>
      <c r="D22" s="938">
        <v>304</v>
      </c>
      <c r="E22" s="939">
        <v>280</v>
      </c>
      <c r="F22" s="940">
        <v>267</v>
      </c>
      <c r="G22" s="939">
        <v>275</v>
      </c>
      <c r="H22" s="940">
        <v>283</v>
      </c>
      <c r="I22" s="939">
        <v>311</v>
      </c>
      <c r="J22" s="940">
        <v>318</v>
      </c>
      <c r="K22" s="939">
        <v>351</v>
      </c>
      <c r="L22" s="953">
        <v>409</v>
      </c>
      <c r="M22" s="953">
        <v>416</v>
      </c>
      <c r="N22" s="953">
        <v>389</v>
      </c>
      <c r="O22" s="953">
        <v>397</v>
      </c>
      <c r="P22" s="954">
        <v>363</v>
      </c>
      <c r="Q22" s="954">
        <v>394</v>
      </c>
      <c r="R22" s="1107">
        <v>389</v>
      </c>
      <c r="S22" s="1367">
        <v>412</v>
      </c>
      <c r="T22" s="1908">
        <v>396</v>
      </c>
      <c r="U22" s="1908">
        <v>384</v>
      </c>
      <c r="V22" s="2291">
        <v>384</v>
      </c>
      <c r="W22" s="1367">
        <v>340</v>
      </c>
      <c r="X22" s="2351">
        <v>368</v>
      </c>
      <c r="Y22" s="1273"/>
      <c r="Z22" s="961">
        <v>118</v>
      </c>
      <c r="AA22" s="962">
        <v>112</v>
      </c>
      <c r="AB22" s="962">
        <v>116</v>
      </c>
      <c r="AC22" s="962">
        <v>114</v>
      </c>
      <c r="AD22" s="962">
        <v>123</v>
      </c>
      <c r="AE22" s="962">
        <v>125</v>
      </c>
      <c r="AF22" s="962">
        <v>132</v>
      </c>
      <c r="AG22" s="962">
        <v>137</v>
      </c>
      <c r="AH22" s="962">
        <v>160</v>
      </c>
      <c r="AI22" s="962">
        <v>160</v>
      </c>
      <c r="AJ22" s="962">
        <v>160</v>
      </c>
      <c r="AK22" s="962">
        <v>167</v>
      </c>
      <c r="AL22" s="962">
        <v>144</v>
      </c>
      <c r="AM22" s="962">
        <v>178</v>
      </c>
      <c r="AN22" s="1110">
        <v>178</v>
      </c>
      <c r="AO22" s="1368">
        <v>167</v>
      </c>
      <c r="AP22" s="1369">
        <v>148</v>
      </c>
      <c r="AQ22" s="1368">
        <v>156</v>
      </c>
      <c r="AR22" s="2289">
        <v>152</v>
      </c>
      <c r="AS22" s="1368">
        <v>158</v>
      </c>
      <c r="AT22" s="2353">
        <v>160</v>
      </c>
      <c r="AU22" s="1274"/>
      <c r="AV22" s="1923">
        <f t="shared" si="18"/>
        <v>0.38815789473684209</v>
      </c>
      <c r="AW22" s="1924">
        <f t="shared" si="19"/>
        <v>0.4</v>
      </c>
      <c r="AX22" s="1924">
        <f t="shared" si="20"/>
        <v>0.43445692883895132</v>
      </c>
      <c r="AY22" s="1924">
        <f t="shared" si="21"/>
        <v>0.41454545454545455</v>
      </c>
      <c r="AZ22" s="1924">
        <f t="shared" si="22"/>
        <v>0.43462897526501765</v>
      </c>
      <c r="BA22" s="1924">
        <f t="shared" si="23"/>
        <v>0.40192926045016075</v>
      </c>
      <c r="BB22" s="1924">
        <f t="shared" si="24"/>
        <v>0.41509433962264153</v>
      </c>
      <c r="BC22" s="1924">
        <f t="shared" si="25"/>
        <v>0.3903133903133903</v>
      </c>
      <c r="BD22" s="1924">
        <f t="shared" si="26"/>
        <v>0.39119804400977998</v>
      </c>
      <c r="BE22" s="1924">
        <f t="shared" si="27"/>
        <v>0.38461538461538464</v>
      </c>
      <c r="BF22" s="1924">
        <f t="shared" si="28"/>
        <v>0.41131105398457585</v>
      </c>
      <c r="BG22" s="1924">
        <f t="shared" si="29"/>
        <v>0.42065491183879095</v>
      </c>
      <c r="BH22" s="1924">
        <f t="shared" si="30"/>
        <v>0.39669421487603307</v>
      </c>
      <c r="BI22" s="1924">
        <f t="shared" si="31"/>
        <v>0.45177664974619292</v>
      </c>
      <c r="BJ22" s="1925">
        <f t="shared" si="32"/>
        <v>0.45758354755784064</v>
      </c>
      <c r="BK22" s="1926">
        <f>'Non-marital births'!L23</f>
        <v>0.43478260869565216</v>
      </c>
      <c r="BL22" s="1927">
        <v>0.37373737373737376</v>
      </c>
      <c r="BM22" s="1928">
        <f t="shared" si="33"/>
        <v>0.40625</v>
      </c>
      <c r="BN22" s="2348">
        <f t="shared" si="34"/>
        <v>0.39583333333333331</v>
      </c>
      <c r="BO22" s="2348">
        <f t="shared" si="17"/>
        <v>0.46470588235294119</v>
      </c>
      <c r="BP22" s="2343">
        <f t="shared" si="17"/>
        <v>0.43478260869565216</v>
      </c>
    </row>
    <row r="23" spans="1:68" s="142" customFormat="1" ht="13.5" customHeight="1" x14ac:dyDescent="0.3">
      <c r="A23" s="149" t="s">
        <v>46</v>
      </c>
      <c r="B23" s="185" t="s">
        <v>47</v>
      </c>
      <c r="C23" s="150" t="s">
        <v>256</v>
      </c>
      <c r="D23" s="938">
        <v>254</v>
      </c>
      <c r="E23" s="939">
        <v>288</v>
      </c>
      <c r="F23" s="940">
        <v>259</v>
      </c>
      <c r="G23" s="939">
        <v>274</v>
      </c>
      <c r="H23" s="940">
        <v>296</v>
      </c>
      <c r="I23" s="939">
        <v>284</v>
      </c>
      <c r="J23" s="940">
        <v>286</v>
      </c>
      <c r="K23" s="939">
        <v>280</v>
      </c>
      <c r="L23" s="953">
        <v>311</v>
      </c>
      <c r="M23" s="953">
        <v>302</v>
      </c>
      <c r="N23" s="953">
        <v>289</v>
      </c>
      <c r="O23" s="953">
        <v>288</v>
      </c>
      <c r="P23" s="954">
        <v>222</v>
      </c>
      <c r="Q23" s="954">
        <v>237</v>
      </c>
      <c r="R23" s="1107">
        <v>279</v>
      </c>
      <c r="S23" s="1367">
        <v>234</v>
      </c>
      <c r="T23" s="1908">
        <v>269</v>
      </c>
      <c r="U23" s="1908">
        <v>267</v>
      </c>
      <c r="V23" s="2291">
        <v>234</v>
      </c>
      <c r="W23" s="1367">
        <v>208</v>
      </c>
      <c r="X23" s="2351">
        <v>246</v>
      </c>
      <c r="Y23" s="1273"/>
      <c r="Z23" s="961">
        <v>52</v>
      </c>
      <c r="AA23" s="962">
        <v>77</v>
      </c>
      <c r="AB23" s="962">
        <v>74</v>
      </c>
      <c r="AC23" s="962">
        <v>61</v>
      </c>
      <c r="AD23" s="962">
        <v>80</v>
      </c>
      <c r="AE23" s="962">
        <v>84</v>
      </c>
      <c r="AF23" s="962">
        <v>81</v>
      </c>
      <c r="AG23" s="962">
        <v>74</v>
      </c>
      <c r="AH23" s="962">
        <v>103</v>
      </c>
      <c r="AI23" s="962">
        <v>107</v>
      </c>
      <c r="AJ23" s="962">
        <v>97</v>
      </c>
      <c r="AK23" s="962">
        <v>116</v>
      </c>
      <c r="AL23" s="962">
        <v>93</v>
      </c>
      <c r="AM23" s="962">
        <v>86</v>
      </c>
      <c r="AN23" s="1110">
        <v>111</v>
      </c>
      <c r="AO23" s="1368">
        <v>94</v>
      </c>
      <c r="AP23" s="1369">
        <v>120</v>
      </c>
      <c r="AQ23" s="1368">
        <v>88</v>
      </c>
      <c r="AR23" s="2289">
        <v>95</v>
      </c>
      <c r="AS23" s="1368">
        <v>71</v>
      </c>
      <c r="AT23" s="2353">
        <v>78</v>
      </c>
      <c r="AU23" s="1274"/>
      <c r="AV23" s="1923">
        <f t="shared" si="18"/>
        <v>0.20472440944881889</v>
      </c>
      <c r="AW23" s="1924">
        <f t="shared" si="19"/>
        <v>0.2673611111111111</v>
      </c>
      <c r="AX23" s="1924">
        <f t="shared" si="20"/>
        <v>0.2857142857142857</v>
      </c>
      <c r="AY23" s="1924">
        <f t="shared" si="21"/>
        <v>0.22262773722627738</v>
      </c>
      <c r="AZ23" s="1924">
        <f t="shared" si="22"/>
        <v>0.27027027027027029</v>
      </c>
      <c r="BA23" s="1924">
        <f t="shared" si="23"/>
        <v>0.29577464788732394</v>
      </c>
      <c r="BB23" s="1924">
        <f t="shared" si="24"/>
        <v>0.28321678321678323</v>
      </c>
      <c r="BC23" s="1924">
        <f t="shared" si="25"/>
        <v>0.26428571428571429</v>
      </c>
      <c r="BD23" s="1924">
        <f t="shared" si="26"/>
        <v>0.3311897106109325</v>
      </c>
      <c r="BE23" s="1924">
        <f t="shared" si="27"/>
        <v>0.35430463576158938</v>
      </c>
      <c r="BF23" s="1924">
        <f t="shared" si="28"/>
        <v>0.33564013840830448</v>
      </c>
      <c r="BG23" s="1924">
        <f t="shared" si="29"/>
        <v>0.40277777777777779</v>
      </c>
      <c r="BH23" s="1924">
        <f t="shared" si="30"/>
        <v>0.41891891891891891</v>
      </c>
      <c r="BI23" s="1924">
        <f t="shared" si="31"/>
        <v>0.3628691983122363</v>
      </c>
      <c r="BJ23" s="1925">
        <f t="shared" si="32"/>
        <v>0.39784946236559138</v>
      </c>
      <c r="BK23" s="1926">
        <f>'Non-marital births'!L24</f>
        <v>0.31707317073170732</v>
      </c>
      <c r="BL23" s="1927">
        <v>0.44609665427509293</v>
      </c>
      <c r="BM23" s="1928">
        <f t="shared" si="33"/>
        <v>0.32958801498127338</v>
      </c>
      <c r="BN23" s="2348">
        <f t="shared" si="34"/>
        <v>0.40598290598290598</v>
      </c>
      <c r="BO23" s="2348">
        <f t="shared" si="17"/>
        <v>0.34134615384615385</v>
      </c>
      <c r="BP23" s="2343">
        <f t="shared" si="17"/>
        <v>0.31707317073170732</v>
      </c>
    </row>
    <row r="24" spans="1:68" s="142" customFormat="1" ht="13.5" customHeight="1" x14ac:dyDescent="0.3">
      <c r="A24" s="149" t="s">
        <v>48</v>
      </c>
      <c r="B24" s="185" t="s">
        <v>257</v>
      </c>
      <c r="C24" s="150" t="s">
        <v>254</v>
      </c>
      <c r="D24" s="938">
        <v>87</v>
      </c>
      <c r="E24" s="939">
        <v>77</v>
      </c>
      <c r="F24" s="940">
        <v>73</v>
      </c>
      <c r="G24" s="939">
        <v>66</v>
      </c>
      <c r="H24" s="940">
        <v>78</v>
      </c>
      <c r="I24" s="939">
        <v>67</v>
      </c>
      <c r="J24" s="940">
        <v>68</v>
      </c>
      <c r="K24" s="939">
        <v>79</v>
      </c>
      <c r="L24" s="953">
        <v>62</v>
      </c>
      <c r="M24" s="953">
        <v>56</v>
      </c>
      <c r="N24" s="953">
        <v>76</v>
      </c>
      <c r="O24" s="953">
        <v>46</v>
      </c>
      <c r="P24" s="954">
        <v>55</v>
      </c>
      <c r="Q24" s="954">
        <v>48</v>
      </c>
      <c r="R24" s="1107">
        <v>53</v>
      </c>
      <c r="S24" s="1367">
        <v>47</v>
      </c>
      <c r="T24" s="1908">
        <v>63</v>
      </c>
      <c r="U24" s="1908">
        <v>53</v>
      </c>
      <c r="V24" s="2291">
        <v>53</v>
      </c>
      <c r="W24" s="1367">
        <v>50</v>
      </c>
      <c r="X24" s="2351">
        <v>48</v>
      </c>
      <c r="Y24" s="1273"/>
      <c r="Z24" s="961">
        <v>36</v>
      </c>
      <c r="AA24" s="962">
        <v>41</v>
      </c>
      <c r="AB24" s="962">
        <v>37</v>
      </c>
      <c r="AC24" s="962">
        <v>39</v>
      </c>
      <c r="AD24" s="962">
        <v>32</v>
      </c>
      <c r="AE24" s="962">
        <v>31</v>
      </c>
      <c r="AF24" s="962">
        <v>38</v>
      </c>
      <c r="AG24" s="962">
        <v>40</v>
      </c>
      <c r="AH24" s="962">
        <v>39</v>
      </c>
      <c r="AI24" s="962">
        <v>23</v>
      </c>
      <c r="AJ24" s="962">
        <v>44</v>
      </c>
      <c r="AK24" s="962">
        <v>31</v>
      </c>
      <c r="AL24" s="962">
        <v>28</v>
      </c>
      <c r="AM24" s="962">
        <v>28</v>
      </c>
      <c r="AN24" s="1110">
        <v>30</v>
      </c>
      <c r="AO24" s="1368">
        <v>25</v>
      </c>
      <c r="AP24" s="1369">
        <v>36</v>
      </c>
      <c r="AQ24" s="1368">
        <v>28</v>
      </c>
      <c r="AR24" s="2289">
        <v>31</v>
      </c>
      <c r="AS24" s="1368">
        <v>20</v>
      </c>
      <c r="AT24" s="2353">
        <v>24</v>
      </c>
      <c r="AU24" s="1274"/>
      <c r="AV24" s="1923">
        <f t="shared" si="18"/>
        <v>0.41379310344827586</v>
      </c>
      <c r="AW24" s="1924">
        <f t="shared" si="19"/>
        <v>0.53246753246753242</v>
      </c>
      <c r="AX24" s="1924">
        <f t="shared" si="20"/>
        <v>0.50684931506849318</v>
      </c>
      <c r="AY24" s="1924">
        <f t="shared" si="21"/>
        <v>0.59090909090909094</v>
      </c>
      <c r="AZ24" s="1924">
        <f t="shared" si="22"/>
        <v>0.41025641025641024</v>
      </c>
      <c r="BA24" s="1924">
        <f t="shared" si="23"/>
        <v>0.46268656716417911</v>
      </c>
      <c r="BB24" s="1924">
        <f t="shared" si="24"/>
        <v>0.55882352941176472</v>
      </c>
      <c r="BC24" s="1924">
        <f t="shared" si="25"/>
        <v>0.50632911392405067</v>
      </c>
      <c r="BD24" s="1924">
        <f t="shared" si="26"/>
        <v>0.62903225806451613</v>
      </c>
      <c r="BE24" s="1924">
        <f t="shared" si="27"/>
        <v>0.4107142857142857</v>
      </c>
      <c r="BF24" s="1924">
        <f t="shared" si="28"/>
        <v>0.57894736842105265</v>
      </c>
      <c r="BG24" s="1924">
        <f t="shared" si="29"/>
        <v>0.67391304347826086</v>
      </c>
      <c r="BH24" s="1924">
        <f t="shared" si="30"/>
        <v>0.50909090909090904</v>
      </c>
      <c r="BI24" s="1924">
        <f t="shared" si="31"/>
        <v>0.58333333333333337</v>
      </c>
      <c r="BJ24" s="1925">
        <f t="shared" si="32"/>
        <v>0.56603773584905659</v>
      </c>
      <c r="BK24" s="1926">
        <f>'Non-marital births'!L25</f>
        <v>0.5</v>
      </c>
      <c r="BL24" s="1927">
        <v>0.5714285714285714</v>
      </c>
      <c r="BM24" s="1928">
        <f t="shared" si="33"/>
        <v>0.52830188679245282</v>
      </c>
      <c r="BN24" s="2348">
        <f t="shared" si="34"/>
        <v>0.58490566037735847</v>
      </c>
      <c r="BO24" s="2348">
        <f t="shared" si="17"/>
        <v>0.4</v>
      </c>
      <c r="BP24" s="2343">
        <f t="shared" si="17"/>
        <v>0.5</v>
      </c>
    </row>
    <row r="25" spans="1:68" s="142" customFormat="1" ht="13.5" customHeight="1" x14ac:dyDescent="0.3">
      <c r="A25" s="149" t="s">
        <v>50</v>
      </c>
      <c r="B25" s="185" t="s">
        <v>51</v>
      </c>
      <c r="C25" s="150" t="s">
        <v>253</v>
      </c>
      <c r="D25" s="938">
        <v>150</v>
      </c>
      <c r="E25" s="939">
        <v>161</v>
      </c>
      <c r="F25" s="940">
        <v>158</v>
      </c>
      <c r="G25" s="939">
        <v>158</v>
      </c>
      <c r="H25" s="940">
        <v>145</v>
      </c>
      <c r="I25" s="939">
        <v>130</v>
      </c>
      <c r="J25" s="940">
        <v>150</v>
      </c>
      <c r="K25" s="939">
        <v>138</v>
      </c>
      <c r="L25" s="953">
        <v>122</v>
      </c>
      <c r="M25" s="953">
        <v>129</v>
      </c>
      <c r="N25" s="953">
        <v>170</v>
      </c>
      <c r="O25" s="953">
        <v>129</v>
      </c>
      <c r="P25" s="954">
        <v>112</v>
      </c>
      <c r="Q25" s="954">
        <v>153</v>
      </c>
      <c r="R25" s="1107">
        <v>143</v>
      </c>
      <c r="S25" s="1367">
        <v>145</v>
      </c>
      <c r="T25" s="1908">
        <v>149</v>
      </c>
      <c r="U25" s="1908">
        <v>145</v>
      </c>
      <c r="V25" s="2291">
        <v>129</v>
      </c>
      <c r="W25" s="1367">
        <v>118</v>
      </c>
      <c r="X25" s="2351">
        <v>142</v>
      </c>
      <c r="Y25" s="1273"/>
      <c r="Z25" s="961">
        <v>62</v>
      </c>
      <c r="AA25" s="962">
        <v>62</v>
      </c>
      <c r="AB25" s="962">
        <v>55</v>
      </c>
      <c r="AC25" s="962">
        <v>60</v>
      </c>
      <c r="AD25" s="962">
        <v>51</v>
      </c>
      <c r="AE25" s="962">
        <v>51</v>
      </c>
      <c r="AF25" s="962">
        <v>68</v>
      </c>
      <c r="AG25" s="962">
        <v>64</v>
      </c>
      <c r="AH25" s="962">
        <v>49</v>
      </c>
      <c r="AI25" s="962">
        <v>58</v>
      </c>
      <c r="AJ25" s="962">
        <v>83</v>
      </c>
      <c r="AK25" s="962">
        <v>52</v>
      </c>
      <c r="AL25" s="962">
        <v>52</v>
      </c>
      <c r="AM25" s="962">
        <v>69</v>
      </c>
      <c r="AN25" s="1110">
        <v>54</v>
      </c>
      <c r="AO25" s="1368">
        <v>65</v>
      </c>
      <c r="AP25" s="1369">
        <v>66</v>
      </c>
      <c r="AQ25" s="1368">
        <v>62</v>
      </c>
      <c r="AR25" s="2289">
        <v>53</v>
      </c>
      <c r="AS25" s="1368">
        <v>53</v>
      </c>
      <c r="AT25" s="2353">
        <v>52</v>
      </c>
      <c r="AU25" s="1274"/>
      <c r="AV25" s="1923">
        <f t="shared" si="18"/>
        <v>0.41333333333333333</v>
      </c>
      <c r="AW25" s="1924">
        <f t="shared" si="19"/>
        <v>0.38509316770186336</v>
      </c>
      <c r="AX25" s="1924">
        <f t="shared" si="20"/>
        <v>0.34810126582278483</v>
      </c>
      <c r="AY25" s="1924">
        <f t="shared" si="21"/>
        <v>0.379746835443038</v>
      </c>
      <c r="AZ25" s="1924">
        <f t="shared" si="22"/>
        <v>0.35172413793103446</v>
      </c>
      <c r="BA25" s="1924">
        <f t="shared" si="23"/>
        <v>0.3923076923076923</v>
      </c>
      <c r="BB25" s="1924">
        <f t="shared" si="24"/>
        <v>0.45333333333333331</v>
      </c>
      <c r="BC25" s="1924">
        <f t="shared" si="25"/>
        <v>0.46376811594202899</v>
      </c>
      <c r="BD25" s="1924">
        <f t="shared" si="26"/>
        <v>0.40163934426229508</v>
      </c>
      <c r="BE25" s="1924">
        <f t="shared" si="27"/>
        <v>0.44961240310077522</v>
      </c>
      <c r="BF25" s="1924">
        <f t="shared" si="28"/>
        <v>0.48823529411764705</v>
      </c>
      <c r="BG25" s="1924">
        <f t="shared" si="29"/>
        <v>0.40310077519379844</v>
      </c>
      <c r="BH25" s="1924">
        <f t="shared" si="30"/>
        <v>0.4642857142857143</v>
      </c>
      <c r="BI25" s="1924">
        <f t="shared" si="31"/>
        <v>0.45098039215686275</v>
      </c>
      <c r="BJ25" s="1925">
        <f t="shared" si="32"/>
        <v>0.3776223776223776</v>
      </c>
      <c r="BK25" s="1926">
        <f>'Non-marital births'!L26</f>
        <v>0.36619718309859156</v>
      </c>
      <c r="BL25" s="1927">
        <v>0.44295302013422821</v>
      </c>
      <c r="BM25" s="1928">
        <f t="shared" si="33"/>
        <v>0.42758620689655175</v>
      </c>
      <c r="BN25" s="2348">
        <f t="shared" si="34"/>
        <v>0.41085271317829458</v>
      </c>
      <c r="BO25" s="2348">
        <f t="shared" si="17"/>
        <v>0.44915254237288138</v>
      </c>
      <c r="BP25" s="2343">
        <f t="shared" si="17"/>
        <v>0.36619718309859156</v>
      </c>
    </row>
    <row r="26" spans="1:68" s="142" customFormat="1" ht="13.5" customHeight="1" x14ac:dyDescent="0.3">
      <c r="A26" s="149" t="s">
        <v>56</v>
      </c>
      <c r="B26" s="185" t="s">
        <v>283</v>
      </c>
      <c r="C26" s="150" t="s">
        <v>254</v>
      </c>
      <c r="D26" s="938">
        <v>3603</v>
      </c>
      <c r="E26" s="939">
        <v>3414</v>
      </c>
      <c r="F26" s="940">
        <v>3603</v>
      </c>
      <c r="G26" s="939">
        <v>3548</v>
      </c>
      <c r="H26" s="940">
        <v>3541</v>
      </c>
      <c r="I26" s="939">
        <v>3740</v>
      </c>
      <c r="J26" s="940">
        <v>3871</v>
      </c>
      <c r="K26" s="939">
        <v>3890</v>
      </c>
      <c r="L26" s="953">
        <v>4207</v>
      </c>
      <c r="M26" s="953">
        <v>4138</v>
      </c>
      <c r="N26" s="953">
        <v>3967</v>
      </c>
      <c r="O26" s="953">
        <v>3998</v>
      </c>
      <c r="P26" s="954">
        <v>3921</v>
      </c>
      <c r="Q26" s="954">
        <v>3903</v>
      </c>
      <c r="R26" s="1107">
        <v>3919</v>
      </c>
      <c r="S26" s="1367">
        <v>4074</v>
      </c>
      <c r="T26" s="1908">
        <v>4026</v>
      </c>
      <c r="U26" s="1908">
        <v>4100</v>
      </c>
      <c r="V26" s="2291">
        <v>4193</v>
      </c>
      <c r="W26" s="1367">
        <v>4088</v>
      </c>
      <c r="X26" s="2351">
        <v>4121</v>
      </c>
      <c r="Y26" s="1273"/>
      <c r="Z26" s="961">
        <v>832</v>
      </c>
      <c r="AA26" s="962">
        <v>808</v>
      </c>
      <c r="AB26" s="962">
        <v>883</v>
      </c>
      <c r="AC26" s="962">
        <v>901</v>
      </c>
      <c r="AD26" s="962">
        <v>929</v>
      </c>
      <c r="AE26" s="962">
        <v>996</v>
      </c>
      <c r="AF26" s="962">
        <v>1064</v>
      </c>
      <c r="AG26" s="962">
        <v>1126</v>
      </c>
      <c r="AH26" s="962">
        <v>1240</v>
      </c>
      <c r="AI26" s="962">
        <v>1289</v>
      </c>
      <c r="AJ26" s="962">
        <v>1293</v>
      </c>
      <c r="AK26" s="962">
        <v>1361</v>
      </c>
      <c r="AL26" s="962">
        <v>1374</v>
      </c>
      <c r="AM26" s="962">
        <v>1396</v>
      </c>
      <c r="AN26" s="1110">
        <v>1437</v>
      </c>
      <c r="AO26" s="1368">
        <v>1462</v>
      </c>
      <c r="AP26" s="1369">
        <v>1432</v>
      </c>
      <c r="AQ26" s="1368">
        <v>1463</v>
      </c>
      <c r="AR26" s="2289">
        <v>1490</v>
      </c>
      <c r="AS26" s="1368">
        <v>1464</v>
      </c>
      <c r="AT26" s="2353">
        <v>1499</v>
      </c>
      <c r="AU26" s="1274"/>
      <c r="AV26" s="1923">
        <f t="shared" si="18"/>
        <v>0.23091867887871217</v>
      </c>
      <c r="AW26" s="1924">
        <f t="shared" si="19"/>
        <v>0.23667252489748097</v>
      </c>
      <c r="AX26" s="1924">
        <f t="shared" si="20"/>
        <v>0.24507354981959478</v>
      </c>
      <c r="AY26" s="1924">
        <f t="shared" si="21"/>
        <v>0.25394588500563697</v>
      </c>
      <c r="AZ26" s="1924">
        <f t="shared" si="22"/>
        <v>0.26235526687376448</v>
      </c>
      <c r="BA26" s="1924">
        <f t="shared" si="23"/>
        <v>0.26631016042780747</v>
      </c>
      <c r="BB26" s="1924">
        <f t="shared" si="24"/>
        <v>0.27486437613019893</v>
      </c>
      <c r="BC26" s="1924">
        <f t="shared" si="25"/>
        <v>0.28946015424164523</v>
      </c>
      <c r="BD26" s="1924">
        <f t="shared" si="26"/>
        <v>0.29474685048728311</v>
      </c>
      <c r="BE26" s="1924">
        <f t="shared" si="27"/>
        <v>0.31150314161430642</v>
      </c>
      <c r="BF26" s="1924">
        <f t="shared" si="28"/>
        <v>0.32593899672296445</v>
      </c>
      <c r="BG26" s="1924">
        <f t="shared" si="29"/>
        <v>0.34042021010505252</v>
      </c>
      <c r="BH26" s="1924">
        <f t="shared" si="30"/>
        <v>0.35042081101759753</v>
      </c>
      <c r="BI26" s="1924">
        <f t="shared" si="31"/>
        <v>0.35767358442223929</v>
      </c>
      <c r="BJ26" s="1925">
        <f t="shared" si="32"/>
        <v>0.36667517223781576</v>
      </c>
      <c r="BK26" s="1926">
        <f>'Non-marital births'!L27</f>
        <v>0.36374666343120604</v>
      </c>
      <c r="BL26" s="1927">
        <v>0.35568802781917536</v>
      </c>
      <c r="BM26" s="1928">
        <f t="shared" si="33"/>
        <v>0.35682926829268291</v>
      </c>
      <c r="BN26" s="2348">
        <f t="shared" si="34"/>
        <v>0.35535416169806822</v>
      </c>
      <c r="BO26" s="2348">
        <f t="shared" si="17"/>
        <v>0.35812133072407043</v>
      </c>
      <c r="BP26" s="2343">
        <f t="shared" si="17"/>
        <v>0.36374666343120604</v>
      </c>
    </row>
    <row r="27" spans="1:68" s="142" customFormat="1" ht="13.5" customHeight="1" x14ac:dyDescent="0.3">
      <c r="A27" s="149" t="s">
        <v>58</v>
      </c>
      <c r="B27" s="185" t="s">
        <v>59</v>
      </c>
      <c r="C27" s="150" t="s">
        <v>255</v>
      </c>
      <c r="D27" s="938">
        <v>114</v>
      </c>
      <c r="E27" s="939">
        <v>118</v>
      </c>
      <c r="F27" s="940">
        <v>112</v>
      </c>
      <c r="G27" s="939">
        <v>121</v>
      </c>
      <c r="H27" s="940">
        <v>115</v>
      </c>
      <c r="I27" s="939">
        <v>132</v>
      </c>
      <c r="J27" s="940">
        <v>131</v>
      </c>
      <c r="K27" s="939">
        <v>121</v>
      </c>
      <c r="L27" s="953">
        <v>148</v>
      </c>
      <c r="M27" s="953">
        <v>135</v>
      </c>
      <c r="N27" s="953">
        <v>138</v>
      </c>
      <c r="O27" s="953">
        <v>123</v>
      </c>
      <c r="P27" s="954">
        <v>142</v>
      </c>
      <c r="Q27" s="954">
        <v>126</v>
      </c>
      <c r="R27" s="1107">
        <v>140</v>
      </c>
      <c r="S27" s="1367">
        <v>158</v>
      </c>
      <c r="T27" s="1908">
        <v>132</v>
      </c>
      <c r="U27" s="1908">
        <v>132</v>
      </c>
      <c r="V27" s="2291">
        <v>125</v>
      </c>
      <c r="W27" s="1367">
        <v>119</v>
      </c>
      <c r="X27" s="2351">
        <v>125</v>
      </c>
      <c r="Y27" s="1273"/>
      <c r="Z27" s="961">
        <v>24</v>
      </c>
      <c r="AA27" s="962">
        <v>33</v>
      </c>
      <c r="AB27" s="962">
        <v>27</v>
      </c>
      <c r="AC27" s="962">
        <v>24</v>
      </c>
      <c r="AD27" s="962">
        <v>26</v>
      </c>
      <c r="AE27" s="962">
        <v>22</v>
      </c>
      <c r="AF27" s="962">
        <v>25</v>
      </c>
      <c r="AG27" s="962">
        <v>25</v>
      </c>
      <c r="AH27" s="962">
        <v>32</v>
      </c>
      <c r="AI27" s="962">
        <v>41</v>
      </c>
      <c r="AJ27" s="962">
        <v>38</v>
      </c>
      <c r="AK27" s="962">
        <v>35</v>
      </c>
      <c r="AL27" s="962">
        <v>41</v>
      </c>
      <c r="AM27" s="962">
        <v>47</v>
      </c>
      <c r="AN27" s="1110">
        <v>46</v>
      </c>
      <c r="AO27" s="1368">
        <v>51</v>
      </c>
      <c r="AP27" s="1369">
        <v>34</v>
      </c>
      <c r="AQ27" s="1368">
        <v>36</v>
      </c>
      <c r="AR27" s="2289">
        <v>36</v>
      </c>
      <c r="AS27" s="1368">
        <v>29</v>
      </c>
      <c r="AT27" s="2353">
        <v>33</v>
      </c>
      <c r="AU27" s="1274"/>
      <c r="AV27" s="1923">
        <f t="shared" si="18"/>
        <v>0.21052631578947367</v>
      </c>
      <c r="AW27" s="1924">
        <f t="shared" si="19"/>
        <v>0.27966101694915252</v>
      </c>
      <c r="AX27" s="1924">
        <f t="shared" si="20"/>
        <v>0.24107142857142858</v>
      </c>
      <c r="AY27" s="1924">
        <f t="shared" si="21"/>
        <v>0.19834710743801653</v>
      </c>
      <c r="AZ27" s="1924">
        <f t="shared" si="22"/>
        <v>0.22608695652173913</v>
      </c>
      <c r="BA27" s="1924">
        <f t="shared" si="23"/>
        <v>0.16666666666666666</v>
      </c>
      <c r="BB27" s="1924">
        <f t="shared" si="24"/>
        <v>0.19083969465648856</v>
      </c>
      <c r="BC27" s="1924">
        <f t="shared" si="25"/>
        <v>0.20661157024793389</v>
      </c>
      <c r="BD27" s="1924">
        <f t="shared" si="26"/>
        <v>0.21621621621621623</v>
      </c>
      <c r="BE27" s="1924">
        <f t="shared" si="27"/>
        <v>0.3037037037037037</v>
      </c>
      <c r="BF27" s="1924">
        <f t="shared" si="28"/>
        <v>0.27536231884057971</v>
      </c>
      <c r="BG27" s="1924">
        <f t="shared" si="29"/>
        <v>0.28455284552845528</v>
      </c>
      <c r="BH27" s="1924">
        <f t="shared" si="30"/>
        <v>0.28873239436619719</v>
      </c>
      <c r="BI27" s="1924">
        <f t="shared" si="31"/>
        <v>0.37301587301587302</v>
      </c>
      <c r="BJ27" s="1925">
        <f t="shared" si="32"/>
        <v>0.32857142857142857</v>
      </c>
      <c r="BK27" s="1926">
        <f>'Non-marital births'!L28</f>
        <v>0.26400000000000001</v>
      </c>
      <c r="BL27" s="1927">
        <v>0.25757575757575757</v>
      </c>
      <c r="BM27" s="1928">
        <f t="shared" si="33"/>
        <v>0.27272727272727271</v>
      </c>
      <c r="BN27" s="2348">
        <f t="shared" si="34"/>
        <v>0.28799999999999998</v>
      </c>
      <c r="BO27" s="2348">
        <f t="shared" si="17"/>
        <v>0.24369747899159663</v>
      </c>
      <c r="BP27" s="2343">
        <f t="shared" si="17"/>
        <v>0.26400000000000001</v>
      </c>
    </row>
    <row r="28" spans="1:68" s="142" customFormat="1" ht="13.5" customHeight="1" x14ac:dyDescent="0.3">
      <c r="A28" s="149" t="s">
        <v>60</v>
      </c>
      <c r="B28" s="185" t="s">
        <v>61</v>
      </c>
      <c r="C28" s="150" t="s">
        <v>253</v>
      </c>
      <c r="D28" s="938">
        <v>45</v>
      </c>
      <c r="E28" s="939">
        <v>54</v>
      </c>
      <c r="F28" s="940">
        <v>58</v>
      </c>
      <c r="G28" s="939">
        <v>61</v>
      </c>
      <c r="H28" s="940">
        <v>49</v>
      </c>
      <c r="I28" s="939">
        <v>55</v>
      </c>
      <c r="J28" s="940">
        <v>43</v>
      </c>
      <c r="K28" s="939">
        <v>46</v>
      </c>
      <c r="L28" s="953">
        <v>48</v>
      </c>
      <c r="M28" s="953">
        <v>40</v>
      </c>
      <c r="N28" s="953">
        <v>38</v>
      </c>
      <c r="O28" s="953">
        <v>50</v>
      </c>
      <c r="P28" s="954">
        <v>33</v>
      </c>
      <c r="Q28" s="954">
        <v>41</v>
      </c>
      <c r="R28" s="1107">
        <v>36</v>
      </c>
      <c r="S28" s="1367">
        <v>55</v>
      </c>
      <c r="T28" s="1908">
        <v>37</v>
      </c>
      <c r="U28" s="1908">
        <v>44</v>
      </c>
      <c r="V28" s="2291">
        <v>39</v>
      </c>
      <c r="W28" s="1367">
        <v>40</v>
      </c>
      <c r="X28" s="2351">
        <v>38</v>
      </c>
      <c r="Y28" s="1273"/>
      <c r="Z28" s="961">
        <v>8</v>
      </c>
      <c r="AA28" s="962">
        <v>9</v>
      </c>
      <c r="AB28" s="962">
        <v>10</v>
      </c>
      <c r="AC28" s="962">
        <v>16</v>
      </c>
      <c r="AD28" s="962">
        <v>7</v>
      </c>
      <c r="AE28" s="962">
        <v>12</v>
      </c>
      <c r="AF28" s="962">
        <v>13</v>
      </c>
      <c r="AG28" s="962">
        <v>4</v>
      </c>
      <c r="AH28" s="962">
        <v>13</v>
      </c>
      <c r="AI28" s="962">
        <v>9</v>
      </c>
      <c r="AJ28" s="962">
        <v>13</v>
      </c>
      <c r="AK28" s="962">
        <v>17</v>
      </c>
      <c r="AL28" s="962">
        <v>13</v>
      </c>
      <c r="AM28" s="962">
        <v>17</v>
      </c>
      <c r="AN28" s="1110">
        <v>14</v>
      </c>
      <c r="AO28" s="1368">
        <v>26</v>
      </c>
      <c r="AP28" s="1369">
        <v>18</v>
      </c>
      <c r="AQ28" s="1368">
        <v>13</v>
      </c>
      <c r="AR28" s="2289">
        <v>15</v>
      </c>
      <c r="AS28" s="1368">
        <v>13</v>
      </c>
      <c r="AT28" s="2353">
        <v>14</v>
      </c>
      <c r="AU28" s="1274"/>
      <c r="AV28" s="1923">
        <f t="shared" si="18"/>
        <v>0.17777777777777778</v>
      </c>
      <c r="AW28" s="1924">
        <f t="shared" si="19"/>
        <v>0.16666666666666666</v>
      </c>
      <c r="AX28" s="1924">
        <f t="shared" si="20"/>
        <v>0.17241379310344829</v>
      </c>
      <c r="AY28" s="1924">
        <f t="shared" si="21"/>
        <v>0.26229508196721313</v>
      </c>
      <c r="AZ28" s="1924">
        <f t="shared" si="22"/>
        <v>0.14285714285714285</v>
      </c>
      <c r="BA28" s="1924">
        <f t="shared" si="23"/>
        <v>0.21818181818181817</v>
      </c>
      <c r="BB28" s="1924">
        <f t="shared" si="24"/>
        <v>0.30232558139534882</v>
      </c>
      <c r="BC28" s="1924">
        <f t="shared" si="25"/>
        <v>8.6956521739130432E-2</v>
      </c>
      <c r="BD28" s="1924">
        <f t="shared" si="26"/>
        <v>0.27083333333333331</v>
      </c>
      <c r="BE28" s="1924">
        <f t="shared" si="27"/>
        <v>0.22500000000000001</v>
      </c>
      <c r="BF28" s="1924">
        <f t="shared" si="28"/>
        <v>0.34210526315789475</v>
      </c>
      <c r="BG28" s="1924">
        <f t="shared" si="29"/>
        <v>0.34</v>
      </c>
      <c r="BH28" s="1924">
        <f t="shared" si="30"/>
        <v>0.39393939393939392</v>
      </c>
      <c r="BI28" s="1924">
        <f t="shared" si="31"/>
        <v>0.41463414634146339</v>
      </c>
      <c r="BJ28" s="1925">
        <f t="shared" si="32"/>
        <v>0.3888888888888889</v>
      </c>
      <c r="BK28" s="1926">
        <f>'Non-marital births'!L29</f>
        <v>0.36842105263157893</v>
      </c>
      <c r="BL28" s="1927">
        <v>0.48648648648648651</v>
      </c>
      <c r="BM28" s="1928">
        <f t="shared" si="33"/>
        <v>0.29545454545454547</v>
      </c>
      <c r="BN28" s="2348">
        <f t="shared" si="34"/>
        <v>0.38461538461538464</v>
      </c>
      <c r="BO28" s="2348">
        <f t="shared" si="17"/>
        <v>0.32500000000000001</v>
      </c>
      <c r="BP28" s="2343">
        <f t="shared" si="17"/>
        <v>0.36842105263157893</v>
      </c>
    </row>
    <row r="29" spans="1:68" s="142" customFormat="1" ht="13.5" customHeight="1" x14ac:dyDescent="0.3">
      <c r="A29" s="149" t="s">
        <v>62</v>
      </c>
      <c r="B29" s="185" t="s">
        <v>63</v>
      </c>
      <c r="C29" s="150" t="s">
        <v>255</v>
      </c>
      <c r="D29" s="938">
        <v>458</v>
      </c>
      <c r="E29" s="939">
        <v>416</v>
      </c>
      <c r="F29" s="940">
        <v>481</v>
      </c>
      <c r="G29" s="939">
        <v>472</v>
      </c>
      <c r="H29" s="940">
        <v>501</v>
      </c>
      <c r="I29" s="939">
        <v>519</v>
      </c>
      <c r="J29" s="940">
        <v>538</v>
      </c>
      <c r="K29" s="939">
        <v>608</v>
      </c>
      <c r="L29" s="953">
        <v>686</v>
      </c>
      <c r="M29" s="953">
        <v>734</v>
      </c>
      <c r="N29" s="953">
        <v>664</v>
      </c>
      <c r="O29" s="953">
        <v>641</v>
      </c>
      <c r="P29" s="954">
        <v>629</v>
      </c>
      <c r="Q29" s="954">
        <v>627</v>
      </c>
      <c r="R29" s="1107">
        <v>654</v>
      </c>
      <c r="S29" s="1367">
        <v>625</v>
      </c>
      <c r="T29" s="1908">
        <v>650</v>
      </c>
      <c r="U29" s="1908">
        <v>673</v>
      </c>
      <c r="V29" s="2291">
        <v>598</v>
      </c>
      <c r="W29" s="1367">
        <v>656</v>
      </c>
      <c r="X29" s="2351">
        <v>678</v>
      </c>
      <c r="Y29" s="1273"/>
      <c r="Z29" s="961">
        <v>170</v>
      </c>
      <c r="AA29" s="962">
        <v>130</v>
      </c>
      <c r="AB29" s="962">
        <v>174</v>
      </c>
      <c r="AC29" s="962">
        <v>163</v>
      </c>
      <c r="AD29" s="962">
        <v>173</v>
      </c>
      <c r="AE29" s="962">
        <v>178</v>
      </c>
      <c r="AF29" s="962">
        <v>179</v>
      </c>
      <c r="AG29" s="962">
        <v>217</v>
      </c>
      <c r="AH29" s="962">
        <v>253</v>
      </c>
      <c r="AI29" s="962">
        <v>297</v>
      </c>
      <c r="AJ29" s="962">
        <v>281</v>
      </c>
      <c r="AK29" s="962">
        <v>263</v>
      </c>
      <c r="AL29" s="962">
        <v>252</v>
      </c>
      <c r="AM29" s="962">
        <v>276</v>
      </c>
      <c r="AN29" s="1110">
        <v>270</v>
      </c>
      <c r="AO29" s="1368">
        <v>253</v>
      </c>
      <c r="AP29" s="1369">
        <v>267</v>
      </c>
      <c r="AQ29" s="1368">
        <v>288</v>
      </c>
      <c r="AR29" s="2289">
        <v>242</v>
      </c>
      <c r="AS29" s="1368">
        <v>281</v>
      </c>
      <c r="AT29" s="2353">
        <v>293</v>
      </c>
      <c r="AU29" s="1274"/>
      <c r="AV29" s="1923">
        <f t="shared" si="18"/>
        <v>0.37117903930131002</v>
      </c>
      <c r="AW29" s="1924">
        <f t="shared" si="19"/>
        <v>0.3125</v>
      </c>
      <c r="AX29" s="1924">
        <f t="shared" si="20"/>
        <v>0.36174636174636177</v>
      </c>
      <c r="AY29" s="1924">
        <f t="shared" si="21"/>
        <v>0.34533898305084748</v>
      </c>
      <c r="AZ29" s="1924">
        <f t="shared" si="22"/>
        <v>0.34530938123752497</v>
      </c>
      <c r="BA29" s="1924">
        <f t="shared" si="23"/>
        <v>0.34296724470134876</v>
      </c>
      <c r="BB29" s="1924">
        <f t="shared" si="24"/>
        <v>0.33271375464684017</v>
      </c>
      <c r="BC29" s="1924">
        <f t="shared" si="25"/>
        <v>0.35690789473684209</v>
      </c>
      <c r="BD29" s="1924">
        <f t="shared" si="26"/>
        <v>0.36880466472303208</v>
      </c>
      <c r="BE29" s="1924">
        <f t="shared" si="27"/>
        <v>0.40463215258855584</v>
      </c>
      <c r="BF29" s="1924">
        <f t="shared" si="28"/>
        <v>0.42319277108433734</v>
      </c>
      <c r="BG29" s="1924">
        <f t="shared" si="29"/>
        <v>0.41029641185647425</v>
      </c>
      <c r="BH29" s="1924">
        <f t="shared" si="30"/>
        <v>0.40063593004769477</v>
      </c>
      <c r="BI29" s="1924">
        <f t="shared" si="31"/>
        <v>0.44019138755980863</v>
      </c>
      <c r="BJ29" s="1925">
        <f t="shared" si="32"/>
        <v>0.41284403669724773</v>
      </c>
      <c r="BK29" s="1926">
        <f>'Non-marital births'!L30</f>
        <v>0.43215339233038347</v>
      </c>
      <c r="BL29" s="1927">
        <v>0.41076923076923078</v>
      </c>
      <c r="BM29" s="1928">
        <f t="shared" si="33"/>
        <v>0.42793462109955421</v>
      </c>
      <c r="BN29" s="2348">
        <f t="shared" si="34"/>
        <v>0.40468227424749165</v>
      </c>
      <c r="BO29" s="2348">
        <f t="shared" si="17"/>
        <v>0.42835365853658536</v>
      </c>
      <c r="BP29" s="2343">
        <f t="shared" si="17"/>
        <v>0.43215339233038347</v>
      </c>
    </row>
    <row r="30" spans="1:68" s="142" customFormat="1" ht="13.5" customHeight="1" x14ac:dyDescent="0.3">
      <c r="A30" s="149" t="s">
        <v>64</v>
      </c>
      <c r="B30" s="185" t="s">
        <v>65</v>
      </c>
      <c r="C30" s="150" t="s">
        <v>254</v>
      </c>
      <c r="D30" s="938">
        <v>106</v>
      </c>
      <c r="E30" s="939">
        <v>83</v>
      </c>
      <c r="F30" s="940">
        <v>90</v>
      </c>
      <c r="G30" s="939">
        <v>107</v>
      </c>
      <c r="H30" s="940">
        <v>101</v>
      </c>
      <c r="I30" s="939">
        <v>100</v>
      </c>
      <c r="J30" s="940">
        <v>99</v>
      </c>
      <c r="K30" s="939">
        <v>121</v>
      </c>
      <c r="L30" s="953">
        <v>110</v>
      </c>
      <c r="M30" s="953">
        <v>119</v>
      </c>
      <c r="N30" s="953">
        <v>103</v>
      </c>
      <c r="O30" s="953">
        <v>118</v>
      </c>
      <c r="P30" s="954">
        <v>103</v>
      </c>
      <c r="Q30" s="954">
        <v>116</v>
      </c>
      <c r="R30" s="1107">
        <v>94</v>
      </c>
      <c r="S30" s="1367">
        <v>103</v>
      </c>
      <c r="T30" s="1908">
        <v>89</v>
      </c>
      <c r="U30" s="1908">
        <v>86</v>
      </c>
      <c r="V30" s="2291">
        <v>98</v>
      </c>
      <c r="W30" s="1367">
        <v>76</v>
      </c>
      <c r="X30" s="2351">
        <v>75</v>
      </c>
      <c r="Y30" s="1273"/>
      <c r="Z30" s="961">
        <v>42</v>
      </c>
      <c r="AA30" s="962">
        <v>29</v>
      </c>
      <c r="AB30" s="962">
        <v>37</v>
      </c>
      <c r="AC30" s="962">
        <v>49</v>
      </c>
      <c r="AD30" s="962">
        <v>43</v>
      </c>
      <c r="AE30" s="962">
        <v>41</v>
      </c>
      <c r="AF30" s="962">
        <v>38</v>
      </c>
      <c r="AG30" s="962">
        <v>59</v>
      </c>
      <c r="AH30" s="962">
        <v>48</v>
      </c>
      <c r="AI30" s="962">
        <v>46</v>
      </c>
      <c r="AJ30" s="962">
        <v>47</v>
      </c>
      <c r="AK30" s="962">
        <v>54</v>
      </c>
      <c r="AL30" s="962">
        <v>40</v>
      </c>
      <c r="AM30" s="962">
        <v>62</v>
      </c>
      <c r="AN30" s="1110">
        <v>47</v>
      </c>
      <c r="AO30" s="1368">
        <v>47</v>
      </c>
      <c r="AP30" s="1369">
        <v>43</v>
      </c>
      <c r="AQ30" s="1368">
        <v>42</v>
      </c>
      <c r="AR30" s="2289">
        <v>44</v>
      </c>
      <c r="AS30" s="1368">
        <v>36</v>
      </c>
      <c r="AT30" s="2353">
        <v>42</v>
      </c>
      <c r="AU30" s="1274"/>
      <c r="AV30" s="1923">
        <f t="shared" si="18"/>
        <v>0.39622641509433965</v>
      </c>
      <c r="AW30" s="1924">
        <f t="shared" si="19"/>
        <v>0.3493975903614458</v>
      </c>
      <c r="AX30" s="1924">
        <f t="shared" si="20"/>
        <v>0.41111111111111109</v>
      </c>
      <c r="AY30" s="1924">
        <f t="shared" si="21"/>
        <v>0.45794392523364486</v>
      </c>
      <c r="AZ30" s="1924">
        <f t="shared" si="22"/>
        <v>0.42574257425742573</v>
      </c>
      <c r="BA30" s="1924">
        <f t="shared" si="23"/>
        <v>0.41</v>
      </c>
      <c r="BB30" s="1924">
        <f t="shared" si="24"/>
        <v>0.38383838383838381</v>
      </c>
      <c r="BC30" s="1924">
        <f t="shared" si="25"/>
        <v>0.48760330578512395</v>
      </c>
      <c r="BD30" s="1924">
        <f t="shared" si="26"/>
        <v>0.43636363636363634</v>
      </c>
      <c r="BE30" s="1924">
        <f t="shared" si="27"/>
        <v>0.38655462184873951</v>
      </c>
      <c r="BF30" s="1924">
        <f t="shared" si="28"/>
        <v>0.4563106796116505</v>
      </c>
      <c r="BG30" s="1924">
        <f t="shared" si="29"/>
        <v>0.4576271186440678</v>
      </c>
      <c r="BH30" s="1924">
        <f t="shared" si="30"/>
        <v>0.38834951456310679</v>
      </c>
      <c r="BI30" s="1924">
        <f t="shared" si="31"/>
        <v>0.53448275862068961</v>
      </c>
      <c r="BJ30" s="1925">
        <f t="shared" si="32"/>
        <v>0.5</v>
      </c>
      <c r="BK30" s="1926">
        <f>'Non-marital births'!L31</f>
        <v>0.56000000000000005</v>
      </c>
      <c r="BL30" s="1927">
        <v>0.48314606741573035</v>
      </c>
      <c r="BM30" s="1928">
        <f t="shared" si="33"/>
        <v>0.48837209302325579</v>
      </c>
      <c r="BN30" s="2348">
        <f t="shared" si="34"/>
        <v>0.44897959183673469</v>
      </c>
      <c r="BO30" s="2348">
        <f t="shared" si="17"/>
        <v>0.47368421052631576</v>
      </c>
      <c r="BP30" s="2343">
        <f t="shared" si="17"/>
        <v>0.56000000000000005</v>
      </c>
    </row>
    <row r="31" spans="1:68" s="142" customFormat="1" ht="13.5" customHeight="1" x14ac:dyDescent="0.3">
      <c r="A31" s="149" t="s">
        <v>68</v>
      </c>
      <c r="B31" s="185" t="s">
        <v>69</v>
      </c>
      <c r="C31" s="150" t="s">
        <v>256</v>
      </c>
      <c r="D31" s="938">
        <v>176</v>
      </c>
      <c r="E31" s="939">
        <v>162</v>
      </c>
      <c r="F31" s="940">
        <v>143</v>
      </c>
      <c r="G31" s="939">
        <v>136</v>
      </c>
      <c r="H31" s="940">
        <v>166</v>
      </c>
      <c r="I31" s="939">
        <v>178</v>
      </c>
      <c r="J31" s="940">
        <v>163</v>
      </c>
      <c r="K31" s="939">
        <v>173</v>
      </c>
      <c r="L31" s="953">
        <v>186</v>
      </c>
      <c r="M31" s="953">
        <v>203</v>
      </c>
      <c r="N31" s="953">
        <v>164</v>
      </c>
      <c r="O31" s="953">
        <v>158</v>
      </c>
      <c r="P31" s="954">
        <v>170</v>
      </c>
      <c r="Q31" s="954">
        <v>183</v>
      </c>
      <c r="R31" s="1107">
        <v>162</v>
      </c>
      <c r="S31" s="1367">
        <v>157</v>
      </c>
      <c r="T31" s="1908">
        <v>145</v>
      </c>
      <c r="U31" s="1908">
        <v>128</v>
      </c>
      <c r="V31" s="2291">
        <v>128</v>
      </c>
      <c r="W31" s="1367">
        <v>129</v>
      </c>
      <c r="X31" s="2351">
        <v>116</v>
      </c>
      <c r="Y31" s="1273"/>
      <c r="Z31" s="961">
        <v>49</v>
      </c>
      <c r="AA31" s="962">
        <v>33</v>
      </c>
      <c r="AB31" s="962">
        <v>29</v>
      </c>
      <c r="AC31" s="962">
        <v>31</v>
      </c>
      <c r="AD31" s="962">
        <v>43</v>
      </c>
      <c r="AE31" s="962">
        <v>37</v>
      </c>
      <c r="AF31" s="962">
        <v>44</v>
      </c>
      <c r="AG31" s="962">
        <v>52</v>
      </c>
      <c r="AH31" s="962">
        <v>59</v>
      </c>
      <c r="AI31" s="962">
        <v>63</v>
      </c>
      <c r="AJ31" s="962">
        <v>46</v>
      </c>
      <c r="AK31" s="962">
        <v>53</v>
      </c>
      <c r="AL31" s="962">
        <v>67</v>
      </c>
      <c r="AM31" s="962">
        <v>66</v>
      </c>
      <c r="AN31" s="1110">
        <v>50</v>
      </c>
      <c r="AO31" s="1368">
        <v>51</v>
      </c>
      <c r="AP31" s="1369">
        <v>52</v>
      </c>
      <c r="AQ31" s="1368">
        <v>53</v>
      </c>
      <c r="AR31" s="2289">
        <v>52</v>
      </c>
      <c r="AS31" s="1368">
        <v>49</v>
      </c>
      <c r="AT31" s="2353">
        <v>28</v>
      </c>
      <c r="AU31" s="1274"/>
      <c r="AV31" s="1923">
        <f t="shared" si="18"/>
        <v>0.27840909090909088</v>
      </c>
      <c r="AW31" s="1924">
        <f t="shared" si="19"/>
        <v>0.20370370370370369</v>
      </c>
      <c r="AX31" s="1924">
        <f t="shared" si="20"/>
        <v>0.20279720279720279</v>
      </c>
      <c r="AY31" s="1924">
        <f t="shared" si="21"/>
        <v>0.22794117647058823</v>
      </c>
      <c r="AZ31" s="1924">
        <f t="shared" si="22"/>
        <v>0.25903614457831325</v>
      </c>
      <c r="BA31" s="1924">
        <f t="shared" si="23"/>
        <v>0.20786516853932585</v>
      </c>
      <c r="BB31" s="1924">
        <f t="shared" si="24"/>
        <v>0.26993865030674846</v>
      </c>
      <c r="BC31" s="1924">
        <f t="shared" si="25"/>
        <v>0.30057803468208094</v>
      </c>
      <c r="BD31" s="1924">
        <f t="shared" si="26"/>
        <v>0.31720430107526881</v>
      </c>
      <c r="BE31" s="1924">
        <f t="shared" si="27"/>
        <v>0.31034482758620691</v>
      </c>
      <c r="BF31" s="1924">
        <f t="shared" si="28"/>
        <v>0.28048780487804881</v>
      </c>
      <c r="BG31" s="1924">
        <f t="shared" si="29"/>
        <v>0.33544303797468356</v>
      </c>
      <c r="BH31" s="1924">
        <f t="shared" si="30"/>
        <v>0.39411764705882352</v>
      </c>
      <c r="BI31" s="1924">
        <f t="shared" si="31"/>
        <v>0.36065573770491804</v>
      </c>
      <c r="BJ31" s="1925">
        <f t="shared" si="32"/>
        <v>0.30864197530864196</v>
      </c>
      <c r="BK31" s="1926">
        <f>'Non-marital births'!L32</f>
        <v>0.2413793103448276</v>
      </c>
      <c r="BL31" s="1927">
        <v>0.35862068965517241</v>
      </c>
      <c r="BM31" s="1928">
        <f t="shared" si="33"/>
        <v>0.4140625</v>
      </c>
      <c r="BN31" s="2348">
        <f t="shared" si="34"/>
        <v>0.40625</v>
      </c>
      <c r="BO31" s="2348">
        <f t="shared" si="17"/>
        <v>0.37984496124031009</v>
      </c>
      <c r="BP31" s="2343">
        <f t="shared" si="17"/>
        <v>0.2413793103448276</v>
      </c>
    </row>
    <row r="32" spans="1:68" s="142" customFormat="1" ht="13.5" customHeight="1" x14ac:dyDescent="0.3">
      <c r="A32" s="149" t="s">
        <v>70</v>
      </c>
      <c r="B32" s="185" t="s">
        <v>71</v>
      </c>
      <c r="C32" s="150" t="s">
        <v>252</v>
      </c>
      <c r="D32" s="938">
        <v>249</v>
      </c>
      <c r="E32" s="939">
        <v>239</v>
      </c>
      <c r="F32" s="940">
        <v>246</v>
      </c>
      <c r="G32" s="939">
        <v>227</v>
      </c>
      <c r="H32" s="940">
        <v>256</v>
      </c>
      <c r="I32" s="939">
        <v>231</v>
      </c>
      <c r="J32" s="940">
        <v>283</v>
      </c>
      <c r="K32" s="939">
        <v>267</v>
      </c>
      <c r="L32" s="953">
        <v>280</v>
      </c>
      <c r="M32" s="953">
        <v>260</v>
      </c>
      <c r="N32" s="953">
        <v>268</v>
      </c>
      <c r="O32" s="953">
        <v>230</v>
      </c>
      <c r="P32" s="954">
        <v>233</v>
      </c>
      <c r="Q32" s="954">
        <v>248</v>
      </c>
      <c r="R32" s="1107">
        <v>258</v>
      </c>
      <c r="S32" s="1367">
        <v>210</v>
      </c>
      <c r="T32" s="1908">
        <v>180</v>
      </c>
      <c r="U32" s="1908">
        <v>202</v>
      </c>
      <c r="V32" s="2291">
        <v>306</v>
      </c>
      <c r="W32" s="1367">
        <v>193</v>
      </c>
      <c r="X32" s="2351">
        <v>213</v>
      </c>
      <c r="Y32" s="1273"/>
      <c r="Z32" s="961">
        <v>88</v>
      </c>
      <c r="AA32" s="962">
        <v>88</v>
      </c>
      <c r="AB32" s="962">
        <v>97</v>
      </c>
      <c r="AC32" s="962">
        <v>90</v>
      </c>
      <c r="AD32" s="962">
        <v>90</v>
      </c>
      <c r="AE32" s="962">
        <v>96</v>
      </c>
      <c r="AF32" s="962">
        <v>103</v>
      </c>
      <c r="AG32" s="962">
        <v>91</v>
      </c>
      <c r="AH32" s="962">
        <v>122</v>
      </c>
      <c r="AI32" s="962">
        <v>107</v>
      </c>
      <c r="AJ32" s="962">
        <v>112</v>
      </c>
      <c r="AK32" s="962">
        <v>106</v>
      </c>
      <c r="AL32" s="962">
        <v>114</v>
      </c>
      <c r="AM32" s="962">
        <v>117</v>
      </c>
      <c r="AN32" s="1110">
        <v>113</v>
      </c>
      <c r="AO32" s="1368">
        <v>94</v>
      </c>
      <c r="AP32" s="1369">
        <v>86</v>
      </c>
      <c r="AQ32" s="1368">
        <v>83</v>
      </c>
      <c r="AR32" s="2289">
        <v>156</v>
      </c>
      <c r="AS32" s="1368">
        <v>87</v>
      </c>
      <c r="AT32" s="2353">
        <v>102</v>
      </c>
      <c r="AU32" s="1274"/>
      <c r="AV32" s="1923">
        <f t="shared" si="18"/>
        <v>0.3534136546184739</v>
      </c>
      <c r="AW32" s="1924">
        <f t="shared" si="19"/>
        <v>0.3682008368200837</v>
      </c>
      <c r="AX32" s="1924">
        <f t="shared" si="20"/>
        <v>0.39430894308943087</v>
      </c>
      <c r="AY32" s="1924">
        <f t="shared" si="21"/>
        <v>0.3964757709251101</v>
      </c>
      <c r="AZ32" s="1924">
        <f t="shared" si="22"/>
        <v>0.3515625</v>
      </c>
      <c r="BA32" s="1924">
        <f t="shared" si="23"/>
        <v>0.41558441558441561</v>
      </c>
      <c r="BB32" s="1924">
        <f t="shared" si="24"/>
        <v>0.36395759717314485</v>
      </c>
      <c r="BC32" s="1924">
        <f t="shared" si="25"/>
        <v>0.34082397003745318</v>
      </c>
      <c r="BD32" s="1924">
        <f t="shared" si="26"/>
        <v>0.43571428571428572</v>
      </c>
      <c r="BE32" s="1924">
        <f t="shared" si="27"/>
        <v>0.41153846153846152</v>
      </c>
      <c r="BF32" s="1924">
        <f t="shared" si="28"/>
        <v>0.41791044776119401</v>
      </c>
      <c r="BG32" s="1924">
        <f t="shared" si="29"/>
        <v>0.46086956521739131</v>
      </c>
      <c r="BH32" s="1924">
        <f t="shared" si="30"/>
        <v>0.48927038626609443</v>
      </c>
      <c r="BI32" s="1924">
        <f t="shared" si="31"/>
        <v>0.47177419354838712</v>
      </c>
      <c r="BJ32" s="1925">
        <f t="shared" si="32"/>
        <v>0.43798449612403101</v>
      </c>
      <c r="BK32" s="1926">
        <f>'Non-marital births'!L33</f>
        <v>0.47887323943661969</v>
      </c>
      <c r="BL32" s="1927">
        <v>0.4777777777777778</v>
      </c>
      <c r="BM32" s="1928">
        <f t="shared" si="33"/>
        <v>0.41089108910891087</v>
      </c>
      <c r="BN32" s="2348">
        <f t="shared" si="34"/>
        <v>0.50980392156862742</v>
      </c>
      <c r="BO32" s="2348">
        <f t="shared" si="17"/>
        <v>0.45077720207253885</v>
      </c>
      <c r="BP32" s="2343">
        <f t="shared" si="17"/>
        <v>0.47887323943661969</v>
      </c>
    </row>
    <row r="33" spans="1:68" s="142" customFormat="1" ht="13.5" customHeight="1" x14ac:dyDescent="0.3">
      <c r="A33" s="149" t="s">
        <v>72</v>
      </c>
      <c r="B33" s="185" t="s">
        <v>73</v>
      </c>
      <c r="C33" s="150" t="s">
        <v>254</v>
      </c>
      <c r="D33" s="938">
        <v>110</v>
      </c>
      <c r="E33" s="939">
        <v>106</v>
      </c>
      <c r="F33" s="940">
        <v>120</v>
      </c>
      <c r="G33" s="939">
        <v>110</v>
      </c>
      <c r="H33" s="940">
        <v>120</v>
      </c>
      <c r="I33" s="939">
        <v>111</v>
      </c>
      <c r="J33" s="940">
        <v>136</v>
      </c>
      <c r="K33" s="939">
        <v>126</v>
      </c>
      <c r="L33" s="953">
        <v>113</v>
      </c>
      <c r="M33" s="953">
        <v>137</v>
      </c>
      <c r="N33" s="953">
        <v>150</v>
      </c>
      <c r="O33" s="953">
        <v>150</v>
      </c>
      <c r="P33" s="954">
        <v>142</v>
      </c>
      <c r="Q33" s="954">
        <v>130</v>
      </c>
      <c r="R33" s="1107">
        <v>127</v>
      </c>
      <c r="S33" s="1367">
        <v>124</v>
      </c>
      <c r="T33" s="1908">
        <v>124</v>
      </c>
      <c r="U33" s="1908">
        <v>127</v>
      </c>
      <c r="V33" s="2291">
        <v>97</v>
      </c>
      <c r="W33" s="1367">
        <v>111</v>
      </c>
      <c r="X33" s="2351">
        <v>97</v>
      </c>
      <c r="Y33" s="1273"/>
      <c r="Z33" s="961">
        <v>51</v>
      </c>
      <c r="AA33" s="962">
        <v>48</v>
      </c>
      <c r="AB33" s="962">
        <v>63</v>
      </c>
      <c r="AC33" s="962">
        <v>54</v>
      </c>
      <c r="AD33" s="962">
        <v>57</v>
      </c>
      <c r="AE33" s="962">
        <v>64</v>
      </c>
      <c r="AF33" s="962">
        <v>66</v>
      </c>
      <c r="AG33" s="962">
        <v>59</v>
      </c>
      <c r="AH33" s="962">
        <v>60</v>
      </c>
      <c r="AI33" s="962">
        <v>71</v>
      </c>
      <c r="AJ33" s="962">
        <v>91</v>
      </c>
      <c r="AK33" s="962">
        <v>81</v>
      </c>
      <c r="AL33" s="962">
        <v>82</v>
      </c>
      <c r="AM33" s="962">
        <v>73</v>
      </c>
      <c r="AN33" s="1110">
        <v>78</v>
      </c>
      <c r="AO33" s="1368">
        <v>76</v>
      </c>
      <c r="AP33" s="1369">
        <v>73</v>
      </c>
      <c r="AQ33" s="1368">
        <v>71</v>
      </c>
      <c r="AR33" s="2289">
        <v>61</v>
      </c>
      <c r="AS33" s="1368">
        <v>69</v>
      </c>
      <c r="AT33" s="2353">
        <v>55</v>
      </c>
      <c r="AU33" s="1274"/>
      <c r="AV33" s="1923">
        <f t="shared" si="18"/>
        <v>0.46363636363636362</v>
      </c>
      <c r="AW33" s="1924">
        <f t="shared" si="19"/>
        <v>0.45283018867924529</v>
      </c>
      <c r="AX33" s="1924">
        <f t="shared" si="20"/>
        <v>0.52500000000000002</v>
      </c>
      <c r="AY33" s="1924">
        <f t="shared" si="21"/>
        <v>0.49090909090909091</v>
      </c>
      <c r="AZ33" s="1924">
        <f t="shared" si="22"/>
        <v>0.47499999999999998</v>
      </c>
      <c r="BA33" s="1924">
        <f t="shared" si="23"/>
        <v>0.57657657657657657</v>
      </c>
      <c r="BB33" s="1924">
        <f t="shared" si="24"/>
        <v>0.48529411764705882</v>
      </c>
      <c r="BC33" s="1924">
        <f t="shared" si="25"/>
        <v>0.46825396825396826</v>
      </c>
      <c r="BD33" s="1924">
        <f t="shared" si="26"/>
        <v>0.53097345132743368</v>
      </c>
      <c r="BE33" s="1924">
        <f t="shared" si="27"/>
        <v>0.51824817518248179</v>
      </c>
      <c r="BF33" s="1924">
        <f t="shared" si="28"/>
        <v>0.60666666666666669</v>
      </c>
      <c r="BG33" s="1924">
        <f t="shared" si="29"/>
        <v>0.54</v>
      </c>
      <c r="BH33" s="1924">
        <f t="shared" si="30"/>
        <v>0.57746478873239437</v>
      </c>
      <c r="BI33" s="1924">
        <f t="shared" si="31"/>
        <v>0.56153846153846154</v>
      </c>
      <c r="BJ33" s="1925">
        <f t="shared" si="32"/>
        <v>0.61417322834645671</v>
      </c>
      <c r="BK33" s="1926">
        <f>'Non-marital births'!L34</f>
        <v>0.5670103092783505</v>
      </c>
      <c r="BL33" s="1927">
        <v>0.58870967741935487</v>
      </c>
      <c r="BM33" s="1928">
        <f t="shared" si="33"/>
        <v>0.55905511811023623</v>
      </c>
      <c r="BN33" s="2348">
        <f t="shared" si="34"/>
        <v>0.62886597938144329</v>
      </c>
      <c r="BO33" s="2348">
        <f t="shared" si="17"/>
        <v>0.6216216216216216</v>
      </c>
      <c r="BP33" s="2343">
        <f t="shared" si="17"/>
        <v>0.5670103092783505</v>
      </c>
    </row>
    <row r="34" spans="1:68" s="142" customFormat="1" ht="13.5" customHeight="1" x14ac:dyDescent="0.3">
      <c r="A34" s="149" t="s">
        <v>74</v>
      </c>
      <c r="B34" s="185" t="s">
        <v>472</v>
      </c>
      <c r="C34" s="150" t="s">
        <v>255</v>
      </c>
      <c r="D34" s="938">
        <v>14018</v>
      </c>
      <c r="E34" s="939">
        <v>14564</v>
      </c>
      <c r="F34" s="940">
        <v>15063</v>
      </c>
      <c r="G34" s="939">
        <v>15157</v>
      </c>
      <c r="H34" s="940">
        <v>15166</v>
      </c>
      <c r="I34" s="939">
        <v>15038</v>
      </c>
      <c r="J34" s="940">
        <v>15564</v>
      </c>
      <c r="K34" s="939">
        <v>15371</v>
      </c>
      <c r="L34" s="953">
        <v>15120</v>
      </c>
      <c r="M34" s="953">
        <v>15789</v>
      </c>
      <c r="N34" s="953">
        <v>15865</v>
      </c>
      <c r="O34" s="953">
        <v>16019</v>
      </c>
      <c r="P34" s="954">
        <v>15702</v>
      </c>
      <c r="Q34" s="954">
        <v>15792</v>
      </c>
      <c r="R34" s="1107">
        <v>15736</v>
      </c>
      <c r="S34" s="1367">
        <v>15558</v>
      </c>
      <c r="T34" s="1908">
        <v>15783</v>
      </c>
      <c r="U34" s="1908">
        <v>15361</v>
      </c>
      <c r="V34" s="2291">
        <v>15239</v>
      </c>
      <c r="W34" s="1367">
        <v>14947</v>
      </c>
      <c r="X34" s="2351">
        <v>14669</v>
      </c>
      <c r="Y34" s="1273"/>
      <c r="Z34" s="961">
        <v>2089</v>
      </c>
      <c r="AA34" s="962">
        <v>2234</v>
      </c>
      <c r="AB34" s="962">
        <v>2470</v>
      </c>
      <c r="AC34" s="962">
        <v>2523</v>
      </c>
      <c r="AD34" s="962">
        <v>2586</v>
      </c>
      <c r="AE34" s="962">
        <v>2559</v>
      </c>
      <c r="AF34" s="962">
        <v>2902</v>
      </c>
      <c r="AG34" s="962">
        <v>3024</v>
      </c>
      <c r="AH34" s="962">
        <v>3428</v>
      </c>
      <c r="AI34" s="962">
        <v>3767</v>
      </c>
      <c r="AJ34" s="962">
        <v>3841</v>
      </c>
      <c r="AK34" s="962">
        <v>3722</v>
      </c>
      <c r="AL34" s="962">
        <v>3483</v>
      </c>
      <c r="AM34" s="962">
        <v>3532</v>
      </c>
      <c r="AN34" s="1110">
        <v>3375</v>
      </c>
      <c r="AO34" s="1368">
        <v>3230</v>
      </c>
      <c r="AP34" s="1369">
        <v>3155</v>
      </c>
      <c r="AQ34" s="1368">
        <v>3262</v>
      </c>
      <c r="AR34" s="2289">
        <v>3216</v>
      </c>
      <c r="AS34" s="1368">
        <v>3186</v>
      </c>
      <c r="AT34" s="2353">
        <v>3140</v>
      </c>
      <c r="AU34" s="1274"/>
      <c r="AV34" s="1923">
        <f t="shared" si="18"/>
        <v>0.14902268511913255</v>
      </c>
      <c r="AW34" s="1924">
        <f t="shared" si="19"/>
        <v>0.15339192529524856</v>
      </c>
      <c r="AX34" s="1924">
        <f t="shared" si="20"/>
        <v>0.16397795923786762</v>
      </c>
      <c r="AY34" s="1924">
        <f t="shared" si="21"/>
        <v>0.16645774229728838</v>
      </c>
      <c r="AZ34" s="1924">
        <f t="shared" si="22"/>
        <v>0.17051298958195965</v>
      </c>
      <c r="BA34" s="1924">
        <f t="shared" si="23"/>
        <v>0.17016890543955313</v>
      </c>
      <c r="BB34" s="1924">
        <f t="shared" si="24"/>
        <v>0.18645592392701105</v>
      </c>
      <c r="BC34" s="1924">
        <f t="shared" si="25"/>
        <v>0.19673410968707306</v>
      </c>
      <c r="BD34" s="1924">
        <f t="shared" si="26"/>
        <v>0.22671957671957671</v>
      </c>
      <c r="BE34" s="1924">
        <f t="shared" si="27"/>
        <v>0.2385838241813921</v>
      </c>
      <c r="BF34" s="1924">
        <f t="shared" si="28"/>
        <v>0.24210526315789474</v>
      </c>
      <c r="BG34" s="1924">
        <f t="shared" si="29"/>
        <v>0.23234908546101504</v>
      </c>
      <c r="BH34" s="1924">
        <f t="shared" si="30"/>
        <v>0.22181887657623234</v>
      </c>
      <c r="BI34" s="1924">
        <f t="shared" si="31"/>
        <v>0.22365754812563324</v>
      </c>
      <c r="BJ34" s="1925">
        <f t="shared" si="32"/>
        <v>0.21447635993899339</v>
      </c>
      <c r="BK34" s="1926">
        <f>'Non-marital births'!L35</f>
        <v>0.21405685459131502</v>
      </c>
      <c r="BL34" s="1927">
        <v>0.19989862510295889</v>
      </c>
      <c r="BM34" s="1928">
        <f t="shared" si="33"/>
        <v>0.21235596640843696</v>
      </c>
      <c r="BN34" s="2348">
        <f t="shared" si="34"/>
        <v>0.21103746965023951</v>
      </c>
      <c r="BO34" s="2348">
        <f t="shared" si="17"/>
        <v>0.21315314109854822</v>
      </c>
      <c r="BP34" s="2343">
        <f t="shared" si="17"/>
        <v>0.21405685459131502</v>
      </c>
    </row>
    <row r="35" spans="1:68" s="142" customFormat="1" ht="13.5" customHeight="1" x14ac:dyDescent="0.3">
      <c r="A35" s="149" t="s">
        <v>76</v>
      </c>
      <c r="B35" s="185" t="s">
        <v>77</v>
      </c>
      <c r="C35" s="150" t="s">
        <v>255</v>
      </c>
      <c r="D35" s="938">
        <v>643</v>
      </c>
      <c r="E35" s="939">
        <v>642</v>
      </c>
      <c r="F35" s="940">
        <v>704</v>
      </c>
      <c r="G35" s="939">
        <v>706</v>
      </c>
      <c r="H35" s="940">
        <v>729</v>
      </c>
      <c r="I35" s="939">
        <v>719</v>
      </c>
      <c r="J35" s="940">
        <v>744</v>
      </c>
      <c r="K35" s="939">
        <v>815</v>
      </c>
      <c r="L35" s="953">
        <v>795</v>
      </c>
      <c r="M35" s="953">
        <v>805</v>
      </c>
      <c r="N35" s="953">
        <v>842</v>
      </c>
      <c r="O35" s="953">
        <v>750</v>
      </c>
      <c r="P35" s="954">
        <v>750</v>
      </c>
      <c r="Q35" s="954">
        <v>769</v>
      </c>
      <c r="R35" s="1107">
        <v>675</v>
      </c>
      <c r="S35" s="1367">
        <v>764</v>
      </c>
      <c r="T35" s="1908">
        <v>743</v>
      </c>
      <c r="U35" s="1908">
        <v>765</v>
      </c>
      <c r="V35" s="2291">
        <v>768</v>
      </c>
      <c r="W35" s="1367">
        <v>712</v>
      </c>
      <c r="X35" s="2351">
        <v>803</v>
      </c>
      <c r="Y35" s="1273"/>
      <c r="Z35" s="961">
        <v>165</v>
      </c>
      <c r="AA35" s="962">
        <v>158</v>
      </c>
      <c r="AB35" s="962">
        <v>163</v>
      </c>
      <c r="AC35" s="962">
        <v>163</v>
      </c>
      <c r="AD35" s="962">
        <v>177</v>
      </c>
      <c r="AE35" s="962">
        <v>168</v>
      </c>
      <c r="AF35" s="962">
        <v>175</v>
      </c>
      <c r="AG35" s="962">
        <v>204</v>
      </c>
      <c r="AH35" s="962">
        <v>220</v>
      </c>
      <c r="AI35" s="962">
        <v>259</v>
      </c>
      <c r="AJ35" s="962">
        <v>269</v>
      </c>
      <c r="AK35" s="962">
        <v>235</v>
      </c>
      <c r="AL35" s="962">
        <v>250</v>
      </c>
      <c r="AM35" s="962">
        <v>242</v>
      </c>
      <c r="AN35" s="1110">
        <v>208</v>
      </c>
      <c r="AO35" s="1368">
        <v>228</v>
      </c>
      <c r="AP35" s="1369">
        <v>234</v>
      </c>
      <c r="AQ35" s="1368">
        <v>205</v>
      </c>
      <c r="AR35" s="2289">
        <v>210</v>
      </c>
      <c r="AS35" s="1368">
        <v>195</v>
      </c>
      <c r="AT35" s="2353">
        <v>221</v>
      </c>
      <c r="AU35" s="1274"/>
      <c r="AV35" s="1923">
        <f t="shared" si="18"/>
        <v>0.25660964230171074</v>
      </c>
      <c r="AW35" s="1924">
        <f t="shared" si="19"/>
        <v>0.24610591900311526</v>
      </c>
      <c r="AX35" s="1924">
        <f t="shared" si="20"/>
        <v>0.23153409090909091</v>
      </c>
      <c r="AY35" s="1924">
        <f t="shared" si="21"/>
        <v>0.23087818696883852</v>
      </c>
      <c r="AZ35" s="1924">
        <f t="shared" si="22"/>
        <v>0.24279835390946503</v>
      </c>
      <c r="BA35" s="1924">
        <f t="shared" si="23"/>
        <v>0.23365785813630041</v>
      </c>
      <c r="BB35" s="1924">
        <f t="shared" si="24"/>
        <v>0.23521505376344087</v>
      </c>
      <c r="BC35" s="1924">
        <f t="shared" si="25"/>
        <v>0.25030674846625767</v>
      </c>
      <c r="BD35" s="1924">
        <f t="shared" si="26"/>
        <v>0.27672955974842767</v>
      </c>
      <c r="BE35" s="1924">
        <f t="shared" si="27"/>
        <v>0.32173913043478258</v>
      </c>
      <c r="BF35" s="1924">
        <f t="shared" si="28"/>
        <v>0.31947743467933493</v>
      </c>
      <c r="BG35" s="1924">
        <f t="shared" si="29"/>
        <v>0.31333333333333335</v>
      </c>
      <c r="BH35" s="1924">
        <f t="shared" si="30"/>
        <v>0.33333333333333331</v>
      </c>
      <c r="BI35" s="1924">
        <f t="shared" si="31"/>
        <v>0.31469440832249673</v>
      </c>
      <c r="BJ35" s="1925">
        <f t="shared" si="32"/>
        <v>0.30814814814814817</v>
      </c>
      <c r="BK35" s="1926">
        <f>'Non-marital births'!L36</f>
        <v>0.27521793275217932</v>
      </c>
      <c r="BL35" s="1927">
        <v>0.31493943472409153</v>
      </c>
      <c r="BM35" s="1928">
        <f t="shared" si="33"/>
        <v>0.26797385620915032</v>
      </c>
      <c r="BN35" s="2348">
        <f t="shared" si="34"/>
        <v>0.2734375</v>
      </c>
      <c r="BO35" s="2348">
        <f t="shared" si="17"/>
        <v>0.273876404494382</v>
      </c>
      <c r="BP35" s="2343">
        <f t="shared" si="17"/>
        <v>0.27521793275217932</v>
      </c>
    </row>
    <row r="36" spans="1:68" s="142" customFormat="1" ht="13.5" customHeight="1" x14ac:dyDescent="0.3">
      <c r="A36" s="149" t="s">
        <v>78</v>
      </c>
      <c r="B36" s="185" t="s">
        <v>79</v>
      </c>
      <c r="C36" s="150" t="s">
        <v>256</v>
      </c>
      <c r="D36" s="938">
        <v>146</v>
      </c>
      <c r="E36" s="939">
        <v>152</v>
      </c>
      <c r="F36" s="940">
        <v>158</v>
      </c>
      <c r="G36" s="939">
        <v>138</v>
      </c>
      <c r="H36" s="940">
        <v>158</v>
      </c>
      <c r="I36" s="939">
        <v>146</v>
      </c>
      <c r="J36" s="940">
        <v>169</v>
      </c>
      <c r="K36" s="939">
        <v>159</v>
      </c>
      <c r="L36" s="953">
        <v>163</v>
      </c>
      <c r="M36" s="953">
        <v>159</v>
      </c>
      <c r="N36" s="953">
        <v>164</v>
      </c>
      <c r="O36" s="953">
        <v>148</v>
      </c>
      <c r="P36" s="954">
        <v>174</v>
      </c>
      <c r="Q36" s="954">
        <v>144</v>
      </c>
      <c r="R36" s="1107">
        <v>141</v>
      </c>
      <c r="S36" s="1367">
        <v>148</v>
      </c>
      <c r="T36" s="1908">
        <v>126</v>
      </c>
      <c r="U36" s="1908">
        <v>135</v>
      </c>
      <c r="V36" s="2291">
        <v>149</v>
      </c>
      <c r="W36" s="1367">
        <v>152</v>
      </c>
      <c r="X36" s="2351">
        <v>126</v>
      </c>
      <c r="Y36" s="1273"/>
      <c r="Z36" s="961">
        <v>37</v>
      </c>
      <c r="AA36" s="962">
        <v>30</v>
      </c>
      <c r="AB36" s="962">
        <v>38</v>
      </c>
      <c r="AC36" s="962">
        <v>24</v>
      </c>
      <c r="AD36" s="962">
        <v>29</v>
      </c>
      <c r="AE36" s="962">
        <v>30</v>
      </c>
      <c r="AF36" s="962">
        <v>27</v>
      </c>
      <c r="AG36" s="962">
        <v>45</v>
      </c>
      <c r="AH36" s="962">
        <v>44</v>
      </c>
      <c r="AI36" s="962">
        <v>49</v>
      </c>
      <c r="AJ36" s="962">
        <v>54</v>
      </c>
      <c r="AK36" s="962">
        <v>47</v>
      </c>
      <c r="AL36" s="962">
        <v>58</v>
      </c>
      <c r="AM36" s="962">
        <v>39</v>
      </c>
      <c r="AN36" s="1110">
        <v>49</v>
      </c>
      <c r="AO36" s="1368">
        <v>41</v>
      </c>
      <c r="AP36" s="1369">
        <v>40</v>
      </c>
      <c r="AQ36" s="1368">
        <v>44</v>
      </c>
      <c r="AR36" s="2289">
        <v>51</v>
      </c>
      <c r="AS36" s="1368">
        <v>54</v>
      </c>
      <c r="AT36" s="2353">
        <v>38</v>
      </c>
      <c r="AU36" s="1274"/>
      <c r="AV36" s="1923">
        <f t="shared" si="18"/>
        <v>0.25342465753424659</v>
      </c>
      <c r="AW36" s="1924">
        <f t="shared" si="19"/>
        <v>0.19736842105263158</v>
      </c>
      <c r="AX36" s="1924">
        <f t="shared" si="20"/>
        <v>0.24050632911392406</v>
      </c>
      <c r="AY36" s="1924">
        <f t="shared" si="21"/>
        <v>0.17391304347826086</v>
      </c>
      <c r="AZ36" s="1924">
        <f t="shared" si="22"/>
        <v>0.18354430379746836</v>
      </c>
      <c r="BA36" s="1924">
        <f t="shared" si="23"/>
        <v>0.20547945205479451</v>
      </c>
      <c r="BB36" s="1924">
        <f t="shared" si="24"/>
        <v>0.15976331360946747</v>
      </c>
      <c r="BC36" s="1924">
        <f t="shared" si="25"/>
        <v>0.28301886792452829</v>
      </c>
      <c r="BD36" s="1924">
        <f t="shared" si="26"/>
        <v>0.26993865030674846</v>
      </c>
      <c r="BE36" s="1924">
        <f t="shared" si="27"/>
        <v>0.3081761006289308</v>
      </c>
      <c r="BF36" s="1924">
        <f t="shared" si="28"/>
        <v>0.32926829268292684</v>
      </c>
      <c r="BG36" s="1924">
        <f t="shared" si="29"/>
        <v>0.31756756756756754</v>
      </c>
      <c r="BH36" s="1924">
        <f t="shared" si="30"/>
        <v>0.33333333333333331</v>
      </c>
      <c r="BI36" s="1924">
        <f t="shared" si="31"/>
        <v>0.27083333333333331</v>
      </c>
      <c r="BJ36" s="1925">
        <f t="shared" si="32"/>
        <v>0.3475177304964539</v>
      </c>
      <c r="BK36" s="1926">
        <f>'Non-marital births'!L37</f>
        <v>0.30158730158730157</v>
      </c>
      <c r="BL36" s="1927">
        <v>0.31746031746031744</v>
      </c>
      <c r="BM36" s="1928">
        <f t="shared" si="33"/>
        <v>0.32592592592592595</v>
      </c>
      <c r="BN36" s="2348">
        <f t="shared" si="34"/>
        <v>0.34228187919463088</v>
      </c>
      <c r="BO36" s="2348">
        <f t="shared" si="17"/>
        <v>0.35526315789473684</v>
      </c>
      <c r="BP36" s="2343">
        <f t="shared" si="17"/>
        <v>0.30158730158730157</v>
      </c>
    </row>
    <row r="37" spans="1:68" s="142" customFormat="1" ht="13.5" customHeight="1" x14ac:dyDescent="0.3">
      <c r="A37" s="149" t="s">
        <v>80</v>
      </c>
      <c r="B37" s="185" t="s">
        <v>81</v>
      </c>
      <c r="C37" s="150" t="s">
        <v>254</v>
      </c>
      <c r="D37" s="938">
        <v>202</v>
      </c>
      <c r="E37" s="939">
        <v>219</v>
      </c>
      <c r="F37" s="940">
        <v>219</v>
      </c>
      <c r="G37" s="939">
        <v>227</v>
      </c>
      <c r="H37" s="940">
        <v>301</v>
      </c>
      <c r="I37" s="939">
        <v>304</v>
      </c>
      <c r="J37" s="940">
        <v>349</v>
      </c>
      <c r="K37" s="939">
        <v>355</v>
      </c>
      <c r="L37" s="953">
        <v>340</v>
      </c>
      <c r="M37" s="953">
        <v>352</v>
      </c>
      <c r="N37" s="953">
        <v>323</v>
      </c>
      <c r="O37" s="953">
        <v>294</v>
      </c>
      <c r="P37" s="954">
        <v>300</v>
      </c>
      <c r="Q37" s="954">
        <v>278</v>
      </c>
      <c r="R37" s="1107">
        <v>258</v>
      </c>
      <c r="S37" s="1367">
        <v>250</v>
      </c>
      <c r="T37" s="1908">
        <v>266</v>
      </c>
      <c r="U37" s="1908">
        <v>252</v>
      </c>
      <c r="V37" s="2291">
        <v>252</v>
      </c>
      <c r="W37" s="1367">
        <v>279</v>
      </c>
      <c r="X37" s="2351">
        <v>267</v>
      </c>
      <c r="Y37" s="1273"/>
      <c r="Z37" s="961">
        <v>39</v>
      </c>
      <c r="AA37" s="962">
        <v>56</v>
      </c>
      <c r="AB37" s="962">
        <v>56</v>
      </c>
      <c r="AC37" s="962">
        <v>54</v>
      </c>
      <c r="AD37" s="962">
        <v>69</v>
      </c>
      <c r="AE37" s="962">
        <v>82</v>
      </c>
      <c r="AF37" s="962">
        <v>96</v>
      </c>
      <c r="AG37" s="962">
        <v>92</v>
      </c>
      <c r="AH37" s="962">
        <v>96</v>
      </c>
      <c r="AI37" s="962">
        <v>96</v>
      </c>
      <c r="AJ37" s="962">
        <v>89</v>
      </c>
      <c r="AK37" s="962">
        <v>65</v>
      </c>
      <c r="AL37" s="962">
        <v>94</v>
      </c>
      <c r="AM37" s="962">
        <v>82</v>
      </c>
      <c r="AN37" s="1110">
        <v>87</v>
      </c>
      <c r="AO37" s="1368">
        <v>96</v>
      </c>
      <c r="AP37" s="1369">
        <v>89</v>
      </c>
      <c r="AQ37" s="1368">
        <v>82</v>
      </c>
      <c r="AR37" s="2289">
        <v>81</v>
      </c>
      <c r="AS37" s="1368">
        <v>107</v>
      </c>
      <c r="AT37" s="2353">
        <v>104</v>
      </c>
      <c r="AU37" s="1274"/>
      <c r="AV37" s="1923">
        <f t="shared" si="18"/>
        <v>0.19306930693069307</v>
      </c>
      <c r="AW37" s="1924">
        <f t="shared" si="19"/>
        <v>0.25570776255707761</v>
      </c>
      <c r="AX37" s="1924">
        <f t="shared" si="20"/>
        <v>0.25570776255707761</v>
      </c>
      <c r="AY37" s="1924">
        <f t="shared" si="21"/>
        <v>0.23788546255506607</v>
      </c>
      <c r="AZ37" s="1924">
        <f t="shared" si="22"/>
        <v>0.2292358803986711</v>
      </c>
      <c r="BA37" s="1924">
        <f t="shared" si="23"/>
        <v>0.26973684210526316</v>
      </c>
      <c r="BB37" s="1924">
        <f t="shared" si="24"/>
        <v>0.27507163323782235</v>
      </c>
      <c r="BC37" s="1924">
        <f t="shared" si="25"/>
        <v>0.25915492957746478</v>
      </c>
      <c r="BD37" s="1924">
        <f t="shared" si="26"/>
        <v>0.28235294117647058</v>
      </c>
      <c r="BE37" s="1924">
        <f t="shared" si="27"/>
        <v>0.27272727272727271</v>
      </c>
      <c r="BF37" s="1924">
        <f t="shared" si="28"/>
        <v>0.27554179566563469</v>
      </c>
      <c r="BG37" s="1924">
        <f t="shared" si="29"/>
        <v>0.22108843537414966</v>
      </c>
      <c r="BH37" s="1924">
        <f t="shared" si="30"/>
        <v>0.31333333333333335</v>
      </c>
      <c r="BI37" s="1924">
        <f t="shared" si="31"/>
        <v>0.29496402877697842</v>
      </c>
      <c r="BJ37" s="1925">
        <f t="shared" si="32"/>
        <v>0.33720930232558138</v>
      </c>
      <c r="BK37" s="1926">
        <f>'Non-marital births'!L38</f>
        <v>0.38951310861423222</v>
      </c>
      <c r="BL37" s="1927">
        <v>0.33458646616541354</v>
      </c>
      <c r="BM37" s="1928">
        <f t="shared" si="33"/>
        <v>0.32539682539682541</v>
      </c>
      <c r="BN37" s="2348">
        <f t="shared" si="34"/>
        <v>0.32142857142857145</v>
      </c>
      <c r="BO37" s="2348">
        <f t="shared" ref="BO37:BP68" si="35">AS37/W37</f>
        <v>0.38351254480286739</v>
      </c>
      <c r="BP37" s="2343">
        <f t="shared" si="35"/>
        <v>0.38951310861423222</v>
      </c>
    </row>
    <row r="38" spans="1:68" s="142" customFormat="1" ht="13.5" customHeight="1" x14ac:dyDescent="0.3">
      <c r="A38" s="149" t="s">
        <v>84</v>
      </c>
      <c r="B38" s="185" t="s">
        <v>85</v>
      </c>
      <c r="C38" s="150" t="s">
        <v>253</v>
      </c>
      <c r="D38" s="938">
        <v>460</v>
      </c>
      <c r="E38" s="939">
        <v>515</v>
      </c>
      <c r="F38" s="940">
        <v>534</v>
      </c>
      <c r="G38" s="939">
        <v>552</v>
      </c>
      <c r="H38" s="940">
        <v>518</v>
      </c>
      <c r="I38" s="939">
        <v>511</v>
      </c>
      <c r="J38" s="940">
        <v>530</v>
      </c>
      <c r="K38" s="939">
        <v>542</v>
      </c>
      <c r="L38" s="953">
        <v>574</v>
      </c>
      <c r="M38" s="953">
        <v>599</v>
      </c>
      <c r="N38" s="953">
        <v>595</v>
      </c>
      <c r="O38" s="953">
        <v>593</v>
      </c>
      <c r="P38" s="954">
        <v>512</v>
      </c>
      <c r="Q38" s="954">
        <v>523</v>
      </c>
      <c r="R38" s="1107">
        <v>533</v>
      </c>
      <c r="S38" s="1367">
        <v>475</v>
      </c>
      <c r="T38" s="1908">
        <v>490</v>
      </c>
      <c r="U38" s="1908">
        <v>534</v>
      </c>
      <c r="V38" s="2291">
        <v>542</v>
      </c>
      <c r="W38" s="1367">
        <v>471</v>
      </c>
      <c r="X38" s="2351">
        <v>480</v>
      </c>
      <c r="Y38" s="1273"/>
      <c r="Z38" s="961">
        <v>123</v>
      </c>
      <c r="AA38" s="962">
        <v>150</v>
      </c>
      <c r="AB38" s="962">
        <v>163</v>
      </c>
      <c r="AC38" s="962">
        <v>168</v>
      </c>
      <c r="AD38" s="962">
        <v>151</v>
      </c>
      <c r="AE38" s="962">
        <v>162</v>
      </c>
      <c r="AF38" s="962">
        <v>165</v>
      </c>
      <c r="AG38" s="962">
        <v>194</v>
      </c>
      <c r="AH38" s="962">
        <v>218</v>
      </c>
      <c r="AI38" s="962">
        <v>219</v>
      </c>
      <c r="AJ38" s="962">
        <v>228</v>
      </c>
      <c r="AK38" s="962">
        <v>233</v>
      </c>
      <c r="AL38" s="962">
        <v>191</v>
      </c>
      <c r="AM38" s="962">
        <v>224</v>
      </c>
      <c r="AN38" s="1110">
        <v>239</v>
      </c>
      <c r="AO38" s="1368">
        <v>212</v>
      </c>
      <c r="AP38" s="1369">
        <v>207</v>
      </c>
      <c r="AQ38" s="1368">
        <v>216</v>
      </c>
      <c r="AR38" s="2289">
        <v>231</v>
      </c>
      <c r="AS38" s="1368">
        <v>187</v>
      </c>
      <c r="AT38" s="2353">
        <v>205</v>
      </c>
      <c r="AU38" s="1274"/>
      <c r="AV38" s="1923">
        <f t="shared" ref="AV38:AV69" si="36">Z38/D38</f>
        <v>0.2673913043478261</v>
      </c>
      <c r="AW38" s="1924">
        <f t="shared" ref="AW38:AW69" si="37">AA38/E38</f>
        <v>0.29126213592233008</v>
      </c>
      <c r="AX38" s="1924">
        <f t="shared" ref="AX38:AX69" si="38">AB38/F38</f>
        <v>0.30524344569288392</v>
      </c>
      <c r="AY38" s="1924">
        <f t="shared" ref="AY38:AY69" si="39">AC38/G38</f>
        <v>0.30434782608695654</v>
      </c>
      <c r="AZ38" s="1924">
        <f t="shared" ref="AZ38:AZ69" si="40">AD38/H38</f>
        <v>0.29150579150579148</v>
      </c>
      <c r="BA38" s="1924">
        <f t="shared" ref="BA38:BA69" si="41">AE38/I38</f>
        <v>0.31702544031311153</v>
      </c>
      <c r="BB38" s="1924">
        <f t="shared" ref="BB38:BB69" si="42">AF38/J38</f>
        <v>0.31132075471698112</v>
      </c>
      <c r="BC38" s="1924">
        <f t="shared" ref="BC38:BC69" si="43">AG38/K38</f>
        <v>0.35793357933579334</v>
      </c>
      <c r="BD38" s="1924">
        <f t="shared" ref="BD38:BD69" si="44">AH38/L38</f>
        <v>0.37979094076655051</v>
      </c>
      <c r="BE38" s="1924">
        <f t="shared" ref="BE38:BE69" si="45">AI38/M38</f>
        <v>0.36560934891485808</v>
      </c>
      <c r="BF38" s="1924">
        <f t="shared" ref="BF38:BF69" si="46">AJ38/N38</f>
        <v>0.3831932773109244</v>
      </c>
      <c r="BG38" s="1924">
        <f t="shared" ref="BG38:BG69" si="47">AK38/O38</f>
        <v>0.39291736930860033</v>
      </c>
      <c r="BH38" s="1924">
        <f t="shared" ref="BH38:BH69" si="48">AL38/P38</f>
        <v>0.373046875</v>
      </c>
      <c r="BI38" s="1924">
        <f t="shared" ref="BI38:BI69" si="49">AM38/Q38</f>
        <v>0.42829827915869984</v>
      </c>
      <c r="BJ38" s="1925">
        <f t="shared" ref="BJ38:BJ69" si="50">AN38/R38</f>
        <v>0.44840525328330205</v>
      </c>
      <c r="BK38" s="1926">
        <f>'Non-marital births'!L39</f>
        <v>0.42708333333333331</v>
      </c>
      <c r="BL38" s="1927">
        <v>0.42244897959183675</v>
      </c>
      <c r="BM38" s="1928">
        <f t="shared" ref="BM38:BM69" si="51">AQ38/U38</f>
        <v>0.4044943820224719</v>
      </c>
      <c r="BN38" s="2348">
        <f t="shared" ref="BN38:BN69" si="52">AR38/V38</f>
        <v>0.42619926199261993</v>
      </c>
      <c r="BO38" s="2348">
        <f t="shared" si="35"/>
        <v>0.39702760084925692</v>
      </c>
      <c r="BP38" s="2343">
        <f t="shared" si="35"/>
        <v>0.42708333333333331</v>
      </c>
    </row>
    <row r="39" spans="1:68" s="142" customFormat="1" ht="13.5" customHeight="1" x14ac:dyDescent="0.3">
      <c r="A39" s="149" t="s">
        <v>86</v>
      </c>
      <c r="B39" s="185" t="s">
        <v>87</v>
      </c>
      <c r="C39" s="150" t="s">
        <v>255</v>
      </c>
      <c r="D39" s="938">
        <v>759</v>
      </c>
      <c r="E39" s="939">
        <v>724</v>
      </c>
      <c r="F39" s="940">
        <v>837</v>
      </c>
      <c r="G39" s="939">
        <v>695</v>
      </c>
      <c r="H39" s="940">
        <v>822</v>
      </c>
      <c r="I39" s="939">
        <v>858</v>
      </c>
      <c r="J39" s="940">
        <v>922</v>
      </c>
      <c r="K39" s="939">
        <v>920</v>
      </c>
      <c r="L39" s="953">
        <v>964</v>
      </c>
      <c r="M39" s="953">
        <v>962</v>
      </c>
      <c r="N39" s="953">
        <v>984</v>
      </c>
      <c r="O39" s="953">
        <v>918</v>
      </c>
      <c r="P39" s="954">
        <v>915</v>
      </c>
      <c r="Q39" s="954">
        <v>887</v>
      </c>
      <c r="R39" s="1107">
        <v>921</v>
      </c>
      <c r="S39" s="1367">
        <v>935</v>
      </c>
      <c r="T39" s="1908">
        <v>889</v>
      </c>
      <c r="U39" s="1908">
        <v>989</v>
      </c>
      <c r="V39" s="2291">
        <v>1000</v>
      </c>
      <c r="W39" s="1367">
        <v>938</v>
      </c>
      <c r="X39" s="2351">
        <v>978</v>
      </c>
      <c r="Y39" s="1273"/>
      <c r="Z39" s="961">
        <v>201</v>
      </c>
      <c r="AA39" s="962">
        <v>186</v>
      </c>
      <c r="AB39" s="962">
        <v>220</v>
      </c>
      <c r="AC39" s="962">
        <v>179</v>
      </c>
      <c r="AD39" s="962">
        <v>228</v>
      </c>
      <c r="AE39" s="962">
        <v>254</v>
      </c>
      <c r="AF39" s="962">
        <v>257</v>
      </c>
      <c r="AG39" s="962">
        <v>270</v>
      </c>
      <c r="AH39" s="962">
        <v>315</v>
      </c>
      <c r="AI39" s="962">
        <v>324</v>
      </c>
      <c r="AJ39" s="962">
        <v>369</v>
      </c>
      <c r="AK39" s="962">
        <v>341</v>
      </c>
      <c r="AL39" s="962">
        <v>335</v>
      </c>
      <c r="AM39" s="962">
        <v>307</v>
      </c>
      <c r="AN39" s="1110">
        <v>341</v>
      </c>
      <c r="AO39" s="1368">
        <v>323</v>
      </c>
      <c r="AP39" s="1369">
        <v>291</v>
      </c>
      <c r="AQ39" s="1368">
        <v>365</v>
      </c>
      <c r="AR39" s="2289">
        <v>330</v>
      </c>
      <c r="AS39" s="1368">
        <v>338</v>
      </c>
      <c r="AT39" s="2353">
        <v>316</v>
      </c>
      <c r="AU39" s="1274"/>
      <c r="AV39" s="1923">
        <f t="shared" si="36"/>
        <v>0.2648221343873518</v>
      </c>
      <c r="AW39" s="1924">
        <f t="shared" si="37"/>
        <v>0.25690607734806631</v>
      </c>
      <c r="AX39" s="1924">
        <f t="shared" si="38"/>
        <v>0.26284348864994028</v>
      </c>
      <c r="AY39" s="1924">
        <f t="shared" si="39"/>
        <v>0.25755395683453236</v>
      </c>
      <c r="AZ39" s="1924">
        <f t="shared" si="40"/>
        <v>0.27737226277372262</v>
      </c>
      <c r="BA39" s="1924">
        <f t="shared" si="41"/>
        <v>0.29603729603729606</v>
      </c>
      <c r="BB39" s="1924">
        <f t="shared" si="42"/>
        <v>0.27874186550976138</v>
      </c>
      <c r="BC39" s="1924">
        <f t="shared" si="43"/>
        <v>0.29347826086956524</v>
      </c>
      <c r="BD39" s="1924">
        <f t="shared" si="44"/>
        <v>0.32676348547717843</v>
      </c>
      <c r="BE39" s="1924">
        <f t="shared" si="45"/>
        <v>0.33679833679833682</v>
      </c>
      <c r="BF39" s="1924">
        <f t="shared" si="46"/>
        <v>0.375</v>
      </c>
      <c r="BG39" s="1924">
        <f t="shared" si="47"/>
        <v>0.37145969498910675</v>
      </c>
      <c r="BH39" s="1924">
        <f t="shared" si="48"/>
        <v>0.36612021857923499</v>
      </c>
      <c r="BI39" s="1924">
        <f t="shared" si="49"/>
        <v>0.34611048478015782</v>
      </c>
      <c r="BJ39" s="1925">
        <f t="shared" si="50"/>
        <v>0.37024972855591748</v>
      </c>
      <c r="BK39" s="1926">
        <f>'Non-marital births'!L40</f>
        <v>0.32310838445807771</v>
      </c>
      <c r="BL39" s="1927">
        <v>0.32733408323959506</v>
      </c>
      <c r="BM39" s="1928">
        <f t="shared" si="51"/>
        <v>0.36905965621840242</v>
      </c>
      <c r="BN39" s="2348">
        <f t="shared" si="52"/>
        <v>0.33</v>
      </c>
      <c r="BO39" s="2348">
        <f t="shared" si="35"/>
        <v>0.36034115138592748</v>
      </c>
      <c r="BP39" s="2343">
        <f t="shared" si="35"/>
        <v>0.32310838445807771</v>
      </c>
    </row>
    <row r="40" spans="1:68" s="142" customFormat="1" ht="13.5" customHeight="1" x14ac:dyDescent="0.3">
      <c r="A40" s="149" t="s">
        <v>92</v>
      </c>
      <c r="B40" s="185" t="s">
        <v>93</v>
      </c>
      <c r="C40" s="150" t="s">
        <v>256</v>
      </c>
      <c r="D40" s="938">
        <v>208</v>
      </c>
      <c r="E40" s="939">
        <v>203</v>
      </c>
      <c r="F40" s="940">
        <v>254</v>
      </c>
      <c r="G40" s="939">
        <v>204</v>
      </c>
      <c r="H40" s="940">
        <v>212</v>
      </c>
      <c r="I40" s="939">
        <v>178</v>
      </c>
      <c r="J40" s="940">
        <v>189</v>
      </c>
      <c r="K40" s="939">
        <v>161</v>
      </c>
      <c r="L40" s="953">
        <v>181</v>
      </c>
      <c r="M40" s="953">
        <v>190</v>
      </c>
      <c r="N40" s="953">
        <v>164</v>
      </c>
      <c r="O40" s="953">
        <v>173</v>
      </c>
      <c r="P40" s="954">
        <v>196</v>
      </c>
      <c r="Q40" s="954">
        <v>179</v>
      </c>
      <c r="R40" s="1107">
        <v>189</v>
      </c>
      <c r="S40" s="1367">
        <v>149</v>
      </c>
      <c r="T40" s="1908">
        <v>185</v>
      </c>
      <c r="U40" s="1908">
        <v>183</v>
      </c>
      <c r="V40" s="2291">
        <v>174</v>
      </c>
      <c r="W40" s="1367">
        <v>165</v>
      </c>
      <c r="X40" s="2351">
        <v>156</v>
      </c>
      <c r="Y40" s="1273"/>
      <c r="Z40" s="961">
        <v>50</v>
      </c>
      <c r="AA40" s="962">
        <v>48</v>
      </c>
      <c r="AB40" s="962">
        <v>66</v>
      </c>
      <c r="AC40" s="962">
        <v>53</v>
      </c>
      <c r="AD40" s="962">
        <v>53</v>
      </c>
      <c r="AE40" s="962">
        <v>45</v>
      </c>
      <c r="AF40" s="962">
        <v>46</v>
      </c>
      <c r="AG40" s="962">
        <v>41</v>
      </c>
      <c r="AH40" s="962">
        <v>60</v>
      </c>
      <c r="AI40" s="962">
        <v>70</v>
      </c>
      <c r="AJ40" s="962">
        <v>70</v>
      </c>
      <c r="AK40" s="962">
        <v>61</v>
      </c>
      <c r="AL40" s="962">
        <v>89</v>
      </c>
      <c r="AM40" s="962">
        <v>74</v>
      </c>
      <c r="AN40" s="1110">
        <v>75</v>
      </c>
      <c r="AO40" s="1368">
        <v>65</v>
      </c>
      <c r="AP40" s="1369">
        <v>82</v>
      </c>
      <c r="AQ40" s="1368">
        <v>72</v>
      </c>
      <c r="AR40" s="2289">
        <v>71</v>
      </c>
      <c r="AS40" s="1368">
        <v>64</v>
      </c>
      <c r="AT40" s="2353">
        <v>63</v>
      </c>
      <c r="AU40" s="1274"/>
      <c r="AV40" s="1923">
        <f t="shared" si="36"/>
        <v>0.24038461538461539</v>
      </c>
      <c r="AW40" s="1924">
        <f t="shared" si="37"/>
        <v>0.23645320197044334</v>
      </c>
      <c r="AX40" s="1924">
        <f t="shared" si="38"/>
        <v>0.25984251968503935</v>
      </c>
      <c r="AY40" s="1924">
        <f t="shared" si="39"/>
        <v>0.25980392156862747</v>
      </c>
      <c r="AZ40" s="1924">
        <f t="shared" si="40"/>
        <v>0.25</v>
      </c>
      <c r="BA40" s="1924">
        <f t="shared" si="41"/>
        <v>0.25280898876404495</v>
      </c>
      <c r="BB40" s="1924">
        <f t="shared" si="42"/>
        <v>0.24338624338624337</v>
      </c>
      <c r="BC40" s="1924">
        <f t="shared" si="43"/>
        <v>0.25465838509316768</v>
      </c>
      <c r="BD40" s="1924">
        <f t="shared" si="44"/>
        <v>0.33149171270718231</v>
      </c>
      <c r="BE40" s="1924">
        <f t="shared" si="45"/>
        <v>0.36842105263157893</v>
      </c>
      <c r="BF40" s="1924">
        <f t="shared" si="46"/>
        <v>0.42682926829268292</v>
      </c>
      <c r="BG40" s="1924">
        <f t="shared" si="47"/>
        <v>0.35260115606936415</v>
      </c>
      <c r="BH40" s="1924">
        <f t="shared" si="48"/>
        <v>0.45408163265306123</v>
      </c>
      <c r="BI40" s="1924">
        <f t="shared" si="49"/>
        <v>0.41340782122905029</v>
      </c>
      <c r="BJ40" s="1925">
        <f t="shared" si="50"/>
        <v>0.3968253968253968</v>
      </c>
      <c r="BK40" s="1926">
        <f>'Non-marital births'!L41</f>
        <v>0.40384615384615385</v>
      </c>
      <c r="BL40" s="1927">
        <v>0.44324324324324327</v>
      </c>
      <c r="BM40" s="1928">
        <f t="shared" si="51"/>
        <v>0.39344262295081966</v>
      </c>
      <c r="BN40" s="2348">
        <f t="shared" si="52"/>
        <v>0.40804597701149425</v>
      </c>
      <c r="BO40" s="2348">
        <f t="shared" si="35"/>
        <v>0.38787878787878788</v>
      </c>
      <c r="BP40" s="2343">
        <f t="shared" si="35"/>
        <v>0.40384615384615385</v>
      </c>
    </row>
    <row r="41" spans="1:68" s="142" customFormat="1" ht="13.5" customHeight="1" x14ac:dyDescent="0.3">
      <c r="A41" s="149" t="s">
        <v>94</v>
      </c>
      <c r="B41" s="185" t="s">
        <v>95</v>
      </c>
      <c r="C41" s="150" t="s">
        <v>252</v>
      </c>
      <c r="D41" s="938">
        <v>386</v>
      </c>
      <c r="E41" s="939">
        <v>381</v>
      </c>
      <c r="F41" s="940">
        <v>405</v>
      </c>
      <c r="G41" s="939">
        <v>399</v>
      </c>
      <c r="H41" s="940">
        <v>413</v>
      </c>
      <c r="I41" s="939">
        <v>381</v>
      </c>
      <c r="J41" s="940">
        <v>417</v>
      </c>
      <c r="K41" s="939">
        <v>405</v>
      </c>
      <c r="L41" s="953">
        <v>359</v>
      </c>
      <c r="M41" s="953">
        <v>393</v>
      </c>
      <c r="N41" s="953">
        <v>374</v>
      </c>
      <c r="O41" s="953">
        <v>365</v>
      </c>
      <c r="P41" s="954">
        <v>359</v>
      </c>
      <c r="Q41" s="954">
        <v>341</v>
      </c>
      <c r="R41" s="1107">
        <v>355</v>
      </c>
      <c r="S41" s="1367">
        <v>356</v>
      </c>
      <c r="T41" s="1908">
        <v>368</v>
      </c>
      <c r="U41" s="1908">
        <v>368</v>
      </c>
      <c r="V41" s="2291">
        <v>355</v>
      </c>
      <c r="W41" s="1367">
        <v>347</v>
      </c>
      <c r="X41" s="2351">
        <v>349</v>
      </c>
      <c r="Y41" s="1273"/>
      <c r="Z41" s="961">
        <v>102</v>
      </c>
      <c r="AA41" s="962">
        <v>101</v>
      </c>
      <c r="AB41" s="962">
        <v>113</v>
      </c>
      <c r="AC41" s="962">
        <v>130</v>
      </c>
      <c r="AD41" s="962">
        <v>127</v>
      </c>
      <c r="AE41" s="962">
        <v>108</v>
      </c>
      <c r="AF41" s="962">
        <v>142</v>
      </c>
      <c r="AG41" s="962">
        <v>126</v>
      </c>
      <c r="AH41" s="962">
        <v>114</v>
      </c>
      <c r="AI41" s="962">
        <v>115</v>
      </c>
      <c r="AJ41" s="962">
        <v>127</v>
      </c>
      <c r="AK41" s="962">
        <v>133</v>
      </c>
      <c r="AL41" s="962">
        <v>133</v>
      </c>
      <c r="AM41" s="962">
        <v>122</v>
      </c>
      <c r="AN41" s="1110">
        <v>152</v>
      </c>
      <c r="AO41" s="1368">
        <v>157</v>
      </c>
      <c r="AP41" s="1369">
        <v>141</v>
      </c>
      <c r="AQ41" s="1368">
        <v>125</v>
      </c>
      <c r="AR41" s="2289">
        <v>133</v>
      </c>
      <c r="AS41" s="1368">
        <v>117</v>
      </c>
      <c r="AT41" s="2353">
        <v>121</v>
      </c>
      <c r="AU41" s="1274"/>
      <c r="AV41" s="1923">
        <f t="shared" si="36"/>
        <v>0.26424870466321243</v>
      </c>
      <c r="AW41" s="1924">
        <f t="shared" si="37"/>
        <v>0.26509186351706038</v>
      </c>
      <c r="AX41" s="1924">
        <f t="shared" si="38"/>
        <v>0.27901234567901234</v>
      </c>
      <c r="AY41" s="1924">
        <f t="shared" si="39"/>
        <v>0.32581453634085211</v>
      </c>
      <c r="AZ41" s="1924">
        <f t="shared" si="40"/>
        <v>0.30750605326876512</v>
      </c>
      <c r="BA41" s="1924">
        <f t="shared" si="41"/>
        <v>0.28346456692913385</v>
      </c>
      <c r="BB41" s="1924">
        <f t="shared" si="42"/>
        <v>0.34052757793764987</v>
      </c>
      <c r="BC41" s="1924">
        <f t="shared" si="43"/>
        <v>0.31111111111111112</v>
      </c>
      <c r="BD41" s="1924">
        <f t="shared" si="44"/>
        <v>0.31754874651810583</v>
      </c>
      <c r="BE41" s="1924">
        <f t="shared" si="45"/>
        <v>0.29262086513994912</v>
      </c>
      <c r="BF41" s="1924">
        <f t="shared" si="46"/>
        <v>0.33957219251336901</v>
      </c>
      <c r="BG41" s="1924">
        <f t="shared" si="47"/>
        <v>0.36438356164383562</v>
      </c>
      <c r="BH41" s="1924">
        <f t="shared" si="48"/>
        <v>0.37047353760445684</v>
      </c>
      <c r="BI41" s="1924">
        <f t="shared" si="49"/>
        <v>0.35777126099706746</v>
      </c>
      <c r="BJ41" s="1925">
        <f t="shared" si="50"/>
        <v>0.42816901408450703</v>
      </c>
      <c r="BK41" s="1926">
        <f>'Non-marital births'!L42</f>
        <v>0.34670487106017189</v>
      </c>
      <c r="BL41" s="1927">
        <v>0.38315217391304346</v>
      </c>
      <c r="BM41" s="1928">
        <f t="shared" si="51"/>
        <v>0.33967391304347827</v>
      </c>
      <c r="BN41" s="2348">
        <f t="shared" si="52"/>
        <v>0.37464788732394366</v>
      </c>
      <c r="BO41" s="2348">
        <f t="shared" si="35"/>
        <v>0.33717579250720459</v>
      </c>
      <c r="BP41" s="2343">
        <f t="shared" si="35"/>
        <v>0.34670487106017189</v>
      </c>
    </row>
    <row r="42" spans="1:68" s="142" customFormat="1" ht="13.5" customHeight="1" x14ac:dyDescent="0.3">
      <c r="A42" s="149" t="s">
        <v>96</v>
      </c>
      <c r="B42" s="185" t="s">
        <v>97</v>
      </c>
      <c r="C42" s="150" t="s">
        <v>254</v>
      </c>
      <c r="D42" s="938">
        <v>185</v>
      </c>
      <c r="E42" s="939">
        <v>167</v>
      </c>
      <c r="F42" s="940">
        <v>203</v>
      </c>
      <c r="G42" s="939">
        <v>200</v>
      </c>
      <c r="H42" s="940">
        <v>190</v>
      </c>
      <c r="I42" s="939">
        <v>174</v>
      </c>
      <c r="J42" s="940">
        <v>181</v>
      </c>
      <c r="K42" s="939">
        <v>198</v>
      </c>
      <c r="L42" s="953">
        <v>213</v>
      </c>
      <c r="M42" s="953">
        <v>194</v>
      </c>
      <c r="N42" s="953">
        <v>209</v>
      </c>
      <c r="O42" s="953">
        <v>179</v>
      </c>
      <c r="P42" s="954">
        <v>173</v>
      </c>
      <c r="Q42" s="954">
        <v>151</v>
      </c>
      <c r="R42" s="1107">
        <v>165</v>
      </c>
      <c r="S42" s="1367">
        <v>157</v>
      </c>
      <c r="T42" s="1908">
        <v>185</v>
      </c>
      <c r="U42" s="1908">
        <v>140</v>
      </c>
      <c r="V42" s="2291">
        <v>159</v>
      </c>
      <c r="W42" s="1367">
        <v>156</v>
      </c>
      <c r="X42" s="2351">
        <v>165</v>
      </c>
      <c r="Y42" s="1273"/>
      <c r="Z42" s="961">
        <v>43</v>
      </c>
      <c r="AA42" s="962">
        <v>27</v>
      </c>
      <c r="AB42" s="962">
        <v>38</v>
      </c>
      <c r="AC42" s="962">
        <v>37</v>
      </c>
      <c r="AD42" s="962">
        <v>34</v>
      </c>
      <c r="AE42" s="962">
        <v>25</v>
      </c>
      <c r="AF42" s="962">
        <v>37</v>
      </c>
      <c r="AG42" s="962">
        <v>35</v>
      </c>
      <c r="AH42" s="962">
        <v>47</v>
      </c>
      <c r="AI42" s="962">
        <v>37</v>
      </c>
      <c r="AJ42" s="962">
        <v>47</v>
      </c>
      <c r="AK42" s="962">
        <v>37</v>
      </c>
      <c r="AL42" s="962">
        <v>43</v>
      </c>
      <c r="AM42" s="962">
        <v>36</v>
      </c>
      <c r="AN42" s="1110">
        <v>36</v>
      </c>
      <c r="AO42" s="1368">
        <v>37</v>
      </c>
      <c r="AP42" s="1369">
        <v>58</v>
      </c>
      <c r="AQ42" s="1368">
        <v>38</v>
      </c>
      <c r="AR42" s="2289">
        <v>41</v>
      </c>
      <c r="AS42" s="1368">
        <v>38</v>
      </c>
      <c r="AT42" s="2353">
        <v>43</v>
      </c>
      <c r="AU42" s="1274"/>
      <c r="AV42" s="1923">
        <f t="shared" si="36"/>
        <v>0.23243243243243245</v>
      </c>
      <c r="AW42" s="1924">
        <f t="shared" si="37"/>
        <v>0.16167664670658682</v>
      </c>
      <c r="AX42" s="1924">
        <f t="shared" si="38"/>
        <v>0.18719211822660098</v>
      </c>
      <c r="AY42" s="1924">
        <f t="shared" si="39"/>
        <v>0.185</v>
      </c>
      <c r="AZ42" s="1924">
        <f t="shared" si="40"/>
        <v>0.17894736842105263</v>
      </c>
      <c r="BA42" s="1924">
        <f t="shared" si="41"/>
        <v>0.14367816091954022</v>
      </c>
      <c r="BB42" s="1924">
        <f t="shared" si="42"/>
        <v>0.20441988950276244</v>
      </c>
      <c r="BC42" s="1924">
        <f t="shared" si="43"/>
        <v>0.17676767676767677</v>
      </c>
      <c r="BD42" s="1924">
        <f t="shared" si="44"/>
        <v>0.22065727699530516</v>
      </c>
      <c r="BE42" s="1924">
        <f t="shared" si="45"/>
        <v>0.19072164948453607</v>
      </c>
      <c r="BF42" s="1924">
        <f t="shared" si="46"/>
        <v>0.22488038277511962</v>
      </c>
      <c r="BG42" s="1924">
        <f t="shared" si="47"/>
        <v>0.20670391061452514</v>
      </c>
      <c r="BH42" s="1924">
        <f t="shared" si="48"/>
        <v>0.24855491329479767</v>
      </c>
      <c r="BI42" s="1924">
        <f t="shared" si="49"/>
        <v>0.23841059602649006</v>
      </c>
      <c r="BJ42" s="1925">
        <f t="shared" si="50"/>
        <v>0.21818181818181817</v>
      </c>
      <c r="BK42" s="1926">
        <f>'Non-marital births'!L43</f>
        <v>0.26060606060606062</v>
      </c>
      <c r="BL42" s="1927">
        <v>0.31351351351351353</v>
      </c>
      <c r="BM42" s="1928">
        <f t="shared" si="51"/>
        <v>0.27142857142857141</v>
      </c>
      <c r="BN42" s="2348">
        <f t="shared" si="52"/>
        <v>0.25786163522012578</v>
      </c>
      <c r="BO42" s="2348">
        <f t="shared" si="35"/>
        <v>0.24358974358974358</v>
      </c>
      <c r="BP42" s="2343">
        <f t="shared" si="35"/>
        <v>0.26060606060606062</v>
      </c>
    </row>
    <row r="43" spans="1:68" s="142" customFormat="1" ht="13.5" customHeight="1" x14ac:dyDescent="0.3">
      <c r="A43" s="149" t="s">
        <v>98</v>
      </c>
      <c r="B43" s="185" t="s">
        <v>99</v>
      </c>
      <c r="C43" s="150" t="s">
        <v>256</v>
      </c>
      <c r="D43" s="938">
        <v>151</v>
      </c>
      <c r="E43" s="939">
        <v>184</v>
      </c>
      <c r="F43" s="940">
        <v>172</v>
      </c>
      <c r="G43" s="939">
        <v>154</v>
      </c>
      <c r="H43" s="940">
        <v>170</v>
      </c>
      <c r="I43" s="939">
        <v>152</v>
      </c>
      <c r="J43" s="940">
        <v>130</v>
      </c>
      <c r="K43" s="939">
        <v>146</v>
      </c>
      <c r="L43" s="953">
        <v>161</v>
      </c>
      <c r="M43" s="953">
        <v>157</v>
      </c>
      <c r="N43" s="953">
        <v>156</v>
      </c>
      <c r="O43" s="953">
        <v>122</v>
      </c>
      <c r="P43" s="954">
        <v>139</v>
      </c>
      <c r="Q43" s="954">
        <v>117</v>
      </c>
      <c r="R43" s="1107">
        <v>142</v>
      </c>
      <c r="S43" s="1367">
        <v>166</v>
      </c>
      <c r="T43" s="1908">
        <v>141</v>
      </c>
      <c r="U43" s="1908">
        <v>139</v>
      </c>
      <c r="V43" s="2291">
        <v>118</v>
      </c>
      <c r="W43" s="1367">
        <v>122</v>
      </c>
      <c r="X43" s="2351">
        <v>130</v>
      </c>
      <c r="Y43" s="1273"/>
      <c r="Z43" s="961">
        <v>42</v>
      </c>
      <c r="AA43" s="962">
        <v>47</v>
      </c>
      <c r="AB43" s="962">
        <v>38</v>
      </c>
      <c r="AC43" s="962">
        <v>35</v>
      </c>
      <c r="AD43" s="962">
        <v>44</v>
      </c>
      <c r="AE43" s="962">
        <v>43</v>
      </c>
      <c r="AF43" s="962">
        <v>39</v>
      </c>
      <c r="AG43" s="962">
        <v>45</v>
      </c>
      <c r="AH43" s="962">
        <v>60</v>
      </c>
      <c r="AI43" s="962">
        <v>55</v>
      </c>
      <c r="AJ43" s="962">
        <v>55</v>
      </c>
      <c r="AK43" s="962">
        <v>48</v>
      </c>
      <c r="AL43" s="962">
        <v>50</v>
      </c>
      <c r="AM43" s="962">
        <v>53</v>
      </c>
      <c r="AN43" s="1110">
        <v>58</v>
      </c>
      <c r="AO43" s="1368">
        <v>64</v>
      </c>
      <c r="AP43" s="1369">
        <v>57</v>
      </c>
      <c r="AQ43" s="1368">
        <v>55</v>
      </c>
      <c r="AR43" s="2289">
        <v>44</v>
      </c>
      <c r="AS43" s="1368">
        <v>45</v>
      </c>
      <c r="AT43" s="2353">
        <v>43</v>
      </c>
      <c r="AU43" s="1274"/>
      <c r="AV43" s="1923">
        <f t="shared" si="36"/>
        <v>0.27814569536423839</v>
      </c>
      <c r="AW43" s="1924">
        <f t="shared" si="37"/>
        <v>0.25543478260869568</v>
      </c>
      <c r="AX43" s="1924">
        <f t="shared" si="38"/>
        <v>0.22093023255813954</v>
      </c>
      <c r="AY43" s="1924">
        <f t="shared" si="39"/>
        <v>0.22727272727272727</v>
      </c>
      <c r="AZ43" s="1924">
        <f t="shared" si="40"/>
        <v>0.25882352941176473</v>
      </c>
      <c r="BA43" s="1924">
        <f t="shared" si="41"/>
        <v>0.28289473684210525</v>
      </c>
      <c r="BB43" s="1924">
        <f t="shared" si="42"/>
        <v>0.3</v>
      </c>
      <c r="BC43" s="1924">
        <f t="shared" si="43"/>
        <v>0.30821917808219179</v>
      </c>
      <c r="BD43" s="1924">
        <f t="shared" si="44"/>
        <v>0.37267080745341613</v>
      </c>
      <c r="BE43" s="1924">
        <f t="shared" si="45"/>
        <v>0.3503184713375796</v>
      </c>
      <c r="BF43" s="1924">
        <f t="shared" si="46"/>
        <v>0.35256410256410259</v>
      </c>
      <c r="BG43" s="1924">
        <f t="shared" si="47"/>
        <v>0.39344262295081966</v>
      </c>
      <c r="BH43" s="1924">
        <f t="shared" si="48"/>
        <v>0.35971223021582732</v>
      </c>
      <c r="BI43" s="1924">
        <f t="shared" si="49"/>
        <v>0.45299145299145299</v>
      </c>
      <c r="BJ43" s="1925">
        <f t="shared" si="50"/>
        <v>0.40845070422535212</v>
      </c>
      <c r="BK43" s="1926">
        <f>'Non-marital births'!L44</f>
        <v>0.33076923076923076</v>
      </c>
      <c r="BL43" s="1927">
        <v>0.40425531914893614</v>
      </c>
      <c r="BM43" s="1928">
        <f t="shared" si="51"/>
        <v>0.39568345323741005</v>
      </c>
      <c r="BN43" s="2348">
        <f t="shared" si="52"/>
        <v>0.3728813559322034</v>
      </c>
      <c r="BO43" s="2348">
        <f t="shared" si="35"/>
        <v>0.36885245901639346</v>
      </c>
      <c r="BP43" s="2343">
        <f t="shared" si="35"/>
        <v>0.33076923076923076</v>
      </c>
    </row>
    <row r="44" spans="1:68" s="142" customFormat="1" ht="13.5" customHeight="1" x14ac:dyDescent="0.3">
      <c r="A44" s="149" t="s">
        <v>100</v>
      </c>
      <c r="B44" s="185" t="s">
        <v>101</v>
      </c>
      <c r="C44" s="150" t="s">
        <v>255</v>
      </c>
      <c r="D44" s="938">
        <v>209</v>
      </c>
      <c r="E44" s="939">
        <v>243</v>
      </c>
      <c r="F44" s="940">
        <v>225</v>
      </c>
      <c r="G44" s="939">
        <v>246</v>
      </c>
      <c r="H44" s="940">
        <v>245</v>
      </c>
      <c r="I44" s="939">
        <v>252</v>
      </c>
      <c r="J44" s="940">
        <v>263</v>
      </c>
      <c r="K44" s="939">
        <v>270</v>
      </c>
      <c r="L44" s="953">
        <v>279</v>
      </c>
      <c r="M44" s="953">
        <v>276</v>
      </c>
      <c r="N44" s="953">
        <v>245</v>
      </c>
      <c r="O44" s="953">
        <v>254</v>
      </c>
      <c r="P44" s="954">
        <v>226</v>
      </c>
      <c r="Q44" s="954">
        <v>227</v>
      </c>
      <c r="R44" s="1107">
        <v>236</v>
      </c>
      <c r="S44" s="1367">
        <v>184</v>
      </c>
      <c r="T44" s="1908">
        <v>220</v>
      </c>
      <c r="U44" s="1908">
        <v>202</v>
      </c>
      <c r="V44" s="2291">
        <v>226</v>
      </c>
      <c r="W44" s="1367">
        <v>232</v>
      </c>
      <c r="X44" s="2351">
        <v>200</v>
      </c>
      <c r="Y44" s="1273"/>
      <c r="Z44" s="961">
        <v>66</v>
      </c>
      <c r="AA44" s="962">
        <v>62</v>
      </c>
      <c r="AB44" s="962">
        <v>62</v>
      </c>
      <c r="AC44" s="962">
        <v>70</v>
      </c>
      <c r="AD44" s="962">
        <v>73</v>
      </c>
      <c r="AE44" s="962">
        <v>79</v>
      </c>
      <c r="AF44" s="962">
        <v>76</v>
      </c>
      <c r="AG44" s="962">
        <v>86</v>
      </c>
      <c r="AH44" s="962">
        <v>92</v>
      </c>
      <c r="AI44" s="962">
        <v>76</v>
      </c>
      <c r="AJ44" s="962">
        <v>86</v>
      </c>
      <c r="AK44" s="962">
        <v>90</v>
      </c>
      <c r="AL44" s="962">
        <v>64</v>
      </c>
      <c r="AM44" s="962">
        <v>81</v>
      </c>
      <c r="AN44" s="1110">
        <v>87</v>
      </c>
      <c r="AO44" s="1368">
        <v>61</v>
      </c>
      <c r="AP44" s="1369">
        <v>84</v>
      </c>
      <c r="AQ44" s="1368">
        <v>85</v>
      </c>
      <c r="AR44" s="2289">
        <v>85</v>
      </c>
      <c r="AS44" s="1368">
        <v>68</v>
      </c>
      <c r="AT44" s="2353">
        <v>87</v>
      </c>
      <c r="AU44" s="1274"/>
      <c r="AV44" s="1923">
        <f t="shared" si="36"/>
        <v>0.31578947368421051</v>
      </c>
      <c r="AW44" s="1924">
        <f t="shared" si="37"/>
        <v>0.2551440329218107</v>
      </c>
      <c r="AX44" s="1924">
        <f t="shared" si="38"/>
        <v>0.27555555555555555</v>
      </c>
      <c r="AY44" s="1924">
        <f t="shared" si="39"/>
        <v>0.28455284552845528</v>
      </c>
      <c r="AZ44" s="1924">
        <f t="shared" si="40"/>
        <v>0.29795918367346941</v>
      </c>
      <c r="BA44" s="1924">
        <f t="shared" si="41"/>
        <v>0.31349206349206349</v>
      </c>
      <c r="BB44" s="1924">
        <f t="shared" si="42"/>
        <v>0.28897338403041822</v>
      </c>
      <c r="BC44" s="1924">
        <f t="shared" si="43"/>
        <v>0.31851851851851853</v>
      </c>
      <c r="BD44" s="1924">
        <f t="shared" si="44"/>
        <v>0.32974910394265233</v>
      </c>
      <c r="BE44" s="1924">
        <f t="shared" si="45"/>
        <v>0.27536231884057971</v>
      </c>
      <c r="BF44" s="1924">
        <f t="shared" si="46"/>
        <v>0.3510204081632653</v>
      </c>
      <c r="BG44" s="1924">
        <f t="shared" si="47"/>
        <v>0.3543307086614173</v>
      </c>
      <c r="BH44" s="1924">
        <f t="shared" si="48"/>
        <v>0.2831858407079646</v>
      </c>
      <c r="BI44" s="1924">
        <f t="shared" si="49"/>
        <v>0.35682819383259912</v>
      </c>
      <c r="BJ44" s="1925">
        <f t="shared" si="50"/>
        <v>0.36864406779661019</v>
      </c>
      <c r="BK44" s="1926">
        <f>'Non-marital births'!L45</f>
        <v>0.435</v>
      </c>
      <c r="BL44" s="1927">
        <v>0.38181818181818183</v>
      </c>
      <c r="BM44" s="1928">
        <f t="shared" si="51"/>
        <v>0.42079207920792078</v>
      </c>
      <c r="BN44" s="2348">
        <f t="shared" si="52"/>
        <v>0.37610619469026546</v>
      </c>
      <c r="BO44" s="2348">
        <f t="shared" si="35"/>
        <v>0.29310344827586204</v>
      </c>
      <c r="BP44" s="2343">
        <f t="shared" si="35"/>
        <v>0.435</v>
      </c>
    </row>
    <row r="45" spans="1:68" s="142" customFormat="1" ht="13.5" customHeight="1" x14ac:dyDescent="0.3">
      <c r="A45" s="149" t="s">
        <v>102</v>
      </c>
      <c r="B45" s="185" t="s">
        <v>270</v>
      </c>
      <c r="C45" s="150" t="s">
        <v>252</v>
      </c>
      <c r="D45" s="938">
        <v>168</v>
      </c>
      <c r="E45" s="939">
        <v>172</v>
      </c>
      <c r="F45" s="940">
        <v>191</v>
      </c>
      <c r="G45" s="939">
        <v>193</v>
      </c>
      <c r="H45" s="940">
        <v>204</v>
      </c>
      <c r="I45" s="939">
        <v>188</v>
      </c>
      <c r="J45" s="940">
        <v>187</v>
      </c>
      <c r="K45" s="939">
        <v>193</v>
      </c>
      <c r="L45" s="953">
        <v>208</v>
      </c>
      <c r="M45" s="953">
        <v>200</v>
      </c>
      <c r="N45" s="953">
        <v>215</v>
      </c>
      <c r="O45" s="953">
        <v>165</v>
      </c>
      <c r="P45" s="954">
        <v>179</v>
      </c>
      <c r="Q45" s="954">
        <v>180</v>
      </c>
      <c r="R45" s="1107">
        <v>162</v>
      </c>
      <c r="S45" s="1367">
        <v>178</v>
      </c>
      <c r="T45" s="1908">
        <v>177</v>
      </c>
      <c r="U45" s="1908">
        <v>177</v>
      </c>
      <c r="V45" s="2291">
        <v>181</v>
      </c>
      <c r="W45" s="1367">
        <v>164</v>
      </c>
      <c r="X45" s="2351">
        <v>184</v>
      </c>
      <c r="Y45" s="1273"/>
      <c r="Z45" s="961">
        <v>92</v>
      </c>
      <c r="AA45" s="962">
        <v>100</v>
      </c>
      <c r="AB45" s="962">
        <v>110</v>
      </c>
      <c r="AC45" s="962">
        <v>117</v>
      </c>
      <c r="AD45" s="962">
        <v>124</v>
      </c>
      <c r="AE45" s="962">
        <v>101</v>
      </c>
      <c r="AF45" s="962">
        <v>111</v>
      </c>
      <c r="AG45" s="962">
        <v>125</v>
      </c>
      <c r="AH45" s="962">
        <v>134</v>
      </c>
      <c r="AI45" s="962">
        <v>135</v>
      </c>
      <c r="AJ45" s="962">
        <v>154</v>
      </c>
      <c r="AK45" s="962">
        <v>114</v>
      </c>
      <c r="AL45" s="962">
        <v>121</v>
      </c>
      <c r="AM45" s="962">
        <v>130</v>
      </c>
      <c r="AN45" s="1110">
        <v>116</v>
      </c>
      <c r="AO45" s="1368">
        <v>127</v>
      </c>
      <c r="AP45" s="1369">
        <v>128</v>
      </c>
      <c r="AQ45" s="1368">
        <v>126</v>
      </c>
      <c r="AR45" s="2289">
        <v>116</v>
      </c>
      <c r="AS45" s="1368">
        <v>118</v>
      </c>
      <c r="AT45" s="2353">
        <v>107</v>
      </c>
      <c r="AU45" s="1274"/>
      <c r="AV45" s="1923">
        <f t="shared" si="36"/>
        <v>0.54761904761904767</v>
      </c>
      <c r="AW45" s="1924">
        <f t="shared" si="37"/>
        <v>0.58139534883720934</v>
      </c>
      <c r="AX45" s="1924">
        <f t="shared" si="38"/>
        <v>0.5759162303664922</v>
      </c>
      <c r="AY45" s="1924">
        <f t="shared" si="39"/>
        <v>0.60621761658031093</v>
      </c>
      <c r="AZ45" s="1924">
        <f t="shared" si="40"/>
        <v>0.60784313725490191</v>
      </c>
      <c r="BA45" s="1924">
        <f t="shared" si="41"/>
        <v>0.53723404255319152</v>
      </c>
      <c r="BB45" s="1924">
        <f t="shared" si="42"/>
        <v>0.5935828877005348</v>
      </c>
      <c r="BC45" s="1924">
        <f t="shared" si="43"/>
        <v>0.64766839378238339</v>
      </c>
      <c r="BD45" s="1924">
        <f t="shared" si="44"/>
        <v>0.64423076923076927</v>
      </c>
      <c r="BE45" s="1924">
        <f t="shared" si="45"/>
        <v>0.67500000000000004</v>
      </c>
      <c r="BF45" s="1924">
        <f t="shared" si="46"/>
        <v>0.71627906976744182</v>
      </c>
      <c r="BG45" s="1924">
        <f t="shared" si="47"/>
        <v>0.69090909090909092</v>
      </c>
      <c r="BH45" s="1924">
        <f t="shared" si="48"/>
        <v>0.67597765363128492</v>
      </c>
      <c r="BI45" s="1924">
        <f t="shared" si="49"/>
        <v>0.72222222222222221</v>
      </c>
      <c r="BJ45" s="1925">
        <f t="shared" si="50"/>
        <v>0.71604938271604934</v>
      </c>
      <c r="BK45" s="1926">
        <f>'Non-marital births'!L46</f>
        <v>0.58152173913043481</v>
      </c>
      <c r="BL45" s="1927">
        <v>0.7231638418079096</v>
      </c>
      <c r="BM45" s="1928">
        <f t="shared" si="51"/>
        <v>0.71186440677966101</v>
      </c>
      <c r="BN45" s="2348">
        <f t="shared" si="52"/>
        <v>0.64088397790055252</v>
      </c>
      <c r="BO45" s="2348">
        <f t="shared" si="35"/>
        <v>0.71951219512195119</v>
      </c>
      <c r="BP45" s="2343">
        <f t="shared" si="35"/>
        <v>0.58152173913043481</v>
      </c>
    </row>
    <row r="46" spans="1:68" s="142" customFormat="1" ht="13.5" customHeight="1" x14ac:dyDescent="0.3">
      <c r="A46" s="149" t="s">
        <v>104</v>
      </c>
      <c r="B46" s="185" t="s">
        <v>105</v>
      </c>
      <c r="C46" s="150" t="s">
        <v>253</v>
      </c>
      <c r="D46" s="938">
        <v>440</v>
      </c>
      <c r="E46" s="939">
        <v>445</v>
      </c>
      <c r="F46" s="940">
        <v>473</v>
      </c>
      <c r="G46" s="939">
        <v>422</v>
      </c>
      <c r="H46" s="940">
        <v>421</v>
      </c>
      <c r="I46" s="939">
        <v>439</v>
      </c>
      <c r="J46" s="940">
        <v>394</v>
      </c>
      <c r="K46" s="939">
        <v>401</v>
      </c>
      <c r="L46" s="953">
        <v>399</v>
      </c>
      <c r="M46" s="953">
        <v>419</v>
      </c>
      <c r="N46" s="953">
        <v>387</v>
      </c>
      <c r="O46" s="953">
        <v>388</v>
      </c>
      <c r="P46" s="954">
        <v>365</v>
      </c>
      <c r="Q46" s="954">
        <v>316</v>
      </c>
      <c r="R46" s="1107">
        <v>341</v>
      </c>
      <c r="S46" s="1367">
        <v>369</v>
      </c>
      <c r="T46" s="1908">
        <v>360</v>
      </c>
      <c r="U46" s="1908">
        <v>397</v>
      </c>
      <c r="V46" s="2291">
        <v>371</v>
      </c>
      <c r="W46" s="1367">
        <v>373</v>
      </c>
      <c r="X46" s="2351">
        <v>344</v>
      </c>
      <c r="Y46" s="1273"/>
      <c r="Z46" s="961">
        <v>187</v>
      </c>
      <c r="AA46" s="962">
        <v>203</v>
      </c>
      <c r="AB46" s="962">
        <v>204</v>
      </c>
      <c r="AC46" s="962">
        <v>179</v>
      </c>
      <c r="AD46" s="962">
        <v>183</v>
      </c>
      <c r="AE46" s="962">
        <v>185</v>
      </c>
      <c r="AF46" s="962">
        <v>196</v>
      </c>
      <c r="AG46" s="962">
        <v>177</v>
      </c>
      <c r="AH46" s="962">
        <v>186</v>
      </c>
      <c r="AI46" s="962">
        <v>217</v>
      </c>
      <c r="AJ46" s="962">
        <v>194</v>
      </c>
      <c r="AK46" s="962">
        <v>188</v>
      </c>
      <c r="AL46" s="962">
        <v>185</v>
      </c>
      <c r="AM46" s="962">
        <v>157</v>
      </c>
      <c r="AN46" s="1110">
        <v>173</v>
      </c>
      <c r="AO46" s="1368">
        <v>197</v>
      </c>
      <c r="AP46" s="1369">
        <v>190</v>
      </c>
      <c r="AQ46" s="1368">
        <v>197</v>
      </c>
      <c r="AR46" s="2289">
        <v>189</v>
      </c>
      <c r="AS46" s="1368">
        <v>192</v>
      </c>
      <c r="AT46" s="2353">
        <v>191</v>
      </c>
      <c r="AU46" s="1274"/>
      <c r="AV46" s="1923">
        <f t="shared" si="36"/>
        <v>0.42499999999999999</v>
      </c>
      <c r="AW46" s="1924">
        <f t="shared" si="37"/>
        <v>0.45617977528089887</v>
      </c>
      <c r="AX46" s="1924">
        <f t="shared" si="38"/>
        <v>0.43128964059196617</v>
      </c>
      <c r="AY46" s="1924">
        <f t="shared" si="39"/>
        <v>0.42417061611374407</v>
      </c>
      <c r="AZ46" s="1924">
        <f t="shared" si="40"/>
        <v>0.43467933491686461</v>
      </c>
      <c r="BA46" s="1924">
        <f t="shared" si="41"/>
        <v>0.42141230068337132</v>
      </c>
      <c r="BB46" s="1924">
        <f t="shared" si="42"/>
        <v>0.49746192893401014</v>
      </c>
      <c r="BC46" s="1924">
        <f t="shared" si="43"/>
        <v>0.44139650872817954</v>
      </c>
      <c r="BD46" s="1924">
        <f t="shared" si="44"/>
        <v>0.46616541353383456</v>
      </c>
      <c r="BE46" s="1924">
        <f t="shared" si="45"/>
        <v>0.5178997613365155</v>
      </c>
      <c r="BF46" s="1924">
        <f t="shared" si="46"/>
        <v>0.50129198966408273</v>
      </c>
      <c r="BG46" s="1924">
        <f t="shared" si="47"/>
        <v>0.4845360824742268</v>
      </c>
      <c r="BH46" s="1924">
        <f t="shared" si="48"/>
        <v>0.50684931506849318</v>
      </c>
      <c r="BI46" s="1924">
        <f t="shared" si="49"/>
        <v>0.49683544303797467</v>
      </c>
      <c r="BJ46" s="1925">
        <f t="shared" si="50"/>
        <v>0.50733137829912023</v>
      </c>
      <c r="BK46" s="1926">
        <f>'Non-marital births'!L47</f>
        <v>0.55523255813953487</v>
      </c>
      <c r="BL46" s="1927">
        <v>0.52777777777777779</v>
      </c>
      <c r="BM46" s="1928">
        <f t="shared" si="51"/>
        <v>0.49622166246851385</v>
      </c>
      <c r="BN46" s="2348">
        <f t="shared" si="52"/>
        <v>0.50943396226415094</v>
      </c>
      <c r="BO46" s="2348">
        <f t="shared" si="35"/>
        <v>0.51474530831099197</v>
      </c>
      <c r="BP46" s="2343">
        <f t="shared" si="35"/>
        <v>0.55523255813953487</v>
      </c>
    </row>
    <row r="47" spans="1:68" s="142" customFormat="1" ht="13.5" customHeight="1" x14ac:dyDescent="0.3">
      <c r="A47" s="149" t="s">
        <v>108</v>
      </c>
      <c r="B47" s="185" t="s">
        <v>109</v>
      </c>
      <c r="C47" s="150" t="s">
        <v>254</v>
      </c>
      <c r="D47" s="938">
        <v>1004</v>
      </c>
      <c r="E47" s="939">
        <v>1123</v>
      </c>
      <c r="F47" s="940">
        <v>1060</v>
      </c>
      <c r="G47" s="939">
        <v>1091</v>
      </c>
      <c r="H47" s="940">
        <v>1069</v>
      </c>
      <c r="I47" s="939">
        <v>1063</v>
      </c>
      <c r="J47" s="940">
        <v>1131</v>
      </c>
      <c r="K47" s="939">
        <v>1049</v>
      </c>
      <c r="L47" s="953">
        <v>1100</v>
      </c>
      <c r="M47" s="953">
        <v>1004</v>
      </c>
      <c r="N47" s="953">
        <v>1032</v>
      </c>
      <c r="O47" s="953">
        <v>970</v>
      </c>
      <c r="P47" s="954">
        <v>918</v>
      </c>
      <c r="Q47" s="954">
        <v>877</v>
      </c>
      <c r="R47" s="1107">
        <v>861</v>
      </c>
      <c r="S47" s="1367">
        <v>875</v>
      </c>
      <c r="T47" s="1908">
        <v>936</v>
      </c>
      <c r="U47" s="1908">
        <v>966</v>
      </c>
      <c r="V47" s="2291">
        <v>942</v>
      </c>
      <c r="W47" s="1367">
        <v>941</v>
      </c>
      <c r="X47" s="2351">
        <v>951</v>
      </c>
      <c r="Y47" s="1273"/>
      <c r="Z47" s="961">
        <v>155</v>
      </c>
      <c r="AA47" s="962">
        <v>161</v>
      </c>
      <c r="AB47" s="962">
        <v>166</v>
      </c>
      <c r="AC47" s="962">
        <v>164</v>
      </c>
      <c r="AD47" s="962">
        <v>179</v>
      </c>
      <c r="AE47" s="962">
        <v>172</v>
      </c>
      <c r="AF47" s="962">
        <v>191</v>
      </c>
      <c r="AG47" s="962">
        <v>207</v>
      </c>
      <c r="AH47" s="962">
        <v>222</v>
      </c>
      <c r="AI47" s="962">
        <v>227</v>
      </c>
      <c r="AJ47" s="962">
        <v>248</v>
      </c>
      <c r="AK47" s="962">
        <v>270</v>
      </c>
      <c r="AL47" s="962">
        <v>262</v>
      </c>
      <c r="AM47" s="962">
        <v>237</v>
      </c>
      <c r="AN47" s="1110">
        <v>228</v>
      </c>
      <c r="AO47" s="1368">
        <v>241</v>
      </c>
      <c r="AP47" s="1369">
        <v>249</v>
      </c>
      <c r="AQ47" s="1368">
        <v>266</v>
      </c>
      <c r="AR47" s="2289">
        <v>210</v>
      </c>
      <c r="AS47" s="1368">
        <v>253</v>
      </c>
      <c r="AT47" s="2353">
        <v>232</v>
      </c>
      <c r="AU47" s="1274"/>
      <c r="AV47" s="1923">
        <f t="shared" si="36"/>
        <v>0.15438247011952191</v>
      </c>
      <c r="AW47" s="1924">
        <f t="shared" si="37"/>
        <v>0.14336598397150491</v>
      </c>
      <c r="AX47" s="1924">
        <f t="shared" si="38"/>
        <v>0.15660377358490565</v>
      </c>
      <c r="AY47" s="1924">
        <f t="shared" si="39"/>
        <v>0.15032080659945005</v>
      </c>
      <c r="AZ47" s="1924">
        <f t="shared" si="40"/>
        <v>0.16744621141253507</v>
      </c>
      <c r="BA47" s="1924">
        <f t="shared" si="41"/>
        <v>0.16180620884289745</v>
      </c>
      <c r="BB47" s="1924">
        <f t="shared" si="42"/>
        <v>0.16887709991158267</v>
      </c>
      <c r="BC47" s="1924">
        <f t="shared" si="43"/>
        <v>0.19733079122974262</v>
      </c>
      <c r="BD47" s="1924">
        <f t="shared" si="44"/>
        <v>0.20181818181818181</v>
      </c>
      <c r="BE47" s="1924">
        <f t="shared" si="45"/>
        <v>0.22609561752988047</v>
      </c>
      <c r="BF47" s="1924">
        <f t="shared" si="46"/>
        <v>0.24031007751937986</v>
      </c>
      <c r="BG47" s="1924">
        <f t="shared" si="47"/>
        <v>0.27835051546391754</v>
      </c>
      <c r="BH47" s="1924">
        <f t="shared" si="48"/>
        <v>0.28540305010893247</v>
      </c>
      <c r="BI47" s="1924">
        <f t="shared" si="49"/>
        <v>0.27023945267958949</v>
      </c>
      <c r="BJ47" s="1925">
        <f t="shared" si="50"/>
        <v>0.26480836236933797</v>
      </c>
      <c r="BK47" s="1926">
        <f>'Non-marital births'!L48</f>
        <v>0.24395373291272346</v>
      </c>
      <c r="BL47" s="1927">
        <v>0.26602564102564102</v>
      </c>
      <c r="BM47" s="1928">
        <f t="shared" si="51"/>
        <v>0.27536231884057971</v>
      </c>
      <c r="BN47" s="2348">
        <f t="shared" si="52"/>
        <v>0.22292993630573249</v>
      </c>
      <c r="BO47" s="2348">
        <f t="shared" si="35"/>
        <v>0.26886291179596172</v>
      </c>
      <c r="BP47" s="2343">
        <f t="shared" si="35"/>
        <v>0.24395373291272346</v>
      </c>
    </row>
    <row r="48" spans="1:68" s="142" customFormat="1" ht="13.5" customHeight="1" x14ac:dyDescent="0.3">
      <c r="A48" s="149" t="s">
        <v>110</v>
      </c>
      <c r="B48" s="185" t="s">
        <v>111</v>
      </c>
      <c r="C48" s="150" t="s">
        <v>254</v>
      </c>
      <c r="D48" s="938">
        <v>3545</v>
      </c>
      <c r="E48" s="939">
        <v>3634</v>
      </c>
      <c r="F48" s="940">
        <v>3700</v>
      </c>
      <c r="G48" s="939">
        <v>3574</v>
      </c>
      <c r="H48" s="940">
        <v>3703</v>
      </c>
      <c r="I48" s="939">
        <v>3728</v>
      </c>
      <c r="J48" s="940">
        <v>3951</v>
      </c>
      <c r="K48" s="939">
        <v>4098</v>
      </c>
      <c r="L48" s="953">
        <v>4136</v>
      </c>
      <c r="M48" s="953">
        <v>4098</v>
      </c>
      <c r="N48" s="953">
        <v>3991</v>
      </c>
      <c r="O48" s="953">
        <v>4086</v>
      </c>
      <c r="P48" s="954">
        <v>3890</v>
      </c>
      <c r="Q48" s="954">
        <v>3939</v>
      </c>
      <c r="R48" s="1107">
        <v>3969</v>
      </c>
      <c r="S48" s="1367">
        <v>3900</v>
      </c>
      <c r="T48" s="1908">
        <v>4061</v>
      </c>
      <c r="U48" s="1908">
        <v>3993</v>
      </c>
      <c r="V48" s="2291">
        <v>3935</v>
      </c>
      <c r="W48" s="1367">
        <v>3874</v>
      </c>
      <c r="X48" s="2351">
        <v>3908</v>
      </c>
      <c r="Y48" s="1273"/>
      <c r="Z48" s="961">
        <v>1027</v>
      </c>
      <c r="AA48" s="962">
        <v>953</v>
      </c>
      <c r="AB48" s="962">
        <v>1023</v>
      </c>
      <c r="AC48" s="962">
        <v>956</v>
      </c>
      <c r="AD48" s="962">
        <v>1035</v>
      </c>
      <c r="AE48" s="962">
        <v>1120</v>
      </c>
      <c r="AF48" s="962">
        <v>1194</v>
      </c>
      <c r="AG48" s="962">
        <v>1321</v>
      </c>
      <c r="AH48" s="962">
        <v>1374</v>
      </c>
      <c r="AI48" s="962">
        <v>1378</v>
      </c>
      <c r="AJ48" s="962">
        <v>1482</v>
      </c>
      <c r="AK48" s="962">
        <v>1456</v>
      </c>
      <c r="AL48" s="962">
        <v>1358</v>
      </c>
      <c r="AM48" s="962">
        <v>1354</v>
      </c>
      <c r="AN48" s="1110">
        <v>1389</v>
      </c>
      <c r="AO48" s="1368">
        <v>1320</v>
      </c>
      <c r="AP48" s="1369">
        <v>1394</v>
      </c>
      <c r="AQ48" s="1368">
        <v>1278</v>
      </c>
      <c r="AR48" s="2289">
        <v>1412</v>
      </c>
      <c r="AS48" s="1368">
        <v>1241</v>
      </c>
      <c r="AT48" s="2353">
        <v>1320</v>
      </c>
      <c r="AU48" s="1274"/>
      <c r="AV48" s="1923">
        <f t="shared" si="36"/>
        <v>0.28970380818053598</v>
      </c>
      <c r="AW48" s="1924">
        <f t="shared" si="37"/>
        <v>0.26224545954870665</v>
      </c>
      <c r="AX48" s="1924">
        <f t="shared" si="38"/>
        <v>0.27648648648648649</v>
      </c>
      <c r="AY48" s="1924">
        <f t="shared" si="39"/>
        <v>0.26748740906547286</v>
      </c>
      <c r="AZ48" s="1924">
        <f t="shared" si="40"/>
        <v>0.27950310559006208</v>
      </c>
      <c r="BA48" s="1924">
        <f t="shared" si="41"/>
        <v>0.30042918454935624</v>
      </c>
      <c r="BB48" s="1924">
        <f t="shared" si="42"/>
        <v>0.30220197418375094</v>
      </c>
      <c r="BC48" s="1924">
        <f t="shared" si="43"/>
        <v>0.32235236700829673</v>
      </c>
      <c r="BD48" s="1924">
        <f t="shared" si="44"/>
        <v>0.33220502901353965</v>
      </c>
      <c r="BE48" s="1924">
        <f t="shared" si="45"/>
        <v>0.33626159102000974</v>
      </c>
      <c r="BF48" s="1924">
        <f t="shared" si="46"/>
        <v>0.37133550488599348</v>
      </c>
      <c r="BG48" s="1924">
        <f t="shared" si="47"/>
        <v>0.35633871757219776</v>
      </c>
      <c r="BH48" s="1924">
        <f t="shared" si="48"/>
        <v>0.34910025706940873</v>
      </c>
      <c r="BI48" s="1924">
        <f t="shared" si="49"/>
        <v>0.34374206651434375</v>
      </c>
      <c r="BJ48" s="1925">
        <f t="shared" si="50"/>
        <v>0.34996220710506426</v>
      </c>
      <c r="BK48" s="1926">
        <f>'Non-marital births'!L49</f>
        <v>0.33776867963152507</v>
      </c>
      <c r="BL48" s="1927">
        <v>0.34326520561438068</v>
      </c>
      <c r="BM48" s="1928">
        <f t="shared" si="51"/>
        <v>0.32006010518407213</v>
      </c>
      <c r="BN48" s="2348">
        <f t="shared" si="52"/>
        <v>0.3588310038119441</v>
      </c>
      <c r="BO48" s="2348">
        <f t="shared" si="35"/>
        <v>0.32034073309241096</v>
      </c>
      <c r="BP48" s="2343">
        <f t="shared" si="35"/>
        <v>0.33776867963152507</v>
      </c>
    </row>
    <row r="49" spans="1:68" s="142" customFormat="1" ht="13.5" customHeight="1" x14ac:dyDescent="0.3">
      <c r="A49" s="149" t="s">
        <v>112</v>
      </c>
      <c r="B49" s="185" t="s">
        <v>288</v>
      </c>
      <c r="C49" s="150" t="s">
        <v>253</v>
      </c>
      <c r="D49" s="938">
        <v>784</v>
      </c>
      <c r="E49" s="939">
        <v>827</v>
      </c>
      <c r="F49" s="940">
        <v>871</v>
      </c>
      <c r="G49" s="939">
        <v>816</v>
      </c>
      <c r="H49" s="940">
        <v>791</v>
      </c>
      <c r="I49" s="939">
        <v>759</v>
      </c>
      <c r="J49" s="940">
        <v>760</v>
      </c>
      <c r="K49" s="939">
        <v>777</v>
      </c>
      <c r="L49" s="953">
        <v>842</v>
      </c>
      <c r="M49" s="953">
        <v>840</v>
      </c>
      <c r="N49" s="953">
        <v>816</v>
      </c>
      <c r="O49" s="953">
        <v>762</v>
      </c>
      <c r="P49" s="954">
        <v>732</v>
      </c>
      <c r="Q49" s="954">
        <v>750</v>
      </c>
      <c r="R49" s="1107">
        <v>683</v>
      </c>
      <c r="S49" s="1367">
        <v>704</v>
      </c>
      <c r="T49" s="1908">
        <v>616</v>
      </c>
      <c r="U49" s="1908">
        <v>695</v>
      </c>
      <c r="V49" s="2291">
        <v>663</v>
      </c>
      <c r="W49" s="1367">
        <v>598</v>
      </c>
      <c r="X49" s="2351">
        <v>603</v>
      </c>
      <c r="Y49" s="1273"/>
      <c r="Z49" s="961">
        <v>315</v>
      </c>
      <c r="AA49" s="962">
        <v>340</v>
      </c>
      <c r="AB49" s="962">
        <v>356</v>
      </c>
      <c r="AC49" s="962">
        <v>346</v>
      </c>
      <c r="AD49" s="962">
        <v>349</v>
      </c>
      <c r="AE49" s="962">
        <v>369</v>
      </c>
      <c r="AF49" s="962">
        <v>400</v>
      </c>
      <c r="AG49" s="962">
        <v>408</v>
      </c>
      <c r="AH49" s="962">
        <v>460</v>
      </c>
      <c r="AI49" s="962">
        <v>456</v>
      </c>
      <c r="AJ49" s="962">
        <v>439</v>
      </c>
      <c r="AK49" s="962">
        <v>433</v>
      </c>
      <c r="AL49" s="962">
        <v>423</v>
      </c>
      <c r="AM49" s="962">
        <v>429</v>
      </c>
      <c r="AN49" s="1110">
        <v>374</v>
      </c>
      <c r="AO49" s="1368">
        <v>400</v>
      </c>
      <c r="AP49" s="1369">
        <v>351</v>
      </c>
      <c r="AQ49" s="1368">
        <v>393</v>
      </c>
      <c r="AR49" s="2289">
        <v>342</v>
      </c>
      <c r="AS49" s="1368">
        <v>351</v>
      </c>
      <c r="AT49" s="2353">
        <v>258</v>
      </c>
      <c r="AU49" s="1274"/>
      <c r="AV49" s="1923">
        <f t="shared" si="36"/>
        <v>0.4017857142857143</v>
      </c>
      <c r="AW49" s="1924">
        <f t="shared" si="37"/>
        <v>0.41112454655380892</v>
      </c>
      <c r="AX49" s="1924">
        <f t="shared" si="38"/>
        <v>0.4087256027554535</v>
      </c>
      <c r="AY49" s="1924">
        <f t="shared" si="39"/>
        <v>0.42401960784313725</v>
      </c>
      <c r="AZ49" s="1924">
        <f t="shared" si="40"/>
        <v>0.44121365360303416</v>
      </c>
      <c r="BA49" s="1924">
        <f t="shared" si="41"/>
        <v>0.48616600790513836</v>
      </c>
      <c r="BB49" s="1924">
        <f t="shared" si="42"/>
        <v>0.52631578947368418</v>
      </c>
      <c r="BC49" s="1924">
        <f t="shared" si="43"/>
        <v>0.52509652509652505</v>
      </c>
      <c r="BD49" s="1924">
        <f t="shared" si="44"/>
        <v>0.54631828978622332</v>
      </c>
      <c r="BE49" s="1924">
        <f t="shared" si="45"/>
        <v>0.54285714285714282</v>
      </c>
      <c r="BF49" s="1924">
        <f t="shared" si="46"/>
        <v>0.53799019607843135</v>
      </c>
      <c r="BG49" s="1924">
        <f t="shared" si="47"/>
        <v>0.56824146981627299</v>
      </c>
      <c r="BH49" s="1924">
        <f t="shared" si="48"/>
        <v>0.57786885245901642</v>
      </c>
      <c r="BI49" s="1924">
        <f t="shared" si="49"/>
        <v>0.57199999999999995</v>
      </c>
      <c r="BJ49" s="1925">
        <f t="shared" si="50"/>
        <v>0.54758418740849191</v>
      </c>
      <c r="BK49" s="1926">
        <f>'Non-marital births'!L50</f>
        <v>0.42786069651741293</v>
      </c>
      <c r="BL49" s="1927">
        <v>0.56980519480519476</v>
      </c>
      <c r="BM49" s="1928">
        <f t="shared" si="51"/>
        <v>0.56546762589928057</v>
      </c>
      <c r="BN49" s="2348">
        <f t="shared" si="52"/>
        <v>0.51583710407239824</v>
      </c>
      <c r="BO49" s="2348">
        <f t="shared" si="35"/>
        <v>0.58695652173913049</v>
      </c>
      <c r="BP49" s="2343">
        <f t="shared" si="35"/>
        <v>0.42786069651741293</v>
      </c>
    </row>
    <row r="50" spans="1:68" s="142" customFormat="1" ht="13.5" customHeight="1" x14ac:dyDescent="0.3">
      <c r="A50" s="149" t="s">
        <v>114</v>
      </c>
      <c r="B50" s="185" t="s">
        <v>115</v>
      </c>
      <c r="C50" s="150" t="s">
        <v>253</v>
      </c>
      <c r="D50" s="938">
        <v>11</v>
      </c>
      <c r="E50" s="939">
        <v>19</v>
      </c>
      <c r="F50" s="940">
        <v>14</v>
      </c>
      <c r="G50" s="939">
        <v>20</v>
      </c>
      <c r="H50" s="940">
        <v>16</v>
      </c>
      <c r="I50" s="939">
        <v>12</v>
      </c>
      <c r="J50" s="940">
        <v>14</v>
      </c>
      <c r="K50" s="939">
        <v>14</v>
      </c>
      <c r="L50" s="953">
        <v>9</v>
      </c>
      <c r="M50" s="953">
        <v>20</v>
      </c>
      <c r="N50" s="953">
        <v>14</v>
      </c>
      <c r="O50" s="953">
        <v>14</v>
      </c>
      <c r="P50" s="954">
        <v>16</v>
      </c>
      <c r="Q50" s="954">
        <v>14</v>
      </c>
      <c r="R50" s="1107">
        <v>12</v>
      </c>
      <c r="S50" s="1367">
        <v>17</v>
      </c>
      <c r="T50" s="1908">
        <v>15</v>
      </c>
      <c r="U50" s="1908">
        <v>18</v>
      </c>
      <c r="V50" s="2291">
        <v>20</v>
      </c>
      <c r="W50" s="1367">
        <v>18</v>
      </c>
      <c r="X50" s="2351">
        <v>13</v>
      </c>
      <c r="Y50" s="1273"/>
      <c r="Z50" s="961">
        <v>2</v>
      </c>
      <c r="AA50" s="962">
        <v>2</v>
      </c>
      <c r="AB50" s="962">
        <v>3</v>
      </c>
      <c r="AC50" s="962">
        <v>6</v>
      </c>
      <c r="AD50" s="962">
        <v>3</v>
      </c>
      <c r="AE50" s="962">
        <v>3</v>
      </c>
      <c r="AF50" s="962">
        <v>5</v>
      </c>
      <c r="AG50" s="962">
        <v>2</v>
      </c>
      <c r="AH50" s="962">
        <v>3</v>
      </c>
      <c r="AI50" s="962">
        <v>5</v>
      </c>
      <c r="AJ50" s="962">
        <v>2</v>
      </c>
      <c r="AK50" s="962">
        <v>2</v>
      </c>
      <c r="AL50" s="962">
        <v>2</v>
      </c>
      <c r="AM50" s="962">
        <v>2</v>
      </c>
      <c r="AN50" s="1110">
        <v>0</v>
      </c>
      <c r="AO50" s="1368">
        <v>4</v>
      </c>
      <c r="AP50" s="1369">
        <v>0</v>
      </c>
      <c r="AQ50" s="1368">
        <v>3</v>
      </c>
      <c r="AR50" s="2289">
        <v>3</v>
      </c>
      <c r="AS50" s="1368">
        <v>5</v>
      </c>
      <c r="AT50" s="2353">
        <v>3</v>
      </c>
      <c r="AU50" s="1274"/>
      <c r="AV50" s="1923">
        <f t="shared" si="36"/>
        <v>0.18181818181818182</v>
      </c>
      <c r="AW50" s="1924">
        <f t="shared" si="37"/>
        <v>0.10526315789473684</v>
      </c>
      <c r="AX50" s="1924">
        <f t="shared" si="38"/>
        <v>0.21428571428571427</v>
      </c>
      <c r="AY50" s="1924">
        <f t="shared" si="39"/>
        <v>0.3</v>
      </c>
      <c r="AZ50" s="1924">
        <f t="shared" si="40"/>
        <v>0.1875</v>
      </c>
      <c r="BA50" s="1924">
        <f t="shared" si="41"/>
        <v>0.25</v>
      </c>
      <c r="BB50" s="1924">
        <f t="shared" si="42"/>
        <v>0.35714285714285715</v>
      </c>
      <c r="BC50" s="1924">
        <f t="shared" si="43"/>
        <v>0.14285714285714285</v>
      </c>
      <c r="BD50" s="1924">
        <f t="shared" si="44"/>
        <v>0.33333333333333331</v>
      </c>
      <c r="BE50" s="1924">
        <f t="shared" si="45"/>
        <v>0.25</v>
      </c>
      <c r="BF50" s="1924">
        <f t="shared" si="46"/>
        <v>0.14285714285714285</v>
      </c>
      <c r="BG50" s="1924">
        <f t="shared" si="47"/>
        <v>0.14285714285714285</v>
      </c>
      <c r="BH50" s="1924">
        <f t="shared" si="48"/>
        <v>0.125</v>
      </c>
      <c r="BI50" s="1924">
        <f t="shared" si="49"/>
        <v>0.14285714285714285</v>
      </c>
      <c r="BJ50" s="1925">
        <f t="shared" si="50"/>
        <v>0</v>
      </c>
      <c r="BK50" s="1926">
        <f>'Non-marital births'!L51</f>
        <v>0.23076923076923078</v>
      </c>
      <c r="BL50" s="1927">
        <v>0</v>
      </c>
      <c r="BM50" s="1928">
        <f t="shared" si="51"/>
        <v>0.16666666666666666</v>
      </c>
      <c r="BN50" s="2348">
        <f t="shared" si="52"/>
        <v>0.15</v>
      </c>
      <c r="BO50" s="2348">
        <f t="shared" si="35"/>
        <v>0.27777777777777779</v>
      </c>
      <c r="BP50" s="2343">
        <f t="shared" si="35"/>
        <v>0.23076923076923078</v>
      </c>
    </row>
    <row r="51" spans="1:68" s="142" customFormat="1" ht="13.5" customHeight="1" x14ac:dyDescent="0.3">
      <c r="A51" s="149" t="s">
        <v>118</v>
      </c>
      <c r="B51" s="185" t="s">
        <v>258</v>
      </c>
      <c r="C51" s="150" t="s">
        <v>252</v>
      </c>
      <c r="D51" s="938">
        <v>358</v>
      </c>
      <c r="E51" s="939">
        <v>336</v>
      </c>
      <c r="F51" s="940">
        <v>364</v>
      </c>
      <c r="G51" s="939">
        <v>338</v>
      </c>
      <c r="H51" s="940">
        <v>358</v>
      </c>
      <c r="I51" s="939">
        <v>322</v>
      </c>
      <c r="J51" s="940">
        <v>355</v>
      </c>
      <c r="K51" s="939">
        <v>347</v>
      </c>
      <c r="L51" s="953">
        <v>390</v>
      </c>
      <c r="M51" s="953">
        <v>355</v>
      </c>
      <c r="N51" s="953">
        <v>384</v>
      </c>
      <c r="O51" s="953">
        <v>370</v>
      </c>
      <c r="P51" s="954">
        <v>340</v>
      </c>
      <c r="Q51" s="954">
        <v>319</v>
      </c>
      <c r="R51" s="1107">
        <v>300</v>
      </c>
      <c r="S51" s="1367">
        <v>314</v>
      </c>
      <c r="T51" s="1908">
        <v>372</v>
      </c>
      <c r="U51" s="1908">
        <v>356</v>
      </c>
      <c r="V51" s="2291">
        <v>380</v>
      </c>
      <c r="W51" s="1367">
        <v>375</v>
      </c>
      <c r="X51" s="2351">
        <v>350</v>
      </c>
      <c r="Y51" s="1273"/>
      <c r="Z51" s="961">
        <v>107</v>
      </c>
      <c r="AA51" s="962">
        <v>124</v>
      </c>
      <c r="AB51" s="962">
        <v>114</v>
      </c>
      <c r="AC51" s="962">
        <v>137</v>
      </c>
      <c r="AD51" s="962">
        <v>128</v>
      </c>
      <c r="AE51" s="962">
        <v>119</v>
      </c>
      <c r="AF51" s="962">
        <v>113</v>
      </c>
      <c r="AG51" s="962">
        <v>127</v>
      </c>
      <c r="AH51" s="962">
        <v>133</v>
      </c>
      <c r="AI51" s="962">
        <v>122</v>
      </c>
      <c r="AJ51" s="962">
        <v>138</v>
      </c>
      <c r="AK51" s="962">
        <v>133</v>
      </c>
      <c r="AL51" s="962">
        <v>120</v>
      </c>
      <c r="AM51" s="962">
        <v>129</v>
      </c>
      <c r="AN51" s="1110">
        <v>107</v>
      </c>
      <c r="AO51" s="1368">
        <v>116</v>
      </c>
      <c r="AP51" s="1369">
        <v>139</v>
      </c>
      <c r="AQ51" s="1368">
        <v>142</v>
      </c>
      <c r="AR51" s="2289">
        <v>137</v>
      </c>
      <c r="AS51" s="1368">
        <v>129</v>
      </c>
      <c r="AT51" s="2353">
        <v>116</v>
      </c>
      <c r="AU51" s="1274"/>
      <c r="AV51" s="1923">
        <f t="shared" si="36"/>
        <v>0.2988826815642458</v>
      </c>
      <c r="AW51" s="1924">
        <f t="shared" si="37"/>
        <v>0.36904761904761907</v>
      </c>
      <c r="AX51" s="1924">
        <f t="shared" si="38"/>
        <v>0.31318681318681318</v>
      </c>
      <c r="AY51" s="1924">
        <f t="shared" si="39"/>
        <v>0.40532544378698226</v>
      </c>
      <c r="AZ51" s="1924">
        <f t="shared" si="40"/>
        <v>0.35754189944134079</v>
      </c>
      <c r="BA51" s="1924">
        <f t="shared" si="41"/>
        <v>0.36956521739130432</v>
      </c>
      <c r="BB51" s="1924">
        <f t="shared" si="42"/>
        <v>0.3183098591549296</v>
      </c>
      <c r="BC51" s="1924">
        <f t="shared" si="43"/>
        <v>0.36599423631123917</v>
      </c>
      <c r="BD51" s="1924">
        <f t="shared" si="44"/>
        <v>0.34102564102564104</v>
      </c>
      <c r="BE51" s="1924">
        <f t="shared" si="45"/>
        <v>0.3436619718309859</v>
      </c>
      <c r="BF51" s="1924">
        <f t="shared" si="46"/>
        <v>0.359375</v>
      </c>
      <c r="BG51" s="1924">
        <f t="shared" si="47"/>
        <v>0.35945945945945945</v>
      </c>
      <c r="BH51" s="1924">
        <f t="shared" si="48"/>
        <v>0.35294117647058826</v>
      </c>
      <c r="BI51" s="1924">
        <f t="shared" si="49"/>
        <v>0.40438871473354232</v>
      </c>
      <c r="BJ51" s="1925">
        <f t="shared" si="50"/>
        <v>0.35666666666666669</v>
      </c>
      <c r="BK51" s="1926">
        <f>'Non-marital births'!L52</f>
        <v>0.33142857142857141</v>
      </c>
      <c r="BL51" s="1927">
        <v>0.37365591397849462</v>
      </c>
      <c r="BM51" s="1928">
        <f t="shared" si="51"/>
        <v>0.398876404494382</v>
      </c>
      <c r="BN51" s="2348">
        <f t="shared" si="52"/>
        <v>0.36052631578947369</v>
      </c>
      <c r="BO51" s="2348">
        <f t="shared" si="35"/>
        <v>0.34399999999999997</v>
      </c>
      <c r="BP51" s="2343">
        <f t="shared" si="35"/>
        <v>0.33142857142857141</v>
      </c>
    </row>
    <row r="52" spans="1:68" s="142" customFormat="1" ht="13.5" customHeight="1" x14ac:dyDescent="0.3">
      <c r="A52" s="149" t="s">
        <v>120</v>
      </c>
      <c r="B52" s="185" t="s">
        <v>121</v>
      </c>
      <c r="C52" s="150" t="s">
        <v>252</v>
      </c>
      <c r="D52" s="938">
        <v>423</v>
      </c>
      <c r="E52" s="939">
        <v>487</v>
      </c>
      <c r="F52" s="940">
        <v>487</v>
      </c>
      <c r="G52" s="939">
        <v>502</v>
      </c>
      <c r="H52" s="940">
        <v>466</v>
      </c>
      <c r="I52" s="939">
        <v>532</v>
      </c>
      <c r="J52" s="940">
        <v>504</v>
      </c>
      <c r="K52" s="939">
        <v>502</v>
      </c>
      <c r="L52" s="953">
        <v>576</v>
      </c>
      <c r="M52" s="953">
        <v>569</v>
      </c>
      <c r="N52" s="953">
        <v>602</v>
      </c>
      <c r="O52" s="953">
        <v>644</v>
      </c>
      <c r="P52" s="954">
        <v>721</v>
      </c>
      <c r="Q52" s="954">
        <v>735</v>
      </c>
      <c r="R52" s="1107">
        <v>691</v>
      </c>
      <c r="S52" s="1367">
        <v>718</v>
      </c>
      <c r="T52" s="1908">
        <v>729</v>
      </c>
      <c r="U52" s="1908">
        <v>701</v>
      </c>
      <c r="V52" s="2291">
        <v>644</v>
      </c>
      <c r="W52" s="1367">
        <v>734</v>
      </c>
      <c r="X52" s="2351">
        <v>679</v>
      </c>
      <c r="Y52" s="1273"/>
      <c r="Z52" s="961">
        <v>119</v>
      </c>
      <c r="AA52" s="962">
        <v>151</v>
      </c>
      <c r="AB52" s="962">
        <v>140</v>
      </c>
      <c r="AC52" s="962">
        <v>118</v>
      </c>
      <c r="AD52" s="962">
        <v>110</v>
      </c>
      <c r="AE52" s="962">
        <v>135</v>
      </c>
      <c r="AF52" s="962">
        <v>134</v>
      </c>
      <c r="AG52" s="962">
        <v>151</v>
      </c>
      <c r="AH52" s="962">
        <v>189</v>
      </c>
      <c r="AI52" s="962">
        <v>186</v>
      </c>
      <c r="AJ52" s="962">
        <v>192</v>
      </c>
      <c r="AK52" s="962">
        <v>217</v>
      </c>
      <c r="AL52" s="962">
        <v>252</v>
      </c>
      <c r="AM52" s="962">
        <v>247</v>
      </c>
      <c r="AN52" s="1110">
        <v>239</v>
      </c>
      <c r="AO52" s="1368">
        <v>216</v>
      </c>
      <c r="AP52" s="1369">
        <v>200</v>
      </c>
      <c r="AQ52" s="1368">
        <v>245</v>
      </c>
      <c r="AR52" s="2289">
        <v>198</v>
      </c>
      <c r="AS52" s="1368">
        <v>239</v>
      </c>
      <c r="AT52" s="2353">
        <v>205</v>
      </c>
      <c r="AU52" s="1274"/>
      <c r="AV52" s="1923">
        <f t="shared" si="36"/>
        <v>0.28132387706855794</v>
      </c>
      <c r="AW52" s="1924">
        <f t="shared" si="37"/>
        <v>0.31006160164271046</v>
      </c>
      <c r="AX52" s="1924">
        <f t="shared" si="38"/>
        <v>0.28747433264887062</v>
      </c>
      <c r="AY52" s="1924">
        <f t="shared" si="39"/>
        <v>0.23505976095617531</v>
      </c>
      <c r="AZ52" s="1924">
        <f t="shared" si="40"/>
        <v>0.23605150214592274</v>
      </c>
      <c r="BA52" s="1924">
        <f t="shared" si="41"/>
        <v>0.25375939849624063</v>
      </c>
      <c r="BB52" s="1924">
        <f t="shared" si="42"/>
        <v>0.26587301587301587</v>
      </c>
      <c r="BC52" s="1924">
        <f t="shared" si="43"/>
        <v>0.30079681274900399</v>
      </c>
      <c r="BD52" s="1924">
        <f t="shared" si="44"/>
        <v>0.328125</v>
      </c>
      <c r="BE52" s="1924">
        <f t="shared" si="45"/>
        <v>0.32688927943760981</v>
      </c>
      <c r="BF52" s="1924">
        <f t="shared" si="46"/>
        <v>0.31893687707641194</v>
      </c>
      <c r="BG52" s="1924">
        <f t="shared" si="47"/>
        <v>0.33695652173913043</v>
      </c>
      <c r="BH52" s="1924">
        <f t="shared" si="48"/>
        <v>0.34951456310679613</v>
      </c>
      <c r="BI52" s="1924">
        <f t="shared" si="49"/>
        <v>0.33605442176870748</v>
      </c>
      <c r="BJ52" s="1925">
        <f t="shared" si="50"/>
        <v>0.34587554269175108</v>
      </c>
      <c r="BK52" s="1926">
        <f>'Non-marital births'!L53</f>
        <v>0.30191458026509571</v>
      </c>
      <c r="BL52" s="1927">
        <v>0.27434842249657065</v>
      </c>
      <c r="BM52" s="1928">
        <f t="shared" si="51"/>
        <v>0.34950071326676174</v>
      </c>
      <c r="BN52" s="2348">
        <f t="shared" si="52"/>
        <v>0.30745341614906835</v>
      </c>
      <c r="BO52" s="2348">
        <f t="shared" si="35"/>
        <v>0.32561307901907355</v>
      </c>
      <c r="BP52" s="2343">
        <f t="shared" si="35"/>
        <v>0.30191458026509571</v>
      </c>
    </row>
    <row r="53" spans="1:68" s="142" customFormat="1" ht="13.5" customHeight="1" x14ac:dyDescent="0.3">
      <c r="A53" s="149" t="s">
        <v>122</v>
      </c>
      <c r="B53" s="185" t="s">
        <v>259</v>
      </c>
      <c r="C53" s="150" t="s">
        <v>254</v>
      </c>
      <c r="D53" s="938">
        <v>70</v>
      </c>
      <c r="E53" s="939">
        <v>62</v>
      </c>
      <c r="F53" s="940">
        <v>63</v>
      </c>
      <c r="G53" s="939">
        <v>69</v>
      </c>
      <c r="H53" s="940">
        <v>63</v>
      </c>
      <c r="I53" s="939">
        <v>74</v>
      </c>
      <c r="J53" s="940">
        <v>68</v>
      </c>
      <c r="K53" s="939">
        <v>82</v>
      </c>
      <c r="L53" s="953">
        <v>75</v>
      </c>
      <c r="M53" s="953">
        <v>77</v>
      </c>
      <c r="N53" s="953">
        <v>66</v>
      </c>
      <c r="O53" s="953">
        <v>52</v>
      </c>
      <c r="P53" s="954">
        <v>66</v>
      </c>
      <c r="Q53" s="954">
        <v>70</v>
      </c>
      <c r="R53" s="1107">
        <v>62</v>
      </c>
      <c r="S53" s="1367">
        <v>52</v>
      </c>
      <c r="T53" s="1908">
        <v>73</v>
      </c>
      <c r="U53" s="1908">
        <v>60</v>
      </c>
      <c r="V53" s="2291">
        <v>63</v>
      </c>
      <c r="W53" s="1367">
        <v>62</v>
      </c>
      <c r="X53" s="2351">
        <v>53</v>
      </c>
      <c r="Y53" s="1273"/>
      <c r="Z53" s="961">
        <v>20</v>
      </c>
      <c r="AA53" s="962">
        <v>28</v>
      </c>
      <c r="AB53" s="962">
        <v>31</v>
      </c>
      <c r="AC53" s="962">
        <v>27</v>
      </c>
      <c r="AD53" s="962">
        <v>24</v>
      </c>
      <c r="AE53" s="962">
        <v>38</v>
      </c>
      <c r="AF53" s="962">
        <v>28</v>
      </c>
      <c r="AG53" s="962">
        <v>40</v>
      </c>
      <c r="AH53" s="962">
        <v>39</v>
      </c>
      <c r="AI53" s="962">
        <v>35</v>
      </c>
      <c r="AJ53" s="962">
        <v>30</v>
      </c>
      <c r="AK53" s="962">
        <v>25</v>
      </c>
      <c r="AL53" s="962">
        <v>36</v>
      </c>
      <c r="AM53" s="962">
        <v>37</v>
      </c>
      <c r="AN53" s="1110">
        <v>31</v>
      </c>
      <c r="AO53" s="1368">
        <v>29</v>
      </c>
      <c r="AP53" s="1369">
        <v>35</v>
      </c>
      <c r="AQ53" s="1368">
        <v>25</v>
      </c>
      <c r="AR53" s="2289">
        <v>31</v>
      </c>
      <c r="AS53" s="1368">
        <v>32</v>
      </c>
      <c r="AT53" s="2353">
        <v>32</v>
      </c>
      <c r="AU53" s="1274"/>
      <c r="AV53" s="1923">
        <f t="shared" si="36"/>
        <v>0.2857142857142857</v>
      </c>
      <c r="AW53" s="1924">
        <f t="shared" si="37"/>
        <v>0.45161290322580644</v>
      </c>
      <c r="AX53" s="1924">
        <f t="shared" si="38"/>
        <v>0.49206349206349204</v>
      </c>
      <c r="AY53" s="1924">
        <f t="shared" si="39"/>
        <v>0.39130434782608697</v>
      </c>
      <c r="AZ53" s="1924">
        <f t="shared" si="40"/>
        <v>0.38095238095238093</v>
      </c>
      <c r="BA53" s="1924">
        <f t="shared" si="41"/>
        <v>0.51351351351351349</v>
      </c>
      <c r="BB53" s="1924">
        <f t="shared" si="42"/>
        <v>0.41176470588235292</v>
      </c>
      <c r="BC53" s="1924">
        <f t="shared" si="43"/>
        <v>0.48780487804878048</v>
      </c>
      <c r="BD53" s="1924">
        <f t="shared" si="44"/>
        <v>0.52</v>
      </c>
      <c r="BE53" s="1924">
        <f t="shared" si="45"/>
        <v>0.45454545454545453</v>
      </c>
      <c r="BF53" s="1924">
        <f t="shared" si="46"/>
        <v>0.45454545454545453</v>
      </c>
      <c r="BG53" s="1924">
        <f t="shared" si="47"/>
        <v>0.48076923076923078</v>
      </c>
      <c r="BH53" s="1924">
        <f t="shared" si="48"/>
        <v>0.54545454545454541</v>
      </c>
      <c r="BI53" s="1924">
        <f t="shared" si="49"/>
        <v>0.52857142857142858</v>
      </c>
      <c r="BJ53" s="1925">
        <f t="shared" si="50"/>
        <v>0.5</v>
      </c>
      <c r="BK53" s="1926">
        <f>'Non-marital births'!L54</f>
        <v>0.60377358490566035</v>
      </c>
      <c r="BL53" s="1927">
        <v>0.47945205479452052</v>
      </c>
      <c r="BM53" s="1928">
        <f t="shared" si="51"/>
        <v>0.41666666666666669</v>
      </c>
      <c r="BN53" s="2348">
        <f t="shared" si="52"/>
        <v>0.49206349206349204</v>
      </c>
      <c r="BO53" s="2348">
        <f t="shared" si="35"/>
        <v>0.5161290322580645</v>
      </c>
      <c r="BP53" s="2343">
        <f t="shared" si="35"/>
        <v>0.60377358490566035</v>
      </c>
    </row>
    <row r="54" spans="1:68" s="142" customFormat="1" ht="13.5" customHeight="1" x14ac:dyDescent="0.3">
      <c r="A54" s="149" t="s">
        <v>124</v>
      </c>
      <c r="B54" s="185" t="s">
        <v>125</v>
      </c>
      <c r="C54" s="150" t="s">
        <v>255</v>
      </c>
      <c r="D54" s="938">
        <v>257</v>
      </c>
      <c r="E54" s="939">
        <v>233</v>
      </c>
      <c r="F54" s="940">
        <v>243</v>
      </c>
      <c r="G54" s="939">
        <v>218</v>
      </c>
      <c r="H54" s="940">
        <v>254</v>
      </c>
      <c r="I54" s="939">
        <v>275</v>
      </c>
      <c r="J54" s="940">
        <v>326</v>
      </c>
      <c r="K54" s="939">
        <v>334</v>
      </c>
      <c r="L54" s="953">
        <v>288</v>
      </c>
      <c r="M54" s="953">
        <v>387</v>
      </c>
      <c r="N54" s="953">
        <v>373</v>
      </c>
      <c r="O54" s="953">
        <v>288</v>
      </c>
      <c r="P54" s="954">
        <v>305</v>
      </c>
      <c r="Q54" s="954">
        <v>312</v>
      </c>
      <c r="R54" s="1107">
        <v>325</v>
      </c>
      <c r="S54" s="1367">
        <v>304</v>
      </c>
      <c r="T54" s="1908">
        <v>292</v>
      </c>
      <c r="U54" s="1908">
        <v>320</v>
      </c>
      <c r="V54" s="2291">
        <v>299</v>
      </c>
      <c r="W54" s="1367">
        <v>286</v>
      </c>
      <c r="X54" s="2351">
        <v>304</v>
      </c>
      <c r="Y54" s="1273"/>
      <c r="Z54" s="961">
        <v>75</v>
      </c>
      <c r="AA54" s="962">
        <v>68</v>
      </c>
      <c r="AB54" s="962">
        <v>73</v>
      </c>
      <c r="AC54" s="962">
        <v>77</v>
      </c>
      <c r="AD54" s="962">
        <v>95</v>
      </c>
      <c r="AE54" s="962">
        <v>87</v>
      </c>
      <c r="AF54" s="962">
        <v>89</v>
      </c>
      <c r="AG54" s="962">
        <v>75</v>
      </c>
      <c r="AH54" s="962">
        <v>84</v>
      </c>
      <c r="AI54" s="962">
        <v>108</v>
      </c>
      <c r="AJ54" s="962">
        <v>106</v>
      </c>
      <c r="AK54" s="962">
        <v>94</v>
      </c>
      <c r="AL54" s="962">
        <v>101</v>
      </c>
      <c r="AM54" s="962">
        <v>94</v>
      </c>
      <c r="AN54" s="1110">
        <v>108</v>
      </c>
      <c r="AO54" s="1368">
        <v>97</v>
      </c>
      <c r="AP54" s="1369">
        <v>97</v>
      </c>
      <c r="AQ54" s="1368">
        <v>100</v>
      </c>
      <c r="AR54" s="2289">
        <v>95</v>
      </c>
      <c r="AS54" s="1368">
        <v>94</v>
      </c>
      <c r="AT54" s="2353">
        <v>89</v>
      </c>
      <c r="AU54" s="1274"/>
      <c r="AV54" s="1923">
        <f t="shared" si="36"/>
        <v>0.29182879377431908</v>
      </c>
      <c r="AW54" s="1924">
        <f t="shared" si="37"/>
        <v>0.29184549356223177</v>
      </c>
      <c r="AX54" s="1924">
        <f t="shared" si="38"/>
        <v>0.30041152263374488</v>
      </c>
      <c r="AY54" s="1924">
        <f t="shared" si="39"/>
        <v>0.35321100917431192</v>
      </c>
      <c r="AZ54" s="1924">
        <f t="shared" si="40"/>
        <v>0.37401574803149606</v>
      </c>
      <c r="BA54" s="1924">
        <f t="shared" si="41"/>
        <v>0.31636363636363635</v>
      </c>
      <c r="BB54" s="1924">
        <f t="shared" si="42"/>
        <v>0.27300613496932513</v>
      </c>
      <c r="BC54" s="1924">
        <f t="shared" si="43"/>
        <v>0.22455089820359281</v>
      </c>
      <c r="BD54" s="1924">
        <f t="shared" si="44"/>
        <v>0.29166666666666669</v>
      </c>
      <c r="BE54" s="1924">
        <f t="shared" si="45"/>
        <v>0.27906976744186046</v>
      </c>
      <c r="BF54" s="1924">
        <f t="shared" si="46"/>
        <v>0.28418230563002683</v>
      </c>
      <c r="BG54" s="1924">
        <f t="shared" si="47"/>
        <v>0.3263888888888889</v>
      </c>
      <c r="BH54" s="1924">
        <f t="shared" si="48"/>
        <v>0.33114754098360655</v>
      </c>
      <c r="BI54" s="1924">
        <f t="shared" si="49"/>
        <v>0.30128205128205127</v>
      </c>
      <c r="BJ54" s="1925">
        <f t="shared" si="50"/>
        <v>0.3323076923076923</v>
      </c>
      <c r="BK54" s="1926">
        <f>'Non-marital births'!L55</f>
        <v>0.29276315789473684</v>
      </c>
      <c r="BL54" s="1927">
        <v>0.3321917808219178</v>
      </c>
      <c r="BM54" s="1928">
        <f t="shared" si="51"/>
        <v>0.3125</v>
      </c>
      <c r="BN54" s="2348">
        <f t="shared" si="52"/>
        <v>0.31772575250836121</v>
      </c>
      <c r="BO54" s="2348">
        <f t="shared" si="35"/>
        <v>0.32867132867132864</v>
      </c>
      <c r="BP54" s="2343">
        <f t="shared" si="35"/>
        <v>0.29276315789473684</v>
      </c>
    </row>
    <row r="55" spans="1:68" s="142" customFormat="1" ht="13.5" customHeight="1" x14ac:dyDescent="0.3">
      <c r="A55" s="149" t="s">
        <v>126</v>
      </c>
      <c r="B55" s="185" t="s">
        <v>127</v>
      </c>
      <c r="C55" s="150" t="s">
        <v>254</v>
      </c>
      <c r="D55" s="938">
        <v>149</v>
      </c>
      <c r="E55" s="939">
        <v>187</v>
      </c>
      <c r="F55" s="940">
        <v>197</v>
      </c>
      <c r="G55" s="939">
        <v>179</v>
      </c>
      <c r="H55" s="940">
        <v>194</v>
      </c>
      <c r="I55" s="939">
        <v>180</v>
      </c>
      <c r="J55" s="940">
        <v>184</v>
      </c>
      <c r="K55" s="939">
        <v>189</v>
      </c>
      <c r="L55" s="953">
        <v>209</v>
      </c>
      <c r="M55" s="953">
        <v>212</v>
      </c>
      <c r="N55" s="953">
        <v>207</v>
      </c>
      <c r="O55" s="953">
        <v>211</v>
      </c>
      <c r="P55" s="954">
        <v>203</v>
      </c>
      <c r="Q55" s="954">
        <v>183</v>
      </c>
      <c r="R55" s="1107">
        <v>189</v>
      </c>
      <c r="S55" s="1367">
        <v>187</v>
      </c>
      <c r="T55" s="1908">
        <v>174</v>
      </c>
      <c r="U55" s="1908">
        <v>191</v>
      </c>
      <c r="V55" s="2291">
        <v>209</v>
      </c>
      <c r="W55" s="1367">
        <v>196</v>
      </c>
      <c r="X55" s="2351">
        <v>219</v>
      </c>
      <c r="Y55" s="1273"/>
      <c r="Z55" s="961">
        <v>45</v>
      </c>
      <c r="AA55" s="962">
        <v>46</v>
      </c>
      <c r="AB55" s="962">
        <v>65</v>
      </c>
      <c r="AC55" s="962">
        <v>54</v>
      </c>
      <c r="AD55" s="962">
        <v>57</v>
      </c>
      <c r="AE55" s="962">
        <v>59</v>
      </c>
      <c r="AF55" s="962">
        <v>61</v>
      </c>
      <c r="AG55" s="962">
        <v>58</v>
      </c>
      <c r="AH55" s="962">
        <v>56</v>
      </c>
      <c r="AI55" s="962">
        <v>60</v>
      </c>
      <c r="AJ55" s="962">
        <v>69</v>
      </c>
      <c r="AK55" s="962">
        <v>66</v>
      </c>
      <c r="AL55" s="962">
        <v>63</v>
      </c>
      <c r="AM55" s="962">
        <v>59</v>
      </c>
      <c r="AN55" s="1110">
        <v>64</v>
      </c>
      <c r="AO55" s="1368">
        <v>51</v>
      </c>
      <c r="AP55" s="1369">
        <v>62</v>
      </c>
      <c r="AQ55" s="1368">
        <v>68</v>
      </c>
      <c r="AR55" s="2289">
        <v>73</v>
      </c>
      <c r="AS55" s="1368">
        <v>59</v>
      </c>
      <c r="AT55" s="2353">
        <v>74</v>
      </c>
      <c r="AU55" s="1274"/>
      <c r="AV55" s="1923">
        <f t="shared" si="36"/>
        <v>0.30201342281879195</v>
      </c>
      <c r="AW55" s="1924">
        <f t="shared" si="37"/>
        <v>0.24598930481283424</v>
      </c>
      <c r="AX55" s="1924">
        <f t="shared" si="38"/>
        <v>0.32994923857868019</v>
      </c>
      <c r="AY55" s="1924">
        <f t="shared" si="39"/>
        <v>0.3016759776536313</v>
      </c>
      <c r="AZ55" s="1924">
        <f t="shared" si="40"/>
        <v>0.29381443298969073</v>
      </c>
      <c r="BA55" s="1924">
        <f t="shared" si="41"/>
        <v>0.32777777777777778</v>
      </c>
      <c r="BB55" s="1924">
        <f t="shared" si="42"/>
        <v>0.33152173913043476</v>
      </c>
      <c r="BC55" s="1924">
        <f t="shared" si="43"/>
        <v>0.30687830687830686</v>
      </c>
      <c r="BD55" s="1924">
        <f t="shared" si="44"/>
        <v>0.26794258373205743</v>
      </c>
      <c r="BE55" s="1924">
        <f t="shared" si="45"/>
        <v>0.28301886792452829</v>
      </c>
      <c r="BF55" s="1924">
        <f t="shared" si="46"/>
        <v>0.33333333333333331</v>
      </c>
      <c r="BG55" s="1924">
        <f t="shared" si="47"/>
        <v>0.3127962085308057</v>
      </c>
      <c r="BH55" s="1924">
        <f t="shared" si="48"/>
        <v>0.31034482758620691</v>
      </c>
      <c r="BI55" s="1924">
        <f t="shared" si="49"/>
        <v>0.32240437158469948</v>
      </c>
      <c r="BJ55" s="1925">
        <f t="shared" si="50"/>
        <v>0.33862433862433861</v>
      </c>
      <c r="BK55" s="1926">
        <f>'Non-marital births'!L56</f>
        <v>0.33789954337899542</v>
      </c>
      <c r="BL55" s="1927">
        <v>0.35632183908045978</v>
      </c>
      <c r="BM55" s="1928">
        <f t="shared" si="51"/>
        <v>0.35602094240837695</v>
      </c>
      <c r="BN55" s="2348">
        <f t="shared" si="52"/>
        <v>0.34928229665071769</v>
      </c>
      <c r="BO55" s="2348">
        <f t="shared" si="35"/>
        <v>0.30102040816326531</v>
      </c>
      <c r="BP55" s="2343">
        <f t="shared" si="35"/>
        <v>0.33789954337899542</v>
      </c>
    </row>
    <row r="56" spans="1:68" s="142" customFormat="1" ht="13.5" customHeight="1" x14ac:dyDescent="0.3">
      <c r="A56" s="149" t="s">
        <v>128</v>
      </c>
      <c r="B56" s="185" t="s">
        <v>129</v>
      </c>
      <c r="C56" s="150" t="s">
        <v>254</v>
      </c>
      <c r="D56" s="938">
        <v>117</v>
      </c>
      <c r="E56" s="939">
        <v>101</v>
      </c>
      <c r="F56" s="940">
        <v>111</v>
      </c>
      <c r="G56" s="939">
        <v>110</v>
      </c>
      <c r="H56" s="940">
        <v>108</v>
      </c>
      <c r="I56" s="939">
        <v>105</v>
      </c>
      <c r="J56" s="940">
        <v>96</v>
      </c>
      <c r="K56" s="939">
        <v>96</v>
      </c>
      <c r="L56" s="953">
        <v>103</v>
      </c>
      <c r="M56" s="953">
        <v>125</v>
      </c>
      <c r="N56" s="953">
        <v>95</v>
      </c>
      <c r="O56" s="953">
        <v>80</v>
      </c>
      <c r="P56" s="954">
        <v>100</v>
      </c>
      <c r="Q56" s="954">
        <v>83</v>
      </c>
      <c r="R56" s="1107">
        <v>84</v>
      </c>
      <c r="S56" s="1367">
        <v>77</v>
      </c>
      <c r="T56" s="1908">
        <v>87</v>
      </c>
      <c r="U56" s="1908">
        <v>97</v>
      </c>
      <c r="V56" s="2291">
        <v>100</v>
      </c>
      <c r="W56" s="1367">
        <v>65</v>
      </c>
      <c r="X56" s="2351">
        <v>89</v>
      </c>
      <c r="Y56" s="1273"/>
      <c r="Z56" s="961">
        <v>61</v>
      </c>
      <c r="AA56" s="962">
        <v>55</v>
      </c>
      <c r="AB56" s="962">
        <v>55</v>
      </c>
      <c r="AC56" s="962">
        <v>52</v>
      </c>
      <c r="AD56" s="962">
        <v>53</v>
      </c>
      <c r="AE56" s="962">
        <v>50</v>
      </c>
      <c r="AF56" s="962">
        <v>49</v>
      </c>
      <c r="AG56" s="962">
        <v>52</v>
      </c>
      <c r="AH56" s="962">
        <v>62</v>
      </c>
      <c r="AI56" s="962">
        <v>78</v>
      </c>
      <c r="AJ56" s="962">
        <v>59</v>
      </c>
      <c r="AK56" s="962">
        <v>50</v>
      </c>
      <c r="AL56" s="962">
        <v>58</v>
      </c>
      <c r="AM56" s="962">
        <v>56</v>
      </c>
      <c r="AN56" s="1110">
        <v>52</v>
      </c>
      <c r="AO56" s="1368">
        <v>56</v>
      </c>
      <c r="AP56" s="1369">
        <v>44</v>
      </c>
      <c r="AQ56" s="1368">
        <v>63</v>
      </c>
      <c r="AR56" s="2289">
        <v>52</v>
      </c>
      <c r="AS56" s="1368">
        <v>40</v>
      </c>
      <c r="AT56" s="2353">
        <v>58</v>
      </c>
      <c r="AU56" s="1274"/>
      <c r="AV56" s="1923">
        <f t="shared" si="36"/>
        <v>0.5213675213675214</v>
      </c>
      <c r="AW56" s="1924">
        <f t="shared" si="37"/>
        <v>0.54455445544554459</v>
      </c>
      <c r="AX56" s="1924">
        <f t="shared" si="38"/>
        <v>0.49549549549549549</v>
      </c>
      <c r="AY56" s="1924">
        <f t="shared" si="39"/>
        <v>0.47272727272727272</v>
      </c>
      <c r="AZ56" s="1924">
        <f t="shared" si="40"/>
        <v>0.49074074074074076</v>
      </c>
      <c r="BA56" s="1924">
        <f t="shared" si="41"/>
        <v>0.47619047619047616</v>
      </c>
      <c r="BB56" s="1924">
        <f t="shared" si="42"/>
        <v>0.51041666666666663</v>
      </c>
      <c r="BC56" s="1924">
        <f t="shared" si="43"/>
        <v>0.54166666666666663</v>
      </c>
      <c r="BD56" s="1924">
        <f t="shared" si="44"/>
        <v>0.60194174757281549</v>
      </c>
      <c r="BE56" s="1924">
        <f t="shared" si="45"/>
        <v>0.624</v>
      </c>
      <c r="BF56" s="1924">
        <f t="shared" si="46"/>
        <v>0.62105263157894741</v>
      </c>
      <c r="BG56" s="1924">
        <f t="shared" si="47"/>
        <v>0.625</v>
      </c>
      <c r="BH56" s="1924">
        <f t="shared" si="48"/>
        <v>0.57999999999999996</v>
      </c>
      <c r="BI56" s="1924">
        <f t="shared" si="49"/>
        <v>0.67469879518072284</v>
      </c>
      <c r="BJ56" s="1925">
        <f t="shared" si="50"/>
        <v>0.61904761904761907</v>
      </c>
      <c r="BK56" s="1926">
        <f>'Non-marital births'!L57</f>
        <v>0.651685393258427</v>
      </c>
      <c r="BL56" s="1927">
        <v>0.50574712643678166</v>
      </c>
      <c r="BM56" s="1928">
        <f t="shared" si="51"/>
        <v>0.64948453608247425</v>
      </c>
      <c r="BN56" s="2348">
        <f t="shared" si="52"/>
        <v>0.52</v>
      </c>
      <c r="BO56" s="2348">
        <f t="shared" si="35"/>
        <v>0.61538461538461542</v>
      </c>
      <c r="BP56" s="2343">
        <f t="shared" si="35"/>
        <v>0.651685393258427</v>
      </c>
    </row>
    <row r="57" spans="1:68" s="142" customFormat="1" ht="13.5" customHeight="1" x14ac:dyDescent="0.3">
      <c r="A57" s="149" t="s">
        <v>130</v>
      </c>
      <c r="B57" s="185" t="s">
        <v>131</v>
      </c>
      <c r="C57" s="150" t="s">
        <v>256</v>
      </c>
      <c r="D57" s="938">
        <v>252</v>
      </c>
      <c r="E57" s="939">
        <v>236</v>
      </c>
      <c r="F57" s="940">
        <v>237</v>
      </c>
      <c r="G57" s="939">
        <v>240</v>
      </c>
      <c r="H57" s="940">
        <v>243</v>
      </c>
      <c r="I57" s="939">
        <v>251</v>
      </c>
      <c r="J57" s="940">
        <v>234</v>
      </c>
      <c r="K57" s="939">
        <v>251</v>
      </c>
      <c r="L57" s="953">
        <v>240</v>
      </c>
      <c r="M57" s="953">
        <v>265</v>
      </c>
      <c r="N57" s="953">
        <v>250</v>
      </c>
      <c r="O57" s="953">
        <v>265</v>
      </c>
      <c r="P57" s="954">
        <v>250</v>
      </c>
      <c r="Q57" s="954">
        <v>267</v>
      </c>
      <c r="R57" s="1107">
        <v>267</v>
      </c>
      <c r="S57" s="1367">
        <v>222</v>
      </c>
      <c r="T57" s="1908">
        <v>209</v>
      </c>
      <c r="U57" s="1908">
        <v>225</v>
      </c>
      <c r="V57" s="2291">
        <v>221</v>
      </c>
      <c r="W57" s="1367">
        <v>200</v>
      </c>
      <c r="X57" s="2351">
        <v>203</v>
      </c>
      <c r="Y57" s="1273"/>
      <c r="Z57" s="961">
        <v>64</v>
      </c>
      <c r="AA57" s="962">
        <v>76</v>
      </c>
      <c r="AB57" s="962">
        <v>55</v>
      </c>
      <c r="AC57" s="962">
        <v>60</v>
      </c>
      <c r="AD57" s="962">
        <v>70</v>
      </c>
      <c r="AE57" s="962">
        <v>85</v>
      </c>
      <c r="AF57" s="962">
        <v>66</v>
      </c>
      <c r="AG57" s="962">
        <v>80</v>
      </c>
      <c r="AH57" s="962">
        <v>69</v>
      </c>
      <c r="AI57" s="962">
        <v>86</v>
      </c>
      <c r="AJ57" s="962">
        <v>80</v>
      </c>
      <c r="AK57" s="962">
        <v>96</v>
      </c>
      <c r="AL57" s="962">
        <v>95</v>
      </c>
      <c r="AM57" s="962">
        <v>99</v>
      </c>
      <c r="AN57" s="1110">
        <v>104</v>
      </c>
      <c r="AO57" s="1368">
        <v>86</v>
      </c>
      <c r="AP57" s="1369">
        <v>93</v>
      </c>
      <c r="AQ57" s="1368">
        <v>84</v>
      </c>
      <c r="AR57" s="2289">
        <v>102</v>
      </c>
      <c r="AS57" s="1368">
        <v>75</v>
      </c>
      <c r="AT57" s="2353">
        <v>52</v>
      </c>
      <c r="AU57" s="1274"/>
      <c r="AV57" s="1923">
        <f t="shared" si="36"/>
        <v>0.25396825396825395</v>
      </c>
      <c r="AW57" s="1924">
        <f t="shared" si="37"/>
        <v>0.32203389830508472</v>
      </c>
      <c r="AX57" s="1924">
        <f t="shared" si="38"/>
        <v>0.2320675105485232</v>
      </c>
      <c r="AY57" s="1924">
        <f t="shared" si="39"/>
        <v>0.25</v>
      </c>
      <c r="AZ57" s="1924">
        <f t="shared" si="40"/>
        <v>0.2880658436213992</v>
      </c>
      <c r="BA57" s="1924">
        <f t="shared" si="41"/>
        <v>0.3386454183266932</v>
      </c>
      <c r="BB57" s="1924">
        <f t="shared" si="42"/>
        <v>0.28205128205128205</v>
      </c>
      <c r="BC57" s="1924">
        <f t="shared" si="43"/>
        <v>0.31872509960159362</v>
      </c>
      <c r="BD57" s="1924">
        <f t="shared" si="44"/>
        <v>0.28749999999999998</v>
      </c>
      <c r="BE57" s="1924">
        <f t="shared" si="45"/>
        <v>0.32452830188679244</v>
      </c>
      <c r="BF57" s="1924">
        <f t="shared" si="46"/>
        <v>0.32</v>
      </c>
      <c r="BG57" s="1924">
        <f t="shared" si="47"/>
        <v>0.3622641509433962</v>
      </c>
      <c r="BH57" s="1924">
        <f t="shared" si="48"/>
        <v>0.38</v>
      </c>
      <c r="BI57" s="1924">
        <f t="shared" si="49"/>
        <v>0.3707865168539326</v>
      </c>
      <c r="BJ57" s="1925">
        <f t="shared" si="50"/>
        <v>0.38951310861423222</v>
      </c>
      <c r="BK57" s="1926">
        <f>'Non-marital births'!L58</f>
        <v>0.25615763546798032</v>
      </c>
      <c r="BL57" s="1927">
        <v>0.44497607655502391</v>
      </c>
      <c r="BM57" s="1928">
        <f t="shared" si="51"/>
        <v>0.37333333333333335</v>
      </c>
      <c r="BN57" s="2348">
        <f t="shared" si="52"/>
        <v>0.46153846153846156</v>
      </c>
      <c r="BO57" s="2348">
        <f t="shared" si="35"/>
        <v>0.375</v>
      </c>
      <c r="BP57" s="2343">
        <f t="shared" si="35"/>
        <v>0.25615763546798032</v>
      </c>
    </row>
    <row r="58" spans="1:68" s="142" customFormat="1" ht="13.5" customHeight="1" x14ac:dyDescent="0.3">
      <c r="A58" s="149" t="s">
        <v>132</v>
      </c>
      <c r="B58" s="185" t="s">
        <v>133</v>
      </c>
      <c r="C58" s="150" t="s">
        <v>255</v>
      </c>
      <c r="D58" s="938">
        <v>2838</v>
      </c>
      <c r="E58" s="939">
        <v>3057</v>
      </c>
      <c r="F58" s="940">
        <v>3646</v>
      </c>
      <c r="G58" s="939">
        <v>3857</v>
      </c>
      <c r="H58" s="940">
        <v>4192</v>
      </c>
      <c r="I58" s="939">
        <v>4444</v>
      </c>
      <c r="J58" s="940">
        <v>4816</v>
      </c>
      <c r="K58" s="939">
        <v>5153</v>
      </c>
      <c r="L58" s="953">
        <v>5076</v>
      </c>
      <c r="M58" s="953">
        <v>5160</v>
      </c>
      <c r="N58" s="953">
        <v>5284</v>
      </c>
      <c r="O58" s="953">
        <v>5030</v>
      </c>
      <c r="P58" s="954">
        <v>5068</v>
      </c>
      <c r="Q58" s="954">
        <v>4970</v>
      </c>
      <c r="R58" s="1107">
        <v>4902</v>
      </c>
      <c r="S58" s="1367">
        <v>5005</v>
      </c>
      <c r="T58" s="1908">
        <v>5056</v>
      </c>
      <c r="U58" s="1908">
        <v>5291</v>
      </c>
      <c r="V58" s="2291">
        <v>5343</v>
      </c>
      <c r="W58" s="1367">
        <v>5024</v>
      </c>
      <c r="X58" s="2351">
        <v>5214</v>
      </c>
      <c r="Y58" s="1273"/>
      <c r="Z58" s="961">
        <v>302</v>
      </c>
      <c r="AA58" s="962">
        <v>344</v>
      </c>
      <c r="AB58" s="962">
        <v>391</v>
      </c>
      <c r="AC58" s="962">
        <v>392</v>
      </c>
      <c r="AD58" s="962">
        <v>471</v>
      </c>
      <c r="AE58" s="962">
        <v>448</v>
      </c>
      <c r="AF58" s="962">
        <v>555</v>
      </c>
      <c r="AG58" s="962">
        <v>659</v>
      </c>
      <c r="AH58" s="962">
        <v>743</v>
      </c>
      <c r="AI58" s="962">
        <v>837</v>
      </c>
      <c r="AJ58" s="962">
        <v>804</v>
      </c>
      <c r="AK58" s="962">
        <v>777</v>
      </c>
      <c r="AL58" s="962">
        <v>824</v>
      </c>
      <c r="AM58" s="962">
        <v>780</v>
      </c>
      <c r="AN58" s="1110">
        <v>757</v>
      </c>
      <c r="AO58" s="1368">
        <v>788</v>
      </c>
      <c r="AP58" s="1369">
        <v>789</v>
      </c>
      <c r="AQ58" s="1368">
        <v>781</v>
      </c>
      <c r="AR58" s="2289">
        <v>865</v>
      </c>
      <c r="AS58" s="1368">
        <v>789</v>
      </c>
      <c r="AT58" s="2353">
        <v>819</v>
      </c>
      <c r="AU58" s="1274"/>
      <c r="AV58" s="1923">
        <f t="shared" si="36"/>
        <v>0.10641296687808316</v>
      </c>
      <c r="AW58" s="1924">
        <f t="shared" si="37"/>
        <v>0.11252862283284265</v>
      </c>
      <c r="AX58" s="1924">
        <f t="shared" si="38"/>
        <v>0.10724081184860121</v>
      </c>
      <c r="AY58" s="1924">
        <f t="shared" si="39"/>
        <v>0.10163339382940109</v>
      </c>
      <c r="AZ58" s="1924">
        <f t="shared" si="40"/>
        <v>0.11235687022900763</v>
      </c>
      <c r="BA58" s="1924">
        <f t="shared" si="41"/>
        <v>0.10081008100810081</v>
      </c>
      <c r="BB58" s="1924">
        <f t="shared" si="42"/>
        <v>0.11524086378737541</v>
      </c>
      <c r="BC58" s="1924">
        <f t="shared" si="43"/>
        <v>0.1278866679604114</v>
      </c>
      <c r="BD58" s="1924">
        <f t="shared" si="44"/>
        <v>0.14637509850275807</v>
      </c>
      <c r="BE58" s="1924">
        <f t="shared" si="45"/>
        <v>0.16220930232558139</v>
      </c>
      <c r="BF58" s="1924">
        <f t="shared" si="46"/>
        <v>0.15215745647236942</v>
      </c>
      <c r="BG58" s="1924">
        <f t="shared" si="47"/>
        <v>0.15447316103379721</v>
      </c>
      <c r="BH58" s="1924">
        <f t="shared" si="48"/>
        <v>0.16258879242304658</v>
      </c>
      <c r="BI58" s="1924">
        <f t="shared" si="49"/>
        <v>0.15694164989939638</v>
      </c>
      <c r="BJ58" s="1925">
        <f t="shared" si="50"/>
        <v>0.15442676458588331</v>
      </c>
      <c r="BK58" s="1926">
        <f>'Non-marital births'!L59</f>
        <v>0.15707710011507481</v>
      </c>
      <c r="BL58" s="1927">
        <v>0.15605221518987342</v>
      </c>
      <c r="BM58" s="1928">
        <f t="shared" si="51"/>
        <v>0.14760914760914762</v>
      </c>
      <c r="BN58" s="2348">
        <f t="shared" si="52"/>
        <v>0.16189406700355605</v>
      </c>
      <c r="BO58" s="2348">
        <f t="shared" si="35"/>
        <v>0.15704617834394904</v>
      </c>
      <c r="BP58" s="2343">
        <f t="shared" si="35"/>
        <v>0.15707710011507481</v>
      </c>
    </row>
    <row r="59" spans="1:68" s="142" customFormat="1" ht="13.5" customHeight="1" x14ac:dyDescent="0.3">
      <c r="A59" s="149" t="s">
        <v>134</v>
      </c>
      <c r="B59" s="185" t="s">
        <v>135</v>
      </c>
      <c r="C59" s="150" t="s">
        <v>255</v>
      </c>
      <c r="D59" s="938">
        <v>305</v>
      </c>
      <c r="E59" s="939">
        <v>311</v>
      </c>
      <c r="F59" s="940">
        <v>328</v>
      </c>
      <c r="G59" s="939">
        <v>321</v>
      </c>
      <c r="H59" s="940">
        <v>333</v>
      </c>
      <c r="I59" s="939">
        <v>295</v>
      </c>
      <c r="J59" s="940">
        <v>357</v>
      </c>
      <c r="K59" s="939">
        <v>385</v>
      </c>
      <c r="L59" s="953">
        <v>372</v>
      </c>
      <c r="M59" s="953">
        <v>452</v>
      </c>
      <c r="N59" s="953">
        <v>396</v>
      </c>
      <c r="O59" s="953">
        <v>399</v>
      </c>
      <c r="P59" s="954">
        <v>368</v>
      </c>
      <c r="Q59" s="954">
        <v>374</v>
      </c>
      <c r="R59" s="1107">
        <v>382</v>
      </c>
      <c r="S59" s="1367">
        <v>368</v>
      </c>
      <c r="T59" s="1908">
        <v>359</v>
      </c>
      <c r="U59" s="1908">
        <v>368</v>
      </c>
      <c r="V59" s="2291">
        <v>388</v>
      </c>
      <c r="W59" s="1367">
        <v>377</v>
      </c>
      <c r="X59" s="2351">
        <v>355</v>
      </c>
      <c r="Y59" s="1273"/>
      <c r="Z59" s="961">
        <v>120</v>
      </c>
      <c r="AA59" s="962">
        <v>116</v>
      </c>
      <c r="AB59" s="962">
        <v>122</v>
      </c>
      <c r="AC59" s="962">
        <v>133</v>
      </c>
      <c r="AD59" s="962">
        <v>115</v>
      </c>
      <c r="AE59" s="962">
        <v>98</v>
      </c>
      <c r="AF59" s="962">
        <v>115</v>
      </c>
      <c r="AG59" s="962">
        <v>129</v>
      </c>
      <c r="AH59" s="962">
        <v>138</v>
      </c>
      <c r="AI59" s="962">
        <v>152</v>
      </c>
      <c r="AJ59" s="962">
        <v>165</v>
      </c>
      <c r="AK59" s="962">
        <v>155</v>
      </c>
      <c r="AL59" s="962">
        <v>146</v>
      </c>
      <c r="AM59" s="962">
        <v>138</v>
      </c>
      <c r="AN59" s="1110">
        <v>162</v>
      </c>
      <c r="AO59" s="1368">
        <v>155</v>
      </c>
      <c r="AP59" s="1369">
        <v>151</v>
      </c>
      <c r="AQ59" s="1368">
        <v>151</v>
      </c>
      <c r="AR59" s="2289">
        <v>150</v>
      </c>
      <c r="AS59" s="1368">
        <v>140</v>
      </c>
      <c r="AT59" s="2353">
        <v>149</v>
      </c>
      <c r="AU59" s="1274"/>
      <c r="AV59" s="1923">
        <f t="shared" si="36"/>
        <v>0.39344262295081966</v>
      </c>
      <c r="AW59" s="1924">
        <f t="shared" si="37"/>
        <v>0.37299035369774919</v>
      </c>
      <c r="AX59" s="1924">
        <f t="shared" si="38"/>
        <v>0.37195121951219512</v>
      </c>
      <c r="AY59" s="1924">
        <f t="shared" si="39"/>
        <v>0.41433021806853582</v>
      </c>
      <c r="AZ59" s="1924">
        <f t="shared" si="40"/>
        <v>0.34534534534534533</v>
      </c>
      <c r="BA59" s="1924">
        <f t="shared" si="41"/>
        <v>0.33220338983050846</v>
      </c>
      <c r="BB59" s="1924">
        <f t="shared" si="42"/>
        <v>0.32212885154061627</v>
      </c>
      <c r="BC59" s="1924">
        <f t="shared" si="43"/>
        <v>0.33506493506493507</v>
      </c>
      <c r="BD59" s="1924">
        <f t="shared" si="44"/>
        <v>0.37096774193548387</v>
      </c>
      <c r="BE59" s="1924">
        <f t="shared" si="45"/>
        <v>0.33628318584070799</v>
      </c>
      <c r="BF59" s="1924">
        <f t="shared" si="46"/>
        <v>0.41666666666666669</v>
      </c>
      <c r="BG59" s="1924">
        <f t="shared" si="47"/>
        <v>0.38847117794486213</v>
      </c>
      <c r="BH59" s="1924">
        <f t="shared" si="48"/>
        <v>0.39673913043478259</v>
      </c>
      <c r="BI59" s="1924">
        <f t="shared" si="49"/>
        <v>0.36898395721925131</v>
      </c>
      <c r="BJ59" s="1925">
        <f t="shared" si="50"/>
        <v>0.42408376963350786</v>
      </c>
      <c r="BK59" s="1926">
        <f>'Non-marital births'!L60</f>
        <v>0.41971830985915493</v>
      </c>
      <c r="BL59" s="1927">
        <v>0.42061281337047352</v>
      </c>
      <c r="BM59" s="1928">
        <f t="shared" si="51"/>
        <v>0.41032608695652173</v>
      </c>
      <c r="BN59" s="2348">
        <f t="shared" si="52"/>
        <v>0.38659793814432991</v>
      </c>
      <c r="BO59" s="2348">
        <f t="shared" si="35"/>
        <v>0.3713527851458886</v>
      </c>
      <c r="BP59" s="2343">
        <f t="shared" si="35"/>
        <v>0.41971830985915493</v>
      </c>
    </row>
    <row r="60" spans="1:68" s="142" customFormat="1" ht="13.5" customHeight="1" x14ac:dyDescent="0.3">
      <c r="A60" s="149" t="s">
        <v>136</v>
      </c>
      <c r="B60" s="185" t="s">
        <v>137</v>
      </c>
      <c r="C60" s="150" t="s">
        <v>254</v>
      </c>
      <c r="D60" s="938">
        <v>116</v>
      </c>
      <c r="E60" s="939">
        <v>106</v>
      </c>
      <c r="F60" s="940">
        <v>95</v>
      </c>
      <c r="G60" s="939">
        <v>116</v>
      </c>
      <c r="H60" s="940">
        <v>109</v>
      </c>
      <c r="I60" s="939">
        <v>140</v>
      </c>
      <c r="J60" s="940">
        <v>131</v>
      </c>
      <c r="K60" s="939">
        <v>156</v>
      </c>
      <c r="L60" s="953">
        <v>138</v>
      </c>
      <c r="M60" s="953">
        <v>127</v>
      </c>
      <c r="N60" s="953">
        <v>128</v>
      </c>
      <c r="O60" s="953">
        <v>133</v>
      </c>
      <c r="P60" s="954">
        <v>108</v>
      </c>
      <c r="Q60" s="954">
        <v>117</v>
      </c>
      <c r="R60" s="1107">
        <v>118</v>
      </c>
      <c r="S60" s="1367">
        <v>99</v>
      </c>
      <c r="T60" s="1908">
        <v>117</v>
      </c>
      <c r="U60" s="1908">
        <v>121</v>
      </c>
      <c r="V60" s="2291">
        <v>117</v>
      </c>
      <c r="W60" s="1367">
        <v>120</v>
      </c>
      <c r="X60" s="2351">
        <v>99</v>
      </c>
      <c r="Y60" s="1273"/>
      <c r="Z60" s="961">
        <v>52</v>
      </c>
      <c r="AA60" s="962">
        <v>44</v>
      </c>
      <c r="AB60" s="962">
        <v>35</v>
      </c>
      <c r="AC60" s="962">
        <v>53</v>
      </c>
      <c r="AD60" s="962">
        <v>54</v>
      </c>
      <c r="AE60" s="962">
        <v>73</v>
      </c>
      <c r="AF60" s="962">
        <v>64</v>
      </c>
      <c r="AG60" s="962">
        <v>70</v>
      </c>
      <c r="AH60" s="962">
        <v>69</v>
      </c>
      <c r="AI60" s="962">
        <v>59</v>
      </c>
      <c r="AJ60" s="962">
        <v>72</v>
      </c>
      <c r="AK60" s="962">
        <v>68</v>
      </c>
      <c r="AL60" s="962">
        <v>49</v>
      </c>
      <c r="AM60" s="962">
        <v>65</v>
      </c>
      <c r="AN60" s="1110">
        <v>80</v>
      </c>
      <c r="AO60" s="1368">
        <v>57</v>
      </c>
      <c r="AP60" s="1369">
        <v>72</v>
      </c>
      <c r="AQ60" s="1368">
        <v>75</v>
      </c>
      <c r="AR60" s="2289">
        <v>66</v>
      </c>
      <c r="AS60" s="1368">
        <v>65</v>
      </c>
      <c r="AT60" s="2353">
        <v>65</v>
      </c>
      <c r="AU60" s="1274"/>
      <c r="AV60" s="1923">
        <f t="shared" si="36"/>
        <v>0.44827586206896552</v>
      </c>
      <c r="AW60" s="1924">
        <f t="shared" si="37"/>
        <v>0.41509433962264153</v>
      </c>
      <c r="AX60" s="1924">
        <f t="shared" si="38"/>
        <v>0.36842105263157893</v>
      </c>
      <c r="AY60" s="1924">
        <f t="shared" si="39"/>
        <v>0.45689655172413796</v>
      </c>
      <c r="AZ60" s="1924">
        <f t="shared" si="40"/>
        <v>0.49541284403669728</v>
      </c>
      <c r="BA60" s="1924">
        <f t="shared" si="41"/>
        <v>0.52142857142857146</v>
      </c>
      <c r="BB60" s="1924">
        <f t="shared" si="42"/>
        <v>0.48854961832061067</v>
      </c>
      <c r="BC60" s="1924">
        <f t="shared" si="43"/>
        <v>0.44871794871794873</v>
      </c>
      <c r="BD60" s="1924">
        <f t="shared" si="44"/>
        <v>0.5</v>
      </c>
      <c r="BE60" s="1924">
        <f t="shared" si="45"/>
        <v>0.46456692913385828</v>
      </c>
      <c r="BF60" s="1924">
        <f t="shared" si="46"/>
        <v>0.5625</v>
      </c>
      <c r="BG60" s="1924">
        <f t="shared" si="47"/>
        <v>0.51127819548872178</v>
      </c>
      <c r="BH60" s="1924">
        <f t="shared" si="48"/>
        <v>0.45370370370370372</v>
      </c>
      <c r="BI60" s="1924">
        <f t="shared" si="49"/>
        <v>0.55555555555555558</v>
      </c>
      <c r="BJ60" s="1925">
        <f t="shared" si="50"/>
        <v>0.67796610169491522</v>
      </c>
      <c r="BK60" s="1926">
        <f>'Non-marital births'!L61</f>
        <v>0.65656565656565657</v>
      </c>
      <c r="BL60" s="1927">
        <v>0.61538461538461542</v>
      </c>
      <c r="BM60" s="1928">
        <f t="shared" si="51"/>
        <v>0.6198347107438017</v>
      </c>
      <c r="BN60" s="2348">
        <f t="shared" si="52"/>
        <v>0.5641025641025641</v>
      </c>
      <c r="BO60" s="2348">
        <f t="shared" si="35"/>
        <v>0.54166666666666663</v>
      </c>
      <c r="BP60" s="2343">
        <f t="shared" si="35"/>
        <v>0.65656565656565657</v>
      </c>
    </row>
    <row r="61" spans="1:68" s="142" customFormat="1" ht="13.5" customHeight="1" x14ac:dyDescent="0.3">
      <c r="A61" s="149" t="s">
        <v>140</v>
      </c>
      <c r="B61" s="185" t="s">
        <v>141</v>
      </c>
      <c r="C61" s="150" t="s">
        <v>255</v>
      </c>
      <c r="D61" s="938">
        <v>132</v>
      </c>
      <c r="E61" s="939">
        <v>105</v>
      </c>
      <c r="F61" s="940">
        <v>111</v>
      </c>
      <c r="G61" s="939">
        <v>133</v>
      </c>
      <c r="H61" s="940">
        <v>157</v>
      </c>
      <c r="I61" s="939">
        <v>135</v>
      </c>
      <c r="J61" s="940">
        <v>135</v>
      </c>
      <c r="K61" s="939">
        <v>162</v>
      </c>
      <c r="L61" s="953">
        <v>157</v>
      </c>
      <c r="M61" s="953">
        <v>154</v>
      </c>
      <c r="N61" s="953">
        <v>143</v>
      </c>
      <c r="O61" s="953">
        <v>139</v>
      </c>
      <c r="P61" s="954">
        <v>146</v>
      </c>
      <c r="Q61" s="954">
        <v>130</v>
      </c>
      <c r="R61" s="1107">
        <v>121</v>
      </c>
      <c r="S61" s="1367">
        <v>128</v>
      </c>
      <c r="T61" s="1908">
        <v>106</v>
      </c>
      <c r="U61" s="1908">
        <v>147</v>
      </c>
      <c r="V61" s="2291">
        <v>143</v>
      </c>
      <c r="W61" s="1367">
        <v>134</v>
      </c>
      <c r="X61" s="2351">
        <v>118</v>
      </c>
      <c r="Y61" s="1273"/>
      <c r="Z61" s="961">
        <v>39</v>
      </c>
      <c r="AA61" s="962">
        <v>29</v>
      </c>
      <c r="AB61" s="962">
        <v>34</v>
      </c>
      <c r="AC61" s="962">
        <v>43</v>
      </c>
      <c r="AD61" s="962">
        <v>44</v>
      </c>
      <c r="AE61" s="962">
        <v>37</v>
      </c>
      <c r="AF61" s="962">
        <v>39</v>
      </c>
      <c r="AG61" s="962">
        <v>48</v>
      </c>
      <c r="AH61" s="962">
        <v>41</v>
      </c>
      <c r="AI61" s="962">
        <v>47</v>
      </c>
      <c r="AJ61" s="962">
        <v>44</v>
      </c>
      <c r="AK61" s="962">
        <v>47</v>
      </c>
      <c r="AL61" s="962">
        <v>51</v>
      </c>
      <c r="AM61" s="962">
        <v>37</v>
      </c>
      <c r="AN61" s="1110">
        <v>44</v>
      </c>
      <c r="AO61" s="1368">
        <v>40</v>
      </c>
      <c r="AP61" s="1369">
        <v>41</v>
      </c>
      <c r="AQ61" s="1368">
        <v>46</v>
      </c>
      <c r="AR61" s="2289">
        <v>51</v>
      </c>
      <c r="AS61" s="1368">
        <v>42</v>
      </c>
      <c r="AT61" s="2353">
        <v>47</v>
      </c>
      <c r="AU61" s="1274"/>
      <c r="AV61" s="1923">
        <f t="shared" si="36"/>
        <v>0.29545454545454547</v>
      </c>
      <c r="AW61" s="1924">
        <f t="shared" si="37"/>
        <v>0.27619047619047621</v>
      </c>
      <c r="AX61" s="1924">
        <f t="shared" si="38"/>
        <v>0.30630630630630629</v>
      </c>
      <c r="AY61" s="1924">
        <f t="shared" si="39"/>
        <v>0.32330827067669171</v>
      </c>
      <c r="AZ61" s="1924">
        <f t="shared" si="40"/>
        <v>0.28025477707006369</v>
      </c>
      <c r="BA61" s="1924">
        <f t="shared" si="41"/>
        <v>0.27407407407407408</v>
      </c>
      <c r="BB61" s="1924">
        <f t="shared" si="42"/>
        <v>0.28888888888888886</v>
      </c>
      <c r="BC61" s="1924">
        <f t="shared" si="43"/>
        <v>0.29629629629629628</v>
      </c>
      <c r="BD61" s="1924">
        <f t="shared" si="44"/>
        <v>0.26114649681528662</v>
      </c>
      <c r="BE61" s="1924">
        <f t="shared" si="45"/>
        <v>0.30519480519480519</v>
      </c>
      <c r="BF61" s="1924">
        <f t="shared" si="46"/>
        <v>0.30769230769230771</v>
      </c>
      <c r="BG61" s="1924">
        <f t="shared" si="47"/>
        <v>0.33812949640287771</v>
      </c>
      <c r="BH61" s="1924">
        <f t="shared" si="48"/>
        <v>0.34931506849315069</v>
      </c>
      <c r="BI61" s="1924">
        <f t="shared" si="49"/>
        <v>0.2846153846153846</v>
      </c>
      <c r="BJ61" s="1925">
        <f t="shared" si="50"/>
        <v>0.36363636363636365</v>
      </c>
      <c r="BK61" s="1926">
        <f>'Non-marital births'!L62</f>
        <v>0.39830508474576271</v>
      </c>
      <c r="BL61" s="1927">
        <v>0.3867924528301887</v>
      </c>
      <c r="BM61" s="1928">
        <f t="shared" si="51"/>
        <v>0.31292517006802723</v>
      </c>
      <c r="BN61" s="2348">
        <f t="shared" si="52"/>
        <v>0.35664335664335667</v>
      </c>
      <c r="BO61" s="2348">
        <f t="shared" si="35"/>
        <v>0.31343283582089554</v>
      </c>
      <c r="BP61" s="2343">
        <f t="shared" si="35"/>
        <v>0.39830508474576271</v>
      </c>
    </row>
    <row r="62" spans="1:68" s="142" customFormat="1" ht="13.5" customHeight="1" x14ac:dyDescent="0.3">
      <c r="A62" s="149" t="s">
        <v>146</v>
      </c>
      <c r="B62" s="185" t="s">
        <v>147</v>
      </c>
      <c r="C62" s="150" t="s">
        <v>252</v>
      </c>
      <c r="D62" s="938">
        <v>74</v>
      </c>
      <c r="E62" s="939">
        <v>55</v>
      </c>
      <c r="F62" s="940">
        <v>75</v>
      </c>
      <c r="G62" s="939">
        <v>66</v>
      </c>
      <c r="H62" s="940">
        <v>91</v>
      </c>
      <c r="I62" s="939">
        <v>71</v>
      </c>
      <c r="J62" s="940">
        <v>56</v>
      </c>
      <c r="K62" s="939">
        <v>54</v>
      </c>
      <c r="L62" s="953">
        <v>80</v>
      </c>
      <c r="M62" s="953">
        <v>67</v>
      </c>
      <c r="N62" s="953">
        <v>72</v>
      </c>
      <c r="O62" s="953">
        <v>68</v>
      </c>
      <c r="P62" s="954">
        <v>63</v>
      </c>
      <c r="Q62" s="954">
        <v>64</v>
      </c>
      <c r="R62" s="1107">
        <v>71</v>
      </c>
      <c r="S62" s="1367">
        <v>53</v>
      </c>
      <c r="T62" s="1908">
        <v>60</v>
      </c>
      <c r="U62" s="1908">
        <v>66</v>
      </c>
      <c r="V62" s="2291">
        <v>56</v>
      </c>
      <c r="W62" s="1367">
        <v>69</v>
      </c>
      <c r="X62" s="2351">
        <v>45</v>
      </c>
      <c r="Y62" s="1273"/>
      <c r="Z62" s="961">
        <v>19</v>
      </c>
      <c r="AA62" s="962">
        <v>13</v>
      </c>
      <c r="AB62" s="962">
        <v>22</v>
      </c>
      <c r="AC62" s="962">
        <v>19</v>
      </c>
      <c r="AD62" s="962">
        <v>27</v>
      </c>
      <c r="AE62" s="962">
        <v>20</v>
      </c>
      <c r="AF62" s="962">
        <v>17</v>
      </c>
      <c r="AG62" s="962">
        <v>22</v>
      </c>
      <c r="AH62" s="962">
        <v>35</v>
      </c>
      <c r="AI62" s="962">
        <v>22</v>
      </c>
      <c r="AJ62" s="962">
        <v>27</v>
      </c>
      <c r="AK62" s="962">
        <v>28</v>
      </c>
      <c r="AL62" s="962">
        <v>25</v>
      </c>
      <c r="AM62" s="962">
        <v>25</v>
      </c>
      <c r="AN62" s="1110">
        <v>24</v>
      </c>
      <c r="AO62" s="1368">
        <v>27</v>
      </c>
      <c r="AP62" s="1369">
        <v>23</v>
      </c>
      <c r="AQ62" s="1368">
        <v>20</v>
      </c>
      <c r="AR62" s="2289">
        <v>24</v>
      </c>
      <c r="AS62" s="1368">
        <v>17</v>
      </c>
      <c r="AT62" s="2353">
        <v>16</v>
      </c>
      <c r="AU62" s="1274"/>
      <c r="AV62" s="1923">
        <f t="shared" si="36"/>
        <v>0.25675675675675674</v>
      </c>
      <c r="AW62" s="1924">
        <f t="shared" si="37"/>
        <v>0.23636363636363636</v>
      </c>
      <c r="AX62" s="1924">
        <f t="shared" si="38"/>
        <v>0.29333333333333333</v>
      </c>
      <c r="AY62" s="1924">
        <f t="shared" si="39"/>
        <v>0.2878787878787879</v>
      </c>
      <c r="AZ62" s="1924">
        <f t="shared" si="40"/>
        <v>0.2967032967032967</v>
      </c>
      <c r="BA62" s="1924">
        <f t="shared" si="41"/>
        <v>0.28169014084507044</v>
      </c>
      <c r="BB62" s="1924">
        <f t="shared" si="42"/>
        <v>0.30357142857142855</v>
      </c>
      <c r="BC62" s="1924">
        <f t="shared" si="43"/>
        <v>0.40740740740740738</v>
      </c>
      <c r="BD62" s="1924">
        <f t="shared" si="44"/>
        <v>0.4375</v>
      </c>
      <c r="BE62" s="1924">
        <f t="shared" si="45"/>
        <v>0.32835820895522388</v>
      </c>
      <c r="BF62" s="1924">
        <f t="shared" si="46"/>
        <v>0.375</v>
      </c>
      <c r="BG62" s="1924">
        <f t="shared" si="47"/>
        <v>0.41176470588235292</v>
      </c>
      <c r="BH62" s="1924">
        <f t="shared" si="48"/>
        <v>0.3968253968253968</v>
      </c>
      <c r="BI62" s="1924">
        <f t="shared" si="49"/>
        <v>0.390625</v>
      </c>
      <c r="BJ62" s="1925">
        <f t="shared" si="50"/>
        <v>0.3380281690140845</v>
      </c>
      <c r="BK62" s="1926">
        <f>'Non-marital births'!L63</f>
        <v>0.35555555555555557</v>
      </c>
      <c r="BL62" s="1927">
        <v>0.38333333333333336</v>
      </c>
      <c r="BM62" s="1928">
        <f t="shared" si="51"/>
        <v>0.30303030303030304</v>
      </c>
      <c r="BN62" s="2348">
        <f t="shared" si="52"/>
        <v>0.42857142857142855</v>
      </c>
      <c r="BO62" s="2348">
        <f t="shared" si="35"/>
        <v>0.24637681159420291</v>
      </c>
      <c r="BP62" s="2343">
        <f t="shared" si="35"/>
        <v>0.35555555555555557</v>
      </c>
    </row>
    <row r="63" spans="1:68" s="142" customFormat="1" ht="13.5" customHeight="1" x14ac:dyDescent="0.3">
      <c r="A63" s="149" t="s">
        <v>148</v>
      </c>
      <c r="B63" s="185" t="s">
        <v>149</v>
      </c>
      <c r="C63" s="150" t="s">
        <v>253</v>
      </c>
      <c r="D63" s="938">
        <v>372</v>
      </c>
      <c r="E63" s="939">
        <v>359</v>
      </c>
      <c r="F63" s="940">
        <v>332</v>
      </c>
      <c r="G63" s="939">
        <v>356</v>
      </c>
      <c r="H63" s="940">
        <v>344</v>
      </c>
      <c r="I63" s="939">
        <v>383</v>
      </c>
      <c r="J63" s="940">
        <v>325</v>
      </c>
      <c r="K63" s="939">
        <v>328</v>
      </c>
      <c r="L63" s="953">
        <v>347</v>
      </c>
      <c r="M63" s="953">
        <v>317</v>
      </c>
      <c r="N63" s="953">
        <v>303</v>
      </c>
      <c r="O63" s="953">
        <v>313</v>
      </c>
      <c r="P63" s="954">
        <v>305</v>
      </c>
      <c r="Q63" s="954">
        <v>294</v>
      </c>
      <c r="R63" s="1107">
        <v>293</v>
      </c>
      <c r="S63" s="1367">
        <v>282</v>
      </c>
      <c r="T63" s="1908">
        <v>288</v>
      </c>
      <c r="U63" s="1908">
        <v>274</v>
      </c>
      <c r="V63" s="2291">
        <v>311</v>
      </c>
      <c r="W63" s="1367">
        <v>310</v>
      </c>
      <c r="X63" s="2351">
        <v>326</v>
      </c>
      <c r="Y63" s="1273"/>
      <c r="Z63" s="961">
        <v>197</v>
      </c>
      <c r="AA63" s="962">
        <v>174</v>
      </c>
      <c r="AB63" s="962">
        <v>176</v>
      </c>
      <c r="AC63" s="962">
        <v>197</v>
      </c>
      <c r="AD63" s="962">
        <v>178</v>
      </c>
      <c r="AE63" s="962">
        <v>190</v>
      </c>
      <c r="AF63" s="962">
        <v>172</v>
      </c>
      <c r="AG63" s="962">
        <v>167</v>
      </c>
      <c r="AH63" s="962">
        <v>162</v>
      </c>
      <c r="AI63" s="962">
        <v>178</v>
      </c>
      <c r="AJ63" s="962">
        <v>163</v>
      </c>
      <c r="AK63" s="962">
        <v>194</v>
      </c>
      <c r="AL63" s="962">
        <v>168</v>
      </c>
      <c r="AM63" s="962">
        <v>178</v>
      </c>
      <c r="AN63" s="1110">
        <v>168</v>
      </c>
      <c r="AO63" s="1368">
        <v>140</v>
      </c>
      <c r="AP63" s="1369">
        <v>149</v>
      </c>
      <c r="AQ63" s="1368">
        <v>156</v>
      </c>
      <c r="AR63" s="2289">
        <v>166</v>
      </c>
      <c r="AS63" s="1368">
        <v>172</v>
      </c>
      <c r="AT63" s="2353">
        <v>185</v>
      </c>
      <c r="AU63" s="1274"/>
      <c r="AV63" s="1923">
        <f t="shared" si="36"/>
        <v>0.52956989247311825</v>
      </c>
      <c r="AW63" s="1924">
        <f t="shared" si="37"/>
        <v>0.48467966573816157</v>
      </c>
      <c r="AX63" s="1924">
        <f t="shared" si="38"/>
        <v>0.53012048192771088</v>
      </c>
      <c r="AY63" s="1924">
        <f t="shared" si="39"/>
        <v>0.5533707865168539</v>
      </c>
      <c r="AZ63" s="1924">
        <f t="shared" si="40"/>
        <v>0.51744186046511631</v>
      </c>
      <c r="BA63" s="1924">
        <f t="shared" si="41"/>
        <v>0.4960835509138381</v>
      </c>
      <c r="BB63" s="1924">
        <f t="shared" si="42"/>
        <v>0.52923076923076928</v>
      </c>
      <c r="BC63" s="1924">
        <f t="shared" si="43"/>
        <v>0.50914634146341464</v>
      </c>
      <c r="BD63" s="1924">
        <f t="shared" si="44"/>
        <v>0.4668587896253602</v>
      </c>
      <c r="BE63" s="1924">
        <f t="shared" si="45"/>
        <v>0.56151419558359617</v>
      </c>
      <c r="BF63" s="1924">
        <f t="shared" si="46"/>
        <v>0.53795379537953791</v>
      </c>
      <c r="BG63" s="1924">
        <f t="shared" si="47"/>
        <v>0.61980830670926512</v>
      </c>
      <c r="BH63" s="1924">
        <f t="shared" si="48"/>
        <v>0.55081967213114758</v>
      </c>
      <c r="BI63" s="1924">
        <f t="shared" si="49"/>
        <v>0.60544217687074831</v>
      </c>
      <c r="BJ63" s="1925">
        <f t="shared" si="50"/>
        <v>0.57337883959044367</v>
      </c>
      <c r="BK63" s="1926">
        <f>'Non-marital births'!L64</f>
        <v>0.56748466257668717</v>
      </c>
      <c r="BL63" s="1927">
        <v>0.51736111111111116</v>
      </c>
      <c r="BM63" s="1928">
        <f t="shared" si="51"/>
        <v>0.56934306569343063</v>
      </c>
      <c r="BN63" s="2348">
        <f t="shared" si="52"/>
        <v>0.5337620578778135</v>
      </c>
      <c r="BO63" s="2348">
        <f t="shared" si="35"/>
        <v>0.55483870967741933</v>
      </c>
      <c r="BP63" s="2343">
        <f t="shared" si="35"/>
        <v>0.56748466257668717</v>
      </c>
    </row>
    <row r="64" spans="1:68" s="142" customFormat="1" ht="13.5" customHeight="1" x14ac:dyDescent="0.3">
      <c r="A64" s="149" t="s">
        <v>150</v>
      </c>
      <c r="B64" s="185" t="s">
        <v>151</v>
      </c>
      <c r="C64" s="150" t="s">
        <v>254</v>
      </c>
      <c r="D64" s="938">
        <v>72</v>
      </c>
      <c r="E64" s="939">
        <v>85</v>
      </c>
      <c r="F64" s="940">
        <v>83</v>
      </c>
      <c r="G64" s="939">
        <v>76</v>
      </c>
      <c r="H64" s="940">
        <v>76</v>
      </c>
      <c r="I64" s="939">
        <v>71</v>
      </c>
      <c r="J64" s="940">
        <v>82</v>
      </c>
      <c r="K64" s="939">
        <v>75</v>
      </c>
      <c r="L64" s="953">
        <v>68</v>
      </c>
      <c r="M64" s="953">
        <v>96</v>
      </c>
      <c r="N64" s="953">
        <v>87</v>
      </c>
      <c r="O64" s="953">
        <v>88</v>
      </c>
      <c r="P64" s="954">
        <v>81</v>
      </c>
      <c r="Q64" s="954">
        <v>94</v>
      </c>
      <c r="R64" s="1107">
        <v>99</v>
      </c>
      <c r="S64" s="1367">
        <v>79</v>
      </c>
      <c r="T64" s="1908">
        <v>102</v>
      </c>
      <c r="U64" s="1908">
        <v>92</v>
      </c>
      <c r="V64" s="2291">
        <v>94</v>
      </c>
      <c r="W64" s="1367">
        <v>93</v>
      </c>
      <c r="X64" s="2351">
        <v>80</v>
      </c>
      <c r="Y64" s="1273"/>
      <c r="Z64" s="961">
        <v>30</v>
      </c>
      <c r="AA64" s="962">
        <v>28</v>
      </c>
      <c r="AB64" s="962">
        <v>21</v>
      </c>
      <c r="AC64" s="962">
        <v>31</v>
      </c>
      <c r="AD64" s="962">
        <v>29</v>
      </c>
      <c r="AE64" s="962">
        <v>34</v>
      </c>
      <c r="AF64" s="962">
        <v>31</v>
      </c>
      <c r="AG64" s="962">
        <v>26</v>
      </c>
      <c r="AH64" s="962">
        <v>28</v>
      </c>
      <c r="AI64" s="962">
        <v>41</v>
      </c>
      <c r="AJ64" s="962">
        <v>37</v>
      </c>
      <c r="AK64" s="962">
        <v>38</v>
      </c>
      <c r="AL64" s="962">
        <v>38</v>
      </c>
      <c r="AM64" s="962">
        <v>35</v>
      </c>
      <c r="AN64" s="1110">
        <v>46</v>
      </c>
      <c r="AO64" s="1368">
        <v>40</v>
      </c>
      <c r="AP64" s="1369">
        <v>54</v>
      </c>
      <c r="AQ64" s="1368">
        <v>44</v>
      </c>
      <c r="AR64" s="2289">
        <v>46</v>
      </c>
      <c r="AS64" s="1368">
        <v>51</v>
      </c>
      <c r="AT64" s="2353">
        <v>37</v>
      </c>
      <c r="AU64" s="1274"/>
      <c r="AV64" s="1923">
        <f t="shared" si="36"/>
        <v>0.41666666666666669</v>
      </c>
      <c r="AW64" s="1924">
        <f t="shared" si="37"/>
        <v>0.32941176470588235</v>
      </c>
      <c r="AX64" s="1924">
        <f t="shared" si="38"/>
        <v>0.25301204819277107</v>
      </c>
      <c r="AY64" s="1924">
        <f t="shared" si="39"/>
        <v>0.40789473684210525</v>
      </c>
      <c r="AZ64" s="1924">
        <f t="shared" si="40"/>
        <v>0.38157894736842107</v>
      </c>
      <c r="BA64" s="1924">
        <f t="shared" si="41"/>
        <v>0.47887323943661969</v>
      </c>
      <c r="BB64" s="1924">
        <f t="shared" si="42"/>
        <v>0.37804878048780488</v>
      </c>
      <c r="BC64" s="1924">
        <f t="shared" si="43"/>
        <v>0.34666666666666668</v>
      </c>
      <c r="BD64" s="1924">
        <f t="shared" si="44"/>
        <v>0.41176470588235292</v>
      </c>
      <c r="BE64" s="1924">
        <f t="shared" si="45"/>
        <v>0.42708333333333331</v>
      </c>
      <c r="BF64" s="1924">
        <f t="shared" si="46"/>
        <v>0.42528735632183906</v>
      </c>
      <c r="BG64" s="1924">
        <f t="shared" si="47"/>
        <v>0.43181818181818182</v>
      </c>
      <c r="BH64" s="1924">
        <f t="shared" si="48"/>
        <v>0.46913580246913578</v>
      </c>
      <c r="BI64" s="1924">
        <f t="shared" si="49"/>
        <v>0.37234042553191488</v>
      </c>
      <c r="BJ64" s="1925">
        <f t="shared" si="50"/>
        <v>0.46464646464646464</v>
      </c>
      <c r="BK64" s="1926">
        <f>'Non-marital births'!L65</f>
        <v>0.46250000000000002</v>
      </c>
      <c r="BL64" s="1927">
        <v>0.52941176470588236</v>
      </c>
      <c r="BM64" s="1928">
        <f t="shared" si="51"/>
        <v>0.47826086956521741</v>
      </c>
      <c r="BN64" s="2348">
        <f t="shared" si="52"/>
        <v>0.48936170212765956</v>
      </c>
      <c r="BO64" s="2348">
        <f t="shared" si="35"/>
        <v>0.54838709677419351</v>
      </c>
      <c r="BP64" s="2343">
        <f t="shared" si="35"/>
        <v>0.46250000000000002</v>
      </c>
    </row>
    <row r="65" spans="1:68" s="142" customFormat="1" ht="13.5" customHeight="1" x14ac:dyDescent="0.3">
      <c r="A65" s="149" t="s">
        <v>152</v>
      </c>
      <c r="B65" s="185" t="s">
        <v>153</v>
      </c>
      <c r="C65" s="150" t="s">
        <v>256</v>
      </c>
      <c r="D65" s="938">
        <v>791</v>
      </c>
      <c r="E65" s="939">
        <v>814</v>
      </c>
      <c r="F65" s="940">
        <v>822</v>
      </c>
      <c r="G65" s="939">
        <v>782</v>
      </c>
      <c r="H65" s="940">
        <v>779</v>
      </c>
      <c r="I65" s="939">
        <v>832</v>
      </c>
      <c r="J65" s="940">
        <v>840</v>
      </c>
      <c r="K65" s="939">
        <v>821</v>
      </c>
      <c r="L65" s="953">
        <v>887</v>
      </c>
      <c r="M65" s="953">
        <v>967</v>
      </c>
      <c r="N65" s="953">
        <v>895</v>
      </c>
      <c r="O65" s="953">
        <v>840</v>
      </c>
      <c r="P65" s="954">
        <v>877</v>
      </c>
      <c r="Q65" s="954">
        <v>891</v>
      </c>
      <c r="R65" s="1107">
        <v>961</v>
      </c>
      <c r="S65" s="1367">
        <v>867</v>
      </c>
      <c r="T65" s="1908">
        <v>892</v>
      </c>
      <c r="U65" s="1908">
        <v>851</v>
      </c>
      <c r="V65" s="2291">
        <v>842</v>
      </c>
      <c r="W65" s="1367">
        <v>819</v>
      </c>
      <c r="X65" s="2351">
        <v>825</v>
      </c>
      <c r="Y65" s="1273"/>
      <c r="Z65" s="961">
        <v>168</v>
      </c>
      <c r="AA65" s="962">
        <v>168</v>
      </c>
      <c r="AB65" s="962">
        <v>196</v>
      </c>
      <c r="AC65" s="962">
        <v>158</v>
      </c>
      <c r="AD65" s="962">
        <v>162</v>
      </c>
      <c r="AE65" s="962">
        <v>196</v>
      </c>
      <c r="AF65" s="962">
        <v>193</v>
      </c>
      <c r="AG65" s="962">
        <v>218</v>
      </c>
      <c r="AH65" s="962">
        <v>216</v>
      </c>
      <c r="AI65" s="962">
        <v>265</v>
      </c>
      <c r="AJ65" s="962">
        <v>265</v>
      </c>
      <c r="AK65" s="962">
        <v>245</v>
      </c>
      <c r="AL65" s="962">
        <v>243</v>
      </c>
      <c r="AM65" s="962">
        <v>247</v>
      </c>
      <c r="AN65" s="1110">
        <v>240</v>
      </c>
      <c r="AO65" s="1368">
        <v>245</v>
      </c>
      <c r="AP65" s="1369">
        <v>230</v>
      </c>
      <c r="AQ65" s="1368">
        <v>231</v>
      </c>
      <c r="AR65" s="2289">
        <v>216</v>
      </c>
      <c r="AS65" s="1368">
        <v>224</v>
      </c>
      <c r="AT65" s="2353">
        <v>238</v>
      </c>
      <c r="AU65" s="1274"/>
      <c r="AV65" s="1923">
        <f t="shared" si="36"/>
        <v>0.21238938053097345</v>
      </c>
      <c r="AW65" s="1924">
        <f t="shared" si="37"/>
        <v>0.20638820638820637</v>
      </c>
      <c r="AX65" s="1924">
        <f t="shared" si="38"/>
        <v>0.23844282238442821</v>
      </c>
      <c r="AY65" s="1924">
        <f t="shared" si="39"/>
        <v>0.20204603580562661</v>
      </c>
      <c r="AZ65" s="1924">
        <f t="shared" si="40"/>
        <v>0.2079589216944801</v>
      </c>
      <c r="BA65" s="1924">
        <f t="shared" si="41"/>
        <v>0.23557692307692307</v>
      </c>
      <c r="BB65" s="1924">
        <f t="shared" si="42"/>
        <v>0.22976190476190475</v>
      </c>
      <c r="BC65" s="1924">
        <f t="shared" si="43"/>
        <v>0.26552984165651644</v>
      </c>
      <c r="BD65" s="1924">
        <f t="shared" si="44"/>
        <v>0.24351747463359638</v>
      </c>
      <c r="BE65" s="1924">
        <f t="shared" si="45"/>
        <v>0.27404343329886244</v>
      </c>
      <c r="BF65" s="1924">
        <f t="shared" si="46"/>
        <v>0.29608938547486036</v>
      </c>
      <c r="BG65" s="1924">
        <f t="shared" si="47"/>
        <v>0.29166666666666669</v>
      </c>
      <c r="BH65" s="1924">
        <f t="shared" si="48"/>
        <v>0.27708095781071834</v>
      </c>
      <c r="BI65" s="1924">
        <f t="shared" si="49"/>
        <v>0.2772166105499439</v>
      </c>
      <c r="BJ65" s="1925">
        <f t="shared" si="50"/>
        <v>0.2497398543184183</v>
      </c>
      <c r="BK65" s="1926">
        <f>'Non-marital births'!L66</f>
        <v>0.28848484848484851</v>
      </c>
      <c r="BL65" s="1927">
        <v>0.25784753363228702</v>
      </c>
      <c r="BM65" s="1928">
        <f t="shared" si="51"/>
        <v>0.27144535840188017</v>
      </c>
      <c r="BN65" s="2348">
        <f t="shared" si="52"/>
        <v>0.25653206650831356</v>
      </c>
      <c r="BO65" s="2348">
        <f t="shared" si="35"/>
        <v>0.27350427350427353</v>
      </c>
      <c r="BP65" s="2343">
        <f t="shared" si="35"/>
        <v>0.28848484848484851</v>
      </c>
    </row>
    <row r="66" spans="1:68" s="142" customFormat="1" ht="13.5" customHeight="1" x14ac:dyDescent="0.3">
      <c r="A66" s="149" t="s">
        <v>154</v>
      </c>
      <c r="B66" s="185" t="s">
        <v>155</v>
      </c>
      <c r="C66" s="150" t="s">
        <v>253</v>
      </c>
      <c r="D66" s="938">
        <v>181</v>
      </c>
      <c r="E66" s="939">
        <v>160</v>
      </c>
      <c r="F66" s="940">
        <v>158</v>
      </c>
      <c r="G66" s="939">
        <v>155</v>
      </c>
      <c r="H66" s="940">
        <v>147</v>
      </c>
      <c r="I66" s="939">
        <v>164</v>
      </c>
      <c r="J66" s="940">
        <v>154</v>
      </c>
      <c r="K66" s="939">
        <v>147</v>
      </c>
      <c r="L66" s="953">
        <v>143</v>
      </c>
      <c r="M66" s="953">
        <v>159</v>
      </c>
      <c r="N66" s="953">
        <v>168</v>
      </c>
      <c r="O66" s="953">
        <v>141</v>
      </c>
      <c r="P66" s="954">
        <v>146</v>
      </c>
      <c r="Q66" s="954">
        <v>125</v>
      </c>
      <c r="R66" s="1107">
        <v>137</v>
      </c>
      <c r="S66" s="1367">
        <v>125</v>
      </c>
      <c r="T66" s="1908">
        <v>136</v>
      </c>
      <c r="U66" s="1908">
        <v>126</v>
      </c>
      <c r="V66" s="2291">
        <v>115</v>
      </c>
      <c r="W66" s="1367">
        <v>148</v>
      </c>
      <c r="X66" s="2351">
        <v>136</v>
      </c>
      <c r="Y66" s="1273"/>
      <c r="Z66" s="961">
        <v>63</v>
      </c>
      <c r="AA66" s="962">
        <v>49</v>
      </c>
      <c r="AB66" s="962">
        <v>68</v>
      </c>
      <c r="AC66" s="962">
        <v>48</v>
      </c>
      <c r="AD66" s="962">
        <v>47</v>
      </c>
      <c r="AE66" s="962">
        <v>56</v>
      </c>
      <c r="AF66" s="962">
        <v>48</v>
      </c>
      <c r="AG66" s="962">
        <v>56</v>
      </c>
      <c r="AH66" s="962">
        <v>53</v>
      </c>
      <c r="AI66" s="962">
        <v>77</v>
      </c>
      <c r="AJ66" s="962">
        <v>63</v>
      </c>
      <c r="AK66" s="962">
        <v>66</v>
      </c>
      <c r="AL66" s="962">
        <v>57</v>
      </c>
      <c r="AM66" s="962">
        <v>54</v>
      </c>
      <c r="AN66" s="1110">
        <v>52</v>
      </c>
      <c r="AO66" s="1368">
        <v>52</v>
      </c>
      <c r="AP66" s="1369">
        <v>56</v>
      </c>
      <c r="AQ66" s="1368">
        <v>44</v>
      </c>
      <c r="AR66" s="2289">
        <v>42</v>
      </c>
      <c r="AS66" s="1368">
        <v>61</v>
      </c>
      <c r="AT66" s="2353">
        <v>60</v>
      </c>
      <c r="AU66" s="1274"/>
      <c r="AV66" s="1923">
        <f t="shared" si="36"/>
        <v>0.34806629834254144</v>
      </c>
      <c r="AW66" s="1924">
        <f t="shared" si="37"/>
        <v>0.30625000000000002</v>
      </c>
      <c r="AX66" s="1924">
        <f t="shared" si="38"/>
        <v>0.43037974683544306</v>
      </c>
      <c r="AY66" s="1924">
        <f t="shared" si="39"/>
        <v>0.30967741935483872</v>
      </c>
      <c r="AZ66" s="1924">
        <f t="shared" si="40"/>
        <v>0.31972789115646261</v>
      </c>
      <c r="BA66" s="1924">
        <f t="shared" si="41"/>
        <v>0.34146341463414637</v>
      </c>
      <c r="BB66" s="1924">
        <f t="shared" si="42"/>
        <v>0.31168831168831168</v>
      </c>
      <c r="BC66" s="1924">
        <f t="shared" si="43"/>
        <v>0.38095238095238093</v>
      </c>
      <c r="BD66" s="1924">
        <f t="shared" si="44"/>
        <v>0.37062937062937062</v>
      </c>
      <c r="BE66" s="1924">
        <f t="shared" si="45"/>
        <v>0.48427672955974843</v>
      </c>
      <c r="BF66" s="1924">
        <f t="shared" si="46"/>
        <v>0.375</v>
      </c>
      <c r="BG66" s="1924">
        <f t="shared" si="47"/>
        <v>0.46808510638297873</v>
      </c>
      <c r="BH66" s="1924">
        <f t="shared" si="48"/>
        <v>0.3904109589041096</v>
      </c>
      <c r="BI66" s="1924">
        <f t="shared" si="49"/>
        <v>0.432</v>
      </c>
      <c r="BJ66" s="1925">
        <f t="shared" si="50"/>
        <v>0.37956204379562042</v>
      </c>
      <c r="BK66" s="1926">
        <f>'Non-marital births'!L67</f>
        <v>0.44117647058823528</v>
      </c>
      <c r="BL66" s="1927">
        <v>0.41176470588235292</v>
      </c>
      <c r="BM66" s="1928">
        <f t="shared" si="51"/>
        <v>0.34920634920634919</v>
      </c>
      <c r="BN66" s="2348">
        <f t="shared" si="52"/>
        <v>0.36521739130434783</v>
      </c>
      <c r="BO66" s="2348">
        <f t="shared" si="35"/>
        <v>0.41216216216216217</v>
      </c>
      <c r="BP66" s="2343">
        <f t="shared" si="35"/>
        <v>0.44117647058823528</v>
      </c>
    </row>
    <row r="67" spans="1:68" s="142" customFormat="1" ht="13.5" customHeight="1" x14ac:dyDescent="0.3">
      <c r="A67" s="149" t="s">
        <v>156</v>
      </c>
      <c r="B67" s="185" t="s">
        <v>157</v>
      </c>
      <c r="C67" s="150" t="s">
        <v>254</v>
      </c>
      <c r="D67" s="938">
        <v>140</v>
      </c>
      <c r="E67" s="939">
        <v>135</v>
      </c>
      <c r="F67" s="940">
        <v>157</v>
      </c>
      <c r="G67" s="939">
        <v>137</v>
      </c>
      <c r="H67" s="940">
        <v>159</v>
      </c>
      <c r="I67" s="939">
        <v>141</v>
      </c>
      <c r="J67" s="940">
        <v>175</v>
      </c>
      <c r="K67" s="939">
        <v>174</v>
      </c>
      <c r="L67" s="953">
        <v>172</v>
      </c>
      <c r="M67" s="953">
        <v>180</v>
      </c>
      <c r="N67" s="953">
        <v>156</v>
      </c>
      <c r="O67" s="953">
        <v>172</v>
      </c>
      <c r="P67" s="954">
        <v>191</v>
      </c>
      <c r="Q67" s="954">
        <v>191</v>
      </c>
      <c r="R67" s="1107">
        <v>190</v>
      </c>
      <c r="S67" s="1367">
        <v>164</v>
      </c>
      <c r="T67" s="1908">
        <v>192</v>
      </c>
      <c r="U67" s="1908">
        <v>198</v>
      </c>
      <c r="V67" s="2291">
        <v>217</v>
      </c>
      <c r="W67" s="1367">
        <v>224</v>
      </c>
      <c r="X67" s="2351">
        <v>214</v>
      </c>
      <c r="Y67" s="1273"/>
      <c r="Z67" s="961">
        <v>34</v>
      </c>
      <c r="AA67" s="962">
        <v>28</v>
      </c>
      <c r="AB67" s="962">
        <v>29</v>
      </c>
      <c r="AC67" s="962">
        <v>32</v>
      </c>
      <c r="AD67" s="962">
        <v>39</v>
      </c>
      <c r="AE67" s="962">
        <v>23</v>
      </c>
      <c r="AF67" s="962">
        <v>35</v>
      </c>
      <c r="AG67" s="962">
        <v>43</v>
      </c>
      <c r="AH67" s="962">
        <v>42</v>
      </c>
      <c r="AI67" s="962">
        <v>44</v>
      </c>
      <c r="AJ67" s="962">
        <v>45</v>
      </c>
      <c r="AK67" s="962">
        <v>53</v>
      </c>
      <c r="AL67" s="962">
        <v>60</v>
      </c>
      <c r="AM67" s="962">
        <v>49</v>
      </c>
      <c r="AN67" s="1110">
        <v>49</v>
      </c>
      <c r="AO67" s="1368">
        <v>46</v>
      </c>
      <c r="AP67" s="1369">
        <v>61</v>
      </c>
      <c r="AQ67" s="1368">
        <v>51</v>
      </c>
      <c r="AR67" s="2289">
        <v>58</v>
      </c>
      <c r="AS67" s="1368">
        <v>61</v>
      </c>
      <c r="AT67" s="2353">
        <v>61</v>
      </c>
      <c r="AU67" s="1274"/>
      <c r="AV67" s="1923">
        <f t="shared" si="36"/>
        <v>0.24285714285714285</v>
      </c>
      <c r="AW67" s="1924">
        <f t="shared" si="37"/>
        <v>0.2074074074074074</v>
      </c>
      <c r="AX67" s="1924">
        <f t="shared" si="38"/>
        <v>0.18471337579617833</v>
      </c>
      <c r="AY67" s="1924">
        <f t="shared" si="39"/>
        <v>0.23357664233576642</v>
      </c>
      <c r="AZ67" s="1924">
        <f t="shared" si="40"/>
        <v>0.24528301886792453</v>
      </c>
      <c r="BA67" s="1924">
        <f t="shared" si="41"/>
        <v>0.16312056737588654</v>
      </c>
      <c r="BB67" s="1924">
        <f t="shared" si="42"/>
        <v>0.2</v>
      </c>
      <c r="BC67" s="1924">
        <f t="shared" si="43"/>
        <v>0.2471264367816092</v>
      </c>
      <c r="BD67" s="1924">
        <f t="shared" si="44"/>
        <v>0.2441860465116279</v>
      </c>
      <c r="BE67" s="1924">
        <f t="shared" si="45"/>
        <v>0.24444444444444444</v>
      </c>
      <c r="BF67" s="1924">
        <f t="shared" si="46"/>
        <v>0.28846153846153844</v>
      </c>
      <c r="BG67" s="1924">
        <f t="shared" si="47"/>
        <v>0.30813953488372092</v>
      </c>
      <c r="BH67" s="1924">
        <f t="shared" si="48"/>
        <v>0.31413612565445026</v>
      </c>
      <c r="BI67" s="1924">
        <f t="shared" si="49"/>
        <v>0.25654450261780104</v>
      </c>
      <c r="BJ67" s="1925">
        <f t="shared" si="50"/>
        <v>0.25789473684210529</v>
      </c>
      <c r="BK67" s="1926">
        <f>'Non-marital births'!L68</f>
        <v>0.28504672897196259</v>
      </c>
      <c r="BL67" s="1927">
        <v>0.31770833333333331</v>
      </c>
      <c r="BM67" s="1928">
        <f t="shared" si="51"/>
        <v>0.25757575757575757</v>
      </c>
      <c r="BN67" s="2348">
        <f t="shared" si="52"/>
        <v>0.26728110599078342</v>
      </c>
      <c r="BO67" s="2348">
        <f t="shared" si="35"/>
        <v>0.27232142857142855</v>
      </c>
      <c r="BP67" s="2343">
        <f t="shared" si="35"/>
        <v>0.28504672897196259</v>
      </c>
    </row>
    <row r="68" spans="1:68" s="142" customFormat="1" ht="13.5" customHeight="1" x14ac:dyDescent="0.3">
      <c r="A68" s="149" t="s">
        <v>162</v>
      </c>
      <c r="B68" s="185" t="s">
        <v>163</v>
      </c>
      <c r="C68" s="150" t="s">
        <v>252</v>
      </c>
      <c r="D68" s="938">
        <v>147</v>
      </c>
      <c r="E68" s="939">
        <v>188</v>
      </c>
      <c r="F68" s="940">
        <v>151</v>
      </c>
      <c r="G68" s="939">
        <v>188</v>
      </c>
      <c r="H68" s="940">
        <v>135</v>
      </c>
      <c r="I68" s="939">
        <v>166</v>
      </c>
      <c r="J68" s="940">
        <v>162</v>
      </c>
      <c r="K68" s="939">
        <v>165</v>
      </c>
      <c r="L68" s="953">
        <v>165</v>
      </c>
      <c r="M68" s="953">
        <v>173</v>
      </c>
      <c r="N68" s="953">
        <v>165</v>
      </c>
      <c r="O68" s="953">
        <v>128</v>
      </c>
      <c r="P68" s="954">
        <v>159</v>
      </c>
      <c r="Q68" s="954">
        <v>162</v>
      </c>
      <c r="R68" s="1107">
        <v>118</v>
      </c>
      <c r="S68" s="1367">
        <v>145</v>
      </c>
      <c r="T68" s="1908">
        <v>131</v>
      </c>
      <c r="U68" s="1908">
        <v>116</v>
      </c>
      <c r="V68" s="2291">
        <v>108</v>
      </c>
      <c r="W68" s="1367">
        <v>133</v>
      </c>
      <c r="X68" s="2351">
        <v>128</v>
      </c>
      <c r="Y68" s="1273"/>
      <c r="Z68" s="961">
        <v>87</v>
      </c>
      <c r="AA68" s="962">
        <v>94</v>
      </c>
      <c r="AB68" s="962">
        <v>93</v>
      </c>
      <c r="AC68" s="962">
        <v>102</v>
      </c>
      <c r="AD68" s="962">
        <v>82</v>
      </c>
      <c r="AE68" s="962">
        <v>85</v>
      </c>
      <c r="AF68" s="962">
        <v>86</v>
      </c>
      <c r="AG68" s="962">
        <v>100</v>
      </c>
      <c r="AH68" s="962">
        <v>103</v>
      </c>
      <c r="AI68" s="962">
        <v>100</v>
      </c>
      <c r="AJ68" s="962">
        <v>103</v>
      </c>
      <c r="AK68" s="962">
        <v>77</v>
      </c>
      <c r="AL68" s="962">
        <v>95</v>
      </c>
      <c r="AM68" s="962">
        <v>110</v>
      </c>
      <c r="AN68" s="1110">
        <v>69</v>
      </c>
      <c r="AO68" s="1368">
        <v>84</v>
      </c>
      <c r="AP68" s="1369">
        <v>83</v>
      </c>
      <c r="AQ68" s="1368">
        <v>73</v>
      </c>
      <c r="AR68" s="2289">
        <v>64</v>
      </c>
      <c r="AS68" s="1368">
        <v>77</v>
      </c>
      <c r="AT68" s="2353">
        <v>74</v>
      </c>
      <c r="AU68" s="1274"/>
      <c r="AV68" s="1923">
        <f t="shared" si="36"/>
        <v>0.59183673469387754</v>
      </c>
      <c r="AW68" s="1924">
        <f t="shared" si="37"/>
        <v>0.5</v>
      </c>
      <c r="AX68" s="1924">
        <f t="shared" si="38"/>
        <v>0.61589403973509937</v>
      </c>
      <c r="AY68" s="1924">
        <f t="shared" si="39"/>
        <v>0.54255319148936165</v>
      </c>
      <c r="AZ68" s="1924">
        <f t="shared" si="40"/>
        <v>0.6074074074074074</v>
      </c>
      <c r="BA68" s="1924">
        <f t="shared" si="41"/>
        <v>0.51204819277108438</v>
      </c>
      <c r="BB68" s="1924">
        <f t="shared" si="42"/>
        <v>0.53086419753086422</v>
      </c>
      <c r="BC68" s="1924">
        <f t="shared" si="43"/>
        <v>0.60606060606060608</v>
      </c>
      <c r="BD68" s="1924">
        <f t="shared" si="44"/>
        <v>0.62424242424242427</v>
      </c>
      <c r="BE68" s="1924">
        <f t="shared" si="45"/>
        <v>0.5780346820809249</v>
      </c>
      <c r="BF68" s="1924">
        <f t="shared" si="46"/>
        <v>0.62424242424242427</v>
      </c>
      <c r="BG68" s="1924">
        <f t="shared" si="47"/>
        <v>0.6015625</v>
      </c>
      <c r="BH68" s="1924">
        <f t="shared" si="48"/>
        <v>0.59748427672955973</v>
      </c>
      <c r="BI68" s="1924">
        <f t="shared" si="49"/>
        <v>0.67901234567901236</v>
      </c>
      <c r="BJ68" s="1925">
        <f t="shared" si="50"/>
        <v>0.5847457627118644</v>
      </c>
      <c r="BK68" s="1926">
        <f>'Non-marital births'!L69</f>
        <v>0.578125</v>
      </c>
      <c r="BL68" s="1927">
        <v>0.63358778625954193</v>
      </c>
      <c r="BM68" s="1928">
        <f t="shared" si="51"/>
        <v>0.62931034482758619</v>
      </c>
      <c r="BN68" s="2348">
        <f t="shared" si="52"/>
        <v>0.59259259259259256</v>
      </c>
      <c r="BO68" s="2348">
        <f t="shared" si="35"/>
        <v>0.57894736842105265</v>
      </c>
      <c r="BP68" s="2343">
        <f t="shared" si="35"/>
        <v>0.578125</v>
      </c>
    </row>
    <row r="69" spans="1:68" s="142" customFormat="1" ht="13.5" customHeight="1" x14ac:dyDescent="0.3">
      <c r="A69" s="149" t="s">
        <v>164</v>
      </c>
      <c r="B69" s="185" t="s">
        <v>165</v>
      </c>
      <c r="C69" s="150" t="s">
        <v>254</v>
      </c>
      <c r="D69" s="938">
        <v>95</v>
      </c>
      <c r="E69" s="939">
        <v>118</v>
      </c>
      <c r="F69" s="940">
        <v>99</v>
      </c>
      <c r="G69" s="939">
        <v>124</v>
      </c>
      <c r="H69" s="940">
        <v>108</v>
      </c>
      <c r="I69" s="939">
        <v>97</v>
      </c>
      <c r="J69" s="940">
        <v>109</v>
      </c>
      <c r="K69" s="939">
        <v>121</v>
      </c>
      <c r="L69" s="953">
        <v>110</v>
      </c>
      <c r="M69" s="953">
        <v>105</v>
      </c>
      <c r="N69" s="953">
        <v>101</v>
      </c>
      <c r="O69" s="953">
        <v>111</v>
      </c>
      <c r="P69" s="954">
        <v>103</v>
      </c>
      <c r="Q69" s="954">
        <v>90</v>
      </c>
      <c r="R69" s="1107">
        <v>96</v>
      </c>
      <c r="S69" s="1367">
        <v>85</v>
      </c>
      <c r="T69" s="1908">
        <v>90</v>
      </c>
      <c r="U69" s="1908">
        <v>81</v>
      </c>
      <c r="V69" s="2291">
        <v>76</v>
      </c>
      <c r="W69" s="1367">
        <v>96</v>
      </c>
      <c r="X69" s="2351">
        <v>71</v>
      </c>
      <c r="Y69" s="1273"/>
      <c r="Z69" s="961">
        <v>42</v>
      </c>
      <c r="AA69" s="962">
        <v>54</v>
      </c>
      <c r="AB69" s="962">
        <v>47</v>
      </c>
      <c r="AC69" s="962">
        <v>60</v>
      </c>
      <c r="AD69" s="962">
        <v>62</v>
      </c>
      <c r="AE69" s="962">
        <v>50</v>
      </c>
      <c r="AF69" s="962">
        <v>50</v>
      </c>
      <c r="AG69" s="962">
        <v>63</v>
      </c>
      <c r="AH69" s="962">
        <v>60</v>
      </c>
      <c r="AI69" s="962">
        <v>62</v>
      </c>
      <c r="AJ69" s="962">
        <v>57</v>
      </c>
      <c r="AK69" s="962">
        <v>67</v>
      </c>
      <c r="AL69" s="962">
        <v>55</v>
      </c>
      <c r="AM69" s="962">
        <v>51</v>
      </c>
      <c r="AN69" s="1110">
        <v>55</v>
      </c>
      <c r="AO69" s="1368">
        <v>47</v>
      </c>
      <c r="AP69" s="1369">
        <v>49</v>
      </c>
      <c r="AQ69" s="1368">
        <v>42</v>
      </c>
      <c r="AR69" s="2289">
        <v>38</v>
      </c>
      <c r="AS69" s="1368">
        <v>60</v>
      </c>
      <c r="AT69" s="2353">
        <v>42</v>
      </c>
      <c r="AU69" s="1274"/>
      <c r="AV69" s="1923">
        <f t="shared" si="36"/>
        <v>0.44210526315789472</v>
      </c>
      <c r="AW69" s="1924">
        <f t="shared" si="37"/>
        <v>0.4576271186440678</v>
      </c>
      <c r="AX69" s="1924">
        <f t="shared" si="38"/>
        <v>0.47474747474747475</v>
      </c>
      <c r="AY69" s="1924">
        <f t="shared" si="39"/>
        <v>0.4838709677419355</v>
      </c>
      <c r="AZ69" s="1924">
        <f t="shared" si="40"/>
        <v>0.57407407407407407</v>
      </c>
      <c r="BA69" s="1924">
        <f t="shared" si="41"/>
        <v>0.51546391752577314</v>
      </c>
      <c r="BB69" s="1924">
        <f t="shared" si="42"/>
        <v>0.45871559633027525</v>
      </c>
      <c r="BC69" s="1924">
        <f t="shared" si="43"/>
        <v>0.52066115702479343</v>
      </c>
      <c r="BD69" s="1924">
        <f t="shared" si="44"/>
        <v>0.54545454545454541</v>
      </c>
      <c r="BE69" s="1924">
        <f t="shared" si="45"/>
        <v>0.59047619047619049</v>
      </c>
      <c r="BF69" s="1924">
        <f t="shared" si="46"/>
        <v>0.5643564356435643</v>
      </c>
      <c r="BG69" s="1924">
        <f t="shared" si="47"/>
        <v>0.60360360360360366</v>
      </c>
      <c r="BH69" s="1924">
        <f t="shared" si="48"/>
        <v>0.53398058252427183</v>
      </c>
      <c r="BI69" s="1924">
        <f t="shared" si="49"/>
        <v>0.56666666666666665</v>
      </c>
      <c r="BJ69" s="1925">
        <f t="shared" si="50"/>
        <v>0.57291666666666663</v>
      </c>
      <c r="BK69" s="1926">
        <f>'Non-marital births'!L70</f>
        <v>0.59154929577464788</v>
      </c>
      <c r="BL69" s="1927">
        <v>0.5444444444444444</v>
      </c>
      <c r="BM69" s="1928">
        <f t="shared" si="51"/>
        <v>0.51851851851851849</v>
      </c>
      <c r="BN69" s="2348">
        <f t="shared" si="52"/>
        <v>0.5</v>
      </c>
      <c r="BO69" s="2348">
        <f t="shared" ref="BO69:BP100" si="53">AS69/W69</f>
        <v>0.625</v>
      </c>
      <c r="BP69" s="2343">
        <f t="shared" si="53"/>
        <v>0.59154929577464788</v>
      </c>
    </row>
    <row r="70" spans="1:68" s="142" customFormat="1" ht="13.5" customHeight="1" x14ac:dyDescent="0.3">
      <c r="A70" s="149" t="s">
        <v>168</v>
      </c>
      <c r="B70" s="185" t="s">
        <v>169</v>
      </c>
      <c r="C70" s="150" t="s">
        <v>254</v>
      </c>
      <c r="D70" s="938">
        <v>165</v>
      </c>
      <c r="E70" s="939">
        <v>193</v>
      </c>
      <c r="F70" s="940">
        <v>188</v>
      </c>
      <c r="G70" s="939">
        <v>163</v>
      </c>
      <c r="H70" s="940">
        <v>196</v>
      </c>
      <c r="I70" s="939">
        <v>162</v>
      </c>
      <c r="J70" s="940">
        <v>184</v>
      </c>
      <c r="K70" s="939">
        <v>181</v>
      </c>
      <c r="L70" s="953">
        <v>171</v>
      </c>
      <c r="M70" s="953">
        <v>161</v>
      </c>
      <c r="N70" s="953">
        <v>192</v>
      </c>
      <c r="O70" s="953">
        <v>184</v>
      </c>
      <c r="P70" s="954">
        <v>159</v>
      </c>
      <c r="Q70" s="954">
        <v>165</v>
      </c>
      <c r="R70" s="1107">
        <v>187</v>
      </c>
      <c r="S70" s="1367">
        <v>183</v>
      </c>
      <c r="T70" s="1908">
        <v>182</v>
      </c>
      <c r="U70" s="1908">
        <v>154</v>
      </c>
      <c r="V70" s="2291">
        <v>141</v>
      </c>
      <c r="W70" s="1367">
        <v>172</v>
      </c>
      <c r="X70" s="2351">
        <v>150</v>
      </c>
      <c r="Y70" s="1273"/>
      <c r="Z70" s="961">
        <v>73</v>
      </c>
      <c r="AA70" s="962">
        <v>91</v>
      </c>
      <c r="AB70" s="962">
        <v>88</v>
      </c>
      <c r="AC70" s="962">
        <v>79</v>
      </c>
      <c r="AD70" s="962">
        <v>94</v>
      </c>
      <c r="AE70" s="962">
        <v>78</v>
      </c>
      <c r="AF70" s="962">
        <v>77</v>
      </c>
      <c r="AG70" s="962">
        <v>79</v>
      </c>
      <c r="AH70" s="962">
        <v>92</v>
      </c>
      <c r="AI70" s="962">
        <v>84</v>
      </c>
      <c r="AJ70" s="962">
        <v>116</v>
      </c>
      <c r="AK70" s="962">
        <v>106</v>
      </c>
      <c r="AL70" s="962">
        <v>84</v>
      </c>
      <c r="AM70" s="962">
        <v>91</v>
      </c>
      <c r="AN70" s="1110">
        <v>112</v>
      </c>
      <c r="AO70" s="1368">
        <v>102</v>
      </c>
      <c r="AP70" s="1369">
        <v>97</v>
      </c>
      <c r="AQ70" s="1368">
        <v>81</v>
      </c>
      <c r="AR70" s="2289">
        <v>80</v>
      </c>
      <c r="AS70" s="1368">
        <v>89</v>
      </c>
      <c r="AT70" s="2353">
        <v>92</v>
      </c>
      <c r="AU70" s="1274"/>
      <c r="AV70" s="1923">
        <f t="shared" ref="AV70:AV101" si="54">Z70/D70</f>
        <v>0.44242424242424244</v>
      </c>
      <c r="AW70" s="1924">
        <f t="shared" ref="AW70:AW101" si="55">AA70/E70</f>
        <v>0.47150259067357514</v>
      </c>
      <c r="AX70" s="1924">
        <f t="shared" ref="AX70:AX101" si="56">AB70/F70</f>
        <v>0.46808510638297873</v>
      </c>
      <c r="AY70" s="1924">
        <f t="shared" ref="AY70:AY101" si="57">AC70/G70</f>
        <v>0.48466257668711654</v>
      </c>
      <c r="AZ70" s="1924">
        <f t="shared" ref="AZ70:AZ101" si="58">AD70/H70</f>
        <v>0.47959183673469385</v>
      </c>
      <c r="BA70" s="1924">
        <f t="shared" ref="BA70:BA101" si="59">AE70/I70</f>
        <v>0.48148148148148145</v>
      </c>
      <c r="BB70" s="1924">
        <f t="shared" ref="BB70:BB101" si="60">AF70/J70</f>
        <v>0.41847826086956524</v>
      </c>
      <c r="BC70" s="1924">
        <f t="shared" ref="BC70:BC101" si="61">AG70/K70</f>
        <v>0.43646408839779005</v>
      </c>
      <c r="BD70" s="1924">
        <f t="shared" ref="BD70:BD101" si="62">AH70/L70</f>
        <v>0.53801169590643272</v>
      </c>
      <c r="BE70" s="1924">
        <f t="shared" ref="BE70:BE101" si="63">AI70/M70</f>
        <v>0.52173913043478259</v>
      </c>
      <c r="BF70" s="1924">
        <f t="shared" ref="BF70:BF101" si="64">AJ70/N70</f>
        <v>0.60416666666666663</v>
      </c>
      <c r="BG70" s="1924">
        <f t="shared" ref="BG70:BG101" si="65">AK70/O70</f>
        <v>0.57608695652173914</v>
      </c>
      <c r="BH70" s="1924">
        <f t="shared" ref="BH70:BH101" si="66">AL70/P70</f>
        <v>0.52830188679245282</v>
      </c>
      <c r="BI70" s="1924">
        <f t="shared" ref="BI70:BI101" si="67">AM70/Q70</f>
        <v>0.55151515151515151</v>
      </c>
      <c r="BJ70" s="1925">
        <f t="shared" ref="BJ70:BJ101" si="68">AN70/R70</f>
        <v>0.59893048128342241</v>
      </c>
      <c r="BK70" s="1926">
        <f>'Non-marital births'!L71</f>
        <v>0.61333333333333329</v>
      </c>
      <c r="BL70" s="1927">
        <v>0.53296703296703296</v>
      </c>
      <c r="BM70" s="1928">
        <f t="shared" ref="BM70:BM101" si="69">AQ70/U70</f>
        <v>0.52597402597402598</v>
      </c>
      <c r="BN70" s="2348">
        <f t="shared" ref="BN70:BN101" si="70">AR70/V70</f>
        <v>0.56737588652482274</v>
      </c>
      <c r="BO70" s="2348">
        <f t="shared" si="53"/>
        <v>0.51744186046511631</v>
      </c>
      <c r="BP70" s="2343">
        <f t="shared" si="53"/>
        <v>0.61333333333333329</v>
      </c>
    </row>
    <row r="71" spans="1:68" s="142" customFormat="1" ht="13.5" customHeight="1" x14ac:dyDescent="0.3">
      <c r="A71" s="149" t="s">
        <v>170</v>
      </c>
      <c r="B71" s="185" t="s">
        <v>171</v>
      </c>
      <c r="C71" s="150" t="s">
        <v>255</v>
      </c>
      <c r="D71" s="938">
        <v>307</v>
      </c>
      <c r="E71" s="939">
        <v>339</v>
      </c>
      <c r="F71" s="940">
        <v>324</v>
      </c>
      <c r="G71" s="939">
        <v>302</v>
      </c>
      <c r="H71" s="940">
        <v>324</v>
      </c>
      <c r="I71" s="939">
        <v>301</v>
      </c>
      <c r="J71" s="940">
        <v>355</v>
      </c>
      <c r="K71" s="939">
        <v>381</v>
      </c>
      <c r="L71" s="953">
        <v>374</v>
      </c>
      <c r="M71" s="953">
        <v>410</v>
      </c>
      <c r="N71" s="953">
        <v>419</v>
      </c>
      <c r="O71" s="953">
        <v>351</v>
      </c>
      <c r="P71" s="954">
        <v>390</v>
      </c>
      <c r="Q71" s="954">
        <v>413</v>
      </c>
      <c r="R71" s="1107">
        <v>369</v>
      </c>
      <c r="S71" s="1367">
        <v>378</v>
      </c>
      <c r="T71" s="1908">
        <v>403</v>
      </c>
      <c r="U71" s="1908">
        <v>383</v>
      </c>
      <c r="V71" s="2291">
        <v>364</v>
      </c>
      <c r="W71" s="1367">
        <v>453</v>
      </c>
      <c r="X71" s="2351">
        <v>408</v>
      </c>
      <c r="Y71" s="1273"/>
      <c r="Z71" s="961">
        <v>105</v>
      </c>
      <c r="AA71" s="962">
        <v>107</v>
      </c>
      <c r="AB71" s="962">
        <v>122</v>
      </c>
      <c r="AC71" s="962">
        <v>109</v>
      </c>
      <c r="AD71" s="962">
        <v>115</v>
      </c>
      <c r="AE71" s="962">
        <v>104</v>
      </c>
      <c r="AF71" s="962">
        <v>117</v>
      </c>
      <c r="AG71" s="962">
        <v>133</v>
      </c>
      <c r="AH71" s="962">
        <v>120</v>
      </c>
      <c r="AI71" s="962">
        <v>148</v>
      </c>
      <c r="AJ71" s="962">
        <v>161</v>
      </c>
      <c r="AK71" s="962">
        <v>133</v>
      </c>
      <c r="AL71" s="962">
        <v>144</v>
      </c>
      <c r="AM71" s="962">
        <v>159</v>
      </c>
      <c r="AN71" s="1110">
        <v>135</v>
      </c>
      <c r="AO71" s="1368">
        <v>156</v>
      </c>
      <c r="AP71" s="1369">
        <v>165</v>
      </c>
      <c r="AQ71" s="1368">
        <v>144</v>
      </c>
      <c r="AR71" s="2289">
        <v>157</v>
      </c>
      <c r="AS71" s="1368">
        <v>203</v>
      </c>
      <c r="AT71" s="2353">
        <v>169</v>
      </c>
      <c r="AU71" s="1274"/>
      <c r="AV71" s="1923">
        <f t="shared" si="54"/>
        <v>0.34201954397394135</v>
      </c>
      <c r="AW71" s="1924">
        <f t="shared" si="55"/>
        <v>0.31563421828908556</v>
      </c>
      <c r="AX71" s="1924">
        <f t="shared" si="56"/>
        <v>0.37654320987654322</v>
      </c>
      <c r="AY71" s="1924">
        <f t="shared" si="57"/>
        <v>0.36092715231788081</v>
      </c>
      <c r="AZ71" s="1924">
        <f t="shared" si="58"/>
        <v>0.35493827160493829</v>
      </c>
      <c r="BA71" s="1924">
        <f t="shared" si="59"/>
        <v>0.34551495016611294</v>
      </c>
      <c r="BB71" s="1924">
        <f t="shared" si="60"/>
        <v>0.3295774647887324</v>
      </c>
      <c r="BC71" s="1924">
        <f t="shared" si="61"/>
        <v>0.34908136482939633</v>
      </c>
      <c r="BD71" s="1924">
        <f t="shared" si="62"/>
        <v>0.32085561497326204</v>
      </c>
      <c r="BE71" s="1924">
        <f t="shared" si="63"/>
        <v>0.36097560975609755</v>
      </c>
      <c r="BF71" s="1924">
        <f t="shared" si="64"/>
        <v>0.38424821002386633</v>
      </c>
      <c r="BG71" s="1924">
        <f t="shared" si="65"/>
        <v>0.37891737891737892</v>
      </c>
      <c r="BH71" s="1924">
        <f t="shared" si="66"/>
        <v>0.36923076923076925</v>
      </c>
      <c r="BI71" s="1924">
        <f t="shared" si="67"/>
        <v>0.38498789346246975</v>
      </c>
      <c r="BJ71" s="1925">
        <f t="shared" si="68"/>
        <v>0.36585365853658536</v>
      </c>
      <c r="BK71" s="1926">
        <f>'Non-marital births'!L72</f>
        <v>0.41421568627450983</v>
      </c>
      <c r="BL71" s="1927">
        <v>0.40942928039702231</v>
      </c>
      <c r="BM71" s="1928">
        <f t="shared" si="69"/>
        <v>0.37597911227154046</v>
      </c>
      <c r="BN71" s="2348">
        <f t="shared" si="70"/>
        <v>0.43131868131868134</v>
      </c>
      <c r="BO71" s="2348">
        <f t="shared" si="53"/>
        <v>0.44812362030905079</v>
      </c>
      <c r="BP71" s="2343">
        <f t="shared" si="53"/>
        <v>0.41421568627450983</v>
      </c>
    </row>
    <row r="72" spans="1:68" s="142" customFormat="1" ht="13.5" customHeight="1" x14ac:dyDescent="0.3">
      <c r="A72" s="149" t="s">
        <v>172</v>
      </c>
      <c r="B72" s="185" t="s">
        <v>173</v>
      </c>
      <c r="C72" s="150" t="s">
        <v>255</v>
      </c>
      <c r="D72" s="938">
        <v>245</v>
      </c>
      <c r="E72" s="939">
        <v>256</v>
      </c>
      <c r="F72" s="940">
        <v>266</v>
      </c>
      <c r="G72" s="939">
        <v>274</v>
      </c>
      <c r="H72" s="940">
        <v>284</v>
      </c>
      <c r="I72" s="939">
        <v>278</v>
      </c>
      <c r="J72" s="940">
        <v>276</v>
      </c>
      <c r="K72" s="939">
        <v>252</v>
      </c>
      <c r="L72" s="953">
        <v>278</v>
      </c>
      <c r="M72" s="953">
        <v>225</v>
      </c>
      <c r="N72" s="953">
        <v>264</v>
      </c>
      <c r="O72" s="953">
        <v>243</v>
      </c>
      <c r="P72" s="954">
        <v>233</v>
      </c>
      <c r="Q72" s="954">
        <v>229</v>
      </c>
      <c r="R72" s="1107">
        <v>232</v>
      </c>
      <c r="S72" s="1367">
        <v>236</v>
      </c>
      <c r="T72" s="1908">
        <v>229</v>
      </c>
      <c r="U72" s="1908">
        <v>234</v>
      </c>
      <c r="V72" s="2291">
        <v>249</v>
      </c>
      <c r="W72" s="1367">
        <v>249</v>
      </c>
      <c r="X72" s="2351">
        <v>255</v>
      </c>
      <c r="Y72" s="1273"/>
      <c r="Z72" s="961">
        <v>95</v>
      </c>
      <c r="AA72" s="962">
        <v>90</v>
      </c>
      <c r="AB72" s="962">
        <v>94</v>
      </c>
      <c r="AC72" s="962">
        <v>102</v>
      </c>
      <c r="AD72" s="962">
        <v>101</v>
      </c>
      <c r="AE72" s="962">
        <v>94</v>
      </c>
      <c r="AF72" s="962">
        <v>107</v>
      </c>
      <c r="AG72" s="962">
        <v>92</v>
      </c>
      <c r="AH72" s="962">
        <v>115</v>
      </c>
      <c r="AI72" s="962">
        <v>88</v>
      </c>
      <c r="AJ72" s="962">
        <v>122</v>
      </c>
      <c r="AK72" s="962">
        <v>106</v>
      </c>
      <c r="AL72" s="962">
        <v>95</v>
      </c>
      <c r="AM72" s="962">
        <v>117</v>
      </c>
      <c r="AN72" s="1110">
        <v>123</v>
      </c>
      <c r="AO72" s="1368">
        <v>117</v>
      </c>
      <c r="AP72" s="1369">
        <v>104</v>
      </c>
      <c r="AQ72" s="1368">
        <v>118</v>
      </c>
      <c r="AR72" s="2289">
        <v>128</v>
      </c>
      <c r="AS72" s="1368">
        <v>117</v>
      </c>
      <c r="AT72" s="2353">
        <v>116</v>
      </c>
      <c r="AU72" s="1274"/>
      <c r="AV72" s="1923">
        <f t="shared" si="54"/>
        <v>0.38775510204081631</v>
      </c>
      <c r="AW72" s="1924">
        <f t="shared" si="55"/>
        <v>0.3515625</v>
      </c>
      <c r="AX72" s="1924">
        <f t="shared" si="56"/>
        <v>0.35338345864661652</v>
      </c>
      <c r="AY72" s="1924">
        <f t="shared" si="57"/>
        <v>0.37226277372262773</v>
      </c>
      <c r="AZ72" s="1924">
        <f t="shared" si="58"/>
        <v>0.35563380281690143</v>
      </c>
      <c r="BA72" s="1924">
        <f t="shared" si="59"/>
        <v>0.33812949640287771</v>
      </c>
      <c r="BB72" s="1924">
        <f t="shared" si="60"/>
        <v>0.38768115942028986</v>
      </c>
      <c r="BC72" s="1924">
        <f t="shared" si="61"/>
        <v>0.36507936507936506</v>
      </c>
      <c r="BD72" s="1924">
        <f t="shared" si="62"/>
        <v>0.41366906474820142</v>
      </c>
      <c r="BE72" s="1924">
        <f t="shared" si="63"/>
        <v>0.39111111111111113</v>
      </c>
      <c r="BF72" s="1924">
        <f t="shared" si="64"/>
        <v>0.4621212121212121</v>
      </c>
      <c r="BG72" s="1924">
        <f t="shared" si="65"/>
        <v>0.43621399176954734</v>
      </c>
      <c r="BH72" s="1924">
        <f t="shared" si="66"/>
        <v>0.40772532188841204</v>
      </c>
      <c r="BI72" s="1924">
        <f t="shared" si="67"/>
        <v>0.51091703056768556</v>
      </c>
      <c r="BJ72" s="1925">
        <f t="shared" si="68"/>
        <v>0.53017241379310343</v>
      </c>
      <c r="BK72" s="1926">
        <f>'Non-marital births'!L73</f>
        <v>0.45490196078431372</v>
      </c>
      <c r="BL72" s="1927">
        <v>0.45414847161572053</v>
      </c>
      <c r="BM72" s="1928">
        <f t="shared" si="69"/>
        <v>0.50427350427350426</v>
      </c>
      <c r="BN72" s="2348">
        <f t="shared" si="70"/>
        <v>0.51405622489959835</v>
      </c>
      <c r="BO72" s="2348">
        <f t="shared" si="53"/>
        <v>0.46987951807228917</v>
      </c>
      <c r="BP72" s="2343">
        <f t="shared" si="53"/>
        <v>0.45490196078431372</v>
      </c>
    </row>
    <row r="73" spans="1:68" s="142" customFormat="1" ht="13.5" customHeight="1" x14ac:dyDescent="0.3">
      <c r="A73" s="149" t="s">
        <v>174</v>
      </c>
      <c r="B73" s="185" t="s">
        <v>175</v>
      </c>
      <c r="C73" s="150" t="s">
        <v>256</v>
      </c>
      <c r="D73" s="938">
        <v>192</v>
      </c>
      <c r="E73" s="939">
        <v>183</v>
      </c>
      <c r="F73" s="940">
        <v>171</v>
      </c>
      <c r="G73" s="939">
        <v>160</v>
      </c>
      <c r="H73" s="940">
        <v>169</v>
      </c>
      <c r="I73" s="939">
        <v>170</v>
      </c>
      <c r="J73" s="940">
        <v>184</v>
      </c>
      <c r="K73" s="939">
        <v>189</v>
      </c>
      <c r="L73" s="953">
        <v>174</v>
      </c>
      <c r="M73" s="953">
        <v>154</v>
      </c>
      <c r="N73" s="953">
        <v>173</v>
      </c>
      <c r="O73" s="953">
        <v>143</v>
      </c>
      <c r="P73" s="954">
        <v>173</v>
      </c>
      <c r="Q73" s="954">
        <v>143</v>
      </c>
      <c r="R73" s="1107">
        <v>156</v>
      </c>
      <c r="S73" s="1367">
        <v>130</v>
      </c>
      <c r="T73" s="1908">
        <v>119</v>
      </c>
      <c r="U73" s="1908">
        <v>124</v>
      </c>
      <c r="V73" s="2291">
        <v>163</v>
      </c>
      <c r="W73" s="1367">
        <v>156</v>
      </c>
      <c r="X73" s="2351">
        <v>138</v>
      </c>
      <c r="Y73" s="1273"/>
      <c r="Z73" s="961">
        <v>55</v>
      </c>
      <c r="AA73" s="962">
        <v>38</v>
      </c>
      <c r="AB73" s="962">
        <v>29</v>
      </c>
      <c r="AC73" s="962">
        <v>48</v>
      </c>
      <c r="AD73" s="962">
        <v>48</v>
      </c>
      <c r="AE73" s="962">
        <v>44</v>
      </c>
      <c r="AF73" s="962">
        <v>46</v>
      </c>
      <c r="AG73" s="962">
        <v>57</v>
      </c>
      <c r="AH73" s="962">
        <v>50</v>
      </c>
      <c r="AI73" s="962">
        <v>39</v>
      </c>
      <c r="AJ73" s="962">
        <v>48</v>
      </c>
      <c r="AK73" s="962">
        <v>54</v>
      </c>
      <c r="AL73" s="962">
        <v>57</v>
      </c>
      <c r="AM73" s="962">
        <v>54</v>
      </c>
      <c r="AN73" s="1110">
        <v>58</v>
      </c>
      <c r="AO73" s="1368">
        <v>52</v>
      </c>
      <c r="AP73" s="1369">
        <v>44</v>
      </c>
      <c r="AQ73" s="1368">
        <v>45</v>
      </c>
      <c r="AR73" s="2289">
        <v>62</v>
      </c>
      <c r="AS73" s="1368">
        <v>67</v>
      </c>
      <c r="AT73" s="2353">
        <v>21</v>
      </c>
      <c r="AU73" s="1274"/>
      <c r="AV73" s="1923">
        <f t="shared" si="54"/>
        <v>0.28645833333333331</v>
      </c>
      <c r="AW73" s="1924">
        <f t="shared" si="55"/>
        <v>0.20765027322404372</v>
      </c>
      <c r="AX73" s="1924">
        <f t="shared" si="56"/>
        <v>0.16959064327485379</v>
      </c>
      <c r="AY73" s="1924">
        <f t="shared" si="57"/>
        <v>0.3</v>
      </c>
      <c r="AZ73" s="1924">
        <f t="shared" si="58"/>
        <v>0.28402366863905326</v>
      </c>
      <c r="BA73" s="1924">
        <f t="shared" si="59"/>
        <v>0.25882352941176473</v>
      </c>
      <c r="BB73" s="1924">
        <f t="shared" si="60"/>
        <v>0.25</v>
      </c>
      <c r="BC73" s="1924">
        <f t="shared" si="61"/>
        <v>0.30158730158730157</v>
      </c>
      <c r="BD73" s="1924">
        <f t="shared" si="62"/>
        <v>0.28735632183908044</v>
      </c>
      <c r="BE73" s="1924">
        <f t="shared" si="63"/>
        <v>0.25324675324675322</v>
      </c>
      <c r="BF73" s="1924">
        <f t="shared" si="64"/>
        <v>0.2774566473988439</v>
      </c>
      <c r="BG73" s="1924">
        <f t="shared" si="65"/>
        <v>0.3776223776223776</v>
      </c>
      <c r="BH73" s="1924">
        <f t="shared" si="66"/>
        <v>0.32947976878612717</v>
      </c>
      <c r="BI73" s="1924">
        <f t="shared" si="67"/>
        <v>0.3776223776223776</v>
      </c>
      <c r="BJ73" s="1925">
        <f t="shared" si="68"/>
        <v>0.37179487179487181</v>
      </c>
      <c r="BK73" s="1926">
        <f>'Non-marital births'!L74</f>
        <v>0.15217391304347827</v>
      </c>
      <c r="BL73" s="1927">
        <v>0.36974789915966388</v>
      </c>
      <c r="BM73" s="1928">
        <f t="shared" si="69"/>
        <v>0.36290322580645162</v>
      </c>
      <c r="BN73" s="2348">
        <f t="shared" si="70"/>
        <v>0.38036809815950923</v>
      </c>
      <c r="BO73" s="2348">
        <f t="shared" si="53"/>
        <v>0.42948717948717946</v>
      </c>
      <c r="BP73" s="2343">
        <f t="shared" si="53"/>
        <v>0.15217391304347827</v>
      </c>
    </row>
    <row r="74" spans="1:68" s="142" customFormat="1" ht="13.5" customHeight="1" x14ac:dyDescent="0.3">
      <c r="A74" s="149" t="s">
        <v>178</v>
      </c>
      <c r="B74" s="185" t="s">
        <v>179</v>
      </c>
      <c r="C74" s="150" t="s">
        <v>253</v>
      </c>
      <c r="D74" s="938">
        <v>671</v>
      </c>
      <c r="E74" s="939">
        <v>753</v>
      </c>
      <c r="F74" s="940">
        <v>749</v>
      </c>
      <c r="G74" s="939">
        <v>699</v>
      </c>
      <c r="H74" s="940">
        <v>658</v>
      </c>
      <c r="I74" s="939">
        <v>674</v>
      </c>
      <c r="J74" s="940">
        <v>652</v>
      </c>
      <c r="K74" s="939">
        <v>665</v>
      </c>
      <c r="L74" s="953">
        <v>644</v>
      </c>
      <c r="M74" s="953">
        <v>638</v>
      </c>
      <c r="N74" s="953">
        <v>622</v>
      </c>
      <c r="O74" s="953">
        <v>574</v>
      </c>
      <c r="P74" s="954">
        <v>508</v>
      </c>
      <c r="Q74" s="954">
        <v>450</v>
      </c>
      <c r="R74" s="1107">
        <v>540</v>
      </c>
      <c r="S74" s="1367">
        <v>477</v>
      </c>
      <c r="T74" s="1908">
        <v>446</v>
      </c>
      <c r="U74" s="1908">
        <v>491</v>
      </c>
      <c r="V74" s="2291">
        <v>467</v>
      </c>
      <c r="W74" s="1367">
        <v>504</v>
      </c>
      <c r="X74" s="2351">
        <v>487</v>
      </c>
      <c r="Y74" s="1273"/>
      <c r="Z74" s="961">
        <v>204</v>
      </c>
      <c r="AA74" s="962">
        <v>252</v>
      </c>
      <c r="AB74" s="962">
        <v>249</v>
      </c>
      <c r="AC74" s="962">
        <v>223</v>
      </c>
      <c r="AD74" s="962">
        <v>216</v>
      </c>
      <c r="AE74" s="962">
        <v>233</v>
      </c>
      <c r="AF74" s="962">
        <v>234</v>
      </c>
      <c r="AG74" s="962">
        <v>271</v>
      </c>
      <c r="AH74" s="962">
        <v>261</v>
      </c>
      <c r="AI74" s="962">
        <v>285</v>
      </c>
      <c r="AJ74" s="962">
        <v>248</v>
      </c>
      <c r="AK74" s="962">
        <v>241</v>
      </c>
      <c r="AL74" s="962">
        <v>216</v>
      </c>
      <c r="AM74" s="962">
        <v>196</v>
      </c>
      <c r="AN74" s="1110">
        <v>244</v>
      </c>
      <c r="AO74" s="1368">
        <v>188</v>
      </c>
      <c r="AP74" s="1369">
        <v>188</v>
      </c>
      <c r="AQ74" s="1368">
        <v>225</v>
      </c>
      <c r="AR74" s="2289">
        <v>200</v>
      </c>
      <c r="AS74" s="1368">
        <v>261</v>
      </c>
      <c r="AT74" s="2353">
        <v>202</v>
      </c>
      <c r="AU74" s="1274"/>
      <c r="AV74" s="1923">
        <f t="shared" si="54"/>
        <v>0.30402384500745155</v>
      </c>
      <c r="AW74" s="1924">
        <f t="shared" si="55"/>
        <v>0.33466135458167329</v>
      </c>
      <c r="AX74" s="1924">
        <f t="shared" si="56"/>
        <v>0.33244325767690253</v>
      </c>
      <c r="AY74" s="1924">
        <f t="shared" si="57"/>
        <v>0.31902718168812588</v>
      </c>
      <c r="AZ74" s="1924">
        <f t="shared" si="58"/>
        <v>0.32826747720364741</v>
      </c>
      <c r="BA74" s="1924">
        <f t="shared" si="59"/>
        <v>0.3456973293768546</v>
      </c>
      <c r="BB74" s="1924">
        <f t="shared" si="60"/>
        <v>0.35889570552147237</v>
      </c>
      <c r="BC74" s="1924">
        <f t="shared" si="61"/>
        <v>0.40751879699248122</v>
      </c>
      <c r="BD74" s="1924">
        <f t="shared" si="62"/>
        <v>0.40527950310559008</v>
      </c>
      <c r="BE74" s="1924">
        <f t="shared" si="63"/>
        <v>0.44670846394984326</v>
      </c>
      <c r="BF74" s="1924">
        <f t="shared" si="64"/>
        <v>0.3987138263665595</v>
      </c>
      <c r="BG74" s="1924">
        <f t="shared" si="65"/>
        <v>0.41986062717770034</v>
      </c>
      <c r="BH74" s="1924">
        <f t="shared" si="66"/>
        <v>0.42519685039370081</v>
      </c>
      <c r="BI74" s="1924">
        <f t="shared" si="67"/>
        <v>0.43555555555555553</v>
      </c>
      <c r="BJ74" s="1925">
        <f t="shared" si="68"/>
        <v>0.45185185185185184</v>
      </c>
      <c r="BK74" s="1926">
        <f>'Non-marital births'!L75</f>
        <v>0.41478439425051333</v>
      </c>
      <c r="BL74" s="1927">
        <v>0.42152466367713004</v>
      </c>
      <c r="BM74" s="1928">
        <f t="shared" si="69"/>
        <v>0.45824847250509165</v>
      </c>
      <c r="BN74" s="2348">
        <f t="shared" si="70"/>
        <v>0.42826552462526768</v>
      </c>
      <c r="BO74" s="2348">
        <f t="shared" si="53"/>
        <v>0.5178571428571429</v>
      </c>
      <c r="BP74" s="2343">
        <f t="shared" si="53"/>
        <v>0.41478439425051333</v>
      </c>
    </row>
    <row r="75" spans="1:68" s="142" customFormat="1" ht="13.5" customHeight="1" x14ac:dyDescent="0.3">
      <c r="A75" s="149" t="s">
        <v>182</v>
      </c>
      <c r="B75" s="185" t="s">
        <v>183</v>
      </c>
      <c r="C75" s="150" t="s">
        <v>254</v>
      </c>
      <c r="D75" s="938">
        <v>246</v>
      </c>
      <c r="E75" s="939">
        <v>263</v>
      </c>
      <c r="F75" s="940">
        <v>259</v>
      </c>
      <c r="G75" s="939">
        <v>270</v>
      </c>
      <c r="H75" s="940">
        <v>279</v>
      </c>
      <c r="I75" s="939">
        <v>264</v>
      </c>
      <c r="J75" s="940">
        <v>259</v>
      </c>
      <c r="K75" s="939">
        <v>282</v>
      </c>
      <c r="L75" s="953">
        <v>247</v>
      </c>
      <c r="M75" s="953">
        <v>254</v>
      </c>
      <c r="N75" s="953">
        <v>265</v>
      </c>
      <c r="O75" s="953">
        <v>243</v>
      </c>
      <c r="P75" s="954">
        <v>223</v>
      </c>
      <c r="Q75" s="954">
        <v>233</v>
      </c>
      <c r="R75" s="1107">
        <v>245</v>
      </c>
      <c r="S75" s="1367">
        <v>215</v>
      </c>
      <c r="T75" s="1908">
        <v>236</v>
      </c>
      <c r="U75" s="1908">
        <v>219</v>
      </c>
      <c r="V75" s="2291">
        <v>238</v>
      </c>
      <c r="W75" s="1367">
        <v>241</v>
      </c>
      <c r="X75" s="2351">
        <v>249</v>
      </c>
      <c r="Y75" s="1273"/>
      <c r="Z75" s="961">
        <v>44</v>
      </c>
      <c r="AA75" s="962">
        <v>50</v>
      </c>
      <c r="AB75" s="962">
        <v>46</v>
      </c>
      <c r="AC75" s="962">
        <v>40</v>
      </c>
      <c r="AD75" s="962">
        <v>44</v>
      </c>
      <c r="AE75" s="962">
        <v>46</v>
      </c>
      <c r="AF75" s="962">
        <v>45</v>
      </c>
      <c r="AG75" s="962">
        <v>45</v>
      </c>
      <c r="AH75" s="962">
        <v>44</v>
      </c>
      <c r="AI75" s="962">
        <v>58</v>
      </c>
      <c r="AJ75" s="962">
        <v>63</v>
      </c>
      <c r="AK75" s="962">
        <v>54</v>
      </c>
      <c r="AL75" s="962">
        <v>59</v>
      </c>
      <c r="AM75" s="962">
        <v>63</v>
      </c>
      <c r="AN75" s="1110">
        <v>67</v>
      </c>
      <c r="AO75" s="1368">
        <v>55</v>
      </c>
      <c r="AP75" s="1369">
        <v>61</v>
      </c>
      <c r="AQ75" s="1368">
        <v>53</v>
      </c>
      <c r="AR75" s="2289">
        <v>64</v>
      </c>
      <c r="AS75" s="1368">
        <v>60</v>
      </c>
      <c r="AT75" s="2353">
        <v>60</v>
      </c>
      <c r="AU75" s="1274"/>
      <c r="AV75" s="1923">
        <f t="shared" si="54"/>
        <v>0.17886178861788618</v>
      </c>
      <c r="AW75" s="1924">
        <f t="shared" si="55"/>
        <v>0.19011406844106463</v>
      </c>
      <c r="AX75" s="1924">
        <f t="shared" si="56"/>
        <v>0.17760617760617761</v>
      </c>
      <c r="AY75" s="1924">
        <f t="shared" si="57"/>
        <v>0.14814814814814814</v>
      </c>
      <c r="AZ75" s="1924">
        <f t="shared" si="58"/>
        <v>0.15770609318996415</v>
      </c>
      <c r="BA75" s="1924">
        <f t="shared" si="59"/>
        <v>0.17424242424242425</v>
      </c>
      <c r="BB75" s="1924">
        <f t="shared" si="60"/>
        <v>0.17374517374517376</v>
      </c>
      <c r="BC75" s="1924">
        <f t="shared" si="61"/>
        <v>0.15957446808510639</v>
      </c>
      <c r="BD75" s="1924">
        <f t="shared" si="62"/>
        <v>0.17813765182186234</v>
      </c>
      <c r="BE75" s="1924">
        <f t="shared" si="63"/>
        <v>0.2283464566929134</v>
      </c>
      <c r="BF75" s="1924">
        <f t="shared" si="64"/>
        <v>0.23773584905660378</v>
      </c>
      <c r="BG75" s="1924">
        <f t="shared" si="65"/>
        <v>0.22222222222222221</v>
      </c>
      <c r="BH75" s="1924">
        <f t="shared" si="66"/>
        <v>0.26457399103139012</v>
      </c>
      <c r="BI75" s="1924">
        <f t="shared" si="67"/>
        <v>0.27038626609442062</v>
      </c>
      <c r="BJ75" s="1925">
        <f t="shared" si="68"/>
        <v>0.27346938775510204</v>
      </c>
      <c r="BK75" s="1926">
        <f>'Non-marital births'!L76</f>
        <v>0.24096385542168675</v>
      </c>
      <c r="BL75" s="1927">
        <v>0.25847457627118642</v>
      </c>
      <c r="BM75" s="1928">
        <f t="shared" si="69"/>
        <v>0.24200913242009131</v>
      </c>
      <c r="BN75" s="2348">
        <f t="shared" si="70"/>
        <v>0.26890756302521007</v>
      </c>
      <c r="BO75" s="2348">
        <f t="shared" si="53"/>
        <v>0.24896265560165975</v>
      </c>
      <c r="BP75" s="2343">
        <f t="shared" si="53"/>
        <v>0.24096385542168675</v>
      </c>
    </row>
    <row r="76" spans="1:68" s="142" customFormat="1" ht="13.5" customHeight="1" x14ac:dyDescent="0.3">
      <c r="A76" s="149" t="s">
        <v>184</v>
      </c>
      <c r="B76" s="185" t="s">
        <v>185</v>
      </c>
      <c r="C76" s="150" t="s">
        <v>254</v>
      </c>
      <c r="D76" s="938">
        <v>206</v>
      </c>
      <c r="E76" s="939">
        <v>211</v>
      </c>
      <c r="F76" s="940">
        <v>216</v>
      </c>
      <c r="G76" s="939">
        <v>232</v>
      </c>
      <c r="H76" s="940">
        <v>195</v>
      </c>
      <c r="I76" s="939">
        <v>186</v>
      </c>
      <c r="J76" s="940">
        <v>203</v>
      </c>
      <c r="K76" s="939">
        <v>195</v>
      </c>
      <c r="L76" s="953">
        <v>185</v>
      </c>
      <c r="M76" s="953">
        <v>215</v>
      </c>
      <c r="N76" s="953">
        <v>215</v>
      </c>
      <c r="O76" s="953">
        <v>208</v>
      </c>
      <c r="P76" s="954">
        <v>221</v>
      </c>
      <c r="Q76" s="954">
        <v>203</v>
      </c>
      <c r="R76" s="1107">
        <v>204</v>
      </c>
      <c r="S76" s="1367">
        <v>205</v>
      </c>
      <c r="T76" s="1908">
        <v>230</v>
      </c>
      <c r="U76" s="1908">
        <v>253</v>
      </c>
      <c r="V76" s="2291">
        <v>208</v>
      </c>
      <c r="W76" s="1367">
        <v>207</v>
      </c>
      <c r="X76" s="2351">
        <v>245</v>
      </c>
      <c r="Y76" s="1273"/>
      <c r="Z76" s="961">
        <v>92</v>
      </c>
      <c r="AA76" s="962">
        <v>93</v>
      </c>
      <c r="AB76" s="962">
        <v>84</v>
      </c>
      <c r="AC76" s="962">
        <v>94</v>
      </c>
      <c r="AD76" s="962">
        <v>92</v>
      </c>
      <c r="AE76" s="962">
        <v>84</v>
      </c>
      <c r="AF76" s="962">
        <v>99</v>
      </c>
      <c r="AG76" s="962">
        <v>101</v>
      </c>
      <c r="AH76" s="962">
        <v>98</v>
      </c>
      <c r="AI76" s="962">
        <v>109</v>
      </c>
      <c r="AJ76" s="962">
        <v>127</v>
      </c>
      <c r="AK76" s="962">
        <v>104</v>
      </c>
      <c r="AL76" s="962">
        <v>123</v>
      </c>
      <c r="AM76" s="962">
        <v>104</v>
      </c>
      <c r="AN76" s="1110">
        <v>118</v>
      </c>
      <c r="AO76" s="1368">
        <v>97</v>
      </c>
      <c r="AP76" s="1369">
        <v>119</v>
      </c>
      <c r="AQ76" s="1368">
        <v>121</v>
      </c>
      <c r="AR76" s="2289">
        <v>103</v>
      </c>
      <c r="AS76" s="1368">
        <v>102</v>
      </c>
      <c r="AT76" s="2353">
        <v>121</v>
      </c>
      <c r="AU76" s="1274"/>
      <c r="AV76" s="1923">
        <f t="shared" si="54"/>
        <v>0.44660194174757284</v>
      </c>
      <c r="AW76" s="1924">
        <f t="shared" si="55"/>
        <v>0.44075829383886256</v>
      </c>
      <c r="AX76" s="1924">
        <f t="shared" si="56"/>
        <v>0.3888888888888889</v>
      </c>
      <c r="AY76" s="1924">
        <f t="shared" si="57"/>
        <v>0.40517241379310343</v>
      </c>
      <c r="AZ76" s="1924">
        <f t="shared" si="58"/>
        <v>0.47179487179487178</v>
      </c>
      <c r="BA76" s="1924">
        <f t="shared" si="59"/>
        <v>0.45161290322580644</v>
      </c>
      <c r="BB76" s="1924">
        <f t="shared" si="60"/>
        <v>0.48768472906403942</v>
      </c>
      <c r="BC76" s="1924">
        <f t="shared" si="61"/>
        <v>0.517948717948718</v>
      </c>
      <c r="BD76" s="1924">
        <f t="shared" si="62"/>
        <v>0.52972972972972976</v>
      </c>
      <c r="BE76" s="1924">
        <f t="shared" si="63"/>
        <v>0.50697674418604655</v>
      </c>
      <c r="BF76" s="1924">
        <f t="shared" si="64"/>
        <v>0.59069767441860466</v>
      </c>
      <c r="BG76" s="1924">
        <f t="shared" si="65"/>
        <v>0.5</v>
      </c>
      <c r="BH76" s="1924">
        <f t="shared" si="66"/>
        <v>0.5565610859728507</v>
      </c>
      <c r="BI76" s="1924">
        <f t="shared" si="67"/>
        <v>0.51231527093596063</v>
      </c>
      <c r="BJ76" s="1925">
        <f t="shared" si="68"/>
        <v>0.57843137254901966</v>
      </c>
      <c r="BK76" s="1926">
        <f>'Non-marital births'!L77</f>
        <v>0.49387755102040815</v>
      </c>
      <c r="BL76" s="1927">
        <v>0.5173913043478261</v>
      </c>
      <c r="BM76" s="1928">
        <f t="shared" si="69"/>
        <v>0.47826086956521741</v>
      </c>
      <c r="BN76" s="2348">
        <f t="shared" si="70"/>
        <v>0.49519230769230771</v>
      </c>
      <c r="BO76" s="2348">
        <f t="shared" si="53"/>
        <v>0.49275362318840582</v>
      </c>
      <c r="BP76" s="2343">
        <f t="shared" si="53"/>
        <v>0.49387755102040815</v>
      </c>
    </row>
    <row r="77" spans="1:68" s="142" customFormat="1" ht="13.5" customHeight="1" x14ac:dyDescent="0.3">
      <c r="A77" s="149" t="s">
        <v>186</v>
      </c>
      <c r="B77" s="185" t="s">
        <v>187</v>
      </c>
      <c r="C77" s="150" t="s">
        <v>252</v>
      </c>
      <c r="D77" s="938">
        <v>345</v>
      </c>
      <c r="E77" s="939">
        <v>378</v>
      </c>
      <c r="F77" s="940">
        <v>406</v>
      </c>
      <c r="G77" s="939">
        <v>379</v>
      </c>
      <c r="H77" s="940">
        <v>348</v>
      </c>
      <c r="I77" s="939">
        <v>388</v>
      </c>
      <c r="J77" s="940">
        <v>368</v>
      </c>
      <c r="K77" s="939">
        <v>326</v>
      </c>
      <c r="L77" s="953">
        <v>356</v>
      </c>
      <c r="M77" s="953">
        <v>375</v>
      </c>
      <c r="N77" s="953">
        <v>369</v>
      </c>
      <c r="O77" s="953">
        <v>403</v>
      </c>
      <c r="P77" s="954">
        <v>344</v>
      </c>
      <c r="Q77" s="954">
        <v>327</v>
      </c>
      <c r="R77" s="1107">
        <v>344</v>
      </c>
      <c r="S77" s="1367">
        <v>310</v>
      </c>
      <c r="T77" s="1908">
        <v>359</v>
      </c>
      <c r="U77" s="1908">
        <v>354</v>
      </c>
      <c r="V77" s="2291">
        <v>401</v>
      </c>
      <c r="W77" s="1367">
        <v>328</v>
      </c>
      <c r="X77" s="2351">
        <v>357</v>
      </c>
      <c r="Y77" s="1273"/>
      <c r="Z77" s="961">
        <v>80</v>
      </c>
      <c r="AA77" s="962">
        <v>92</v>
      </c>
      <c r="AB77" s="962">
        <v>88</v>
      </c>
      <c r="AC77" s="962">
        <v>83</v>
      </c>
      <c r="AD77" s="962">
        <v>94</v>
      </c>
      <c r="AE77" s="962">
        <v>98</v>
      </c>
      <c r="AF77" s="962">
        <v>98</v>
      </c>
      <c r="AG77" s="962">
        <v>79</v>
      </c>
      <c r="AH77" s="962">
        <v>91</v>
      </c>
      <c r="AI77" s="962">
        <v>129</v>
      </c>
      <c r="AJ77" s="962">
        <v>116</v>
      </c>
      <c r="AK77" s="962">
        <v>120</v>
      </c>
      <c r="AL77" s="962">
        <v>92</v>
      </c>
      <c r="AM77" s="962">
        <v>90</v>
      </c>
      <c r="AN77" s="1110">
        <v>115</v>
      </c>
      <c r="AO77" s="1368">
        <v>92</v>
      </c>
      <c r="AP77" s="1369">
        <v>110</v>
      </c>
      <c r="AQ77" s="1368">
        <v>110</v>
      </c>
      <c r="AR77" s="2289">
        <v>132</v>
      </c>
      <c r="AS77" s="1368">
        <v>99</v>
      </c>
      <c r="AT77" s="2353">
        <v>113</v>
      </c>
      <c r="AU77" s="1274"/>
      <c r="AV77" s="1923">
        <f t="shared" si="54"/>
        <v>0.2318840579710145</v>
      </c>
      <c r="AW77" s="1924">
        <f t="shared" si="55"/>
        <v>0.24338624338624337</v>
      </c>
      <c r="AX77" s="1924">
        <f t="shared" si="56"/>
        <v>0.21674876847290642</v>
      </c>
      <c r="AY77" s="1924">
        <f t="shared" si="57"/>
        <v>0.21899736147757257</v>
      </c>
      <c r="AZ77" s="1924">
        <f t="shared" si="58"/>
        <v>0.27011494252873564</v>
      </c>
      <c r="BA77" s="1924">
        <f t="shared" si="59"/>
        <v>0.25257731958762886</v>
      </c>
      <c r="BB77" s="1924">
        <f t="shared" si="60"/>
        <v>0.26630434782608697</v>
      </c>
      <c r="BC77" s="1924">
        <f t="shared" si="61"/>
        <v>0.24233128834355827</v>
      </c>
      <c r="BD77" s="1924">
        <f t="shared" si="62"/>
        <v>0.2556179775280899</v>
      </c>
      <c r="BE77" s="1924">
        <f t="shared" si="63"/>
        <v>0.34399999999999997</v>
      </c>
      <c r="BF77" s="1924">
        <f t="shared" si="64"/>
        <v>0.3143631436314363</v>
      </c>
      <c r="BG77" s="1924">
        <f t="shared" si="65"/>
        <v>0.29776674937965258</v>
      </c>
      <c r="BH77" s="1924">
        <f t="shared" si="66"/>
        <v>0.26744186046511625</v>
      </c>
      <c r="BI77" s="1924">
        <f t="shared" si="67"/>
        <v>0.27522935779816515</v>
      </c>
      <c r="BJ77" s="1925">
        <f t="shared" si="68"/>
        <v>0.33430232558139533</v>
      </c>
      <c r="BK77" s="1926">
        <f>'Non-marital births'!L78</f>
        <v>0.31652661064425769</v>
      </c>
      <c r="BL77" s="1927">
        <v>0.30640668523676878</v>
      </c>
      <c r="BM77" s="1928">
        <f t="shared" si="69"/>
        <v>0.31073446327683618</v>
      </c>
      <c r="BN77" s="2348">
        <f t="shared" si="70"/>
        <v>0.32917705735660846</v>
      </c>
      <c r="BO77" s="2348">
        <f t="shared" si="53"/>
        <v>0.30182926829268292</v>
      </c>
      <c r="BP77" s="2343">
        <f t="shared" si="53"/>
        <v>0.31652661064425769</v>
      </c>
    </row>
    <row r="78" spans="1:68" s="142" customFormat="1" ht="13.5" customHeight="1" x14ac:dyDescent="0.3">
      <c r="A78" s="149" t="s">
        <v>188</v>
      </c>
      <c r="B78" s="185" t="s">
        <v>189</v>
      </c>
      <c r="C78" s="150" t="s">
        <v>255</v>
      </c>
      <c r="D78" s="938">
        <v>4640</v>
      </c>
      <c r="E78" s="939">
        <v>4716</v>
      </c>
      <c r="F78" s="940">
        <v>5046</v>
      </c>
      <c r="G78" s="939">
        <v>5466</v>
      </c>
      <c r="H78" s="940">
        <v>5655</v>
      </c>
      <c r="I78" s="939">
        <v>5958</v>
      </c>
      <c r="J78" s="940">
        <v>6445</v>
      </c>
      <c r="K78" s="939">
        <v>6626</v>
      </c>
      <c r="L78" s="953">
        <v>7042</v>
      </c>
      <c r="M78" s="953">
        <v>6797</v>
      </c>
      <c r="N78" s="953">
        <v>6397</v>
      </c>
      <c r="O78" s="953">
        <v>6622</v>
      </c>
      <c r="P78" s="954">
        <v>6647</v>
      </c>
      <c r="Q78" s="954">
        <v>6691</v>
      </c>
      <c r="R78" s="1107">
        <v>6873</v>
      </c>
      <c r="S78" s="1367">
        <v>6791</v>
      </c>
      <c r="T78" s="1908">
        <v>6900</v>
      </c>
      <c r="U78" s="1908">
        <v>6593</v>
      </c>
      <c r="V78" s="2291">
        <v>6616</v>
      </c>
      <c r="W78" s="1367">
        <v>6634</v>
      </c>
      <c r="X78" s="2351">
        <v>6477</v>
      </c>
      <c r="Y78" s="1273"/>
      <c r="Z78" s="961">
        <v>1099</v>
      </c>
      <c r="AA78" s="962">
        <v>1172</v>
      </c>
      <c r="AB78" s="962">
        <v>1249</v>
      </c>
      <c r="AC78" s="962">
        <v>1336</v>
      </c>
      <c r="AD78" s="962">
        <v>1322</v>
      </c>
      <c r="AE78" s="962">
        <v>1525</v>
      </c>
      <c r="AF78" s="962">
        <v>1656</v>
      </c>
      <c r="AG78" s="962">
        <v>1824</v>
      </c>
      <c r="AH78" s="962">
        <v>2185</v>
      </c>
      <c r="AI78" s="962">
        <v>2087</v>
      </c>
      <c r="AJ78" s="962">
        <v>1809</v>
      </c>
      <c r="AK78" s="962">
        <v>1932</v>
      </c>
      <c r="AL78" s="962">
        <v>1985</v>
      </c>
      <c r="AM78" s="962">
        <v>1985</v>
      </c>
      <c r="AN78" s="1110">
        <v>2043</v>
      </c>
      <c r="AO78" s="1368">
        <v>1947</v>
      </c>
      <c r="AP78" s="1369">
        <v>2018</v>
      </c>
      <c r="AQ78" s="1368">
        <v>2038</v>
      </c>
      <c r="AR78" s="2289">
        <v>2008</v>
      </c>
      <c r="AS78" s="1368">
        <v>2078</v>
      </c>
      <c r="AT78" s="2353">
        <v>1964</v>
      </c>
      <c r="AU78" s="1274"/>
      <c r="AV78" s="1923">
        <f t="shared" si="54"/>
        <v>0.23685344827586208</v>
      </c>
      <c r="AW78" s="1924">
        <f t="shared" si="55"/>
        <v>0.24851569126378287</v>
      </c>
      <c r="AX78" s="1924">
        <f t="shared" si="56"/>
        <v>0.24752279032897345</v>
      </c>
      <c r="AY78" s="1924">
        <f t="shared" si="57"/>
        <v>0.24442005122575924</v>
      </c>
      <c r="AZ78" s="1924">
        <f t="shared" si="58"/>
        <v>0.23377541998231655</v>
      </c>
      <c r="BA78" s="1924">
        <f t="shared" si="59"/>
        <v>0.25595837529372273</v>
      </c>
      <c r="BB78" s="1924">
        <f t="shared" si="60"/>
        <v>0.25694336695112491</v>
      </c>
      <c r="BC78" s="1924">
        <f t="shared" si="61"/>
        <v>0.27527920313914883</v>
      </c>
      <c r="BD78" s="1924">
        <f t="shared" si="62"/>
        <v>0.31028117012212442</v>
      </c>
      <c r="BE78" s="1924">
        <f t="shared" si="63"/>
        <v>0.30704722671766954</v>
      </c>
      <c r="BF78" s="1924">
        <f t="shared" si="64"/>
        <v>0.28278880725340005</v>
      </c>
      <c r="BG78" s="1924">
        <f t="shared" si="65"/>
        <v>0.29175475687103591</v>
      </c>
      <c r="BH78" s="1924">
        <f t="shared" si="66"/>
        <v>0.29863096133594103</v>
      </c>
      <c r="BI78" s="1924">
        <f t="shared" si="67"/>
        <v>0.29666716484830369</v>
      </c>
      <c r="BJ78" s="1925">
        <f t="shared" si="68"/>
        <v>0.29725010912265387</v>
      </c>
      <c r="BK78" s="1926">
        <f>'Non-marital births'!L79</f>
        <v>0.30322680253203643</v>
      </c>
      <c r="BL78" s="1927">
        <v>0.29246376811594205</v>
      </c>
      <c r="BM78" s="1928">
        <f t="shared" si="69"/>
        <v>0.3091157288032762</v>
      </c>
      <c r="BN78" s="2348">
        <f t="shared" si="70"/>
        <v>0.30350665054413545</v>
      </c>
      <c r="BO78" s="2348">
        <f t="shared" si="53"/>
        <v>0.31323485076876695</v>
      </c>
      <c r="BP78" s="2343">
        <f t="shared" si="53"/>
        <v>0.30322680253203643</v>
      </c>
    </row>
    <row r="79" spans="1:68" s="142" customFormat="1" ht="13.5" customHeight="1" x14ac:dyDescent="0.3">
      <c r="A79" s="149" t="s">
        <v>190</v>
      </c>
      <c r="B79" s="185" t="s">
        <v>191</v>
      </c>
      <c r="C79" s="150" t="s">
        <v>256</v>
      </c>
      <c r="D79" s="938">
        <v>419</v>
      </c>
      <c r="E79" s="939">
        <v>383</v>
      </c>
      <c r="F79" s="940">
        <v>411</v>
      </c>
      <c r="G79" s="939">
        <v>369</v>
      </c>
      <c r="H79" s="940">
        <v>324</v>
      </c>
      <c r="I79" s="939">
        <v>338</v>
      </c>
      <c r="J79" s="940">
        <v>345</v>
      </c>
      <c r="K79" s="939">
        <v>344</v>
      </c>
      <c r="L79" s="953">
        <v>336</v>
      </c>
      <c r="M79" s="953">
        <v>358</v>
      </c>
      <c r="N79" s="953">
        <v>362</v>
      </c>
      <c r="O79" s="953">
        <v>321</v>
      </c>
      <c r="P79" s="954">
        <v>281</v>
      </c>
      <c r="Q79" s="954">
        <v>288</v>
      </c>
      <c r="R79" s="1107">
        <v>348</v>
      </c>
      <c r="S79" s="1367">
        <v>316</v>
      </c>
      <c r="T79" s="1908">
        <v>323</v>
      </c>
      <c r="U79" s="1908">
        <v>306</v>
      </c>
      <c r="V79" s="2291">
        <v>335</v>
      </c>
      <c r="W79" s="1367">
        <v>312</v>
      </c>
      <c r="X79" s="2351">
        <v>277</v>
      </c>
      <c r="Y79" s="1273"/>
      <c r="Z79" s="961">
        <v>120</v>
      </c>
      <c r="AA79" s="962">
        <v>111</v>
      </c>
      <c r="AB79" s="962">
        <v>125</v>
      </c>
      <c r="AC79" s="962">
        <v>115</v>
      </c>
      <c r="AD79" s="962">
        <v>112</v>
      </c>
      <c r="AE79" s="962">
        <v>115</v>
      </c>
      <c r="AF79" s="962">
        <v>106</v>
      </c>
      <c r="AG79" s="962">
        <v>129</v>
      </c>
      <c r="AH79" s="962">
        <v>124</v>
      </c>
      <c r="AI79" s="962">
        <v>155</v>
      </c>
      <c r="AJ79" s="962">
        <v>149</v>
      </c>
      <c r="AK79" s="962">
        <v>144</v>
      </c>
      <c r="AL79" s="962">
        <v>116</v>
      </c>
      <c r="AM79" s="962">
        <v>120</v>
      </c>
      <c r="AN79" s="1110">
        <v>147</v>
      </c>
      <c r="AO79" s="1368">
        <v>157</v>
      </c>
      <c r="AP79" s="1369">
        <v>141</v>
      </c>
      <c r="AQ79" s="1368">
        <v>156</v>
      </c>
      <c r="AR79" s="2289">
        <v>158</v>
      </c>
      <c r="AS79" s="1368">
        <v>144</v>
      </c>
      <c r="AT79" s="2353">
        <v>125</v>
      </c>
      <c r="AU79" s="1274"/>
      <c r="AV79" s="1923">
        <f t="shared" si="54"/>
        <v>0.28639618138424822</v>
      </c>
      <c r="AW79" s="1924">
        <f t="shared" si="55"/>
        <v>0.28981723237597912</v>
      </c>
      <c r="AX79" s="1924">
        <f t="shared" si="56"/>
        <v>0.30413625304136255</v>
      </c>
      <c r="AY79" s="1924">
        <f t="shared" si="57"/>
        <v>0.31165311653116529</v>
      </c>
      <c r="AZ79" s="1924">
        <f t="shared" si="58"/>
        <v>0.34567901234567899</v>
      </c>
      <c r="BA79" s="1924">
        <f t="shared" si="59"/>
        <v>0.34023668639053256</v>
      </c>
      <c r="BB79" s="1924">
        <f t="shared" si="60"/>
        <v>0.30724637681159422</v>
      </c>
      <c r="BC79" s="1924">
        <f t="shared" si="61"/>
        <v>0.375</v>
      </c>
      <c r="BD79" s="1924">
        <f t="shared" si="62"/>
        <v>0.36904761904761907</v>
      </c>
      <c r="BE79" s="1924">
        <f t="shared" si="63"/>
        <v>0.43296089385474862</v>
      </c>
      <c r="BF79" s="1924">
        <f t="shared" si="64"/>
        <v>0.41160220994475138</v>
      </c>
      <c r="BG79" s="1924">
        <f t="shared" si="65"/>
        <v>0.44859813084112149</v>
      </c>
      <c r="BH79" s="1924">
        <f t="shared" si="66"/>
        <v>0.41281138790035588</v>
      </c>
      <c r="BI79" s="1924">
        <f t="shared" si="67"/>
        <v>0.41666666666666669</v>
      </c>
      <c r="BJ79" s="1925">
        <f t="shared" si="68"/>
        <v>0.42241379310344829</v>
      </c>
      <c r="BK79" s="1926">
        <f>'Non-marital births'!L80</f>
        <v>0.45126353790613716</v>
      </c>
      <c r="BL79" s="1927">
        <v>0.43653250773993807</v>
      </c>
      <c r="BM79" s="1928">
        <f t="shared" si="69"/>
        <v>0.50980392156862742</v>
      </c>
      <c r="BN79" s="2348">
        <f t="shared" si="70"/>
        <v>0.4716417910447761</v>
      </c>
      <c r="BO79" s="2348">
        <f t="shared" si="53"/>
        <v>0.46153846153846156</v>
      </c>
      <c r="BP79" s="2343">
        <f t="shared" si="53"/>
        <v>0.45126353790613716</v>
      </c>
    </row>
    <row r="80" spans="1:68" s="142" customFormat="1" ht="13.5" customHeight="1" x14ac:dyDescent="0.3">
      <c r="A80" s="149" t="s">
        <v>194</v>
      </c>
      <c r="B80" s="185" t="s">
        <v>195</v>
      </c>
      <c r="C80" s="150" t="s">
        <v>255</v>
      </c>
      <c r="D80" s="938">
        <v>89</v>
      </c>
      <c r="E80" s="939">
        <v>105</v>
      </c>
      <c r="F80" s="940">
        <v>98</v>
      </c>
      <c r="G80" s="939">
        <v>79</v>
      </c>
      <c r="H80" s="940">
        <v>77</v>
      </c>
      <c r="I80" s="939">
        <v>64</v>
      </c>
      <c r="J80" s="940">
        <v>79</v>
      </c>
      <c r="K80" s="939">
        <v>69</v>
      </c>
      <c r="L80" s="953">
        <v>72</v>
      </c>
      <c r="M80" s="953">
        <v>68</v>
      </c>
      <c r="N80" s="953">
        <v>77</v>
      </c>
      <c r="O80" s="953">
        <v>70</v>
      </c>
      <c r="P80" s="954">
        <v>67</v>
      </c>
      <c r="Q80" s="954">
        <v>55</v>
      </c>
      <c r="R80" s="1107">
        <v>56</v>
      </c>
      <c r="S80" s="1367">
        <v>47</v>
      </c>
      <c r="T80" s="1908">
        <v>55</v>
      </c>
      <c r="U80" s="1908">
        <v>51</v>
      </c>
      <c r="V80" s="2291">
        <v>53</v>
      </c>
      <c r="W80" s="1367">
        <v>53</v>
      </c>
      <c r="X80" s="2351">
        <v>56</v>
      </c>
      <c r="Y80" s="1273"/>
      <c r="Z80" s="961">
        <v>18</v>
      </c>
      <c r="AA80" s="962">
        <v>23</v>
      </c>
      <c r="AB80" s="962">
        <v>15</v>
      </c>
      <c r="AC80" s="962">
        <v>16</v>
      </c>
      <c r="AD80" s="962">
        <v>21</v>
      </c>
      <c r="AE80" s="962">
        <v>12</v>
      </c>
      <c r="AF80" s="962">
        <v>23</v>
      </c>
      <c r="AG80" s="962">
        <v>22</v>
      </c>
      <c r="AH80" s="962">
        <v>30</v>
      </c>
      <c r="AI80" s="962">
        <v>23</v>
      </c>
      <c r="AJ80" s="962">
        <v>29</v>
      </c>
      <c r="AK80" s="962">
        <v>22</v>
      </c>
      <c r="AL80" s="962">
        <v>20</v>
      </c>
      <c r="AM80" s="962">
        <v>28</v>
      </c>
      <c r="AN80" s="1110">
        <v>17</v>
      </c>
      <c r="AO80" s="1368">
        <v>17</v>
      </c>
      <c r="AP80" s="1369">
        <v>15</v>
      </c>
      <c r="AQ80" s="1368">
        <v>18</v>
      </c>
      <c r="AR80" s="2289">
        <v>26</v>
      </c>
      <c r="AS80" s="1368">
        <v>15</v>
      </c>
      <c r="AT80" s="2353">
        <v>20</v>
      </c>
      <c r="AU80" s="1274"/>
      <c r="AV80" s="1923">
        <f t="shared" si="54"/>
        <v>0.20224719101123595</v>
      </c>
      <c r="AW80" s="1924">
        <f t="shared" si="55"/>
        <v>0.21904761904761905</v>
      </c>
      <c r="AX80" s="1924">
        <f t="shared" si="56"/>
        <v>0.15306122448979592</v>
      </c>
      <c r="AY80" s="1924">
        <f t="shared" si="57"/>
        <v>0.20253164556962025</v>
      </c>
      <c r="AZ80" s="1924">
        <f t="shared" si="58"/>
        <v>0.27272727272727271</v>
      </c>
      <c r="BA80" s="1924">
        <f t="shared" si="59"/>
        <v>0.1875</v>
      </c>
      <c r="BB80" s="1924">
        <f t="shared" si="60"/>
        <v>0.29113924050632911</v>
      </c>
      <c r="BC80" s="1924">
        <f t="shared" si="61"/>
        <v>0.3188405797101449</v>
      </c>
      <c r="BD80" s="1924">
        <f t="shared" si="62"/>
        <v>0.41666666666666669</v>
      </c>
      <c r="BE80" s="1924">
        <f t="shared" si="63"/>
        <v>0.33823529411764708</v>
      </c>
      <c r="BF80" s="1924">
        <f t="shared" si="64"/>
        <v>0.37662337662337664</v>
      </c>
      <c r="BG80" s="1924">
        <f t="shared" si="65"/>
        <v>0.31428571428571428</v>
      </c>
      <c r="BH80" s="1924">
        <f t="shared" si="66"/>
        <v>0.29850746268656714</v>
      </c>
      <c r="BI80" s="1924">
        <f t="shared" si="67"/>
        <v>0.50909090909090904</v>
      </c>
      <c r="BJ80" s="1925">
        <f t="shared" si="68"/>
        <v>0.30357142857142855</v>
      </c>
      <c r="BK80" s="1926">
        <f>'Non-marital births'!L81</f>
        <v>0.35714285714285715</v>
      </c>
      <c r="BL80" s="1927">
        <v>0.27272727272727271</v>
      </c>
      <c r="BM80" s="1928">
        <f t="shared" si="69"/>
        <v>0.35294117647058826</v>
      </c>
      <c r="BN80" s="2348">
        <f t="shared" si="70"/>
        <v>0.49056603773584906</v>
      </c>
      <c r="BO80" s="2348">
        <f t="shared" si="53"/>
        <v>0.28301886792452829</v>
      </c>
      <c r="BP80" s="2343">
        <f t="shared" si="53"/>
        <v>0.35714285714285715</v>
      </c>
    </row>
    <row r="81" spans="1:68" s="142" customFormat="1" ht="13.5" customHeight="1" x14ac:dyDescent="0.3">
      <c r="A81" s="149" t="s">
        <v>198</v>
      </c>
      <c r="B81" s="185" t="s">
        <v>260</v>
      </c>
      <c r="C81" s="150" t="s">
        <v>254</v>
      </c>
      <c r="D81" s="938">
        <v>71</v>
      </c>
      <c r="E81" s="939">
        <v>79</v>
      </c>
      <c r="F81" s="940">
        <v>81</v>
      </c>
      <c r="G81" s="939">
        <v>77</v>
      </c>
      <c r="H81" s="940">
        <v>92</v>
      </c>
      <c r="I81" s="939">
        <v>82</v>
      </c>
      <c r="J81" s="940">
        <v>95</v>
      </c>
      <c r="K81" s="939">
        <v>90</v>
      </c>
      <c r="L81" s="953">
        <v>95</v>
      </c>
      <c r="M81" s="953">
        <v>123</v>
      </c>
      <c r="N81" s="953">
        <v>69</v>
      </c>
      <c r="O81" s="953">
        <v>76</v>
      </c>
      <c r="P81" s="954">
        <v>75</v>
      </c>
      <c r="Q81" s="954">
        <v>71</v>
      </c>
      <c r="R81" s="1107">
        <v>72</v>
      </c>
      <c r="S81" s="1367">
        <v>72</v>
      </c>
      <c r="T81" s="1908">
        <v>64</v>
      </c>
      <c r="U81" s="1908">
        <v>73</v>
      </c>
      <c r="V81" s="2291">
        <v>93</v>
      </c>
      <c r="W81" s="1367">
        <v>75</v>
      </c>
      <c r="X81" s="2351">
        <v>76</v>
      </c>
      <c r="Y81" s="1273"/>
      <c r="Z81" s="961">
        <v>27</v>
      </c>
      <c r="AA81" s="962">
        <v>35</v>
      </c>
      <c r="AB81" s="962">
        <v>33</v>
      </c>
      <c r="AC81" s="962">
        <v>38</v>
      </c>
      <c r="AD81" s="962">
        <v>41</v>
      </c>
      <c r="AE81" s="962">
        <v>27</v>
      </c>
      <c r="AF81" s="962">
        <v>43</v>
      </c>
      <c r="AG81" s="962">
        <v>36</v>
      </c>
      <c r="AH81" s="962">
        <v>52</v>
      </c>
      <c r="AI81" s="962">
        <v>54</v>
      </c>
      <c r="AJ81" s="962">
        <v>26</v>
      </c>
      <c r="AK81" s="962">
        <v>40</v>
      </c>
      <c r="AL81" s="962">
        <v>34</v>
      </c>
      <c r="AM81" s="962">
        <v>29</v>
      </c>
      <c r="AN81" s="1110">
        <v>41</v>
      </c>
      <c r="AO81" s="1368">
        <v>33</v>
      </c>
      <c r="AP81" s="1369">
        <v>28</v>
      </c>
      <c r="AQ81" s="1368">
        <v>34</v>
      </c>
      <c r="AR81" s="2289">
        <v>45</v>
      </c>
      <c r="AS81" s="1368">
        <v>40</v>
      </c>
      <c r="AT81" s="2353">
        <v>35</v>
      </c>
      <c r="AU81" s="1274"/>
      <c r="AV81" s="1923">
        <f t="shared" si="54"/>
        <v>0.38028169014084506</v>
      </c>
      <c r="AW81" s="1924">
        <f t="shared" si="55"/>
        <v>0.44303797468354428</v>
      </c>
      <c r="AX81" s="1924">
        <f t="shared" si="56"/>
        <v>0.40740740740740738</v>
      </c>
      <c r="AY81" s="1924">
        <f t="shared" si="57"/>
        <v>0.4935064935064935</v>
      </c>
      <c r="AZ81" s="1924">
        <f t="shared" si="58"/>
        <v>0.44565217391304346</v>
      </c>
      <c r="BA81" s="1924">
        <f t="shared" si="59"/>
        <v>0.32926829268292684</v>
      </c>
      <c r="BB81" s="1924">
        <f t="shared" si="60"/>
        <v>0.45263157894736844</v>
      </c>
      <c r="BC81" s="1924">
        <f t="shared" si="61"/>
        <v>0.4</v>
      </c>
      <c r="BD81" s="1924">
        <f t="shared" si="62"/>
        <v>0.54736842105263162</v>
      </c>
      <c r="BE81" s="1924">
        <f t="shared" si="63"/>
        <v>0.43902439024390244</v>
      </c>
      <c r="BF81" s="1924">
        <f t="shared" si="64"/>
        <v>0.37681159420289856</v>
      </c>
      <c r="BG81" s="1924">
        <f t="shared" si="65"/>
        <v>0.52631578947368418</v>
      </c>
      <c r="BH81" s="1924">
        <f t="shared" si="66"/>
        <v>0.45333333333333331</v>
      </c>
      <c r="BI81" s="1924">
        <f t="shared" si="67"/>
        <v>0.40845070422535212</v>
      </c>
      <c r="BJ81" s="1925">
        <f t="shared" si="68"/>
        <v>0.56944444444444442</v>
      </c>
      <c r="BK81" s="1926">
        <f>'Non-marital births'!L82</f>
        <v>0.46052631578947367</v>
      </c>
      <c r="BL81" s="1927">
        <v>0.4375</v>
      </c>
      <c r="BM81" s="1928">
        <f t="shared" si="69"/>
        <v>0.46575342465753422</v>
      </c>
      <c r="BN81" s="2348">
        <f t="shared" si="70"/>
        <v>0.4838709677419355</v>
      </c>
      <c r="BO81" s="2348">
        <f t="shared" si="53"/>
        <v>0.53333333333333333</v>
      </c>
      <c r="BP81" s="2343">
        <f t="shared" si="53"/>
        <v>0.46052631578947367</v>
      </c>
    </row>
    <row r="82" spans="1:68" s="142" customFormat="1" ht="13.5" customHeight="1" x14ac:dyDescent="0.3">
      <c r="A82" s="149" t="s">
        <v>202</v>
      </c>
      <c r="B82" s="185" t="s">
        <v>289</v>
      </c>
      <c r="C82" s="150" t="s">
        <v>253</v>
      </c>
      <c r="D82" s="938">
        <v>1112</v>
      </c>
      <c r="E82" s="939">
        <v>1094</v>
      </c>
      <c r="F82" s="940">
        <v>1130</v>
      </c>
      <c r="G82" s="939">
        <v>1246</v>
      </c>
      <c r="H82" s="940">
        <v>1239</v>
      </c>
      <c r="I82" s="939">
        <v>1126</v>
      </c>
      <c r="J82" s="940">
        <v>1621</v>
      </c>
      <c r="K82" s="939">
        <v>1292</v>
      </c>
      <c r="L82" s="953">
        <v>1249</v>
      </c>
      <c r="M82" s="953">
        <v>1130</v>
      </c>
      <c r="N82" s="953">
        <v>1133</v>
      </c>
      <c r="O82" s="953">
        <v>1158</v>
      </c>
      <c r="P82" s="954">
        <v>1045</v>
      </c>
      <c r="Q82" s="954">
        <v>1128</v>
      </c>
      <c r="R82" s="1107">
        <v>1085</v>
      </c>
      <c r="S82" s="1367">
        <v>1108</v>
      </c>
      <c r="T82" s="1908">
        <v>1102</v>
      </c>
      <c r="U82" s="1908">
        <v>1092</v>
      </c>
      <c r="V82" s="2291">
        <v>1060</v>
      </c>
      <c r="W82" s="1367">
        <v>996</v>
      </c>
      <c r="X82" s="2351">
        <v>965</v>
      </c>
      <c r="Y82" s="1273"/>
      <c r="Z82" s="961">
        <v>210</v>
      </c>
      <c r="AA82" s="962">
        <v>245</v>
      </c>
      <c r="AB82" s="962">
        <v>256</v>
      </c>
      <c r="AC82" s="962">
        <v>359</v>
      </c>
      <c r="AD82" s="962">
        <v>305</v>
      </c>
      <c r="AE82" s="962">
        <v>297</v>
      </c>
      <c r="AF82" s="962">
        <v>491</v>
      </c>
      <c r="AG82" s="962">
        <v>385</v>
      </c>
      <c r="AH82" s="962">
        <v>372</v>
      </c>
      <c r="AI82" s="962">
        <v>325</v>
      </c>
      <c r="AJ82" s="962">
        <v>381</v>
      </c>
      <c r="AK82" s="962">
        <v>359</v>
      </c>
      <c r="AL82" s="962">
        <v>326</v>
      </c>
      <c r="AM82" s="962">
        <v>357</v>
      </c>
      <c r="AN82" s="1110">
        <v>361</v>
      </c>
      <c r="AO82" s="1368">
        <v>368</v>
      </c>
      <c r="AP82" s="1369">
        <v>377</v>
      </c>
      <c r="AQ82" s="1368">
        <v>332</v>
      </c>
      <c r="AR82" s="2289">
        <v>340</v>
      </c>
      <c r="AS82" s="1368">
        <v>322</v>
      </c>
      <c r="AT82" s="2353">
        <v>295</v>
      </c>
      <c r="AU82" s="1274"/>
      <c r="AV82" s="1923">
        <f t="shared" si="54"/>
        <v>0.18884892086330934</v>
      </c>
      <c r="AW82" s="1924">
        <f t="shared" si="55"/>
        <v>0.22394881170018283</v>
      </c>
      <c r="AX82" s="1924">
        <f t="shared" si="56"/>
        <v>0.22654867256637168</v>
      </c>
      <c r="AY82" s="1924">
        <f t="shared" si="57"/>
        <v>0.2881219903691814</v>
      </c>
      <c r="AZ82" s="1924">
        <f t="shared" si="58"/>
        <v>0.24616626311541565</v>
      </c>
      <c r="BA82" s="1924">
        <f t="shared" si="59"/>
        <v>0.26376554174067496</v>
      </c>
      <c r="BB82" s="1924">
        <f t="shared" si="60"/>
        <v>0.3028994447871684</v>
      </c>
      <c r="BC82" s="1924">
        <f t="shared" si="61"/>
        <v>0.29798761609907121</v>
      </c>
      <c r="BD82" s="1924">
        <f t="shared" si="62"/>
        <v>0.29783827061649321</v>
      </c>
      <c r="BE82" s="1924">
        <f t="shared" si="63"/>
        <v>0.28761061946902655</v>
      </c>
      <c r="BF82" s="1924">
        <f t="shared" si="64"/>
        <v>0.33627537511032657</v>
      </c>
      <c r="BG82" s="1924">
        <f t="shared" si="65"/>
        <v>0.31001727115716754</v>
      </c>
      <c r="BH82" s="1924">
        <f t="shared" si="66"/>
        <v>0.31196172248803827</v>
      </c>
      <c r="BI82" s="1924">
        <f t="shared" si="67"/>
        <v>0.31648936170212766</v>
      </c>
      <c r="BJ82" s="1925">
        <f t="shared" si="68"/>
        <v>0.33271889400921661</v>
      </c>
      <c r="BK82" s="1926">
        <f>'Non-marital births'!L83</f>
        <v>0.30569948186528495</v>
      </c>
      <c r="BL82" s="1927">
        <v>0.34210526315789475</v>
      </c>
      <c r="BM82" s="1928">
        <f t="shared" si="69"/>
        <v>0.304029304029304</v>
      </c>
      <c r="BN82" s="2348">
        <f t="shared" si="70"/>
        <v>0.32075471698113206</v>
      </c>
      <c r="BO82" s="2348">
        <f t="shared" si="53"/>
        <v>0.32329317269076308</v>
      </c>
      <c r="BP82" s="2343">
        <f t="shared" si="53"/>
        <v>0.30569948186528495</v>
      </c>
    </row>
    <row r="83" spans="1:68" s="142" customFormat="1" ht="13.5" customHeight="1" x14ac:dyDescent="0.3">
      <c r="A83" s="149" t="s">
        <v>204</v>
      </c>
      <c r="B83" s="185" t="s">
        <v>281</v>
      </c>
      <c r="C83" s="150" t="s">
        <v>253</v>
      </c>
      <c r="D83" s="938">
        <v>330</v>
      </c>
      <c r="E83" s="939">
        <v>351</v>
      </c>
      <c r="F83" s="940">
        <v>346</v>
      </c>
      <c r="G83" s="939">
        <v>324</v>
      </c>
      <c r="H83" s="940">
        <v>308</v>
      </c>
      <c r="I83" s="939">
        <v>331</v>
      </c>
      <c r="J83" s="940">
        <v>348</v>
      </c>
      <c r="K83" s="939">
        <v>345</v>
      </c>
      <c r="L83" s="953">
        <v>328</v>
      </c>
      <c r="M83" s="953">
        <v>390</v>
      </c>
      <c r="N83" s="953">
        <v>322</v>
      </c>
      <c r="O83" s="953">
        <v>329</v>
      </c>
      <c r="P83" s="954">
        <v>304</v>
      </c>
      <c r="Q83" s="954">
        <v>305</v>
      </c>
      <c r="R83" s="1107">
        <v>352</v>
      </c>
      <c r="S83" s="1367">
        <v>320</v>
      </c>
      <c r="T83" s="1908">
        <v>239</v>
      </c>
      <c r="U83" s="1908">
        <v>319</v>
      </c>
      <c r="V83" s="2291">
        <v>315</v>
      </c>
      <c r="W83" s="1367">
        <v>332</v>
      </c>
      <c r="X83" s="2351">
        <v>308</v>
      </c>
      <c r="Y83" s="1273"/>
      <c r="Z83" s="961">
        <v>107</v>
      </c>
      <c r="AA83" s="962">
        <v>88</v>
      </c>
      <c r="AB83" s="962">
        <v>86</v>
      </c>
      <c r="AC83" s="962">
        <v>94</v>
      </c>
      <c r="AD83" s="962">
        <v>105</v>
      </c>
      <c r="AE83" s="962">
        <v>105</v>
      </c>
      <c r="AF83" s="962">
        <v>130</v>
      </c>
      <c r="AG83" s="962">
        <v>131</v>
      </c>
      <c r="AH83" s="962">
        <v>108</v>
      </c>
      <c r="AI83" s="962">
        <v>131</v>
      </c>
      <c r="AJ83" s="962">
        <v>119</v>
      </c>
      <c r="AK83" s="962">
        <v>123</v>
      </c>
      <c r="AL83" s="962">
        <v>103</v>
      </c>
      <c r="AM83" s="962">
        <v>121</v>
      </c>
      <c r="AN83" s="1110">
        <v>138</v>
      </c>
      <c r="AO83" s="1368">
        <v>125</v>
      </c>
      <c r="AP83" s="1369">
        <v>127</v>
      </c>
      <c r="AQ83" s="1368">
        <v>131</v>
      </c>
      <c r="AR83" s="2289">
        <v>128</v>
      </c>
      <c r="AS83" s="1368">
        <v>128</v>
      </c>
      <c r="AT83" s="2353">
        <v>123</v>
      </c>
      <c r="AU83" s="1274"/>
      <c r="AV83" s="1923">
        <f t="shared" si="54"/>
        <v>0.32424242424242422</v>
      </c>
      <c r="AW83" s="1924">
        <f t="shared" si="55"/>
        <v>0.25071225071225073</v>
      </c>
      <c r="AX83" s="1924">
        <f t="shared" si="56"/>
        <v>0.24855491329479767</v>
      </c>
      <c r="AY83" s="1924">
        <f t="shared" si="57"/>
        <v>0.29012345679012347</v>
      </c>
      <c r="AZ83" s="1924">
        <f t="shared" si="58"/>
        <v>0.34090909090909088</v>
      </c>
      <c r="BA83" s="1924">
        <f t="shared" si="59"/>
        <v>0.31722054380664655</v>
      </c>
      <c r="BB83" s="1924">
        <f t="shared" si="60"/>
        <v>0.37356321839080459</v>
      </c>
      <c r="BC83" s="1924">
        <f t="shared" si="61"/>
        <v>0.37971014492753624</v>
      </c>
      <c r="BD83" s="1924">
        <f t="shared" si="62"/>
        <v>0.32926829268292684</v>
      </c>
      <c r="BE83" s="1924">
        <f t="shared" si="63"/>
        <v>0.33589743589743587</v>
      </c>
      <c r="BF83" s="1924">
        <f t="shared" si="64"/>
        <v>0.36956521739130432</v>
      </c>
      <c r="BG83" s="1924">
        <f t="shared" si="65"/>
        <v>0.37386018237082069</v>
      </c>
      <c r="BH83" s="1924">
        <f t="shared" si="66"/>
        <v>0.33881578947368424</v>
      </c>
      <c r="BI83" s="1924">
        <f t="shared" si="67"/>
        <v>0.39672131147540984</v>
      </c>
      <c r="BJ83" s="1925">
        <f t="shared" si="68"/>
        <v>0.39204545454545453</v>
      </c>
      <c r="BK83" s="1926">
        <f>'Non-marital births'!L84</f>
        <v>0.39935064935064934</v>
      </c>
      <c r="BL83" s="1927">
        <v>0.53138075313807531</v>
      </c>
      <c r="BM83" s="1928">
        <f t="shared" si="69"/>
        <v>0.41065830721003133</v>
      </c>
      <c r="BN83" s="2348">
        <f t="shared" si="70"/>
        <v>0.40634920634920635</v>
      </c>
      <c r="BO83" s="2348">
        <f t="shared" si="53"/>
        <v>0.38554216867469882</v>
      </c>
      <c r="BP83" s="2343">
        <f t="shared" si="53"/>
        <v>0.39935064935064934</v>
      </c>
    </row>
    <row r="84" spans="1:68" s="142" customFormat="1" ht="13.5" customHeight="1" x14ac:dyDescent="0.3">
      <c r="A84" s="149" t="s">
        <v>206</v>
      </c>
      <c r="B84" s="185" t="s">
        <v>282</v>
      </c>
      <c r="C84" s="150" t="s">
        <v>255</v>
      </c>
      <c r="D84" s="938">
        <v>1184</v>
      </c>
      <c r="E84" s="939">
        <v>1312</v>
      </c>
      <c r="F84" s="940">
        <v>1309</v>
      </c>
      <c r="G84" s="939">
        <v>1347</v>
      </c>
      <c r="H84" s="940">
        <v>1404</v>
      </c>
      <c r="I84" s="939">
        <v>1364</v>
      </c>
      <c r="J84" s="940">
        <v>1426</v>
      </c>
      <c r="K84" s="939">
        <v>1423</v>
      </c>
      <c r="L84" s="953">
        <v>1432</v>
      </c>
      <c r="M84" s="953">
        <v>1427</v>
      </c>
      <c r="N84" s="953">
        <v>1340</v>
      </c>
      <c r="O84" s="953">
        <v>1385</v>
      </c>
      <c r="P84" s="954">
        <v>1414</v>
      </c>
      <c r="Q84" s="954">
        <v>1363</v>
      </c>
      <c r="R84" s="1107">
        <v>1392</v>
      </c>
      <c r="S84" s="1367">
        <v>1363</v>
      </c>
      <c r="T84" s="1908">
        <v>1544</v>
      </c>
      <c r="U84" s="1908">
        <v>1490</v>
      </c>
      <c r="V84" s="2291">
        <v>1512</v>
      </c>
      <c r="W84" s="1367">
        <v>1461</v>
      </c>
      <c r="X84" s="2351">
        <v>1573</v>
      </c>
      <c r="Y84" s="1273"/>
      <c r="Z84" s="961">
        <v>346</v>
      </c>
      <c r="AA84" s="962">
        <v>390</v>
      </c>
      <c r="AB84" s="962">
        <v>390</v>
      </c>
      <c r="AC84" s="962">
        <v>379</v>
      </c>
      <c r="AD84" s="962">
        <v>391</v>
      </c>
      <c r="AE84" s="962">
        <v>423</v>
      </c>
      <c r="AF84" s="962">
        <v>460</v>
      </c>
      <c r="AG84" s="962">
        <v>499</v>
      </c>
      <c r="AH84" s="962">
        <v>493</v>
      </c>
      <c r="AI84" s="962">
        <v>484</v>
      </c>
      <c r="AJ84" s="962">
        <v>489</v>
      </c>
      <c r="AK84" s="962">
        <v>498</v>
      </c>
      <c r="AL84" s="962">
        <v>508</v>
      </c>
      <c r="AM84" s="962">
        <v>472</v>
      </c>
      <c r="AN84" s="1110">
        <v>474</v>
      </c>
      <c r="AO84" s="1368">
        <v>442</v>
      </c>
      <c r="AP84" s="1369">
        <v>485</v>
      </c>
      <c r="AQ84" s="1368">
        <v>504</v>
      </c>
      <c r="AR84" s="2289">
        <v>528</v>
      </c>
      <c r="AS84" s="1368">
        <v>495</v>
      </c>
      <c r="AT84" s="2353">
        <v>574</v>
      </c>
      <c r="AU84" s="1274"/>
      <c r="AV84" s="1923">
        <f t="shared" si="54"/>
        <v>0.29222972972972971</v>
      </c>
      <c r="AW84" s="1924">
        <f t="shared" si="55"/>
        <v>0.2972560975609756</v>
      </c>
      <c r="AX84" s="1924">
        <f t="shared" si="56"/>
        <v>0.29793735676088617</v>
      </c>
      <c r="AY84" s="1924">
        <f t="shared" si="57"/>
        <v>0.28136599851521898</v>
      </c>
      <c r="AZ84" s="1924">
        <f t="shared" si="58"/>
        <v>0.27849002849002846</v>
      </c>
      <c r="BA84" s="1924">
        <f t="shared" si="59"/>
        <v>0.31011730205278593</v>
      </c>
      <c r="BB84" s="1924">
        <f t="shared" si="60"/>
        <v>0.32258064516129031</v>
      </c>
      <c r="BC84" s="1924">
        <f t="shared" si="61"/>
        <v>0.35066760365425159</v>
      </c>
      <c r="BD84" s="1924">
        <f t="shared" si="62"/>
        <v>0.34427374301675978</v>
      </c>
      <c r="BE84" s="1924">
        <f t="shared" si="63"/>
        <v>0.33917309039943938</v>
      </c>
      <c r="BF84" s="1924">
        <f t="shared" si="64"/>
        <v>0.36492537313432838</v>
      </c>
      <c r="BG84" s="1924">
        <f t="shared" si="65"/>
        <v>0.35956678700361011</v>
      </c>
      <c r="BH84" s="1924">
        <f t="shared" si="66"/>
        <v>0.35926449787835929</v>
      </c>
      <c r="BI84" s="1924">
        <f t="shared" si="67"/>
        <v>0.34629493763756419</v>
      </c>
      <c r="BJ84" s="1925">
        <f t="shared" si="68"/>
        <v>0.34051724137931033</v>
      </c>
      <c r="BK84" s="1926">
        <f>'Non-marital births'!L85</f>
        <v>0.364907819453274</v>
      </c>
      <c r="BL84" s="1927">
        <v>0.31411917098445596</v>
      </c>
      <c r="BM84" s="1928">
        <f t="shared" si="69"/>
        <v>0.338255033557047</v>
      </c>
      <c r="BN84" s="2348">
        <f t="shared" si="70"/>
        <v>0.34920634920634919</v>
      </c>
      <c r="BO84" s="2348">
        <f t="shared" si="53"/>
        <v>0.33880903490759756</v>
      </c>
      <c r="BP84" s="2343">
        <f t="shared" si="53"/>
        <v>0.364907819453274</v>
      </c>
    </row>
    <row r="85" spans="1:68" s="142" customFormat="1" ht="13.5" customHeight="1" x14ac:dyDescent="0.3">
      <c r="A85" s="149" t="s">
        <v>208</v>
      </c>
      <c r="B85" s="185" t="s">
        <v>209</v>
      </c>
      <c r="C85" s="150" t="s">
        <v>256</v>
      </c>
      <c r="D85" s="938">
        <v>293</v>
      </c>
      <c r="E85" s="939">
        <v>327</v>
      </c>
      <c r="F85" s="940">
        <v>275</v>
      </c>
      <c r="G85" s="939">
        <v>319</v>
      </c>
      <c r="H85" s="940">
        <v>305</v>
      </c>
      <c r="I85" s="939">
        <v>312</v>
      </c>
      <c r="J85" s="940">
        <v>262</v>
      </c>
      <c r="K85" s="939">
        <v>304</v>
      </c>
      <c r="L85" s="953">
        <v>284</v>
      </c>
      <c r="M85" s="953">
        <v>298</v>
      </c>
      <c r="N85" s="953">
        <v>339</v>
      </c>
      <c r="O85" s="953">
        <v>303</v>
      </c>
      <c r="P85" s="954">
        <v>278</v>
      </c>
      <c r="Q85" s="954">
        <v>263</v>
      </c>
      <c r="R85" s="1107">
        <v>277</v>
      </c>
      <c r="S85" s="1367">
        <v>297</v>
      </c>
      <c r="T85" s="1908">
        <v>239</v>
      </c>
      <c r="U85" s="1908">
        <v>257</v>
      </c>
      <c r="V85" s="2291">
        <v>253</v>
      </c>
      <c r="W85" s="1367">
        <v>234</v>
      </c>
      <c r="X85" s="2351">
        <v>252</v>
      </c>
      <c r="Y85" s="1273"/>
      <c r="Z85" s="961">
        <v>63</v>
      </c>
      <c r="AA85" s="962">
        <v>83</v>
      </c>
      <c r="AB85" s="962">
        <v>63</v>
      </c>
      <c r="AC85" s="962">
        <v>76</v>
      </c>
      <c r="AD85" s="962">
        <v>67</v>
      </c>
      <c r="AE85" s="962">
        <v>74</v>
      </c>
      <c r="AF85" s="962">
        <v>56</v>
      </c>
      <c r="AG85" s="962">
        <v>70</v>
      </c>
      <c r="AH85" s="962">
        <v>80</v>
      </c>
      <c r="AI85" s="962">
        <v>84</v>
      </c>
      <c r="AJ85" s="962">
        <v>100</v>
      </c>
      <c r="AK85" s="962">
        <v>94</v>
      </c>
      <c r="AL85" s="962">
        <v>98</v>
      </c>
      <c r="AM85" s="962">
        <v>93</v>
      </c>
      <c r="AN85" s="1110">
        <v>88</v>
      </c>
      <c r="AO85" s="1368">
        <v>107</v>
      </c>
      <c r="AP85" s="1369">
        <v>91</v>
      </c>
      <c r="AQ85" s="1368">
        <v>98</v>
      </c>
      <c r="AR85" s="2289">
        <v>83</v>
      </c>
      <c r="AS85" s="1368">
        <v>82</v>
      </c>
      <c r="AT85" s="2353">
        <v>64</v>
      </c>
      <c r="AU85" s="1274"/>
      <c r="AV85" s="1923">
        <f t="shared" si="54"/>
        <v>0.21501706484641639</v>
      </c>
      <c r="AW85" s="1924">
        <f t="shared" si="55"/>
        <v>0.25382262996941896</v>
      </c>
      <c r="AX85" s="1924">
        <f t="shared" si="56"/>
        <v>0.2290909090909091</v>
      </c>
      <c r="AY85" s="1924">
        <f t="shared" si="57"/>
        <v>0.23824451410658307</v>
      </c>
      <c r="AZ85" s="1924">
        <f t="shared" si="58"/>
        <v>0.21967213114754097</v>
      </c>
      <c r="BA85" s="1924">
        <f t="shared" si="59"/>
        <v>0.23717948717948717</v>
      </c>
      <c r="BB85" s="1924">
        <f t="shared" si="60"/>
        <v>0.21374045801526717</v>
      </c>
      <c r="BC85" s="1924">
        <f t="shared" si="61"/>
        <v>0.23026315789473684</v>
      </c>
      <c r="BD85" s="1924">
        <f t="shared" si="62"/>
        <v>0.28169014084507044</v>
      </c>
      <c r="BE85" s="1924">
        <f t="shared" si="63"/>
        <v>0.28187919463087246</v>
      </c>
      <c r="BF85" s="1924">
        <f t="shared" si="64"/>
        <v>0.29498525073746312</v>
      </c>
      <c r="BG85" s="1924">
        <f t="shared" si="65"/>
        <v>0.31023102310231021</v>
      </c>
      <c r="BH85" s="1924">
        <f t="shared" si="66"/>
        <v>0.35251798561151076</v>
      </c>
      <c r="BI85" s="1924">
        <f t="shared" si="67"/>
        <v>0.35361216730038025</v>
      </c>
      <c r="BJ85" s="1925">
        <f t="shared" si="68"/>
        <v>0.3176895306859206</v>
      </c>
      <c r="BK85" s="1926">
        <f>'Non-marital births'!L86</f>
        <v>0.25396825396825395</v>
      </c>
      <c r="BL85" s="1927">
        <v>0.3807531380753138</v>
      </c>
      <c r="BM85" s="1928">
        <f t="shared" si="69"/>
        <v>0.38132295719844356</v>
      </c>
      <c r="BN85" s="2348">
        <f t="shared" si="70"/>
        <v>0.32806324110671936</v>
      </c>
      <c r="BO85" s="2348">
        <f t="shared" si="53"/>
        <v>0.3504273504273504</v>
      </c>
      <c r="BP85" s="2343">
        <f t="shared" si="53"/>
        <v>0.25396825396825395</v>
      </c>
    </row>
    <row r="86" spans="1:68" s="142" customFormat="1" ht="13.5" customHeight="1" x14ac:dyDescent="0.3">
      <c r="A86" s="149" t="s">
        <v>210</v>
      </c>
      <c r="B86" s="185" t="s">
        <v>211</v>
      </c>
      <c r="C86" s="150" t="s">
        <v>256</v>
      </c>
      <c r="D86" s="938">
        <v>246</v>
      </c>
      <c r="E86" s="939">
        <v>233</v>
      </c>
      <c r="F86" s="940">
        <v>248</v>
      </c>
      <c r="G86" s="939">
        <v>217</v>
      </c>
      <c r="H86" s="940">
        <v>215</v>
      </c>
      <c r="I86" s="939">
        <v>215</v>
      </c>
      <c r="J86" s="940">
        <v>225</v>
      </c>
      <c r="K86" s="939">
        <v>217</v>
      </c>
      <c r="L86" s="953">
        <v>241</v>
      </c>
      <c r="M86" s="953">
        <v>207</v>
      </c>
      <c r="N86" s="953">
        <v>229</v>
      </c>
      <c r="O86" s="953">
        <v>224</v>
      </c>
      <c r="P86" s="954">
        <v>222</v>
      </c>
      <c r="Q86" s="954">
        <v>205</v>
      </c>
      <c r="R86" s="1107">
        <v>194</v>
      </c>
      <c r="S86" s="1367">
        <v>194</v>
      </c>
      <c r="T86" s="1908">
        <v>154</v>
      </c>
      <c r="U86" s="1908">
        <v>181</v>
      </c>
      <c r="V86" s="2291">
        <v>171</v>
      </c>
      <c r="W86" s="1367">
        <v>187</v>
      </c>
      <c r="X86" s="2351">
        <v>156</v>
      </c>
      <c r="Y86" s="1273"/>
      <c r="Z86" s="961">
        <v>57</v>
      </c>
      <c r="AA86" s="962">
        <v>51</v>
      </c>
      <c r="AB86" s="962">
        <v>54</v>
      </c>
      <c r="AC86" s="962">
        <v>52</v>
      </c>
      <c r="AD86" s="962">
        <v>58</v>
      </c>
      <c r="AE86" s="962">
        <v>39</v>
      </c>
      <c r="AF86" s="962">
        <v>47</v>
      </c>
      <c r="AG86" s="962">
        <v>58</v>
      </c>
      <c r="AH86" s="962">
        <v>66</v>
      </c>
      <c r="AI86" s="962">
        <v>69</v>
      </c>
      <c r="AJ86" s="962">
        <v>71</v>
      </c>
      <c r="AK86" s="962">
        <v>75</v>
      </c>
      <c r="AL86" s="962">
        <v>77</v>
      </c>
      <c r="AM86" s="962">
        <v>93</v>
      </c>
      <c r="AN86" s="1110">
        <v>73</v>
      </c>
      <c r="AO86" s="1368">
        <v>77</v>
      </c>
      <c r="AP86" s="1369">
        <v>50</v>
      </c>
      <c r="AQ86" s="1368">
        <v>63</v>
      </c>
      <c r="AR86" s="2289">
        <v>60</v>
      </c>
      <c r="AS86" s="1368">
        <v>70</v>
      </c>
      <c r="AT86" s="2353">
        <v>3</v>
      </c>
      <c r="AU86" s="1274"/>
      <c r="AV86" s="1923">
        <f t="shared" si="54"/>
        <v>0.23170731707317074</v>
      </c>
      <c r="AW86" s="1924">
        <f t="shared" si="55"/>
        <v>0.21888412017167383</v>
      </c>
      <c r="AX86" s="1924">
        <f t="shared" si="56"/>
        <v>0.21774193548387097</v>
      </c>
      <c r="AY86" s="1924">
        <f t="shared" si="57"/>
        <v>0.23963133640552994</v>
      </c>
      <c r="AZ86" s="1924">
        <f t="shared" si="58"/>
        <v>0.26976744186046514</v>
      </c>
      <c r="BA86" s="1924">
        <f t="shared" si="59"/>
        <v>0.18139534883720931</v>
      </c>
      <c r="BB86" s="1924">
        <f t="shared" si="60"/>
        <v>0.2088888888888889</v>
      </c>
      <c r="BC86" s="1924">
        <f t="shared" si="61"/>
        <v>0.26728110599078342</v>
      </c>
      <c r="BD86" s="1924">
        <f t="shared" si="62"/>
        <v>0.27385892116182575</v>
      </c>
      <c r="BE86" s="1924">
        <f t="shared" si="63"/>
        <v>0.33333333333333331</v>
      </c>
      <c r="BF86" s="1924">
        <f t="shared" si="64"/>
        <v>0.31004366812227074</v>
      </c>
      <c r="BG86" s="1924">
        <f t="shared" si="65"/>
        <v>0.33482142857142855</v>
      </c>
      <c r="BH86" s="1924">
        <f t="shared" si="66"/>
        <v>0.34684684684684686</v>
      </c>
      <c r="BI86" s="1924">
        <f t="shared" si="67"/>
        <v>0.45365853658536587</v>
      </c>
      <c r="BJ86" s="1925">
        <f t="shared" si="68"/>
        <v>0.37628865979381443</v>
      </c>
      <c r="BK86" s="1926">
        <f>'Non-marital births'!L87</f>
        <v>1.9230769230769232E-2</v>
      </c>
      <c r="BL86" s="1927">
        <v>0.32467532467532467</v>
      </c>
      <c r="BM86" s="1928">
        <f t="shared" si="69"/>
        <v>0.34806629834254144</v>
      </c>
      <c r="BN86" s="2348">
        <f t="shared" si="70"/>
        <v>0.35087719298245612</v>
      </c>
      <c r="BO86" s="2348">
        <f t="shared" si="53"/>
        <v>0.37433155080213903</v>
      </c>
      <c r="BP86" s="2343">
        <f t="shared" si="53"/>
        <v>1.9230769230769232E-2</v>
      </c>
    </row>
    <row r="87" spans="1:68" s="142" customFormat="1" ht="13.5" customHeight="1" x14ac:dyDescent="0.3">
      <c r="A87" s="149" t="s">
        <v>212</v>
      </c>
      <c r="B87" s="185" t="s">
        <v>213</v>
      </c>
      <c r="C87" s="150" t="s">
        <v>255</v>
      </c>
      <c r="D87" s="938">
        <v>384</v>
      </c>
      <c r="E87" s="939">
        <v>375</v>
      </c>
      <c r="F87" s="940">
        <v>399</v>
      </c>
      <c r="G87" s="939">
        <v>459</v>
      </c>
      <c r="H87" s="940">
        <v>412</v>
      </c>
      <c r="I87" s="939">
        <v>455</v>
      </c>
      <c r="J87" s="940">
        <v>462</v>
      </c>
      <c r="K87" s="939">
        <v>480</v>
      </c>
      <c r="L87" s="953">
        <v>537</v>
      </c>
      <c r="M87" s="953">
        <v>538</v>
      </c>
      <c r="N87" s="953">
        <v>491</v>
      </c>
      <c r="O87" s="953">
        <v>455</v>
      </c>
      <c r="P87" s="954">
        <v>485</v>
      </c>
      <c r="Q87" s="954">
        <v>464</v>
      </c>
      <c r="R87" s="1107">
        <v>482</v>
      </c>
      <c r="S87" s="1367">
        <v>456</v>
      </c>
      <c r="T87" s="1908">
        <v>471</v>
      </c>
      <c r="U87" s="1908">
        <v>450</v>
      </c>
      <c r="V87" s="2291">
        <v>478</v>
      </c>
      <c r="W87" s="1367">
        <v>452</v>
      </c>
      <c r="X87" s="2351">
        <v>484</v>
      </c>
      <c r="Y87" s="1273"/>
      <c r="Z87" s="961">
        <v>132</v>
      </c>
      <c r="AA87" s="962">
        <v>101</v>
      </c>
      <c r="AB87" s="962">
        <v>108</v>
      </c>
      <c r="AC87" s="962">
        <v>150</v>
      </c>
      <c r="AD87" s="962">
        <v>142</v>
      </c>
      <c r="AE87" s="962">
        <v>158</v>
      </c>
      <c r="AF87" s="962">
        <v>159</v>
      </c>
      <c r="AG87" s="962">
        <v>175</v>
      </c>
      <c r="AH87" s="962">
        <v>217</v>
      </c>
      <c r="AI87" s="962">
        <v>201</v>
      </c>
      <c r="AJ87" s="962">
        <v>191</v>
      </c>
      <c r="AK87" s="962">
        <v>181</v>
      </c>
      <c r="AL87" s="962">
        <v>207</v>
      </c>
      <c r="AM87" s="962">
        <v>171</v>
      </c>
      <c r="AN87" s="1110">
        <v>194</v>
      </c>
      <c r="AO87" s="1368">
        <v>187</v>
      </c>
      <c r="AP87" s="1369">
        <v>190</v>
      </c>
      <c r="AQ87" s="1368">
        <v>178</v>
      </c>
      <c r="AR87" s="2289">
        <v>184</v>
      </c>
      <c r="AS87" s="1368">
        <v>193</v>
      </c>
      <c r="AT87" s="2353">
        <v>220</v>
      </c>
      <c r="AU87" s="1274"/>
      <c r="AV87" s="1923">
        <f t="shared" si="54"/>
        <v>0.34375</v>
      </c>
      <c r="AW87" s="1924">
        <f t="shared" si="55"/>
        <v>0.26933333333333331</v>
      </c>
      <c r="AX87" s="1924">
        <f t="shared" si="56"/>
        <v>0.27067669172932329</v>
      </c>
      <c r="AY87" s="1924">
        <f t="shared" si="57"/>
        <v>0.32679738562091504</v>
      </c>
      <c r="AZ87" s="1924">
        <f t="shared" si="58"/>
        <v>0.3446601941747573</v>
      </c>
      <c r="BA87" s="1924">
        <f t="shared" si="59"/>
        <v>0.34725274725274724</v>
      </c>
      <c r="BB87" s="1924">
        <f t="shared" si="60"/>
        <v>0.34415584415584416</v>
      </c>
      <c r="BC87" s="1924">
        <f t="shared" si="61"/>
        <v>0.36458333333333331</v>
      </c>
      <c r="BD87" s="1924">
        <f t="shared" si="62"/>
        <v>0.40409683426443205</v>
      </c>
      <c r="BE87" s="1924">
        <f t="shared" si="63"/>
        <v>0.37360594795539032</v>
      </c>
      <c r="BF87" s="1924">
        <f t="shared" si="64"/>
        <v>0.38900203665987781</v>
      </c>
      <c r="BG87" s="1924">
        <f t="shared" si="65"/>
        <v>0.39780219780219778</v>
      </c>
      <c r="BH87" s="1924">
        <f t="shared" si="66"/>
        <v>0.42680412371134019</v>
      </c>
      <c r="BI87" s="1924">
        <f t="shared" si="67"/>
        <v>0.36853448275862066</v>
      </c>
      <c r="BJ87" s="1925">
        <f t="shared" si="68"/>
        <v>0.40248962655601661</v>
      </c>
      <c r="BK87" s="1926">
        <f>'Non-marital births'!L88</f>
        <v>0.45454545454545453</v>
      </c>
      <c r="BL87" s="1927">
        <v>0.40339702760084928</v>
      </c>
      <c r="BM87" s="1928">
        <f t="shared" si="69"/>
        <v>0.39555555555555555</v>
      </c>
      <c r="BN87" s="2348">
        <f t="shared" si="70"/>
        <v>0.38493723849372385</v>
      </c>
      <c r="BO87" s="2348">
        <f t="shared" si="53"/>
        <v>0.42699115044247787</v>
      </c>
      <c r="BP87" s="2343">
        <f t="shared" si="53"/>
        <v>0.45454545454545453</v>
      </c>
    </row>
    <row r="88" spans="1:68" s="142" customFormat="1" ht="13.5" customHeight="1" x14ac:dyDescent="0.3">
      <c r="A88" s="149" t="s">
        <v>214</v>
      </c>
      <c r="B88" s="185" t="s">
        <v>215</v>
      </c>
      <c r="C88" s="150" t="s">
        <v>256</v>
      </c>
      <c r="D88" s="938">
        <v>351</v>
      </c>
      <c r="E88" s="939">
        <v>365</v>
      </c>
      <c r="F88" s="940">
        <v>361</v>
      </c>
      <c r="G88" s="939">
        <v>356</v>
      </c>
      <c r="H88" s="940">
        <v>320</v>
      </c>
      <c r="I88" s="939">
        <v>352</v>
      </c>
      <c r="J88" s="940">
        <v>296</v>
      </c>
      <c r="K88" s="939">
        <v>347</v>
      </c>
      <c r="L88" s="953">
        <v>370</v>
      </c>
      <c r="M88" s="953">
        <v>351</v>
      </c>
      <c r="N88" s="953">
        <v>369</v>
      </c>
      <c r="O88" s="953">
        <v>321</v>
      </c>
      <c r="P88" s="954">
        <v>316</v>
      </c>
      <c r="Q88" s="954">
        <v>327</v>
      </c>
      <c r="R88" s="1107">
        <v>287</v>
      </c>
      <c r="S88" s="1367">
        <v>324</v>
      </c>
      <c r="T88" s="1908">
        <v>258</v>
      </c>
      <c r="U88" s="1908">
        <v>299</v>
      </c>
      <c r="V88" s="2291">
        <v>291</v>
      </c>
      <c r="W88" s="1367">
        <v>291</v>
      </c>
      <c r="X88" s="2351">
        <v>290</v>
      </c>
      <c r="Y88" s="1273"/>
      <c r="Z88" s="961">
        <v>94</v>
      </c>
      <c r="AA88" s="962">
        <v>102</v>
      </c>
      <c r="AB88" s="962">
        <v>94</v>
      </c>
      <c r="AC88" s="962">
        <v>92</v>
      </c>
      <c r="AD88" s="962">
        <v>94</v>
      </c>
      <c r="AE88" s="962">
        <v>129</v>
      </c>
      <c r="AF88" s="962">
        <v>83</v>
      </c>
      <c r="AG88" s="962">
        <v>110</v>
      </c>
      <c r="AH88" s="962">
        <v>141</v>
      </c>
      <c r="AI88" s="962">
        <v>144</v>
      </c>
      <c r="AJ88" s="962">
        <v>155</v>
      </c>
      <c r="AK88" s="962">
        <v>137</v>
      </c>
      <c r="AL88" s="962">
        <v>147</v>
      </c>
      <c r="AM88" s="962">
        <v>156</v>
      </c>
      <c r="AN88" s="1110">
        <v>128</v>
      </c>
      <c r="AO88" s="1368">
        <v>125</v>
      </c>
      <c r="AP88" s="1369">
        <v>109</v>
      </c>
      <c r="AQ88" s="1368">
        <v>124</v>
      </c>
      <c r="AR88" s="2289">
        <v>127</v>
      </c>
      <c r="AS88" s="1368">
        <v>132</v>
      </c>
      <c r="AT88" s="2353">
        <v>118</v>
      </c>
      <c r="AU88" s="1274"/>
      <c r="AV88" s="1923">
        <f t="shared" si="54"/>
        <v>0.26780626780626782</v>
      </c>
      <c r="AW88" s="1924">
        <f t="shared" si="55"/>
        <v>0.27945205479452057</v>
      </c>
      <c r="AX88" s="1924">
        <f t="shared" si="56"/>
        <v>0.26038781163434904</v>
      </c>
      <c r="AY88" s="1924">
        <f t="shared" si="57"/>
        <v>0.25842696629213485</v>
      </c>
      <c r="AZ88" s="1924">
        <f t="shared" si="58"/>
        <v>0.29375000000000001</v>
      </c>
      <c r="BA88" s="1924">
        <f t="shared" si="59"/>
        <v>0.36647727272727271</v>
      </c>
      <c r="BB88" s="1924">
        <f t="shared" si="60"/>
        <v>0.28040540540540543</v>
      </c>
      <c r="BC88" s="1924">
        <f t="shared" si="61"/>
        <v>0.31700288184438041</v>
      </c>
      <c r="BD88" s="1924">
        <f t="shared" si="62"/>
        <v>0.38108108108108107</v>
      </c>
      <c r="BE88" s="1924">
        <f t="shared" si="63"/>
        <v>0.41025641025641024</v>
      </c>
      <c r="BF88" s="1924">
        <f t="shared" si="64"/>
        <v>0.42005420054200543</v>
      </c>
      <c r="BG88" s="1924">
        <f t="shared" si="65"/>
        <v>0.42679127725856697</v>
      </c>
      <c r="BH88" s="1924">
        <f t="shared" si="66"/>
        <v>0.4651898734177215</v>
      </c>
      <c r="BI88" s="1924">
        <f t="shared" si="67"/>
        <v>0.47706422018348627</v>
      </c>
      <c r="BJ88" s="1925">
        <f t="shared" si="68"/>
        <v>0.44599303135888502</v>
      </c>
      <c r="BK88" s="1926">
        <f>'Non-marital births'!L89</f>
        <v>0.40689655172413791</v>
      </c>
      <c r="BL88" s="1927">
        <v>0.42248062015503873</v>
      </c>
      <c r="BM88" s="1928">
        <f t="shared" si="69"/>
        <v>0.41471571906354515</v>
      </c>
      <c r="BN88" s="2348">
        <f t="shared" si="70"/>
        <v>0.43642611683848798</v>
      </c>
      <c r="BO88" s="2348">
        <f t="shared" si="53"/>
        <v>0.45360824742268041</v>
      </c>
      <c r="BP88" s="2343">
        <f t="shared" si="53"/>
        <v>0.40689655172413791</v>
      </c>
    </row>
    <row r="89" spans="1:68" s="142" customFormat="1" ht="13.5" customHeight="1" x14ac:dyDescent="0.3">
      <c r="A89" s="149" t="s">
        <v>216</v>
      </c>
      <c r="B89" s="185" t="s">
        <v>217</v>
      </c>
      <c r="C89" s="150" t="s">
        <v>252</v>
      </c>
      <c r="D89" s="938">
        <v>184</v>
      </c>
      <c r="E89" s="939">
        <v>179</v>
      </c>
      <c r="F89" s="940">
        <v>160</v>
      </c>
      <c r="G89" s="939">
        <v>207</v>
      </c>
      <c r="H89" s="940">
        <v>133</v>
      </c>
      <c r="I89" s="939">
        <v>172</v>
      </c>
      <c r="J89" s="940">
        <v>172</v>
      </c>
      <c r="K89" s="939">
        <v>149</v>
      </c>
      <c r="L89" s="953">
        <v>183</v>
      </c>
      <c r="M89" s="953">
        <v>171</v>
      </c>
      <c r="N89" s="953">
        <v>205</v>
      </c>
      <c r="O89" s="953">
        <v>169</v>
      </c>
      <c r="P89" s="954">
        <v>144</v>
      </c>
      <c r="Q89" s="954">
        <v>133</v>
      </c>
      <c r="R89" s="1107">
        <v>141</v>
      </c>
      <c r="S89" s="1367">
        <v>136</v>
      </c>
      <c r="T89" s="1908">
        <v>142</v>
      </c>
      <c r="U89" s="1908">
        <v>118</v>
      </c>
      <c r="V89" s="2291">
        <v>162</v>
      </c>
      <c r="W89" s="1367">
        <v>125</v>
      </c>
      <c r="X89" s="2351">
        <v>123</v>
      </c>
      <c r="Y89" s="1273"/>
      <c r="Z89" s="961">
        <v>70</v>
      </c>
      <c r="AA89" s="962">
        <v>69</v>
      </c>
      <c r="AB89" s="962">
        <v>68</v>
      </c>
      <c r="AC89" s="962">
        <v>84</v>
      </c>
      <c r="AD89" s="962">
        <v>49</v>
      </c>
      <c r="AE89" s="962">
        <v>63</v>
      </c>
      <c r="AF89" s="962">
        <v>71</v>
      </c>
      <c r="AG89" s="962">
        <v>59</v>
      </c>
      <c r="AH89" s="962">
        <v>90</v>
      </c>
      <c r="AI89" s="962">
        <v>84</v>
      </c>
      <c r="AJ89" s="962">
        <v>97</v>
      </c>
      <c r="AK89" s="962">
        <v>88</v>
      </c>
      <c r="AL89" s="962">
        <v>61</v>
      </c>
      <c r="AM89" s="962">
        <v>61</v>
      </c>
      <c r="AN89" s="1110">
        <v>60</v>
      </c>
      <c r="AO89" s="1368">
        <v>73</v>
      </c>
      <c r="AP89" s="1369">
        <v>57</v>
      </c>
      <c r="AQ89" s="1368">
        <v>57</v>
      </c>
      <c r="AR89" s="2289">
        <v>81</v>
      </c>
      <c r="AS89" s="1368">
        <v>52</v>
      </c>
      <c r="AT89" s="2353">
        <v>49</v>
      </c>
      <c r="AU89" s="1274"/>
      <c r="AV89" s="1923">
        <f t="shared" si="54"/>
        <v>0.38043478260869568</v>
      </c>
      <c r="AW89" s="1924">
        <f t="shared" si="55"/>
        <v>0.38547486033519551</v>
      </c>
      <c r="AX89" s="1924">
        <f t="shared" si="56"/>
        <v>0.42499999999999999</v>
      </c>
      <c r="AY89" s="1924">
        <f t="shared" si="57"/>
        <v>0.40579710144927539</v>
      </c>
      <c r="AZ89" s="1924">
        <f t="shared" si="58"/>
        <v>0.36842105263157893</v>
      </c>
      <c r="BA89" s="1924">
        <f t="shared" si="59"/>
        <v>0.36627906976744184</v>
      </c>
      <c r="BB89" s="1924">
        <f t="shared" si="60"/>
        <v>0.41279069767441862</v>
      </c>
      <c r="BC89" s="1924">
        <f t="shared" si="61"/>
        <v>0.39597315436241609</v>
      </c>
      <c r="BD89" s="1924">
        <f t="shared" si="62"/>
        <v>0.49180327868852458</v>
      </c>
      <c r="BE89" s="1924">
        <f t="shared" si="63"/>
        <v>0.49122807017543857</v>
      </c>
      <c r="BF89" s="1924">
        <f t="shared" si="64"/>
        <v>0.47317073170731705</v>
      </c>
      <c r="BG89" s="1924">
        <f t="shared" si="65"/>
        <v>0.52071005917159763</v>
      </c>
      <c r="BH89" s="1924">
        <f t="shared" si="66"/>
        <v>0.4236111111111111</v>
      </c>
      <c r="BI89" s="1924">
        <f t="shared" si="67"/>
        <v>0.45864661654135336</v>
      </c>
      <c r="BJ89" s="1925">
        <f t="shared" si="68"/>
        <v>0.42553191489361702</v>
      </c>
      <c r="BK89" s="1926">
        <f>'Non-marital births'!L90</f>
        <v>0.3983739837398374</v>
      </c>
      <c r="BL89" s="1927">
        <v>0.40140845070422537</v>
      </c>
      <c r="BM89" s="1928">
        <f t="shared" si="69"/>
        <v>0.48305084745762711</v>
      </c>
      <c r="BN89" s="2348">
        <f t="shared" si="70"/>
        <v>0.5</v>
      </c>
      <c r="BO89" s="2348">
        <f t="shared" si="53"/>
        <v>0.41599999999999998</v>
      </c>
      <c r="BP89" s="2343">
        <f t="shared" si="53"/>
        <v>0.3983739837398374</v>
      </c>
    </row>
    <row r="90" spans="1:68" s="142" customFormat="1" ht="13.5" customHeight="1" x14ac:dyDescent="0.3">
      <c r="A90" s="149" t="s">
        <v>218</v>
      </c>
      <c r="B90" s="185" t="s">
        <v>219</v>
      </c>
      <c r="C90" s="150" t="s">
        <v>255</v>
      </c>
      <c r="D90" s="938">
        <v>1194</v>
      </c>
      <c r="E90" s="939">
        <v>1149</v>
      </c>
      <c r="F90" s="940">
        <v>1309</v>
      </c>
      <c r="G90" s="939">
        <v>1472</v>
      </c>
      <c r="H90" s="940">
        <v>1617</v>
      </c>
      <c r="I90" s="939">
        <v>1597</v>
      </c>
      <c r="J90" s="940">
        <v>1706</v>
      </c>
      <c r="K90" s="939">
        <v>1638</v>
      </c>
      <c r="L90" s="953">
        <v>1749</v>
      </c>
      <c r="M90" s="953">
        <v>1717</v>
      </c>
      <c r="N90" s="953">
        <v>1673</v>
      </c>
      <c r="O90" s="953">
        <v>1552</v>
      </c>
      <c r="P90" s="954">
        <v>1595</v>
      </c>
      <c r="Q90" s="954">
        <v>1559</v>
      </c>
      <c r="R90" s="1107">
        <v>1494</v>
      </c>
      <c r="S90" s="1367">
        <v>1512</v>
      </c>
      <c r="T90" s="1908">
        <v>1614</v>
      </c>
      <c r="U90" s="1908">
        <v>1591</v>
      </c>
      <c r="V90" s="2291">
        <v>1560</v>
      </c>
      <c r="W90" s="1367">
        <v>1494</v>
      </c>
      <c r="X90" s="2351">
        <v>1503</v>
      </c>
      <c r="Y90" s="1273"/>
      <c r="Z90" s="961">
        <v>293</v>
      </c>
      <c r="AA90" s="962">
        <v>330</v>
      </c>
      <c r="AB90" s="962">
        <v>363</v>
      </c>
      <c r="AC90" s="962">
        <v>394</v>
      </c>
      <c r="AD90" s="962">
        <v>427</v>
      </c>
      <c r="AE90" s="962">
        <v>418</v>
      </c>
      <c r="AF90" s="962">
        <v>477</v>
      </c>
      <c r="AG90" s="962">
        <v>497</v>
      </c>
      <c r="AH90" s="962">
        <v>539</v>
      </c>
      <c r="AI90" s="962">
        <v>628</v>
      </c>
      <c r="AJ90" s="962">
        <v>616</v>
      </c>
      <c r="AK90" s="962">
        <v>561</v>
      </c>
      <c r="AL90" s="962">
        <v>580</v>
      </c>
      <c r="AM90" s="962">
        <v>573</v>
      </c>
      <c r="AN90" s="1110">
        <v>534</v>
      </c>
      <c r="AO90" s="1368">
        <v>537</v>
      </c>
      <c r="AP90" s="1369">
        <v>577</v>
      </c>
      <c r="AQ90" s="1368">
        <v>576</v>
      </c>
      <c r="AR90" s="2289">
        <v>541</v>
      </c>
      <c r="AS90" s="1368">
        <v>531</v>
      </c>
      <c r="AT90" s="2353">
        <v>544</v>
      </c>
      <c r="AU90" s="1274"/>
      <c r="AV90" s="1923">
        <f t="shared" si="54"/>
        <v>0.24539363484087101</v>
      </c>
      <c r="AW90" s="1924">
        <f t="shared" si="55"/>
        <v>0.28720626631853785</v>
      </c>
      <c r="AX90" s="1924">
        <f t="shared" si="56"/>
        <v>0.27731092436974791</v>
      </c>
      <c r="AY90" s="1924">
        <f t="shared" si="57"/>
        <v>0.26766304347826086</v>
      </c>
      <c r="AZ90" s="1924">
        <f t="shared" si="58"/>
        <v>0.26406926406926406</v>
      </c>
      <c r="BA90" s="1924">
        <f t="shared" si="59"/>
        <v>0.26174076393237322</v>
      </c>
      <c r="BB90" s="1924">
        <f t="shared" si="60"/>
        <v>0.27960140679953105</v>
      </c>
      <c r="BC90" s="1924">
        <f t="shared" si="61"/>
        <v>0.3034188034188034</v>
      </c>
      <c r="BD90" s="1924">
        <f t="shared" si="62"/>
        <v>0.3081761006289308</v>
      </c>
      <c r="BE90" s="1924">
        <f t="shared" si="63"/>
        <v>0.36575422248107164</v>
      </c>
      <c r="BF90" s="1924">
        <f t="shared" si="64"/>
        <v>0.3682008368200837</v>
      </c>
      <c r="BG90" s="1924">
        <f t="shared" si="65"/>
        <v>0.36146907216494845</v>
      </c>
      <c r="BH90" s="1924">
        <f t="shared" si="66"/>
        <v>0.36363636363636365</v>
      </c>
      <c r="BI90" s="1924">
        <f t="shared" si="67"/>
        <v>0.36754329698524696</v>
      </c>
      <c r="BJ90" s="1925">
        <f t="shared" si="68"/>
        <v>0.35742971887550201</v>
      </c>
      <c r="BK90" s="1926">
        <f>'Non-marital births'!L91</f>
        <v>0.36194278110445777</v>
      </c>
      <c r="BL90" s="1927">
        <v>0.35749690210656754</v>
      </c>
      <c r="BM90" s="1928">
        <f t="shared" si="69"/>
        <v>0.36203645505971088</v>
      </c>
      <c r="BN90" s="2348">
        <f t="shared" si="70"/>
        <v>0.34679487179487178</v>
      </c>
      <c r="BO90" s="2348">
        <f t="shared" si="53"/>
        <v>0.35542168674698793</v>
      </c>
      <c r="BP90" s="2343">
        <f t="shared" si="53"/>
        <v>0.36194278110445777</v>
      </c>
    </row>
    <row r="91" spans="1:68" s="142" customFormat="1" ht="13.5" customHeight="1" x14ac:dyDescent="0.3">
      <c r="A91" s="149" t="s">
        <v>220</v>
      </c>
      <c r="B91" s="185" t="s">
        <v>221</v>
      </c>
      <c r="C91" s="150" t="s">
        <v>255</v>
      </c>
      <c r="D91" s="938">
        <v>1293</v>
      </c>
      <c r="E91" s="939">
        <v>1255</v>
      </c>
      <c r="F91" s="940">
        <v>1379</v>
      </c>
      <c r="G91" s="939">
        <v>1426</v>
      </c>
      <c r="H91" s="940">
        <v>1531</v>
      </c>
      <c r="I91" s="939">
        <v>1567</v>
      </c>
      <c r="J91" s="940">
        <v>1621</v>
      </c>
      <c r="K91" s="939">
        <v>1616</v>
      </c>
      <c r="L91" s="953">
        <v>1694</v>
      </c>
      <c r="M91" s="953">
        <v>1741</v>
      </c>
      <c r="N91" s="953">
        <v>1693</v>
      </c>
      <c r="O91" s="953">
        <v>1698</v>
      </c>
      <c r="P91" s="954">
        <v>1671</v>
      </c>
      <c r="Q91" s="954">
        <v>1683</v>
      </c>
      <c r="R91" s="1107">
        <v>1662</v>
      </c>
      <c r="S91" s="1367">
        <v>1713</v>
      </c>
      <c r="T91" s="1908">
        <v>1703</v>
      </c>
      <c r="U91" s="1908">
        <v>1665</v>
      </c>
      <c r="V91" s="2291">
        <v>1699</v>
      </c>
      <c r="W91" s="1367">
        <v>1732</v>
      </c>
      <c r="X91" s="2351">
        <v>1744</v>
      </c>
      <c r="Y91" s="1273"/>
      <c r="Z91" s="961">
        <v>309</v>
      </c>
      <c r="AA91" s="962">
        <v>297</v>
      </c>
      <c r="AB91" s="962">
        <v>332</v>
      </c>
      <c r="AC91" s="962">
        <v>349</v>
      </c>
      <c r="AD91" s="962">
        <v>371</v>
      </c>
      <c r="AE91" s="962">
        <v>401</v>
      </c>
      <c r="AF91" s="962">
        <v>410</v>
      </c>
      <c r="AG91" s="962">
        <v>440</v>
      </c>
      <c r="AH91" s="962">
        <v>498</v>
      </c>
      <c r="AI91" s="962">
        <v>522</v>
      </c>
      <c r="AJ91" s="962">
        <v>497</v>
      </c>
      <c r="AK91" s="962">
        <v>521</v>
      </c>
      <c r="AL91" s="962">
        <v>481</v>
      </c>
      <c r="AM91" s="962">
        <v>522</v>
      </c>
      <c r="AN91" s="1110">
        <v>491</v>
      </c>
      <c r="AO91" s="1368">
        <v>483</v>
      </c>
      <c r="AP91" s="1369">
        <v>497</v>
      </c>
      <c r="AQ91" s="1368">
        <v>483</v>
      </c>
      <c r="AR91" s="2289">
        <v>520</v>
      </c>
      <c r="AS91" s="1368">
        <v>514</v>
      </c>
      <c r="AT91" s="2353">
        <v>546</v>
      </c>
      <c r="AU91" s="1274"/>
      <c r="AV91" s="1923">
        <f t="shared" si="54"/>
        <v>0.23897911832946636</v>
      </c>
      <c r="AW91" s="1924">
        <f t="shared" si="55"/>
        <v>0.23665338645418327</v>
      </c>
      <c r="AX91" s="1924">
        <f t="shared" si="56"/>
        <v>0.24075416968817984</v>
      </c>
      <c r="AY91" s="1924">
        <f t="shared" si="57"/>
        <v>0.2447405329593268</v>
      </c>
      <c r="AZ91" s="1924">
        <f t="shared" si="58"/>
        <v>0.24232527759634226</v>
      </c>
      <c r="BA91" s="1924">
        <f t="shared" si="59"/>
        <v>0.25590299936183791</v>
      </c>
      <c r="BB91" s="1924">
        <f t="shared" si="60"/>
        <v>0.25293028994447869</v>
      </c>
      <c r="BC91" s="1924">
        <f t="shared" si="61"/>
        <v>0.2722772277227723</v>
      </c>
      <c r="BD91" s="1924">
        <f t="shared" si="62"/>
        <v>0.29397874852420308</v>
      </c>
      <c r="BE91" s="1924">
        <f t="shared" si="63"/>
        <v>0.29982768523836878</v>
      </c>
      <c r="BF91" s="1924">
        <f t="shared" si="64"/>
        <v>0.29356172474896636</v>
      </c>
      <c r="BG91" s="1924">
        <f t="shared" si="65"/>
        <v>0.30683156654888105</v>
      </c>
      <c r="BH91" s="1924">
        <f t="shared" si="66"/>
        <v>0.28785158587672055</v>
      </c>
      <c r="BI91" s="1924">
        <f t="shared" si="67"/>
        <v>0.31016042780748665</v>
      </c>
      <c r="BJ91" s="1925">
        <f t="shared" si="68"/>
        <v>0.29542719614921781</v>
      </c>
      <c r="BK91" s="1926">
        <f>'Non-marital births'!L92</f>
        <v>0.31307339449541283</v>
      </c>
      <c r="BL91" s="1927">
        <v>0.29183793305930711</v>
      </c>
      <c r="BM91" s="1928">
        <f t="shared" si="69"/>
        <v>0.29009009009009007</v>
      </c>
      <c r="BN91" s="2348">
        <f t="shared" si="70"/>
        <v>0.30606238964096527</v>
      </c>
      <c r="BO91" s="2348">
        <f t="shared" si="53"/>
        <v>0.29676674364896072</v>
      </c>
      <c r="BP91" s="2343">
        <f t="shared" si="53"/>
        <v>0.31307339449541283</v>
      </c>
    </row>
    <row r="92" spans="1:68" s="142" customFormat="1" ht="13.5" customHeight="1" x14ac:dyDescent="0.3">
      <c r="A92" s="149" t="s">
        <v>224</v>
      </c>
      <c r="B92" s="185" t="s">
        <v>225</v>
      </c>
      <c r="C92" s="150" t="s">
        <v>252</v>
      </c>
      <c r="D92" s="938">
        <v>62</v>
      </c>
      <c r="E92" s="939">
        <v>67</v>
      </c>
      <c r="F92" s="940">
        <v>79</v>
      </c>
      <c r="G92" s="939">
        <v>77</v>
      </c>
      <c r="H92" s="940">
        <v>64</v>
      </c>
      <c r="I92" s="939">
        <v>71</v>
      </c>
      <c r="J92" s="940">
        <v>64</v>
      </c>
      <c r="K92" s="939">
        <v>52</v>
      </c>
      <c r="L92" s="953">
        <v>85</v>
      </c>
      <c r="M92" s="953">
        <v>69</v>
      </c>
      <c r="N92" s="953">
        <v>73</v>
      </c>
      <c r="O92" s="953">
        <v>78</v>
      </c>
      <c r="P92" s="954">
        <v>57</v>
      </c>
      <c r="Q92" s="954">
        <v>58</v>
      </c>
      <c r="R92" s="1107">
        <v>64</v>
      </c>
      <c r="S92" s="1367">
        <v>60</v>
      </c>
      <c r="T92" s="1908">
        <v>50</v>
      </c>
      <c r="U92" s="1908">
        <v>60</v>
      </c>
      <c r="V92" s="2291">
        <v>59</v>
      </c>
      <c r="W92" s="1367">
        <v>62</v>
      </c>
      <c r="X92" s="2351">
        <v>59</v>
      </c>
      <c r="Y92" s="1273"/>
      <c r="Z92" s="961">
        <v>27</v>
      </c>
      <c r="AA92" s="962">
        <v>30</v>
      </c>
      <c r="AB92" s="962">
        <v>35</v>
      </c>
      <c r="AC92" s="962">
        <v>42</v>
      </c>
      <c r="AD92" s="962">
        <v>31</v>
      </c>
      <c r="AE92" s="962">
        <v>31</v>
      </c>
      <c r="AF92" s="962">
        <v>28</v>
      </c>
      <c r="AG92" s="962">
        <v>24</v>
      </c>
      <c r="AH92" s="962">
        <v>40</v>
      </c>
      <c r="AI92" s="962">
        <v>28</v>
      </c>
      <c r="AJ92" s="962">
        <v>30</v>
      </c>
      <c r="AK92" s="962">
        <v>41</v>
      </c>
      <c r="AL92" s="962">
        <v>32</v>
      </c>
      <c r="AM92" s="962">
        <v>28</v>
      </c>
      <c r="AN92" s="1110">
        <v>33</v>
      </c>
      <c r="AO92" s="1368">
        <v>31</v>
      </c>
      <c r="AP92" s="1369">
        <v>24</v>
      </c>
      <c r="AQ92" s="1368">
        <v>26</v>
      </c>
      <c r="AR92" s="2289">
        <v>27</v>
      </c>
      <c r="AS92" s="1368">
        <v>24</v>
      </c>
      <c r="AT92" s="2353">
        <v>32</v>
      </c>
      <c r="AU92" s="1274"/>
      <c r="AV92" s="1923">
        <f t="shared" si="54"/>
        <v>0.43548387096774194</v>
      </c>
      <c r="AW92" s="1924">
        <f t="shared" si="55"/>
        <v>0.44776119402985076</v>
      </c>
      <c r="AX92" s="1924">
        <f t="shared" si="56"/>
        <v>0.44303797468354428</v>
      </c>
      <c r="AY92" s="1924">
        <f t="shared" si="57"/>
        <v>0.54545454545454541</v>
      </c>
      <c r="AZ92" s="1924">
        <f t="shared" si="58"/>
        <v>0.484375</v>
      </c>
      <c r="BA92" s="1924">
        <f t="shared" si="59"/>
        <v>0.43661971830985913</v>
      </c>
      <c r="BB92" s="1924">
        <f t="shared" si="60"/>
        <v>0.4375</v>
      </c>
      <c r="BC92" s="1924">
        <f t="shared" si="61"/>
        <v>0.46153846153846156</v>
      </c>
      <c r="BD92" s="1924">
        <f t="shared" si="62"/>
        <v>0.47058823529411764</v>
      </c>
      <c r="BE92" s="1924">
        <f t="shared" si="63"/>
        <v>0.40579710144927539</v>
      </c>
      <c r="BF92" s="1924">
        <f t="shared" si="64"/>
        <v>0.41095890410958902</v>
      </c>
      <c r="BG92" s="1924">
        <f t="shared" si="65"/>
        <v>0.52564102564102566</v>
      </c>
      <c r="BH92" s="1924">
        <f t="shared" si="66"/>
        <v>0.56140350877192979</v>
      </c>
      <c r="BI92" s="1924">
        <f t="shared" si="67"/>
        <v>0.48275862068965519</v>
      </c>
      <c r="BJ92" s="1925">
        <f t="shared" si="68"/>
        <v>0.515625</v>
      </c>
      <c r="BK92" s="1926">
        <f>'Non-marital births'!L93</f>
        <v>0.5423728813559322</v>
      </c>
      <c r="BL92" s="1927">
        <v>0.48</v>
      </c>
      <c r="BM92" s="1928">
        <f t="shared" si="69"/>
        <v>0.43333333333333335</v>
      </c>
      <c r="BN92" s="2348">
        <f t="shared" si="70"/>
        <v>0.4576271186440678</v>
      </c>
      <c r="BO92" s="2348">
        <f t="shared" si="53"/>
        <v>0.38709677419354838</v>
      </c>
      <c r="BP92" s="2343">
        <f t="shared" si="53"/>
        <v>0.5423728813559322</v>
      </c>
    </row>
    <row r="93" spans="1:68" s="142" customFormat="1" ht="13.5" customHeight="1" x14ac:dyDescent="0.3">
      <c r="A93" s="149" t="s">
        <v>226</v>
      </c>
      <c r="B93" s="185" t="s">
        <v>227</v>
      </c>
      <c r="C93" s="150" t="s">
        <v>252</v>
      </c>
      <c r="D93" s="938">
        <v>114</v>
      </c>
      <c r="E93" s="939">
        <v>130</v>
      </c>
      <c r="F93" s="940">
        <v>138</v>
      </c>
      <c r="G93" s="939">
        <v>112</v>
      </c>
      <c r="H93" s="940">
        <v>115</v>
      </c>
      <c r="I93" s="939">
        <v>114</v>
      </c>
      <c r="J93" s="940">
        <v>123</v>
      </c>
      <c r="K93" s="939">
        <v>119</v>
      </c>
      <c r="L93" s="953">
        <v>106</v>
      </c>
      <c r="M93" s="953">
        <v>130</v>
      </c>
      <c r="N93" s="953">
        <v>116</v>
      </c>
      <c r="O93" s="953">
        <v>117</v>
      </c>
      <c r="P93" s="954">
        <v>95</v>
      </c>
      <c r="Q93" s="954">
        <v>126</v>
      </c>
      <c r="R93" s="1107">
        <v>101</v>
      </c>
      <c r="S93" s="1367">
        <v>97</v>
      </c>
      <c r="T93" s="1908">
        <v>100</v>
      </c>
      <c r="U93" s="1908">
        <v>90</v>
      </c>
      <c r="V93" s="2291">
        <v>106</v>
      </c>
      <c r="W93" s="1367">
        <v>92</v>
      </c>
      <c r="X93" s="2351">
        <v>71</v>
      </c>
      <c r="Y93" s="1273"/>
      <c r="Z93" s="961">
        <v>55</v>
      </c>
      <c r="AA93" s="962">
        <v>65</v>
      </c>
      <c r="AB93" s="962">
        <v>79</v>
      </c>
      <c r="AC93" s="962">
        <v>61</v>
      </c>
      <c r="AD93" s="962">
        <v>65</v>
      </c>
      <c r="AE93" s="962">
        <v>62</v>
      </c>
      <c r="AF93" s="962">
        <v>65</v>
      </c>
      <c r="AG93" s="962">
        <v>74</v>
      </c>
      <c r="AH93" s="962">
        <v>62</v>
      </c>
      <c r="AI93" s="962">
        <v>70</v>
      </c>
      <c r="AJ93" s="962">
        <v>68</v>
      </c>
      <c r="AK93" s="962">
        <v>71</v>
      </c>
      <c r="AL93" s="962">
        <v>57</v>
      </c>
      <c r="AM93" s="962">
        <v>75</v>
      </c>
      <c r="AN93" s="1110">
        <v>63</v>
      </c>
      <c r="AO93" s="1368">
        <v>63</v>
      </c>
      <c r="AP93" s="1369">
        <v>60</v>
      </c>
      <c r="AQ93" s="1368">
        <v>59</v>
      </c>
      <c r="AR93" s="2289">
        <v>65</v>
      </c>
      <c r="AS93" s="1368">
        <v>60</v>
      </c>
      <c r="AT93" s="2353">
        <v>48</v>
      </c>
      <c r="AU93" s="1274"/>
      <c r="AV93" s="1923">
        <f t="shared" si="54"/>
        <v>0.48245614035087719</v>
      </c>
      <c r="AW93" s="1924">
        <f t="shared" si="55"/>
        <v>0.5</v>
      </c>
      <c r="AX93" s="1924">
        <f t="shared" si="56"/>
        <v>0.57246376811594202</v>
      </c>
      <c r="AY93" s="1924">
        <f t="shared" si="57"/>
        <v>0.5446428571428571</v>
      </c>
      <c r="AZ93" s="1924">
        <f t="shared" si="58"/>
        <v>0.56521739130434778</v>
      </c>
      <c r="BA93" s="1924">
        <f t="shared" si="59"/>
        <v>0.54385964912280704</v>
      </c>
      <c r="BB93" s="1924">
        <f t="shared" si="60"/>
        <v>0.52845528455284552</v>
      </c>
      <c r="BC93" s="1924">
        <f t="shared" si="61"/>
        <v>0.62184873949579833</v>
      </c>
      <c r="BD93" s="1924">
        <f t="shared" si="62"/>
        <v>0.58490566037735847</v>
      </c>
      <c r="BE93" s="1924">
        <f t="shared" si="63"/>
        <v>0.53846153846153844</v>
      </c>
      <c r="BF93" s="1924">
        <f t="shared" si="64"/>
        <v>0.58620689655172409</v>
      </c>
      <c r="BG93" s="1924">
        <f t="shared" si="65"/>
        <v>0.60683760683760679</v>
      </c>
      <c r="BH93" s="1924">
        <f t="shared" si="66"/>
        <v>0.6</v>
      </c>
      <c r="BI93" s="1924">
        <f t="shared" si="67"/>
        <v>0.59523809523809523</v>
      </c>
      <c r="BJ93" s="1925">
        <f t="shared" si="68"/>
        <v>0.62376237623762376</v>
      </c>
      <c r="BK93" s="1926">
        <f>'Non-marital births'!L94</f>
        <v>0.676056338028169</v>
      </c>
      <c r="BL93" s="1927">
        <v>0.6</v>
      </c>
      <c r="BM93" s="1928">
        <f t="shared" si="69"/>
        <v>0.65555555555555556</v>
      </c>
      <c r="BN93" s="2348">
        <f t="shared" si="70"/>
        <v>0.6132075471698113</v>
      </c>
      <c r="BO93" s="2348">
        <f t="shared" si="53"/>
        <v>0.65217391304347827</v>
      </c>
      <c r="BP93" s="2343">
        <f t="shared" si="53"/>
        <v>0.676056338028169</v>
      </c>
    </row>
    <row r="94" spans="1:68" s="142" customFormat="1" ht="13.5" customHeight="1" x14ac:dyDescent="0.3">
      <c r="A94" s="149" t="s">
        <v>228</v>
      </c>
      <c r="B94" s="185" t="s">
        <v>229</v>
      </c>
      <c r="C94" s="150" t="s">
        <v>256</v>
      </c>
      <c r="D94" s="938">
        <v>472</v>
      </c>
      <c r="E94" s="939">
        <v>489</v>
      </c>
      <c r="F94" s="940">
        <v>421</v>
      </c>
      <c r="G94" s="939">
        <v>447</v>
      </c>
      <c r="H94" s="940">
        <v>467</v>
      </c>
      <c r="I94" s="939">
        <v>494</v>
      </c>
      <c r="J94" s="940">
        <v>469</v>
      </c>
      <c r="K94" s="939">
        <v>467</v>
      </c>
      <c r="L94" s="953">
        <v>473</v>
      </c>
      <c r="M94" s="953">
        <v>468</v>
      </c>
      <c r="N94" s="953">
        <v>470</v>
      </c>
      <c r="O94" s="953">
        <v>482</v>
      </c>
      <c r="P94" s="954">
        <v>490</v>
      </c>
      <c r="Q94" s="954">
        <v>418</v>
      </c>
      <c r="R94" s="1107">
        <v>457</v>
      </c>
      <c r="S94" s="1367">
        <v>447</v>
      </c>
      <c r="T94" s="1908">
        <v>456</v>
      </c>
      <c r="U94" s="1908">
        <v>442</v>
      </c>
      <c r="V94" s="2291">
        <v>420</v>
      </c>
      <c r="W94" s="1367">
        <v>410</v>
      </c>
      <c r="X94" s="2351">
        <v>392</v>
      </c>
      <c r="Y94" s="1273"/>
      <c r="Z94" s="961">
        <v>126</v>
      </c>
      <c r="AA94" s="962">
        <v>138</v>
      </c>
      <c r="AB94" s="962">
        <v>111</v>
      </c>
      <c r="AC94" s="962">
        <v>113</v>
      </c>
      <c r="AD94" s="962">
        <v>126</v>
      </c>
      <c r="AE94" s="962">
        <v>143</v>
      </c>
      <c r="AF94" s="962">
        <v>132</v>
      </c>
      <c r="AG94" s="962">
        <v>135</v>
      </c>
      <c r="AH94" s="962">
        <v>151</v>
      </c>
      <c r="AI94" s="962">
        <v>159</v>
      </c>
      <c r="AJ94" s="962">
        <v>154</v>
      </c>
      <c r="AK94" s="962">
        <v>169</v>
      </c>
      <c r="AL94" s="962">
        <v>184</v>
      </c>
      <c r="AM94" s="962">
        <v>152</v>
      </c>
      <c r="AN94" s="1110">
        <v>164</v>
      </c>
      <c r="AO94" s="1368">
        <v>170</v>
      </c>
      <c r="AP94" s="1369">
        <v>182</v>
      </c>
      <c r="AQ94" s="1368">
        <v>162</v>
      </c>
      <c r="AR94" s="2289">
        <v>162</v>
      </c>
      <c r="AS94" s="1368">
        <v>158</v>
      </c>
      <c r="AT94" s="2353">
        <v>73</v>
      </c>
      <c r="AU94" s="1274"/>
      <c r="AV94" s="1923">
        <f t="shared" si="54"/>
        <v>0.26694915254237289</v>
      </c>
      <c r="AW94" s="1924">
        <f t="shared" si="55"/>
        <v>0.2822085889570552</v>
      </c>
      <c r="AX94" s="1924">
        <f t="shared" si="56"/>
        <v>0.26365795724465557</v>
      </c>
      <c r="AY94" s="1924">
        <f t="shared" si="57"/>
        <v>0.25279642058165547</v>
      </c>
      <c r="AZ94" s="1924">
        <f t="shared" si="58"/>
        <v>0.26980728051391861</v>
      </c>
      <c r="BA94" s="1924">
        <f t="shared" si="59"/>
        <v>0.28947368421052633</v>
      </c>
      <c r="BB94" s="1924">
        <f t="shared" si="60"/>
        <v>0.28144989339019189</v>
      </c>
      <c r="BC94" s="1924">
        <f t="shared" si="61"/>
        <v>0.28907922912205569</v>
      </c>
      <c r="BD94" s="1924">
        <f t="shared" si="62"/>
        <v>0.31923890063424948</v>
      </c>
      <c r="BE94" s="1924">
        <f t="shared" si="63"/>
        <v>0.33974358974358976</v>
      </c>
      <c r="BF94" s="1924">
        <f t="shared" si="64"/>
        <v>0.32765957446808508</v>
      </c>
      <c r="BG94" s="1924">
        <f t="shared" si="65"/>
        <v>0.35062240663900412</v>
      </c>
      <c r="BH94" s="1924">
        <f t="shared" si="66"/>
        <v>0.37551020408163266</v>
      </c>
      <c r="BI94" s="1924">
        <f t="shared" si="67"/>
        <v>0.36363636363636365</v>
      </c>
      <c r="BJ94" s="1925">
        <f t="shared" si="68"/>
        <v>0.35886214442013131</v>
      </c>
      <c r="BK94" s="1926">
        <f>'Non-marital births'!L95</f>
        <v>0.18622448979591838</v>
      </c>
      <c r="BL94" s="1927">
        <v>0.39912280701754388</v>
      </c>
      <c r="BM94" s="1928">
        <f t="shared" si="69"/>
        <v>0.36651583710407237</v>
      </c>
      <c r="BN94" s="2348">
        <f t="shared" si="70"/>
        <v>0.38571428571428573</v>
      </c>
      <c r="BO94" s="2348">
        <f t="shared" si="53"/>
        <v>0.38536585365853659</v>
      </c>
      <c r="BP94" s="2343">
        <f t="shared" si="53"/>
        <v>0.18622448979591838</v>
      </c>
    </row>
    <row r="95" spans="1:68" s="142" customFormat="1" ht="13.5" customHeight="1" x14ac:dyDescent="0.3">
      <c r="A95" s="149" t="s">
        <v>232</v>
      </c>
      <c r="B95" s="185" t="s">
        <v>233</v>
      </c>
      <c r="C95" s="150" t="s">
        <v>255</v>
      </c>
      <c r="D95" s="938">
        <v>399</v>
      </c>
      <c r="E95" s="939">
        <v>442</v>
      </c>
      <c r="F95" s="940">
        <v>426</v>
      </c>
      <c r="G95" s="939">
        <v>425</v>
      </c>
      <c r="H95" s="940">
        <v>437</v>
      </c>
      <c r="I95" s="939">
        <v>481</v>
      </c>
      <c r="J95" s="940">
        <v>445</v>
      </c>
      <c r="K95" s="939">
        <v>508</v>
      </c>
      <c r="L95" s="953">
        <v>520</v>
      </c>
      <c r="M95" s="953">
        <v>522</v>
      </c>
      <c r="N95" s="953">
        <v>505</v>
      </c>
      <c r="O95" s="953">
        <v>454</v>
      </c>
      <c r="P95" s="954">
        <v>430</v>
      </c>
      <c r="Q95" s="954">
        <v>432</v>
      </c>
      <c r="R95" s="1107">
        <v>460</v>
      </c>
      <c r="S95" s="1367">
        <v>476</v>
      </c>
      <c r="T95" s="1908">
        <v>495</v>
      </c>
      <c r="U95" s="1908">
        <v>453</v>
      </c>
      <c r="V95" s="2291">
        <v>492</v>
      </c>
      <c r="W95" s="1367">
        <v>446</v>
      </c>
      <c r="X95" s="2351">
        <v>498</v>
      </c>
      <c r="Y95" s="1273"/>
      <c r="Z95" s="961">
        <v>119</v>
      </c>
      <c r="AA95" s="962">
        <v>125</v>
      </c>
      <c r="AB95" s="962">
        <v>141</v>
      </c>
      <c r="AC95" s="962">
        <v>142</v>
      </c>
      <c r="AD95" s="962">
        <v>157</v>
      </c>
      <c r="AE95" s="962">
        <v>157</v>
      </c>
      <c r="AF95" s="962">
        <v>140</v>
      </c>
      <c r="AG95" s="962">
        <v>173</v>
      </c>
      <c r="AH95" s="962">
        <v>196</v>
      </c>
      <c r="AI95" s="962">
        <v>205</v>
      </c>
      <c r="AJ95" s="962">
        <v>197</v>
      </c>
      <c r="AK95" s="962">
        <v>185</v>
      </c>
      <c r="AL95" s="962">
        <v>163</v>
      </c>
      <c r="AM95" s="962">
        <v>189</v>
      </c>
      <c r="AN95" s="1110">
        <v>191</v>
      </c>
      <c r="AO95" s="1368">
        <v>187</v>
      </c>
      <c r="AP95" s="1369">
        <v>210</v>
      </c>
      <c r="AQ95" s="1368">
        <v>187</v>
      </c>
      <c r="AR95" s="2289">
        <v>184</v>
      </c>
      <c r="AS95" s="1368">
        <v>189</v>
      </c>
      <c r="AT95" s="2353">
        <v>188</v>
      </c>
      <c r="AU95" s="1274"/>
      <c r="AV95" s="1923">
        <f t="shared" si="54"/>
        <v>0.2982456140350877</v>
      </c>
      <c r="AW95" s="1924">
        <f t="shared" si="55"/>
        <v>0.28280542986425339</v>
      </c>
      <c r="AX95" s="1924">
        <f t="shared" si="56"/>
        <v>0.33098591549295775</v>
      </c>
      <c r="AY95" s="1924">
        <f t="shared" si="57"/>
        <v>0.33411764705882352</v>
      </c>
      <c r="AZ95" s="1924">
        <f t="shared" si="58"/>
        <v>0.35926773455377575</v>
      </c>
      <c r="BA95" s="1924">
        <f t="shared" si="59"/>
        <v>0.32640332640332642</v>
      </c>
      <c r="BB95" s="1924">
        <f t="shared" si="60"/>
        <v>0.3146067415730337</v>
      </c>
      <c r="BC95" s="1924">
        <f t="shared" si="61"/>
        <v>0.34055118110236221</v>
      </c>
      <c r="BD95" s="1924">
        <f t="shared" si="62"/>
        <v>0.37692307692307692</v>
      </c>
      <c r="BE95" s="1924">
        <f t="shared" si="63"/>
        <v>0.39272030651340994</v>
      </c>
      <c r="BF95" s="1924">
        <f t="shared" si="64"/>
        <v>0.39009900990099011</v>
      </c>
      <c r="BG95" s="1924">
        <f t="shared" si="65"/>
        <v>0.40748898678414097</v>
      </c>
      <c r="BH95" s="1924">
        <f t="shared" si="66"/>
        <v>0.37906976744186044</v>
      </c>
      <c r="BI95" s="1924">
        <f t="shared" si="67"/>
        <v>0.4375</v>
      </c>
      <c r="BJ95" s="1925">
        <f t="shared" si="68"/>
        <v>0.41521739130434782</v>
      </c>
      <c r="BK95" s="1926">
        <f>'Non-marital births'!L96</f>
        <v>0.37751004016064255</v>
      </c>
      <c r="BL95" s="1927">
        <v>0.42424242424242425</v>
      </c>
      <c r="BM95" s="1928">
        <f t="shared" si="69"/>
        <v>0.41280353200883002</v>
      </c>
      <c r="BN95" s="2348">
        <f t="shared" si="70"/>
        <v>0.37398373983739835</v>
      </c>
      <c r="BO95" s="2348">
        <f t="shared" si="53"/>
        <v>0.42376681614349776</v>
      </c>
      <c r="BP95" s="2343">
        <f t="shared" si="53"/>
        <v>0.37751004016064255</v>
      </c>
    </row>
    <row r="96" spans="1:68" s="142" customFormat="1" ht="13.5" customHeight="1" x14ac:dyDescent="0.3">
      <c r="A96" s="149" t="s">
        <v>234</v>
      </c>
      <c r="B96" s="185" t="s">
        <v>235</v>
      </c>
      <c r="C96" s="150" t="s">
        <v>256</v>
      </c>
      <c r="D96" s="938">
        <v>538</v>
      </c>
      <c r="E96" s="939">
        <v>501</v>
      </c>
      <c r="F96" s="940">
        <v>492</v>
      </c>
      <c r="G96" s="939">
        <v>541</v>
      </c>
      <c r="H96" s="940">
        <v>547</v>
      </c>
      <c r="I96" s="939">
        <v>508</v>
      </c>
      <c r="J96" s="940">
        <v>495</v>
      </c>
      <c r="K96" s="939">
        <v>526</v>
      </c>
      <c r="L96" s="953">
        <v>491</v>
      </c>
      <c r="M96" s="953">
        <v>551</v>
      </c>
      <c r="N96" s="953">
        <v>536</v>
      </c>
      <c r="O96" s="953">
        <v>517</v>
      </c>
      <c r="P96" s="954">
        <v>510</v>
      </c>
      <c r="Q96" s="954">
        <v>539</v>
      </c>
      <c r="R96" s="1107">
        <v>513</v>
      </c>
      <c r="S96" s="1367">
        <v>488</v>
      </c>
      <c r="T96" s="1908">
        <v>426</v>
      </c>
      <c r="U96" s="1908">
        <v>490</v>
      </c>
      <c r="V96" s="2291">
        <v>482</v>
      </c>
      <c r="W96" s="1367">
        <v>457</v>
      </c>
      <c r="X96" s="2351">
        <v>524</v>
      </c>
      <c r="Y96" s="1273"/>
      <c r="Z96" s="961">
        <v>134</v>
      </c>
      <c r="AA96" s="962">
        <v>107</v>
      </c>
      <c r="AB96" s="962">
        <v>107</v>
      </c>
      <c r="AC96" s="962">
        <v>126</v>
      </c>
      <c r="AD96" s="962">
        <v>136</v>
      </c>
      <c r="AE96" s="962">
        <v>111</v>
      </c>
      <c r="AF96" s="962">
        <v>127</v>
      </c>
      <c r="AG96" s="962">
        <v>155</v>
      </c>
      <c r="AH96" s="962">
        <v>147</v>
      </c>
      <c r="AI96" s="962">
        <v>183</v>
      </c>
      <c r="AJ96" s="962">
        <v>175</v>
      </c>
      <c r="AK96" s="962">
        <v>175</v>
      </c>
      <c r="AL96" s="962">
        <v>164</v>
      </c>
      <c r="AM96" s="962">
        <v>197</v>
      </c>
      <c r="AN96" s="1110">
        <v>186</v>
      </c>
      <c r="AO96" s="1368">
        <v>173</v>
      </c>
      <c r="AP96" s="1369">
        <v>148</v>
      </c>
      <c r="AQ96" s="1368">
        <v>176</v>
      </c>
      <c r="AR96" s="2289">
        <v>151</v>
      </c>
      <c r="AS96" s="1368">
        <v>162</v>
      </c>
      <c r="AT96" s="2353">
        <v>87</v>
      </c>
      <c r="AU96" s="1274"/>
      <c r="AV96" s="1923">
        <f t="shared" si="54"/>
        <v>0.24907063197026022</v>
      </c>
      <c r="AW96" s="1924">
        <f t="shared" si="55"/>
        <v>0.21357285429141717</v>
      </c>
      <c r="AX96" s="1924">
        <f t="shared" si="56"/>
        <v>0.21747967479674796</v>
      </c>
      <c r="AY96" s="1924">
        <f t="shared" si="57"/>
        <v>0.23290203327171904</v>
      </c>
      <c r="AZ96" s="1924">
        <f t="shared" si="58"/>
        <v>0.24862888482632542</v>
      </c>
      <c r="BA96" s="1924">
        <f t="shared" si="59"/>
        <v>0.21850393700787402</v>
      </c>
      <c r="BB96" s="1924">
        <f t="shared" si="60"/>
        <v>0.25656565656565655</v>
      </c>
      <c r="BC96" s="1924">
        <f t="shared" si="61"/>
        <v>0.29467680608365021</v>
      </c>
      <c r="BD96" s="1924">
        <f t="shared" si="62"/>
        <v>0.29938900203665986</v>
      </c>
      <c r="BE96" s="1924">
        <f t="shared" si="63"/>
        <v>0.33212341197822143</v>
      </c>
      <c r="BF96" s="1924">
        <f t="shared" si="64"/>
        <v>0.32649253731343286</v>
      </c>
      <c r="BG96" s="1924">
        <f t="shared" si="65"/>
        <v>0.33849129593810445</v>
      </c>
      <c r="BH96" s="1924">
        <f t="shared" si="66"/>
        <v>0.32156862745098042</v>
      </c>
      <c r="BI96" s="1924">
        <f t="shared" si="67"/>
        <v>0.36549165120593691</v>
      </c>
      <c r="BJ96" s="1925">
        <f t="shared" si="68"/>
        <v>0.36257309941520466</v>
      </c>
      <c r="BK96" s="1926">
        <f>'Non-marital births'!L97</f>
        <v>0.16603053435114504</v>
      </c>
      <c r="BL96" s="1927">
        <v>0.34741784037558687</v>
      </c>
      <c r="BM96" s="1928">
        <f t="shared" si="69"/>
        <v>0.35918367346938773</v>
      </c>
      <c r="BN96" s="2348">
        <f t="shared" si="70"/>
        <v>0.31327800829875518</v>
      </c>
      <c r="BO96" s="2348">
        <f t="shared" si="53"/>
        <v>0.35448577680525162</v>
      </c>
      <c r="BP96" s="2343">
        <f t="shared" si="53"/>
        <v>0.16603053435114504</v>
      </c>
    </row>
    <row r="97" spans="1:68" s="142" customFormat="1" ht="13.5" customHeight="1" x14ac:dyDescent="0.3">
      <c r="A97" s="149" t="s">
        <v>236</v>
      </c>
      <c r="B97" s="185" t="s">
        <v>237</v>
      </c>
      <c r="C97" s="150" t="s">
        <v>254</v>
      </c>
      <c r="D97" s="938">
        <v>204</v>
      </c>
      <c r="E97" s="939">
        <v>201</v>
      </c>
      <c r="F97" s="940">
        <v>168</v>
      </c>
      <c r="G97" s="939">
        <v>184</v>
      </c>
      <c r="H97" s="940">
        <v>204</v>
      </c>
      <c r="I97" s="939">
        <v>173</v>
      </c>
      <c r="J97" s="940">
        <v>179</v>
      </c>
      <c r="K97" s="939">
        <v>183</v>
      </c>
      <c r="L97" s="953">
        <v>188</v>
      </c>
      <c r="M97" s="953">
        <v>207</v>
      </c>
      <c r="N97" s="953">
        <v>194</v>
      </c>
      <c r="O97" s="953">
        <v>193</v>
      </c>
      <c r="P97" s="954">
        <v>181</v>
      </c>
      <c r="Q97" s="954">
        <v>184</v>
      </c>
      <c r="R97" s="1107">
        <v>192</v>
      </c>
      <c r="S97" s="1367">
        <v>186</v>
      </c>
      <c r="T97" s="1908">
        <v>164</v>
      </c>
      <c r="U97" s="1908">
        <v>197</v>
      </c>
      <c r="V97" s="2291">
        <v>200</v>
      </c>
      <c r="W97" s="1367">
        <v>183</v>
      </c>
      <c r="X97" s="2351">
        <v>166</v>
      </c>
      <c r="Y97" s="1273"/>
      <c r="Z97" s="961">
        <v>98</v>
      </c>
      <c r="AA97" s="962">
        <v>107</v>
      </c>
      <c r="AB97" s="962">
        <v>92</v>
      </c>
      <c r="AC97" s="962">
        <v>94</v>
      </c>
      <c r="AD97" s="962">
        <v>108</v>
      </c>
      <c r="AE97" s="962">
        <v>84</v>
      </c>
      <c r="AF97" s="962">
        <v>96</v>
      </c>
      <c r="AG97" s="962">
        <v>102</v>
      </c>
      <c r="AH97" s="962">
        <v>96</v>
      </c>
      <c r="AI97" s="962">
        <v>110</v>
      </c>
      <c r="AJ97" s="962">
        <v>103</v>
      </c>
      <c r="AK97" s="962">
        <v>124</v>
      </c>
      <c r="AL97" s="962">
        <v>100</v>
      </c>
      <c r="AM97" s="962">
        <v>93</v>
      </c>
      <c r="AN97" s="1110">
        <v>100</v>
      </c>
      <c r="AO97" s="1368">
        <v>109</v>
      </c>
      <c r="AP97" s="1369">
        <v>88</v>
      </c>
      <c r="AQ97" s="1368">
        <v>96</v>
      </c>
      <c r="AR97" s="2289">
        <v>106</v>
      </c>
      <c r="AS97" s="1368">
        <v>99</v>
      </c>
      <c r="AT97" s="2353">
        <v>84</v>
      </c>
      <c r="AU97" s="1274"/>
      <c r="AV97" s="1923">
        <f t="shared" si="54"/>
        <v>0.48039215686274511</v>
      </c>
      <c r="AW97" s="1924">
        <f t="shared" si="55"/>
        <v>0.53233830845771146</v>
      </c>
      <c r="AX97" s="1924">
        <f t="shared" si="56"/>
        <v>0.54761904761904767</v>
      </c>
      <c r="AY97" s="1924">
        <f t="shared" si="57"/>
        <v>0.51086956521739135</v>
      </c>
      <c r="AZ97" s="1924">
        <f t="shared" si="58"/>
        <v>0.52941176470588236</v>
      </c>
      <c r="BA97" s="1924">
        <f t="shared" si="59"/>
        <v>0.48554913294797686</v>
      </c>
      <c r="BB97" s="1924">
        <f t="shared" si="60"/>
        <v>0.53631284916201116</v>
      </c>
      <c r="BC97" s="1924">
        <f t="shared" si="61"/>
        <v>0.55737704918032782</v>
      </c>
      <c r="BD97" s="1924">
        <f t="shared" si="62"/>
        <v>0.51063829787234039</v>
      </c>
      <c r="BE97" s="1924">
        <f t="shared" si="63"/>
        <v>0.53140096618357491</v>
      </c>
      <c r="BF97" s="1924">
        <f t="shared" si="64"/>
        <v>0.53092783505154639</v>
      </c>
      <c r="BG97" s="1924">
        <f t="shared" si="65"/>
        <v>0.6424870466321243</v>
      </c>
      <c r="BH97" s="1924">
        <f t="shared" si="66"/>
        <v>0.5524861878453039</v>
      </c>
      <c r="BI97" s="1924">
        <f t="shared" si="67"/>
        <v>0.50543478260869568</v>
      </c>
      <c r="BJ97" s="1925">
        <f t="shared" si="68"/>
        <v>0.52083333333333337</v>
      </c>
      <c r="BK97" s="1926">
        <f>'Non-marital births'!L98</f>
        <v>0.50602409638554213</v>
      </c>
      <c r="BL97" s="1927">
        <v>0.53658536585365857</v>
      </c>
      <c r="BM97" s="1928">
        <f t="shared" si="69"/>
        <v>0.48730964467005078</v>
      </c>
      <c r="BN97" s="2348">
        <f t="shared" si="70"/>
        <v>0.53</v>
      </c>
      <c r="BO97" s="2348">
        <f t="shared" si="53"/>
        <v>0.54098360655737709</v>
      </c>
      <c r="BP97" s="2343">
        <f t="shared" si="53"/>
        <v>0.50602409638554213</v>
      </c>
    </row>
    <row r="98" spans="1:68" s="142" customFormat="1" ht="13.5" customHeight="1" x14ac:dyDescent="0.3">
      <c r="A98" s="149" t="s">
        <v>242</v>
      </c>
      <c r="B98" s="185" t="s">
        <v>243</v>
      </c>
      <c r="C98" s="150" t="s">
        <v>256</v>
      </c>
      <c r="D98" s="938">
        <v>559</v>
      </c>
      <c r="E98" s="939">
        <v>485</v>
      </c>
      <c r="F98" s="940">
        <v>510</v>
      </c>
      <c r="G98" s="939">
        <v>504</v>
      </c>
      <c r="H98" s="940">
        <v>504</v>
      </c>
      <c r="I98" s="939">
        <v>489</v>
      </c>
      <c r="J98" s="940">
        <v>502</v>
      </c>
      <c r="K98" s="939">
        <v>464</v>
      </c>
      <c r="L98" s="953">
        <v>481</v>
      </c>
      <c r="M98" s="953">
        <v>498</v>
      </c>
      <c r="N98" s="953">
        <v>498</v>
      </c>
      <c r="O98" s="953">
        <v>524</v>
      </c>
      <c r="P98" s="954">
        <v>457</v>
      </c>
      <c r="Q98" s="954">
        <v>396</v>
      </c>
      <c r="R98" s="1107">
        <v>419</v>
      </c>
      <c r="S98" s="1367">
        <v>450</v>
      </c>
      <c r="T98" s="1908">
        <v>406</v>
      </c>
      <c r="U98" s="1908">
        <v>379</v>
      </c>
      <c r="V98" s="2291">
        <v>388</v>
      </c>
      <c r="W98" s="1367">
        <v>355</v>
      </c>
      <c r="X98" s="2351">
        <v>359</v>
      </c>
      <c r="Y98" s="1273"/>
      <c r="Z98" s="961">
        <v>173</v>
      </c>
      <c r="AA98" s="962">
        <v>141</v>
      </c>
      <c r="AB98" s="962">
        <v>152</v>
      </c>
      <c r="AC98" s="962">
        <v>153</v>
      </c>
      <c r="AD98" s="962">
        <v>163</v>
      </c>
      <c r="AE98" s="962">
        <v>158</v>
      </c>
      <c r="AF98" s="962">
        <v>174</v>
      </c>
      <c r="AG98" s="962">
        <v>169</v>
      </c>
      <c r="AH98" s="962">
        <v>164</v>
      </c>
      <c r="AI98" s="962">
        <v>190</v>
      </c>
      <c r="AJ98" s="962">
        <v>184</v>
      </c>
      <c r="AK98" s="962">
        <v>204</v>
      </c>
      <c r="AL98" s="962">
        <v>211</v>
      </c>
      <c r="AM98" s="962">
        <v>159</v>
      </c>
      <c r="AN98" s="1110">
        <v>183</v>
      </c>
      <c r="AO98" s="1368">
        <v>196</v>
      </c>
      <c r="AP98" s="1369">
        <v>203</v>
      </c>
      <c r="AQ98" s="1368">
        <v>181</v>
      </c>
      <c r="AR98" s="2289">
        <v>176</v>
      </c>
      <c r="AS98" s="1368">
        <v>161</v>
      </c>
      <c r="AT98" s="2353">
        <v>115</v>
      </c>
      <c r="AU98" s="1274"/>
      <c r="AV98" s="1923">
        <f t="shared" si="54"/>
        <v>0.30948121645796062</v>
      </c>
      <c r="AW98" s="1924">
        <f t="shared" si="55"/>
        <v>0.2907216494845361</v>
      </c>
      <c r="AX98" s="1924">
        <f t="shared" si="56"/>
        <v>0.29803921568627451</v>
      </c>
      <c r="AY98" s="1924">
        <f t="shared" si="57"/>
        <v>0.30357142857142855</v>
      </c>
      <c r="AZ98" s="1924">
        <f t="shared" si="58"/>
        <v>0.32341269841269843</v>
      </c>
      <c r="BA98" s="1924">
        <f t="shared" si="59"/>
        <v>0.32310838445807771</v>
      </c>
      <c r="BB98" s="1924">
        <f t="shared" si="60"/>
        <v>0.34661354581673309</v>
      </c>
      <c r="BC98" s="1924">
        <f t="shared" si="61"/>
        <v>0.36422413793103448</v>
      </c>
      <c r="BD98" s="1924">
        <f t="shared" si="62"/>
        <v>0.34095634095634098</v>
      </c>
      <c r="BE98" s="1924">
        <f t="shared" si="63"/>
        <v>0.38152610441767071</v>
      </c>
      <c r="BF98" s="1924">
        <f t="shared" si="64"/>
        <v>0.36947791164658633</v>
      </c>
      <c r="BG98" s="1924">
        <f t="shared" si="65"/>
        <v>0.38931297709923662</v>
      </c>
      <c r="BH98" s="1924">
        <f t="shared" si="66"/>
        <v>0.46170678336980309</v>
      </c>
      <c r="BI98" s="1924">
        <f t="shared" si="67"/>
        <v>0.40151515151515149</v>
      </c>
      <c r="BJ98" s="1925">
        <f t="shared" si="68"/>
        <v>0.43675417661097854</v>
      </c>
      <c r="BK98" s="1926">
        <f>'Non-marital births'!L99</f>
        <v>0.3203342618384401</v>
      </c>
      <c r="BL98" s="1927">
        <v>0.5</v>
      </c>
      <c r="BM98" s="1928">
        <f t="shared" si="69"/>
        <v>0.47757255936675463</v>
      </c>
      <c r="BN98" s="2348">
        <f t="shared" si="70"/>
        <v>0.45360824742268041</v>
      </c>
      <c r="BO98" s="2348">
        <f t="shared" si="53"/>
        <v>0.45352112676056339</v>
      </c>
      <c r="BP98" s="2343">
        <f t="shared" si="53"/>
        <v>0.3203342618384401</v>
      </c>
    </row>
    <row r="99" spans="1:68" s="142" customFormat="1" ht="13.5" customHeight="1" x14ac:dyDescent="0.3">
      <c r="A99" s="149" t="s">
        <v>244</v>
      </c>
      <c r="B99" s="185" t="s">
        <v>245</v>
      </c>
      <c r="C99" s="150" t="s">
        <v>256</v>
      </c>
      <c r="D99" s="938">
        <v>276</v>
      </c>
      <c r="E99" s="939">
        <v>340</v>
      </c>
      <c r="F99" s="940">
        <v>336</v>
      </c>
      <c r="G99" s="939">
        <v>315</v>
      </c>
      <c r="H99" s="940">
        <v>325</v>
      </c>
      <c r="I99" s="939">
        <v>333</v>
      </c>
      <c r="J99" s="940">
        <v>332</v>
      </c>
      <c r="K99" s="939">
        <v>328</v>
      </c>
      <c r="L99" s="953">
        <v>333</v>
      </c>
      <c r="M99" s="953">
        <v>321</v>
      </c>
      <c r="N99" s="953">
        <v>290</v>
      </c>
      <c r="O99" s="953">
        <v>278</v>
      </c>
      <c r="P99" s="954">
        <v>281</v>
      </c>
      <c r="Q99" s="954">
        <v>310</v>
      </c>
      <c r="R99" s="1107">
        <v>293</v>
      </c>
      <c r="S99" s="1367">
        <v>271</v>
      </c>
      <c r="T99" s="1908">
        <v>312</v>
      </c>
      <c r="U99" s="1908">
        <v>278</v>
      </c>
      <c r="V99" s="2291">
        <v>285</v>
      </c>
      <c r="W99" s="1367">
        <v>308</v>
      </c>
      <c r="X99" s="2351">
        <v>285</v>
      </c>
      <c r="Y99" s="1273"/>
      <c r="Z99" s="961">
        <v>74</v>
      </c>
      <c r="AA99" s="962">
        <v>78</v>
      </c>
      <c r="AB99" s="962">
        <v>74</v>
      </c>
      <c r="AC99" s="962">
        <v>84</v>
      </c>
      <c r="AD99" s="962">
        <v>89</v>
      </c>
      <c r="AE99" s="962">
        <v>95</v>
      </c>
      <c r="AF99" s="962">
        <v>106</v>
      </c>
      <c r="AG99" s="962">
        <v>98</v>
      </c>
      <c r="AH99" s="962">
        <v>108</v>
      </c>
      <c r="AI99" s="962">
        <v>113</v>
      </c>
      <c r="AJ99" s="962">
        <v>112</v>
      </c>
      <c r="AK99" s="962">
        <v>105</v>
      </c>
      <c r="AL99" s="962">
        <v>96</v>
      </c>
      <c r="AM99" s="962">
        <v>127</v>
      </c>
      <c r="AN99" s="1110">
        <v>134</v>
      </c>
      <c r="AO99" s="1368">
        <v>111</v>
      </c>
      <c r="AP99" s="1369">
        <v>142</v>
      </c>
      <c r="AQ99" s="1368">
        <v>118</v>
      </c>
      <c r="AR99" s="2289">
        <v>113</v>
      </c>
      <c r="AS99" s="1368">
        <v>141</v>
      </c>
      <c r="AT99" s="2353">
        <v>111</v>
      </c>
      <c r="AU99" s="1274"/>
      <c r="AV99" s="1923">
        <f t="shared" si="54"/>
        <v>0.26811594202898553</v>
      </c>
      <c r="AW99" s="1924">
        <f t="shared" si="55"/>
        <v>0.22941176470588234</v>
      </c>
      <c r="AX99" s="1924">
        <f t="shared" si="56"/>
        <v>0.22023809523809523</v>
      </c>
      <c r="AY99" s="1924">
        <f t="shared" si="57"/>
        <v>0.26666666666666666</v>
      </c>
      <c r="AZ99" s="1924">
        <f t="shared" si="58"/>
        <v>0.27384615384615385</v>
      </c>
      <c r="BA99" s="1924">
        <f t="shared" si="59"/>
        <v>0.28528528528528529</v>
      </c>
      <c r="BB99" s="1924">
        <f t="shared" si="60"/>
        <v>0.31927710843373491</v>
      </c>
      <c r="BC99" s="1924">
        <f t="shared" si="61"/>
        <v>0.29878048780487804</v>
      </c>
      <c r="BD99" s="1924">
        <f t="shared" si="62"/>
        <v>0.32432432432432434</v>
      </c>
      <c r="BE99" s="1924">
        <f t="shared" si="63"/>
        <v>0.35202492211838005</v>
      </c>
      <c r="BF99" s="1924">
        <f t="shared" si="64"/>
        <v>0.38620689655172413</v>
      </c>
      <c r="BG99" s="1924">
        <f t="shared" si="65"/>
        <v>0.37769784172661869</v>
      </c>
      <c r="BH99" s="1924">
        <f t="shared" si="66"/>
        <v>0.34163701067615659</v>
      </c>
      <c r="BI99" s="1924">
        <f t="shared" si="67"/>
        <v>0.4096774193548387</v>
      </c>
      <c r="BJ99" s="1925">
        <f t="shared" si="68"/>
        <v>0.45733788395904434</v>
      </c>
      <c r="BK99" s="1926">
        <f>'Non-marital births'!L100</f>
        <v>0.38947368421052631</v>
      </c>
      <c r="BL99" s="1927">
        <v>0.45512820512820512</v>
      </c>
      <c r="BM99" s="1928">
        <f t="shared" si="69"/>
        <v>0.42446043165467628</v>
      </c>
      <c r="BN99" s="2348">
        <f t="shared" si="70"/>
        <v>0.39649122807017545</v>
      </c>
      <c r="BO99" s="2348">
        <f t="shared" si="53"/>
        <v>0.45779220779220781</v>
      </c>
      <c r="BP99" s="2343">
        <f t="shared" si="53"/>
        <v>0.38947368421052631</v>
      </c>
    </row>
    <row r="100" spans="1:68" s="142" customFormat="1" ht="13.5" customHeight="1" x14ac:dyDescent="0.3">
      <c r="A100" s="149" t="s">
        <v>246</v>
      </c>
      <c r="B100" s="185" t="s">
        <v>247</v>
      </c>
      <c r="C100" s="150" t="s">
        <v>252</v>
      </c>
      <c r="D100" s="938">
        <v>648</v>
      </c>
      <c r="E100" s="939">
        <v>744</v>
      </c>
      <c r="F100" s="940">
        <v>823</v>
      </c>
      <c r="G100" s="939">
        <v>712</v>
      </c>
      <c r="H100" s="940">
        <v>683</v>
      </c>
      <c r="I100" s="939">
        <v>670</v>
      </c>
      <c r="J100" s="940">
        <v>676</v>
      </c>
      <c r="K100" s="939">
        <v>623</v>
      </c>
      <c r="L100" s="953">
        <v>633</v>
      </c>
      <c r="M100" s="953">
        <v>682</v>
      </c>
      <c r="N100" s="953">
        <v>670</v>
      </c>
      <c r="O100" s="953">
        <v>702</v>
      </c>
      <c r="P100" s="954">
        <v>668</v>
      </c>
      <c r="Q100" s="954">
        <v>678</v>
      </c>
      <c r="R100" s="1107">
        <v>658</v>
      </c>
      <c r="S100" s="1367">
        <v>701</v>
      </c>
      <c r="T100" s="1908">
        <v>803</v>
      </c>
      <c r="U100" s="1908">
        <v>739</v>
      </c>
      <c r="V100" s="2291">
        <v>809</v>
      </c>
      <c r="W100" s="1367">
        <v>726</v>
      </c>
      <c r="X100" s="2351">
        <v>742</v>
      </c>
      <c r="Y100" s="1273"/>
      <c r="Z100" s="961">
        <v>114</v>
      </c>
      <c r="AA100" s="962">
        <v>150</v>
      </c>
      <c r="AB100" s="962">
        <v>176</v>
      </c>
      <c r="AC100" s="962">
        <v>149</v>
      </c>
      <c r="AD100" s="962">
        <v>120</v>
      </c>
      <c r="AE100" s="962">
        <v>125</v>
      </c>
      <c r="AF100" s="962">
        <v>145</v>
      </c>
      <c r="AG100" s="962">
        <v>120</v>
      </c>
      <c r="AH100" s="962">
        <v>143</v>
      </c>
      <c r="AI100" s="962">
        <v>136</v>
      </c>
      <c r="AJ100" s="962">
        <v>162</v>
      </c>
      <c r="AK100" s="962">
        <v>158</v>
      </c>
      <c r="AL100" s="962">
        <v>140</v>
      </c>
      <c r="AM100" s="962">
        <v>163</v>
      </c>
      <c r="AN100" s="1110">
        <v>142</v>
      </c>
      <c r="AO100" s="1368">
        <v>157</v>
      </c>
      <c r="AP100" s="1369">
        <v>175</v>
      </c>
      <c r="AQ100" s="1368">
        <v>155</v>
      </c>
      <c r="AR100" s="2289">
        <v>178</v>
      </c>
      <c r="AS100" s="1368">
        <v>155</v>
      </c>
      <c r="AT100" s="2353">
        <v>160</v>
      </c>
      <c r="AU100" s="1274"/>
      <c r="AV100" s="1923">
        <f t="shared" si="54"/>
        <v>0.17592592592592593</v>
      </c>
      <c r="AW100" s="1924">
        <f t="shared" si="55"/>
        <v>0.20161290322580644</v>
      </c>
      <c r="AX100" s="1924">
        <f t="shared" si="56"/>
        <v>0.21385176184690158</v>
      </c>
      <c r="AY100" s="1924">
        <f t="shared" si="57"/>
        <v>0.20926966292134833</v>
      </c>
      <c r="AZ100" s="1924">
        <f t="shared" si="58"/>
        <v>0.17569546120058566</v>
      </c>
      <c r="BA100" s="1924">
        <f t="shared" si="59"/>
        <v>0.18656716417910449</v>
      </c>
      <c r="BB100" s="1924">
        <f t="shared" si="60"/>
        <v>0.21449704142011836</v>
      </c>
      <c r="BC100" s="1924">
        <f t="shared" si="61"/>
        <v>0.1926163723916533</v>
      </c>
      <c r="BD100" s="1924">
        <f t="shared" si="62"/>
        <v>0.2259083728278041</v>
      </c>
      <c r="BE100" s="1924">
        <f t="shared" si="63"/>
        <v>0.19941348973607037</v>
      </c>
      <c r="BF100" s="1924">
        <f t="shared" si="64"/>
        <v>0.2417910447761194</v>
      </c>
      <c r="BG100" s="1924">
        <f t="shared" si="65"/>
        <v>0.22507122507122507</v>
      </c>
      <c r="BH100" s="1924">
        <f t="shared" si="66"/>
        <v>0.20958083832335328</v>
      </c>
      <c r="BI100" s="1924">
        <f t="shared" si="67"/>
        <v>0.24041297935103245</v>
      </c>
      <c r="BJ100" s="1925">
        <f t="shared" si="68"/>
        <v>0.21580547112462006</v>
      </c>
      <c r="BK100" s="1926">
        <f>'Non-marital births'!L101</f>
        <v>0.215633423180593</v>
      </c>
      <c r="BL100" s="1927">
        <v>0.21793275217932753</v>
      </c>
      <c r="BM100" s="1928">
        <f t="shared" si="69"/>
        <v>0.20974289580514208</v>
      </c>
      <c r="BN100" s="2348">
        <f t="shared" si="70"/>
        <v>0.22002472187886279</v>
      </c>
      <c r="BO100" s="2348">
        <f t="shared" si="53"/>
        <v>0.21349862258953167</v>
      </c>
      <c r="BP100" s="2343">
        <f t="shared" si="53"/>
        <v>0.215633423180593</v>
      </c>
    </row>
    <row r="101" spans="1:68" s="142" customFormat="1" ht="13.5" customHeight="1" x14ac:dyDescent="0.3">
      <c r="A101" s="149" t="s">
        <v>14</v>
      </c>
      <c r="B101" s="185" t="s">
        <v>15</v>
      </c>
      <c r="C101" s="150" t="s">
        <v>255</v>
      </c>
      <c r="D101" s="938">
        <v>2110</v>
      </c>
      <c r="E101" s="939">
        <v>2125</v>
      </c>
      <c r="F101" s="940">
        <v>2432</v>
      </c>
      <c r="G101" s="939">
        <v>2424</v>
      </c>
      <c r="H101" s="940">
        <v>2208</v>
      </c>
      <c r="I101" s="939">
        <v>2333</v>
      </c>
      <c r="J101" s="940">
        <v>2375</v>
      </c>
      <c r="K101" s="939">
        <v>2451</v>
      </c>
      <c r="L101" s="953">
        <v>2436</v>
      </c>
      <c r="M101" s="953">
        <v>2525</v>
      </c>
      <c r="N101" s="953">
        <v>2595</v>
      </c>
      <c r="O101" s="953">
        <v>2558</v>
      </c>
      <c r="P101" s="954">
        <v>2667</v>
      </c>
      <c r="Q101" s="954">
        <v>2632</v>
      </c>
      <c r="R101" s="1107">
        <v>2763</v>
      </c>
      <c r="S101" s="1367">
        <v>2727</v>
      </c>
      <c r="T101" s="1908">
        <v>2748</v>
      </c>
      <c r="U101" s="1908">
        <v>2791</v>
      </c>
      <c r="V101" s="2291">
        <v>2944</v>
      </c>
      <c r="W101" s="1367">
        <v>2651</v>
      </c>
      <c r="X101" s="2351">
        <v>2594</v>
      </c>
      <c r="Y101" s="1273"/>
      <c r="Z101" s="961">
        <v>566</v>
      </c>
      <c r="AA101" s="962">
        <v>654</v>
      </c>
      <c r="AB101" s="962">
        <v>699</v>
      </c>
      <c r="AC101" s="962">
        <v>693</v>
      </c>
      <c r="AD101" s="962">
        <v>586</v>
      </c>
      <c r="AE101" s="962">
        <v>632</v>
      </c>
      <c r="AF101" s="962">
        <v>644</v>
      </c>
      <c r="AG101" s="962">
        <v>739</v>
      </c>
      <c r="AH101" s="962">
        <v>739</v>
      </c>
      <c r="AI101" s="962">
        <v>789</v>
      </c>
      <c r="AJ101" s="962">
        <v>760</v>
      </c>
      <c r="AK101" s="962">
        <v>751</v>
      </c>
      <c r="AL101" s="962">
        <v>729</v>
      </c>
      <c r="AM101" s="962">
        <v>746</v>
      </c>
      <c r="AN101" s="1110">
        <v>677</v>
      </c>
      <c r="AO101" s="1368">
        <v>626</v>
      </c>
      <c r="AP101" s="1369">
        <v>636</v>
      </c>
      <c r="AQ101" s="1368">
        <v>636</v>
      </c>
      <c r="AR101" s="2289">
        <v>711</v>
      </c>
      <c r="AS101" s="1368">
        <v>584</v>
      </c>
      <c r="AT101" s="2353">
        <v>566</v>
      </c>
      <c r="AU101" s="1274"/>
      <c r="AV101" s="1923">
        <f t="shared" si="54"/>
        <v>0.26824644549763033</v>
      </c>
      <c r="AW101" s="1924">
        <f t="shared" si="55"/>
        <v>0.30776470588235294</v>
      </c>
      <c r="AX101" s="1924">
        <f t="shared" si="56"/>
        <v>0.28741776315789475</v>
      </c>
      <c r="AY101" s="1924">
        <f t="shared" si="57"/>
        <v>0.28589108910891087</v>
      </c>
      <c r="AZ101" s="1924">
        <f t="shared" si="58"/>
        <v>0.26539855072463769</v>
      </c>
      <c r="BA101" s="1924">
        <f t="shared" si="59"/>
        <v>0.27089584226318048</v>
      </c>
      <c r="BB101" s="1924">
        <f t="shared" si="60"/>
        <v>0.2711578947368421</v>
      </c>
      <c r="BC101" s="1924">
        <f t="shared" si="61"/>
        <v>0.30150958792329663</v>
      </c>
      <c r="BD101" s="1924">
        <f t="shared" si="62"/>
        <v>0.30336617405582922</v>
      </c>
      <c r="BE101" s="1924">
        <f t="shared" si="63"/>
        <v>0.31247524752475248</v>
      </c>
      <c r="BF101" s="1924">
        <f t="shared" si="64"/>
        <v>0.2928709055876686</v>
      </c>
      <c r="BG101" s="1924">
        <f t="shared" si="65"/>
        <v>0.2935887412040657</v>
      </c>
      <c r="BH101" s="1924">
        <f t="shared" si="66"/>
        <v>0.27334083239595053</v>
      </c>
      <c r="BI101" s="1924">
        <f t="shared" si="67"/>
        <v>0.28343465045592703</v>
      </c>
      <c r="BJ101" s="1925">
        <f t="shared" si="68"/>
        <v>0.24502352515381831</v>
      </c>
      <c r="BK101" s="1926">
        <f>'Non-marital births'!L102</f>
        <v>0.2181958365458751</v>
      </c>
      <c r="BL101" s="1927">
        <v>0.23144104803493451</v>
      </c>
      <c r="BM101" s="1928">
        <f t="shared" si="69"/>
        <v>0.22787531350770332</v>
      </c>
      <c r="BN101" s="2348">
        <f t="shared" si="70"/>
        <v>0.24150815217391305</v>
      </c>
      <c r="BO101" s="2348">
        <f t="shared" ref="BO101:BP127" si="71">AS101/W101</f>
        <v>0.22029422859298378</v>
      </c>
      <c r="BP101" s="2343">
        <f t="shared" si="71"/>
        <v>0.2181958365458751</v>
      </c>
    </row>
    <row r="102" spans="1:68" s="142" customFormat="1" ht="13.5" customHeight="1" x14ac:dyDescent="0.3">
      <c r="A102" s="149" t="s">
        <v>34</v>
      </c>
      <c r="B102" s="185" t="s">
        <v>35</v>
      </c>
      <c r="C102" s="150" t="s">
        <v>256</v>
      </c>
      <c r="D102" s="938">
        <v>188</v>
      </c>
      <c r="E102" s="939">
        <v>221</v>
      </c>
      <c r="F102" s="940">
        <v>211</v>
      </c>
      <c r="G102" s="939">
        <v>194</v>
      </c>
      <c r="H102" s="940">
        <v>190</v>
      </c>
      <c r="I102" s="939">
        <v>162</v>
      </c>
      <c r="J102" s="940">
        <v>209</v>
      </c>
      <c r="K102" s="939">
        <v>185</v>
      </c>
      <c r="L102" s="953">
        <v>205</v>
      </c>
      <c r="M102" s="953">
        <v>219</v>
      </c>
      <c r="N102" s="953">
        <v>217</v>
      </c>
      <c r="O102" s="953">
        <v>218</v>
      </c>
      <c r="P102" s="954">
        <v>208</v>
      </c>
      <c r="Q102" s="954">
        <v>143</v>
      </c>
      <c r="R102" s="1107">
        <v>173</v>
      </c>
      <c r="S102" s="1367">
        <v>200</v>
      </c>
      <c r="T102" s="1908">
        <v>158</v>
      </c>
      <c r="U102" s="1908">
        <v>205</v>
      </c>
      <c r="V102" s="2291">
        <v>197</v>
      </c>
      <c r="W102" s="1367">
        <v>135</v>
      </c>
      <c r="X102" s="2351">
        <v>139</v>
      </c>
      <c r="Y102" s="1273"/>
      <c r="Z102" s="961">
        <v>58</v>
      </c>
      <c r="AA102" s="962">
        <v>69</v>
      </c>
      <c r="AB102" s="962">
        <v>67</v>
      </c>
      <c r="AC102" s="962">
        <v>71</v>
      </c>
      <c r="AD102" s="962">
        <v>73</v>
      </c>
      <c r="AE102" s="962">
        <v>60</v>
      </c>
      <c r="AF102" s="962">
        <v>80</v>
      </c>
      <c r="AG102" s="962">
        <v>85</v>
      </c>
      <c r="AH102" s="962">
        <v>82</v>
      </c>
      <c r="AI102" s="962">
        <v>104</v>
      </c>
      <c r="AJ102" s="962">
        <v>103</v>
      </c>
      <c r="AK102" s="962">
        <v>127</v>
      </c>
      <c r="AL102" s="962">
        <v>112</v>
      </c>
      <c r="AM102" s="962">
        <v>66</v>
      </c>
      <c r="AN102" s="1110">
        <v>96</v>
      </c>
      <c r="AO102" s="1368">
        <v>102</v>
      </c>
      <c r="AP102" s="1369">
        <v>76</v>
      </c>
      <c r="AQ102" s="1368">
        <v>97</v>
      </c>
      <c r="AR102" s="2289">
        <v>85</v>
      </c>
      <c r="AS102" s="1368">
        <v>61</v>
      </c>
      <c r="AT102" s="2353">
        <v>14</v>
      </c>
      <c r="AU102" s="1274"/>
      <c r="AV102" s="1923">
        <f t="shared" ref="AV102:AV125" si="72">Z102/D102</f>
        <v>0.30851063829787234</v>
      </c>
      <c r="AW102" s="1924">
        <f t="shared" ref="AW102:AW125" si="73">AA102/E102</f>
        <v>0.31221719457013575</v>
      </c>
      <c r="AX102" s="1924">
        <f t="shared" ref="AX102:AX125" si="74">AB102/F102</f>
        <v>0.31753554502369669</v>
      </c>
      <c r="AY102" s="1924">
        <f t="shared" ref="AY102:AY125" si="75">AC102/G102</f>
        <v>0.36597938144329895</v>
      </c>
      <c r="AZ102" s="1924">
        <f t="shared" ref="AZ102:AZ125" si="76">AD102/H102</f>
        <v>0.38421052631578945</v>
      </c>
      <c r="BA102" s="1924">
        <f t="shared" ref="BA102:BA125" si="77">AE102/I102</f>
        <v>0.37037037037037035</v>
      </c>
      <c r="BB102" s="1924">
        <f t="shared" ref="BB102:BB125" si="78">AF102/J102</f>
        <v>0.38277511961722488</v>
      </c>
      <c r="BC102" s="1924">
        <f t="shared" ref="BC102:BC125" si="79">AG102/K102</f>
        <v>0.45945945945945948</v>
      </c>
      <c r="BD102" s="1924">
        <f t="shared" ref="BD102:BD125" si="80">AH102/L102</f>
        <v>0.4</v>
      </c>
      <c r="BE102" s="1924">
        <f t="shared" ref="BE102:BE125" si="81">AI102/M102</f>
        <v>0.47488584474885842</v>
      </c>
      <c r="BF102" s="1924">
        <f t="shared" ref="BF102:BF125" si="82">AJ102/N102</f>
        <v>0.47465437788018433</v>
      </c>
      <c r="BG102" s="1924">
        <f t="shared" ref="BG102:BG125" si="83">AK102/O102</f>
        <v>0.58256880733944949</v>
      </c>
      <c r="BH102" s="1924">
        <f t="shared" ref="BH102:BH125" si="84">AL102/P102</f>
        <v>0.53846153846153844</v>
      </c>
      <c r="BI102" s="1924">
        <f t="shared" ref="BI102:BI125" si="85">AM102/Q102</f>
        <v>0.46153846153846156</v>
      </c>
      <c r="BJ102" s="1925">
        <f t="shared" ref="BJ102:BJ125" si="86">AN102/R102</f>
        <v>0.55491329479768781</v>
      </c>
      <c r="BK102" s="1926">
        <f>'Non-marital births'!L103</f>
        <v>0.10071942446043165</v>
      </c>
      <c r="BL102" s="1927">
        <v>0.48101265822784811</v>
      </c>
      <c r="BM102" s="1928">
        <f t="shared" ref="BM102:BM125" si="87">AQ102/U102</f>
        <v>0.47317073170731705</v>
      </c>
      <c r="BN102" s="2348">
        <f t="shared" ref="BN102:BN125" si="88">AR102/V102</f>
        <v>0.43147208121827413</v>
      </c>
      <c r="BO102" s="2348">
        <f t="shared" si="71"/>
        <v>0.45185185185185184</v>
      </c>
      <c r="BP102" s="2343">
        <f t="shared" si="71"/>
        <v>0.10071942446043165</v>
      </c>
    </row>
    <row r="103" spans="1:68" s="142" customFormat="1" ht="13.5" customHeight="1" x14ac:dyDescent="0.3">
      <c r="A103" s="149" t="s">
        <v>52</v>
      </c>
      <c r="B103" s="185" t="s">
        <v>53</v>
      </c>
      <c r="C103" s="150" t="s">
        <v>253</v>
      </c>
      <c r="D103" s="938">
        <v>471</v>
      </c>
      <c r="E103" s="939">
        <v>489</v>
      </c>
      <c r="F103" s="940">
        <v>550</v>
      </c>
      <c r="G103" s="939">
        <v>494</v>
      </c>
      <c r="H103" s="940">
        <v>491</v>
      </c>
      <c r="I103" s="939">
        <v>531</v>
      </c>
      <c r="J103" s="940">
        <v>472</v>
      </c>
      <c r="K103" s="939">
        <v>525</v>
      </c>
      <c r="L103" s="953">
        <v>498</v>
      </c>
      <c r="M103" s="953">
        <v>546</v>
      </c>
      <c r="N103" s="953">
        <v>597</v>
      </c>
      <c r="O103" s="953">
        <v>571</v>
      </c>
      <c r="P103" s="954">
        <v>548</v>
      </c>
      <c r="Q103" s="954">
        <v>499</v>
      </c>
      <c r="R103" s="1107">
        <v>575</v>
      </c>
      <c r="S103" s="1367">
        <v>612</v>
      </c>
      <c r="T103" s="1908">
        <v>625</v>
      </c>
      <c r="U103" s="1908">
        <v>576</v>
      </c>
      <c r="V103" s="2291">
        <v>558</v>
      </c>
      <c r="W103" s="1367">
        <v>586</v>
      </c>
      <c r="X103" s="2351">
        <v>605</v>
      </c>
      <c r="Y103" s="1273"/>
      <c r="Z103" s="961">
        <v>192</v>
      </c>
      <c r="AA103" s="962">
        <v>196</v>
      </c>
      <c r="AB103" s="962">
        <v>235</v>
      </c>
      <c r="AC103" s="962">
        <v>186</v>
      </c>
      <c r="AD103" s="962">
        <v>189</v>
      </c>
      <c r="AE103" s="962">
        <v>190</v>
      </c>
      <c r="AF103" s="962">
        <v>201</v>
      </c>
      <c r="AG103" s="962">
        <v>218</v>
      </c>
      <c r="AH103" s="962">
        <v>221</v>
      </c>
      <c r="AI103" s="962">
        <v>260</v>
      </c>
      <c r="AJ103" s="962">
        <v>261</v>
      </c>
      <c r="AK103" s="962">
        <v>240</v>
      </c>
      <c r="AL103" s="962">
        <v>193</v>
      </c>
      <c r="AM103" s="962">
        <v>175</v>
      </c>
      <c r="AN103" s="1110">
        <v>192</v>
      </c>
      <c r="AO103" s="1368">
        <v>206</v>
      </c>
      <c r="AP103" s="1369">
        <v>177</v>
      </c>
      <c r="AQ103" s="1368">
        <v>177</v>
      </c>
      <c r="AR103" s="2289">
        <v>161</v>
      </c>
      <c r="AS103" s="1368">
        <v>193</v>
      </c>
      <c r="AT103" s="2353">
        <v>175</v>
      </c>
      <c r="AU103" s="1274"/>
      <c r="AV103" s="1923">
        <f t="shared" si="72"/>
        <v>0.40764331210191085</v>
      </c>
      <c r="AW103" s="1924">
        <f t="shared" si="73"/>
        <v>0.40081799591002043</v>
      </c>
      <c r="AX103" s="1924">
        <f t="shared" si="74"/>
        <v>0.42727272727272725</v>
      </c>
      <c r="AY103" s="1924">
        <f t="shared" si="75"/>
        <v>0.37651821862348178</v>
      </c>
      <c r="AZ103" s="1924">
        <f t="shared" si="76"/>
        <v>0.38492871690427699</v>
      </c>
      <c r="BA103" s="1924">
        <f t="shared" si="77"/>
        <v>0.35781544256120529</v>
      </c>
      <c r="BB103" s="1924">
        <f t="shared" si="78"/>
        <v>0.42584745762711862</v>
      </c>
      <c r="BC103" s="1924">
        <f t="shared" si="79"/>
        <v>0.41523809523809524</v>
      </c>
      <c r="BD103" s="1924">
        <f t="shared" si="80"/>
        <v>0.44377510040160645</v>
      </c>
      <c r="BE103" s="1924">
        <f t="shared" si="81"/>
        <v>0.47619047619047616</v>
      </c>
      <c r="BF103" s="1924">
        <f t="shared" si="82"/>
        <v>0.43718592964824121</v>
      </c>
      <c r="BG103" s="1924">
        <f t="shared" si="83"/>
        <v>0.42031523642732049</v>
      </c>
      <c r="BH103" s="1924">
        <f t="shared" si="84"/>
        <v>0.3521897810218978</v>
      </c>
      <c r="BI103" s="1924">
        <f t="shared" si="85"/>
        <v>0.35070140280561124</v>
      </c>
      <c r="BJ103" s="1925">
        <f t="shared" si="86"/>
        <v>0.3339130434782609</v>
      </c>
      <c r="BK103" s="1926">
        <f>'Non-marital births'!L104</f>
        <v>0.28925619834710742</v>
      </c>
      <c r="BL103" s="1927">
        <v>0.28320000000000001</v>
      </c>
      <c r="BM103" s="1928">
        <f t="shared" si="87"/>
        <v>0.30729166666666669</v>
      </c>
      <c r="BN103" s="2348">
        <f t="shared" si="88"/>
        <v>0.28853046594982079</v>
      </c>
      <c r="BO103" s="2348">
        <f t="shared" si="71"/>
        <v>0.32935153583617749</v>
      </c>
      <c r="BP103" s="2343">
        <f t="shared" si="71"/>
        <v>0.28925619834710742</v>
      </c>
    </row>
    <row r="104" spans="1:68" s="142" customFormat="1" ht="13.5" customHeight="1" x14ac:dyDescent="0.3">
      <c r="A104" s="149" t="s">
        <v>54</v>
      </c>
      <c r="B104" s="185" t="s">
        <v>55</v>
      </c>
      <c r="C104" s="150" t="s">
        <v>252</v>
      </c>
      <c r="D104" s="938">
        <v>2818</v>
      </c>
      <c r="E104" s="939">
        <v>2805</v>
      </c>
      <c r="F104" s="940">
        <v>2834</v>
      </c>
      <c r="G104" s="939">
        <v>2741</v>
      </c>
      <c r="H104" s="940">
        <v>2744</v>
      </c>
      <c r="I104" s="939">
        <v>2860</v>
      </c>
      <c r="J104" s="940">
        <v>2975</v>
      </c>
      <c r="K104" s="939">
        <v>2896</v>
      </c>
      <c r="L104" s="953">
        <v>2920</v>
      </c>
      <c r="M104" s="953">
        <v>2996</v>
      </c>
      <c r="N104" s="953">
        <v>2892</v>
      </c>
      <c r="O104" s="953">
        <v>2785</v>
      </c>
      <c r="P104" s="954">
        <v>2830</v>
      </c>
      <c r="Q104" s="954">
        <v>2748</v>
      </c>
      <c r="R104" s="1107">
        <v>2805</v>
      </c>
      <c r="S104" s="1367">
        <v>2785</v>
      </c>
      <c r="T104" s="1908">
        <v>3016</v>
      </c>
      <c r="U104" s="1908">
        <v>2984</v>
      </c>
      <c r="V104" s="2291">
        <v>2861</v>
      </c>
      <c r="W104" s="1367">
        <v>2881</v>
      </c>
      <c r="X104" s="2351">
        <v>2924</v>
      </c>
      <c r="Y104" s="1273"/>
      <c r="Z104" s="961">
        <v>848</v>
      </c>
      <c r="AA104" s="962">
        <v>905</v>
      </c>
      <c r="AB104" s="962">
        <v>877</v>
      </c>
      <c r="AC104" s="962">
        <v>894</v>
      </c>
      <c r="AD104" s="962">
        <v>926</v>
      </c>
      <c r="AE104" s="962">
        <v>940</v>
      </c>
      <c r="AF104" s="962">
        <v>982</v>
      </c>
      <c r="AG104" s="962">
        <v>939</v>
      </c>
      <c r="AH104" s="962">
        <v>994</v>
      </c>
      <c r="AI104" s="962">
        <v>1084</v>
      </c>
      <c r="AJ104" s="962">
        <v>1080</v>
      </c>
      <c r="AK104" s="962">
        <v>1123</v>
      </c>
      <c r="AL104" s="962">
        <v>1104</v>
      </c>
      <c r="AM104" s="962">
        <v>1077</v>
      </c>
      <c r="AN104" s="1110">
        <v>1053</v>
      </c>
      <c r="AO104" s="1368">
        <v>992</v>
      </c>
      <c r="AP104" s="1369">
        <v>1057</v>
      </c>
      <c r="AQ104" s="1368">
        <v>1020</v>
      </c>
      <c r="AR104" s="2289">
        <v>979</v>
      </c>
      <c r="AS104" s="1368">
        <v>989</v>
      </c>
      <c r="AT104" s="2353">
        <v>1040</v>
      </c>
      <c r="AU104" s="1274"/>
      <c r="AV104" s="1923">
        <f t="shared" si="72"/>
        <v>0.30092264017033354</v>
      </c>
      <c r="AW104" s="1924">
        <f t="shared" si="73"/>
        <v>0.32263814616755793</v>
      </c>
      <c r="AX104" s="1924">
        <f t="shared" si="74"/>
        <v>0.30945659844742412</v>
      </c>
      <c r="AY104" s="1924">
        <f t="shared" si="75"/>
        <v>0.32615833637358627</v>
      </c>
      <c r="AZ104" s="1924">
        <f t="shared" si="76"/>
        <v>0.33746355685131196</v>
      </c>
      <c r="BA104" s="1924">
        <f t="shared" si="77"/>
        <v>0.32867132867132864</v>
      </c>
      <c r="BB104" s="1924">
        <f t="shared" si="78"/>
        <v>0.3300840336134454</v>
      </c>
      <c r="BC104" s="1924">
        <f t="shared" si="79"/>
        <v>0.32424033149171272</v>
      </c>
      <c r="BD104" s="1924">
        <f t="shared" si="80"/>
        <v>0.34041095890410961</v>
      </c>
      <c r="BE104" s="1924">
        <f t="shared" si="81"/>
        <v>0.36181575433911883</v>
      </c>
      <c r="BF104" s="1924">
        <f t="shared" si="82"/>
        <v>0.37344398340248963</v>
      </c>
      <c r="BG104" s="1924">
        <f t="shared" si="83"/>
        <v>0.40323159784560142</v>
      </c>
      <c r="BH104" s="1924">
        <f t="shared" si="84"/>
        <v>0.39010600706713783</v>
      </c>
      <c r="BI104" s="1924">
        <f t="shared" si="85"/>
        <v>0.39192139737991266</v>
      </c>
      <c r="BJ104" s="1925">
        <f t="shared" si="86"/>
        <v>0.3754010695187166</v>
      </c>
      <c r="BK104" s="1926">
        <f>'Non-marital births'!L105</f>
        <v>0.35567715458276333</v>
      </c>
      <c r="BL104" s="1927">
        <v>0.35046419098143233</v>
      </c>
      <c r="BM104" s="1928">
        <f t="shared" si="87"/>
        <v>0.3418230563002681</v>
      </c>
      <c r="BN104" s="2348">
        <f t="shared" si="88"/>
        <v>0.34218804613771409</v>
      </c>
      <c r="BO104" s="2348">
        <f t="shared" si="71"/>
        <v>0.34328358208955223</v>
      </c>
      <c r="BP104" s="2343">
        <f t="shared" si="71"/>
        <v>0.35567715458276333</v>
      </c>
    </row>
    <row r="105" spans="1:68" s="142" customFormat="1" ht="13.5" customHeight="1" x14ac:dyDescent="0.3">
      <c r="A105" s="149" t="s">
        <v>66</v>
      </c>
      <c r="B105" s="185" t="s">
        <v>67</v>
      </c>
      <c r="C105" s="150" t="s">
        <v>253</v>
      </c>
      <c r="D105" s="938">
        <v>686</v>
      </c>
      <c r="E105" s="939">
        <v>588</v>
      </c>
      <c r="F105" s="940">
        <v>585</v>
      </c>
      <c r="G105" s="939">
        <v>589</v>
      </c>
      <c r="H105" s="940">
        <v>588</v>
      </c>
      <c r="I105" s="939">
        <v>583</v>
      </c>
      <c r="J105" s="940">
        <v>568</v>
      </c>
      <c r="K105" s="939">
        <v>583</v>
      </c>
      <c r="L105" s="953">
        <v>650</v>
      </c>
      <c r="M105" s="953">
        <v>566</v>
      </c>
      <c r="N105" s="953">
        <v>636</v>
      </c>
      <c r="O105" s="953">
        <v>640</v>
      </c>
      <c r="P105" s="954">
        <v>557</v>
      </c>
      <c r="Q105" s="954">
        <v>585</v>
      </c>
      <c r="R105" s="1107">
        <v>601</v>
      </c>
      <c r="S105" s="1367">
        <v>587</v>
      </c>
      <c r="T105" s="1908">
        <v>583</v>
      </c>
      <c r="U105" s="1908">
        <v>546</v>
      </c>
      <c r="V105" s="2291">
        <v>492</v>
      </c>
      <c r="W105" s="1367">
        <v>455</v>
      </c>
      <c r="X105" s="2351">
        <v>489</v>
      </c>
      <c r="Y105" s="1273"/>
      <c r="Z105" s="961">
        <v>379</v>
      </c>
      <c r="AA105" s="962">
        <v>345</v>
      </c>
      <c r="AB105" s="962">
        <v>325</v>
      </c>
      <c r="AC105" s="962">
        <v>334</v>
      </c>
      <c r="AD105" s="962">
        <v>345</v>
      </c>
      <c r="AE105" s="962">
        <v>322</v>
      </c>
      <c r="AF105" s="962">
        <v>350</v>
      </c>
      <c r="AG105" s="962">
        <v>336</v>
      </c>
      <c r="AH105" s="962">
        <v>404</v>
      </c>
      <c r="AI105" s="962">
        <v>378</v>
      </c>
      <c r="AJ105" s="962">
        <v>412</v>
      </c>
      <c r="AK105" s="962">
        <v>417</v>
      </c>
      <c r="AL105" s="962">
        <v>369</v>
      </c>
      <c r="AM105" s="962">
        <v>370</v>
      </c>
      <c r="AN105" s="1110">
        <v>385</v>
      </c>
      <c r="AO105" s="1368">
        <v>374</v>
      </c>
      <c r="AP105" s="1369">
        <v>380</v>
      </c>
      <c r="AQ105" s="1368">
        <v>373</v>
      </c>
      <c r="AR105" s="2289">
        <v>323</v>
      </c>
      <c r="AS105" s="1368">
        <v>297</v>
      </c>
      <c r="AT105" s="2353">
        <v>328</v>
      </c>
      <c r="AU105" s="1274"/>
      <c r="AV105" s="1923">
        <f t="shared" si="72"/>
        <v>0.55247813411078717</v>
      </c>
      <c r="AW105" s="1924">
        <f t="shared" si="73"/>
        <v>0.58673469387755106</v>
      </c>
      <c r="AX105" s="1924">
        <f t="shared" si="74"/>
        <v>0.55555555555555558</v>
      </c>
      <c r="AY105" s="1924">
        <f t="shared" si="75"/>
        <v>0.56706281833616301</v>
      </c>
      <c r="AZ105" s="1924">
        <f t="shared" si="76"/>
        <v>0.58673469387755106</v>
      </c>
      <c r="BA105" s="1924">
        <f t="shared" si="77"/>
        <v>0.55231560891938247</v>
      </c>
      <c r="BB105" s="1924">
        <f t="shared" si="78"/>
        <v>0.61619718309859151</v>
      </c>
      <c r="BC105" s="1924">
        <f t="shared" si="79"/>
        <v>0.57632933104631223</v>
      </c>
      <c r="BD105" s="1924">
        <f t="shared" si="80"/>
        <v>0.62153846153846148</v>
      </c>
      <c r="BE105" s="1924">
        <f t="shared" si="81"/>
        <v>0.66784452296819785</v>
      </c>
      <c r="BF105" s="1924">
        <f t="shared" si="82"/>
        <v>0.64779874213836475</v>
      </c>
      <c r="BG105" s="1924">
        <f t="shared" si="83"/>
        <v>0.65156250000000004</v>
      </c>
      <c r="BH105" s="1924">
        <f t="shared" si="84"/>
        <v>0.66247755834829447</v>
      </c>
      <c r="BI105" s="1924">
        <f t="shared" si="85"/>
        <v>0.63247863247863245</v>
      </c>
      <c r="BJ105" s="1925">
        <f t="shared" si="86"/>
        <v>0.6405990016638935</v>
      </c>
      <c r="BK105" s="1926">
        <f>'Non-marital births'!L106</f>
        <v>0.67075664621676889</v>
      </c>
      <c r="BL105" s="1927">
        <v>0.65180102915951976</v>
      </c>
      <c r="BM105" s="1928">
        <f t="shared" si="87"/>
        <v>0.68315018315018317</v>
      </c>
      <c r="BN105" s="2348">
        <f t="shared" si="88"/>
        <v>0.6565040650406504</v>
      </c>
      <c r="BO105" s="2348">
        <f t="shared" si="71"/>
        <v>0.65274725274725276</v>
      </c>
      <c r="BP105" s="2343">
        <f t="shared" si="71"/>
        <v>0.67075664621676889</v>
      </c>
    </row>
    <row r="106" spans="1:68" s="142" customFormat="1" ht="13.5" customHeight="1" x14ac:dyDescent="0.3">
      <c r="A106" s="149" t="s">
        <v>82</v>
      </c>
      <c r="B106" s="185" t="s">
        <v>83</v>
      </c>
      <c r="C106" s="150" t="s">
        <v>252</v>
      </c>
      <c r="D106" s="938">
        <v>92</v>
      </c>
      <c r="E106" s="939">
        <v>102</v>
      </c>
      <c r="F106" s="940">
        <v>114</v>
      </c>
      <c r="G106" s="939">
        <v>128</v>
      </c>
      <c r="H106" s="940">
        <v>137</v>
      </c>
      <c r="I106" s="939">
        <v>145</v>
      </c>
      <c r="J106" s="940">
        <v>154</v>
      </c>
      <c r="K106" s="939">
        <v>150</v>
      </c>
      <c r="L106" s="953">
        <v>168</v>
      </c>
      <c r="M106" s="953">
        <v>156</v>
      </c>
      <c r="N106" s="953">
        <v>133</v>
      </c>
      <c r="O106" s="953">
        <v>133</v>
      </c>
      <c r="P106" s="954">
        <v>147</v>
      </c>
      <c r="Q106" s="954">
        <v>167</v>
      </c>
      <c r="R106" s="1107">
        <v>154</v>
      </c>
      <c r="S106" s="1367">
        <v>167</v>
      </c>
      <c r="T106" s="1908">
        <v>158</v>
      </c>
      <c r="U106" s="1908">
        <v>133</v>
      </c>
      <c r="V106" s="2291">
        <v>98</v>
      </c>
      <c r="W106" s="1367">
        <v>163</v>
      </c>
      <c r="X106" s="2351">
        <v>160</v>
      </c>
      <c r="Y106" s="1273"/>
      <c r="Z106" s="961">
        <v>51</v>
      </c>
      <c r="AA106" s="962">
        <v>60</v>
      </c>
      <c r="AB106" s="962">
        <v>67</v>
      </c>
      <c r="AC106" s="962">
        <v>62</v>
      </c>
      <c r="AD106" s="962">
        <v>67</v>
      </c>
      <c r="AE106" s="962">
        <v>78</v>
      </c>
      <c r="AF106" s="962">
        <v>88</v>
      </c>
      <c r="AG106" s="962">
        <v>81</v>
      </c>
      <c r="AH106" s="962">
        <v>93</v>
      </c>
      <c r="AI106" s="962">
        <v>95</v>
      </c>
      <c r="AJ106" s="962">
        <v>74</v>
      </c>
      <c r="AK106" s="962">
        <v>92</v>
      </c>
      <c r="AL106" s="962">
        <v>98</v>
      </c>
      <c r="AM106" s="962">
        <v>111</v>
      </c>
      <c r="AN106" s="1110">
        <v>93</v>
      </c>
      <c r="AO106" s="1368">
        <v>101</v>
      </c>
      <c r="AP106" s="1369">
        <v>100</v>
      </c>
      <c r="AQ106" s="1368">
        <v>77</v>
      </c>
      <c r="AR106" s="2289">
        <v>69</v>
      </c>
      <c r="AS106" s="1368">
        <v>103</v>
      </c>
      <c r="AT106" s="2353">
        <v>93</v>
      </c>
      <c r="AU106" s="1274"/>
      <c r="AV106" s="1923">
        <f t="shared" si="72"/>
        <v>0.55434782608695654</v>
      </c>
      <c r="AW106" s="1924">
        <f t="shared" si="73"/>
        <v>0.58823529411764708</v>
      </c>
      <c r="AX106" s="1924">
        <f t="shared" si="74"/>
        <v>0.58771929824561409</v>
      </c>
      <c r="AY106" s="1924">
        <f t="shared" si="75"/>
        <v>0.484375</v>
      </c>
      <c r="AZ106" s="1924">
        <f t="shared" si="76"/>
        <v>0.48905109489051096</v>
      </c>
      <c r="BA106" s="1924">
        <f t="shared" si="77"/>
        <v>0.53793103448275859</v>
      </c>
      <c r="BB106" s="1924">
        <f t="shared" si="78"/>
        <v>0.5714285714285714</v>
      </c>
      <c r="BC106" s="1924">
        <f t="shared" si="79"/>
        <v>0.54</v>
      </c>
      <c r="BD106" s="1924">
        <f t="shared" si="80"/>
        <v>0.5535714285714286</v>
      </c>
      <c r="BE106" s="1924">
        <f t="shared" si="81"/>
        <v>0.60897435897435892</v>
      </c>
      <c r="BF106" s="1924">
        <f t="shared" si="82"/>
        <v>0.55639097744360899</v>
      </c>
      <c r="BG106" s="1924">
        <f t="shared" si="83"/>
        <v>0.69172932330827064</v>
      </c>
      <c r="BH106" s="1924">
        <f t="shared" si="84"/>
        <v>0.66666666666666663</v>
      </c>
      <c r="BI106" s="1924">
        <f t="shared" si="85"/>
        <v>0.66467065868263475</v>
      </c>
      <c r="BJ106" s="1925">
        <f t="shared" si="86"/>
        <v>0.60389610389610393</v>
      </c>
      <c r="BK106" s="1926">
        <f>'Non-marital births'!L107</f>
        <v>0.58125000000000004</v>
      </c>
      <c r="BL106" s="1927">
        <v>0.63291139240506333</v>
      </c>
      <c r="BM106" s="1928">
        <f t="shared" si="87"/>
        <v>0.57894736842105265</v>
      </c>
      <c r="BN106" s="2348">
        <f t="shared" si="88"/>
        <v>0.70408163265306123</v>
      </c>
      <c r="BO106" s="2348">
        <f t="shared" si="71"/>
        <v>0.63190184049079756</v>
      </c>
      <c r="BP106" s="2343">
        <f t="shared" si="71"/>
        <v>0.58125000000000004</v>
      </c>
    </row>
    <row r="107" spans="1:68" s="142" customFormat="1" ht="13.5" customHeight="1" x14ac:dyDescent="0.3">
      <c r="A107" s="149" t="s">
        <v>88</v>
      </c>
      <c r="B107" s="185" t="s">
        <v>89</v>
      </c>
      <c r="C107" s="150" t="s">
        <v>255</v>
      </c>
      <c r="D107" s="938">
        <v>302</v>
      </c>
      <c r="E107" s="939">
        <v>384</v>
      </c>
      <c r="F107" s="940">
        <v>395</v>
      </c>
      <c r="G107" s="939">
        <v>352</v>
      </c>
      <c r="H107" s="940">
        <v>356</v>
      </c>
      <c r="I107" s="939">
        <v>380</v>
      </c>
      <c r="J107" s="940">
        <v>397</v>
      </c>
      <c r="K107" s="939">
        <v>369</v>
      </c>
      <c r="L107" s="953">
        <v>406</v>
      </c>
      <c r="M107" s="953">
        <v>413</v>
      </c>
      <c r="N107" s="953">
        <v>371</v>
      </c>
      <c r="O107" s="953">
        <v>393</v>
      </c>
      <c r="P107" s="954">
        <v>385</v>
      </c>
      <c r="Q107" s="954">
        <v>411</v>
      </c>
      <c r="R107" s="1107">
        <v>425</v>
      </c>
      <c r="S107" s="1367">
        <v>417</v>
      </c>
      <c r="T107" s="1908">
        <v>429</v>
      </c>
      <c r="U107" s="1908">
        <v>406</v>
      </c>
      <c r="V107" s="2291">
        <v>413</v>
      </c>
      <c r="W107" s="1367">
        <v>421</v>
      </c>
      <c r="X107" s="2351">
        <v>385</v>
      </c>
      <c r="Y107" s="1273"/>
      <c r="Z107" s="961">
        <v>146</v>
      </c>
      <c r="AA107" s="962">
        <v>178</v>
      </c>
      <c r="AB107" s="962">
        <v>155</v>
      </c>
      <c r="AC107" s="962">
        <v>164</v>
      </c>
      <c r="AD107" s="962">
        <v>173</v>
      </c>
      <c r="AE107" s="962">
        <v>190</v>
      </c>
      <c r="AF107" s="962">
        <v>222</v>
      </c>
      <c r="AG107" s="962">
        <v>206</v>
      </c>
      <c r="AH107" s="962">
        <v>229</v>
      </c>
      <c r="AI107" s="962">
        <v>223</v>
      </c>
      <c r="AJ107" s="962">
        <v>216</v>
      </c>
      <c r="AK107" s="962">
        <v>197</v>
      </c>
      <c r="AL107" s="962">
        <v>209</v>
      </c>
      <c r="AM107" s="962">
        <v>220</v>
      </c>
      <c r="AN107" s="1110">
        <v>203</v>
      </c>
      <c r="AO107" s="1368">
        <v>206</v>
      </c>
      <c r="AP107" s="1369">
        <v>199</v>
      </c>
      <c r="AQ107" s="1368">
        <v>185</v>
      </c>
      <c r="AR107" s="2289">
        <v>179</v>
      </c>
      <c r="AS107" s="1368">
        <v>206</v>
      </c>
      <c r="AT107" s="2353">
        <v>184</v>
      </c>
      <c r="AU107" s="1274"/>
      <c r="AV107" s="1923">
        <f t="shared" si="72"/>
        <v>0.48344370860927155</v>
      </c>
      <c r="AW107" s="1924">
        <f t="shared" si="73"/>
        <v>0.46354166666666669</v>
      </c>
      <c r="AX107" s="1924">
        <f t="shared" si="74"/>
        <v>0.39240506329113922</v>
      </c>
      <c r="AY107" s="1924">
        <f t="shared" si="75"/>
        <v>0.46590909090909088</v>
      </c>
      <c r="AZ107" s="1924">
        <f t="shared" si="76"/>
        <v>0.4859550561797753</v>
      </c>
      <c r="BA107" s="1924">
        <f t="shared" si="77"/>
        <v>0.5</v>
      </c>
      <c r="BB107" s="1924">
        <f t="shared" si="78"/>
        <v>0.55919395465994959</v>
      </c>
      <c r="BC107" s="1924">
        <f t="shared" si="79"/>
        <v>0.5582655826558266</v>
      </c>
      <c r="BD107" s="1924">
        <f t="shared" si="80"/>
        <v>0.56403940886699511</v>
      </c>
      <c r="BE107" s="1924">
        <f t="shared" si="81"/>
        <v>0.53995157384987891</v>
      </c>
      <c r="BF107" s="1924">
        <f t="shared" si="82"/>
        <v>0.58221024258760112</v>
      </c>
      <c r="BG107" s="1924">
        <f t="shared" si="83"/>
        <v>0.50127226463104324</v>
      </c>
      <c r="BH107" s="1924">
        <f t="shared" si="84"/>
        <v>0.54285714285714282</v>
      </c>
      <c r="BI107" s="1924">
        <f t="shared" si="85"/>
        <v>0.53527980535279807</v>
      </c>
      <c r="BJ107" s="1925">
        <f t="shared" si="86"/>
        <v>0.47764705882352942</v>
      </c>
      <c r="BK107" s="1926">
        <f>'Non-marital births'!L108</f>
        <v>0.47792207792207791</v>
      </c>
      <c r="BL107" s="1927">
        <v>0.46386946386946387</v>
      </c>
      <c r="BM107" s="1928">
        <f t="shared" si="87"/>
        <v>0.45566502463054187</v>
      </c>
      <c r="BN107" s="2348">
        <f t="shared" si="88"/>
        <v>0.43341404358353514</v>
      </c>
      <c r="BO107" s="2348">
        <f t="shared" si="71"/>
        <v>0.48931116389548696</v>
      </c>
      <c r="BP107" s="2343">
        <f t="shared" si="71"/>
        <v>0.47792207792207791</v>
      </c>
    </row>
    <row r="108" spans="1:68" s="142" customFormat="1" ht="13.5" customHeight="1" x14ac:dyDescent="0.3">
      <c r="A108" s="149" t="s">
        <v>90</v>
      </c>
      <c r="B108" s="185" t="s">
        <v>91</v>
      </c>
      <c r="C108" s="150" t="s">
        <v>256</v>
      </c>
      <c r="D108" s="938">
        <v>116</v>
      </c>
      <c r="E108" s="939">
        <v>117</v>
      </c>
      <c r="F108" s="940">
        <v>127</v>
      </c>
      <c r="G108" s="939">
        <v>110</v>
      </c>
      <c r="H108" s="940">
        <v>111</v>
      </c>
      <c r="I108" s="939">
        <v>88</v>
      </c>
      <c r="J108" s="940">
        <v>85</v>
      </c>
      <c r="K108" s="939">
        <v>78</v>
      </c>
      <c r="L108" s="953">
        <v>77</v>
      </c>
      <c r="M108" s="953">
        <v>91</v>
      </c>
      <c r="N108" s="953">
        <v>83</v>
      </c>
      <c r="O108" s="953">
        <v>127</v>
      </c>
      <c r="P108" s="954">
        <v>132</v>
      </c>
      <c r="Q108" s="954">
        <v>111</v>
      </c>
      <c r="R108" s="1107">
        <v>122</v>
      </c>
      <c r="S108" s="1367">
        <v>100</v>
      </c>
      <c r="T108" s="1908">
        <v>100</v>
      </c>
      <c r="U108" s="1908">
        <v>75</v>
      </c>
      <c r="V108" s="2291">
        <v>92</v>
      </c>
      <c r="W108" s="1367">
        <v>72</v>
      </c>
      <c r="X108" s="2351">
        <v>93</v>
      </c>
      <c r="Y108" s="1273"/>
      <c r="Z108" s="961">
        <v>50</v>
      </c>
      <c r="AA108" s="962">
        <v>38</v>
      </c>
      <c r="AB108" s="962">
        <v>51</v>
      </c>
      <c r="AC108" s="962">
        <v>54</v>
      </c>
      <c r="AD108" s="962">
        <v>57</v>
      </c>
      <c r="AE108" s="962">
        <v>48</v>
      </c>
      <c r="AF108" s="962">
        <v>45</v>
      </c>
      <c r="AG108" s="962">
        <v>39</v>
      </c>
      <c r="AH108" s="962">
        <v>39</v>
      </c>
      <c r="AI108" s="962">
        <v>55</v>
      </c>
      <c r="AJ108" s="962">
        <v>48</v>
      </c>
      <c r="AK108" s="962">
        <v>81</v>
      </c>
      <c r="AL108" s="962">
        <v>70</v>
      </c>
      <c r="AM108" s="962">
        <v>51</v>
      </c>
      <c r="AN108" s="1110">
        <v>64</v>
      </c>
      <c r="AO108" s="1368">
        <v>49</v>
      </c>
      <c r="AP108" s="1369">
        <v>45</v>
      </c>
      <c r="AQ108" s="1368">
        <v>40</v>
      </c>
      <c r="AR108" s="2289">
        <v>53</v>
      </c>
      <c r="AS108" s="1368">
        <v>31</v>
      </c>
      <c r="AT108" s="2353">
        <v>47</v>
      </c>
      <c r="AU108" s="1274"/>
      <c r="AV108" s="1923">
        <f t="shared" si="72"/>
        <v>0.43103448275862066</v>
      </c>
      <c r="AW108" s="1924">
        <f t="shared" si="73"/>
        <v>0.3247863247863248</v>
      </c>
      <c r="AX108" s="1924">
        <f t="shared" si="74"/>
        <v>0.40157480314960631</v>
      </c>
      <c r="AY108" s="1924">
        <f t="shared" si="75"/>
        <v>0.49090909090909091</v>
      </c>
      <c r="AZ108" s="1924">
        <f t="shared" si="76"/>
        <v>0.51351351351351349</v>
      </c>
      <c r="BA108" s="1924">
        <f t="shared" si="77"/>
        <v>0.54545454545454541</v>
      </c>
      <c r="BB108" s="1924">
        <f t="shared" si="78"/>
        <v>0.52941176470588236</v>
      </c>
      <c r="BC108" s="1924">
        <f t="shared" si="79"/>
        <v>0.5</v>
      </c>
      <c r="BD108" s="1924">
        <f t="shared" si="80"/>
        <v>0.50649350649350644</v>
      </c>
      <c r="BE108" s="1924">
        <f t="shared" si="81"/>
        <v>0.60439560439560436</v>
      </c>
      <c r="BF108" s="1924">
        <f t="shared" si="82"/>
        <v>0.57831325301204817</v>
      </c>
      <c r="BG108" s="1924">
        <f t="shared" si="83"/>
        <v>0.63779527559055116</v>
      </c>
      <c r="BH108" s="1924">
        <f t="shared" si="84"/>
        <v>0.53030303030303028</v>
      </c>
      <c r="BI108" s="1924">
        <f t="shared" si="85"/>
        <v>0.45945945945945948</v>
      </c>
      <c r="BJ108" s="1925">
        <f t="shared" si="86"/>
        <v>0.52459016393442626</v>
      </c>
      <c r="BK108" s="1926">
        <f>'Non-marital births'!L109</f>
        <v>0.5053763440860215</v>
      </c>
      <c r="BL108" s="1927">
        <v>0.45</v>
      </c>
      <c r="BM108" s="1928">
        <f t="shared" si="87"/>
        <v>0.53333333333333333</v>
      </c>
      <c r="BN108" s="2348">
        <f t="shared" si="88"/>
        <v>0.57608695652173914</v>
      </c>
      <c r="BO108" s="2348">
        <f t="shared" si="71"/>
        <v>0.43055555555555558</v>
      </c>
      <c r="BP108" s="2343">
        <f t="shared" si="71"/>
        <v>0.5053763440860215</v>
      </c>
    </row>
    <row r="109" spans="1:68" s="142" customFormat="1" ht="13.5" customHeight="1" x14ac:dyDescent="0.3">
      <c r="A109" s="149" t="s">
        <v>106</v>
      </c>
      <c r="B109" s="185" t="s">
        <v>107</v>
      </c>
      <c r="C109" s="150" t="s">
        <v>252</v>
      </c>
      <c r="D109" s="938">
        <v>2038</v>
      </c>
      <c r="E109" s="939">
        <v>2026</v>
      </c>
      <c r="F109" s="940">
        <v>2023</v>
      </c>
      <c r="G109" s="939">
        <v>1927</v>
      </c>
      <c r="H109" s="940">
        <v>1867</v>
      </c>
      <c r="I109" s="939">
        <v>1810</v>
      </c>
      <c r="J109" s="940">
        <v>1977</v>
      </c>
      <c r="K109" s="939">
        <v>2026</v>
      </c>
      <c r="L109" s="953">
        <v>2122</v>
      </c>
      <c r="M109" s="953">
        <v>2135</v>
      </c>
      <c r="N109" s="953">
        <v>1978</v>
      </c>
      <c r="O109" s="953">
        <v>1936</v>
      </c>
      <c r="P109" s="954">
        <v>1794</v>
      </c>
      <c r="Q109" s="954">
        <v>1729</v>
      </c>
      <c r="R109" s="1107">
        <v>1825</v>
      </c>
      <c r="S109" s="1367">
        <v>1817</v>
      </c>
      <c r="T109" s="1908">
        <v>1765</v>
      </c>
      <c r="U109" s="1908">
        <v>1637</v>
      </c>
      <c r="V109" s="2291">
        <v>1836</v>
      </c>
      <c r="W109" s="1367">
        <v>1715</v>
      </c>
      <c r="X109" s="2351">
        <v>1642</v>
      </c>
      <c r="Y109" s="1273"/>
      <c r="Z109" s="961">
        <v>818</v>
      </c>
      <c r="AA109" s="962">
        <v>857</v>
      </c>
      <c r="AB109" s="962">
        <v>845</v>
      </c>
      <c r="AC109" s="962">
        <v>834</v>
      </c>
      <c r="AD109" s="962">
        <v>814</v>
      </c>
      <c r="AE109" s="962">
        <v>777</v>
      </c>
      <c r="AF109" s="962">
        <v>877</v>
      </c>
      <c r="AG109" s="962">
        <v>865</v>
      </c>
      <c r="AH109" s="962">
        <v>883</v>
      </c>
      <c r="AI109" s="962">
        <v>927</v>
      </c>
      <c r="AJ109" s="962">
        <v>881</v>
      </c>
      <c r="AK109" s="962">
        <v>866</v>
      </c>
      <c r="AL109" s="962">
        <v>821</v>
      </c>
      <c r="AM109" s="962">
        <v>808</v>
      </c>
      <c r="AN109" s="1110">
        <v>861</v>
      </c>
      <c r="AO109" s="1368">
        <v>856</v>
      </c>
      <c r="AP109" s="1369">
        <v>817</v>
      </c>
      <c r="AQ109" s="1368">
        <v>787</v>
      </c>
      <c r="AR109" s="2289">
        <v>859</v>
      </c>
      <c r="AS109" s="1368">
        <v>808</v>
      </c>
      <c r="AT109" s="2353">
        <v>781</v>
      </c>
      <c r="AU109" s="1274"/>
      <c r="AV109" s="1923">
        <f t="shared" si="72"/>
        <v>0.40137389597644751</v>
      </c>
      <c r="AW109" s="1924">
        <f t="shared" si="73"/>
        <v>0.42300098716683121</v>
      </c>
      <c r="AX109" s="1924">
        <f t="shared" si="74"/>
        <v>0.41769649036085021</v>
      </c>
      <c r="AY109" s="1924">
        <f t="shared" si="75"/>
        <v>0.43279709392838611</v>
      </c>
      <c r="AZ109" s="1924">
        <f t="shared" si="76"/>
        <v>0.43599357257632565</v>
      </c>
      <c r="BA109" s="1924">
        <f t="shared" si="77"/>
        <v>0.42928176795580109</v>
      </c>
      <c r="BB109" s="1924">
        <f t="shared" si="78"/>
        <v>0.44360141628730398</v>
      </c>
      <c r="BC109" s="1924">
        <f t="shared" si="79"/>
        <v>0.4269496544916091</v>
      </c>
      <c r="BD109" s="1924">
        <f t="shared" si="80"/>
        <v>0.4161168708765316</v>
      </c>
      <c r="BE109" s="1924">
        <f t="shared" si="81"/>
        <v>0.43419203747072599</v>
      </c>
      <c r="BF109" s="1924">
        <f t="shared" si="82"/>
        <v>0.44539939332659251</v>
      </c>
      <c r="BG109" s="1924">
        <f t="shared" si="83"/>
        <v>0.44731404958677684</v>
      </c>
      <c r="BH109" s="1924">
        <f t="shared" si="84"/>
        <v>0.4576365663322185</v>
      </c>
      <c r="BI109" s="1924">
        <f t="shared" si="85"/>
        <v>0.46732215153267787</v>
      </c>
      <c r="BJ109" s="1925">
        <f t="shared" si="86"/>
        <v>0.47178082191780824</v>
      </c>
      <c r="BK109" s="1926">
        <f>'Non-marital births'!L110</f>
        <v>0.47563946406820951</v>
      </c>
      <c r="BL109" s="1927">
        <v>0.46288951841359771</v>
      </c>
      <c r="BM109" s="1928">
        <f t="shared" si="87"/>
        <v>0.48075748320097739</v>
      </c>
      <c r="BN109" s="2348">
        <f t="shared" si="88"/>
        <v>0.46786492374727667</v>
      </c>
      <c r="BO109" s="2348">
        <f t="shared" si="71"/>
        <v>0.47113702623906706</v>
      </c>
      <c r="BP109" s="2343">
        <f t="shared" si="71"/>
        <v>0.47563946406820951</v>
      </c>
    </row>
    <row r="110" spans="1:68" s="142" customFormat="1" ht="13.5" customHeight="1" x14ac:dyDescent="0.3">
      <c r="A110" s="149" t="s">
        <v>116</v>
      </c>
      <c r="B110" s="185" t="s">
        <v>117</v>
      </c>
      <c r="C110" s="150" t="s">
        <v>254</v>
      </c>
      <c r="D110" s="938">
        <v>365</v>
      </c>
      <c r="E110" s="939">
        <v>332</v>
      </c>
      <c r="F110" s="940">
        <v>371</v>
      </c>
      <c r="G110" s="939">
        <v>355</v>
      </c>
      <c r="H110" s="940">
        <v>334</v>
      </c>
      <c r="I110" s="939">
        <v>339</v>
      </c>
      <c r="J110" s="940">
        <v>336</v>
      </c>
      <c r="K110" s="939">
        <v>334</v>
      </c>
      <c r="L110" s="953">
        <v>404</v>
      </c>
      <c r="M110" s="953">
        <v>396</v>
      </c>
      <c r="N110" s="953">
        <v>382</v>
      </c>
      <c r="O110" s="953">
        <v>413</v>
      </c>
      <c r="P110" s="954">
        <v>385</v>
      </c>
      <c r="Q110" s="954">
        <v>339</v>
      </c>
      <c r="R110" s="1107">
        <v>367</v>
      </c>
      <c r="S110" s="1367">
        <v>383</v>
      </c>
      <c r="T110" s="1908">
        <v>368</v>
      </c>
      <c r="U110" s="1908">
        <v>351</v>
      </c>
      <c r="V110" s="2291">
        <v>331</v>
      </c>
      <c r="W110" s="1367">
        <v>355</v>
      </c>
      <c r="X110" s="2351">
        <v>338</v>
      </c>
      <c r="Y110" s="1273"/>
      <c r="Z110" s="961">
        <v>193</v>
      </c>
      <c r="AA110" s="962">
        <v>190</v>
      </c>
      <c r="AB110" s="962">
        <v>209</v>
      </c>
      <c r="AC110" s="962">
        <v>177</v>
      </c>
      <c r="AD110" s="962">
        <v>189</v>
      </c>
      <c r="AE110" s="962">
        <v>216</v>
      </c>
      <c r="AF110" s="962">
        <v>198</v>
      </c>
      <c r="AG110" s="962">
        <v>203</v>
      </c>
      <c r="AH110" s="962">
        <v>247</v>
      </c>
      <c r="AI110" s="962">
        <v>248</v>
      </c>
      <c r="AJ110" s="962">
        <v>229</v>
      </c>
      <c r="AK110" s="962">
        <v>285</v>
      </c>
      <c r="AL110" s="962">
        <v>252</v>
      </c>
      <c r="AM110" s="962">
        <v>232</v>
      </c>
      <c r="AN110" s="1110">
        <v>232</v>
      </c>
      <c r="AO110" s="1368">
        <v>252</v>
      </c>
      <c r="AP110" s="1369">
        <v>238</v>
      </c>
      <c r="AQ110" s="1368">
        <v>225</v>
      </c>
      <c r="AR110" s="2289">
        <v>228</v>
      </c>
      <c r="AS110" s="1368">
        <v>235</v>
      </c>
      <c r="AT110" s="2353">
        <v>226</v>
      </c>
      <c r="AU110" s="1274"/>
      <c r="AV110" s="1923">
        <f t="shared" si="72"/>
        <v>0.52876712328767128</v>
      </c>
      <c r="AW110" s="1924">
        <f t="shared" si="73"/>
        <v>0.57228915662650603</v>
      </c>
      <c r="AX110" s="1924">
        <f t="shared" si="74"/>
        <v>0.56334231805929924</v>
      </c>
      <c r="AY110" s="1924">
        <f t="shared" si="75"/>
        <v>0.49859154929577465</v>
      </c>
      <c r="AZ110" s="1924">
        <f t="shared" si="76"/>
        <v>0.56586826347305386</v>
      </c>
      <c r="BA110" s="1924">
        <f t="shared" si="77"/>
        <v>0.63716814159292035</v>
      </c>
      <c r="BB110" s="1924">
        <f t="shared" si="78"/>
        <v>0.5892857142857143</v>
      </c>
      <c r="BC110" s="1924">
        <f t="shared" si="79"/>
        <v>0.60778443113772451</v>
      </c>
      <c r="BD110" s="1924">
        <f t="shared" si="80"/>
        <v>0.61138613861386137</v>
      </c>
      <c r="BE110" s="1924">
        <f t="shared" si="81"/>
        <v>0.6262626262626263</v>
      </c>
      <c r="BF110" s="1924">
        <f t="shared" si="82"/>
        <v>0.59947643979057597</v>
      </c>
      <c r="BG110" s="1924">
        <f t="shared" si="83"/>
        <v>0.69007263922518158</v>
      </c>
      <c r="BH110" s="1924">
        <f t="shared" si="84"/>
        <v>0.65454545454545454</v>
      </c>
      <c r="BI110" s="1924">
        <f t="shared" si="85"/>
        <v>0.68436578171091444</v>
      </c>
      <c r="BJ110" s="1925">
        <f t="shared" si="86"/>
        <v>0.63215258855585832</v>
      </c>
      <c r="BK110" s="1926">
        <f>'Non-marital births'!L111</f>
        <v>0.66863905325443784</v>
      </c>
      <c r="BL110" s="1927">
        <v>0.64673913043478259</v>
      </c>
      <c r="BM110" s="1928">
        <f t="shared" si="87"/>
        <v>0.64102564102564108</v>
      </c>
      <c r="BN110" s="2348">
        <f t="shared" si="88"/>
        <v>0.68882175226586106</v>
      </c>
      <c r="BO110" s="2348">
        <f t="shared" si="71"/>
        <v>0.6619718309859155</v>
      </c>
      <c r="BP110" s="2343">
        <f t="shared" si="71"/>
        <v>0.66863905325443784</v>
      </c>
    </row>
    <row r="111" spans="1:68" s="142" customFormat="1" ht="13.5" customHeight="1" x14ac:dyDescent="0.3">
      <c r="A111" s="149" t="s">
        <v>138</v>
      </c>
      <c r="B111" s="185" t="s">
        <v>139</v>
      </c>
      <c r="C111" s="150" t="s">
        <v>253</v>
      </c>
      <c r="D111" s="938">
        <v>738</v>
      </c>
      <c r="E111" s="939">
        <v>792</v>
      </c>
      <c r="F111" s="940">
        <v>845</v>
      </c>
      <c r="G111" s="939">
        <v>834</v>
      </c>
      <c r="H111" s="940">
        <v>887</v>
      </c>
      <c r="I111" s="940">
        <v>861</v>
      </c>
      <c r="J111" s="940">
        <v>831</v>
      </c>
      <c r="K111" s="939">
        <v>945</v>
      </c>
      <c r="L111" s="953">
        <v>964</v>
      </c>
      <c r="M111" s="953">
        <v>1115</v>
      </c>
      <c r="N111" s="953">
        <v>1038</v>
      </c>
      <c r="O111" s="953">
        <v>1023</v>
      </c>
      <c r="P111" s="954">
        <v>1124</v>
      </c>
      <c r="Q111" s="954">
        <v>1074</v>
      </c>
      <c r="R111" s="1107">
        <v>1062</v>
      </c>
      <c r="S111" s="1367">
        <v>1147</v>
      </c>
      <c r="T111" s="1908">
        <v>1164</v>
      </c>
      <c r="U111" s="1908">
        <v>1163</v>
      </c>
      <c r="V111" s="2291">
        <v>969</v>
      </c>
      <c r="W111" s="1367">
        <v>1170</v>
      </c>
      <c r="X111" s="2351">
        <v>1130</v>
      </c>
      <c r="Y111" s="1273"/>
      <c r="Z111" s="961">
        <v>329</v>
      </c>
      <c r="AA111" s="962">
        <v>331</v>
      </c>
      <c r="AB111" s="962">
        <v>375</v>
      </c>
      <c r="AC111" s="962">
        <v>379</v>
      </c>
      <c r="AD111" s="962">
        <v>413</v>
      </c>
      <c r="AE111" s="962">
        <v>384</v>
      </c>
      <c r="AF111" s="962">
        <v>362</v>
      </c>
      <c r="AG111" s="962">
        <v>445</v>
      </c>
      <c r="AH111" s="962">
        <v>441</v>
      </c>
      <c r="AI111" s="962">
        <v>519</v>
      </c>
      <c r="AJ111" s="962">
        <v>473</v>
      </c>
      <c r="AK111" s="962">
        <v>456</v>
      </c>
      <c r="AL111" s="962">
        <v>495</v>
      </c>
      <c r="AM111" s="962">
        <v>458</v>
      </c>
      <c r="AN111" s="1110">
        <v>444</v>
      </c>
      <c r="AO111" s="1368">
        <v>467</v>
      </c>
      <c r="AP111" s="1369">
        <v>475</v>
      </c>
      <c r="AQ111" s="1368">
        <v>487</v>
      </c>
      <c r="AR111" s="2289">
        <v>398</v>
      </c>
      <c r="AS111" s="1368">
        <v>485</v>
      </c>
      <c r="AT111" s="2353">
        <v>426</v>
      </c>
      <c r="AU111" s="1274"/>
      <c r="AV111" s="1923">
        <f t="shared" si="72"/>
        <v>0.44579945799457993</v>
      </c>
      <c r="AW111" s="1924">
        <f t="shared" si="73"/>
        <v>0.41792929292929293</v>
      </c>
      <c r="AX111" s="1924">
        <f t="shared" si="74"/>
        <v>0.4437869822485207</v>
      </c>
      <c r="AY111" s="1924">
        <f t="shared" si="75"/>
        <v>0.45443645083932854</v>
      </c>
      <c r="AZ111" s="1924">
        <f t="shared" si="76"/>
        <v>0.46561443066516345</v>
      </c>
      <c r="BA111" s="1924">
        <f t="shared" si="77"/>
        <v>0.44599303135888502</v>
      </c>
      <c r="BB111" s="1924">
        <f t="shared" si="78"/>
        <v>0.43561973525872444</v>
      </c>
      <c r="BC111" s="1924">
        <f t="shared" si="79"/>
        <v>0.47089947089947087</v>
      </c>
      <c r="BD111" s="1924">
        <f t="shared" si="80"/>
        <v>0.45746887966804978</v>
      </c>
      <c r="BE111" s="1924">
        <f t="shared" si="81"/>
        <v>0.4654708520179372</v>
      </c>
      <c r="BF111" s="1924">
        <f t="shared" si="82"/>
        <v>0.45568400770712908</v>
      </c>
      <c r="BG111" s="1924">
        <f t="shared" si="83"/>
        <v>0.44574780058651026</v>
      </c>
      <c r="BH111" s="1924">
        <f t="shared" si="84"/>
        <v>0.44039145907473309</v>
      </c>
      <c r="BI111" s="1924">
        <f t="shared" si="85"/>
        <v>0.42644320297951582</v>
      </c>
      <c r="BJ111" s="1925">
        <f t="shared" si="86"/>
        <v>0.41807909604519772</v>
      </c>
      <c r="BK111" s="1926">
        <f>'Non-marital births'!L112</f>
        <v>0.37699115044247788</v>
      </c>
      <c r="BL111" s="1927">
        <v>0.40807560137457044</v>
      </c>
      <c r="BM111" s="1928">
        <f t="shared" si="87"/>
        <v>0.41874462596732587</v>
      </c>
      <c r="BN111" s="2348">
        <f t="shared" si="88"/>
        <v>0.41073271413828688</v>
      </c>
      <c r="BO111" s="2348">
        <f t="shared" si="71"/>
        <v>0.41452991452991456</v>
      </c>
      <c r="BP111" s="2343">
        <f t="shared" si="71"/>
        <v>0.37699115044247788</v>
      </c>
    </row>
    <row r="112" spans="1:68" s="142" customFormat="1" ht="13.5" customHeight="1" x14ac:dyDescent="0.3">
      <c r="A112" s="149" t="s">
        <v>142</v>
      </c>
      <c r="B112" s="185" t="s">
        <v>261</v>
      </c>
      <c r="C112" s="150" t="s">
        <v>255</v>
      </c>
      <c r="D112" s="938">
        <v>647</v>
      </c>
      <c r="E112" s="939">
        <v>684</v>
      </c>
      <c r="F112" s="940">
        <v>772</v>
      </c>
      <c r="G112" s="939">
        <v>678</v>
      </c>
      <c r="H112" s="940">
        <v>683</v>
      </c>
      <c r="I112" s="939">
        <v>686</v>
      </c>
      <c r="J112" s="940">
        <v>638</v>
      </c>
      <c r="K112" s="939">
        <v>686</v>
      </c>
      <c r="L112" s="953">
        <v>767</v>
      </c>
      <c r="M112" s="953">
        <v>657</v>
      </c>
      <c r="N112" s="953">
        <v>548</v>
      </c>
      <c r="O112" s="953">
        <v>580</v>
      </c>
      <c r="P112" s="954">
        <v>670</v>
      </c>
      <c r="Q112" s="954">
        <v>721</v>
      </c>
      <c r="R112" s="1107">
        <v>755</v>
      </c>
      <c r="S112" s="1367">
        <v>759</v>
      </c>
      <c r="T112" s="1908">
        <v>759</v>
      </c>
      <c r="U112" s="1908">
        <v>772</v>
      </c>
      <c r="V112" s="2291">
        <v>738</v>
      </c>
      <c r="W112" s="1367">
        <v>765</v>
      </c>
      <c r="X112" s="2351">
        <v>727</v>
      </c>
      <c r="Y112" s="1273"/>
      <c r="Z112" s="961">
        <v>164</v>
      </c>
      <c r="AA112" s="962">
        <v>195</v>
      </c>
      <c r="AB112" s="962">
        <v>221</v>
      </c>
      <c r="AC112" s="962">
        <v>202</v>
      </c>
      <c r="AD112" s="962">
        <v>205</v>
      </c>
      <c r="AE112" s="962">
        <v>235</v>
      </c>
      <c r="AF112" s="962">
        <v>232</v>
      </c>
      <c r="AG112" s="962">
        <v>248</v>
      </c>
      <c r="AH112" s="962">
        <v>365</v>
      </c>
      <c r="AI112" s="962">
        <v>293</v>
      </c>
      <c r="AJ112" s="962">
        <v>231</v>
      </c>
      <c r="AK112" s="962">
        <v>237</v>
      </c>
      <c r="AL112" s="962">
        <v>292</v>
      </c>
      <c r="AM112" s="962">
        <v>292</v>
      </c>
      <c r="AN112" s="1110">
        <v>313</v>
      </c>
      <c r="AO112" s="1368">
        <v>298</v>
      </c>
      <c r="AP112" s="1369">
        <v>315</v>
      </c>
      <c r="AQ112" s="1368">
        <v>314</v>
      </c>
      <c r="AR112" s="2289">
        <v>327</v>
      </c>
      <c r="AS112" s="1368">
        <v>320</v>
      </c>
      <c r="AT112" s="2353">
        <v>298</v>
      </c>
      <c r="AU112" s="1274"/>
      <c r="AV112" s="1923">
        <f t="shared" si="72"/>
        <v>0.25347758887171562</v>
      </c>
      <c r="AW112" s="1924">
        <f t="shared" si="73"/>
        <v>0.28508771929824561</v>
      </c>
      <c r="AX112" s="1924">
        <f t="shared" si="74"/>
        <v>0.28626943005181349</v>
      </c>
      <c r="AY112" s="1924">
        <f t="shared" si="75"/>
        <v>0.29793510324483774</v>
      </c>
      <c r="AZ112" s="1924">
        <f t="shared" si="76"/>
        <v>0.3001464128843338</v>
      </c>
      <c r="BA112" s="1924">
        <f t="shared" si="77"/>
        <v>0.3425655976676385</v>
      </c>
      <c r="BB112" s="1924">
        <f t="shared" si="78"/>
        <v>0.36363636363636365</v>
      </c>
      <c r="BC112" s="1924">
        <f t="shared" si="79"/>
        <v>0.36151603498542273</v>
      </c>
      <c r="BD112" s="1924">
        <f t="shared" si="80"/>
        <v>0.47588005215123858</v>
      </c>
      <c r="BE112" s="1924">
        <f t="shared" si="81"/>
        <v>0.44596651445966512</v>
      </c>
      <c r="BF112" s="1924">
        <f t="shared" si="82"/>
        <v>0.42153284671532848</v>
      </c>
      <c r="BG112" s="1924">
        <f t="shared" si="83"/>
        <v>0.4086206896551724</v>
      </c>
      <c r="BH112" s="1924">
        <f t="shared" si="84"/>
        <v>0.43582089552238806</v>
      </c>
      <c r="BI112" s="1924">
        <f t="shared" si="85"/>
        <v>0.40499306518723993</v>
      </c>
      <c r="BJ112" s="1925">
        <f t="shared" si="86"/>
        <v>0.41456953642384103</v>
      </c>
      <c r="BK112" s="1926">
        <f>'Non-marital births'!L113</f>
        <v>0.40990371389270974</v>
      </c>
      <c r="BL112" s="1927">
        <v>0.41501976284584979</v>
      </c>
      <c r="BM112" s="1928">
        <f t="shared" si="87"/>
        <v>0.40673575129533679</v>
      </c>
      <c r="BN112" s="2348">
        <f t="shared" si="88"/>
        <v>0.44308943089430897</v>
      </c>
      <c r="BO112" s="2348">
        <f t="shared" si="71"/>
        <v>0.41830065359477125</v>
      </c>
      <c r="BP112" s="2343">
        <f t="shared" si="71"/>
        <v>0.40990371389270974</v>
      </c>
    </row>
    <row r="113" spans="1:68" s="142" customFormat="1" ht="13.5" customHeight="1" x14ac:dyDescent="0.3">
      <c r="A113" s="149" t="s">
        <v>144</v>
      </c>
      <c r="B113" s="185" t="s">
        <v>145</v>
      </c>
      <c r="C113" s="150" t="s">
        <v>255</v>
      </c>
      <c r="D113" s="938">
        <v>183</v>
      </c>
      <c r="E113" s="939">
        <v>207</v>
      </c>
      <c r="F113" s="940">
        <v>208</v>
      </c>
      <c r="G113" s="939">
        <v>208</v>
      </c>
      <c r="H113" s="940">
        <v>241</v>
      </c>
      <c r="I113" s="939">
        <v>215</v>
      </c>
      <c r="J113" s="940">
        <v>294</v>
      </c>
      <c r="K113" s="939">
        <v>277</v>
      </c>
      <c r="L113" s="953">
        <v>322</v>
      </c>
      <c r="M113" s="953">
        <v>235</v>
      </c>
      <c r="N113" s="953">
        <v>226</v>
      </c>
      <c r="O113" s="953">
        <v>228</v>
      </c>
      <c r="P113" s="954">
        <v>21</v>
      </c>
      <c r="Q113" s="954">
        <v>66</v>
      </c>
      <c r="R113" s="1107">
        <v>20</v>
      </c>
      <c r="S113" s="1367">
        <v>19</v>
      </c>
      <c r="T113" s="1908">
        <v>22</v>
      </c>
      <c r="U113" s="1908">
        <v>266</v>
      </c>
      <c r="V113" s="2291">
        <v>274</v>
      </c>
      <c r="W113" s="1367">
        <v>14</v>
      </c>
      <c r="X113" s="2351">
        <v>16</v>
      </c>
      <c r="Y113" s="1273"/>
      <c r="Z113" s="961">
        <v>52</v>
      </c>
      <c r="AA113" s="962">
        <v>48</v>
      </c>
      <c r="AB113" s="962">
        <v>49</v>
      </c>
      <c r="AC113" s="962">
        <v>48</v>
      </c>
      <c r="AD113" s="962">
        <v>56</v>
      </c>
      <c r="AE113" s="962">
        <v>58</v>
      </c>
      <c r="AF113" s="962">
        <v>106</v>
      </c>
      <c r="AG113" s="962">
        <v>114</v>
      </c>
      <c r="AH113" s="962">
        <v>134</v>
      </c>
      <c r="AI113" s="962">
        <v>93</v>
      </c>
      <c r="AJ113" s="962">
        <v>86</v>
      </c>
      <c r="AK113" s="962">
        <v>83</v>
      </c>
      <c r="AL113" s="962">
        <v>7</v>
      </c>
      <c r="AM113" s="962">
        <v>23</v>
      </c>
      <c r="AN113" s="1110">
        <v>6</v>
      </c>
      <c r="AO113" s="1368">
        <v>4</v>
      </c>
      <c r="AP113" s="1369">
        <v>7</v>
      </c>
      <c r="AQ113" s="1368">
        <v>96</v>
      </c>
      <c r="AR113" s="2289">
        <v>98</v>
      </c>
      <c r="AS113" s="1368">
        <v>7</v>
      </c>
      <c r="AT113" s="2353">
        <v>4</v>
      </c>
      <c r="AU113" s="1274"/>
      <c r="AV113" s="1923">
        <f t="shared" si="72"/>
        <v>0.28415300546448086</v>
      </c>
      <c r="AW113" s="1924">
        <f t="shared" si="73"/>
        <v>0.2318840579710145</v>
      </c>
      <c r="AX113" s="1924">
        <f t="shared" si="74"/>
        <v>0.23557692307692307</v>
      </c>
      <c r="AY113" s="1924">
        <f t="shared" si="75"/>
        <v>0.23076923076923078</v>
      </c>
      <c r="AZ113" s="1924">
        <f t="shared" si="76"/>
        <v>0.23236514522821577</v>
      </c>
      <c r="BA113" s="1924">
        <f t="shared" si="77"/>
        <v>0.26976744186046514</v>
      </c>
      <c r="BB113" s="1924">
        <f t="shared" si="78"/>
        <v>0.36054421768707484</v>
      </c>
      <c r="BC113" s="1924">
        <f t="shared" si="79"/>
        <v>0.41155234657039713</v>
      </c>
      <c r="BD113" s="1924">
        <f t="shared" si="80"/>
        <v>0.41614906832298137</v>
      </c>
      <c r="BE113" s="1924">
        <f t="shared" si="81"/>
        <v>0.39574468085106385</v>
      </c>
      <c r="BF113" s="1924">
        <f t="shared" si="82"/>
        <v>0.38053097345132741</v>
      </c>
      <c r="BG113" s="1924">
        <f t="shared" si="83"/>
        <v>0.36403508771929827</v>
      </c>
      <c r="BH113" s="1924">
        <f t="shared" si="84"/>
        <v>0.33333333333333331</v>
      </c>
      <c r="BI113" s="1924">
        <f t="shared" si="85"/>
        <v>0.34848484848484851</v>
      </c>
      <c r="BJ113" s="1925">
        <f t="shared" si="86"/>
        <v>0.3</v>
      </c>
      <c r="BK113" s="1926">
        <f>'Non-marital births'!L114</f>
        <v>0.25</v>
      </c>
      <c r="BL113" s="1927">
        <v>0.31818181818181818</v>
      </c>
      <c r="BM113" s="1928">
        <f t="shared" si="87"/>
        <v>0.36090225563909772</v>
      </c>
      <c r="BN113" s="2348">
        <f t="shared" si="88"/>
        <v>0.35766423357664234</v>
      </c>
      <c r="BO113" s="2348">
        <f t="shared" si="71"/>
        <v>0.5</v>
      </c>
      <c r="BP113" s="2343">
        <f t="shared" si="71"/>
        <v>0.25</v>
      </c>
    </row>
    <row r="114" spans="1:68" s="142" customFormat="1" ht="13.5" customHeight="1" x14ac:dyDescent="0.3">
      <c r="A114" s="149" t="s">
        <v>158</v>
      </c>
      <c r="B114" s="185" t="s">
        <v>159</v>
      </c>
      <c r="C114" s="150" t="s">
        <v>252</v>
      </c>
      <c r="D114" s="938">
        <v>3124</v>
      </c>
      <c r="E114" s="939">
        <v>3183</v>
      </c>
      <c r="F114" s="940">
        <v>3126</v>
      </c>
      <c r="G114" s="939">
        <v>3194</v>
      </c>
      <c r="H114" s="940">
        <v>3170</v>
      </c>
      <c r="I114" s="939">
        <v>3212</v>
      </c>
      <c r="J114" s="940">
        <v>3206</v>
      </c>
      <c r="K114" s="939">
        <v>3223</v>
      </c>
      <c r="L114" s="953">
        <v>3233</v>
      </c>
      <c r="M114" s="953">
        <v>3231</v>
      </c>
      <c r="N114" s="953">
        <v>3271</v>
      </c>
      <c r="O114" s="953">
        <v>3206</v>
      </c>
      <c r="P114" s="954">
        <v>3012</v>
      </c>
      <c r="Q114" s="954">
        <v>3049</v>
      </c>
      <c r="R114" s="1107">
        <v>2905</v>
      </c>
      <c r="S114" s="1367">
        <v>2856</v>
      </c>
      <c r="T114" s="1908">
        <v>2809</v>
      </c>
      <c r="U114" s="1908">
        <v>2799</v>
      </c>
      <c r="V114" s="2291">
        <v>2716</v>
      </c>
      <c r="W114" s="1367">
        <v>2705</v>
      </c>
      <c r="X114" s="2351">
        <v>2674</v>
      </c>
      <c r="Y114" s="1273"/>
      <c r="Z114" s="961">
        <v>1309</v>
      </c>
      <c r="AA114" s="962">
        <v>1329</v>
      </c>
      <c r="AB114" s="962">
        <v>1376</v>
      </c>
      <c r="AC114" s="962">
        <v>1407</v>
      </c>
      <c r="AD114" s="962">
        <v>1360</v>
      </c>
      <c r="AE114" s="962">
        <v>1436</v>
      </c>
      <c r="AF114" s="962">
        <v>1406</v>
      </c>
      <c r="AG114" s="962">
        <v>1441</v>
      </c>
      <c r="AH114" s="962">
        <v>1517</v>
      </c>
      <c r="AI114" s="962">
        <v>1582</v>
      </c>
      <c r="AJ114" s="962">
        <v>1618</v>
      </c>
      <c r="AK114" s="962">
        <v>1524</v>
      </c>
      <c r="AL114" s="962">
        <v>1461</v>
      </c>
      <c r="AM114" s="962">
        <v>1516</v>
      </c>
      <c r="AN114" s="1110">
        <v>1463</v>
      </c>
      <c r="AO114" s="1368">
        <v>1406</v>
      </c>
      <c r="AP114" s="1369">
        <v>1339</v>
      </c>
      <c r="AQ114" s="1368">
        <v>1389</v>
      </c>
      <c r="AR114" s="2289">
        <v>1287</v>
      </c>
      <c r="AS114" s="1368">
        <v>1318</v>
      </c>
      <c r="AT114" s="2353">
        <v>1330</v>
      </c>
      <c r="AU114" s="1274"/>
      <c r="AV114" s="1923">
        <f t="shared" si="72"/>
        <v>0.41901408450704225</v>
      </c>
      <c r="AW114" s="1924">
        <f t="shared" si="73"/>
        <v>0.41753063147973613</v>
      </c>
      <c r="AX114" s="1924">
        <f t="shared" si="74"/>
        <v>0.44017914267434421</v>
      </c>
      <c r="AY114" s="1924">
        <f t="shared" si="75"/>
        <v>0.44051346274264247</v>
      </c>
      <c r="AZ114" s="1924">
        <f t="shared" si="76"/>
        <v>0.42902208201892744</v>
      </c>
      <c r="BA114" s="1924">
        <f t="shared" si="77"/>
        <v>0.44707347447073476</v>
      </c>
      <c r="BB114" s="1924">
        <f t="shared" si="78"/>
        <v>0.43855271366188397</v>
      </c>
      <c r="BC114" s="1924">
        <f t="shared" si="79"/>
        <v>0.44709897610921501</v>
      </c>
      <c r="BD114" s="1924">
        <f t="shared" si="80"/>
        <v>0.46922363130219608</v>
      </c>
      <c r="BE114" s="1924">
        <f t="shared" si="81"/>
        <v>0.48963169297431136</v>
      </c>
      <c r="BF114" s="1924">
        <f t="shared" si="82"/>
        <v>0.4946499541424641</v>
      </c>
      <c r="BG114" s="1924">
        <f t="shared" si="83"/>
        <v>0.47535870243293826</v>
      </c>
      <c r="BH114" s="1924">
        <f t="shared" si="84"/>
        <v>0.48505976095617531</v>
      </c>
      <c r="BI114" s="1924">
        <f t="shared" si="85"/>
        <v>0.49721220072154804</v>
      </c>
      <c r="BJ114" s="1925">
        <f t="shared" si="86"/>
        <v>0.5036144578313253</v>
      </c>
      <c r="BK114" s="1926">
        <f>'Non-marital births'!L115</f>
        <v>0.49738219895287961</v>
      </c>
      <c r="BL114" s="1927">
        <v>0.47668209327162692</v>
      </c>
      <c r="BM114" s="1928">
        <f t="shared" si="87"/>
        <v>0.4962486602357985</v>
      </c>
      <c r="BN114" s="2348">
        <f t="shared" si="88"/>
        <v>0.47385861561119291</v>
      </c>
      <c r="BO114" s="2348">
        <f t="shared" si="71"/>
        <v>0.48724584103512014</v>
      </c>
      <c r="BP114" s="2343">
        <f t="shared" si="71"/>
        <v>0.49738219895287961</v>
      </c>
    </row>
    <row r="115" spans="1:68" s="142" customFormat="1" ht="13.5" customHeight="1" x14ac:dyDescent="0.3">
      <c r="A115" s="149" t="s">
        <v>160</v>
      </c>
      <c r="B115" s="185" t="s">
        <v>161</v>
      </c>
      <c r="C115" s="150" t="s">
        <v>252</v>
      </c>
      <c r="D115" s="938">
        <v>4018</v>
      </c>
      <c r="E115" s="939">
        <v>3843</v>
      </c>
      <c r="F115" s="940">
        <v>3984</v>
      </c>
      <c r="G115" s="939">
        <v>4015</v>
      </c>
      <c r="H115" s="940">
        <v>4119</v>
      </c>
      <c r="I115" s="939">
        <v>3942</v>
      </c>
      <c r="J115" s="940">
        <v>4094</v>
      </c>
      <c r="K115" s="939">
        <v>4097</v>
      </c>
      <c r="L115" s="953">
        <v>4036</v>
      </c>
      <c r="M115" s="953">
        <v>4159</v>
      </c>
      <c r="N115" s="953">
        <v>4088</v>
      </c>
      <c r="O115" s="953">
        <v>3842</v>
      </c>
      <c r="P115" s="954">
        <v>3791</v>
      </c>
      <c r="Q115" s="954">
        <v>3718</v>
      </c>
      <c r="R115" s="1107">
        <v>3773</v>
      </c>
      <c r="S115" s="1367">
        <v>3705</v>
      </c>
      <c r="T115" s="1908">
        <v>3620</v>
      </c>
      <c r="U115" s="1908">
        <v>3726</v>
      </c>
      <c r="V115" s="2291">
        <v>3526</v>
      </c>
      <c r="W115" s="1367">
        <v>3383</v>
      </c>
      <c r="X115" s="2351">
        <v>3444</v>
      </c>
      <c r="Y115" s="1273"/>
      <c r="Z115" s="961">
        <v>2011</v>
      </c>
      <c r="AA115" s="962">
        <v>1894</v>
      </c>
      <c r="AB115" s="962">
        <v>1876</v>
      </c>
      <c r="AC115" s="962">
        <v>2026</v>
      </c>
      <c r="AD115" s="962">
        <v>2003</v>
      </c>
      <c r="AE115" s="962">
        <v>1887</v>
      </c>
      <c r="AF115" s="962">
        <v>1877</v>
      </c>
      <c r="AG115" s="962">
        <v>1937</v>
      </c>
      <c r="AH115" s="962">
        <v>1873</v>
      </c>
      <c r="AI115" s="962">
        <v>2019</v>
      </c>
      <c r="AJ115" s="962">
        <v>2103</v>
      </c>
      <c r="AK115" s="962">
        <v>1892</v>
      </c>
      <c r="AL115" s="962">
        <v>1946</v>
      </c>
      <c r="AM115" s="962">
        <v>1893</v>
      </c>
      <c r="AN115" s="1110">
        <v>1908</v>
      </c>
      <c r="AO115" s="1368">
        <v>1782</v>
      </c>
      <c r="AP115" s="1369">
        <v>1657</v>
      </c>
      <c r="AQ115" s="1368">
        <v>1750</v>
      </c>
      <c r="AR115" s="2289">
        <v>1595</v>
      </c>
      <c r="AS115" s="1368">
        <v>1602</v>
      </c>
      <c r="AT115" s="2353">
        <v>1569</v>
      </c>
      <c r="AU115" s="1274"/>
      <c r="AV115" s="1923">
        <f t="shared" si="72"/>
        <v>0.50049776007964164</v>
      </c>
      <c r="AW115" s="1924">
        <f t="shared" si="73"/>
        <v>0.49284413218839446</v>
      </c>
      <c r="AX115" s="1924">
        <f t="shared" si="74"/>
        <v>0.47088353413654621</v>
      </c>
      <c r="AY115" s="1924">
        <f t="shared" si="75"/>
        <v>0.50460772104607721</v>
      </c>
      <c r="AZ115" s="1924">
        <f t="shared" si="76"/>
        <v>0.48628307841709151</v>
      </c>
      <c r="BA115" s="1924">
        <f t="shared" si="77"/>
        <v>0.4786910197869102</v>
      </c>
      <c r="BB115" s="1924">
        <f t="shared" si="78"/>
        <v>0.45847581827063993</v>
      </c>
      <c r="BC115" s="1924">
        <f t="shared" si="79"/>
        <v>0.47278496460824992</v>
      </c>
      <c r="BD115" s="1924">
        <f t="shared" si="80"/>
        <v>0.46407333994053518</v>
      </c>
      <c r="BE115" s="1924">
        <f t="shared" si="81"/>
        <v>0.48545323395046885</v>
      </c>
      <c r="BF115" s="1924">
        <f t="shared" si="82"/>
        <v>0.51443248532289632</v>
      </c>
      <c r="BG115" s="1924">
        <f t="shared" si="83"/>
        <v>0.49245184799583552</v>
      </c>
      <c r="BH115" s="1924">
        <f t="shared" si="84"/>
        <v>0.5133210234766552</v>
      </c>
      <c r="BI115" s="1924">
        <f t="shared" si="85"/>
        <v>0.50914470145239377</v>
      </c>
      <c r="BJ115" s="1925">
        <f t="shared" si="86"/>
        <v>0.50569838324940364</v>
      </c>
      <c r="BK115" s="1926">
        <f>'Non-marital births'!L116</f>
        <v>0.45557491289198604</v>
      </c>
      <c r="BL115" s="1927">
        <v>0.45773480662983423</v>
      </c>
      <c r="BM115" s="1928">
        <f t="shared" si="87"/>
        <v>0.46967257112184646</v>
      </c>
      <c r="BN115" s="2348">
        <f t="shared" si="88"/>
        <v>0.4523539421440726</v>
      </c>
      <c r="BO115" s="2348">
        <f t="shared" si="71"/>
        <v>0.47354419154596511</v>
      </c>
      <c r="BP115" s="2343">
        <f t="shared" si="71"/>
        <v>0.45557491289198604</v>
      </c>
    </row>
    <row r="116" spans="1:68" s="142" customFormat="1" ht="13.5" customHeight="1" x14ac:dyDescent="0.3">
      <c r="A116" s="149" t="s">
        <v>166</v>
      </c>
      <c r="B116" s="185" t="s">
        <v>167</v>
      </c>
      <c r="C116" s="150" t="s">
        <v>256</v>
      </c>
      <c r="D116" s="938">
        <v>45</v>
      </c>
      <c r="E116" s="939">
        <v>59</v>
      </c>
      <c r="F116" s="940">
        <v>62</v>
      </c>
      <c r="G116" s="939">
        <v>39</v>
      </c>
      <c r="H116" s="940">
        <v>23</v>
      </c>
      <c r="I116" s="939">
        <v>43</v>
      </c>
      <c r="J116" s="940">
        <v>37</v>
      </c>
      <c r="K116" s="939">
        <v>30</v>
      </c>
      <c r="L116" s="953">
        <v>36</v>
      </c>
      <c r="M116" s="953">
        <v>45</v>
      </c>
      <c r="N116" s="953">
        <v>41</v>
      </c>
      <c r="O116" s="953">
        <v>62</v>
      </c>
      <c r="P116" s="954">
        <v>77</v>
      </c>
      <c r="Q116" s="954">
        <v>58</v>
      </c>
      <c r="R116" s="1107">
        <v>60</v>
      </c>
      <c r="S116" s="1367">
        <v>59</v>
      </c>
      <c r="T116" s="1908">
        <v>48</v>
      </c>
      <c r="U116" s="1908">
        <v>51</v>
      </c>
      <c r="V116" s="2291">
        <v>54</v>
      </c>
      <c r="W116" s="1367">
        <v>40</v>
      </c>
      <c r="X116" s="2351">
        <v>44</v>
      </c>
      <c r="Y116" s="1273"/>
      <c r="Z116" s="961">
        <v>16</v>
      </c>
      <c r="AA116" s="962">
        <v>19</v>
      </c>
      <c r="AB116" s="962">
        <v>18</v>
      </c>
      <c r="AC116" s="962">
        <v>13</v>
      </c>
      <c r="AD116" s="962">
        <v>12</v>
      </c>
      <c r="AE116" s="962">
        <v>22</v>
      </c>
      <c r="AF116" s="962">
        <v>24</v>
      </c>
      <c r="AG116" s="962">
        <v>16</v>
      </c>
      <c r="AH116" s="962">
        <v>18</v>
      </c>
      <c r="AI116" s="962">
        <v>23</v>
      </c>
      <c r="AJ116" s="962">
        <v>19</v>
      </c>
      <c r="AK116" s="962">
        <v>30</v>
      </c>
      <c r="AL116" s="962">
        <v>35</v>
      </c>
      <c r="AM116" s="962">
        <v>29</v>
      </c>
      <c r="AN116" s="1110">
        <v>35</v>
      </c>
      <c r="AO116" s="1368">
        <v>27</v>
      </c>
      <c r="AP116" s="1369">
        <v>18</v>
      </c>
      <c r="AQ116" s="1368">
        <v>25</v>
      </c>
      <c r="AR116" s="2289">
        <v>28</v>
      </c>
      <c r="AS116" s="1368">
        <v>17</v>
      </c>
      <c r="AT116" s="2353">
        <v>29</v>
      </c>
      <c r="AU116" s="1274"/>
      <c r="AV116" s="1923">
        <f t="shared" si="72"/>
        <v>0.35555555555555557</v>
      </c>
      <c r="AW116" s="1924">
        <f t="shared" si="73"/>
        <v>0.32203389830508472</v>
      </c>
      <c r="AX116" s="1924">
        <f t="shared" si="74"/>
        <v>0.29032258064516131</v>
      </c>
      <c r="AY116" s="1924">
        <f t="shared" si="75"/>
        <v>0.33333333333333331</v>
      </c>
      <c r="AZ116" s="1924">
        <f t="shared" si="76"/>
        <v>0.52173913043478259</v>
      </c>
      <c r="BA116" s="1924">
        <f t="shared" si="77"/>
        <v>0.51162790697674421</v>
      </c>
      <c r="BB116" s="1924">
        <f t="shared" si="78"/>
        <v>0.64864864864864868</v>
      </c>
      <c r="BC116" s="1924">
        <f t="shared" si="79"/>
        <v>0.53333333333333333</v>
      </c>
      <c r="BD116" s="1924">
        <f t="shared" si="80"/>
        <v>0.5</v>
      </c>
      <c r="BE116" s="1924">
        <f t="shared" si="81"/>
        <v>0.51111111111111107</v>
      </c>
      <c r="BF116" s="1924">
        <f t="shared" si="82"/>
        <v>0.46341463414634149</v>
      </c>
      <c r="BG116" s="1924">
        <f t="shared" si="83"/>
        <v>0.4838709677419355</v>
      </c>
      <c r="BH116" s="1924">
        <f t="shared" si="84"/>
        <v>0.45454545454545453</v>
      </c>
      <c r="BI116" s="1924">
        <f t="shared" si="85"/>
        <v>0.5</v>
      </c>
      <c r="BJ116" s="1925">
        <f t="shared" si="86"/>
        <v>0.58333333333333337</v>
      </c>
      <c r="BK116" s="1926">
        <f>'Non-marital births'!L117</f>
        <v>0.65909090909090906</v>
      </c>
      <c r="BL116" s="1927">
        <v>0.375</v>
      </c>
      <c r="BM116" s="1928">
        <f t="shared" si="87"/>
        <v>0.49019607843137253</v>
      </c>
      <c r="BN116" s="2348">
        <f t="shared" si="88"/>
        <v>0.51851851851851849</v>
      </c>
      <c r="BO116" s="2348">
        <f t="shared" si="71"/>
        <v>0.42499999999999999</v>
      </c>
      <c r="BP116" s="2343">
        <f t="shared" si="71"/>
        <v>0.65909090909090906</v>
      </c>
    </row>
    <row r="117" spans="1:68" s="142" customFormat="1" ht="13.5" customHeight="1" x14ac:dyDescent="0.3">
      <c r="A117" s="149" t="s">
        <v>176</v>
      </c>
      <c r="B117" s="185" t="s">
        <v>177</v>
      </c>
      <c r="C117" s="150" t="s">
        <v>254</v>
      </c>
      <c r="D117" s="938">
        <v>572</v>
      </c>
      <c r="E117" s="939">
        <v>551</v>
      </c>
      <c r="F117" s="940">
        <v>526</v>
      </c>
      <c r="G117" s="939">
        <v>555</v>
      </c>
      <c r="H117" s="940">
        <v>530</v>
      </c>
      <c r="I117" s="939">
        <v>543</v>
      </c>
      <c r="J117" s="940">
        <v>528</v>
      </c>
      <c r="K117" s="939">
        <v>492</v>
      </c>
      <c r="L117" s="953">
        <v>568</v>
      </c>
      <c r="M117" s="953">
        <v>652</v>
      </c>
      <c r="N117" s="953">
        <v>603</v>
      </c>
      <c r="O117" s="953">
        <v>667</v>
      </c>
      <c r="P117" s="954">
        <v>699</v>
      </c>
      <c r="Q117" s="954">
        <v>659</v>
      </c>
      <c r="R117" s="1107">
        <v>612</v>
      </c>
      <c r="S117" s="1367">
        <v>721</v>
      </c>
      <c r="T117" s="1908">
        <v>686</v>
      </c>
      <c r="U117" s="1908">
        <v>687</v>
      </c>
      <c r="V117" s="2291">
        <v>452</v>
      </c>
      <c r="W117" s="1367">
        <v>709</v>
      </c>
      <c r="X117" s="2351">
        <v>722</v>
      </c>
      <c r="Y117" s="1273"/>
      <c r="Z117" s="961">
        <v>376</v>
      </c>
      <c r="AA117" s="962">
        <v>380</v>
      </c>
      <c r="AB117" s="962">
        <v>385</v>
      </c>
      <c r="AC117" s="962">
        <v>393</v>
      </c>
      <c r="AD117" s="962">
        <v>377</v>
      </c>
      <c r="AE117" s="962">
        <v>394</v>
      </c>
      <c r="AF117" s="962">
        <v>381</v>
      </c>
      <c r="AG117" s="962">
        <v>362</v>
      </c>
      <c r="AH117" s="962">
        <v>388</v>
      </c>
      <c r="AI117" s="962">
        <v>457</v>
      </c>
      <c r="AJ117" s="962">
        <v>453</v>
      </c>
      <c r="AK117" s="962">
        <v>498</v>
      </c>
      <c r="AL117" s="962">
        <v>529</v>
      </c>
      <c r="AM117" s="962">
        <v>489</v>
      </c>
      <c r="AN117" s="1110">
        <v>471</v>
      </c>
      <c r="AO117" s="1368">
        <v>510</v>
      </c>
      <c r="AP117" s="1369">
        <v>513</v>
      </c>
      <c r="AQ117" s="1368">
        <v>486</v>
      </c>
      <c r="AR117" s="2289">
        <v>354</v>
      </c>
      <c r="AS117" s="1368">
        <v>525</v>
      </c>
      <c r="AT117" s="2353">
        <v>500</v>
      </c>
      <c r="AU117" s="1274"/>
      <c r="AV117" s="1923">
        <f t="shared" si="72"/>
        <v>0.65734265734265729</v>
      </c>
      <c r="AW117" s="1924">
        <f t="shared" si="73"/>
        <v>0.68965517241379315</v>
      </c>
      <c r="AX117" s="1924">
        <f t="shared" si="74"/>
        <v>0.73193916349809884</v>
      </c>
      <c r="AY117" s="1924">
        <f t="shared" si="75"/>
        <v>0.70810810810810809</v>
      </c>
      <c r="AZ117" s="1924">
        <f t="shared" si="76"/>
        <v>0.71132075471698109</v>
      </c>
      <c r="BA117" s="1924">
        <f t="shared" si="77"/>
        <v>0.72559852670349911</v>
      </c>
      <c r="BB117" s="1924">
        <f t="shared" si="78"/>
        <v>0.72159090909090906</v>
      </c>
      <c r="BC117" s="1924">
        <f t="shared" si="79"/>
        <v>0.73577235772357719</v>
      </c>
      <c r="BD117" s="1924">
        <f t="shared" si="80"/>
        <v>0.68309859154929575</v>
      </c>
      <c r="BE117" s="1924">
        <f t="shared" si="81"/>
        <v>0.70092024539877296</v>
      </c>
      <c r="BF117" s="1924">
        <f t="shared" si="82"/>
        <v>0.75124378109452739</v>
      </c>
      <c r="BG117" s="1924">
        <f t="shared" si="83"/>
        <v>0.74662668665667165</v>
      </c>
      <c r="BH117" s="1924">
        <f t="shared" si="84"/>
        <v>0.75679542203147354</v>
      </c>
      <c r="BI117" s="1924">
        <f t="shared" si="85"/>
        <v>0.74203338391502272</v>
      </c>
      <c r="BJ117" s="1925">
        <f t="shared" si="86"/>
        <v>0.76960784313725494</v>
      </c>
      <c r="BK117" s="1926">
        <f>'Non-marital births'!L118</f>
        <v>0.69252077562326875</v>
      </c>
      <c r="BL117" s="1927">
        <v>0.74781341107871724</v>
      </c>
      <c r="BM117" s="1928">
        <f t="shared" si="87"/>
        <v>0.70742358078602618</v>
      </c>
      <c r="BN117" s="2348">
        <f t="shared" si="88"/>
        <v>0.7831858407079646</v>
      </c>
      <c r="BO117" s="2348">
        <f t="shared" si="71"/>
        <v>0.74047954866008459</v>
      </c>
      <c r="BP117" s="2343">
        <f t="shared" si="71"/>
        <v>0.69252077562326875</v>
      </c>
    </row>
    <row r="118" spans="1:68" s="142" customFormat="1" ht="13.5" customHeight="1" x14ac:dyDescent="0.3">
      <c r="A118" s="149" t="s">
        <v>180</v>
      </c>
      <c r="B118" s="185" t="s">
        <v>181</v>
      </c>
      <c r="C118" s="150" t="s">
        <v>252</v>
      </c>
      <c r="D118" s="938">
        <v>1644</v>
      </c>
      <c r="E118" s="939">
        <v>1604</v>
      </c>
      <c r="F118" s="940">
        <v>1544</v>
      </c>
      <c r="G118" s="939">
        <v>1585</v>
      </c>
      <c r="H118" s="940">
        <v>1539</v>
      </c>
      <c r="I118" s="939">
        <v>1597</v>
      </c>
      <c r="J118" s="940">
        <v>1647</v>
      </c>
      <c r="K118" s="939">
        <v>1620</v>
      </c>
      <c r="L118" s="953">
        <v>1744</v>
      </c>
      <c r="M118" s="953">
        <v>1642</v>
      </c>
      <c r="N118" s="953">
        <v>1555</v>
      </c>
      <c r="O118" s="953">
        <v>1623</v>
      </c>
      <c r="P118" s="954">
        <v>1590</v>
      </c>
      <c r="Q118" s="954">
        <v>1580</v>
      </c>
      <c r="R118" s="1107">
        <v>1534</v>
      </c>
      <c r="S118" s="1367">
        <v>1551</v>
      </c>
      <c r="T118" s="1908">
        <v>1476</v>
      </c>
      <c r="U118" s="1908">
        <v>1542</v>
      </c>
      <c r="V118" s="2291">
        <v>1449</v>
      </c>
      <c r="W118" s="1367">
        <v>1449</v>
      </c>
      <c r="X118" s="2351">
        <v>1372</v>
      </c>
      <c r="Y118" s="1273"/>
      <c r="Z118" s="961">
        <v>865</v>
      </c>
      <c r="AA118" s="962">
        <v>847</v>
      </c>
      <c r="AB118" s="962">
        <v>819</v>
      </c>
      <c r="AC118" s="962">
        <v>852</v>
      </c>
      <c r="AD118" s="962">
        <v>795</v>
      </c>
      <c r="AE118" s="962">
        <v>791</v>
      </c>
      <c r="AF118" s="962">
        <v>828</v>
      </c>
      <c r="AG118" s="962">
        <v>815</v>
      </c>
      <c r="AH118" s="962">
        <v>907</v>
      </c>
      <c r="AI118" s="962">
        <v>850</v>
      </c>
      <c r="AJ118" s="962">
        <v>844</v>
      </c>
      <c r="AK118" s="962">
        <v>904</v>
      </c>
      <c r="AL118" s="962">
        <v>845</v>
      </c>
      <c r="AM118" s="962">
        <v>898</v>
      </c>
      <c r="AN118" s="1110">
        <v>835</v>
      </c>
      <c r="AO118" s="1368">
        <v>850</v>
      </c>
      <c r="AP118" s="1369">
        <v>822</v>
      </c>
      <c r="AQ118" s="1368">
        <v>834</v>
      </c>
      <c r="AR118" s="2289">
        <v>798</v>
      </c>
      <c r="AS118" s="1368">
        <v>811</v>
      </c>
      <c r="AT118" s="2353">
        <v>754</v>
      </c>
      <c r="AU118" s="1274"/>
      <c r="AV118" s="1923">
        <f t="shared" si="72"/>
        <v>0.52615571776155723</v>
      </c>
      <c r="AW118" s="1924">
        <f t="shared" si="73"/>
        <v>0.52805486284289271</v>
      </c>
      <c r="AX118" s="1924">
        <f t="shared" si="74"/>
        <v>0.53044041450777202</v>
      </c>
      <c r="AY118" s="1924">
        <f t="shared" si="75"/>
        <v>0.53753943217665612</v>
      </c>
      <c r="AZ118" s="1924">
        <f t="shared" si="76"/>
        <v>0.51656920077972712</v>
      </c>
      <c r="BA118" s="1924">
        <f t="shared" si="77"/>
        <v>0.49530369442705074</v>
      </c>
      <c r="BB118" s="1924">
        <f t="shared" si="78"/>
        <v>0.50273224043715847</v>
      </c>
      <c r="BC118" s="1924">
        <f t="shared" si="79"/>
        <v>0.50308641975308643</v>
      </c>
      <c r="BD118" s="1924">
        <f t="shared" si="80"/>
        <v>0.52006880733944949</v>
      </c>
      <c r="BE118" s="1924">
        <f t="shared" si="81"/>
        <v>0.51766138855054811</v>
      </c>
      <c r="BF118" s="1924">
        <f t="shared" si="82"/>
        <v>0.54276527331189706</v>
      </c>
      <c r="BG118" s="1924">
        <f t="shared" si="83"/>
        <v>0.55699322242760319</v>
      </c>
      <c r="BH118" s="1924">
        <f t="shared" si="84"/>
        <v>0.53144654088050314</v>
      </c>
      <c r="BI118" s="1924">
        <f t="shared" si="85"/>
        <v>0.56835443037974687</v>
      </c>
      <c r="BJ118" s="1925">
        <f t="shared" si="86"/>
        <v>0.54432855280312908</v>
      </c>
      <c r="BK118" s="1926">
        <f>'Non-marital births'!L119</f>
        <v>0.54956268221574345</v>
      </c>
      <c r="BL118" s="1927">
        <v>0.55691056910569103</v>
      </c>
      <c r="BM118" s="1928">
        <f t="shared" si="87"/>
        <v>0.54085603112840464</v>
      </c>
      <c r="BN118" s="2348">
        <f t="shared" si="88"/>
        <v>0.55072463768115942</v>
      </c>
      <c r="BO118" s="2348">
        <f t="shared" si="71"/>
        <v>0.55969634230503795</v>
      </c>
      <c r="BP118" s="2343">
        <f t="shared" si="71"/>
        <v>0.54956268221574345</v>
      </c>
    </row>
    <row r="119" spans="1:68" s="142" customFormat="1" ht="13.5" customHeight="1" x14ac:dyDescent="0.3">
      <c r="A119" s="149" t="s">
        <v>192</v>
      </c>
      <c r="B119" s="185" t="s">
        <v>193</v>
      </c>
      <c r="C119" s="150" t="s">
        <v>256</v>
      </c>
      <c r="D119" s="938">
        <v>123</v>
      </c>
      <c r="E119" s="939">
        <v>146</v>
      </c>
      <c r="F119" s="940">
        <v>159</v>
      </c>
      <c r="G119" s="939">
        <v>135</v>
      </c>
      <c r="H119" s="940">
        <v>127</v>
      </c>
      <c r="I119" s="939">
        <v>126</v>
      </c>
      <c r="J119" s="940">
        <v>111</v>
      </c>
      <c r="K119" s="939">
        <v>129</v>
      </c>
      <c r="L119" s="953">
        <v>139</v>
      </c>
      <c r="M119" s="953">
        <v>149</v>
      </c>
      <c r="N119" s="953">
        <v>127</v>
      </c>
      <c r="O119" s="953">
        <v>133</v>
      </c>
      <c r="P119" s="954">
        <v>139</v>
      </c>
      <c r="Q119" s="954">
        <v>136</v>
      </c>
      <c r="R119" s="1107">
        <v>143</v>
      </c>
      <c r="S119" s="1367">
        <v>160</v>
      </c>
      <c r="T119" s="1908">
        <v>153</v>
      </c>
      <c r="U119" s="1908">
        <v>138</v>
      </c>
      <c r="V119" s="2291">
        <v>117</v>
      </c>
      <c r="W119" s="1367">
        <v>143</v>
      </c>
      <c r="X119" s="2351">
        <v>127</v>
      </c>
      <c r="Y119" s="1273"/>
      <c r="Z119" s="961">
        <v>47</v>
      </c>
      <c r="AA119" s="962">
        <v>39</v>
      </c>
      <c r="AB119" s="962">
        <v>53</v>
      </c>
      <c r="AC119" s="962">
        <v>37</v>
      </c>
      <c r="AD119" s="962">
        <v>40</v>
      </c>
      <c r="AE119" s="962">
        <v>41</v>
      </c>
      <c r="AF119" s="962">
        <v>42</v>
      </c>
      <c r="AG119" s="962">
        <v>43</v>
      </c>
      <c r="AH119" s="962">
        <v>55</v>
      </c>
      <c r="AI119" s="962">
        <v>45</v>
      </c>
      <c r="AJ119" s="962">
        <v>50</v>
      </c>
      <c r="AK119" s="962">
        <v>48</v>
      </c>
      <c r="AL119" s="962">
        <v>68</v>
      </c>
      <c r="AM119" s="962">
        <v>57</v>
      </c>
      <c r="AN119" s="1110">
        <v>67</v>
      </c>
      <c r="AO119" s="1368">
        <v>65</v>
      </c>
      <c r="AP119" s="1369">
        <v>71</v>
      </c>
      <c r="AQ119" s="1368">
        <v>52</v>
      </c>
      <c r="AR119" s="2289">
        <v>45</v>
      </c>
      <c r="AS119" s="1368">
        <v>56</v>
      </c>
      <c r="AT119" s="2353">
        <v>52</v>
      </c>
      <c r="AU119" s="1274"/>
      <c r="AV119" s="1923">
        <f t="shared" si="72"/>
        <v>0.38211382113821141</v>
      </c>
      <c r="AW119" s="1924">
        <f t="shared" si="73"/>
        <v>0.26712328767123289</v>
      </c>
      <c r="AX119" s="1924">
        <f t="shared" si="74"/>
        <v>0.33333333333333331</v>
      </c>
      <c r="AY119" s="1924">
        <f t="shared" si="75"/>
        <v>0.27407407407407408</v>
      </c>
      <c r="AZ119" s="1924">
        <f t="shared" si="76"/>
        <v>0.31496062992125984</v>
      </c>
      <c r="BA119" s="1924">
        <f t="shared" si="77"/>
        <v>0.32539682539682541</v>
      </c>
      <c r="BB119" s="1924">
        <f t="shared" si="78"/>
        <v>0.3783783783783784</v>
      </c>
      <c r="BC119" s="1924">
        <f t="shared" si="79"/>
        <v>0.33333333333333331</v>
      </c>
      <c r="BD119" s="1924">
        <f t="shared" si="80"/>
        <v>0.39568345323741005</v>
      </c>
      <c r="BE119" s="1924">
        <f t="shared" si="81"/>
        <v>0.30201342281879195</v>
      </c>
      <c r="BF119" s="1924">
        <f t="shared" si="82"/>
        <v>0.39370078740157483</v>
      </c>
      <c r="BG119" s="1924">
        <f t="shared" si="83"/>
        <v>0.36090225563909772</v>
      </c>
      <c r="BH119" s="1924">
        <f t="shared" si="84"/>
        <v>0.48920863309352519</v>
      </c>
      <c r="BI119" s="1924">
        <f t="shared" si="85"/>
        <v>0.41911764705882354</v>
      </c>
      <c r="BJ119" s="1925">
        <f t="shared" si="86"/>
        <v>0.46853146853146854</v>
      </c>
      <c r="BK119" s="1926">
        <f>'Non-marital births'!L120</f>
        <v>0.40944881889763779</v>
      </c>
      <c r="BL119" s="1927">
        <v>0.46405228758169936</v>
      </c>
      <c r="BM119" s="1928">
        <f t="shared" si="87"/>
        <v>0.37681159420289856</v>
      </c>
      <c r="BN119" s="2348">
        <f t="shared" si="88"/>
        <v>0.38461538461538464</v>
      </c>
      <c r="BO119" s="2348">
        <f t="shared" si="71"/>
        <v>0.39160839160839161</v>
      </c>
      <c r="BP119" s="2343">
        <f t="shared" si="71"/>
        <v>0.40944881889763779</v>
      </c>
    </row>
    <row r="120" spans="1:68" s="142" customFormat="1" ht="13.5" customHeight="1" x14ac:dyDescent="0.3">
      <c r="A120" s="149" t="s">
        <v>196</v>
      </c>
      <c r="B120" s="185" t="s">
        <v>197</v>
      </c>
      <c r="C120" s="150" t="s">
        <v>254</v>
      </c>
      <c r="D120" s="938">
        <v>2847</v>
      </c>
      <c r="E120" s="939">
        <v>2934</v>
      </c>
      <c r="F120" s="940">
        <v>3057</v>
      </c>
      <c r="G120" s="939">
        <v>3134</v>
      </c>
      <c r="H120" s="940">
        <v>3081</v>
      </c>
      <c r="I120" s="939">
        <v>3069</v>
      </c>
      <c r="J120" s="940">
        <v>3005</v>
      </c>
      <c r="K120" s="939">
        <v>3023</v>
      </c>
      <c r="L120" s="953">
        <v>3032</v>
      </c>
      <c r="M120" s="953">
        <v>3312</v>
      </c>
      <c r="N120" s="953">
        <v>3306</v>
      </c>
      <c r="O120" s="953">
        <v>3195</v>
      </c>
      <c r="P120" s="954">
        <v>2958</v>
      </c>
      <c r="Q120" s="954">
        <v>2981</v>
      </c>
      <c r="R120" s="1107">
        <v>2939</v>
      </c>
      <c r="S120" s="1367">
        <v>2837</v>
      </c>
      <c r="T120" s="1908">
        <v>2917</v>
      </c>
      <c r="U120" s="1908">
        <v>3107</v>
      </c>
      <c r="V120" s="2291">
        <v>2994</v>
      </c>
      <c r="W120" s="1367">
        <v>3017</v>
      </c>
      <c r="X120" s="2351">
        <v>3136</v>
      </c>
      <c r="Y120" s="1273"/>
      <c r="Z120" s="961">
        <v>1822</v>
      </c>
      <c r="AA120" s="962">
        <v>1733</v>
      </c>
      <c r="AB120" s="962">
        <v>1876</v>
      </c>
      <c r="AC120" s="962">
        <v>1899</v>
      </c>
      <c r="AD120" s="962">
        <v>1848</v>
      </c>
      <c r="AE120" s="962">
        <v>1866</v>
      </c>
      <c r="AF120" s="962">
        <v>1833</v>
      </c>
      <c r="AG120" s="962">
        <v>1849</v>
      </c>
      <c r="AH120" s="962">
        <v>1892</v>
      </c>
      <c r="AI120" s="962">
        <v>2104</v>
      </c>
      <c r="AJ120" s="962">
        <v>2105</v>
      </c>
      <c r="AK120" s="962">
        <v>2061</v>
      </c>
      <c r="AL120" s="962">
        <v>1908</v>
      </c>
      <c r="AM120" s="962">
        <v>1905</v>
      </c>
      <c r="AN120" s="1110">
        <v>1885</v>
      </c>
      <c r="AO120" s="1368">
        <v>1828</v>
      </c>
      <c r="AP120" s="1369">
        <v>1753</v>
      </c>
      <c r="AQ120" s="1368">
        <v>1943</v>
      </c>
      <c r="AR120" s="2289">
        <v>1726</v>
      </c>
      <c r="AS120" s="1368">
        <v>1868</v>
      </c>
      <c r="AT120" s="2353">
        <v>1850</v>
      </c>
      <c r="AU120" s="1274"/>
      <c r="AV120" s="1923">
        <f t="shared" si="72"/>
        <v>0.6399719002458728</v>
      </c>
      <c r="AW120" s="1924">
        <f t="shared" si="73"/>
        <v>0.59066121336059985</v>
      </c>
      <c r="AX120" s="1924">
        <f t="shared" si="74"/>
        <v>0.61367353614654896</v>
      </c>
      <c r="AY120" s="1924">
        <f t="shared" si="75"/>
        <v>0.60593490746649648</v>
      </c>
      <c r="AZ120" s="1924">
        <f t="shared" si="76"/>
        <v>0.59980525803310614</v>
      </c>
      <c r="BA120" s="1924">
        <f t="shared" si="77"/>
        <v>0.6080156402737048</v>
      </c>
      <c r="BB120" s="1924">
        <f t="shared" si="78"/>
        <v>0.60998336106489182</v>
      </c>
      <c r="BC120" s="1924">
        <f t="shared" si="79"/>
        <v>0.61164406218987766</v>
      </c>
      <c r="BD120" s="1924">
        <f t="shared" si="80"/>
        <v>0.62401055408970973</v>
      </c>
      <c r="BE120" s="1924">
        <f t="shared" si="81"/>
        <v>0.63526570048309183</v>
      </c>
      <c r="BF120" s="1924">
        <f t="shared" si="82"/>
        <v>0.63672111312764668</v>
      </c>
      <c r="BG120" s="1924">
        <f t="shared" si="83"/>
        <v>0.6450704225352113</v>
      </c>
      <c r="BH120" s="1924">
        <f t="shared" si="84"/>
        <v>0.64503042596348881</v>
      </c>
      <c r="BI120" s="1924">
        <f t="shared" si="85"/>
        <v>0.63904729956390471</v>
      </c>
      <c r="BJ120" s="1925">
        <f t="shared" si="86"/>
        <v>0.64137461721674038</v>
      </c>
      <c r="BK120" s="1926">
        <f>'Non-marital births'!L121</f>
        <v>0.58992346938775508</v>
      </c>
      <c r="BL120" s="1927">
        <v>0.60095989029825159</v>
      </c>
      <c r="BM120" s="1928">
        <f t="shared" si="87"/>
        <v>0.62536208561313167</v>
      </c>
      <c r="BN120" s="2348">
        <f t="shared" si="88"/>
        <v>0.57648630594522376</v>
      </c>
      <c r="BO120" s="2348">
        <f t="shared" si="71"/>
        <v>0.61915810407689753</v>
      </c>
      <c r="BP120" s="2343">
        <f t="shared" si="71"/>
        <v>0.58992346938775508</v>
      </c>
    </row>
    <row r="121" spans="1:68" s="142" customFormat="1" ht="13.5" customHeight="1" x14ac:dyDescent="0.3">
      <c r="A121" s="149" t="s">
        <v>200</v>
      </c>
      <c r="B121" s="185" t="s">
        <v>201</v>
      </c>
      <c r="C121" s="150" t="s">
        <v>253</v>
      </c>
      <c r="D121" s="938">
        <v>1350</v>
      </c>
      <c r="E121" s="939">
        <v>1380</v>
      </c>
      <c r="F121" s="940">
        <v>1356</v>
      </c>
      <c r="G121" s="939">
        <v>1276</v>
      </c>
      <c r="H121" s="940">
        <v>1114</v>
      </c>
      <c r="I121" s="939">
        <v>1331</v>
      </c>
      <c r="J121" s="940">
        <v>950</v>
      </c>
      <c r="K121" s="939">
        <v>1202</v>
      </c>
      <c r="L121" s="953">
        <v>1422</v>
      </c>
      <c r="M121" s="953">
        <v>1583</v>
      </c>
      <c r="N121" s="953">
        <v>1587</v>
      </c>
      <c r="O121" s="953">
        <v>1541</v>
      </c>
      <c r="P121" s="954">
        <v>1453</v>
      </c>
      <c r="Q121" s="954">
        <v>1492</v>
      </c>
      <c r="R121" s="1107">
        <v>1492</v>
      </c>
      <c r="S121" s="1367">
        <v>1495</v>
      </c>
      <c r="T121" s="1908">
        <v>1446</v>
      </c>
      <c r="U121" s="1908">
        <v>1522</v>
      </c>
      <c r="V121" s="2291">
        <v>1355</v>
      </c>
      <c r="W121" s="1367">
        <v>1348</v>
      </c>
      <c r="X121" s="2351">
        <v>1430</v>
      </c>
      <c r="Y121" s="1273"/>
      <c r="Z121" s="961">
        <v>618</v>
      </c>
      <c r="AA121" s="962">
        <v>620</v>
      </c>
      <c r="AB121" s="962">
        <v>654</v>
      </c>
      <c r="AC121" s="962">
        <v>565</v>
      </c>
      <c r="AD121" s="962">
        <v>563</v>
      </c>
      <c r="AE121" s="962">
        <v>642</v>
      </c>
      <c r="AF121" s="962">
        <v>487</v>
      </c>
      <c r="AG121" s="962">
        <v>629</v>
      </c>
      <c r="AH121" s="962">
        <v>774</v>
      </c>
      <c r="AI121" s="962">
        <v>902</v>
      </c>
      <c r="AJ121" s="962">
        <v>911</v>
      </c>
      <c r="AK121" s="962">
        <v>857</v>
      </c>
      <c r="AL121" s="962">
        <v>815</v>
      </c>
      <c r="AM121" s="962">
        <v>840</v>
      </c>
      <c r="AN121" s="1110">
        <v>843</v>
      </c>
      <c r="AO121" s="1368">
        <v>836</v>
      </c>
      <c r="AP121" s="1369">
        <v>811</v>
      </c>
      <c r="AQ121" s="1368">
        <v>850</v>
      </c>
      <c r="AR121" s="2289">
        <v>763</v>
      </c>
      <c r="AS121" s="1368">
        <v>733</v>
      </c>
      <c r="AT121" s="2353">
        <v>767</v>
      </c>
      <c r="AU121" s="1274"/>
      <c r="AV121" s="1923">
        <f t="shared" si="72"/>
        <v>0.45777777777777778</v>
      </c>
      <c r="AW121" s="1924">
        <f t="shared" si="73"/>
        <v>0.44927536231884058</v>
      </c>
      <c r="AX121" s="1924">
        <f t="shared" si="74"/>
        <v>0.48230088495575218</v>
      </c>
      <c r="AY121" s="1924">
        <f t="shared" si="75"/>
        <v>0.44278996865203762</v>
      </c>
      <c r="AZ121" s="1924">
        <f t="shared" si="76"/>
        <v>0.50538599640933568</v>
      </c>
      <c r="BA121" s="1924">
        <f t="shared" si="77"/>
        <v>0.48234410217881291</v>
      </c>
      <c r="BB121" s="1924">
        <f t="shared" si="78"/>
        <v>0.51263157894736844</v>
      </c>
      <c r="BC121" s="1924">
        <f t="shared" si="79"/>
        <v>0.52329450915141429</v>
      </c>
      <c r="BD121" s="1924">
        <f t="shared" si="80"/>
        <v>0.54430379746835444</v>
      </c>
      <c r="BE121" s="1924">
        <f t="shared" si="81"/>
        <v>0.56980416929879973</v>
      </c>
      <c r="BF121" s="1924">
        <f t="shared" si="82"/>
        <v>0.5740390674228103</v>
      </c>
      <c r="BG121" s="1924">
        <f t="shared" si="83"/>
        <v>0.55613238157040878</v>
      </c>
      <c r="BH121" s="1924">
        <f t="shared" si="84"/>
        <v>0.56090846524432214</v>
      </c>
      <c r="BI121" s="1924">
        <f t="shared" si="85"/>
        <v>0.5630026809651475</v>
      </c>
      <c r="BJ121" s="1925">
        <f t="shared" si="86"/>
        <v>0.56501340482573725</v>
      </c>
      <c r="BK121" s="1926">
        <f>'Non-marital births'!L122</f>
        <v>0.53636363636363638</v>
      </c>
      <c r="BL121" s="1927">
        <v>0.56085753803596128</v>
      </c>
      <c r="BM121" s="1928">
        <f t="shared" si="87"/>
        <v>0.55847568988173457</v>
      </c>
      <c r="BN121" s="2348">
        <f t="shared" si="88"/>
        <v>0.56309963099631</v>
      </c>
      <c r="BO121" s="2348">
        <f t="shared" si="71"/>
        <v>0.54376854599406532</v>
      </c>
      <c r="BP121" s="2343">
        <f t="shared" si="71"/>
        <v>0.53636363636363638</v>
      </c>
    </row>
    <row r="122" spans="1:68" s="142" customFormat="1" ht="13.5" customHeight="1" x14ac:dyDescent="0.3">
      <c r="A122" s="149" t="s">
        <v>222</v>
      </c>
      <c r="B122" s="185" t="s">
        <v>223</v>
      </c>
      <c r="C122" s="150" t="s">
        <v>252</v>
      </c>
      <c r="D122" s="938">
        <v>884</v>
      </c>
      <c r="E122" s="939">
        <v>938</v>
      </c>
      <c r="F122" s="940">
        <v>1008</v>
      </c>
      <c r="G122" s="939">
        <v>953</v>
      </c>
      <c r="H122" s="940">
        <v>1058</v>
      </c>
      <c r="I122" s="939">
        <v>1087</v>
      </c>
      <c r="J122" s="940">
        <v>1186</v>
      </c>
      <c r="K122" s="939">
        <v>1180</v>
      </c>
      <c r="L122" s="953">
        <v>1190</v>
      </c>
      <c r="M122" s="953">
        <v>1205</v>
      </c>
      <c r="N122" s="953">
        <v>1090</v>
      </c>
      <c r="O122" s="953">
        <v>1158</v>
      </c>
      <c r="P122" s="954">
        <v>1108</v>
      </c>
      <c r="Q122" s="954">
        <v>1117</v>
      </c>
      <c r="R122" s="1107">
        <v>1087</v>
      </c>
      <c r="S122" s="1367">
        <v>1091</v>
      </c>
      <c r="T122" s="1908">
        <v>1093</v>
      </c>
      <c r="U122" s="1908">
        <v>1163</v>
      </c>
      <c r="V122" s="2291">
        <v>1110</v>
      </c>
      <c r="W122" s="1367">
        <v>1140</v>
      </c>
      <c r="X122" s="2351">
        <v>1172</v>
      </c>
      <c r="Y122" s="1273"/>
      <c r="Z122" s="961">
        <v>404</v>
      </c>
      <c r="AA122" s="962">
        <v>370</v>
      </c>
      <c r="AB122" s="962">
        <v>370</v>
      </c>
      <c r="AC122" s="962">
        <v>370</v>
      </c>
      <c r="AD122" s="962">
        <v>398</v>
      </c>
      <c r="AE122" s="962">
        <v>395</v>
      </c>
      <c r="AF122" s="962">
        <v>408</v>
      </c>
      <c r="AG122" s="962">
        <v>417</v>
      </c>
      <c r="AH122" s="962">
        <v>435</v>
      </c>
      <c r="AI122" s="962">
        <v>453</v>
      </c>
      <c r="AJ122" s="962">
        <v>445</v>
      </c>
      <c r="AK122" s="962">
        <v>495</v>
      </c>
      <c r="AL122" s="962">
        <v>480</v>
      </c>
      <c r="AM122" s="962">
        <v>435</v>
      </c>
      <c r="AN122" s="1110">
        <v>447</v>
      </c>
      <c r="AO122" s="1368">
        <v>413</v>
      </c>
      <c r="AP122" s="1369">
        <v>401</v>
      </c>
      <c r="AQ122" s="1368">
        <v>462</v>
      </c>
      <c r="AR122" s="2289">
        <v>413</v>
      </c>
      <c r="AS122" s="1368">
        <v>455</v>
      </c>
      <c r="AT122" s="2353">
        <v>429</v>
      </c>
      <c r="AU122" s="1274"/>
      <c r="AV122" s="1923">
        <f t="shared" si="72"/>
        <v>0.45701357466063347</v>
      </c>
      <c r="AW122" s="1924">
        <f t="shared" si="73"/>
        <v>0.39445628997867804</v>
      </c>
      <c r="AX122" s="1924">
        <f t="shared" si="74"/>
        <v>0.36706349206349204</v>
      </c>
      <c r="AY122" s="1924">
        <f t="shared" si="75"/>
        <v>0.3882476390346275</v>
      </c>
      <c r="AZ122" s="1924">
        <f t="shared" si="76"/>
        <v>0.37618147448015121</v>
      </c>
      <c r="BA122" s="1924">
        <f t="shared" si="77"/>
        <v>0.36338546458141674</v>
      </c>
      <c r="BB122" s="1924">
        <f t="shared" si="78"/>
        <v>0.34401349072512649</v>
      </c>
      <c r="BC122" s="1924">
        <f t="shared" si="79"/>
        <v>0.35338983050847456</v>
      </c>
      <c r="BD122" s="1924">
        <f t="shared" si="80"/>
        <v>0.36554621848739494</v>
      </c>
      <c r="BE122" s="1924">
        <f t="shared" si="81"/>
        <v>0.37593360995850622</v>
      </c>
      <c r="BF122" s="1924">
        <f t="shared" si="82"/>
        <v>0.40825688073394495</v>
      </c>
      <c r="BG122" s="1924">
        <f t="shared" si="83"/>
        <v>0.42746113989637308</v>
      </c>
      <c r="BH122" s="1924">
        <f t="shared" si="84"/>
        <v>0.43321299638989169</v>
      </c>
      <c r="BI122" s="1924">
        <f t="shared" si="85"/>
        <v>0.38943598925693823</v>
      </c>
      <c r="BJ122" s="1925">
        <f t="shared" si="86"/>
        <v>0.41122355105795766</v>
      </c>
      <c r="BK122" s="1926">
        <f>'Non-marital births'!L123</f>
        <v>0.36604095563139932</v>
      </c>
      <c r="BL122" s="1927">
        <v>0.36688014638609334</v>
      </c>
      <c r="BM122" s="1928">
        <f t="shared" si="87"/>
        <v>0.39724849527085127</v>
      </c>
      <c r="BN122" s="2348">
        <f t="shared" si="88"/>
        <v>0.37207207207207205</v>
      </c>
      <c r="BO122" s="2348">
        <f t="shared" si="71"/>
        <v>0.39912280701754388</v>
      </c>
      <c r="BP122" s="2343">
        <f t="shared" si="71"/>
        <v>0.36604095563139932</v>
      </c>
    </row>
    <row r="123" spans="1:68" s="142" customFormat="1" ht="13.5" customHeight="1" x14ac:dyDescent="0.3">
      <c r="A123" s="149" t="s">
        <v>230</v>
      </c>
      <c r="B123" s="185" t="s">
        <v>231</v>
      </c>
      <c r="C123" s="150" t="s">
        <v>252</v>
      </c>
      <c r="D123" s="938">
        <v>6363</v>
      </c>
      <c r="E123" s="939">
        <v>6201</v>
      </c>
      <c r="F123" s="940">
        <v>6455</v>
      </c>
      <c r="G123" s="939">
        <v>6173</v>
      </c>
      <c r="H123" s="940">
        <v>6234</v>
      </c>
      <c r="I123" s="939">
        <v>6370</v>
      </c>
      <c r="J123" s="940">
        <v>6665</v>
      </c>
      <c r="K123" s="939">
        <v>6382</v>
      </c>
      <c r="L123" s="953">
        <v>6567</v>
      </c>
      <c r="M123" s="953">
        <v>6513</v>
      </c>
      <c r="N123" s="953">
        <v>6341</v>
      </c>
      <c r="O123" s="953">
        <v>6324</v>
      </c>
      <c r="P123" s="954">
        <v>6143</v>
      </c>
      <c r="Q123" s="954">
        <v>6249</v>
      </c>
      <c r="R123" s="1107">
        <v>6270</v>
      </c>
      <c r="S123" s="1367">
        <v>6003</v>
      </c>
      <c r="T123" s="1908">
        <v>6088</v>
      </c>
      <c r="U123" s="1908">
        <v>6101</v>
      </c>
      <c r="V123" s="2291">
        <v>5918</v>
      </c>
      <c r="W123" s="1367">
        <v>5669</v>
      </c>
      <c r="X123" s="2351">
        <v>5610</v>
      </c>
      <c r="Y123" s="1273"/>
      <c r="Z123" s="961">
        <v>1644</v>
      </c>
      <c r="AA123" s="962">
        <v>1644</v>
      </c>
      <c r="AB123" s="962">
        <v>1750</v>
      </c>
      <c r="AC123" s="962">
        <v>1808</v>
      </c>
      <c r="AD123" s="962">
        <v>1790</v>
      </c>
      <c r="AE123" s="962">
        <v>1762</v>
      </c>
      <c r="AF123" s="962">
        <v>1886</v>
      </c>
      <c r="AG123" s="962">
        <v>1820</v>
      </c>
      <c r="AH123" s="962">
        <v>2001</v>
      </c>
      <c r="AI123" s="962">
        <v>1983</v>
      </c>
      <c r="AJ123" s="962">
        <v>2018</v>
      </c>
      <c r="AK123" s="962">
        <v>2077</v>
      </c>
      <c r="AL123" s="962">
        <v>1955</v>
      </c>
      <c r="AM123" s="962">
        <v>1934</v>
      </c>
      <c r="AN123" s="1110">
        <v>2021</v>
      </c>
      <c r="AO123" s="1368">
        <v>1852</v>
      </c>
      <c r="AP123" s="1369">
        <v>1836</v>
      </c>
      <c r="AQ123" s="1368">
        <v>1844</v>
      </c>
      <c r="AR123" s="2289">
        <v>1815</v>
      </c>
      <c r="AS123" s="1368">
        <v>1723</v>
      </c>
      <c r="AT123" s="2353">
        <v>1709</v>
      </c>
      <c r="AU123" s="1274"/>
      <c r="AV123" s="1923">
        <f t="shared" si="72"/>
        <v>0.25836869401225837</v>
      </c>
      <c r="AW123" s="1924">
        <f t="shared" si="73"/>
        <v>0.26511852926947266</v>
      </c>
      <c r="AX123" s="1924">
        <f t="shared" si="74"/>
        <v>0.2711076684740511</v>
      </c>
      <c r="AY123" s="1924">
        <f t="shared" si="75"/>
        <v>0.29288838490199254</v>
      </c>
      <c r="AZ123" s="1924">
        <f t="shared" si="76"/>
        <v>0.287135065768367</v>
      </c>
      <c r="BA123" s="1924">
        <f t="shared" si="77"/>
        <v>0.27660910518053378</v>
      </c>
      <c r="BB123" s="1924">
        <f t="shared" si="78"/>
        <v>0.28297074268567141</v>
      </c>
      <c r="BC123" s="1924">
        <f t="shared" si="79"/>
        <v>0.28517706048260733</v>
      </c>
      <c r="BD123" s="1924">
        <f t="shared" si="80"/>
        <v>0.30470534490634993</v>
      </c>
      <c r="BE123" s="1924">
        <f t="shared" si="81"/>
        <v>0.30446798710271766</v>
      </c>
      <c r="BF123" s="1924">
        <f t="shared" si="82"/>
        <v>0.3182463333859013</v>
      </c>
      <c r="BG123" s="1924">
        <f t="shared" si="83"/>
        <v>0.32843137254901961</v>
      </c>
      <c r="BH123" s="1924">
        <f t="shared" si="84"/>
        <v>0.31824841282760868</v>
      </c>
      <c r="BI123" s="1924">
        <f t="shared" si="85"/>
        <v>0.30948951832293164</v>
      </c>
      <c r="BJ123" s="1925">
        <f t="shared" si="86"/>
        <v>0.32232854864433813</v>
      </c>
      <c r="BK123" s="1926">
        <f>'Non-marital births'!L124</f>
        <v>0.30463458110516933</v>
      </c>
      <c r="BL123" s="1927">
        <v>0.30157687253613669</v>
      </c>
      <c r="BM123" s="1928">
        <f t="shared" si="87"/>
        <v>0.30224553351909522</v>
      </c>
      <c r="BN123" s="2348">
        <f t="shared" si="88"/>
        <v>0.30669144981412638</v>
      </c>
      <c r="BO123" s="2348">
        <f t="shared" si="71"/>
        <v>0.30393367436937729</v>
      </c>
      <c r="BP123" s="2343">
        <f t="shared" si="71"/>
        <v>0.30463458110516933</v>
      </c>
    </row>
    <row r="124" spans="1:68" s="142" customFormat="1" ht="13.5" customHeight="1" x14ac:dyDescent="0.3">
      <c r="A124" s="149" t="s">
        <v>238</v>
      </c>
      <c r="B124" s="185" t="s">
        <v>239</v>
      </c>
      <c r="C124" s="150" t="s">
        <v>252</v>
      </c>
      <c r="D124" s="938">
        <v>144</v>
      </c>
      <c r="E124" s="939">
        <v>72</v>
      </c>
      <c r="F124" s="940">
        <v>59</v>
      </c>
      <c r="G124" s="939">
        <v>96</v>
      </c>
      <c r="H124" s="940">
        <v>129</v>
      </c>
      <c r="I124" s="939">
        <v>188</v>
      </c>
      <c r="J124" s="940">
        <v>172</v>
      </c>
      <c r="K124" s="939">
        <v>233</v>
      </c>
      <c r="L124" s="953">
        <v>192</v>
      </c>
      <c r="M124" s="953">
        <v>161</v>
      </c>
      <c r="N124" s="953">
        <v>186</v>
      </c>
      <c r="O124" s="953">
        <v>142</v>
      </c>
      <c r="P124" s="954">
        <v>86</v>
      </c>
      <c r="Q124" s="954">
        <v>80</v>
      </c>
      <c r="R124" s="1107">
        <v>91</v>
      </c>
      <c r="S124" s="1367">
        <v>79</v>
      </c>
      <c r="T124" s="1908">
        <v>87</v>
      </c>
      <c r="U124" s="1908">
        <v>97</v>
      </c>
      <c r="V124" s="2291">
        <v>137</v>
      </c>
      <c r="W124" s="1367">
        <v>74</v>
      </c>
      <c r="X124" s="2351">
        <v>72</v>
      </c>
      <c r="Y124" s="1273"/>
      <c r="Z124" s="961">
        <v>50</v>
      </c>
      <c r="AA124" s="962">
        <v>26</v>
      </c>
      <c r="AB124" s="962">
        <v>18</v>
      </c>
      <c r="AC124" s="962">
        <v>29</v>
      </c>
      <c r="AD124" s="962">
        <v>35</v>
      </c>
      <c r="AE124" s="962">
        <v>70</v>
      </c>
      <c r="AF124" s="962">
        <v>48</v>
      </c>
      <c r="AG124" s="962">
        <v>75</v>
      </c>
      <c r="AH124" s="962">
        <v>72</v>
      </c>
      <c r="AI124" s="962">
        <v>61</v>
      </c>
      <c r="AJ124" s="962">
        <v>70</v>
      </c>
      <c r="AK124" s="962">
        <v>58</v>
      </c>
      <c r="AL124" s="962">
        <v>32</v>
      </c>
      <c r="AM124" s="962">
        <v>31</v>
      </c>
      <c r="AN124" s="1110">
        <v>38</v>
      </c>
      <c r="AO124" s="1368">
        <v>31</v>
      </c>
      <c r="AP124" s="1369">
        <v>34</v>
      </c>
      <c r="AQ124" s="1368">
        <v>50</v>
      </c>
      <c r="AR124" s="2289">
        <v>57</v>
      </c>
      <c r="AS124" s="1368">
        <v>37</v>
      </c>
      <c r="AT124" s="2353">
        <v>35</v>
      </c>
      <c r="AU124" s="1274"/>
      <c r="AV124" s="1923">
        <f t="shared" si="72"/>
        <v>0.34722222222222221</v>
      </c>
      <c r="AW124" s="1924">
        <f t="shared" si="73"/>
        <v>0.3611111111111111</v>
      </c>
      <c r="AX124" s="1924">
        <f t="shared" si="74"/>
        <v>0.30508474576271188</v>
      </c>
      <c r="AY124" s="1924">
        <f t="shared" si="75"/>
        <v>0.30208333333333331</v>
      </c>
      <c r="AZ124" s="1924">
        <f t="shared" si="76"/>
        <v>0.27131782945736432</v>
      </c>
      <c r="BA124" s="1924">
        <f t="shared" si="77"/>
        <v>0.37234042553191488</v>
      </c>
      <c r="BB124" s="1924">
        <f t="shared" si="78"/>
        <v>0.27906976744186046</v>
      </c>
      <c r="BC124" s="1924">
        <f t="shared" si="79"/>
        <v>0.32188841201716739</v>
      </c>
      <c r="BD124" s="1924">
        <f t="shared" si="80"/>
        <v>0.375</v>
      </c>
      <c r="BE124" s="1924">
        <f t="shared" si="81"/>
        <v>0.37888198757763975</v>
      </c>
      <c r="BF124" s="1924">
        <f t="shared" si="82"/>
        <v>0.37634408602150538</v>
      </c>
      <c r="BG124" s="1924">
        <f t="shared" si="83"/>
        <v>0.40845070422535212</v>
      </c>
      <c r="BH124" s="1924">
        <f t="shared" si="84"/>
        <v>0.37209302325581395</v>
      </c>
      <c r="BI124" s="1924">
        <f t="shared" si="85"/>
        <v>0.38750000000000001</v>
      </c>
      <c r="BJ124" s="1925">
        <f t="shared" si="86"/>
        <v>0.4175824175824176</v>
      </c>
      <c r="BK124" s="1926">
        <f>'Non-marital births'!L125</f>
        <v>0.4861111111111111</v>
      </c>
      <c r="BL124" s="1927">
        <v>0.39080459770114945</v>
      </c>
      <c r="BM124" s="1928">
        <f t="shared" si="87"/>
        <v>0.51546391752577314</v>
      </c>
      <c r="BN124" s="2348">
        <f t="shared" si="88"/>
        <v>0.41605839416058393</v>
      </c>
      <c r="BO124" s="2348">
        <f t="shared" si="71"/>
        <v>0.5</v>
      </c>
      <c r="BP124" s="2343">
        <f t="shared" si="71"/>
        <v>0.4861111111111111</v>
      </c>
    </row>
    <row r="125" spans="1:68" s="142" customFormat="1" ht="13.5" customHeight="1" x14ac:dyDescent="0.3">
      <c r="A125" s="155" t="s">
        <v>240</v>
      </c>
      <c r="B125" s="187" t="s">
        <v>241</v>
      </c>
      <c r="C125" s="156" t="s">
        <v>255</v>
      </c>
      <c r="D125" s="941">
        <v>312</v>
      </c>
      <c r="E125" s="942">
        <v>313</v>
      </c>
      <c r="F125" s="943">
        <v>335</v>
      </c>
      <c r="G125" s="942">
        <v>373</v>
      </c>
      <c r="H125" s="943">
        <v>348</v>
      </c>
      <c r="I125" s="942">
        <v>398</v>
      </c>
      <c r="J125" s="943">
        <v>413</v>
      </c>
      <c r="K125" s="942">
        <v>435</v>
      </c>
      <c r="L125" s="955">
        <v>434</v>
      </c>
      <c r="M125" s="955">
        <v>495</v>
      </c>
      <c r="N125" s="955">
        <v>404</v>
      </c>
      <c r="O125" s="955">
        <v>392</v>
      </c>
      <c r="P125" s="954">
        <v>446</v>
      </c>
      <c r="Q125" s="954">
        <v>404</v>
      </c>
      <c r="R125" s="1107">
        <v>403</v>
      </c>
      <c r="S125" s="1367">
        <v>347</v>
      </c>
      <c r="T125" s="1908">
        <v>423</v>
      </c>
      <c r="U125" s="1908">
        <v>375</v>
      </c>
      <c r="V125" s="2291">
        <v>404</v>
      </c>
      <c r="W125" s="1367">
        <v>351</v>
      </c>
      <c r="X125" s="2351">
        <v>357</v>
      </c>
      <c r="Y125" s="1273"/>
      <c r="Z125" s="961">
        <v>125</v>
      </c>
      <c r="AA125" s="962">
        <v>134</v>
      </c>
      <c r="AB125" s="962">
        <v>132</v>
      </c>
      <c r="AC125" s="962">
        <v>143</v>
      </c>
      <c r="AD125" s="962">
        <v>173</v>
      </c>
      <c r="AE125" s="962">
        <v>174</v>
      </c>
      <c r="AF125" s="962">
        <v>198</v>
      </c>
      <c r="AG125" s="962">
        <v>208</v>
      </c>
      <c r="AH125" s="962">
        <v>217</v>
      </c>
      <c r="AI125" s="962">
        <v>274</v>
      </c>
      <c r="AJ125" s="962">
        <v>212</v>
      </c>
      <c r="AK125" s="962">
        <v>208</v>
      </c>
      <c r="AL125" s="962">
        <v>241</v>
      </c>
      <c r="AM125" s="962">
        <v>194</v>
      </c>
      <c r="AN125" s="1110">
        <v>200</v>
      </c>
      <c r="AO125" s="1368">
        <v>180</v>
      </c>
      <c r="AP125" s="1369">
        <v>214</v>
      </c>
      <c r="AQ125" s="1368">
        <v>190</v>
      </c>
      <c r="AR125" s="2289">
        <v>203</v>
      </c>
      <c r="AS125" s="1368">
        <v>178</v>
      </c>
      <c r="AT125" s="2353">
        <v>177</v>
      </c>
      <c r="AU125" s="1274"/>
      <c r="AV125" s="1923">
        <f t="shared" si="72"/>
        <v>0.40064102564102566</v>
      </c>
      <c r="AW125" s="1924">
        <f t="shared" si="73"/>
        <v>0.4281150159744409</v>
      </c>
      <c r="AX125" s="1924">
        <f t="shared" si="74"/>
        <v>0.39402985074626867</v>
      </c>
      <c r="AY125" s="1924">
        <f t="shared" si="75"/>
        <v>0.38337801608579086</v>
      </c>
      <c r="AZ125" s="1924">
        <f t="shared" si="76"/>
        <v>0.49712643678160917</v>
      </c>
      <c r="BA125" s="1924">
        <f t="shared" si="77"/>
        <v>0.43718592964824121</v>
      </c>
      <c r="BB125" s="1924">
        <f t="shared" si="78"/>
        <v>0.47941888619854722</v>
      </c>
      <c r="BC125" s="1924">
        <f t="shared" si="79"/>
        <v>0.47816091954022988</v>
      </c>
      <c r="BD125" s="1924">
        <f t="shared" si="80"/>
        <v>0.5</v>
      </c>
      <c r="BE125" s="1924">
        <f t="shared" si="81"/>
        <v>0.55353535353535355</v>
      </c>
      <c r="BF125" s="1924">
        <f t="shared" si="82"/>
        <v>0.52475247524752477</v>
      </c>
      <c r="BG125" s="1924">
        <f t="shared" si="83"/>
        <v>0.53061224489795922</v>
      </c>
      <c r="BH125" s="1924">
        <f t="shared" si="84"/>
        <v>0.54035874439461884</v>
      </c>
      <c r="BI125" s="1924">
        <f t="shared" si="85"/>
        <v>0.48019801980198018</v>
      </c>
      <c r="BJ125" s="1925">
        <f t="shared" si="86"/>
        <v>0.49627791563275436</v>
      </c>
      <c r="BK125" s="1926">
        <f>'Non-marital births'!L126</f>
        <v>0.49579831932773111</v>
      </c>
      <c r="BL125" s="1927">
        <v>0.50591016548463352</v>
      </c>
      <c r="BM125" s="1928">
        <f t="shared" si="87"/>
        <v>0.50666666666666671</v>
      </c>
      <c r="BN125" s="2348">
        <f t="shared" si="88"/>
        <v>0.50247524752475248</v>
      </c>
      <c r="BO125" s="2348">
        <f t="shared" si="71"/>
        <v>0.50712250712250717</v>
      </c>
      <c r="BP125" s="2344">
        <f t="shared" si="71"/>
        <v>0.49579831932773111</v>
      </c>
    </row>
    <row r="126" spans="1:68" s="142" customFormat="1" ht="15.75" customHeight="1" x14ac:dyDescent="0.3">
      <c r="A126" s="274"/>
      <c r="B126" s="231"/>
      <c r="C126" s="275"/>
      <c r="D126" s="152"/>
      <c r="E126" s="151"/>
      <c r="F126" s="152"/>
      <c r="G126" s="276"/>
      <c r="H126" s="152"/>
      <c r="I126" s="151"/>
      <c r="J126" s="152"/>
      <c r="K126" s="151"/>
      <c r="L126" s="277"/>
      <c r="M126" s="277"/>
      <c r="N126" s="277"/>
      <c r="O126" s="277"/>
    </row>
    <row r="127" spans="1:68" s="142" customFormat="1" ht="15.75" customHeight="1" x14ac:dyDescent="0.3">
      <c r="A127" s="274" t="s">
        <v>254</v>
      </c>
      <c r="B127" s="231"/>
      <c r="C127" s="275"/>
      <c r="D127" s="967">
        <v>14861</v>
      </c>
      <c r="E127" s="968">
        <v>14898</v>
      </c>
      <c r="F127" s="969">
        <v>15254</v>
      </c>
      <c r="G127" s="968">
        <v>15253</v>
      </c>
      <c r="H127" s="969">
        <v>15425</v>
      </c>
      <c r="I127" s="968">
        <v>15516</v>
      </c>
      <c r="J127" s="969">
        <v>16039</v>
      </c>
      <c r="K127" s="968">
        <v>16219</v>
      </c>
      <c r="L127" s="947">
        <v>16766</v>
      </c>
      <c r="M127" s="947">
        <v>17109</v>
      </c>
      <c r="N127" s="947">
        <v>16642</v>
      </c>
      <c r="O127" s="947">
        <v>16614</v>
      </c>
      <c r="P127" s="962">
        <v>15936</v>
      </c>
      <c r="Q127" s="962">
        <v>15784</v>
      </c>
      <c r="R127" s="1110">
        <v>15814</v>
      </c>
      <c r="S127" s="1368">
        <v>15776</v>
      </c>
      <c r="T127" s="1369">
        <v>16111</v>
      </c>
      <c r="U127" s="2289">
        <v>16251</v>
      </c>
      <c r="V127" s="2292">
        <v>15902</v>
      </c>
      <c r="W127" s="1368">
        <v>16012</v>
      </c>
      <c r="X127" s="2353">
        <v>16188</v>
      </c>
      <c r="Y127" s="1274"/>
      <c r="Z127" s="961">
        <v>5447</v>
      </c>
      <c r="AA127" s="962">
        <v>5289</v>
      </c>
      <c r="AB127" s="962">
        <v>5609</v>
      </c>
      <c r="AC127" s="962">
        <v>5598</v>
      </c>
      <c r="AD127" s="962">
        <v>5730</v>
      </c>
      <c r="AE127" s="962">
        <v>5905</v>
      </c>
      <c r="AF127" s="962">
        <v>6071</v>
      </c>
      <c r="AG127" s="962">
        <v>6314</v>
      </c>
      <c r="AH127" s="962">
        <v>6689</v>
      </c>
      <c r="AI127" s="962">
        <v>7088</v>
      </c>
      <c r="AJ127" s="962">
        <v>7257</v>
      </c>
      <c r="AK127" s="962">
        <v>7331</v>
      </c>
      <c r="AL127" s="962">
        <v>7026</v>
      </c>
      <c r="AM127" s="962">
        <v>6938</v>
      </c>
      <c r="AN127" s="1110">
        <v>7073</v>
      </c>
      <c r="AO127" s="1368">
        <v>6932</v>
      </c>
      <c r="AP127" s="1369">
        <v>6940</v>
      </c>
      <c r="AQ127" s="2289">
        <v>6937</v>
      </c>
      <c r="AR127" s="2292">
        <v>6711</v>
      </c>
      <c r="AS127" s="1368">
        <v>6901</v>
      </c>
      <c r="AT127" s="2353">
        <v>6937</v>
      </c>
      <c r="AU127" s="1274"/>
      <c r="AV127" s="1923">
        <f t="shared" ref="AV127:AV131" si="89">Z127/D127</f>
        <v>0.36652984321378101</v>
      </c>
      <c r="AW127" s="1924">
        <f t="shared" ref="AW127:AW131" si="90">AA127/E127</f>
        <v>0.35501409585179217</v>
      </c>
      <c r="AX127" s="1924">
        <f t="shared" ref="AX127:AX131" si="91">AB127/F127</f>
        <v>0.36770683099514884</v>
      </c>
      <c r="AY127" s="1924">
        <f t="shared" ref="AY127:AY131" si="92">AC127/G127</f>
        <v>0.36700976857011736</v>
      </c>
      <c r="AZ127" s="1924">
        <f t="shared" ref="AZ127:AZ131" si="93">AD127/H127</f>
        <v>0.37147487844408428</v>
      </c>
      <c r="BA127" s="1924">
        <f t="shared" ref="BA127:BA131" si="94">AE127/I127</f>
        <v>0.38057489043567932</v>
      </c>
      <c r="BB127" s="1924">
        <f t="shared" ref="BB127:BB131" si="95">AF127/J127</f>
        <v>0.37851487000436435</v>
      </c>
      <c r="BC127" s="1924">
        <f t="shared" ref="BC127:BC131" si="96">AG127/K127</f>
        <v>0.3892965041001295</v>
      </c>
      <c r="BD127" s="1924">
        <f t="shared" ref="BD127:BD131" si="97">AH127/L127</f>
        <v>0.39896218537516404</v>
      </c>
      <c r="BE127" s="1924">
        <f t="shared" ref="BE127:BE131" si="98">AI127/M127</f>
        <v>0.41428487930329067</v>
      </c>
      <c r="BF127" s="1924">
        <f t="shared" ref="BF127:BF131" si="99">AJ127/N127</f>
        <v>0.43606537675760126</v>
      </c>
      <c r="BG127" s="1924">
        <f t="shared" ref="BG127:BG131" si="100">AK127/O127</f>
        <v>0.44125436378957505</v>
      </c>
      <c r="BH127" s="1924">
        <f t="shared" ref="BH127:BH131" si="101">AL127/P127</f>
        <v>0.44088855421686746</v>
      </c>
      <c r="BI127" s="1924">
        <f t="shared" ref="BI127:BI131" si="102">AM127/Q127</f>
        <v>0.43955904713634059</v>
      </c>
      <c r="BJ127" s="1925">
        <f t="shared" ref="BJ127:BJ131" si="103">AN127/R127</f>
        <v>0.44726191981788288</v>
      </c>
      <c r="BK127" s="2348">
        <f>'Non-marital births'!L128</f>
        <v>0.42852730417593277</v>
      </c>
      <c r="BL127" s="2348">
        <v>0.43076159145925147</v>
      </c>
      <c r="BM127" s="2348">
        <f>AQ127/U127</f>
        <v>0.42686603901298381</v>
      </c>
      <c r="BN127" s="2348">
        <f>AR127/V127</f>
        <v>0.42202238712111684</v>
      </c>
      <c r="BO127" s="2348">
        <f>AS127/W127</f>
        <v>0.43098925805645766</v>
      </c>
      <c r="BP127" s="2355">
        <f t="shared" si="71"/>
        <v>0.42852730417593277</v>
      </c>
    </row>
    <row r="128" spans="1:68" s="142" customFormat="1" ht="15.75" customHeight="1" x14ac:dyDescent="0.3">
      <c r="A128" s="274" t="s">
        <v>252</v>
      </c>
      <c r="B128" s="231"/>
      <c r="C128" s="275"/>
      <c r="D128" s="967">
        <v>24881</v>
      </c>
      <c r="E128" s="968">
        <v>24733</v>
      </c>
      <c r="F128" s="969">
        <v>25322</v>
      </c>
      <c r="G128" s="968">
        <v>24848</v>
      </c>
      <c r="H128" s="969">
        <v>24919</v>
      </c>
      <c r="I128" s="968">
        <v>25143</v>
      </c>
      <c r="J128" s="969">
        <v>26101</v>
      </c>
      <c r="K128" s="968">
        <v>25645</v>
      </c>
      <c r="L128" s="947">
        <v>26221</v>
      </c>
      <c r="M128" s="947">
        <v>26325</v>
      </c>
      <c r="N128" s="947">
        <v>25712</v>
      </c>
      <c r="O128" s="947">
        <v>25179</v>
      </c>
      <c r="P128" s="962">
        <v>24458</v>
      </c>
      <c r="Q128" s="962">
        <v>24427</v>
      </c>
      <c r="R128" s="1110">
        <v>24262</v>
      </c>
      <c r="S128" s="1368">
        <v>23830</v>
      </c>
      <c r="T128" s="1369">
        <v>24105</v>
      </c>
      <c r="U128" s="2289">
        <v>24058</v>
      </c>
      <c r="V128" s="2292">
        <v>23727</v>
      </c>
      <c r="W128" s="1368">
        <v>23073</v>
      </c>
      <c r="X128" s="2353">
        <v>22851</v>
      </c>
      <c r="Y128" s="1274"/>
      <c r="Z128" s="961">
        <v>9291</v>
      </c>
      <c r="AA128" s="962">
        <v>9330</v>
      </c>
      <c r="AB128" s="962">
        <v>9472</v>
      </c>
      <c r="AC128" s="962">
        <v>9748</v>
      </c>
      <c r="AD128" s="962">
        <v>9595</v>
      </c>
      <c r="AE128" s="962">
        <v>9540</v>
      </c>
      <c r="AF128" s="962">
        <v>9892</v>
      </c>
      <c r="AG128" s="962">
        <v>9869</v>
      </c>
      <c r="AH128" s="962">
        <v>10432</v>
      </c>
      <c r="AI128" s="962">
        <v>10719</v>
      </c>
      <c r="AJ128" s="962">
        <v>10880</v>
      </c>
      <c r="AK128" s="962">
        <v>10686</v>
      </c>
      <c r="AL128" s="962">
        <v>10343</v>
      </c>
      <c r="AM128" s="962">
        <v>10366</v>
      </c>
      <c r="AN128" s="1110">
        <v>10274</v>
      </c>
      <c r="AO128" s="1368">
        <v>9828</v>
      </c>
      <c r="AP128" s="1369">
        <v>9595</v>
      </c>
      <c r="AQ128" s="2289">
        <v>9760</v>
      </c>
      <c r="AR128" s="2292">
        <v>9488</v>
      </c>
      <c r="AS128" s="1368">
        <v>9337</v>
      </c>
      <c r="AT128" s="2353">
        <v>9162</v>
      </c>
      <c r="AU128" s="1274"/>
      <c r="AV128" s="1923">
        <f t="shared" si="89"/>
        <v>0.37341746714360358</v>
      </c>
      <c r="AW128" s="1924">
        <f t="shared" si="90"/>
        <v>0.37722880362269035</v>
      </c>
      <c r="AX128" s="1924">
        <f t="shared" si="91"/>
        <v>0.37406208040439143</v>
      </c>
      <c r="AY128" s="1924">
        <f t="shared" si="92"/>
        <v>0.3923052157115261</v>
      </c>
      <c r="AZ128" s="1924">
        <f t="shared" si="93"/>
        <v>0.38504755407520364</v>
      </c>
      <c r="BA128" s="1924">
        <f t="shared" si="94"/>
        <v>0.37942966233146402</v>
      </c>
      <c r="BB128" s="1924">
        <f t="shared" si="95"/>
        <v>0.37898931075437725</v>
      </c>
      <c r="BC128" s="1924">
        <f t="shared" si="96"/>
        <v>0.38483135114057321</v>
      </c>
      <c r="BD128" s="1924">
        <f t="shared" si="97"/>
        <v>0.39784905228633538</v>
      </c>
      <c r="BE128" s="1924">
        <f t="shared" si="98"/>
        <v>0.40717948717948715</v>
      </c>
      <c r="BF128" s="1924">
        <f t="shared" si="99"/>
        <v>0.42314872433105166</v>
      </c>
      <c r="BG128" s="1924">
        <f t="shared" si="100"/>
        <v>0.42440128678660788</v>
      </c>
      <c r="BH128" s="1924">
        <f t="shared" si="101"/>
        <v>0.42288821653446723</v>
      </c>
      <c r="BI128" s="1924">
        <f t="shared" si="102"/>
        <v>0.42436647971506941</v>
      </c>
      <c r="BJ128" s="1925">
        <f t="shared" si="103"/>
        <v>0.42346055560135193</v>
      </c>
      <c r="BK128" s="2348">
        <f>'Non-marital births'!L129</f>
        <v>0.40094525403702247</v>
      </c>
      <c r="BL128" s="2348">
        <v>0.39805019705455302</v>
      </c>
      <c r="BM128" s="2348">
        <f t="shared" ref="BM128:BN131" si="104">AQ128/U128</f>
        <v>0.40568625820932747</v>
      </c>
      <c r="BN128" s="2348">
        <f t="shared" si="104"/>
        <v>0.39988199098073923</v>
      </c>
      <c r="BO128" s="2348">
        <f t="shared" ref="BO128:BP131" si="105">AS128/W128</f>
        <v>0.40467212759502447</v>
      </c>
      <c r="BP128" s="2355">
        <f t="shared" si="105"/>
        <v>0.40094525403702247</v>
      </c>
    </row>
    <row r="129" spans="1:68" s="142" customFormat="1" ht="15.75" customHeight="1" x14ac:dyDescent="0.3">
      <c r="A129" s="274" t="s">
        <v>255</v>
      </c>
      <c r="B129" s="231"/>
      <c r="C129" s="275"/>
      <c r="D129" s="967">
        <v>35694</v>
      </c>
      <c r="E129" s="968">
        <v>36681</v>
      </c>
      <c r="F129" s="969">
        <v>39163</v>
      </c>
      <c r="G129" s="968">
        <v>40025</v>
      </c>
      <c r="H129" s="969">
        <v>40777</v>
      </c>
      <c r="I129" s="968">
        <v>41403</v>
      </c>
      <c r="J129" s="969">
        <v>43538</v>
      </c>
      <c r="K129" s="968">
        <v>44159</v>
      </c>
      <c r="L129" s="947">
        <v>44509</v>
      </c>
      <c r="M129" s="947">
        <v>45402</v>
      </c>
      <c r="N129" s="947">
        <v>44861</v>
      </c>
      <c r="O129" s="947">
        <v>44477</v>
      </c>
      <c r="P129" s="962">
        <v>44469</v>
      </c>
      <c r="Q129" s="962">
        <v>44386</v>
      </c>
      <c r="R129" s="1110">
        <v>44671</v>
      </c>
      <c r="S129" s="1368">
        <v>44465</v>
      </c>
      <c r="T129" s="1369">
        <v>45206</v>
      </c>
      <c r="U129" s="2289">
        <v>44928</v>
      </c>
      <c r="V129" s="2292">
        <v>45132</v>
      </c>
      <c r="W129" s="1368">
        <v>43570</v>
      </c>
      <c r="X129" s="2353">
        <v>43450</v>
      </c>
      <c r="Y129" s="1274"/>
      <c r="Z129" s="961">
        <v>7391</v>
      </c>
      <c r="AA129" s="962">
        <v>7770</v>
      </c>
      <c r="AB129" s="962">
        <v>8404</v>
      </c>
      <c r="AC129" s="962">
        <v>8597</v>
      </c>
      <c r="AD129" s="962">
        <v>8836</v>
      </c>
      <c r="AE129" s="962">
        <v>9086</v>
      </c>
      <c r="AF129" s="962">
        <v>9941</v>
      </c>
      <c r="AG129" s="962">
        <v>10729</v>
      </c>
      <c r="AH129" s="962">
        <v>12002</v>
      </c>
      <c r="AI129" s="962">
        <v>12592</v>
      </c>
      <c r="AJ129" s="962">
        <v>12218</v>
      </c>
      <c r="AK129" s="962">
        <v>11948</v>
      </c>
      <c r="AL129" s="962">
        <v>11781</v>
      </c>
      <c r="AM129" s="962">
        <v>11754</v>
      </c>
      <c r="AN129" s="1110">
        <v>11526</v>
      </c>
      <c r="AO129" s="1368">
        <f>'Non-marital births'!H130</f>
        <v>11198</v>
      </c>
      <c r="AP129" s="1369">
        <v>11125</v>
      </c>
      <c r="AQ129" s="2289">
        <v>11492</v>
      </c>
      <c r="AR129" s="2292">
        <v>11586</v>
      </c>
      <c r="AS129" s="1368">
        <v>11291</v>
      </c>
      <c r="AT129" s="2353">
        <v>11198</v>
      </c>
      <c r="AU129" s="1274"/>
      <c r="AV129" s="1923">
        <f t="shared" si="89"/>
        <v>0.20706561326833642</v>
      </c>
      <c r="AW129" s="1924">
        <f t="shared" si="90"/>
        <v>0.21182628608816553</v>
      </c>
      <c r="AX129" s="1924">
        <f t="shared" si="91"/>
        <v>0.21459030207083216</v>
      </c>
      <c r="AY129" s="1924">
        <f t="shared" si="92"/>
        <v>0.21479075577763898</v>
      </c>
      <c r="AZ129" s="1924">
        <f t="shared" si="93"/>
        <v>0.21669078156804081</v>
      </c>
      <c r="BA129" s="1924">
        <f t="shared" si="94"/>
        <v>0.21945269666449291</v>
      </c>
      <c r="BB129" s="1924">
        <f t="shared" si="95"/>
        <v>0.22832927557535945</v>
      </c>
      <c r="BC129" s="1924">
        <f t="shared" si="96"/>
        <v>0.24296292941416245</v>
      </c>
      <c r="BD129" s="1924">
        <f t="shared" si="97"/>
        <v>0.26965332854029522</v>
      </c>
      <c r="BE129" s="1924">
        <f t="shared" si="98"/>
        <v>0.27734461036958724</v>
      </c>
      <c r="BF129" s="1924">
        <f t="shared" si="99"/>
        <v>0.27235237734334944</v>
      </c>
      <c r="BG129" s="1924">
        <f t="shared" si="100"/>
        <v>0.26863322616183644</v>
      </c>
      <c r="BH129" s="1924">
        <f t="shared" si="101"/>
        <v>0.26492612831410645</v>
      </c>
      <c r="BI129" s="1924">
        <f t="shared" si="102"/>
        <v>0.26481322939665658</v>
      </c>
      <c r="BJ129" s="1925">
        <f t="shared" si="103"/>
        <v>0.25801974435315977</v>
      </c>
      <c r="BK129" s="2348">
        <f>'Non-marital births'!L130</f>
        <v>0.25772151898734175</v>
      </c>
      <c r="BL129" s="2348">
        <v>0.24923682696987126</v>
      </c>
      <c r="BM129" s="2348">
        <f t="shared" si="104"/>
        <v>0.25578703703703703</v>
      </c>
      <c r="BN129" s="2348">
        <f t="shared" si="104"/>
        <v>0.25671363998936453</v>
      </c>
      <c r="BO129" s="2348">
        <f t="shared" si="105"/>
        <v>0.25914620151480378</v>
      </c>
      <c r="BP129" s="2355">
        <f t="shared" si="105"/>
        <v>0.25772151898734175</v>
      </c>
    </row>
    <row r="130" spans="1:68" s="142" customFormat="1" ht="15.75" customHeight="1" x14ac:dyDescent="0.3">
      <c r="A130" s="274" t="s">
        <v>253</v>
      </c>
      <c r="B130" s="231"/>
      <c r="C130" s="275"/>
      <c r="D130" s="967">
        <v>12551</v>
      </c>
      <c r="E130" s="968">
        <v>12673</v>
      </c>
      <c r="F130" s="969">
        <v>12972</v>
      </c>
      <c r="G130" s="968">
        <v>12464</v>
      </c>
      <c r="H130" s="969">
        <v>12174</v>
      </c>
      <c r="I130" s="968">
        <v>12548</v>
      </c>
      <c r="J130" s="969">
        <v>12297</v>
      </c>
      <c r="K130" s="968">
        <v>12569</v>
      </c>
      <c r="L130" s="947">
        <v>12953</v>
      </c>
      <c r="M130" s="947">
        <v>13375</v>
      </c>
      <c r="N130" s="947">
        <v>13243</v>
      </c>
      <c r="O130" s="947">
        <v>12806</v>
      </c>
      <c r="P130" s="962">
        <v>12220</v>
      </c>
      <c r="Q130" s="962">
        <v>12304</v>
      </c>
      <c r="R130" s="1110">
        <v>12217</v>
      </c>
      <c r="S130" s="1368">
        <v>12297</v>
      </c>
      <c r="T130" s="1369">
        <v>12024</v>
      </c>
      <c r="U130" s="2289">
        <v>12469</v>
      </c>
      <c r="V130" s="2292">
        <v>12165</v>
      </c>
      <c r="W130" s="1368">
        <v>11870</v>
      </c>
      <c r="X130" s="2353">
        <v>12053</v>
      </c>
      <c r="Y130" s="1274"/>
      <c r="Z130" s="961">
        <v>4302</v>
      </c>
      <c r="AA130" s="962">
        <v>4338</v>
      </c>
      <c r="AB130" s="962">
        <v>4562</v>
      </c>
      <c r="AC130" s="962">
        <v>4439</v>
      </c>
      <c r="AD130" s="962">
        <v>4429</v>
      </c>
      <c r="AE130" s="962">
        <v>4560</v>
      </c>
      <c r="AF130" s="962">
        <v>4642</v>
      </c>
      <c r="AG130" s="962">
        <v>4964</v>
      </c>
      <c r="AH130" s="962">
        <v>5262</v>
      </c>
      <c r="AI130" s="962">
        <v>5732</v>
      </c>
      <c r="AJ130" s="962">
        <v>5718</v>
      </c>
      <c r="AK130" s="962">
        <v>5446</v>
      </c>
      <c r="AL130" s="962">
        <v>5163</v>
      </c>
      <c r="AM130" s="962">
        <v>5213</v>
      </c>
      <c r="AN130" s="1110">
        <v>5201</v>
      </c>
      <c r="AO130" s="1368">
        <v>5256</v>
      </c>
      <c r="AP130" s="1369">
        <v>5075</v>
      </c>
      <c r="AQ130" s="2289">
        <v>5289</v>
      </c>
      <c r="AR130" s="2292">
        <v>4998</v>
      </c>
      <c r="AS130" s="1368">
        <v>5026</v>
      </c>
      <c r="AT130" s="2353">
        <v>4902</v>
      </c>
      <c r="AU130" s="1274"/>
      <c r="AV130" s="1923">
        <f t="shared" si="89"/>
        <v>0.34276153294558204</v>
      </c>
      <c r="AW130" s="1924">
        <f t="shared" si="90"/>
        <v>0.34230253294405427</v>
      </c>
      <c r="AX130" s="1924">
        <f t="shared" si="91"/>
        <v>0.3516805427073697</v>
      </c>
      <c r="AY130" s="1924">
        <f t="shared" si="92"/>
        <v>0.3561456996148909</v>
      </c>
      <c r="AZ130" s="1924">
        <f t="shared" si="93"/>
        <v>0.36380811565631677</v>
      </c>
      <c r="BA130" s="1924">
        <f t="shared" si="94"/>
        <v>0.36340452661778772</v>
      </c>
      <c r="BB130" s="1924">
        <f t="shared" si="95"/>
        <v>0.37749044482394079</v>
      </c>
      <c r="BC130" s="1924">
        <f t="shared" si="96"/>
        <v>0.39493993157769114</v>
      </c>
      <c r="BD130" s="1924">
        <f t="shared" si="97"/>
        <v>0.4062379371574153</v>
      </c>
      <c r="BE130" s="1924">
        <f t="shared" si="98"/>
        <v>0.4285607476635514</v>
      </c>
      <c r="BF130" s="1924">
        <f t="shared" si="99"/>
        <v>0.43177527750509703</v>
      </c>
      <c r="BG130" s="1924">
        <f t="shared" si="100"/>
        <v>0.42526940496642202</v>
      </c>
      <c r="BH130" s="1924">
        <f t="shared" si="101"/>
        <v>0.42250409165302782</v>
      </c>
      <c r="BI130" s="1924">
        <f t="shared" si="102"/>
        <v>0.42368335500650195</v>
      </c>
      <c r="BJ130" s="1925">
        <f t="shared" si="103"/>
        <v>0.42571826143897845</v>
      </c>
      <c r="BK130" s="2348">
        <f>'Non-marital births'!L131</f>
        <v>0.40670372521363973</v>
      </c>
      <c r="BL130" s="2348">
        <v>0.42207252162341985</v>
      </c>
      <c r="BM130" s="2348">
        <f t="shared" si="104"/>
        <v>0.42417194642713929</v>
      </c>
      <c r="BN130" s="2348">
        <f t="shared" si="104"/>
        <v>0.41085080147965475</v>
      </c>
      <c r="BO130" s="2348">
        <f t="shared" si="105"/>
        <v>0.42342038753159222</v>
      </c>
      <c r="BP130" s="2355">
        <f t="shared" si="105"/>
        <v>0.40670372521363973</v>
      </c>
    </row>
    <row r="131" spans="1:68" s="142" customFormat="1" ht="15.75" customHeight="1" x14ac:dyDescent="0.3">
      <c r="A131" s="274" t="s">
        <v>256</v>
      </c>
      <c r="B131" s="231"/>
      <c r="C131" s="275"/>
      <c r="D131" s="967">
        <v>6127</v>
      </c>
      <c r="E131" s="968">
        <v>6222</v>
      </c>
      <c r="F131" s="969">
        <v>6151</v>
      </c>
      <c r="G131" s="968">
        <v>5941</v>
      </c>
      <c r="H131" s="969">
        <v>5940</v>
      </c>
      <c r="I131" s="968">
        <v>5951</v>
      </c>
      <c r="J131" s="969">
        <v>5855</v>
      </c>
      <c r="K131" s="968">
        <v>5896</v>
      </c>
      <c r="L131" s="947">
        <v>6025</v>
      </c>
      <c r="M131" s="947">
        <v>6206</v>
      </c>
      <c r="N131" s="947">
        <v>6120</v>
      </c>
      <c r="O131" s="947">
        <v>5903</v>
      </c>
      <c r="P131" s="962">
        <v>5851</v>
      </c>
      <c r="Q131" s="962">
        <v>5624</v>
      </c>
      <c r="R131" s="1110">
        <v>5847</v>
      </c>
      <c r="S131" s="1368">
        <v>5608</v>
      </c>
      <c r="T131" s="1369">
        <v>5349</v>
      </c>
      <c r="U131" s="2289">
        <v>5367</v>
      </c>
      <c r="V131" s="2292">
        <v>5317</v>
      </c>
      <c r="W131" s="1368">
        <v>5128</v>
      </c>
      <c r="X131" s="2353">
        <v>5087</v>
      </c>
      <c r="Y131" s="1274"/>
      <c r="Z131" s="961">
        <v>1626</v>
      </c>
      <c r="AA131" s="962">
        <v>1578</v>
      </c>
      <c r="AB131" s="962">
        <v>1587</v>
      </c>
      <c r="AC131" s="962">
        <v>1540</v>
      </c>
      <c r="AD131" s="962">
        <v>1633</v>
      </c>
      <c r="AE131" s="962">
        <v>1678</v>
      </c>
      <c r="AF131" s="962">
        <v>1644</v>
      </c>
      <c r="AG131" s="962">
        <v>1805</v>
      </c>
      <c r="AH131" s="962">
        <v>1905</v>
      </c>
      <c r="AI131" s="962">
        <v>2150</v>
      </c>
      <c r="AJ131" s="962">
        <v>2128</v>
      </c>
      <c r="AK131" s="962">
        <v>2197</v>
      </c>
      <c r="AL131" s="962">
        <v>2219</v>
      </c>
      <c r="AM131" s="962">
        <v>2119</v>
      </c>
      <c r="AN131" s="1110">
        <v>2197</v>
      </c>
      <c r="AO131" s="1368">
        <v>2147</v>
      </c>
      <c r="AP131" s="1369">
        <v>2078</v>
      </c>
      <c r="AQ131" s="2289">
        <v>2034</v>
      </c>
      <c r="AR131" s="2292">
        <v>2011</v>
      </c>
      <c r="AS131" s="1368">
        <v>1942</v>
      </c>
      <c r="AT131" s="2353">
        <v>1464</v>
      </c>
      <c r="AU131" s="1274"/>
      <c r="AV131" s="1923">
        <f t="shared" si="89"/>
        <v>0.26538273216908764</v>
      </c>
      <c r="AW131" s="1924">
        <f t="shared" si="90"/>
        <v>0.25361620057859208</v>
      </c>
      <c r="AX131" s="1924">
        <f t="shared" si="91"/>
        <v>0.25800682815802306</v>
      </c>
      <c r="AY131" s="1924">
        <f t="shared" si="92"/>
        <v>0.25921562026594852</v>
      </c>
      <c r="AZ131" s="1924">
        <f t="shared" si="93"/>
        <v>0.27491582491582489</v>
      </c>
      <c r="BA131" s="1924">
        <f t="shared" si="94"/>
        <v>0.28196941690472188</v>
      </c>
      <c r="BB131" s="1924">
        <f t="shared" si="95"/>
        <v>0.28078565328778821</v>
      </c>
      <c r="BC131" s="1924">
        <f t="shared" si="96"/>
        <v>0.30613975576662145</v>
      </c>
      <c r="BD131" s="1924">
        <f t="shared" si="97"/>
        <v>0.31618257261410787</v>
      </c>
      <c r="BE131" s="1924">
        <f t="shared" si="98"/>
        <v>0.34643893006767645</v>
      </c>
      <c r="BF131" s="1924">
        <f t="shared" si="99"/>
        <v>0.34771241830065358</v>
      </c>
      <c r="BG131" s="1924">
        <f t="shared" si="100"/>
        <v>0.37218363543960697</v>
      </c>
      <c r="BH131" s="1924">
        <f t="shared" si="101"/>
        <v>0.37925141001538198</v>
      </c>
      <c r="BI131" s="1924">
        <f t="shared" si="102"/>
        <v>0.37677809388335703</v>
      </c>
      <c r="BJ131" s="1925">
        <f t="shared" si="103"/>
        <v>0.37574824696425518</v>
      </c>
      <c r="BK131" s="2348">
        <f>'Non-marital births'!L132</f>
        <v>0.28779241203066641</v>
      </c>
      <c r="BL131" s="2348">
        <v>0.38848382875303794</v>
      </c>
      <c r="BM131" s="2348">
        <f t="shared" si="104"/>
        <v>0.37898267188373391</v>
      </c>
      <c r="BN131" s="2348">
        <f t="shared" si="104"/>
        <v>0.37822080120368629</v>
      </c>
      <c r="BO131" s="2348">
        <f t="shared" si="105"/>
        <v>0.37870514820592821</v>
      </c>
      <c r="BP131" s="2355">
        <f t="shared" si="105"/>
        <v>0.28779241203066641</v>
      </c>
    </row>
    <row r="132" spans="1:68" s="142" customFormat="1" ht="15.75" customHeight="1" x14ac:dyDescent="0.3">
      <c r="A132" s="274"/>
      <c r="B132" s="231"/>
      <c r="C132" s="275"/>
      <c r="D132" s="152"/>
      <c r="E132" s="151"/>
      <c r="F132" s="152"/>
      <c r="G132" s="276"/>
      <c r="H132" s="152"/>
      <c r="I132" s="151"/>
      <c r="J132" s="152"/>
      <c r="K132" s="151"/>
      <c r="L132" s="277"/>
      <c r="M132" s="277"/>
      <c r="N132" s="277"/>
      <c r="O132" s="277"/>
    </row>
    <row r="133" spans="1:68" ht="31.5" customHeight="1" x14ac:dyDescent="0.3">
      <c r="A133" s="2720" t="s">
        <v>914</v>
      </c>
      <c r="B133" s="2720"/>
      <c r="C133" s="2720"/>
      <c r="D133" s="2720"/>
      <c r="E133" s="2720"/>
      <c r="F133" s="2720"/>
      <c r="G133" s="2720"/>
    </row>
    <row r="134" spans="1:68" s="182" customFormat="1" ht="13.8" x14ac:dyDescent="0.3">
      <c r="A134" s="182" t="s">
        <v>248</v>
      </c>
    </row>
    <row r="135" spans="1:68" s="182" customFormat="1" ht="13.8" x14ac:dyDescent="0.3">
      <c r="A135" s="188" t="s">
        <v>249</v>
      </c>
      <c r="B135" s="167" t="s">
        <v>250</v>
      </c>
    </row>
  </sheetData>
  <autoFilter ref="A4:C125"/>
  <sortState ref="A6:BP125">
    <sortCondition ref="A6:A125"/>
  </sortState>
  <mergeCells count="4">
    <mergeCell ref="A133:G133"/>
    <mergeCell ref="D3:T3"/>
    <mergeCell ref="Z3:AP3"/>
    <mergeCell ref="AV3:BL3"/>
  </mergeCells>
  <hyperlinks>
    <hyperlink ref="B135" r:id="rId1"/>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P135"/>
  <sheetViews>
    <sheetView workbookViewId="0">
      <pane xSplit="3" ySplit="5" topLeftCell="AR107" activePane="bottomRight" state="frozen"/>
      <selection pane="topRight" activeCell="D1" sqref="D1"/>
      <selection pane="bottomLeft" activeCell="A6" sqref="A6"/>
      <selection pane="bottomRight" activeCell="AT127" sqref="AT127:AT131"/>
    </sheetView>
  </sheetViews>
  <sheetFormatPr defaultColWidth="9" defaultRowHeight="15.6" x14ac:dyDescent="0.3"/>
  <cols>
    <col min="1" max="1" width="7.69921875" style="134" customWidth="1"/>
    <col min="2" max="2" width="28.59765625" style="158" customWidth="1"/>
    <col min="3" max="3" width="10" style="158" customWidth="1"/>
    <col min="4" max="4" width="8.19921875" style="158" customWidth="1"/>
    <col min="5" max="7" width="8.19921875" style="157" customWidth="1"/>
    <col min="8" max="11" width="8.19921875" style="134" customWidth="1"/>
    <col min="12" max="15" width="8.19921875" style="135" customWidth="1"/>
    <col min="16" max="24" width="8.19921875" style="134" customWidth="1"/>
    <col min="25" max="25" width="4.19921875" style="134" customWidth="1"/>
    <col min="26" max="46" width="9" style="134"/>
    <col min="47" max="47" width="4.5" style="134" customWidth="1"/>
    <col min="48" max="16384" width="9" style="134"/>
  </cols>
  <sheetData>
    <row r="1" spans="1:68" x14ac:dyDescent="0.3">
      <c r="A1" s="301" t="s">
        <v>1130</v>
      </c>
      <c r="B1" s="301"/>
      <c r="C1" s="301"/>
      <c r="D1" s="301"/>
      <c r="E1" s="301"/>
      <c r="F1" s="301"/>
      <c r="G1" s="301"/>
      <c r="H1" s="301"/>
      <c r="I1" s="302"/>
      <c r="J1" s="302"/>
      <c r="K1" s="302"/>
      <c r="L1" s="302"/>
      <c r="M1" s="302"/>
      <c r="N1" s="302"/>
      <c r="O1" s="302"/>
    </row>
    <row r="2" spans="1:68" ht="18" customHeight="1" x14ac:dyDescent="0.3">
      <c r="A2" s="2299">
        <v>1</v>
      </c>
      <c r="B2" s="136">
        <v>2</v>
      </c>
      <c r="C2" s="136">
        <v>3</v>
      </c>
      <c r="D2" s="2299">
        <v>4</v>
      </c>
      <c r="E2" s="136">
        <v>5</v>
      </c>
      <c r="F2" s="136">
        <v>6</v>
      </c>
      <c r="G2" s="2299">
        <v>7</v>
      </c>
      <c r="H2" s="136">
        <v>8</v>
      </c>
      <c r="I2" s="136">
        <v>9</v>
      </c>
      <c r="J2" s="2299">
        <v>10</v>
      </c>
      <c r="K2" s="136">
        <v>11</v>
      </c>
      <c r="L2" s="136">
        <v>12</v>
      </c>
      <c r="M2" s="2299">
        <v>13</v>
      </c>
      <c r="N2" s="136">
        <v>14</v>
      </c>
      <c r="O2" s="136">
        <v>15</v>
      </c>
      <c r="P2" s="2299">
        <v>16</v>
      </c>
      <c r="Q2" s="136">
        <v>17</v>
      </c>
      <c r="R2" s="136">
        <v>18</v>
      </c>
      <c r="S2" s="2299">
        <v>19</v>
      </c>
      <c r="T2" s="136">
        <v>20</v>
      </c>
      <c r="U2" s="136">
        <v>21</v>
      </c>
      <c r="V2" s="2299">
        <v>22</v>
      </c>
      <c r="W2" s="136">
        <v>23</v>
      </c>
      <c r="X2" s="136">
        <v>24</v>
      </c>
      <c r="Y2" s="2299">
        <v>25</v>
      </c>
      <c r="Z2" s="136">
        <v>26</v>
      </c>
      <c r="AA2" s="136">
        <v>27</v>
      </c>
      <c r="AB2" s="2299">
        <v>28</v>
      </c>
      <c r="AC2" s="136">
        <v>29</v>
      </c>
      <c r="AD2" s="136">
        <v>30</v>
      </c>
      <c r="AE2" s="2299">
        <v>31</v>
      </c>
      <c r="AF2" s="136">
        <v>32</v>
      </c>
      <c r="AG2" s="136">
        <v>33</v>
      </c>
      <c r="AH2" s="2299">
        <v>34</v>
      </c>
      <c r="AI2" s="136">
        <v>35</v>
      </c>
      <c r="AJ2" s="136">
        <v>36</v>
      </c>
      <c r="AK2" s="2299">
        <v>37</v>
      </c>
      <c r="AL2" s="136">
        <v>38</v>
      </c>
      <c r="AM2" s="136">
        <v>39</v>
      </c>
      <c r="AN2" s="2299">
        <v>40</v>
      </c>
      <c r="AO2" s="136">
        <v>41</v>
      </c>
      <c r="AP2" s="136">
        <v>42</v>
      </c>
      <c r="AQ2" s="2299">
        <v>43</v>
      </c>
      <c r="AR2" s="136">
        <v>44</v>
      </c>
      <c r="AS2" s="136">
        <v>45</v>
      </c>
      <c r="AT2" s="2299">
        <v>46</v>
      </c>
      <c r="AU2" s="136">
        <v>47</v>
      </c>
      <c r="AV2" s="136">
        <v>48</v>
      </c>
      <c r="AW2" s="2299">
        <v>49</v>
      </c>
      <c r="AX2" s="136">
        <v>50</v>
      </c>
      <c r="AY2" s="136">
        <v>51</v>
      </c>
      <c r="AZ2" s="2299">
        <v>52</v>
      </c>
      <c r="BA2" s="136">
        <v>53</v>
      </c>
      <c r="BB2" s="136">
        <v>54</v>
      </c>
      <c r="BC2" s="2299">
        <v>55</v>
      </c>
      <c r="BD2" s="136">
        <v>56</v>
      </c>
      <c r="BE2" s="136">
        <v>57</v>
      </c>
      <c r="BF2" s="2299">
        <v>58</v>
      </c>
      <c r="BG2" s="136">
        <v>59</v>
      </c>
      <c r="BH2" s="136">
        <v>60</v>
      </c>
      <c r="BI2" s="2299">
        <v>61</v>
      </c>
      <c r="BJ2" s="136">
        <v>62</v>
      </c>
      <c r="BK2" s="136">
        <v>63</v>
      </c>
      <c r="BL2" s="2299">
        <v>64</v>
      </c>
      <c r="BM2" s="136">
        <v>65</v>
      </c>
      <c r="BN2" s="136">
        <v>66</v>
      </c>
      <c r="BO2" s="2299">
        <v>67</v>
      </c>
      <c r="BP2" s="136">
        <v>68</v>
      </c>
    </row>
    <row r="3" spans="1:68" ht="15.75" customHeight="1" x14ac:dyDescent="0.3">
      <c r="A3" s="96"/>
      <c r="B3" s="136"/>
      <c r="C3" s="136"/>
      <c r="D3" s="2733" t="s">
        <v>1131</v>
      </c>
      <c r="E3" s="2733"/>
      <c r="F3" s="2733"/>
      <c r="G3" s="2733"/>
      <c r="H3" s="2733"/>
      <c r="I3" s="2733"/>
      <c r="J3" s="2733"/>
      <c r="K3" s="2733"/>
      <c r="L3" s="2733"/>
      <c r="M3" s="2733"/>
      <c r="N3" s="2733"/>
      <c r="O3" s="2733"/>
      <c r="P3" s="2733"/>
      <c r="Q3" s="2733"/>
      <c r="R3" s="2733"/>
      <c r="S3" s="2733"/>
      <c r="T3" s="2733"/>
      <c r="U3" s="1374"/>
      <c r="V3" s="1901"/>
      <c r="W3" s="2293"/>
      <c r="X3" s="2339"/>
      <c r="Y3" s="1266"/>
      <c r="Z3" s="2734" t="s">
        <v>800</v>
      </c>
      <c r="AA3" s="2734"/>
      <c r="AB3" s="2734"/>
      <c r="AC3" s="2734"/>
      <c r="AD3" s="2734"/>
      <c r="AE3" s="2734"/>
      <c r="AF3" s="2734"/>
      <c r="AG3" s="2734"/>
      <c r="AH3" s="2734"/>
      <c r="AI3" s="2734"/>
      <c r="AJ3" s="2734"/>
      <c r="AK3" s="2734"/>
      <c r="AL3" s="2734"/>
      <c r="AM3" s="2734"/>
      <c r="AN3" s="2734"/>
      <c r="AO3" s="2734"/>
      <c r="AP3" s="2734"/>
      <c r="AQ3" s="1375"/>
      <c r="AR3" s="1902"/>
      <c r="AS3" s="1909"/>
      <c r="AT3" s="1909"/>
      <c r="AU3" s="1267"/>
      <c r="AV3" s="2736" t="s">
        <v>715</v>
      </c>
      <c r="AW3" s="2736"/>
      <c r="AX3" s="2736"/>
      <c r="AY3" s="2736"/>
      <c r="AZ3" s="2736"/>
      <c r="BA3" s="2736"/>
      <c r="BB3" s="2736"/>
      <c r="BC3" s="2736"/>
      <c r="BD3" s="2736"/>
      <c r="BE3" s="2736"/>
      <c r="BF3" s="2736"/>
      <c r="BG3" s="2736"/>
      <c r="BH3" s="2736"/>
      <c r="BI3" s="2736"/>
      <c r="BJ3" s="2736"/>
    </row>
    <row r="4" spans="1:68" s="142" customFormat="1" ht="15" customHeight="1" x14ac:dyDescent="0.3">
      <c r="A4" s="946" t="s">
        <v>4</v>
      </c>
      <c r="B4" s="945" t="s">
        <v>5</v>
      </c>
      <c r="C4" s="945" t="s">
        <v>251</v>
      </c>
      <c r="D4" s="956">
        <v>1998</v>
      </c>
      <c r="E4" s="957">
        <v>1999</v>
      </c>
      <c r="F4" s="957">
        <v>2000</v>
      </c>
      <c r="G4" s="957">
        <v>2001</v>
      </c>
      <c r="H4" s="957">
        <v>2002</v>
      </c>
      <c r="I4" s="957">
        <v>2003</v>
      </c>
      <c r="J4" s="957">
        <v>2004</v>
      </c>
      <c r="K4" s="957">
        <v>2005</v>
      </c>
      <c r="L4" s="957">
        <v>2006</v>
      </c>
      <c r="M4" s="957">
        <v>2007</v>
      </c>
      <c r="N4" s="957">
        <v>2008</v>
      </c>
      <c r="O4" s="958">
        <v>2009</v>
      </c>
      <c r="P4" s="959">
        <v>2010</v>
      </c>
      <c r="Q4" s="959">
        <v>2011</v>
      </c>
      <c r="R4" s="1105">
        <v>2012</v>
      </c>
      <c r="S4" s="960">
        <v>2013</v>
      </c>
      <c r="T4" s="1271">
        <v>2014</v>
      </c>
      <c r="U4" s="1932">
        <v>2015</v>
      </c>
      <c r="V4" s="2287">
        <v>2016</v>
      </c>
      <c r="W4" s="1903">
        <v>2017</v>
      </c>
      <c r="X4" s="1906">
        <v>2018</v>
      </c>
      <c r="Y4" s="1271"/>
      <c r="Z4" s="966">
        <v>1998</v>
      </c>
      <c r="AA4" s="959">
        <v>1999</v>
      </c>
      <c r="AB4" s="959">
        <v>2000</v>
      </c>
      <c r="AC4" s="959">
        <v>2001</v>
      </c>
      <c r="AD4" s="959">
        <v>2002</v>
      </c>
      <c r="AE4" s="959">
        <v>2003</v>
      </c>
      <c r="AF4" s="959">
        <v>2004</v>
      </c>
      <c r="AG4" s="959">
        <v>2005</v>
      </c>
      <c r="AH4" s="959">
        <v>2006</v>
      </c>
      <c r="AI4" s="959">
        <v>2007</v>
      </c>
      <c r="AJ4" s="959">
        <v>2008</v>
      </c>
      <c r="AK4" s="959">
        <v>2009</v>
      </c>
      <c r="AL4" s="959">
        <v>2010</v>
      </c>
      <c r="AM4" s="959">
        <v>2011</v>
      </c>
      <c r="AN4" s="1105">
        <v>2012</v>
      </c>
      <c r="AO4" s="960">
        <v>2013</v>
      </c>
      <c r="AP4" s="1276">
        <v>2014</v>
      </c>
      <c r="AQ4" s="1932">
        <v>2015</v>
      </c>
      <c r="AR4" s="2287">
        <v>2016</v>
      </c>
      <c r="AS4" s="1903">
        <v>2017</v>
      </c>
      <c r="AT4" s="1906">
        <v>2018</v>
      </c>
      <c r="AU4" s="1271"/>
      <c r="AV4" s="966">
        <v>1998</v>
      </c>
      <c r="AW4" s="959">
        <v>1999</v>
      </c>
      <c r="AX4" s="959">
        <v>2000</v>
      </c>
      <c r="AY4" s="959">
        <v>2001</v>
      </c>
      <c r="AZ4" s="959">
        <v>2002</v>
      </c>
      <c r="BA4" s="959">
        <v>2003</v>
      </c>
      <c r="BB4" s="959">
        <v>2004</v>
      </c>
      <c r="BC4" s="959">
        <v>2005</v>
      </c>
      <c r="BD4" s="959">
        <v>2006</v>
      </c>
      <c r="BE4" s="959">
        <v>2007</v>
      </c>
      <c r="BF4" s="959">
        <v>2008</v>
      </c>
      <c r="BG4" s="959">
        <v>2009</v>
      </c>
      <c r="BH4" s="959">
        <v>2010</v>
      </c>
      <c r="BI4" s="959">
        <v>2011</v>
      </c>
      <c r="BJ4" s="1105">
        <v>2012</v>
      </c>
      <c r="BK4" s="960">
        <v>2013</v>
      </c>
      <c r="BL4" s="1276">
        <v>2014</v>
      </c>
      <c r="BM4" s="1939">
        <v>2015</v>
      </c>
      <c r="BN4" s="2287">
        <v>2016</v>
      </c>
      <c r="BO4" s="2362">
        <v>2017</v>
      </c>
      <c r="BP4" s="1906">
        <v>2018</v>
      </c>
    </row>
    <row r="5" spans="1:68" s="142" customFormat="1" ht="15.75" customHeight="1" x14ac:dyDescent="0.3">
      <c r="A5" s="146" t="s">
        <v>8</v>
      </c>
      <c r="B5" s="147" t="s">
        <v>9</v>
      </c>
      <c r="C5" s="148"/>
      <c r="D5" s="948">
        <v>10102</v>
      </c>
      <c r="E5" s="949">
        <v>10090</v>
      </c>
      <c r="F5" s="949">
        <v>9803</v>
      </c>
      <c r="G5" s="949">
        <v>9577</v>
      </c>
      <c r="H5" s="949">
        <v>9195</v>
      </c>
      <c r="I5" s="949">
        <v>8941</v>
      </c>
      <c r="J5" s="949">
        <v>8914</v>
      </c>
      <c r="K5" s="949">
        <v>8905</v>
      </c>
      <c r="L5" s="950">
        <v>9196</v>
      </c>
      <c r="M5" s="950">
        <v>9306</v>
      </c>
      <c r="N5" s="950">
        <v>8902</v>
      </c>
      <c r="O5" s="950">
        <v>8284</v>
      </c>
      <c r="P5" s="951">
        <v>7444</v>
      </c>
      <c r="Q5" s="951">
        <v>6572</v>
      </c>
      <c r="R5" s="1106">
        <v>6134</v>
      </c>
      <c r="S5" s="952">
        <v>5316</v>
      </c>
      <c r="T5" s="1272">
        <v>4890</v>
      </c>
      <c r="U5" s="1936">
        <v>4544</v>
      </c>
      <c r="V5" s="2290">
        <v>4140</v>
      </c>
      <c r="W5" s="1904">
        <v>3994</v>
      </c>
      <c r="X5" s="2350">
        <v>3824</v>
      </c>
      <c r="Y5" s="1272"/>
      <c r="Z5" s="963">
        <v>459326</v>
      </c>
      <c r="AA5" s="964">
        <v>465568</v>
      </c>
      <c r="AB5" s="964">
        <v>478240</v>
      </c>
      <c r="AC5" s="964">
        <v>486425</v>
      </c>
      <c r="AD5" s="964">
        <v>492384</v>
      </c>
      <c r="AE5" s="964">
        <v>499398</v>
      </c>
      <c r="AF5" s="964">
        <v>503412</v>
      </c>
      <c r="AG5" s="964">
        <v>506205</v>
      </c>
      <c r="AH5" s="964">
        <v>502344</v>
      </c>
      <c r="AI5" s="964">
        <v>505848</v>
      </c>
      <c r="AJ5" s="964">
        <v>503210</v>
      </c>
      <c r="AK5" s="964">
        <v>505976</v>
      </c>
      <c r="AL5" s="964">
        <v>519085</v>
      </c>
      <c r="AM5" s="964">
        <v>517392</v>
      </c>
      <c r="AN5" s="1109">
        <v>517793</v>
      </c>
      <c r="AO5" s="965">
        <v>518354</v>
      </c>
      <c r="AP5" s="1390">
        <v>519897</v>
      </c>
      <c r="AQ5" s="1933">
        <v>520201</v>
      </c>
      <c r="AR5" s="2288">
        <v>521283</v>
      </c>
      <c r="AS5" s="1910">
        <v>522266</v>
      </c>
      <c r="AT5" s="2352">
        <v>525559</v>
      </c>
      <c r="AU5" s="1275"/>
      <c r="AV5" s="975">
        <f t="shared" ref="AV5:AV36" si="0">IF(Z5=0,"NA",(D5/Z5)*1000)</f>
        <v>21.993094229370861</v>
      </c>
      <c r="AW5" s="976">
        <f t="shared" ref="AW5:AW36" si="1">IF(AA5=0,"NA",(E5/AA5)*1000)</f>
        <v>21.672451714894493</v>
      </c>
      <c r="AX5" s="976">
        <f t="shared" ref="AX5:AX36" si="2">IF(AB5=0,"NA",(F5/AB5)*1000)</f>
        <v>20.498076279692203</v>
      </c>
      <c r="AY5" s="976">
        <f t="shared" ref="AY5:AY36" si="3">IF(AC5=0,"NA",(G5/AC5)*1000)</f>
        <v>19.688543968751606</v>
      </c>
      <c r="AZ5" s="976">
        <f t="shared" ref="AZ5:AZ36" si="4">IF(AD5=0,"NA",(H5/AD5)*1000)</f>
        <v>18.674449210372391</v>
      </c>
      <c r="BA5" s="976">
        <f t="shared" ref="BA5:BA36" si="5">IF(AE5=0,"NA",(I5/AE5)*1000)</f>
        <v>17.903555881281065</v>
      </c>
      <c r="BB5" s="976">
        <f t="shared" ref="BB5:BB36" si="6">IF(AF5=0,"NA",(J5/AF5)*1000)</f>
        <v>17.707166297187989</v>
      </c>
      <c r="BC5" s="976">
        <f t="shared" ref="BC5:BC36" si="7">IF(AG5=0,"NA",(K5/AG5)*1000)</f>
        <v>17.591687162315662</v>
      </c>
      <c r="BD5" s="976">
        <f t="shared" ref="BD5:BD36" si="8">IF(AH5=0,"NA",(L5/AH5)*1000)</f>
        <v>18.306180625228926</v>
      </c>
      <c r="BE5" s="976">
        <f t="shared" ref="BE5:BE36" si="9">IF(AI5=0,"NA",(M5/AI5)*1000)</f>
        <v>18.39683066850121</v>
      </c>
      <c r="BF5" s="976">
        <f t="shared" ref="BF5:BF36" si="10">IF(AJ5=0,"NA",(N5/AJ5)*1000)</f>
        <v>17.690427455734188</v>
      </c>
      <c r="BG5" s="976">
        <f t="shared" ref="BG5:BG36" si="11">IF(AK5=0,"NA",(O5/AK5)*1000)</f>
        <v>16.372318054611284</v>
      </c>
      <c r="BH5" s="976">
        <f t="shared" ref="BH5:BH36" si="12">IF(AL5=0,"NA",(P5/AL5)*1000)</f>
        <v>14.340618588477803</v>
      </c>
      <c r="BI5" s="976">
        <f t="shared" ref="BI5:BI36" si="13">IF(AM5=0,"NA",(Q5/AM5)*1000)</f>
        <v>12.702167795404645</v>
      </c>
      <c r="BJ5" s="1112">
        <f t="shared" ref="BJ5:BJ36" si="14">IF(AN5=0,"NA",(R5/AN5)*1000)</f>
        <v>11.846432840922917</v>
      </c>
      <c r="BK5" s="1115">
        <f t="shared" ref="BK5:BK36" si="15">IF(AO5=0,"NA",(S5/AO5)*1000)</f>
        <v>10.25553965050911</v>
      </c>
      <c r="BL5" s="1281">
        <f t="shared" ref="BL5:BL36" si="16">IF(AP5=0,"NA",(T5/AP5)*1000)</f>
        <v>9.405709207785387</v>
      </c>
      <c r="BM5" s="1940">
        <f t="shared" ref="BM5:BM36" si="17">IF(AQ5=0,"NA",(U5/AQ5)*1000)</f>
        <v>8.735085092108628</v>
      </c>
      <c r="BN5" s="2295">
        <f t="shared" ref="BN5:BN36" si="18">IF(AR5=0,"NA",(V5/AR5)*1000)</f>
        <v>7.9419432438809618</v>
      </c>
      <c r="BO5" s="2363">
        <f t="shared" ref="BO5:BP36" si="19">(W5/AS5)*1000</f>
        <v>7.6474440227776652</v>
      </c>
      <c r="BP5" s="2298">
        <f t="shared" si="19"/>
        <v>7.2760622499091445</v>
      </c>
    </row>
    <row r="6" spans="1:68" s="142" customFormat="1" ht="15.75" customHeight="1" x14ac:dyDescent="0.3">
      <c r="A6" s="149" t="s">
        <v>10</v>
      </c>
      <c r="B6" s="184" t="s">
        <v>11</v>
      </c>
      <c r="C6" s="150" t="s">
        <v>252</v>
      </c>
      <c r="D6" s="938">
        <v>67</v>
      </c>
      <c r="E6" s="939">
        <v>81</v>
      </c>
      <c r="F6" s="940">
        <v>86</v>
      </c>
      <c r="G6" s="939">
        <v>60</v>
      </c>
      <c r="H6" s="940">
        <v>85</v>
      </c>
      <c r="I6" s="939">
        <v>87</v>
      </c>
      <c r="J6" s="940">
        <v>74</v>
      </c>
      <c r="K6" s="939">
        <v>86</v>
      </c>
      <c r="L6" s="953">
        <v>79</v>
      </c>
      <c r="M6" s="953">
        <v>89</v>
      </c>
      <c r="N6" s="953">
        <v>76</v>
      </c>
      <c r="O6" s="953">
        <v>49</v>
      </c>
      <c r="P6" s="954">
        <v>53</v>
      </c>
      <c r="Q6" s="954">
        <v>43</v>
      </c>
      <c r="R6" s="1107">
        <v>32</v>
      </c>
      <c r="S6" s="1108">
        <v>23</v>
      </c>
      <c r="T6" s="1273">
        <v>30</v>
      </c>
      <c r="U6" s="1937">
        <v>25</v>
      </c>
      <c r="V6" s="2291">
        <v>21</v>
      </c>
      <c r="W6" s="1367">
        <v>25</v>
      </c>
      <c r="X6" s="2351">
        <v>22</v>
      </c>
      <c r="Y6" s="1273"/>
      <c r="Z6" s="961">
        <v>2001</v>
      </c>
      <c r="AA6" s="962">
        <v>1999</v>
      </c>
      <c r="AB6" s="962">
        <v>2471</v>
      </c>
      <c r="AC6" s="962">
        <v>2535</v>
      </c>
      <c r="AD6" s="962">
        <v>2552</v>
      </c>
      <c r="AE6" s="962">
        <v>2605</v>
      </c>
      <c r="AF6" s="962">
        <v>2554</v>
      </c>
      <c r="AG6" s="962">
        <v>2515</v>
      </c>
      <c r="AH6" s="962">
        <v>2448</v>
      </c>
      <c r="AI6" s="962">
        <v>2363</v>
      </c>
      <c r="AJ6" s="962">
        <v>2319</v>
      </c>
      <c r="AK6" s="962">
        <v>2273</v>
      </c>
      <c r="AL6" s="962">
        <v>1817</v>
      </c>
      <c r="AM6" s="962">
        <v>1793</v>
      </c>
      <c r="AN6" s="1110">
        <v>1757</v>
      </c>
      <c r="AO6" s="1111">
        <v>1736</v>
      </c>
      <c r="AP6" s="1391">
        <v>1686</v>
      </c>
      <c r="AQ6" s="1934">
        <v>1669</v>
      </c>
      <c r="AR6" s="2289">
        <v>1731</v>
      </c>
      <c r="AS6" s="1368">
        <v>1701</v>
      </c>
      <c r="AT6" s="2353">
        <v>1700</v>
      </c>
      <c r="AU6" s="1274"/>
      <c r="AV6" s="977">
        <f t="shared" si="0"/>
        <v>33.483258370814596</v>
      </c>
      <c r="AW6" s="978">
        <f t="shared" si="1"/>
        <v>40.520260130065033</v>
      </c>
      <c r="AX6" s="978">
        <f t="shared" si="2"/>
        <v>34.803723188992308</v>
      </c>
      <c r="AY6" s="978">
        <f t="shared" si="3"/>
        <v>23.668639053254438</v>
      </c>
      <c r="AZ6" s="978">
        <f t="shared" si="4"/>
        <v>33.307210031347964</v>
      </c>
      <c r="BA6" s="978">
        <f t="shared" si="5"/>
        <v>33.397312859884835</v>
      </c>
      <c r="BB6" s="978">
        <f t="shared" si="6"/>
        <v>28.974158183241972</v>
      </c>
      <c r="BC6" s="978">
        <f t="shared" si="7"/>
        <v>34.194831013916499</v>
      </c>
      <c r="BD6" s="978">
        <f t="shared" si="8"/>
        <v>32.271241830065364</v>
      </c>
      <c r="BE6" s="978">
        <f t="shared" si="9"/>
        <v>37.663986457892513</v>
      </c>
      <c r="BF6" s="978">
        <f t="shared" si="10"/>
        <v>32.77274687365243</v>
      </c>
      <c r="BG6" s="978">
        <f t="shared" si="11"/>
        <v>21.557413110426747</v>
      </c>
      <c r="BH6" s="978">
        <f t="shared" si="12"/>
        <v>29.168959823885526</v>
      </c>
      <c r="BI6" s="978">
        <f t="shared" si="13"/>
        <v>23.982152816508645</v>
      </c>
      <c r="BJ6" s="1113">
        <f t="shared" si="14"/>
        <v>18.212862834376779</v>
      </c>
      <c r="BK6" s="1116">
        <f t="shared" si="15"/>
        <v>13.248847926267281</v>
      </c>
      <c r="BL6" s="1278">
        <f t="shared" si="16"/>
        <v>17.793594306049823</v>
      </c>
      <c r="BM6" s="1941">
        <f t="shared" si="17"/>
        <v>14.979029358897543</v>
      </c>
      <c r="BN6" s="2296">
        <f t="shared" si="18"/>
        <v>12.131715771230503</v>
      </c>
      <c r="BO6" s="2364">
        <f t="shared" si="19"/>
        <v>14.697236919459142</v>
      </c>
      <c r="BP6" s="2366">
        <f t="shared" si="19"/>
        <v>12.941176470588236</v>
      </c>
    </row>
    <row r="7" spans="1:68" s="142" customFormat="1" ht="15.75" customHeight="1" x14ac:dyDescent="0.3">
      <c r="A7" s="149" t="s">
        <v>12</v>
      </c>
      <c r="B7" s="185" t="s">
        <v>13</v>
      </c>
      <c r="C7" s="150" t="s">
        <v>253</v>
      </c>
      <c r="D7" s="938">
        <v>77</v>
      </c>
      <c r="E7" s="939">
        <v>79</v>
      </c>
      <c r="F7" s="940">
        <v>66</v>
      </c>
      <c r="G7" s="939">
        <v>65</v>
      </c>
      <c r="H7" s="940">
        <v>61</v>
      </c>
      <c r="I7" s="939">
        <v>62</v>
      </c>
      <c r="J7" s="940">
        <v>50</v>
      </c>
      <c r="K7" s="939">
        <v>60</v>
      </c>
      <c r="L7" s="953">
        <v>72</v>
      </c>
      <c r="M7" s="953">
        <v>72</v>
      </c>
      <c r="N7" s="953">
        <v>70</v>
      </c>
      <c r="O7" s="953">
        <v>52</v>
      </c>
      <c r="P7" s="954">
        <v>56</v>
      </c>
      <c r="Q7" s="954">
        <v>38</v>
      </c>
      <c r="R7" s="1107">
        <v>40</v>
      </c>
      <c r="S7" s="1108">
        <v>32</v>
      </c>
      <c r="T7" s="1273">
        <v>27</v>
      </c>
      <c r="U7" s="1937">
        <v>20</v>
      </c>
      <c r="V7" s="2291">
        <v>26</v>
      </c>
      <c r="W7" s="1367">
        <v>26</v>
      </c>
      <c r="X7" s="2351">
        <v>30</v>
      </c>
      <c r="Y7" s="1273"/>
      <c r="Z7" s="961">
        <v>6219</v>
      </c>
      <c r="AA7" s="962">
        <v>6381</v>
      </c>
      <c r="AB7" s="962">
        <v>5216</v>
      </c>
      <c r="AC7" s="962">
        <v>5412</v>
      </c>
      <c r="AD7" s="962">
        <v>5524</v>
      </c>
      <c r="AE7" s="962">
        <v>7381</v>
      </c>
      <c r="AF7" s="962">
        <v>7374</v>
      </c>
      <c r="AG7" s="962">
        <v>7398</v>
      </c>
      <c r="AH7" s="962">
        <v>7290</v>
      </c>
      <c r="AI7" s="962">
        <v>7247</v>
      </c>
      <c r="AJ7" s="962">
        <v>7138</v>
      </c>
      <c r="AK7" s="962">
        <v>7239</v>
      </c>
      <c r="AL7" s="962">
        <v>7598</v>
      </c>
      <c r="AM7" s="962">
        <v>7757</v>
      </c>
      <c r="AN7" s="1110">
        <v>7849</v>
      </c>
      <c r="AO7" s="1111">
        <v>7732</v>
      </c>
      <c r="AP7" s="1391">
        <v>7866</v>
      </c>
      <c r="AQ7" s="1934">
        <v>7883</v>
      </c>
      <c r="AR7" s="2289">
        <v>7895</v>
      </c>
      <c r="AS7" s="1368">
        <v>7902</v>
      </c>
      <c r="AT7" s="2353">
        <v>7924</v>
      </c>
      <c r="AU7" s="1274"/>
      <c r="AV7" s="977">
        <f t="shared" si="0"/>
        <v>12.381411802540601</v>
      </c>
      <c r="AW7" s="978">
        <f t="shared" si="1"/>
        <v>12.380504623099828</v>
      </c>
      <c r="AX7" s="978">
        <f t="shared" si="2"/>
        <v>12.653374233128835</v>
      </c>
      <c r="AY7" s="978">
        <f t="shared" si="3"/>
        <v>12.010347376201034</v>
      </c>
      <c r="AZ7" s="978">
        <f t="shared" si="4"/>
        <v>11.042722664735699</v>
      </c>
      <c r="BA7" s="978">
        <f t="shared" si="5"/>
        <v>8.3999458068012469</v>
      </c>
      <c r="BB7" s="978">
        <f t="shared" si="6"/>
        <v>6.7805804176837539</v>
      </c>
      <c r="BC7" s="978">
        <f t="shared" si="7"/>
        <v>8.1103000811030004</v>
      </c>
      <c r="BD7" s="978">
        <f t="shared" si="8"/>
        <v>9.8765432098765427</v>
      </c>
      <c r="BE7" s="978">
        <f t="shared" si="9"/>
        <v>9.9351455774803377</v>
      </c>
      <c r="BF7" s="978">
        <f t="shared" si="10"/>
        <v>9.8066685346035314</v>
      </c>
      <c r="BG7" s="978">
        <f t="shared" si="11"/>
        <v>7.1833126122392592</v>
      </c>
      <c r="BH7" s="978">
        <f t="shared" si="12"/>
        <v>7.3703606212161095</v>
      </c>
      <c r="BI7" s="978">
        <f t="shared" si="13"/>
        <v>4.898801082892871</v>
      </c>
      <c r="BJ7" s="1113">
        <f t="shared" si="14"/>
        <v>5.0961905975283477</v>
      </c>
      <c r="BK7" s="1116">
        <f t="shared" si="15"/>
        <v>4.1386445938954992</v>
      </c>
      <c r="BL7" s="1278">
        <f t="shared" si="16"/>
        <v>3.432494279176201</v>
      </c>
      <c r="BM7" s="1941">
        <f t="shared" si="17"/>
        <v>2.5371051630090067</v>
      </c>
      <c r="BN7" s="2296">
        <f t="shared" si="18"/>
        <v>3.293223559214693</v>
      </c>
      <c r="BO7" s="2364">
        <f t="shared" si="19"/>
        <v>3.2903062515818777</v>
      </c>
      <c r="BP7" s="2366">
        <f t="shared" si="19"/>
        <v>3.7859666834931853</v>
      </c>
    </row>
    <row r="8" spans="1:68" s="142" customFormat="1" ht="15.75" customHeight="1" x14ac:dyDescent="0.3">
      <c r="A8" s="149" t="s">
        <v>16</v>
      </c>
      <c r="B8" s="185" t="s">
        <v>285</v>
      </c>
      <c r="C8" s="150" t="s">
        <v>253</v>
      </c>
      <c r="D8" s="938">
        <v>37</v>
      </c>
      <c r="E8" s="939">
        <v>40</v>
      </c>
      <c r="F8" s="940">
        <v>30</v>
      </c>
      <c r="G8" s="939">
        <v>24</v>
      </c>
      <c r="H8" s="940">
        <v>21</v>
      </c>
      <c r="I8" s="939">
        <v>21</v>
      </c>
      <c r="J8" s="940">
        <v>33</v>
      </c>
      <c r="K8" s="939">
        <v>22</v>
      </c>
      <c r="L8" s="953">
        <v>35</v>
      </c>
      <c r="M8" s="953">
        <v>31</v>
      </c>
      <c r="N8" s="953">
        <v>36</v>
      </c>
      <c r="O8" s="953">
        <v>20</v>
      </c>
      <c r="P8" s="954">
        <v>22</v>
      </c>
      <c r="Q8" s="954">
        <v>24</v>
      </c>
      <c r="R8" s="1107">
        <v>23</v>
      </c>
      <c r="S8" s="1108">
        <v>12</v>
      </c>
      <c r="T8" s="1273">
        <v>20</v>
      </c>
      <c r="U8" s="1937">
        <v>21</v>
      </c>
      <c r="V8" s="2291">
        <v>16</v>
      </c>
      <c r="W8" s="1367">
        <v>13</v>
      </c>
      <c r="X8" s="2351">
        <v>15</v>
      </c>
      <c r="Y8" s="1273"/>
      <c r="Z8" s="961">
        <v>1395</v>
      </c>
      <c r="AA8" s="962">
        <v>1375</v>
      </c>
      <c r="AB8" s="962">
        <v>1332</v>
      </c>
      <c r="AC8" s="962">
        <v>1321</v>
      </c>
      <c r="AD8" s="962">
        <v>1302</v>
      </c>
      <c r="AE8" s="962">
        <v>1311</v>
      </c>
      <c r="AF8" s="962">
        <v>1326</v>
      </c>
      <c r="AG8" s="962">
        <v>1339</v>
      </c>
      <c r="AH8" s="962">
        <v>1323</v>
      </c>
      <c r="AI8" s="962">
        <v>1326</v>
      </c>
      <c r="AJ8" s="962">
        <v>1304</v>
      </c>
      <c r="AK8" s="962">
        <v>1311</v>
      </c>
      <c r="AL8" s="962">
        <v>1340</v>
      </c>
      <c r="AM8" s="962">
        <v>1316</v>
      </c>
      <c r="AN8" s="1110">
        <v>1324</v>
      </c>
      <c r="AO8" s="1111">
        <v>1295</v>
      </c>
      <c r="AP8" s="1391">
        <v>1245</v>
      </c>
      <c r="AQ8" s="1934">
        <v>1197</v>
      </c>
      <c r="AR8" s="2289">
        <v>1168</v>
      </c>
      <c r="AS8" s="1368">
        <v>1125</v>
      </c>
      <c r="AT8" s="2353">
        <v>1112</v>
      </c>
      <c r="AU8" s="1274"/>
      <c r="AV8" s="979">
        <f t="shared" si="0"/>
        <v>26.523297491039425</v>
      </c>
      <c r="AW8" s="980">
        <f t="shared" si="1"/>
        <v>29.09090909090909</v>
      </c>
      <c r="AX8" s="980">
        <f t="shared" si="2"/>
        <v>22.522522522522522</v>
      </c>
      <c r="AY8" s="980">
        <f t="shared" si="3"/>
        <v>18.168054504163514</v>
      </c>
      <c r="AZ8" s="980">
        <f t="shared" si="4"/>
        <v>16.129032258064516</v>
      </c>
      <c r="BA8" s="980">
        <f t="shared" si="5"/>
        <v>16.018306636155607</v>
      </c>
      <c r="BB8" s="980">
        <f t="shared" si="6"/>
        <v>24.886877828054295</v>
      </c>
      <c r="BC8" s="980">
        <f t="shared" si="7"/>
        <v>16.430171769977594</v>
      </c>
      <c r="BD8" s="980">
        <f t="shared" si="8"/>
        <v>26.455026455026452</v>
      </c>
      <c r="BE8" s="980">
        <f t="shared" si="9"/>
        <v>23.378582202111613</v>
      </c>
      <c r="BF8" s="980">
        <f t="shared" si="10"/>
        <v>27.607361963190183</v>
      </c>
      <c r="BG8" s="980">
        <f t="shared" si="11"/>
        <v>15.255530129672005</v>
      </c>
      <c r="BH8" s="980">
        <f t="shared" si="12"/>
        <v>16.417910447761194</v>
      </c>
      <c r="BI8" s="980">
        <f t="shared" si="13"/>
        <v>18.237082066869299</v>
      </c>
      <c r="BJ8" s="1114">
        <f t="shared" si="14"/>
        <v>17.371601208459214</v>
      </c>
      <c r="BK8" s="1116">
        <f t="shared" si="15"/>
        <v>9.2664092664092657</v>
      </c>
      <c r="BL8" s="1278">
        <f t="shared" si="16"/>
        <v>16.064257028112447</v>
      </c>
      <c r="BM8" s="1941">
        <f t="shared" si="17"/>
        <v>17.543859649122805</v>
      </c>
      <c r="BN8" s="2296">
        <f t="shared" si="18"/>
        <v>13.698630136986301</v>
      </c>
      <c r="BO8" s="2364">
        <f t="shared" si="19"/>
        <v>11.555555555555555</v>
      </c>
      <c r="BP8" s="2366">
        <f t="shared" si="19"/>
        <v>13.489208633093524</v>
      </c>
    </row>
    <row r="9" spans="1:68" s="142" customFormat="1" ht="15.75" customHeight="1" x14ac:dyDescent="0.3">
      <c r="A9" s="149" t="s">
        <v>18</v>
      </c>
      <c r="B9" s="185" t="s">
        <v>19</v>
      </c>
      <c r="C9" s="150" t="s">
        <v>254</v>
      </c>
      <c r="D9" s="938">
        <v>18</v>
      </c>
      <c r="E9" s="939">
        <v>12</v>
      </c>
      <c r="F9" s="940">
        <v>24</v>
      </c>
      <c r="G9" s="939">
        <v>21</v>
      </c>
      <c r="H9" s="940">
        <v>15</v>
      </c>
      <c r="I9" s="939">
        <v>15</v>
      </c>
      <c r="J9" s="940">
        <v>19</v>
      </c>
      <c r="K9" s="939">
        <v>18</v>
      </c>
      <c r="L9" s="953">
        <v>16</v>
      </c>
      <c r="M9" s="953">
        <v>21</v>
      </c>
      <c r="N9" s="953">
        <v>16</v>
      </c>
      <c r="O9" s="953">
        <v>20</v>
      </c>
      <c r="P9" s="954">
        <v>15</v>
      </c>
      <c r="Q9" s="954">
        <v>6</v>
      </c>
      <c r="R9" s="1107">
        <v>14</v>
      </c>
      <c r="S9" s="1108">
        <v>9</v>
      </c>
      <c r="T9" s="1273">
        <v>8</v>
      </c>
      <c r="U9" s="1937">
        <v>6</v>
      </c>
      <c r="V9" s="2291">
        <v>4</v>
      </c>
      <c r="W9" s="1367">
        <v>1</v>
      </c>
      <c r="X9" s="2351">
        <v>3</v>
      </c>
      <c r="Y9" s="1273"/>
      <c r="Z9" s="961">
        <v>617</v>
      </c>
      <c r="AA9" s="962">
        <v>616</v>
      </c>
      <c r="AB9" s="962">
        <v>772</v>
      </c>
      <c r="AC9" s="962">
        <v>790</v>
      </c>
      <c r="AD9" s="962">
        <v>790</v>
      </c>
      <c r="AE9" s="962">
        <v>770</v>
      </c>
      <c r="AF9" s="962">
        <v>776</v>
      </c>
      <c r="AG9" s="962">
        <v>762</v>
      </c>
      <c r="AH9" s="962">
        <v>772</v>
      </c>
      <c r="AI9" s="962">
        <v>752</v>
      </c>
      <c r="AJ9" s="962">
        <v>750</v>
      </c>
      <c r="AK9" s="962">
        <v>807</v>
      </c>
      <c r="AL9" s="962">
        <v>771</v>
      </c>
      <c r="AM9" s="962">
        <v>762</v>
      </c>
      <c r="AN9" s="1110">
        <v>754</v>
      </c>
      <c r="AO9" s="1111">
        <v>745</v>
      </c>
      <c r="AP9" s="1391">
        <v>750</v>
      </c>
      <c r="AQ9" s="1934">
        <v>761</v>
      </c>
      <c r="AR9" s="2289">
        <v>727</v>
      </c>
      <c r="AS9" s="1368">
        <v>733</v>
      </c>
      <c r="AT9" s="2353">
        <v>749</v>
      </c>
      <c r="AU9" s="1274"/>
      <c r="AV9" s="979">
        <f t="shared" si="0"/>
        <v>29.173419773095624</v>
      </c>
      <c r="AW9" s="980">
        <f t="shared" si="1"/>
        <v>19.480519480519479</v>
      </c>
      <c r="AX9" s="980">
        <f t="shared" si="2"/>
        <v>31.088082901554404</v>
      </c>
      <c r="AY9" s="980">
        <f t="shared" si="3"/>
        <v>26.582278481012658</v>
      </c>
      <c r="AZ9" s="980">
        <f t="shared" si="4"/>
        <v>18.9873417721519</v>
      </c>
      <c r="BA9" s="980">
        <f t="shared" si="5"/>
        <v>19.480519480519479</v>
      </c>
      <c r="BB9" s="980">
        <f t="shared" si="6"/>
        <v>24.484536082474225</v>
      </c>
      <c r="BC9" s="980">
        <f t="shared" si="7"/>
        <v>23.622047244094489</v>
      </c>
      <c r="BD9" s="980">
        <f t="shared" si="8"/>
        <v>20.725388601036268</v>
      </c>
      <c r="BE9" s="980">
        <f t="shared" si="9"/>
        <v>27.925531914893615</v>
      </c>
      <c r="BF9" s="980">
        <f t="shared" si="10"/>
        <v>21.333333333333332</v>
      </c>
      <c r="BG9" s="980">
        <f t="shared" si="11"/>
        <v>24.783147459727388</v>
      </c>
      <c r="BH9" s="980">
        <f t="shared" si="12"/>
        <v>19.45525291828794</v>
      </c>
      <c r="BI9" s="980">
        <f t="shared" si="13"/>
        <v>7.8740157480314963</v>
      </c>
      <c r="BJ9" s="1114">
        <f t="shared" si="14"/>
        <v>18.567639257294431</v>
      </c>
      <c r="BK9" s="1116">
        <f t="shared" si="15"/>
        <v>12.080536912751677</v>
      </c>
      <c r="BL9" s="1278">
        <f t="shared" si="16"/>
        <v>10.666666666666666</v>
      </c>
      <c r="BM9" s="1941">
        <f t="shared" si="17"/>
        <v>7.8843626806833109</v>
      </c>
      <c r="BN9" s="2296">
        <f t="shared" si="18"/>
        <v>5.5020632737276483</v>
      </c>
      <c r="BO9" s="2364">
        <f t="shared" si="19"/>
        <v>1.3642564802182811</v>
      </c>
      <c r="BP9" s="2366">
        <f t="shared" si="19"/>
        <v>4.0053404539385848</v>
      </c>
    </row>
    <row r="10" spans="1:68" s="142" customFormat="1" ht="15.75" customHeight="1" x14ac:dyDescent="0.3">
      <c r="A10" s="149" t="s">
        <v>20</v>
      </c>
      <c r="B10" s="185" t="s">
        <v>21</v>
      </c>
      <c r="C10" s="150" t="s">
        <v>253</v>
      </c>
      <c r="D10" s="938">
        <v>36</v>
      </c>
      <c r="E10" s="939">
        <v>43</v>
      </c>
      <c r="F10" s="940">
        <v>46</v>
      </c>
      <c r="G10" s="939">
        <v>39</v>
      </c>
      <c r="H10" s="940">
        <v>41</v>
      </c>
      <c r="I10" s="939">
        <v>39</v>
      </c>
      <c r="J10" s="940">
        <v>42</v>
      </c>
      <c r="K10" s="939">
        <v>35</v>
      </c>
      <c r="L10" s="953">
        <v>35</v>
      </c>
      <c r="M10" s="953">
        <v>40</v>
      </c>
      <c r="N10" s="953">
        <v>51</v>
      </c>
      <c r="O10" s="953">
        <v>46</v>
      </c>
      <c r="P10" s="954">
        <v>45</v>
      </c>
      <c r="Q10" s="954">
        <v>30</v>
      </c>
      <c r="R10" s="1107">
        <v>35</v>
      </c>
      <c r="S10" s="1108">
        <v>24</v>
      </c>
      <c r="T10" s="1273">
        <v>27</v>
      </c>
      <c r="U10" s="1937">
        <v>20</v>
      </c>
      <c r="V10" s="2291">
        <v>17</v>
      </c>
      <c r="W10" s="1367">
        <v>22</v>
      </c>
      <c r="X10" s="2351">
        <v>17</v>
      </c>
      <c r="Y10" s="1273"/>
      <c r="Z10" s="961">
        <v>2061</v>
      </c>
      <c r="AA10" s="962">
        <v>2058</v>
      </c>
      <c r="AB10" s="962">
        <v>2437</v>
      </c>
      <c r="AC10" s="962">
        <v>2446</v>
      </c>
      <c r="AD10" s="962">
        <v>2438</v>
      </c>
      <c r="AE10" s="962">
        <v>2410</v>
      </c>
      <c r="AF10" s="962">
        <v>2436</v>
      </c>
      <c r="AG10" s="962">
        <v>2404</v>
      </c>
      <c r="AH10" s="962">
        <v>2362</v>
      </c>
      <c r="AI10" s="962">
        <v>2395</v>
      </c>
      <c r="AJ10" s="962">
        <v>2394</v>
      </c>
      <c r="AK10" s="962">
        <v>2420</v>
      </c>
      <c r="AL10" s="962">
        <v>2249</v>
      </c>
      <c r="AM10" s="962">
        <v>2188</v>
      </c>
      <c r="AN10" s="1110">
        <v>2114</v>
      </c>
      <c r="AO10" s="1111">
        <v>2054</v>
      </c>
      <c r="AP10" s="1391">
        <v>1973</v>
      </c>
      <c r="AQ10" s="1934">
        <v>1920</v>
      </c>
      <c r="AR10" s="2289">
        <v>1839</v>
      </c>
      <c r="AS10" s="1368">
        <v>1777</v>
      </c>
      <c r="AT10" s="2353">
        <v>1789</v>
      </c>
      <c r="AU10" s="1274"/>
      <c r="AV10" s="979">
        <f t="shared" si="0"/>
        <v>17.467248908296941</v>
      </c>
      <c r="AW10" s="980">
        <f t="shared" si="1"/>
        <v>20.894071914480079</v>
      </c>
      <c r="AX10" s="980">
        <f t="shared" si="2"/>
        <v>18.875666803446862</v>
      </c>
      <c r="AY10" s="980">
        <f t="shared" si="3"/>
        <v>15.944399018806214</v>
      </c>
      <c r="AZ10" s="980">
        <f t="shared" si="4"/>
        <v>16.817063166529941</v>
      </c>
      <c r="BA10" s="980">
        <f t="shared" si="5"/>
        <v>16.182572614107887</v>
      </c>
      <c r="BB10" s="980">
        <f t="shared" si="6"/>
        <v>17.241379310344826</v>
      </c>
      <c r="BC10" s="980">
        <f t="shared" si="7"/>
        <v>14.559068219633943</v>
      </c>
      <c r="BD10" s="980">
        <f t="shared" si="8"/>
        <v>14.817950889077053</v>
      </c>
      <c r="BE10" s="980">
        <f t="shared" si="9"/>
        <v>16.701461377870562</v>
      </c>
      <c r="BF10" s="980">
        <f t="shared" si="10"/>
        <v>21.303258145363408</v>
      </c>
      <c r="BG10" s="980">
        <f t="shared" si="11"/>
        <v>19.008264462809915</v>
      </c>
      <c r="BH10" s="980">
        <f t="shared" si="12"/>
        <v>20.008892841262782</v>
      </c>
      <c r="BI10" s="980">
        <f t="shared" si="13"/>
        <v>13.711151736745887</v>
      </c>
      <c r="BJ10" s="1114">
        <f t="shared" si="14"/>
        <v>16.556291390728479</v>
      </c>
      <c r="BK10" s="1116">
        <f t="shared" si="15"/>
        <v>11.684518013631937</v>
      </c>
      <c r="BL10" s="1278">
        <f t="shared" si="16"/>
        <v>13.684744044602128</v>
      </c>
      <c r="BM10" s="1941">
        <f t="shared" si="17"/>
        <v>10.416666666666666</v>
      </c>
      <c r="BN10" s="2296">
        <f t="shared" si="18"/>
        <v>9.2441544317563888</v>
      </c>
      <c r="BO10" s="2364">
        <f t="shared" si="19"/>
        <v>12.380416432189083</v>
      </c>
      <c r="BP10" s="2366">
        <f t="shared" si="19"/>
        <v>9.5025153717160435</v>
      </c>
    </row>
    <row r="11" spans="1:68" s="142" customFormat="1" ht="15.75" customHeight="1" x14ac:dyDescent="0.3">
      <c r="A11" s="149" t="s">
        <v>22</v>
      </c>
      <c r="B11" s="185" t="s">
        <v>23</v>
      </c>
      <c r="C11" s="150" t="s">
        <v>253</v>
      </c>
      <c r="D11" s="938">
        <v>19</v>
      </c>
      <c r="E11" s="939">
        <v>23</v>
      </c>
      <c r="F11" s="940">
        <v>21</v>
      </c>
      <c r="G11" s="939">
        <v>20</v>
      </c>
      <c r="H11" s="940">
        <v>21</v>
      </c>
      <c r="I11" s="939">
        <v>23</v>
      </c>
      <c r="J11" s="940">
        <v>22</v>
      </c>
      <c r="K11" s="939">
        <v>20</v>
      </c>
      <c r="L11" s="953">
        <v>21</v>
      </c>
      <c r="M11" s="953">
        <v>17</v>
      </c>
      <c r="N11" s="953">
        <v>20</v>
      </c>
      <c r="O11" s="953">
        <v>15</v>
      </c>
      <c r="P11" s="954">
        <v>19</v>
      </c>
      <c r="Q11" s="954">
        <v>17</v>
      </c>
      <c r="R11" s="1107">
        <v>16</v>
      </c>
      <c r="S11" s="1108">
        <v>11</v>
      </c>
      <c r="T11" s="1273">
        <v>12</v>
      </c>
      <c r="U11" s="1937">
        <v>9</v>
      </c>
      <c r="V11" s="2291">
        <v>15</v>
      </c>
      <c r="W11" s="1367">
        <v>12</v>
      </c>
      <c r="X11" s="2351">
        <v>10</v>
      </c>
      <c r="Y11" s="1273"/>
      <c r="Z11" s="961">
        <v>853</v>
      </c>
      <c r="AA11" s="962">
        <v>848</v>
      </c>
      <c r="AB11" s="962">
        <v>907</v>
      </c>
      <c r="AC11" s="962">
        <v>924</v>
      </c>
      <c r="AD11" s="962">
        <v>912</v>
      </c>
      <c r="AE11" s="962">
        <v>900</v>
      </c>
      <c r="AF11" s="962">
        <v>894</v>
      </c>
      <c r="AG11" s="962">
        <v>894</v>
      </c>
      <c r="AH11" s="962">
        <v>873</v>
      </c>
      <c r="AI11" s="962">
        <v>856</v>
      </c>
      <c r="AJ11" s="962">
        <v>861</v>
      </c>
      <c r="AK11" s="962">
        <v>875</v>
      </c>
      <c r="AL11" s="962">
        <v>902</v>
      </c>
      <c r="AM11" s="962">
        <v>905</v>
      </c>
      <c r="AN11" s="1110">
        <v>907</v>
      </c>
      <c r="AO11" s="1111">
        <v>908</v>
      </c>
      <c r="AP11" s="1391">
        <v>914</v>
      </c>
      <c r="AQ11" s="1934">
        <v>907</v>
      </c>
      <c r="AR11" s="2289">
        <v>929</v>
      </c>
      <c r="AS11" s="1368">
        <v>930</v>
      </c>
      <c r="AT11" s="2353">
        <v>905</v>
      </c>
      <c r="AU11" s="1274"/>
      <c r="AV11" s="979">
        <f t="shared" si="0"/>
        <v>22.274325908558033</v>
      </c>
      <c r="AW11" s="980">
        <f t="shared" si="1"/>
        <v>27.122641509433961</v>
      </c>
      <c r="AX11" s="980">
        <f t="shared" si="2"/>
        <v>23.153252480705625</v>
      </c>
      <c r="AY11" s="980">
        <f t="shared" si="3"/>
        <v>21.645021645021643</v>
      </c>
      <c r="AZ11" s="980">
        <f t="shared" si="4"/>
        <v>23.026315789473681</v>
      </c>
      <c r="BA11" s="980">
        <f t="shared" si="5"/>
        <v>25.555555555555557</v>
      </c>
      <c r="BB11" s="980">
        <f t="shared" si="6"/>
        <v>24.608501118568235</v>
      </c>
      <c r="BC11" s="980">
        <f t="shared" si="7"/>
        <v>22.371364653243848</v>
      </c>
      <c r="BD11" s="980">
        <f t="shared" si="8"/>
        <v>24.054982817869416</v>
      </c>
      <c r="BE11" s="980">
        <f t="shared" si="9"/>
        <v>19.859813084112147</v>
      </c>
      <c r="BF11" s="980">
        <f t="shared" si="10"/>
        <v>23.228803716608596</v>
      </c>
      <c r="BG11" s="980">
        <f t="shared" si="11"/>
        <v>17.142857142857142</v>
      </c>
      <c r="BH11" s="980">
        <f t="shared" si="12"/>
        <v>21.064301552106432</v>
      </c>
      <c r="BI11" s="980">
        <f t="shared" si="13"/>
        <v>18.784530386740332</v>
      </c>
      <c r="BJ11" s="1114">
        <f t="shared" si="14"/>
        <v>17.640573318632857</v>
      </c>
      <c r="BK11" s="1116">
        <f t="shared" si="15"/>
        <v>12.114537444933921</v>
      </c>
      <c r="BL11" s="1278">
        <f t="shared" si="16"/>
        <v>13.129102844638949</v>
      </c>
      <c r="BM11" s="1941">
        <f t="shared" si="17"/>
        <v>9.9228224917309813</v>
      </c>
      <c r="BN11" s="2296">
        <f t="shared" si="18"/>
        <v>16.146393972012916</v>
      </c>
      <c r="BO11" s="2364">
        <f t="shared" si="19"/>
        <v>12.903225806451612</v>
      </c>
      <c r="BP11" s="2366">
        <f t="shared" si="19"/>
        <v>11.049723756906078</v>
      </c>
    </row>
    <row r="12" spans="1:68" s="142" customFormat="1" ht="15.75" customHeight="1" x14ac:dyDescent="0.3">
      <c r="A12" s="149" t="s">
        <v>24</v>
      </c>
      <c r="B12" s="185" t="s">
        <v>25</v>
      </c>
      <c r="C12" s="150" t="s">
        <v>255</v>
      </c>
      <c r="D12" s="938">
        <v>156</v>
      </c>
      <c r="E12" s="939">
        <v>138</v>
      </c>
      <c r="F12" s="940">
        <v>130</v>
      </c>
      <c r="G12" s="939">
        <v>127</v>
      </c>
      <c r="H12" s="940">
        <v>103</v>
      </c>
      <c r="I12" s="939">
        <v>91</v>
      </c>
      <c r="J12" s="940">
        <v>111</v>
      </c>
      <c r="K12" s="939">
        <v>76</v>
      </c>
      <c r="L12" s="953">
        <v>89</v>
      </c>
      <c r="M12" s="953">
        <v>80</v>
      </c>
      <c r="N12" s="953">
        <v>93</v>
      </c>
      <c r="O12" s="953">
        <v>65</v>
      </c>
      <c r="P12" s="954">
        <v>63</v>
      </c>
      <c r="Q12" s="954">
        <v>53</v>
      </c>
      <c r="R12" s="1107">
        <v>54</v>
      </c>
      <c r="S12" s="1108">
        <v>45</v>
      </c>
      <c r="T12" s="1273">
        <v>40</v>
      </c>
      <c r="U12" s="1937">
        <v>55</v>
      </c>
      <c r="V12" s="2291">
        <v>37</v>
      </c>
      <c r="W12" s="1367">
        <v>35</v>
      </c>
      <c r="X12" s="2351">
        <v>31</v>
      </c>
      <c r="Y12" s="1273"/>
      <c r="Z12" s="961">
        <v>7605</v>
      </c>
      <c r="AA12" s="962">
        <v>7799</v>
      </c>
      <c r="AB12" s="962">
        <v>7262</v>
      </c>
      <c r="AC12" s="962">
        <v>7188</v>
      </c>
      <c r="AD12" s="962">
        <v>7052</v>
      </c>
      <c r="AE12" s="962">
        <v>6856</v>
      </c>
      <c r="AF12" s="962">
        <v>7103</v>
      </c>
      <c r="AG12" s="962">
        <v>7207</v>
      </c>
      <c r="AH12" s="962">
        <v>7185</v>
      </c>
      <c r="AI12" s="962">
        <v>8003</v>
      </c>
      <c r="AJ12" s="962">
        <v>8243</v>
      </c>
      <c r="AK12" s="962">
        <v>7024</v>
      </c>
      <c r="AL12" s="962">
        <v>6996</v>
      </c>
      <c r="AM12" s="962">
        <v>7434</v>
      </c>
      <c r="AN12" s="1110">
        <v>7787</v>
      </c>
      <c r="AO12" s="1111">
        <v>8051</v>
      </c>
      <c r="AP12" s="1391">
        <v>8437</v>
      </c>
      <c r="AQ12" s="1934">
        <v>8853</v>
      </c>
      <c r="AR12" s="2289">
        <v>9209</v>
      </c>
      <c r="AS12" s="1368">
        <v>9593</v>
      </c>
      <c r="AT12" s="2353">
        <v>9883</v>
      </c>
      <c r="AU12" s="1274"/>
      <c r="AV12" s="979">
        <f t="shared" si="0"/>
        <v>20.512820512820515</v>
      </c>
      <c r="AW12" s="980">
        <f t="shared" si="1"/>
        <v>17.694576227721502</v>
      </c>
      <c r="AX12" s="980">
        <f t="shared" si="2"/>
        <v>17.901404571743321</v>
      </c>
      <c r="AY12" s="980">
        <f t="shared" si="3"/>
        <v>17.66833611574847</v>
      </c>
      <c r="AZ12" s="980">
        <f t="shared" si="4"/>
        <v>14.605785592739648</v>
      </c>
      <c r="BA12" s="980">
        <f t="shared" si="5"/>
        <v>13.273045507584598</v>
      </c>
      <c r="BB12" s="980">
        <f t="shared" si="6"/>
        <v>15.627199774743065</v>
      </c>
      <c r="BC12" s="980">
        <f t="shared" si="7"/>
        <v>10.545303177466351</v>
      </c>
      <c r="BD12" s="980">
        <f t="shared" si="8"/>
        <v>12.386917188587335</v>
      </c>
      <c r="BE12" s="980">
        <f t="shared" si="9"/>
        <v>9.9962514057228535</v>
      </c>
      <c r="BF12" s="980">
        <f t="shared" si="10"/>
        <v>11.282300133446562</v>
      </c>
      <c r="BG12" s="980">
        <f t="shared" si="11"/>
        <v>9.2539863325740317</v>
      </c>
      <c r="BH12" s="980">
        <f t="shared" si="12"/>
        <v>9.0051457975986278</v>
      </c>
      <c r="BI12" s="980">
        <f t="shared" si="13"/>
        <v>7.12940543449018</v>
      </c>
      <c r="BJ12" s="1114">
        <f t="shared" si="14"/>
        <v>6.9346346474894052</v>
      </c>
      <c r="BK12" s="1116">
        <f t="shared" si="15"/>
        <v>5.5893677803999502</v>
      </c>
      <c r="BL12" s="1278">
        <f t="shared" si="16"/>
        <v>4.7410216901742324</v>
      </c>
      <c r="BM12" s="1941">
        <f t="shared" si="17"/>
        <v>6.2125833050943182</v>
      </c>
      <c r="BN12" s="2296">
        <f t="shared" si="18"/>
        <v>4.0178086654359859</v>
      </c>
      <c r="BO12" s="2364">
        <f t="shared" si="19"/>
        <v>3.6484936933180445</v>
      </c>
      <c r="BP12" s="2366">
        <f t="shared" si="19"/>
        <v>3.1366993827785086</v>
      </c>
    </row>
    <row r="13" spans="1:68" s="142" customFormat="1" ht="15.75" customHeight="1" x14ac:dyDescent="0.3">
      <c r="A13" s="149" t="s">
        <v>26</v>
      </c>
      <c r="B13" s="185" t="s">
        <v>286</v>
      </c>
      <c r="C13" s="150" t="s">
        <v>253</v>
      </c>
      <c r="D13" s="938">
        <v>146</v>
      </c>
      <c r="E13" s="939">
        <v>154</v>
      </c>
      <c r="F13" s="940">
        <v>155</v>
      </c>
      <c r="G13" s="939">
        <v>147</v>
      </c>
      <c r="H13" s="940">
        <v>159</v>
      </c>
      <c r="I13" s="939">
        <v>164</v>
      </c>
      <c r="J13" s="940">
        <v>162</v>
      </c>
      <c r="K13" s="939">
        <v>153</v>
      </c>
      <c r="L13" s="953">
        <v>139</v>
      </c>
      <c r="M13" s="953">
        <v>162</v>
      </c>
      <c r="N13" s="953">
        <v>161</v>
      </c>
      <c r="O13" s="953">
        <v>146</v>
      </c>
      <c r="P13" s="954">
        <v>131</v>
      </c>
      <c r="Q13" s="954">
        <v>113</v>
      </c>
      <c r="R13" s="1107">
        <v>104</v>
      </c>
      <c r="S13" s="1108">
        <v>80</v>
      </c>
      <c r="T13" s="1273">
        <v>96</v>
      </c>
      <c r="U13" s="1937">
        <v>87</v>
      </c>
      <c r="V13" s="2291">
        <v>66</v>
      </c>
      <c r="W13" s="1367">
        <v>76</v>
      </c>
      <c r="X13" s="2351">
        <v>77</v>
      </c>
      <c r="Y13" s="1273"/>
      <c r="Z13" s="961">
        <v>6768</v>
      </c>
      <c r="AA13" s="962">
        <v>6812</v>
      </c>
      <c r="AB13" s="962">
        <v>7100</v>
      </c>
      <c r="AC13" s="962">
        <v>7139</v>
      </c>
      <c r="AD13" s="962">
        <v>7238</v>
      </c>
      <c r="AE13" s="962">
        <v>7351</v>
      </c>
      <c r="AF13" s="962">
        <v>7420</v>
      </c>
      <c r="AG13" s="962">
        <v>7292</v>
      </c>
      <c r="AH13" s="962">
        <v>7099</v>
      </c>
      <c r="AI13" s="962">
        <v>7050</v>
      </c>
      <c r="AJ13" s="962">
        <v>6992</v>
      </c>
      <c r="AK13" s="962">
        <v>7223</v>
      </c>
      <c r="AL13" s="962">
        <v>7305</v>
      </c>
      <c r="AM13" s="962">
        <v>7164</v>
      </c>
      <c r="AN13" s="1110">
        <v>7006</v>
      </c>
      <c r="AO13" s="1111">
        <v>7109</v>
      </c>
      <c r="AP13" s="1391">
        <v>7026</v>
      </c>
      <c r="AQ13" s="1934">
        <v>6924</v>
      </c>
      <c r="AR13" s="2289">
        <v>6713</v>
      </c>
      <c r="AS13" s="1368">
        <v>6688</v>
      </c>
      <c r="AT13" s="2353">
        <v>6645</v>
      </c>
      <c r="AU13" s="1274"/>
      <c r="AV13" s="979">
        <f t="shared" si="0"/>
        <v>21.57210401891253</v>
      </c>
      <c r="AW13" s="980">
        <f t="shared" si="1"/>
        <v>22.607163828537875</v>
      </c>
      <c r="AX13" s="980">
        <f t="shared" si="2"/>
        <v>21.830985915492956</v>
      </c>
      <c r="AY13" s="980">
        <f t="shared" si="3"/>
        <v>20.591119204370358</v>
      </c>
      <c r="AZ13" s="980">
        <f t="shared" si="4"/>
        <v>21.967394307819841</v>
      </c>
      <c r="BA13" s="980">
        <f t="shared" si="5"/>
        <v>22.309889810910082</v>
      </c>
      <c r="BB13" s="980">
        <f t="shared" si="6"/>
        <v>21.832884097035041</v>
      </c>
      <c r="BC13" s="980">
        <f t="shared" si="7"/>
        <v>20.981897970378494</v>
      </c>
      <c r="BD13" s="980">
        <f t="shared" si="8"/>
        <v>19.580222566558668</v>
      </c>
      <c r="BE13" s="980">
        <f t="shared" si="9"/>
        <v>22.978723404255319</v>
      </c>
      <c r="BF13" s="980">
        <f t="shared" si="10"/>
        <v>23.026315789473681</v>
      </c>
      <c r="BG13" s="980">
        <f t="shared" si="11"/>
        <v>20.213207808389868</v>
      </c>
      <c r="BH13" s="980">
        <f t="shared" si="12"/>
        <v>17.932922655715263</v>
      </c>
      <c r="BI13" s="980">
        <f t="shared" si="13"/>
        <v>15.773310999441653</v>
      </c>
      <c r="BJ13" s="1114">
        <f t="shared" si="14"/>
        <v>14.844419069369112</v>
      </c>
      <c r="BK13" s="1116">
        <f t="shared" si="15"/>
        <v>11.253340835560557</v>
      </c>
      <c r="BL13" s="1278">
        <f t="shared" si="16"/>
        <v>13.663535439795046</v>
      </c>
      <c r="BM13" s="1941">
        <f t="shared" si="17"/>
        <v>12.564991334488735</v>
      </c>
      <c r="BN13" s="2296">
        <f t="shared" si="18"/>
        <v>9.8316698942350662</v>
      </c>
      <c r="BO13" s="2364">
        <f t="shared" si="19"/>
        <v>11.363636363636363</v>
      </c>
      <c r="BP13" s="2366">
        <f t="shared" si="19"/>
        <v>11.587659894657637</v>
      </c>
    </row>
    <row r="14" spans="1:68" s="142" customFormat="1" ht="15.75" customHeight="1" x14ac:dyDescent="0.3">
      <c r="A14" s="149" t="s">
        <v>27</v>
      </c>
      <c r="B14" s="185" t="s">
        <v>28</v>
      </c>
      <c r="C14" s="150" t="s">
        <v>253</v>
      </c>
      <c r="D14" s="938">
        <v>6</v>
      </c>
      <c r="E14" s="939">
        <v>2</v>
      </c>
      <c r="F14" s="940">
        <v>2</v>
      </c>
      <c r="G14" s="939">
        <v>1</v>
      </c>
      <c r="H14" s="940">
        <v>1</v>
      </c>
      <c r="I14" s="939">
        <v>2</v>
      </c>
      <c r="J14" s="940">
        <v>1</v>
      </c>
      <c r="K14" s="939">
        <v>1</v>
      </c>
      <c r="L14" s="953">
        <v>1</v>
      </c>
      <c r="M14" s="953">
        <v>1</v>
      </c>
      <c r="N14" s="953">
        <v>4</v>
      </c>
      <c r="O14" s="953">
        <v>1</v>
      </c>
      <c r="P14" s="954">
        <v>6</v>
      </c>
      <c r="Q14" s="954">
        <v>1</v>
      </c>
      <c r="R14" s="1107">
        <v>4</v>
      </c>
      <c r="S14" s="1108">
        <v>5</v>
      </c>
      <c r="T14" s="1273">
        <v>4</v>
      </c>
      <c r="U14" s="1937">
        <v>1</v>
      </c>
      <c r="V14" s="2291">
        <v>3</v>
      </c>
      <c r="W14" s="1367">
        <v>4</v>
      </c>
      <c r="X14" s="2351">
        <v>2</v>
      </c>
      <c r="Y14" s="1273"/>
      <c r="Z14" s="961">
        <v>229</v>
      </c>
      <c r="AA14" s="962">
        <v>225</v>
      </c>
      <c r="AB14" s="962">
        <v>302</v>
      </c>
      <c r="AC14" s="962">
        <v>298</v>
      </c>
      <c r="AD14" s="962">
        <v>306</v>
      </c>
      <c r="AE14" s="962">
        <v>307</v>
      </c>
      <c r="AF14" s="962">
        <v>302</v>
      </c>
      <c r="AG14" s="962">
        <v>301</v>
      </c>
      <c r="AH14" s="962">
        <v>290</v>
      </c>
      <c r="AI14" s="962">
        <v>267</v>
      </c>
      <c r="AJ14" s="962">
        <v>249</v>
      </c>
      <c r="AK14" s="962">
        <v>272</v>
      </c>
      <c r="AL14" s="962">
        <v>255</v>
      </c>
      <c r="AM14" s="962">
        <v>247</v>
      </c>
      <c r="AN14" s="1110">
        <v>260</v>
      </c>
      <c r="AO14" s="1111">
        <v>228</v>
      </c>
      <c r="AP14" s="1391">
        <v>213</v>
      </c>
      <c r="AQ14" s="1934">
        <v>217</v>
      </c>
      <c r="AR14" s="2289">
        <v>187</v>
      </c>
      <c r="AS14" s="1368">
        <v>185</v>
      </c>
      <c r="AT14" s="2353">
        <v>174</v>
      </c>
      <c r="AU14" s="1274"/>
      <c r="AV14" s="979">
        <f t="shared" si="0"/>
        <v>26.200873362445414</v>
      </c>
      <c r="AW14" s="980">
        <f t="shared" si="1"/>
        <v>8.8888888888888893</v>
      </c>
      <c r="AX14" s="980">
        <f t="shared" si="2"/>
        <v>6.6225165562913908</v>
      </c>
      <c r="AY14" s="980">
        <f t="shared" si="3"/>
        <v>3.3557046979865772</v>
      </c>
      <c r="AZ14" s="980">
        <f t="shared" si="4"/>
        <v>3.2679738562091503</v>
      </c>
      <c r="BA14" s="980">
        <f t="shared" si="5"/>
        <v>6.5146579804560263</v>
      </c>
      <c r="BB14" s="980">
        <f t="shared" si="6"/>
        <v>3.3112582781456954</v>
      </c>
      <c r="BC14" s="980">
        <f t="shared" si="7"/>
        <v>3.3222591362126246</v>
      </c>
      <c r="BD14" s="980">
        <f t="shared" si="8"/>
        <v>3.4482758620689653</v>
      </c>
      <c r="BE14" s="980">
        <f t="shared" si="9"/>
        <v>3.7453183520599249</v>
      </c>
      <c r="BF14" s="980">
        <f t="shared" si="10"/>
        <v>16.064257028112447</v>
      </c>
      <c r="BG14" s="980">
        <f t="shared" si="11"/>
        <v>3.6764705882352939</v>
      </c>
      <c r="BH14" s="980">
        <f t="shared" si="12"/>
        <v>23.52941176470588</v>
      </c>
      <c r="BI14" s="980">
        <f t="shared" si="13"/>
        <v>4.048582995951417</v>
      </c>
      <c r="BJ14" s="1114">
        <f t="shared" si="14"/>
        <v>15.384615384615385</v>
      </c>
      <c r="BK14" s="1116">
        <f t="shared" si="15"/>
        <v>21.929824561403507</v>
      </c>
      <c r="BL14" s="1278">
        <f t="shared" si="16"/>
        <v>18.779342723004696</v>
      </c>
      <c r="BM14" s="1941">
        <f t="shared" si="17"/>
        <v>4.6082949308755756</v>
      </c>
      <c r="BN14" s="2296">
        <f t="shared" si="18"/>
        <v>16.042780748663102</v>
      </c>
      <c r="BO14" s="2364">
        <f t="shared" si="19"/>
        <v>21.621621621621621</v>
      </c>
      <c r="BP14" s="2366">
        <f t="shared" si="19"/>
        <v>11.494252873563218</v>
      </c>
    </row>
    <row r="15" spans="1:68" s="142" customFormat="1" ht="15.75" customHeight="1" x14ac:dyDescent="0.3">
      <c r="A15" s="149" t="s">
        <v>29</v>
      </c>
      <c r="B15" s="185" t="s">
        <v>736</v>
      </c>
      <c r="C15" s="150" t="s">
        <v>253</v>
      </c>
      <c r="D15" s="938">
        <v>70</v>
      </c>
      <c r="E15" s="939">
        <v>58</v>
      </c>
      <c r="F15" s="940">
        <v>70</v>
      </c>
      <c r="G15" s="939">
        <v>52</v>
      </c>
      <c r="H15" s="940">
        <v>68</v>
      </c>
      <c r="I15" s="939">
        <v>63</v>
      </c>
      <c r="J15" s="940">
        <v>73</v>
      </c>
      <c r="K15" s="939">
        <v>60</v>
      </c>
      <c r="L15" s="953">
        <v>66</v>
      </c>
      <c r="M15" s="953">
        <v>64</v>
      </c>
      <c r="N15" s="953">
        <v>69</v>
      </c>
      <c r="O15" s="953">
        <v>69</v>
      </c>
      <c r="P15" s="954">
        <v>45</v>
      </c>
      <c r="Q15" s="954">
        <v>59</v>
      </c>
      <c r="R15" s="1107">
        <v>44</v>
      </c>
      <c r="S15" s="1108">
        <v>39</v>
      </c>
      <c r="T15" s="1273">
        <v>41</v>
      </c>
      <c r="U15" s="1937">
        <v>26</v>
      </c>
      <c r="V15" s="2291">
        <v>34</v>
      </c>
      <c r="W15" s="1367">
        <v>34</v>
      </c>
      <c r="X15" s="2351">
        <v>38</v>
      </c>
      <c r="Y15" s="1273"/>
      <c r="Z15" s="961">
        <v>3511</v>
      </c>
      <c r="AA15" s="962">
        <v>3547</v>
      </c>
      <c r="AB15" s="962">
        <v>4207</v>
      </c>
      <c r="AC15" s="962">
        <v>4351</v>
      </c>
      <c r="AD15" s="962">
        <v>4474</v>
      </c>
      <c r="AE15" s="962">
        <v>4552</v>
      </c>
      <c r="AF15" s="962">
        <v>4610</v>
      </c>
      <c r="AG15" s="962">
        <v>4536</v>
      </c>
      <c r="AH15" s="962">
        <v>4477</v>
      </c>
      <c r="AI15" s="962">
        <v>4422</v>
      </c>
      <c r="AJ15" s="962">
        <v>4347</v>
      </c>
      <c r="AK15" s="962">
        <v>4815</v>
      </c>
      <c r="AL15" s="962">
        <v>4789</v>
      </c>
      <c r="AM15" s="962">
        <v>4775</v>
      </c>
      <c r="AN15" s="1110">
        <v>4701</v>
      </c>
      <c r="AO15" s="1111">
        <v>4693</v>
      </c>
      <c r="AP15" s="1391">
        <v>4716</v>
      </c>
      <c r="AQ15" s="1934">
        <v>4780</v>
      </c>
      <c r="AR15" s="2289">
        <v>4721</v>
      </c>
      <c r="AS15" s="1368">
        <v>4605</v>
      </c>
      <c r="AT15" s="2353">
        <v>4545</v>
      </c>
      <c r="AU15" s="1274"/>
      <c r="AV15" s="979">
        <f t="shared" si="0"/>
        <v>19.937339789233835</v>
      </c>
      <c r="AW15" s="980">
        <f t="shared" si="1"/>
        <v>16.351846630955738</v>
      </c>
      <c r="AX15" s="980">
        <f t="shared" si="2"/>
        <v>16.638935108153078</v>
      </c>
      <c r="AY15" s="980">
        <f t="shared" si="3"/>
        <v>11.951275568834751</v>
      </c>
      <c r="AZ15" s="980">
        <f t="shared" si="4"/>
        <v>15.198927134555209</v>
      </c>
      <c r="BA15" s="980">
        <f t="shared" si="5"/>
        <v>13.840070298769772</v>
      </c>
      <c r="BB15" s="980">
        <f t="shared" si="6"/>
        <v>15.835140997830802</v>
      </c>
      <c r="BC15" s="980">
        <f t="shared" si="7"/>
        <v>13.227513227513226</v>
      </c>
      <c r="BD15" s="980">
        <f t="shared" si="8"/>
        <v>14.742014742014742</v>
      </c>
      <c r="BE15" s="980">
        <f t="shared" si="9"/>
        <v>14.473089099954771</v>
      </c>
      <c r="BF15" s="980">
        <f t="shared" si="10"/>
        <v>15.873015873015872</v>
      </c>
      <c r="BG15" s="980">
        <f t="shared" si="11"/>
        <v>14.330218068535824</v>
      </c>
      <c r="BH15" s="980">
        <f t="shared" si="12"/>
        <v>9.3965337231154731</v>
      </c>
      <c r="BI15" s="980">
        <f t="shared" si="13"/>
        <v>12.356020942408378</v>
      </c>
      <c r="BJ15" s="1114">
        <f t="shared" si="14"/>
        <v>9.3597106998510959</v>
      </c>
      <c r="BK15" s="1116">
        <f t="shared" si="15"/>
        <v>8.310249307479225</v>
      </c>
      <c r="BL15" s="1278">
        <f t="shared" si="16"/>
        <v>8.6938083121289225</v>
      </c>
      <c r="BM15" s="1941">
        <f t="shared" si="17"/>
        <v>5.4393305439330542</v>
      </c>
      <c r="BN15" s="2296">
        <f t="shared" si="18"/>
        <v>7.2018640118618942</v>
      </c>
      <c r="BO15" s="2364">
        <f t="shared" si="19"/>
        <v>7.3832790445168301</v>
      </c>
      <c r="BP15" s="2366">
        <f t="shared" si="19"/>
        <v>8.3608360836083619</v>
      </c>
    </row>
    <row r="16" spans="1:68" s="142" customFormat="1" ht="15.75" customHeight="1" x14ac:dyDescent="0.3">
      <c r="A16" s="149" t="s">
        <v>30</v>
      </c>
      <c r="B16" s="185" t="s">
        <v>31</v>
      </c>
      <c r="C16" s="150" t="s">
        <v>256</v>
      </c>
      <c r="D16" s="938">
        <v>5</v>
      </c>
      <c r="E16" s="939">
        <v>5</v>
      </c>
      <c r="F16" s="940">
        <v>7</v>
      </c>
      <c r="G16" s="939">
        <v>7</v>
      </c>
      <c r="H16" s="940">
        <v>4</v>
      </c>
      <c r="I16" s="939">
        <v>1</v>
      </c>
      <c r="J16" s="940">
        <v>2</v>
      </c>
      <c r="K16" s="939">
        <v>4</v>
      </c>
      <c r="L16" s="953">
        <v>5</v>
      </c>
      <c r="M16" s="953">
        <v>6</v>
      </c>
      <c r="N16" s="953">
        <v>9</v>
      </c>
      <c r="O16" s="953">
        <v>2</v>
      </c>
      <c r="P16" s="954">
        <v>8</v>
      </c>
      <c r="Q16" s="954">
        <v>10</v>
      </c>
      <c r="R16" s="1107">
        <v>7</v>
      </c>
      <c r="S16" s="1108">
        <v>2</v>
      </c>
      <c r="T16" s="1273">
        <v>3</v>
      </c>
      <c r="U16" s="1937">
        <v>1</v>
      </c>
      <c r="V16" s="2291">
        <v>2</v>
      </c>
      <c r="W16" s="1367">
        <v>3</v>
      </c>
      <c r="X16" s="2351">
        <v>1</v>
      </c>
      <c r="Y16" s="1273"/>
      <c r="Z16" s="961">
        <v>391</v>
      </c>
      <c r="AA16" s="962">
        <v>385</v>
      </c>
      <c r="AB16" s="962">
        <v>375</v>
      </c>
      <c r="AC16" s="962">
        <v>377</v>
      </c>
      <c r="AD16" s="962">
        <v>369</v>
      </c>
      <c r="AE16" s="962">
        <v>373</v>
      </c>
      <c r="AF16" s="962">
        <v>370</v>
      </c>
      <c r="AG16" s="962">
        <v>356</v>
      </c>
      <c r="AH16" s="962">
        <v>334</v>
      </c>
      <c r="AI16" s="962">
        <v>330</v>
      </c>
      <c r="AJ16" s="962">
        <v>326</v>
      </c>
      <c r="AK16" s="962">
        <v>355</v>
      </c>
      <c r="AL16" s="962">
        <v>347</v>
      </c>
      <c r="AM16" s="962">
        <v>328</v>
      </c>
      <c r="AN16" s="1110">
        <v>313</v>
      </c>
      <c r="AO16" s="1111">
        <v>319</v>
      </c>
      <c r="AP16" s="1391">
        <v>294</v>
      </c>
      <c r="AQ16" s="1934">
        <v>296</v>
      </c>
      <c r="AR16" s="2289">
        <v>297</v>
      </c>
      <c r="AS16" s="1368">
        <v>296</v>
      </c>
      <c r="AT16" s="2353">
        <v>270</v>
      </c>
      <c r="AU16" s="1274"/>
      <c r="AV16" s="979">
        <f t="shared" si="0"/>
        <v>12.787723785166239</v>
      </c>
      <c r="AW16" s="980">
        <f t="shared" si="1"/>
        <v>12.987012987012989</v>
      </c>
      <c r="AX16" s="980">
        <f t="shared" si="2"/>
        <v>18.666666666666668</v>
      </c>
      <c r="AY16" s="980">
        <f t="shared" si="3"/>
        <v>18.567639257294431</v>
      </c>
      <c r="AZ16" s="980">
        <f t="shared" si="4"/>
        <v>10.840108401084011</v>
      </c>
      <c r="BA16" s="980">
        <f t="shared" si="5"/>
        <v>2.6809651474530831</v>
      </c>
      <c r="BB16" s="980">
        <f t="shared" si="6"/>
        <v>5.4054054054054053</v>
      </c>
      <c r="BC16" s="980">
        <f t="shared" si="7"/>
        <v>11.235955056179774</v>
      </c>
      <c r="BD16" s="980">
        <f t="shared" si="8"/>
        <v>14.970059880239521</v>
      </c>
      <c r="BE16" s="980">
        <f t="shared" si="9"/>
        <v>18.18181818181818</v>
      </c>
      <c r="BF16" s="980">
        <f t="shared" si="10"/>
        <v>27.607361963190183</v>
      </c>
      <c r="BG16" s="980">
        <f t="shared" si="11"/>
        <v>5.6338028169014089</v>
      </c>
      <c r="BH16" s="980">
        <f t="shared" si="12"/>
        <v>23.054755043227665</v>
      </c>
      <c r="BI16" s="980">
        <f t="shared" si="13"/>
        <v>30.487804878048781</v>
      </c>
      <c r="BJ16" s="1114">
        <f t="shared" si="14"/>
        <v>22.364217252396166</v>
      </c>
      <c r="BK16" s="1116">
        <f t="shared" si="15"/>
        <v>6.2695924764890281</v>
      </c>
      <c r="BL16" s="1278">
        <f t="shared" si="16"/>
        <v>10.204081632653061</v>
      </c>
      <c r="BM16" s="1941">
        <f t="shared" si="17"/>
        <v>3.3783783783783785</v>
      </c>
      <c r="BN16" s="2296">
        <f t="shared" si="18"/>
        <v>6.7340067340067336</v>
      </c>
      <c r="BO16" s="2364">
        <f t="shared" si="19"/>
        <v>10.135135135135135</v>
      </c>
      <c r="BP16" s="2366">
        <f t="shared" si="19"/>
        <v>3.7037037037037037</v>
      </c>
    </row>
    <row r="17" spans="1:68" s="142" customFormat="1" ht="15.75" customHeight="1" x14ac:dyDescent="0.3">
      <c r="A17" s="149" t="s">
        <v>32</v>
      </c>
      <c r="B17" s="185" t="s">
        <v>33</v>
      </c>
      <c r="C17" s="150" t="s">
        <v>253</v>
      </c>
      <c r="D17" s="938">
        <v>32</v>
      </c>
      <c r="E17" s="939">
        <v>23</v>
      </c>
      <c r="F17" s="940">
        <v>23</v>
      </c>
      <c r="G17" s="939">
        <v>17</v>
      </c>
      <c r="H17" s="940">
        <v>28</v>
      </c>
      <c r="I17" s="939">
        <v>21</v>
      </c>
      <c r="J17" s="940">
        <v>15</v>
      </c>
      <c r="K17" s="939">
        <v>24</v>
      </c>
      <c r="L17" s="953">
        <v>14</v>
      </c>
      <c r="M17" s="953">
        <v>24</v>
      </c>
      <c r="N17" s="953">
        <v>17</v>
      </c>
      <c r="O17" s="953">
        <v>21</v>
      </c>
      <c r="P17" s="954">
        <v>16</v>
      </c>
      <c r="Q17" s="954">
        <v>12</v>
      </c>
      <c r="R17" s="1107">
        <v>8</v>
      </c>
      <c r="S17" s="1108">
        <v>12</v>
      </c>
      <c r="T17" s="1273">
        <v>13</v>
      </c>
      <c r="U17" s="1937">
        <v>14</v>
      </c>
      <c r="V17" s="2291">
        <v>8</v>
      </c>
      <c r="W17" s="1367">
        <v>7</v>
      </c>
      <c r="X17" s="2351">
        <v>10</v>
      </c>
      <c r="Y17" s="1273"/>
      <c r="Z17" s="961">
        <v>1630</v>
      </c>
      <c r="AA17" s="962">
        <v>1615</v>
      </c>
      <c r="AB17" s="962">
        <v>1975</v>
      </c>
      <c r="AC17" s="962">
        <v>2019</v>
      </c>
      <c r="AD17" s="962">
        <v>2052</v>
      </c>
      <c r="AE17" s="962">
        <v>2037</v>
      </c>
      <c r="AF17" s="962">
        <v>2052</v>
      </c>
      <c r="AG17" s="962">
        <v>2023</v>
      </c>
      <c r="AH17" s="962">
        <v>1959</v>
      </c>
      <c r="AI17" s="962">
        <v>1874</v>
      </c>
      <c r="AJ17" s="962">
        <v>1859</v>
      </c>
      <c r="AK17" s="962">
        <v>2066</v>
      </c>
      <c r="AL17" s="962">
        <v>2106</v>
      </c>
      <c r="AM17" s="962">
        <v>2083</v>
      </c>
      <c r="AN17" s="1110">
        <v>2131</v>
      </c>
      <c r="AO17" s="1111">
        <v>2079</v>
      </c>
      <c r="AP17" s="1391">
        <v>2090</v>
      </c>
      <c r="AQ17" s="1934">
        <v>2060</v>
      </c>
      <c r="AR17" s="2289">
        <v>1974</v>
      </c>
      <c r="AS17" s="1368">
        <v>1911</v>
      </c>
      <c r="AT17" s="2353">
        <v>1896</v>
      </c>
      <c r="AU17" s="1274"/>
      <c r="AV17" s="979">
        <f t="shared" si="0"/>
        <v>19.631901840490798</v>
      </c>
      <c r="AW17" s="980">
        <f t="shared" si="1"/>
        <v>14.241486068111454</v>
      </c>
      <c r="AX17" s="980">
        <f t="shared" si="2"/>
        <v>11.645569620253164</v>
      </c>
      <c r="AY17" s="980">
        <f t="shared" si="3"/>
        <v>8.4200099058940072</v>
      </c>
      <c r="AZ17" s="980">
        <f t="shared" si="4"/>
        <v>13.64522417153996</v>
      </c>
      <c r="BA17" s="980">
        <f t="shared" si="5"/>
        <v>10.309278350515465</v>
      </c>
      <c r="BB17" s="980">
        <f t="shared" si="6"/>
        <v>7.3099415204678362</v>
      </c>
      <c r="BC17" s="980">
        <f t="shared" si="7"/>
        <v>11.863568956994563</v>
      </c>
      <c r="BD17" s="980">
        <f t="shared" si="8"/>
        <v>7.1465033180193975</v>
      </c>
      <c r="BE17" s="980">
        <f t="shared" si="9"/>
        <v>12.8068303094984</v>
      </c>
      <c r="BF17" s="980">
        <f t="shared" si="10"/>
        <v>9.1447014523937593</v>
      </c>
      <c r="BG17" s="980">
        <f t="shared" si="11"/>
        <v>10.164569215876089</v>
      </c>
      <c r="BH17" s="980">
        <f t="shared" si="12"/>
        <v>7.5973409306742647</v>
      </c>
      <c r="BI17" s="980">
        <f t="shared" si="13"/>
        <v>5.7609217474795971</v>
      </c>
      <c r="BJ17" s="1114">
        <f t="shared" si="14"/>
        <v>3.7541060534960109</v>
      </c>
      <c r="BK17" s="1116">
        <f t="shared" si="15"/>
        <v>5.7720057720057723</v>
      </c>
      <c r="BL17" s="1278">
        <f t="shared" si="16"/>
        <v>6.2200956937799043</v>
      </c>
      <c r="BM17" s="1941">
        <f t="shared" si="17"/>
        <v>6.7961165048543686</v>
      </c>
      <c r="BN17" s="2296">
        <f t="shared" si="18"/>
        <v>4.0526849037487338</v>
      </c>
      <c r="BO17" s="2364">
        <f t="shared" si="19"/>
        <v>3.6630036630036629</v>
      </c>
      <c r="BP17" s="2366">
        <f t="shared" si="19"/>
        <v>5.2742616033755274</v>
      </c>
    </row>
    <row r="18" spans="1:68" s="142" customFormat="1" ht="15.75" customHeight="1" x14ac:dyDescent="0.3">
      <c r="A18" s="149" t="s">
        <v>36</v>
      </c>
      <c r="B18" s="185" t="s">
        <v>37</v>
      </c>
      <c r="C18" s="150" t="s">
        <v>252</v>
      </c>
      <c r="D18" s="938">
        <v>43</v>
      </c>
      <c r="E18" s="939">
        <v>24</v>
      </c>
      <c r="F18" s="940">
        <v>30</v>
      </c>
      <c r="G18" s="939">
        <v>41</v>
      </c>
      <c r="H18" s="940">
        <v>31</v>
      </c>
      <c r="I18" s="939">
        <v>30</v>
      </c>
      <c r="J18" s="940">
        <v>31</v>
      </c>
      <c r="K18" s="939">
        <v>31</v>
      </c>
      <c r="L18" s="953">
        <v>18</v>
      </c>
      <c r="M18" s="953">
        <v>30</v>
      </c>
      <c r="N18" s="953">
        <v>29</v>
      </c>
      <c r="O18" s="953">
        <v>17</v>
      </c>
      <c r="P18" s="954">
        <v>26</v>
      </c>
      <c r="Q18" s="954">
        <v>18</v>
      </c>
      <c r="R18" s="1107">
        <v>22</v>
      </c>
      <c r="S18" s="1108">
        <v>14</v>
      </c>
      <c r="T18" s="1273">
        <v>14</v>
      </c>
      <c r="U18" s="1937">
        <v>15</v>
      </c>
      <c r="V18" s="2291">
        <v>12</v>
      </c>
      <c r="W18" s="1367">
        <v>15</v>
      </c>
      <c r="X18" s="2351">
        <v>5</v>
      </c>
      <c r="Y18" s="1273"/>
      <c r="Z18" s="961">
        <v>1225</v>
      </c>
      <c r="AA18" s="962">
        <v>1218</v>
      </c>
      <c r="AB18" s="962">
        <v>1186</v>
      </c>
      <c r="AC18" s="962">
        <v>1152</v>
      </c>
      <c r="AD18" s="962">
        <v>1123</v>
      </c>
      <c r="AE18" s="962">
        <v>1134</v>
      </c>
      <c r="AF18" s="962">
        <v>1091</v>
      </c>
      <c r="AG18" s="962">
        <v>1057</v>
      </c>
      <c r="AH18" s="962">
        <v>1050</v>
      </c>
      <c r="AI18" s="962">
        <v>1074</v>
      </c>
      <c r="AJ18" s="962">
        <v>1056</v>
      </c>
      <c r="AK18" s="962">
        <v>1024</v>
      </c>
      <c r="AL18" s="962">
        <v>1022</v>
      </c>
      <c r="AM18" s="962">
        <v>971</v>
      </c>
      <c r="AN18" s="1110">
        <v>948</v>
      </c>
      <c r="AO18" s="1111">
        <v>904</v>
      </c>
      <c r="AP18" s="1391">
        <v>859</v>
      </c>
      <c r="AQ18" s="1934">
        <v>830</v>
      </c>
      <c r="AR18" s="2289">
        <v>772</v>
      </c>
      <c r="AS18" s="1368">
        <v>786</v>
      </c>
      <c r="AT18" s="2353">
        <v>756</v>
      </c>
      <c r="AU18" s="1274"/>
      <c r="AV18" s="979">
        <f t="shared" si="0"/>
        <v>35.102040816326529</v>
      </c>
      <c r="AW18" s="980">
        <f t="shared" si="1"/>
        <v>19.704433497536947</v>
      </c>
      <c r="AX18" s="980">
        <f t="shared" si="2"/>
        <v>25.295109612141651</v>
      </c>
      <c r="AY18" s="980">
        <f t="shared" si="3"/>
        <v>35.590277777777779</v>
      </c>
      <c r="AZ18" s="980">
        <f t="shared" si="4"/>
        <v>27.604630454140697</v>
      </c>
      <c r="BA18" s="980">
        <f t="shared" si="5"/>
        <v>26.455026455026452</v>
      </c>
      <c r="BB18" s="980">
        <f t="shared" si="6"/>
        <v>28.41429880843263</v>
      </c>
      <c r="BC18" s="980">
        <f t="shared" si="7"/>
        <v>29.3282876064333</v>
      </c>
      <c r="BD18" s="980">
        <f t="shared" si="8"/>
        <v>17.142857142857142</v>
      </c>
      <c r="BE18" s="980">
        <f t="shared" si="9"/>
        <v>27.932960893854748</v>
      </c>
      <c r="BF18" s="980">
        <f t="shared" si="10"/>
        <v>27.462121212121211</v>
      </c>
      <c r="BG18" s="980">
        <f t="shared" si="11"/>
        <v>16.6015625</v>
      </c>
      <c r="BH18" s="980">
        <f t="shared" si="12"/>
        <v>25.440313111545986</v>
      </c>
      <c r="BI18" s="980">
        <f t="shared" si="13"/>
        <v>18.537590113285273</v>
      </c>
      <c r="BJ18" s="1114">
        <f t="shared" si="14"/>
        <v>23.206751054852322</v>
      </c>
      <c r="BK18" s="1116">
        <f t="shared" si="15"/>
        <v>15.486725663716815</v>
      </c>
      <c r="BL18" s="1278">
        <f t="shared" si="16"/>
        <v>16.298020954598368</v>
      </c>
      <c r="BM18" s="1941">
        <f t="shared" si="17"/>
        <v>18.072289156626507</v>
      </c>
      <c r="BN18" s="2296">
        <f t="shared" si="18"/>
        <v>15.544041450777202</v>
      </c>
      <c r="BO18" s="2364">
        <f t="shared" si="19"/>
        <v>19.083969465648856</v>
      </c>
      <c r="BP18" s="2366">
        <f t="shared" si="19"/>
        <v>6.6137566137566131</v>
      </c>
    </row>
    <row r="19" spans="1:68" s="142" customFormat="1" ht="15.75" customHeight="1" x14ac:dyDescent="0.3">
      <c r="A19" s="149" t="s">
        <v>38</v>
      </c>
      <c r="B19" s="185" t="s">
        <v>39</v>
      </c>
      <c r="C19" s="150" t="s">
        <v>256</v>
      </c>
      <c r="D19" s="938">
        <v>59</v>
      </c>
      <c r="E19" s="939">
        <v>48</v>
      </c>
      <c r="F19" s="940">
        <v>49</v>
      </c>
      <c r="G19" s="939">
        <v>50</v>
      </c>
      <c r="H19" s="940">
        <v>29</v>
      </c>
      <c r="I19" s="939">
        <v>37</v>
      </c>
      <c r="J19" s="940">
        <v>29</v>
      </c>
      <c r="K19" s="939">
        <v>32</v>
      </c>
      <c r="L19" s="953">
        <v>29</v>
      </c>
      <c r="M19" s="953">
        <v>34</v>
      </c>
      <c r="N19" s="953">
        <v>34</v>
      </c>
      <c r="O19" s="953">
        <v>33</v>
      </c>
      <c r="P19" s="954">
        <v>31</v>
      </c>
      <c r="Q19" s="954">
        <v>27</v>
      </c>
      <c r="R19" s="1107">
        <v>26</v>
      </c>
      <c r="S19" s="1108">
        <v>24</v>
      </c>
      <c r="T19" s="1273">
        <v>16</v>
      </c>
      <c r="U19" s="1937">
        <v>20</v>
      </c>
      <c r="V19" s="2291">
        <v>23</v>
      </c>
      <c r="W19" s="1367">
        <v>17</v>
      </c>
      <c r="X19" s="2351">
        <v>21</v>
      </c>
      <c r="Y19" s="1273"/>
      <c r="Z19" s="961">
        <v>1989</v>
      </c>
      <c r="AA19" s="962">
        <v>1905</v>
      </c>
      <c r="AB19" s="962">
        <v>1762</v>
      </c>
      <c r="AC19" s="962">
        <v>1705</v>
      </c>
      <c r="AD19" s="962">
        <v>1622</v>
      </c>
      <c r="AE19" s="962">
        <v>1538</v>
      </c>
      <c r="AF19" s="962">
        <v>1504</v>
      </c>
      <c r="AG19" s="962">
        <v>1437</v>
      </c>
      <c r="AH19" s="962">
        <v>1397</v>
      </c>
      <c r="AI19" s="962">
        <v>1345</v>
      </c>
      <c r="AJ19" s="962">
        <v>1287</v>
      </c>
      <c r="AK19" s="962">
        <v>1254</v>
      </c>
      <c r="AL19" s="962">
        <v>1284</v>
      </c>
      <c r="AM19" s="962">
        <v>1206</v>
      </c>
      <c r="AN19" s="1110">
        <v>1207</v>
      </c>
      <c r="AO19" s="1111">
        <v>1179</v>
      </c>
      <c r="AP19" s="1391">
        <v>1153</v>
      </c>
      <c r="AQ19" s="1934">
        <v>1137</v>
      </c>
      <c r="AR19" s="2289">
        <v>1133</v>
      </c>
      <c r="AS19" s="1368">
        <v>1091</v>
      </c>
      <c r="AT19" s="2353">
        <v>1051</v>
      </c>
      <c r="AU19" s="1274"/>
      <c r="AV19" s="979">
        <f t="shared" si="0"/>
        <v>29.663147310206131</v>
      </c>
      <c r="AW19" s="980">
        <f t="shared" si="1"/>
        <v>25.196850393700785</v>
      </c>
      <c r="AX19" s="980">
        <f t="shared" si="2"/>
        <v>27.809307604994324</v>
      </c>
      <c r="AY19" s="980">
        <f t="shared" si="3"/>
        <v>29.325513196480941</v>
      </c>
      <c r="AZ19" s="980">
        <f t="shared" si="4"/>
        <v>17.879161528976571</v>
      </c>
      <c r="BA19" s="980">
        <f t="shared" si="5"/>
        <v>24.057217165149545</v>
      </c>
      <c r="BB19" s="980">
        <f t="shared" si="6"/>
        <v>19.281914893617021</v>
      </c>
      <c r="BC19" s="980">
        <f t="shared" si="7"/>
        <v>22.268615170494087</v>
      </c>
      <c r="BD19" s="980">
        <f t="shared" si="8"/>
        <v>20.758768790264853</v>
      </c>
      <c r="BE19" s="980">
        <f t="shared" si="9"/>
        <v>25.278810408921935</v>
      </c>
      <c r="BF19" s="980">
        <f t="shared" si="10"/>
        <v>26.418026418026418</v>
      </c>
      <c r="BG19" s="980">
        <f t="shared" si="11"/>
        <v>26.315789473684209</v>
      </c>
      <c r="BH19" s="980">
        <f t="shared" si="12"/>
        <v>24.143302180685357</v>
      </c>
      <c r="BI19" s="980">
        <f t="shared" si="13"/>
        <v>22.388059701492537</v>
      </c>
      <c r="BJ19" s="1114">
        <f t="shared" si="14"/>
        <v>21.541010770505384</v>
      </c>
      <c r="BK19" s="1116">
        <f t="shared" si="15"/>
        <v>20.356234096692113</v>
      </c>
      <c r="BL19" s="1278">
        <f t="shared" si="16"/>
        <v>13.876843018213355</v>
      </c>
      <c r="BM19" s="1941">
        <f t="shared" si="17"/>
        <v>17.590149516270891</v>
      </c>
      <c r="BN19" s="2296">
        <f t="shared" si="18"/>
        <v>20.300088261253311</v>
      </c>
      <c r="BO19" s="2364">
        <f t="shared" si="19"/>
        <v>15.582034830430796</v>
      </c>
      <c r="BP19" s="2366">
        <f t="shared" si="19"/>
        <v>19.98097050428164</v>
      </c>
    </row>
    <row r="20" spans="1:68" s="142" customFormat="1" ht="15.75" customHeight="1" x14ac:dyDescent="0.3">
      <c r="A20" s="149" t="s">
        <v>40</v>
      </c>
      <c r="B20" s="185" t="s">
        <v>41</v>
      </c>
      <c r="C20" s="150" t="s">
        <v>254</v>
      </c>
      <c r="D20" s="938">
        <v>20</v>
      </c>
      <c r="E20" s="939">
        <v>18</v>
      </c>
      <c r="F20" s="940">
        <v>12</v>
      </c>
      <c r="G20" s="939">
        <v>30</v>
      </c>
      <c r="H20" s="940">
        <v>26</v>
      </c>
      <c r="I20" s="939">
        <v>21</v>
      </c>
      <c r="J20" s="940">
        <v>24</v>
      </c>
      <c r="K20" s="939">
        <v>13</v>
      </c>
      <c r="L20" s="953">
        <v>27</v>
      </c>
      <c r="M20" s="953">
        <v>25</v>
      </c>
      <c r="N20" s="953">
        <v>26</v>
      </c>
      <c r="O20" s="953">
        <v>23</v>
      </c>
      <c r="P20" s="954">
        <v>20</v>
      </c>
      <c r="Q20" s="954">
        <v>14</v>
      </c>
      <c r="R20" s="1107">
        <v>14</v>
      </c>
      <c r="S20" s="1108">
        <v>5</v>
      </c>
      <c r="T20" s="1273">
        <v>10</v>
      </c>
      <c r="U20" s="1937">
        <v>9</v>
      </c>
      <c r="V20" s="2291">
        <v>7</v>
      </c>
      <c r="W20" s="1367">
        <v>8</v>
      </c>
      <c r="X20" s="2351">
        <v>8</v>
      </c>
      <c r="Y20" s="1273"/>
      <c r="Z20" s="961">
        <v>838</v>
      </c>
      <c r="AA20" s="962">
        <v>842</v>
      </c>
      <c r="AB20" s="962">
        <v>1031</v>
      </c>
      <c r="AC20" s="962">
        <v>1061</v>
      </c>
      <c r="AD20" s="962">
        <v>1065</v>
      </c>
      <c r="AE20" s="962">
        <v>1074</v>
      </c>
      <c r="AF20" s="962">
        <v>1053</v>
      </c>
      <c r="AG20" s="962">
        <v>990</v>
      </c>
      <c r="AH20" s="962">
        <v>936</v>
      </c>
      <c r="AI20" s="962">
        <v>902</v>
      </c>
      <c r="AJ20" s="962">
        <v>874</v>
      </c>
      <c r="AK20" s="962">
        <v>890</v>
      </c>
      <c r="AL20" s="962">
        <v>934</v>
      </c>
      <c r="AM20" s="962">
        <v>886</v>
      </c>
      <c r="AN20" s="1110">
        <v>832</v>
      </c>
      <c r="AO20" s="1111">
        <v>805</v>
      </c>
      <c r="AP20" s="1391">
        <v>776</v>
      </c>
      <c r="AQ20" s="1934">
        <v>790</v>
      </c>
      <c r="AR20" s="2289">
        <v>796</v>
      </c>
      <c r="AS20" s="1368">
        <v>780</v>
      </c>
      <c r="AT20" s="2353">
        <v>804</v>
      </c>
      <c r="AU20" s="1274"/>
      <c r="AV20" s="979">
        <f t="shared" si="0"/>
        <v>23.866348448687351</v>
      </c>
      <c r="AW20" s="980">
        <f t="shared" si="1"/>
        <v>21.377672209026127</v>
      </c>
      <c r="AX20" s="980">
        <f t="shared" si="2"/>
        <v>11.639185257032008</v>
      </c>
      <c r="AY20" s="980">
        <f t="shared" si="3"/>
        <v>28.275212064090482</v>
      </c>
      <c r="AZ20" s="980">
        <f t="shared" si="4"/>
        <v>24.413145539906104</v>
      </c>
      <c r="BA20" s="980">
        <f t="shared" si="5"/>
        <v>19.553072625698324</v>
      </c>
      <c r="BB20" s="980">
        <f t="shared" si="6"/>
        <v>22.792022792022792</v>
      </c>
      <c r="BC20" s="980">
        <f t="shared" si="7"/>
        <v>13.131313131313131</v>
      </c>
      <c r="BD20" s="980">
        <f t="shared" si="8"/>
        <v>28.846153846153847</v>
      </c>
      <c r="BE20" s="980">
        <f t="shared" si="9"/>
        <v>27.716186252771621</v>
      </c>
      <c r="BF20" s="980">
        <f t="shared" si="10"/>
        <v>29.748283752860413</v>
      </c>
      <c r="BG20" s="980">
        <f t="shared" si="11"/>
        <v>25.842696629213481</v>
      </c>
      <c r="BH20" s="980">
        <f t="shared" si="12"/>
        <v>21.413276231263382</v>
      </c>
      <c r="BI20" s="980">
        <f t="shared" si="13"/>
        <v>15.80135440180587</v>
      </c>
      <c r="BJ20" s="1114">
        <f t="shared" si="14"/>
        <v>16.826923076923077</v>
      </c>
      <c r="BK20" s="1116">
        <f t="shared" si="15"/>
        <v>6.2111801242236018</v>
      </c>
      <c r="BL20" s="1278">
        <f t="shared" si="16"/>
        <v>12.886597938144329</v>
      </c>
      <c r="BM20" s="1941">
        <f t="shared" si="17"/>
        <v>11.39240506329114</v>
      </c>
      <c r="BN20" s="2296">
        <f t="shared" si="18"/>
        <v>8.7939698492462313</v>
      </c>
      <c r="BO20" s="2364">
        <f t="shared" si="19"/>
        <v>10.256410256410257</v>
      </c>
      <c r="BP20" s="2366">
        <f t="shared" si="19"/>
        <v>9.9502487562189046</v>
      </c>
    </row>
    <row r="21" spans="1:68" s="142" customFormat="1" ht="15.75" customHeight="1" x14ac:dyDescent="0.3">
      <c r="A21" s="149" t="s">
        <v>42</v>
      </c>
      <c r="B21" s="185" t="s">
        <v>43</v>
      </c>
      <c r="C21" s="150" t="s">
        <v>253</v>
      </c>
      <c r="D21" s="938">
        <v>92</v>
      </c>
      <c r="E21" s="939">
        <v>95</v>
      </c>
      <c r="F21" s="940">
        <v>93</v>
      </c>
      <c r="G21" s="939">
        <v>69</v>
      </c>
      <c r="H21" s="940">
        <v>63</v>
      </c>
      <c r="I21" s="939">
        <v>65</v>
      </c>
      <c r="J21" s="940">
        <v>74</v>
      </c>
      <c r="K21" s="939">
        <v>75</v>
      </c>
      <c r="L21" s="953">
        <v>53</v>
      </c>
      <c r="M21" s="953">
        <v>67</v>
      </c>
      <c r="N21" s="953">
        <v>55</v>
      </c>
      <c r="O21" s="953">
        <v>50</v>
      </c>
      <c r="P21" s="954">
        <v>55</v>
      </c>
      <c r="Q21" s="954">
        <v>62</v>
      </c>
      <c r="R21" s="1107">
        <v>41</v>
      </c>
      <c r="S21" s="1108">
        <v>36</v>
      </c>
      <c r="T21" s="1273">
        <v>32</v>
      </c>
      <c r="U21" s="1937">
        <v>40</v>
      </c>
      <c r="V21" s="2291">
        <v>23</v>
      </c>
      <c r="W21" s="1367">
        <v>29</v>
      </c>
      <c r="X21" s="2351">
        <v>28</v>
      </c>
      <c r="Y21" s="1273"/>
      <c r="Z21" s="961">
        <v>2940</v>
      </c>
      <c r="AA21" s="962">
        <v>2902</v>
      </c>
      <c r="AB21" s="962">
        <v>3326</v>
      </c>
      <c r="AC21" s="962">
        <v>3304</v>
      </c>
      <c r="AD21" s="962">
        <v>3308</v>
      </c>
      <c r="AE21" s="962">
        <v>3327</v>
      </c>
      <c r="AF21" s="962">
        <v>3345</v>
      </c>
      <c r="AG21" s="962">
        <v>3432</v>
      </c>
      <c r="AH21" s="962">
        <v>3318</v>
      </c>
      <c r="AI21" s="962">
        <v>3311</v>
      </c>
      <c r="AJ21" s="962">
        <v>3240</v>
      </c>
      <c r="AK21" s="962">
        <v>3311</v>
      </c>
      <c r="AL21" s="962">
        <v>3610</v>
      </c>
      <c r="AM21" s="962">
        <v>3465</v>
      </c>
      <c r="AN21" s="1110">
        <v>3420</v>
      </c>
      <c r="AO21" s="1111">
        <v>3349</v>
      </c>
      <c r="AP21" s="1391">
        <v>3248</v>
      </c>
      <c r="AQ21" s="1934">
        <v>3159</v>
      </c>
      <c r="AR21" s="2289">
        <v>3179</v>
      </c>
      <c r="AS21" s="1368">
        <v>3067</v>
      </c>
      <c r="AT21" s="2353">
        <v>3032</v>
      </c>
      <c r="AU21" s="1274"/>
      <c r="AV21" s="979">
        <f t="shared" si="0"/>
        <v>31.292517006802726</v>
      </c>
      <c r="AW21" s="980">
        <f t="shared" si="1"/>
        <v>32.736044107512058</v>
      </c>
      <c r="AX21" s="980">
        <f t="shared" si="2"/>
        <v>27.961515333734216</v>
      </c>
      <c r="AY21" s="980">
        <f t="shared" si="3"/>
        <v>20.883777239709442</v>
      </c>
      <c r="AZ21" s="980">
        <f t="shared" si="4"/>
        <v>19.044740024183799</v>
      </c>
      <c r="BA21" s="980">
        <f t="shared" si="5"/>
        <v>19.537120529005108</v>
      </c>
      <c r="BB21" s="980">
        <f t="shared" si="6"/>
        <v>22.122571001494766</v>
      </c>
      <c r="BC21" s="980">
        <f t="shared" si="7"/>
        <v>21.853146853146853</v>
      </c>
      <c r="BD21" s="980">
        <f t="shared" si="8"/>
        <v>15.973477998794452</v>
      </c>
      <c r="BE21" s="980">
        <f t="shared" si="9"/>
        <v>20.23557837511326</v>
      </c>
      <c r="BF21" s="980">
        <f t="shared" si="10"/>
        <v>16.975308641975307</v>
      </c>
      <c r="BG21" s="980">
        <f t="shared" si="11"/>
        <v>15.101177891875567</v>
      </c>
      <c r="BH21" s="980">
        <f t="shared" si="12"/>
        <v>15.235457063711912</v>
      </c>
      <c r="BI21" s="980">
        <f t="shared" si="13"/>
        <v>17.893217893217894</v>
      </c>
      <c r="BJ21" s="1114">
        <f t="shared" si="14"/>
        <v>11.988304093567251</v>
      </c>
      <c r="BK21" s="1116">
        <f t="shared" si="15"/>
        <v>10.749477455957003</v>
      </c>
      <c r="BL21" s="1278">
        <f t="shared" si="16"/>
        <v>9.8522167487684733</v>
      </c>
      <c r="BM21" s="1941">
        <f t="shared" si="17"/>
        <v>12.662234884457106</v>
      </c>
      <c r="BN21" s="2296">
        <f t="shared" si="18"/>
        <v>7.2349795533186541</v>
      </c>
      <c r="BO21" s="2364">
        <f t="shared" si="19"/>
        <v>9.4554939680469516</v>
      </c>
      <c r="BP21" s="2366">
        <f t="shared" si="19"/>
        <v>9.2348284960422173</v>
      </c>
    </row>
    <row r="22" spans="1:68" s="142" customFormat="1" ht="15.75" customHeight="1" x14ac:dyDescent="0.3">
      <c r="A22" s="149" t="s">
        <v>44</v>
      </c>
      <c r="B22" s="185" t="s">
        <v>45</v>
      </c>
      <c r="C22" s="150" t="s">
        <v>254</v>
      </c>
      <c r="D22" s="938">
        <v>29</v>
      </c>
      <c r="E22" s="939">
        <v>41</v>
      </c>
      <c r="F22" s="940">
        <v>40</v>
      </c>
      <c r="G22" s="939">
        <v>39</v>
      </c>
      <c r="H22" s="940">
        <v>36</v>
      </c>
      <c r="I22" s="939">
        <v>37</v>
      </c>
      <c r="J22" s="940">
        <v>40</v>
      </c>
      <c r="K22" s="939">
        <v>45</v>
      </c>
      <c r="L22" s="953">
        <v>38</v>
      </c>
      <c r="M22" s="953">
        <v>40</v>
      </c>
      <c r="N22" s="953">
        <v>37</v>
      </c>
      <c r="O22" s="953">
        <v>47</v>
      </c>
      <c r="P22" s="954">
        <v>27</v>
      </c>
      <c r="Q22" s="954">
        <v>41</v>
      </c>
      <c r="R22" s="1107">
        <v>33</v>
      </c>
      <c r="S22" s="1108">
        <v>28</v>
      </c>
      <c r="T22" s="1273">
        <v>20</v>
      </c>
      <c r="U22" s="1937">
        <v>22</v>
      </c>
      <c r="V22" s="2291">
        <v>21</v>
      </c>
      <c r="W22" s="1367">
        <v>23</v>
      </c>
      <c r="X22" s="2351">
        <v>16</v>
      </c>
      <c r="Y22" s="1273"/>
      <c r="Z22" s="961">
        <v>1348</v>
      </c>
      <c r="AA22" s="962">
        <v>1350</v>
      </c>
      <c r="AB22" s="962">
        <v>1481</v>
      </c>
      <c r="AC22" s="962">
        <v>1501</v>
      </c>
      <c r="AD22" s="962">
        <v>1514</v>
      </c>
      <c r="AE22" s="962">
        <v>1539</v>
      </c>
      <c r="AF22" s="962">
        <v>1584</v>
      </c>
      <c r="AG22" s="962">
        <v>1635</v>
      </c>
      <c r="AH22" s="962">
        <v>1659</v>
      </c>
      <c r="AI22" s="962">
        <v>1636</v>
      </c>
      <c r="AJ22" s="962">
        <v>1624</v>
      </c>
      <c r="AK22" s="962">
        <v>1643</v>
      </c>
      <c r="AL22" s="962">
        <v>1736</v>
      </c>
      <c r="AM22" s="962">
        <v>1729</v>
      </c>
      <c r="AN22" s="1110">
        <v>1754</v>
      </c>
      <c r="AO22" s="1111">
        <v>1723</v>
      </c>
      <c r="AP22" s="1391">
        <v>1733</v>
      </c>
      <c r="AQ22" s="1934">
        <v>1733</v>
      </c>
      <c r="AR22" s="2289">
        <v>1751</v>
      </c>
      <c r="AS22" s="1368">
        <v>1739</v>
      </c>
      <c r="AT22" s="2353">
        <v>1745</v>
      </c>
      <c r="AU22" s="1274"/>
      <c r="AV22" s="979">
        <f t="shared" si="0"/>
        <v>21.513353115727003</v>
      </c>
      <c r="AW22" s="980">
        <f t="shared" si="1"/>
        <v>30.37037037037037</v>
      </c>
      <c r="AX22" s="980">
        <f t="shared" si="2"/>
        <v>27.008777852802162</v>
      </c>
      <c r="AY22" s="980">
        <f t="shared" si="3"/>
        <v>25.982678214523652</v>
      </c>
      <c r="AZ22" s="980">
        <f t="shared" si="4"/>
        <v>23.778071334214001</v>
      </c>
      <c r="BA22" s="980">
        <f t="shared" si="5"/>
        <v>24.041585445094217</v>
      </c>
      <c r="BB22" s="980">
        <f t="shared" si="6"/>
        <v>25.252525252525253</v>
      </c>
      <c r="BC22" s="980">
        <f t="shared" si="7"/>
        <v>27.522935779816514</v>
      </c>
      <c r="BD22" s="980">
        <f t="shared" si="8"/>
        <v>22.905364677516577</v>
      </c>
      <c r="BE22" s="980">
        <f t="shared" si="9"/>
        <v>24.44987775061125</v>
      </c>
      <c r="BF22" s="980">
        <f t="shared" si="10"/>
        <v>22.783251231527093</v>
      </c>
      <c r="BG22" s="980">
        <f t="shared" si="11"/>
        <v>28.606208155812539</v>
      </c>
      <c r="BH22" s="980">
        <f t="shared" si="12"/>
        <v>15.552995391705069</v>
      </c>
      <c r="BI22" s="980">
        <f t="shared" si="13"/>
        <v>23.713128976286871</v>
      </c>
      <c r="BJ22" s="1114">
        <f t="shared" si="14"/>
        <v>18.81413911060433</v>
      </c>
      <c r="BK22" s="1116">
        <f t="shared" si="15"/>
        <v>16.250725478816019</v>
      </c>
      <c r="BL22" s="1278">
        <f t="shared" si="16"/>
        <v>11.540680900173111</v>
      </c>
      <c r="BM22" s="1941">
        <f t="shared" si="17"/>
        <v>12.694748990190421</v>
      </c>
      <c r="BN22" s="2296">
        <f t="shared" si="18"/>
        <v>11.993146773272416</v>
      </c>
      <c r="BO22" s="2364">
        <f t="shared" si="19"/>
        <v>13.225991949396205</v>
      </c>
      <c r="BP22" s="2366">
        <f t="shared" si="19"/>
        <v>9.1690544412607444</v>
      </c>
    </row>
    <row r="23" spans="1:68" s="142" customFormat="1" ht="15.75" customHeight="1" x14ac:dyDescent="0.3">
      <c r="A23" s="149" t="s">
        <v>46</v>
      </c>
      <c r="B23" s="185" t="s">
        <v>47</v>
      </c>
      <c r="C23" s="150" t="s">
        <v>256</v>
      </c>
      <c r="D23" s="938">
        <v>33</v>
      </c>
      <c r="E23" s="939">
        <v>40</v>
      </c>
      <c r="F23" s="940">
        <v>42</v>
      </c>
      <c r="G23" s="939">
        <v>34</v>
      </c>
      <c r="H23" s="940">
        <v>36</v>
      </c>
      <c r="I23" s="939">
        <v>35</v>
      </c>
      <c r="J23" s="940">
        <v>35</v>
      </c>
      <c r="K23" s="939">
        <v>33</v>
      </c>
      <c r="L23" s="953">
        <v>45</v>
      </c>
      <c r="M23" s="953">
        <v>42</v>
      </c>
      <c r="N23" s="953">
        <v>39</v>
      </c>
      <c r="O23" s="953">
        <v>38</v>
      </c>
      <c r="P23" s="954">
        <v>33</v>
      </c>
      <c r="Q23" s="954">
        <v>22</v>
      </c>
      <c r="R23" s="1107">
        <v>35</v>
      </c>
      <c r="S23" s="1108">
        <v>32</v>
      </c>
      <c r="T23" s="1273">
        <v>22</v>
      </c>
      <c r="U23" s="1937">
        <v>23</v>
      </c>
      <c r="V23" s="2291">
        <v>23</v>
      </c>
      <c r="W23" s="1367">
        <v>14</v>
      </c>
      <c r="X23" s="2351">
        <v>17</v>
      </c>
      <c r="Y23" s="1273"/>
      <c r="Z23" s="961">
        <v>1455</v>
      </c>
      <c r="AA23" s="962">
        <v>1430</v>
      </c>
      <c r="AB23" s="962">
        <v>1639</v>
      </c>
      <c r="AC23" s="962">
        <v>1646</v>
      </c>
      <c r="AD23" s="962">
        <v>1616</v>
      </c>
      <c r="AE23" s="962">
        <v>1630</v>
      </c>
      <c r="AF23" s="962">
        <v>1631</v>
      </c>
      <c r="AG23" s="962">
        <v>1607</v>
      </c>
      <c r="AH23" s="962">
        <v>1606</v>
      </c>
      <c r="AI23" s="962">
        <v>1572</v>
      </c>
      <c r="AJ23" s="962">
        <v>1554</v>
      </c>
      <c r="AK23" s="962">
        <v>1596</v>
      </c>
      <c r="AL23" s="962">
        <v>1704</v>
      </c>
      <c r="AM23" s="962">
        <v>1653</v>
      </c>
      <c r="AN23" s="1110">
        <v>1632</v>
      </c>
      <c r="AO23" s="1111">
        <v>1651</v>
      </c>
      <c r="AP23" s="1391">
        <v>1640</v>
      </c>
      <c r="AQ23" s="1934">
        <v>1668</v>
      </c>
      <c r="AR23" s="2289">
        <v>1594</v>
      </c>
      <c r="AS23" s="1368">
        <v>1595</v>
      </c>
      <c r="AT23" s="2353">
        <v>1567</v>
      </c>
      <c r="AU23" s="1274"/>
      <c r="AV23" s="979">
        <f t="shared" si="0"/>
        <v>22.680412371134018</v>
      </c>
      <c r="AW23" s="980">
        <f t="shared" si="1"/>
        <v>27.972027972027973</v>
      </c>
      <c r="AX23" s="980">
        <f t="shared" si="2"/>
        <v>25.625381330079318</v>
      </c>
      <c r="AY23" s="980">
        <f t="shared" si="3"/>
        <v>20.656136087484814</v>
      </c>
      <c r="AZ23" s="980">
        <f t="shared" si="4"/>
        <v>22.277227722772277</v>
      </c>
      <c r="BA23" s="980">
        <f t="shared" si="5"/>
        <v>21.472392638036812</v>
      </c>
      <c r="BB23" s="980">
        <f t="shared" si="6"/>
        <v>21.459227467811157</v>
      </c>
      <c r="BC23" s="980">
        <f t="shared" si="7"/>
        <v>20.535158680771623</v>
      </c>
      <c r="BD23" s="980">
        <f t="shared" si="8"/>
        <v>28.019925280199253</v>
      </c>
      <c r="BE23" s="980">
        <f t="shared" si="9"/>
        <v>26.717557251908396</v>
      </c>
      <c r="BF23" s="980">
        <f t="shared" si="10"/>
        <v>25.096525096525095</v>
      </c>
      <c r="BG23" s="980">
        <f t="shared" si="11"/>
        <v>23.809523809523807</v>
      </c>
      <c r="BH23" s="980">
        <f t="shared" si="12"/>
        <v>19.366197183098588</v>
      </c>
      <c r="BI23" s="980">
        <f t="shared" si="13"/>
        <v>13.309134906231096</v>
      </c>
      <c r="BJ23" s="1114">
        <f t="shared" si="14"/>
        <v>21.446078431372548</v>
      </c>
      <c r="BK23" s="1116">
        <f t="shared" si="15"/>
        <v>19.382192610539068</v>
      </c>
      <c r="BL23" s="1278">
        <f t="shared" si="16"/>
        <v>13.414634146341463</v>
      </c>
      <c r="BM23" s="1941">
        <f t="shared" si="17"/>
        <v>13.788968824940047</v>
      </c>
      <c r="BN23" s="2296">
        <f t="shared" si="18"/>
        <v>14.429109159347552</v>
      </c>
      <c r="BO23" s="2364">
        <f t="shared" si="19"/>
        <v>8.7774294670846391</v>
      </c>
      <c r="BP23" s="2366">
        <f t="shared" si="19"/>
        <v>10.848755583918315</v>
      </c>
    </row>
    <row r="24" spans="1:68" s="142" customFormat="1" ht="15.75" customHeight="1" x14ac:dyDescent="0.3">
      <c r="A24" s="149" t="s">
        <v>48</v>
      </c>
      <c r="B24" s="185" t="s">
        <v>257</v>
      </c>
      <c r="C24" s="150" t="s">
        <v>254</v>
      </c>
      <c r="D24" s="938">
        <v>10</v>
      </c>
      <c r="E24" s="939">
        <v>13</v>
      </c>
      <c r="F24" s="940">
        <v>12</v>
      </c>
      <c r="G24" s="939">
        <v>14</v>
      </c>
      <c r="H24" s="940">
        <v>8</v>
      </c>
      <c r="I24" s="939">
        <v>7</v>
      </c>
      <c r="J24" s="940">
        <v>7</v>
      </c>
      <c r="K24" s="939">
        <v>8</v>
      </c>
      <c r="L24" s="953">
        <v>9</v>
      </c>
      <c r="M24" s="953">
        <v>2</v>
      </c>
      <c r="N24" s="953">
        <v>5</v>
      </c>
      <c r="O24" s="953">
        <v>3</v>
      </c>
      <c r="P24" s="954">
        <v>5</v>
      </c>
      <c r="Q24" s="954">
        <v>3</v>
      </c>
      <c r="R24" s="1107">
        <v>4</v>
      </c>
      <c r="S24" s="1108">
        <v>2</v>
      </c>
      <c r="T24" s="1273">
        <v>6</v>
      </c>
      <c r="U24" s="1937">
        <v>3</v>
      </c>
      <c r="V24" s="2291">
        <v>3</v>
      </c>
      <c r="W24" s="1367">
        <v>3</v>
      </c>
      <c r="X24" s="2351">
        <v>0</v>
      </c>
      <c r="Y24" s="1273"/>
      <c r="Z24" s="961">
        <v>400</v>
      </c>
      <c r="AA24" s="962">
        <v>398</v>
      </c>
      <c r="AB24" s="962">
        <v>461</v>
      </c>
      <c r="AC24" s="962">
        <v>435</v>
      </c>
      <c r="AD24" s="962">
        <v>429</v>
      </c>
      <c r="AE24" s="962">
        <v>431</v>
      </c>
      <c r="AF24" s="962">
        <v>394</v>
      </c>
      <c r="AG24" s="962">
        <v>384</v>
      </c>
      <c r="AH24" s="962">
        <v>384</v>
      </c>
      <c r="AI24" s="962">
        <v>373</v>
      </c>
      <c r="AJ24" s="962">
        <v>383</v>
      </c>
      <c r="AK24" s="962">
        <v>361</v>
      </c>
      <c r="AL24" s="962">
        <v>370</v>
      </c>
      <c r="AM24" s="962">
        <v>375</v>
      </c>
      <c r="AN24" s="1110">
        <v>333</v>
      </c>
      <c r="AO24" s="1111">
        <v>323</v>
      </c>
      <c r="AP24" s="1391">
        <v>307</v>
      </c>
      <c r="AQ24" s="1934">
        <v>305</v>
      </c>
      <c r="AR24" s="2289">
        <v>300</v>
      </c>
      <c r="AS24" s="1368">
        <v>296</v>
      </c>
      <c r="AT24" s="2353">
        <v>304</v>
      </c>
      <c r="AU24" s="1274"/>
      <c r="AV24" s="979">
        <f t="shared" si="0"/>
        <v>25</v>
      </c>
      <c r="AW24" s="980">
        <f t="shared" si="1"/>
        <v>32.663316582914575</v>
      </c>
      <c r="AX24" s="980">
        <f t="shared" si="2"/>
        <v>26.030368763557483</v>
      </c>
      <c r="AY24" s="980">
        <f t="shared" si="3"/>
        <v>32.183908045977013</v>
      </c>
      <c r="AZ24" s="980">
        <f t="shared" si="4"/>
        <v>18.648018648018649</v>
      </c>
      <c r="BA24" s="980">
        <f t="shared" si="5"/>
        <v>16.241299303944317</v>
      </c>
      <c r="BB24" s="980">
        <f t="shared" si="6"/>
        <v>17.766497461928935</v>
      </c>
      <c r="BC24" s="980">
        <f t="shared" si="7"/>
        <v>20.833333333333332</v>
      </c>
      <c r="BD24" s="980">
        <f t="shared" si="8"/>
        <v>23.4375</v>
      </c>
      <c r="BE24" s="980">
        <f t="shared" si="9"/>
        <v>5.3619302949061662</v>
      </c>
      <c r="BF24" s="980">
        <f t="shared" si="10"/>
        <v>13.054830287206265</v>
      </c>
      <c r="BG24" s="980">
        <f t="shared" si="11"/>
        <v>8.310249307479225</v>
      </c>
      <c r="BH24" s="980">
        <f t="shared" si="12"/>
        <v>13.513513513513514</v>
      </c>
      <c r="BI24" s="980">
        <f t="shared" si="13"/>
        <v>8</v>
      </c>
      <c r="BJ24" s="1114">
        <f t="shared" si="14"/>
        <v>12.012012012012011</v>
      </c>
      <c r="BK24" s="1116">
        <f t="shared" si="15"/>
        <v>6.1919504643962853</v>
      </c>
      <c r="BL24" s="1278">
        <f t="shared" si="16"/>
        <v>19.543973941368076</v>
      </c>
      <c r="BM24" s="1941">
        <f t="shared" si="17"/>
        <v>9.8360655737704921</v>
      </c>
      <c r="BN24" s="2296">
        <f t="shared" si="18"/>
        <v>10</v>
      </c>
      <c r="BO24" s="2364">
        <f t="shared" si="19"/>
        <v>10.135135135135135</v>
      </c>
      <c r="BP24" s="2366">
        <f t="shared" si="19"/>
        <v>0</v>
      </c>
    </row>
    <row r="25" spans="1:68" s="142" customFormat="1" ht="15.75" customHeight="1" x14ac:dyDescent="0.3">
      <c r="A25" s="149" t="s">
        <v>50</v>
      </c>
      <c r="B25" s="185" t="s">
        <v>51</v>
      </c>
      <c r="C25" s="150" t="s">
        <v>253</v>
      </c>
      <c r="D25" s="938">
        <v>23</v>
      </c>
      <c r="E25" s="939">
        <v>27</v>
      </c>
      <c r="F25" s="940">
        <v>23</v>
      </c>
      <c r="G25" s="939">
        <v>26</v>
      </c>
      <c r="H25" s="940">
        <v>17</v>
      </c>
      <c r="I25" s="939">
        <v>13</v>
      </c>
      <c r="J25" s="940">
        <v>21</v>
      </c>
      <c r="K25" s="939">
        <v>15</v>
      </c>
      <c r="L25" s="953">
        <v>10</v>
      </c>
      <c r="M25" s="953">
        <v>24</v>
      </c>
      <c r="N25" s="953">
        <v>22</v>
      </c>
      <c r="O25" s="953">
        <v>18</v>
      </c>
      <c r="P25" s="954">
        <v>12</v>
      </c>
      <c r="Q25" s="954">
        <v>19</v>
      </c>
      <c r="R25" s="1107">
        <v>17</v>
      </c>
      <c r="S25" s="1108">
        <v>15</v>
      </c>
      <c r="T25" s="1273">
        <v>8</v>
      </c>
      <c r="U25" s="1937">
        <v>15</v>
      </c>
      <c r="V25" s="2291">
        <v>5</v>
      </c>
      <c r="W25" s="1367">
        <v>6</v>
      </c>
      <c r="X25" s="2351">
        <v>5</v>
      </c>
      <c r="Y25" s="1273"/>
      <c r="Z25" s="961">
        <v>762</v>
      </c>
      <c r="AA25" s="962">
        <v>755</v>
      </c>
      <c r="AB25" s="962">
        <v>875</v>
      </c>
      <c r="AC25" s="962">
        <v>890</v>
      </c>
      <c r="AD25" s="962">
        <v>895</v>
      </c>
      <c r="AE25" s="962">
        <v>889</v>
      </c>
      <c r="AF25" s="962">
        <v>866</v>
      </c>
      <c r="AG25" s="962">
        <v>888</v>
      </c>
      <c r="AH25" s="962">
        <v>843</v>
      </c>
      <c r="AI25" s="962">
        <v>821</v>
      </c>
      <c r="AJ25" s="962">
        <v>785</v>
      </c>
      <c r="AK25" s="962">
        <v>783</v>
      </c>
      <c r="AL25" s="962">
        <v>863</v>
      </c>
      <c r="AM25" s="962">
        <v>814</v>
      </c>
      <c r="AN25" s="1110">
        <v>773</v>
      </c>
      <c r="AO25" s="1111">
        <v>756</v>
      </c>
      <c r="AP25" s="1391">
        <v>759</v>
      </c>
      <c r="AQ25" s="1934">
        <v>744</v>
      </c>
      <c r="AR25" s="2289">
        <v>716</v>
      </c>
      <c r="AS25" s="1368">
        <v>695</v>
      </c>
      <c r="AT25" s="2353">
        <v>688</v>
      </c>
      <c r="AU25" s="1274"/>
      <c r="AV25" s="979">
        <f t="shared" si="0"/>
        <v>30.183727034120736</v>
      </c>
      <c r="AW25" s="980">
        <f t="shared" si="1"/>
        <v>35.76158940397351</v>
      </c>
      <c r="AX25" s="980">
        <f t="shared" si="2"/>
        <v>26.285714285714288</v>
      </c>
      <c r="AY25" s="980">
        <f t="shared" si="3"/>
        <v>29.213483146067418</v>
      </c>
      <c r="AZ25" s="980">
        <f t="shared" si="4"/>
        <v>18.994413407821231</v>
      </c>
      <c r="BA25" s="980">
        <f t="shared" si="5"/>
        <v>14.623172103487065</v>
      </c>
      <c r="BB25" s="980">
        <f t="shared" si="6"/>
        <v>24.24942263279446</v>
      </c>
      <c r="BC25" s="980">
        <f t="shared" si="7"/>
        <v>16.891891891891891</v>
      </c>
      <c r="BD25" s="980">
        <f t="shared" si="8"/>
        <v>11.862396204033214</v>
      </c>
      <c r="BE25" s="980">
        <f t="shared" si="9"/>
        <v>29.232643118148598</v>
      </c>
      <c r="BF25" s="980">
        <f t="shared" si="10"/>
        <v>28.02547770700637</v>
      </c>
      <c r="BG25" s="980">
        <f t="shared" si="11"/>
        <v>22.988505747126435</v>
      </c>
      <c r="BH25" s="980">
        <f t="shared" si="12"/>
        <v>13.904982618771726</v>
      </c>
      <c r="BI25" s="980">
        <f t="shared" si="13"/>
        <v>23.341523341523342</v>
      </c>
      <c r="BJ25" s="1114">
        <f t="shared" si="14"/>
        <v>21.992238033635189</v>
      </c>
      <c r="BK25" s="1116">
        <f t="shared" si="15"/>
        <v>19.841269841269842</v>
      </c>
      <c r="BL25" s="1278">
        <f t="shared" si="16"/>
        <v>10.540184453227932</v>
      </c>
      <c r="BM25" s="1941">
        <f t="shared" si="17"/>
        <v>20.161290322580644</v>
      </c>
      <c r="BN25" s="2296">
        <f t="shared" si="18"/>
        <v>6.983240223463687</v>
      </c>
      <c r="BO25" s="2364">
        <f t="shared" si="19"/>
        <v>8.6330935251798557</v>
      </c>
      <c r="BP25" s="2366">
        <f t="shared" si="19"/>
        <v>7.2674418604651159</v>
      </c>
    </row>
    <row r="26" spans="1:68" s="142" customFormat="1" ht="15.75" customHeight="1" x14ac:dyDescent="0.3">
      <c r="A26" s="149" t="s">
        <v>56</v>
      </c>
      <c r="B26" s="185" t="s">
        <v>283</v>
      </c>
      <c r="C26" s="150" t="s">
        <v>254</v>
      </c>
      <c r="D26" s="938">
        <v>292</v>
      </c>
      <c r="E26" s="939">
        <v>266</v>
      </c>
      <c r="F26" s="940">
        <v>276</v>
      </c>
      <c r="G26" s="939">
        <v>262</v>
      </c>
      <c r="H26" s="940">
        <v>236</v>
      </c>
      <c r="I26" s="939">
        <v>273</v>
      </c>
      <c r="J26" s="940">
        <v>269</v>
      </c>
      <c r="K26" s="939">
        <v>282</v>
      </c>
      <c r="L26" s="953">
        <v>284</v>
      </c>
      <c r="M26" s="953">
        <v>298</v>
      </c>
      <c r="N26" s="953">
        <v>251</v>
      </c>
      <c r="O26" s="953">
        <v>274</v>
      </c>
      <c r="P26" s="954">
        <v>247</v>
      </c>
      <c r="Q26" s="954">
        <v>250</v>
      </c>
      <c r="R26" s="1107">
        <v>234</v>
      </c>
      <c r="S26" s="1108">
        <v>179</v>
      </c>
      <c r="T26" s="1273">
        <v>193</v>
      </c>
      <c r="U26" s="1937">
        <v>173</v>
      </c>
      <c r="V26" s="2291">
        <v>169</v>
      </c>
      <c r="W26" s="1367">
        <v>132</v>
      </c>
      <c r="X26" s="2351">
        <v>139</v>
      </c>
      <c r="Y26" s="1273"/>
      <c r="Z26" s="961">
        <v>19556</v>
      </c>
      <c r="AA26" s="962">
        <v>19846</v>
      </c>
      <c r="AB26" s="962">
        <v>21786</v>
      </c>
      <c r="AC26" s="962">
        <v>22558</v>
      </c>
      <c r="AD26" s="962">
        <v>22878</v>
      </c>
      <c r="AE26" s="962">
        <v>23226</v>
      </c>
      <c r="AF26" s="962">
        <v>23494</v>
      </c>
      <c r="AG26" s="962">
        <v>23339</v>
      </c>
      <c r="AH26" s="962">
        <v>23173</v>
      </c>
      <c r="AI26" s="962">
        <v>23273</v>
      </c>
      <c r="AJ26" s="962">
        <v>23024</v>
      </c>
      <c r="AK26" s="962">
        <v>24677</v>
      </c>
      <c r="AL26" s="962">
        <v>25150</v>
      </c>
      <c r="AM26" s="962">
        <v>25241</v>
      </c>
      <c r="AN26" s="1110">
        <v>25417</v>
      </c>
      <c r="AO26" s="1111">
        <v>25329</v>
      </c>
      <c r="AP26" s="1391">
        <v>25189</v>
      </c>
      <c r="AQ26" s="1934">
        <v>25004</v>
      </c>
      <c r="AR26" s="2289">
        <v>24691</v>
      </c>
      <c r="AS26" s="1368">
        <v>24853</v>
      </c>
      <c r="AT26" s="2353">
        <v>25053</v>
      </c>
      <c r="AU26" s="1274"/>
      <c r="AV26" s="979">
        <f t="shared" si="0"/>
        <v>14.93147883002659</v>
      </c>
      <c r="AW26" s="980">
        <f t="shared" si="1"/>
        <v>13.40320467600524</v>
      </c>
      <c r="AX26" s="980">
        <f t="shared" si="2"/>
        <v>12.668686312310658</v>
      </c>
      <c r="AY26" s="980">
        <f t="shared" si="3"/>
        <v>11.614504831988651</v>
      </c>
      <c r="AZ26" s="980">
        <f t="shared" si="4"/>
        <v>10.31558702683801</v>
      </c>
      <c r="BA26" s="980">
        <f t="shared" si="5"/>
        <v>11.754068716094032</v>
      </c>
      <c r="BB26" s="980">
        <f t="shared" si="6"/>
        <v>11.449731846428875</v>
      </c>
      <c r="BC26" s="980">
        <f t="shared" si="7"/>
        <v>12.082779896310896</v>
      </c>
      <c r="BD26" s="980">
        <f t="shared" si="8"/>
        <v>12.25564234238122</v>
      </c>
      <c r="BE26" s="980">
        <f t="shared" si="9"/>
        <v>12.804537446826796</v>
      </c>
      <c r="BF26" s="980">
        <f t="shared" si="10"/>
        <v>10.901667824878388</v>
      </c>
      <c r="BG26" s="980">
        <f t="shared" si="11"/>
        <v>11.103456660047819</v>
      </c>
      <c r="BH26" s="980">
        <f t="shared" si="12"/>
        <v>9.821073558648111</v>
      </c>
      <c r="BI26" s="980">
        <f t="shared" si="13"/>
        <v>9.904520423121113</v>
      </c>
      <c r="BJ26" s="1114">
        <f t="shared" si="14"/>
        <v>9.2064366368965658</v>
      </c>
      <c r="BK26" s="1116">
        <f t="shared" si="15"/>
        <v>7.0669983023411902</v>
      </c>
      <c r="BL26" s="1278">
        <f t="shared" si="16"/>
        <v>7.6620747151534392</v>
      </c>
      <c r="BM26" s="1941">
        <f t="shared" si="17"/>
        <v>6.9188929771236598</v>
      </c>
      <c r="BN26" s="2296">
        <f t="shared" si="18"/>
        <v>6.8445992466890768</v>
      </c>
      <c r="BO26" s="2364">
        <f t="shared" si="19"/>
        <v>5.3112300325916388</v>
      </c>
      <c r="BP26" s="2366">
        <f t="shared" si="19"/>
        <v>5.5482377359996802</v>
      </c>
    </row>
    <row r="27" spans="1:68" s="142" customFormat="1" ht="15.75" customHeight="1" x14ac:dyDescent="0.3">
      <c r="A27" s="149" t="s">
        <v>58</v>
      </c>
      <c r="B27" s="185" t="s">
        <v>59</v>
      </c>
      <c r="C27" s="150" t="s">
        <v>255</v>
      </c>
      <c r="D27" s="938">
        <v>11</v>
      </c>
      <c r="E27" s="939">
        <v>15</v>
      </c>
      <c r="F27" s="940">
        <v>12</v>
      </c>
      <c r="G27" s="939">
        <v>12</v>
      </c>
      <c r="H27" s="940">
        <v>11</v>
      </c>
      <c r="I27" s="939">
        <v>8</v>
      </c>
      <c r="J27" s="940">
        <v>11</v>
      </c>
      <c r="K27" s="939">
        <v>8</v>
      </c>
      <c r="L27" s="953">
        <v>17</v>
      </c>
      <c r="M27" s="953">
        <v>11</v>
      </c>
      <c r="N27" s="953">
        <v>6</v>
      </c>
      <c r="O27" s="953">
        <v>6</v>
      </c>
      <c r="P27" s="954">
        <v>14</v>
      </c>
      <c r="Q27" s="954">
        <v>7</v>
      </c>
      <c r="R27" s="1107">
        <v>10</v>
      </c>
      <c r="S27" s="1108">
        <v>7</v>
      </c>
      <c r="T27" s="1273">
        <v>6</v>
      </c>
      <c r="U27" s="1937">
        <v>2</v>
      </c>
      <c r="V27" s="2291">
        <v>2</v>
      </c>
      <c r="W27" s="1367">
        <v>2</v>
      </c>
      <c r="X27" s="2351">
        <v>6</v>
      </c>
      <c r="Y27" s="1273"/>
      <c r="Z27" s="961">
        <v>799</v>
      </c>
      <c r="AA27" s="962">
        <v>812</v>
      </c>
      <c r="AB27" s="962">
        <v>788</v>
      </c>
      <c r="AC27" s="962">
        <v>830</v>
      </c>
      <c r="AD27" s="962">
        <v>856</v>
      </c>
      <c r="AE27" s="962">
        <v>892</v>
      </c>
      <c r="AF27" s="962">
        <v>912</v>
      </c>
      <c r="AG27" s="962">
        <v>941</v>
      </c>
      <c r="AH27" s="962">
        <v>935</v>
      </c>
      <c r="AI27" s="962">
        <v>919</v>
      </c>
      <c r="AJ27" s="962">
        <v>885</v>
      </c>
      <c r="AK27" s="962">
        <v>938</v>
      </c>
      <c r="AL27" s="962">
        <v>925</v>
      </c>
      <c r="AM27" s="962">
        <v>964</v>
      </c>
      <c r="AN27" s="1110">
        <v>970</v>
      </c>
      <c r="AO27" s="1111">
        <v>912</v>
      </c>
      <c r="AP27" s="1391">
        <v>912</v>
      </c>
      <c r="AQ27" s="1934">
        <v>897</v>
      </c>
      <c r="AR27" s="2289">
        <v>925</v>
      </c>
      <c r="AS27" s="1368">
        <v>896</v>
      </c>
      <c r="AT27" s="2353">
        <v>904</v>
      </c>
      <c r="AU27" s="1274"/>
      <c r="AV27" s="979">
        <f t="shared" si="0"/>
        <v>13.767209011264081</v>
      </c>
      <c r="AW27" s="980">
        <f t="shared" si="1"/>
        <v>18.47290640394089</v>
      </c>
      <c r="AX27" s="980">
        <f t="shared" si="2"/>
        <v>15.228426395939087</v>
      </c>
      <c r="AY27" s="980">
        <f t="shared" si="3"/>
        <v>14.457831325301205</v>
      </c>
      <c r="AZ27" s="980">
        <f t="shared" si="4"/>
        <v>12.850467289719626</v>
      </c>
      <c r="BA27" s="980">
        <f t="shared" si="5"/>
        <v>8.9686098654708513</v>
      </c>
      <c r="BB27" s="980">
        <f t="shared" si="6"/>
        <v>12.06140350877193</v>
      </c>
      <c r="BC27" s="980">
        <f t="shared" si="7"/>
        <v>8.501594048884165</v>
      </c>
      <c r="BD27" s="980">
        <f t="shared" si="8"/>
        <v>18.18181818181818</v>
      </c>
      <c r="BE27" s="980">
        <f t="shared" si="9"/>
        <v>11.969532100108813</v>
      </c>
      <c r="BF27" s="980">
        <f t="shared" si="10"/>
        <v>6.7796610169491522</v>
      </c>
      <c r="BG27" s="980">
        <f t="shared" si="11"/>
        <v>6.3965884861407245</v>
      </c>
      <c r="BH27" s="980">
        <f t="shared" si="12"/>
        <v>15.135135135135135</v>
      </c>
      <c r="BI27" s="980">
        <f t="shared" si="13"/>
        <v>7.2614107883817427</v>
      </c>
      <c r="BJ27" s="1114">
        <f t="shared" si="14"/>
        <v>10.309278350515465</v>
      </c>
      <c r="BK27" s="1116">
        <f t="shared" si="15"/>
        <v>7.6754385964912277</v>
      </c>
      <c r="BL27" s="1278">
        <f t="shared" si="16"/>
        <v>6.5789473684210522</v>
      </c>
      <c r="BM27" s="1941">
        <f t="shared" si="17"/>
        <v>2.229654403567447</v>
      </c>
      <c r="BN27" s="2296">
        <f t="shared" si="18"/>
        <v>2.1621621621621623</v>
      </c>
      <c r="BO27" s="2364">
        <f t="shared" si="19"/>
        <v>2.2321428571428572</v>
      </c>
      <c r="BP27" s="2366">
        <f t="shared" si="19"/>
        <v>6.6371681415929205</v>
      </c>
    </row>
    <row r="28" spans="1:68" s="142" customFormat="1" ht="15.75" customHeight="1" x14ac:dyDescent="0.3">
      <c r="A28" s="149" t="s">
        <v>60</v>
      </c>
      <c r="B28" s="185" t="s">
        <v>61</v>
      </c>
      <c r="C28" s="150" t="s">
        <v>253</v>
      </c>
      <c r="D28" s="938">
        <v>11</v>
      </c>
      <c r="E28" s="939">
        <v>7</v>
      </c>
      <c r="F28" s="940">
        <v>5</v>
      </c>
      <c r="G28" s="939">
        <v>5</v>
      </c>
      <c r="H28" s="940">
        <v>3</v>
      </c>
      <c r="I28" s="939">
        <v>4</v>
      </c>
      <c r="J28" s="940">
        <v>2</v>
      </c>
      <c r="K28" s="939">
        <v>4</v>
      </c>
      <c r="L28" s="953">
        <v>5</v>
      </c>
      <c r="M28" s="953">
        <v>4</v>
      </c>
      <c r="N28" s="953">
        <v>5</v>
      </c>
      <c r="O28" s="953">
        <v>10</v>
      </c>
      <c r="P28" s="954">
        <v>3</v>
      </c>
      <c r="Q28" s="954">
        <v>4</v>
      </c>
      <c r="R28" s="1107">
        <v>3</v>
      </c>
      <c r="S28" s="1108">
        <v>10</v>
      </c>
      <c r="T28" s="1273">
        <v>3</v>
      </c>
      <c r="U28" s="1937">
        <v>3</v>
      </c>
      <c r="V28" s="2291">
        <v>1</v>
      </c>
      <c r="W28" s="1367">
        <v>2</v>
      </c>
      <c r="X28" s="2351">
        <v>6</v>
      </c>
      <c r="Y28" s="1273"/>
      <c r="Z28" s="961">
        <v>250</v>
      </c>
      <c r="AA28" s="962">
        <v>248</v>
      </c>
      <c r="AB28" s="962">
        <v>304</v>
      </c>
      <c r="AC28" s="962">
        <v>329</v>
      </c>
      <c r="AD28" s="962">
        <v>329</v>
      </c>
      <c r="AE28" s="962">
        <v>331</v>
      </c>
      <c r="AF28" s="962">
        <v>339</v>
      </c>
      <c r="AG28" s="962">
        <v>342</v>
      </c>
      <c r="AH28" s="962">
        <v>341</v>
      </c>
      <c r="AI28" s="962">
        <v>321</v>
      </c>
      <c r="AJ28" s="962">
        <v>314</v>
      </c>
      <c r="AK28" s="962">
        <v>304</v>
      </c>
      <c r="AL28" s="962">
        <v>325</v>
      </c>
      <c r="AM28" s="962">
        <v>323</v>
      </c>
      <c r="AN28" s="1110">
        <v>317</v>
      </c>
      <c r="AO28" s="1111">
        <v>319</v>
      </c>
      <c r="AP28" s="1391">
        <v>309</v>
      </c>
      <c r="AQ28" s="1934">
        <v>282</v>
      </c>
      <c r="AR28" s="2289">
        <v>285</v>
      </c>
      <c r="AS28" s="1368">
        <v>276</v>
      </c>
      <c r="AT28" s="2353">
        <v>276</v>
      </c>
      <c r="AU28" s="1274"/>
      <c r="AV28" s="979">
        <f t="shared" si="0"/>
        <v>44</v>
      </c>
      <c r="AW28" s="980">
        <f t="shared" si="1"/>
        <v>28.225806451612904</v>
      </c>
      <c r="AX28" s="980">
        <f t="shared" si="2"/>
        <v>16.44736842105263</v>
      </c>
      <c r="AY28" s="980">
        <f t="shared" si="3"/>
        <v>15.197568389057752</v>
      </c>
      <c r="AZ28" s="980">
        <f t="shared" si="4"/>
        <v>9.1185410334346493</v>
      </c>
      <c r="BA28" s="980">
        <f t="shared" si="5"/>
        <v>12.084592145015106</v>
      </c>
      <c r="BB28" s="980">
        <f t="shared" si="6"/>
        <v>5.8997050147492622</v>
      </c>
      <c r="BC28" s="980">
        <f t="shared" si="7"/>
        <v>11.695906432748536</v>
      </c>
      <c r="BD28" s="980">
        <f t="shared" si="8"/>
        <v>14.66275659824047</v>
      </c>
      <c r="BE28" s="980">
        <f t="shared" si="9"/>
        <v>12.461059190031152</v>
      </c>
      <c r="BF28" s="980">
        <f t="shared" si="10"/>
        <v>15.923566878980891</v>
      </c>
      <c r="BG28" s="980">
        <f t="shared" si="11"/>
        <v>32.89473684210526</v>
      </c>
      <c r="BH28" s="980">
        <f t="shared" si="12"/>
        <v>9.2307692307692317</v>
      </c>
      <c r="BI28" s="980">
        <f t="shared" si="13"/>
        <v>12.383900928792571</v>
      </c>
      <c r="BJ28" s="1114">
        <f t="shared" si="14"/>
        <v>9.4637223974763405</v>
      </c>
      <c r="BK28" s="1116">
        <f t="shared" si="15"/>
        <v>31.347962382445139</v>
      </c>
      <c r="BL28" s="1278">
        <f t="shared" si="16"/>
        <v>9.7087378640776691</v>
      </c>
      <c r="BM28" s="1941">
        <f t="shared" si="17"/>
        <v>10.638297872340425</v>
      </c>
      <c r="BN28" s="2296">
        <f t="shared" si="18"/>
        <v>3.5087719298245617</v>
      </c>
      <c r="BO28" s="2364">
        <f t="shared" si="19"/>
        <v>7.2463768115942031</v>
      </c>
      <c r="BP28" s="2366">
        <f t="shared" si="19"/>
        <v>21.739130434782609</v>
      </c>
    </row>
    <row r="29" spans="1:68" s="142" customFormat="1" ht="15.75" customHeight="1" x14ac:dyDescent="0.3">
      <c r="A29" s="149" t="s">
        <v>62</v>
      </c>
      <c r="B29" s="185" t="s">
        <v>63</v>
      </c>
      <c r="C29" s="150" t="s">
        <v>255</v>
      </c>
      <c r="D29" s="938">
        <v>69</v>
      </c>
      <c r="E29" s="939">
        <v>53</v>
      </c>
      <c r="F29" s="940">
        <v>65</v>
      </c>
      <c r="G29" s="939">
        <v>45</v>
      </c>
      <c r="H29" s="940">
        <v>45</v>
      </c>
      <c r="I29" s="939">
        <v>59</v>
      </c>
      <c r="J29" s="940">
        <v>51</v>
      </c>
      <c r="K29" s="939">
        <v>54</v>
      </c>
      <c r="L29" s="953">
        <v>63</v>
      </c>
      <c r="M29" s="953">
        <v>67</v>
      </c>
      <c r="N29" s="953">
        <v>61</v>
      </c>
      <c r="O29" s="953">
        <v>55</v>
      </c>
      <c r="P29" s="954">
        <v>48</v>
      </c>
      <c r="Q29" s="954">
        <v>44</v>
      </c>
      <c r="R29" s="1107">
        <v>48</v>
      </c>
      <c r="S29" s="1108">
        <v>33</v>
      </c>
      <c r="T29" s="1273">
        <v>27</v>
      </c>
      <c r="U29" s="1937">
        <v>37</v>
      </c>
      <c r="V29" s="2291">
        <v>34</v>
      </c>
      <c r="W29" s="1367">
        <v>24</v>
      </c>
      <c r="X29" s="2351">
        <v>29</v>
      </c>
      <c r="Y29" s="1273"/>
      <c r="Z29" s="961">
        <v>2245</v>
      </c>
      <c r="AA29" s="962">
        <v>2294</v>
      </c>
      <c r="AB29" s="962">
        <v>2384</v>
      </c>
      <c r="AC29" s="962">
        <v>2513</v>
      </c>
      <c r="AD29" s="962">
        <v>2570</v>
      </c>
      <c r="AE29" s="962">
        <v>2674</v>
      </c>
      <c r="AF29" s="962">
        <v>2765</v>
      </c>
      <c r="AG29" s="962">
        <v>2841</v>
      </c>
      <c r="AH29" s="962">
        <v>2885</v>
      </c>
      <c r="AI29" s="962">
        <v>2878</v>
      </c>
      <c r="AJ29" s="962">
        <v>2846</v>
      </c>
      <c r="AK29" s="962">
        <v>3047</v>
      </c>
      <c r="AL29" s="962">
        <v>3118</v>
      </c>
      <c r="AM29" s="962">
        <v>3137</v>
      </c>
      <c r="AN29" s="1110">
        <v>3228</v>
      </c>
      <c r="AO29" s="1111">
        <v>3240</v>
      </c>
      <c r="AP29" s="1391">
        <v>3218</v>
      </c>
      <c r="AQ29" s="1934">
        <v>3281</v>
      </c>
      <c r="AR29" s="2289">
        <v>3323</v>
      </c>
      <c r="AS29" s="1368">
        <v>3429</v>
      </c>
      <c r="AT29" s="2353">
        <v>3531</v>
      </c>
      <c r="AU29" s="1274"/>
      <c r="AV29" s="979">
        <f t="shared" si="0"/>
        <v>30.734966592427618</v>
      </c>
      <c r="AW29" s="980">
        <f t="shared" si="1"/>
        <v>23.103748910200522</v>
      </c>
      <c r="AX29" s="980">
        <f t="shared" si="2"/>
        <v>27.265100671140939</v>
      </c>
      <c r="AY29" s="980">
        <f t="shared" si="3"/>
        <v>17.906884202148827</v>
      </c>
      <c r="AZ29" s="980">
        <f t="shared" si="4"/>
        <v>17.509727626459146</v>
      </c>
      <c r="BA29" s="980">
        <f t="shared" si="5"/>
        <v>22.064323111443532</v>
      </c>
      <c r="BB29" s="980">
        <f t="shared" si="6"/>
        <v>18.44484629294756</v>
      </c>
      <c r="BC29" s="980">
        <f t="shared" si="7"/>
        <v>19.00739176346357</v>
      </c>
      <c r="BD29" s="980">
        <f t="shared" si="8"/>
        <v>21.837088388214905</v>
      </c>
      <c r="BE29" s="980">
        <f t="shared" si="9"/>
        <v>23.280055594162611</v>
      </c>
      <c r="BF29" s="980">
        <f t="shared" si="10"/>
        <v>21.433591004919187</v>
      </c>
      <c r="BG29" s="980">
        <f t="shared" si="11"/>
        <v>18.050541516245488</v>
      </c>
      <c r="BH29" s="980">
        <f t="shared" si="12"/>
        <v>15.394483643361129</v>
      </c>
      <c r="BI29" s="980">
        <f t="shared" si="13"/>
        <v>14.026139623844438</v>
      </c>
      <c r="BJ29" s="1114">
        <f t="shared" si="14"/>
        <v>14.869888475836431</v>
      </c>
      <c r="BK29" s="1116">
        <f t="shared" si="15"/>
        <v>10.185185185185187</v>
      </c>
      <c r="BL29" s="1278">
        <f t="shared" si="16"/>
        <v>8.3903045369794906</v>
      </c>
      <c r="BM29" s="1941">
        <f t="shared" si="17"/>
        <v>11.277049679975617</v>
      </c>
      <c r="BN29" s="2296">
        <f t="shared" si="18"/>
        <v>10.231718326813121</v>
      </c>
      <c r="BO29" s="2364">
        <f t="shared" si="19"/>
        <v>6.99912510936133</v>
      </c>
      <c r="BP29" s="2366">
        <f t="shared" si="19"/>
        <v>8.2129708297932602</v>
      </c>
    </row>
    <row r="30" spans="1:68" s="142" customFormat="1" ht="15.75" customHeight="1" x14ac:dyDescent="0.3">
      <c r="A30" s="149" t="s">
        <v>64</v>
      </c>
      <c r="B30" s="185" t="s">
        <v>65</v>
      </c>
      <c r="C30" s="150" t="s">
        <v>254</v>
      </c>
      <c r="D30" s="938">
        <v>17</v>
      </c>
      <c r="E30" s="939">
        <v>13</v>
      </c>
      <c r="F30" s="940">
        <v>8</v>
      </c>
      <c r="G30" s="939">
        <v>21</v>
      </c>
      <c r="H30" s="940">
        <v>13</v>
      </c>
      <c r="I30" s="939">
        <v>19</v>
      </c>
      <c r="J30" s="940">
        <v>13</v>
      </c>
      <c r="K30" s="939">
        <v>11</v>
      </c>
      <c r="L30" s="953">
        <v>8</v>
      </c>
      <c r="M30" s="953">
        <v>11</v>
      </c>
      <c r="N30" s="953">
        <v>5</v>
      </c>
      <c r="O30" s="953">
        <v>10</v>
      </c>
      <c r="P30" s="954">
        <v>12</v>
      </c>
      <c r="Q30" s="954">
        <v>11</v>
      </c>
      <c r="R30" s="1107">
        <v>8</v>
      </c>
      <c r="S30" s="1108">
        <v>3</v>
      </c>
      <c r="T30" s="1273">
        <v>8</v>
      </c>
      <c r="U30" s="1937">
        <v>7</v>
      </c>
      <c r="V30" s="2291">
        <v>4</v>
      </c>
      <c r="W30" s="1367">
        <v>5</v>
      </c>
      <c r="X30" s="2351">
        <v>4</v>
      </c>
      <c r="Y30" s="1273"/>
      <c r="Z30" s="961">
        <v>558</v>
      </c>
      <c r="AA30" s="962">
        <v>558</v>
      </c>
      <c r="AB30" s="962">
        <v>585</v>
      </c>
      <c r="AC30" s="962">
        <v>597</v>
      </c>
      <c r="AD30" s="962">
        <v>604</v>
      </c>
      <c r="AE30" s="962">
        <v>618</v>
      </c>
      <c r="AF30" s="962">
        <v>622</v>
      </c>
      <c r="AG30" s="962">
        <v>630</v>
      </c>
      <c r="AH30" s="962">
        <v>610</v>
      </c>
      <c r="AI30" s="962">
        <v>608</v>
      </c>
      <c r="AJ30" s="962">
        <v>612</v>
      </c>
      <c r="AK30" s="962">
        <v>645</v>
      </c>
      <c r="AL30" s="962">
        <v>666</v>
      </c>
      <c r="AM30" s="962">
        <v>637</v>
      </c>
      <c r="AN30" s="1110">
        <v>617</v>
      </c>
      <c r="AO30" s="1111">
        <v>590</v>
      </c>
      <c r="AP30" s="1391">
        <v>612</v>
      </c>
      <c r="AQ30" s="1934">
        <v>576</v>
      </c>
      <c r="AR30" s="2289">
        <v>560</v>
      </c>
      <c r="AS30" s="1368">
        <v>561</v>
      </c>
      <c r="AT30" s="2353">
        <v>557</v>
      </c>
      <c r="AU30" s="1274"/>
      <c r="AV30" s="979">
        <f t="shared" si="0"/>
        <v>30.465949820788531</v>
      </c>
      <c r="AW30" s="980">
        <f t="shared" si="1"/>
        <v>23.297491039426525</v>
      </c>
      <c r="AX30" s="980">
        <f t="shared" si="2"/>
        <v>13.675213675213675</v>
      </c>
      <c r="AY30" s="980">
        <f t="shared" si="3"/>
        <v>35.175879396984925</v>
      </c>
      <c r="AZ30" s="980">
        <f t="shared" si="4"/>
        <v>21.523178807947019</v>
      </c>
      <c r="BA30" s="980">
        <f t="shared" si="5"/>
        <v>30.744336569579286</v>
      </c>
      <c r="BB30" s="980">
        <f t="shared" si="6"/>
        <v>20.90032154340836</v>
      </c>
      <c r="BC30" s="980">
        <f t="shared" si="7"/>
        <v>17.460317460317462</v>
      </c>
      <c r="BD30" s="980">
        <f t="shared" si="8"/>
        <v>13.114754098360656</v>
      </c>
      <c r="BE30" s="980">
        <f t="shared" si="9"/>
        <v>18.092105263157894</v>
      </c>
      <c r="BF30" s="980">
        <f t="shared" si="10"/>
        <v>8.169934640522877</v>
      </c>
      <c r="BG30" s="980">
        <f t="shared" si="11"/>
        <v>15.503875968992247</v>
      </c>
      <c r="BH30" s="980">
        <f t="shared" si="12"/>
        <v>18.018018018018019</v>
      </c>
      <c r="BI30" s="980">
        <f t="shared" si="13"/>
        <v>17.26844583987441</v>
      </c>
      <c r="BJ30" s="1114">
        <f t="shared" si="14"/>
        <v>12.965964343598054</v>
      </c>
      <c r="BK30" s="1116">
        <f t="shared" si="15"/>
        <v>5.0847457627118642</v>
      </c>
      <c r="BL30" s="1278">
        <f t="shared" si="16"/>
        <v>13.071895424836601</v>
      </c>
      <c r="BM30" s="1941">
        <f t="shared" si="17"/>
        <v>12.152777777777779</v>
      </c>
      <c r="BN30" s="2296">
        <f t="shared" si="18"/>
        <v>7.1428571428571423</v>
      </c>
      <c r="BO30" s="2364">
        <f t="shared" si="19"/>
        <v>8.9126559714795004</v>
      </c>
      <c r="BP30" s="2366">
        <f t="shared" si="19"/>
        <v>7.1813285457809695</v>
      </c>
    </row>
    <row r="31" spans="1:68" s="142" customFormat="1" ht="15.75" customHeight="1" x14ac:dyDescent="0.3">
      <c r="A31" s="149" t="s">
        <v>68</v>
      </c>
      <c r="B31" s="185" t="s">
        <v>69</v>
      </c>
      <c r="C31" s="150" t="s">
        <v>256</v>
      </c>
      <c r="D31" s="938">
        <v>29</v>
      </c>
      <c r="E31" s="939">
        <v>29</v>
      </c>
      <c r="F31" s="940">
        <v>20</v>
      </c>
      <c r="G31" s="939">
        <v>14</v>
      </c>
      <c r="H31" s="940">
        <v>24</v>
      </c>
      <c r="I31" s="939">
        <v>19</v>
      </c>
      <c r="J31" s="940">
        <v>20</v>
      </c>
      <c r="K31" s="939">
        <v>21</v>
      </c>
      <c r="L31" s="953">
        <v>27</v>
      </c>
      <c r="M31" s="953">
        <v>27</v>
      </c>
      <c r="N31" s="953">
        <v>22</v>
      </c>
      <c r="O31" s="953">
        <v>24</v>
      </c>
      <c r="P31" s="954">
        <v>25</v>
      </c>
      <c r="Q31" s="954">
        <v>27</v>
      </c>
      <c r="R31" s="1107">
        <v>20</v>
      </c>
      <c r="S31" s="1108">
        <v>20</v>
      </c>
      <c r="T31" s="1273">
        <v>15</v>
      </c>
      <c r="U31" s="1937">
        <v>19</v>
      </c>
      <c r="V31" s="2291">
        <v>16</v>
      </c>
      <c r="W31" s="1367">
        <v>10</v>
      </c>
      <c r="X31" s="2351">
        <v>5</v>
      </c>
      <c r="Y31" s="1273"/>
      <c r="Z31" s="961">
        <v>1107</v>
      </c>
      <c r="AA31" s="962">
        <v>1063</v>
      </c>
      <c r="AB31" s="962">
        <v>1096</v>
      </c>
      <c r="AC31" s="962">
        <v>1040</v>
      </c>
      <c r="AD31" s="962">
        <v>1015</v>
      </c>
      <c r="AE31" s="962">
        <v>999</v>
      </c>
      <c r="AF31" s="962">
        <v>975</v>
      </c>
      <c r="AG31" s="962">
        <v>962</v>
      </c>
      <c r="AH31" s="962">
        <v>917</v>
      </c>
      <c r="AI31" s="962">
        <v>875</v>
      </c>
      <c r="AJ31" s="962">
        <v>879</v>
      </c>
      <c r="AK31" s="962">
        <v>905</v>
      </c>
      <c r="AL31" s="962">
        <v>959</v>
      </c>
      <c r="AM31" s="962">
        <v>905</v>
      </c>
      <c r="AN31" s="1110">
        <v>887</v>
      </c>
      <c r="AO31" s="1111">
        <v>864</v>
      </c>
      <c r="AP31" s="1391">
        <v>866</v>
      </c>
      <c r="AQ31" s="1934">
        <v>867</v>
      </c>
      <c r="AR31" s="2289">
        <v>831</v>
      </c>
      <c r="AS31" s="1368">
        <v>800</v>
      </c>
      <c r="AT31" s="2353">
        <v>787</v>
      </c>
      <c r="AU31" s="1274"/>
      <c r="AV31" s="979">
        <f t="shared" si="0"/>
        <v>26.196928635953029</v>
      </c>
      <c r="AW31" s="980">
        <f t="shared" si="1"/>
        <v>27.281279397930383</v>
      </c>
      <c r="AX31" s="980">
        <f t="shared" si="2"/>
        <v>18.248175182481749</v>
      </c>
      <c r="AY31" s="980">
        <f t="shared" si="3"/>
        <v>13.461538461538462</v>
      </c>
      <c r="AZ31" s="980">
        <f t="shared" si="4"/>
        <v>23.645320197044338</v>
      </c>
      <c r="BA31" s="980">
        <f t="shared" si="5"/>
        <v>19.019019019019019</v>
      </c>
      <c r="BB31" s="980">
        <f t="shared" si="6"/>
        <v>20.512820512820515</v>
      </c>
      <c r="BC31" s="980">
        <f t="shared" si="7"/>
        <v>21.829521829521831</v>
      </c>
      <c r="BD31" s="980">
        <f t="shared" si="8"/>
        <v>29.443838604143945</v>
      </c>
      <c r="BE31" s="980">
        <f t="shared" si="9"/>
        <v>30.857142857142858</v>
      </c>
      <c r="BF31" s="980">
        <f t="shared" si="10"/>
        <v>25.028441410693972</v>
      </c>
      <c r="BG31" s="980">
        <f t="shared" si="11"/>
        <v>26.519337016574585</v>
      </c>
      <c r="BH31" s="980">
        <f t="shared" si="12"/>
        <v>26.068821689259646</v>
      </c>
      <c r="BI31" s="980">
        <f t="shared" si="13"/>
        <v>29.834254143646408</v>
      </c>
      <c r="BJ31" s="1114">
        <f t="shared" si="14"/>
        <v>22.547914317925592</v>
      </c>
      <c r="BK31" s="1116">
        <f t="shared" si="15"/>
        <v>23.148148148148145</v>
      </c>
      <c r="BL31" s="1278">
        <f t="shared" si="16"/>
        <v>17.321016166281755</v>
      </c>
      <c r="BM31" s="1941">
        <f t="shared" si="17"/>
        <v>21.914648212226069</v>
      </c>
      <c r="BN31" s="2296">
        <f t="shared" si="18"/>
        <v>19.253910950661854</v>
      </c>
      <c r="BO31" s="2364">
        <f t="shared" si="19"/>
        <v>12.5</v>
      </c>
      <c r="BP31" s="2366">
        <f t="shared" si="19"/>
        <v>6.3532401524777633</v>
      </c>
    </row>
    <row r="32" spans="1:68" s="142" customFormat="1" ht="15.75" customHeight="1" x14ac:dyDescent="0.3">
      <c r="A32" s="149" t="s">
        <v>70</v>
      </c>
      <c r="B32" s="185" t="s">
        <v>71</v>
      </c>
      <c r="C32" s="150" t="s">
        <v>252</v>
      </c>
      <c r="D32" s="938">
        <v>30</v>
      </c>
      <c r="E32" s="939">
        <v>33</v>
      </c>
      <c r="F32" s="940">
        <v>29</v>
      </c>
      <c r="G32" s="939">
        <v>33</v>
      </c>
      <c r="H32" s="940">
        <v>32</v>
      </c>
      <c r="I32" s="939">
        <v>33</v>
      </c>
      <c r="J32" s="940">
        <v>32</v>
      </c>
      <c r="K32" s="939">
        <v>28</v>
      </c>
      <c r="L32" s="953">
        <v>41</v>
      </c>
      <c r="M32" s="953">
        <v>37</v>
      </c>
      <c r="N32" s="953">
        <v>35</v>
      </c>
      <c r="O32" s="953">
        <v>20</v>
      </c>
      <c r="P32" s="954">
        <v>29</v>
      </c>
      <c r="Q32" s="954">
        <v>31</v>
      </c>
      <c r="R32" s="1107">
        <v>25</v>
      </c>
      <c r="S32" s="1108">
        <v>16</v>
      </c>
      <c r="T32" s="1273">
        <v>13</v>
      </c>
      <c r="U32" s="1937">
        <v>16</v>
      </c>
      <c r="V32" s="2291">
        <v>25</v>
      </c>
      <c r="W32" s="1367">
        <v>14</v>
      </c>
      <c r="X32" s="2351">
        <v>6</v>
      </c>
      <c r="Y32" s="1273"/>
      <c r="Z32" s="961">
        <v>1476</v>
      </c>
      <c r="AA32" s="962">
        <v>1476</v>
      </c>
      <c r="AB32" s="962">
        <v>1587</v>
      </c>
      <c r="AC32" s="962">
        <v>1614</v>
      </c>
      <c r="AD32" s="962">
        <v>1639</v>
      </c>
      <c r="AE32" s="962">
        <v>1700</v>
      </c>
      <c r="AF32" s="962">
        <v>1740</v>
      </c>
      <c r="AG32" s="962">
        <v>1738</v>
      </c>
      <c r="AH32" s="962">
        <v>1688</v>
      </c>
      <c r="AI32" s="962">
        <v>1664</v>
      </c>
      <c r="AJ32" s="962">
        <v>1662</v>
      </c>
      <c r="AK32" s="962">
        <v>1816</v>
      </c>
      <c r="AL32" s="962">
        <v>1897</v>
      </c>
      <c r="AM32" s="962">
        <v>1828</v>
      </c>
      <c r="AN32" s="1110">
        <v>1830</v>
      </c>
      <c r="AO32" s="1111">
        <v>1741</v>
      </c>
      <c r="AP32" s="1391">
        <v>1753</v>
      </c>
      <c r="AQ32" s="1934">
        <v>1764</v>
      </c>
      <c r="AR32" s="2289">
        <v>1767</v>
      </c>
      <c r="AS32" s="1368">
        <v>1789</v>
      </c>
      <c r="AT32" s="2353">
        <v>1693</v>
      </c>
      <c r="AU32" s="1274"/>
      <c r="AV32" s="979">
        <f t="shared" si="0"/>
        <v>20.325203252032519</v>
      </c>
      <c r="AW32" s="980">
        <f t="shared" si="1"/>
        <v>22.357723577235774</v>
      </c>
      <c r="AX32" s="980">
        <f t="shared" si="2"/>
        <v>18.273471959672339</v>
      </c>
      <c r="AY32" s="980">
        <f t="shared" si="3"/>
        <v>20.446096654275092</v>
      </c>
      <c r="AZ32" s="980">
        <f t="shared" si="4"/>
        <v>19.524100061012813</v>
      </c>
      <c r="BA32" s="980">
        <f t="shared" si="5"/>
        <v>19.411764705882355</v>
      </c>
      <c r="BB32" s="980">
        <f t="shared" si="6"/>
        <v>18.390804597701148</v>
      </c>
      <c r="BC32" s="980">
        <f t="shared" si="7"/>
        <v>16.11047180667434</v>
      </c>
      <c r="BD32" s="980">
        <f t="shared" si="8"/>
        <v>24.289099526066352</v>
      </c>
      <c r="BE32" s="980">
        <f t="shared" si="9"/>
        <v>22.235576923076923</v>
      </c>
      <c r="BF32" s="980">
        <f t="shared" si="10"/>
        <v>21.0589651022864</v>
      </c>
      <c r="BG32" s="980">
        <f t="shared" si="11"/>
        <v>11.013215859030838</v>
      </c>
      <c r="BH32" s="980">
        <f t="shared" si="12"/>
        <v>15.287295730100158</v>
      </c>
      <c r="BI32" s="980">
        <f t="shared" si="13"/>
        <v>16.958424507658645</v>
      </c>
      <c r="BJ32" s="1114">
        <f t="shared" si="14"/>
        <v>13.66120218579235</v>
      </c>
      <c r="BK32" s="1116">
        <f t="shared" si="15"/>
        <v>9.1901206203331416</v>
      </c>
      <c r="BL32" s="1278">
        <f t="shared" si="16"/>
        <v>7.4158585282373073</v>
      </c>
      <c r="BM32" s="1941">
        <f t="shared" si="17"/>
        <v>9.0702947845804989</v>
      </c>
      <c r="BN32" s="2296">
        <f t="shared" si="18"/>
        <v>14.148273910582908</v>
      </c>
      <c r="BO32" s="2364">
        <f t="shared" si="19"/>
        <v>7.8256008943543875</v>
      </c>
      <c r="BP32" s="2366">
        <f t="shared" si="19"/>
        <v>3.5440047253396338</v>
      </c>
    </row>
    <row r="33" spans="1:68" s="142" customFormat="1" ht="15.75" customHeight="1" x14ac:dyDescent="0.3">
      <c r="A33" s="149" t="s">
        <v>72</v>
      </c>
      <c r="B33" s="185" t="s">
        <v>73</v>
      </c>
      <c r="C33" s="150" t="s">
        <v>254</v>
      </c>
      <c r="D33" s="938">
        <v>16</v>
      </c>
      <c r="E33" s="939">
        <v>17</v>
      </c>
      <c r="F33" s="940">
        <v>25</v>
      </c>
      <c r="G33" s="939">
        <v>7</v>
      </c>
      <c r="H33" s="940">
        <v>17</v>
      </c>
      <c r="I33" s="939">
        <v>19</v>
      </c>
      <c r="J33" s="940">
        <v>12</v>
      </c>
      <c r="K33" s="939">
        <v>11</v>
      </c>
      <c r="L33" s="953">
        <v>24</v>
      </c>
      <c r="M33" s="953">
        <v>14</v>
      </c>
      <c r="N33" s="953">
        <v>22</v>
      </c>
      <c r="O33" s="953">
        <v>23</v>
      </c>
      <c r="P33" s="954">
        <v>18</v>
      </c>
      <c r="Q33" s="954">
        <v>14</v>
      </c>
      <c r="R33" s="1107">
        <v>17</v>
      </c>
      <c r="S33" s="1108">
        <v>6</v>
      </c>
      <c r="T33" s="1273">
        <v>5</v>
      </c>
      <c r="U33" s="1937">
        <v>6</v>
      </c>
      <c r="V33" s="2291">
        <v>6</v>
      </c>
      <c r="W33" s="1367">
        <v>10</v>
      </c>
      <c r="X33" s="2351">
        <v>6</v>
      </c>
      <c r="Y33" s="1273"/>
      <c r="Z33" s="961">
        <v>569</v>
      </c>
      <c r="AA33" s="962">
        <v>566</v>
      </c>
      <c r="AB33" s="962">
        <v>653</v>
      </c>
      <c r="AC33" s="962">
        <v>688</v>
      </c>
      <c r="AD33" s="962">
        <v>689</v>
      </c>
      <c r="AE33" s="962">
        <v>720</v>
      </c>
      <c r="AF33" s="962">
        <v>719</v>
      </c>
      <c r="AG33" s="962">
        <v>699</v>
      </c>
      <c r="AH33" s="962">
        <v>670</v>
      </c>
      <c r="AI33" s="962">
        <v>654</v>
      </c>
      <c r="AJ33" s="962">
        <v>635</v>
      </c>
      <c r="AK33" s="962">
        <v>670</v>
      </c>
      <c r="AL33" s="962">
        <v>771</v>
      </c>
      <c r="AM33" s="962">
        <v>775</v>
      </c>
      <c r="AN33" s="1110">
        <v>739</v>
      </c>
      <c r="AO33" s="1111">
        <v>696</v>
      </c>
      <c r="AP33" s="1391">
        <v>681</v>
      </c>
      <c r="AQ33" s="1934">
        <v>695</v>
      </c>
      <c r="AR33" s="2289">
        <v>690</v>
      </c>
      <c r="AS33" s="1368">
        <v>675</v>
      </c>
      <c r="AT33" s="2353">
        <v>636</v>
      </c>
      <c r="AU33" s="1274"/>
      <c r="AV33" s="979">
        <f t="shared" si="0"/>
        <v>28.119507908611599</v>
      </c>
      <c r="AW33" s="980">
        <f t="shared" si="1"/>
        <v>30.035335689045933</v>
      </c>
      <c r="AX33" s="980">
        <f t="shared" si="2"/>
        <v>38.28483920367534</v>
      </c>
      <c r="AY33" s="980">
        <f t="shared" si="3"/>
        <v>10.174418604651164</v>
      </c>
      <c r="AZ33" s="980">
        <f t="shared" si="4"/>
        <v>24.673439767779392</v>
      </c>
      <c r="BA33" s="980">
        <f t="shared" si="5"/>
        <v>26.388888888888889</v>
      </c>
      <c r="BB33" s="980">
        <f t="shared" si="6"/>
        <v>16.689847009735743</v>
      </c>
      <c r="BC33" s="980">
        <f t="shared" si="7"/>
        <v>15.736766809728183</v>
      </c>
      <c r="BD33" s="980">
        <f t="shared" si="8"/>
        <v>35.820895522388064</v>
      </c>
      <c r="BE33" s="980">
        <f t="shared" si="9"/>
        <v>21.406727828746178</v>
      </c>
      <c r="BF33" s="980">
        <f t="shared" si="10"/>
        <v>34.645669291338585</v>
      </c>
      <c r="BG33" s="980">
        <f t="shared" si="11"/>
        <v>34.328358208955223</v>
      </c>
      <c r="BH33" s="980">
        <f t="shared" si="12"/>
        <v>23.346303501945524</v>
      </c>
      <c r="BI33" s="980">
        <f t="shared" si="13"/>
        <v>18.06451612903226</v>
      </c>
      <c r="BJ33" s="1114">
        <f t="shared" si="14"/>
        <v>23.004059539918806</v>
      </c>
      <c r="BK33" s="1116">
        <f t="shared" si="15"/>
        <v>8.6206896551724128</v>
      </c>
      <c r="BL33" s="1278">
        <f t="shared" si="16"/>
        <v>7.3421439060205582</v>
      </c>
      <c r="BM33" s="1941">
        <f t="shared" si="17"/>
        <v>8.6330935251798557</v>
      </c>
      <c r="BN33" s="2296">
        <f t="shared" si="18"/>
        <v>8.695652173913043</v>
      </c>
      <c r="BO33" s="2364">
        <f t="shared" si="19"/>
        <v>14.814814814814815</v>
      </c>
      <c r="BP33" s="2366">
        <f t="shared" si="19"/>
        <v>9.4339622641509422</v>
      </c>
    </row>
    <row r="34" spans="1:68" s="142" customFormat="1" ht="15.75" customHeight="1" x14ac:dyDescent="0.3">
      <c r="A34" s="149" t="s">
        <v>74</v>
      </c>
      <c r="B34" s="185" t="s">
        <v>472</v>
      </c>
      <c r="C34" s="150" t="s">
        <v>255</v>
      </c>
      <c r="D34" s="938">
        <v>542</v>
      </c>
      <c r="E34" s="939">
        <v>588</v>
      </c>
      <c r="F34" s="940">
        <v>616</v>
      </c>
      <c r="G34" s="939">
        <v>584</v>
      </c>
      <c r="H34" s="940">
        <v>565</v>
      </c>
      <c r="I34" s="939">
        <v>547</v>
      </c>
      <c r="J34" s="940">
        <v>571</v>
      </c>
      <c r="K34" s="939">
        <v>596</v>
      </c>
      <c r="L34" s="953">
        <v>626</v>
      </c>
      <c r="M34" s="953">
        <v>591</v>
      </c>
      <c r="N34" s="953">
        <v>583</v>
      </c>
      <c r="O34" s="953">
        <v>504</v>
      </c>
      <c r="P34" s="954">
        <v>394</v>
      </c>
      <c r="Q34" s="954">
        <v>399</v>
      </c>
      <c r="R34" s="1107">
        <v>381</v>
      </c>
      <c r="S34" s="1108">
        <v>314</v>
      </c>
      <c r="T34" s="1273">
        <v>341</v>
      </c>
      <c r="U34" s="1937">
        <v>330</v>
      </c>
      <c r="V34" s="2291">
        <v>302</v>
      </c>
      <c r="W34" s="1367">
        <v>314</v>
      </c>
      <c r="X34" s="2351">
        <v>321</v>
      </c>
      <c r="Y34" s="1273"/>
      <c r="Z34" s="961">
        <v>64605</v>
      </c>
      <c r="AA34" s="962">
        <v>65953</v>
      </c>
      <c r="AB34" s="962">
        <v>63467</v>
      </c>
      <c r="AC34" s="962">
        <v>66451</v>
      </c>
      <c r="AD34" s="962">
        <v>67592</v>
      </c>
      <c r="AE34" s="962">
        <v>67911</v>
      </c>
      <c r="AF34" s="962">
        <v>67862</v>
      </c>
      <c r="AG34" s="962">
        <v>68131</v>
      </c>
      <c r="AH34" s="962">
        <v>67569</v>
      </c>
      <c r="AI34" s="962">
        <v>68401</v>
      </c>
      <c r="AJ34" s="962">
        <v>67702</v>
      </c>
      <c r="AK34" s="962">
        <v>67346</v>
      </c>
      <c r="AL34" s="962">
        <v>69287</v>
      </c>
      <c r="AM34" s="962">
        <v>70994</v>
      </c>
      <c r="AN34" s="1110">
        <v>72210</v>
      </c>
      <c r="AO34" s="1111">
        <v>73224</v>
      </c>
      <c r="AP34" s="1391">
        <v>73896</v>
      </c>
      <c r="AQ34" s="1934">
        <v>73883</v>
      </c>
      <c r="AR34" s="2289">
        <v>74471</v>
      </c>
      <c r="AS34" s="1368">
        <v>74528</v>
      </c>
      <c r="AT34" s="2353">
        <v>75067</v>
      </c>
      <c r="AU34" s="1274"/>
      <c r="AV34" s="979">
        <f t="shared" si="0"/>
        <v>8.3894435415215529</v>
      </c>
      <c r="AW34" s="980">
        <f t="shared" si="1"/>
        <v>8.9154397828756835</v>
      </c>
      <c r="AX34" s="980">
        <f t="shared" si="2"/>
        <v>9.7058313769360449</v>
      </c>
      <c r="AY34" s="980">
        <f t="shared" si="3"/>
        <v>8.7884305729033425</v>
      </c>
      <c r="AZ34" s="980">
        <f t="shared" si="4"/>
        <v>8.3589773937744098</v>
      </c>
      <c r="BA34" s="980">
        <f t="shared" si="5"/>
        <v>8.0546597752941356</v>
      </c>
      <c r="BB34" s="980">
        <f t="shared" si="6"/>
        <v>8.4141345672099259</v>
      </c>
      <c r="BC34" s="980">
        <f t="shared" si="7"/>
        <v>8.7478534000675179</v>
      </c>
      <c r="BD34" s="980">
        <f t="shared" si="8"/>
        <v>9.2646035904038833</v>
      </c>
      <c r="BE34" s="980">
        <f t="shared" si="9"/>
        <v>8.6402245581204955</v>
      </c>
      <c r="BF34" s="980">
        <f t="shared" si="10"/>
        <v>8.6112670231307789</v>
      </c>
      <c r="BG34" s="980">
        <f t="shared" si="11"/>
        <v>7.4837406824458768</v>
      </c>
      <c r="BH34" s="980">
        <f t="shared" si="12"/>
        <v>5.6864924156046586</v>
      </c>
      <c r="BI34" s="980">
        <f t="shared" si="13"/>
        <v>5.6201932557680934</v>
      </c>
      <c r="BJ34" s="1114">
        <f t="shared" si="14"/>
        <v>5.2762775238886581</v>
      </c>
      <c r="BK34" s="1116">
        <f t="shared" si="15"/>
        <v>4.2882115153501585</v>
      </c>
      <c r="BL34" s="1278">
        <f t="shared" si="16"/>
        <v>4.6145934827324888</v>
      </c>
      <c r="BM34" s="1941">
        <f t="shared" si="17"/>
        <v>4.4665213919304847</v>
      </c>
      <c r="BN34" s="2296">
        <f t="shared" si="18"/>
        <v>4.055269836580683</v>
      </c>
      <c r="BO34" s="2364">
        <f t="shared" si="19"/>
        <v>4.2131816230141688</v>
      </c>
      <c r="BP34" s="2366">
        <f t="shared" si="19"/>
        <v>4.2761799459149827</v>
      </c>
    </row>
    <row r="35" spans="1:68" s="142" customFormat="1" ht="15.75" customHeight="1" x14ac:dyDescent="0.3">
      <c r="A35" s="149" t="s">
        <v>76</v>
      </c>
      <c r="B35" s="185" t="s">
        <v>77</v>
      </c>
      <c r="C35" s="150" t="s">
        <v>255</v>
      </c>
      <c r="D35" s="938">
        <v>46</v>
      </c>
      <c r="E35" s="939">
        <v>67</v>
      </c>
      <c r="F35" s="940">
        <v>57</v>
      </c>
      <c r="G35" s="939">
        <v>63</v>
      </c>
      <c r="H35" s="940">
        <v>60</v>
      </c>
      <c r="I35" s="939">
        <v>48</v>
      </c>
      <c r="J35" s="940">
        <v>54</v>
      </c>
      <c r="K35" s="939">
        <v>59</v>
      </c>
      <c r="L35" s="953">
        <v>63</v>
      </c>
      <c r="M35" s="953">
        <v>62</v>
      </c>
      <c r="N35" s="953">
        <v>55</v>
      </c>
      <c r="O35" s="953">
        <v>40</v>
      </c>
      <c r="P35" s="954">
        <v>53</v>
      </c>
      <c r="Q35" s="954">
        <v>46</v>
      </c>
      <c r="R35" s="1107">
        <v>41</v>
      </c>
      <c r="S35" s="1108">
        <v>26</v>
      </c>
      <c r="T35" s="1273">
        <v>29</v>
      </c>
      <c r="U35" s="1937">
        <v>27</v>
      </c>
      <c r="V35" s="2291">
        <v>24</v>
      </c>
      <c r="W35" s="1367">
        <v>23</v>
      </c>
      <c r="X35" s="2351">
        <v>22</v>
      </c>
      <c r="Y35" s="1273"/>
      <c r="Z35" s="961">
        <v>4252</v>
      </c>
      <c r="AA35" s="962">
        <v>4388</v>
      </c>
      <c r="AB35" s="962">
        <v>4115</v>
      </c>
      <c r="AC35" s="962">
        <v>4312</v>
      </c>
      <c r="AD35" s="962">
        <v>4406</v>
      </c>
      <c r="AE35" s="962">
        <v>4509</v>
      </c>
      <c r="AF35" s="962">
        <v>4593</v>
      </c>
      <c r="AG35" s="962">
        <v>4642</v>
      </c>
      <c r="AH35" s="962">
        <v>4576</v>
      </c>
      <c r="AI35" s="962">
        <v>4481</v>
      </c>
      <c r="AJ35" s="962">
        <v>4420</v>
      </c>
      <c r="AK35" s="962">
        <v>4799</v>
      </c>
      <c r="AL35" s="962">
        <v>4732</v>
      </c>
      <c r="AM35" s="962">
        <v>4740</v>
      </c>
      <c r="AN35" s="1110">
        <v>4722</v>
      </c>
      <c r="AO35" s="1111">
        <v>4699</v>
      </c>
      <c r="AP35" s="1391">
        <v>4743</v>
      </c>
      <c r="AQ35" s="1934">
        <v>4723</v>
      </c>
      <c r="AR35" s="2289">
        <v>4620</v>
      </c>
      <c r="AS35" s="1368">
        <v>4567</v>
      </c>
      <c r="AT35" s="2353">
        <v>4539</v>
      </c>
      <c r="AU35" s="1274"/>
      <c r="AV35" s="979">
        <f t="shared" si="0"/>
        <v>10.818438381937911</v>
      </c>
      <c r="AW35" s="980">
        <f t="shared" si="1"/>
        <v>15.268915223336371</v>
      </c>
      <c r="AX35" s="980">
        <f t="shared" si="2"/>
        <v>13.85176184690158</v>
      </c>
      <c r="AY35" s="980">
        <f t="shared" si="3"/>
        <v>14.61038961038961</v>
      </c>
      <c r="AZ35" s="980">
        <f t="shared" si="4"/>
        <v>13.617793917385384</v>
      </c>
      <c r="BA35" s="980">
        <f t="shared" si="5"/>
        <v>10.645375914836993</v>
      </c>
      <c r="BB35" s="980">
        <f t="shared" si="6"/>
        <v>11.757021554539516</v>
      </c>
      <c r="BC35" s="980">
        <f t="shared" si="7"/>
        <v>12.710038776389487</v>
      </c>
      <c r="BD35" s="980">
        <f t="shared" si="8"/>
        <v>13.767482517482518</v>
      </c>
      <c r="BE35" s="980">
        <f t="shared" si="9"/>
        <v>13.83619727739344</v>
      </c>
      <c r="BF35" s="980">
        <f t="shared" si="10"/>
        <v>12.443438914027148</v>
      </c>
      <c r="BG35" s="980">
        <f t="shared" si="11"/>
        <v>8.3350698062096278</v>
      </c>
      <c r="BH35" s="980">
        <f t="shared" si="12"/>
        <v>11.200338123415046</v>
      </c>
      <c r="BI35" s="980">
        <f t="shared" si="13"/>
        <v>9.7046413502109719</v>
      </c>
      <c r="BJ35" s="1114">
        <f t="shared" si="14"/>
        <v>8.6827615417196107</v>
      </c>
      <c r="BK35" s="1116">
        <f t="shared" si="15"/>
        <v>5.5330921472653758</v>
      </c>
      <c r="BL35" s="1278">
        <f t="shared" si="16"/>
        <v>6.1142736664558299</v>
      </c>
      <c r="BM35" s="1941">
        <f t="shared" si="17"/>
        <v>5.7167054838026683</v>
      </c>
      <c r="BN35" s="2296">
        <f t="shared" si="18"/>
        <v>5.1948051948051948</v>
      </c>
      <c r="BO35" s="2364">
        <f t="shared" si="19"/>
        <v>5.0361287497262976</v>
      </c>
      <c r="BP35" s="2366">
        <f t="shared" si="19"/>
        <v>4.8468825732540211</v>
      </c>
    </row>
    <row r="36" spans="1:68" s="142" customFormat="1" ht="15.75" customHeight="1" x14ac:dyDescent="0.3">
      <c r="A36" s="149" t="s">
        <v>78</v>
      </c>
      <c r="B36" s="185" t="s">
        <v>79</v>
      </c>
      <c r="C36" s="150" t="s">
        <v>256</v>
      </c>
      <c r="D36" s="938">
        <v>16</v>
      </c>
      <c r="E36" s="939">
        <v>20</v>
      </c>
      <c r="F36" s="940">
        <v>15</v>
      </c>
      <c r="G36" s="939">
        <v>18</v>
      </c>
      <c r="H36" s="940">
        <v>11</v>
      </c>
      <c r="I36" s="939">
        <v>13</v>
      </c>
      <c r="J36" s="940">
        <v>9</v>
      </c>
      <c r="K36" s="939">
        <v>11</v>
      </c>
      <c r="L36" s="953">
        <v>13</v>
      </c>
      <c r="M36" s="953">
        <v>12</v>
      </c>
      <c r="N36" s="953">
        <v>12</v>
      </c>
      <c r="O36" s="953">
        <v>18</v>
      </c>
      <c r="P36" s="954">
        <v>14</v>
      </c>
      <c r="Q36" s="954">
        <v>14</v>
      </c>
      <c r="R36" s="1107">
        <v>11</v>
      </c>
      <c r="S36" s="1108">
        <v>12</v>
      </c>
      <c r="T36" s="1273">
        <v>7</v>
      </c>
      <c r="U36" s="1937">
        <v>6</v>
      </c>
      <c r="V36" s="2291">
        <v>10</v>
      </c>
      <c r="W36" s="1367">
        <v>10</v>
      </c>
      <c r="X36" s="2351">
        <v>2</v>
      </c>
      <c r="Y36" s="1273"/>
      <c r="Z36" s="961">
        <v>726</v>
      </c>
      <c r="AA36" s="962">
        <v>721</v>
      </c>
      <c r="AB36" s="962">
        <v>838</v>
      </c>
      <c r="AC36" s="962">
        <v>854</v>
      </c>
      <c r="AD36" s="962">
        <v>866</v>
      </c>
      <c r="AE36" s="962">
        <v>877</v>
      </c>
      <c r="AF36" s="962">
        <v>892</v>
      </c>
      <c r="AG36" s="962">
        <v>900</v>
      </c>
      <c r="AH36" s="962">
        <v>900</v>
      </c>
      <c r="AI36" s="962">
        <v>879</v>
      </c>
      <c r="AJ36" s="962">
        <v>866</v>
      </c>
      <c r="AK36" s="962">
        <v>871</v>
      </c>
      <c r="AL36" s="962">
        <v>910</v>
      </c>
      <c r="AM36" s="962">
        <v>906</v>
      </c>
      <c r="AN36" s="1110">
        <v>911</v>
      </c>
      <c r="AO36" s="1111">
        <v>892</v>
      </c>
      <c r="AP36" s="1391">
        <v>874</v>
      </c>
      <c r="AQ36" s="1934">
        <v>863</v>
      </c>
      <c r="AR36" s="2289">
        <v>865</v>
      </c>
      <c r="AS36" s="1368">
        <v>865</v>
      </c>
      <c r="AT36" s="2353">
        <v>888</v>
      </c>
      <c r="AU36" s="1274"/>
      <c r="AV36" s="979">
        <f t="shared" si="0"/>
        <v>22.03856749311295</v>
      </c>
      <c r="AW36" s="980">
        <f t="shared" si="1"/>
        <v>27.739251040221916</v>
      </c>
      <c r="AX36" s="980">
        <f t="shared" si="2"/>
        <v>17.899761336515514</v>
      </c>
      <c r="AY36" s="980">
        <f t="shared" si="3"/>
        <v>21.07728337236534</v>
      </c>
      <c r="AZ36" s="980">
        <f t="shared" si="4"/>
        <v>12.702078521939953</v>
      </c>
      <c r="BA36" s="980">
        <f t="shared" si="5"/>
        <v>14.823261117445838</v>
      </c>
      <c r="BB36" s="980">
        <f t="shared" si="6"/>
        <v>10.089686098654708</v>
      </c>
      <c r="BC36" s="980">
        <f t="shared" si="7"/>
        <v>12.222222222222223</v>
      </c>
      <c r="BD36" s="980">
        <f t="shared" si="8"/>
        <v>14.444444444444445</v>
      </c>
      <c r="BE36" s="980">
        <f t="shared" si="9"/>
        <v>13.651877133105803</v>
      </c>
      <c r="BF36" s="980">
        <f t="shared" si="10"/>
        <v>13.856812933025404</v>
      </c>
      <c r="BG36" s="980">
        <f t="shared" si="11"/>
        <v>20.66590126291619</v>
      </c>
      <c r="BH36" s="980">
        <f t="shared" si="12"/>
        <v>15.384615384615385</v>
      </c>
      <c r="BI36" s="980">
        <f t="shared" si="13"/>
        <v>15.452538631346579</v>
      </c>
      <c r="BJ36" s="1114">
        <f t="shared" si="14"/>
        <v>12.074643249176729</v>
      </c>
      <c r="BK36" s="1116">
        <f t="shared" si="15"/>
        <v>13.45291479820628</v>
      </c>
      <c r="BL36" s="1278">
        <f t="shared" si="16"/>
        <v>8.0091533180778036</v>
      </c>
      <c r="BM36" s="1941">
        <f t="shared" si="17"/>
        <v>6.9524913093858629</v>
      </c>
      <c r="BN36" s="2296">
        <f t="shared" si="18"/>
        <v>11.560693641618496</v>
      </c>
      <c r="BO36" s="2364">
        <f t="shared" si="19"/>
        <v>11.560693641618496</v>
      </c>
      <c r="BP36" s="2366">
        <f t="shared" si="19"/>
        <v>2.2522522522522523</v>
      </c>
    </row>
    <row r="37" spans="1:68" s="142" customFormat="1" ht="15.75" customHeight="1" x14ac:dyDescent="0.3">
      <c r="A37" s="149" t="s">
        <v>80</v>
      </c>
      <c r="B37" s="185" t="s">
        <v>81</v>
      </c>
      <c r="C37" s="150" t="s">
        <v>254</v>
      </c>
      <c r="D37" s="938">
        <v>15</v>
      </c>
      <c r="E37" s="939">
        <v>22</v>
      </c>
      <c r="F37" s="940">
        <v>13</v>
      </c>
      <c r="G37" s="939">
        <v>13</v>
      </c>
      <c r="H37" s="940">
        <v>30</v>
      </c>
      <c r="I37" s="939">
        <v>20</v>
      </c>
      <c r="J37" s="940">
        <v>22</v>
      </c>
      <c r="K37" s="939">
        <v>21</v>
      </c>
      <c r="L37" s="953">
        <v>16</v>
      </c>
      <c r="M37" s="953">
        <v>20</v>
      </c>
      <c r="N37" s="953">
        <v>22</v>
      </c>
      <c r="O37" s="953">
        <v>14</v>
      </c>
      <c r="P37" s="954">
        <v>16</v>
      </c>
      <c r="Q37" s="954">
        <v>10</v>
      </c>
      <c r="R37" s="1107">
        <v>11</v>
      </c>
      <c r="S37" s="1108">
        <v>12</v>
      </c>
      <c r="T37" s="1273">
        <v>11</v>
      </c>
      <c r="U37" s="1937">
        <v>17</v>
      </c>
      <c r="V37" s="2291">
        <v>6</v>
      </c>
      <c r="W37" s="1367">
        <v>14</v>
      </c>
      <c r="X37" s="2351">
        <v>11</v>
      </c>
      <c r="Y37" s="1273"/>
      <c r="Z37" s="961">
        <v>941</v>
      </c>
      <c r="AA37" s="962">
        <v>960</v>
      </c>
      <c r="AB37" s="962">
        <v>1180</v>
      </c>
      <c r="AC37" s="962">
        <v>1261</v>
      </c>
      <c r="AD37" s="962">
        <v>1339</v>
      </c>
      <c r="AE37" s="962">
        <v>1422</v>
      </c>
      <c r="AF37" s="962">
        <v>1484</v>
      </c>
      <c r="AG37" s="962">
        <v>1560</v>
      </c>
      <c r="AH37" s="962">
        <v>1565</v>
      </c>
      <c r="AI37" s="962">
        <v>1564</v>
      </c>
      <c r="AJ37" s="962">
        <v>1596</v>
      </c>
      <c r="AK37" s="962">
        <v>1579</v>
      </c>
      <c r="AL37" s="962">
        <v>1600</v>
      </c>
      <c r="AM37" s="962">
        <v>1642</v>
      </c>
      <c r="AN37" s="1110">
        <v>1606</v>
      </c>
      <c r="AO37" s="1111">
        <v>1626</v>
      </c>
      <c r="AP37" s="1391">
        <v>1619</v>
      </c>
      <c r="AQ37" s="1934">
        <v>1636</v>
      </c>
      <c r="AR37" s="2289">
        <v>1584</v>
      </c>
      <c r="AS37" s="1368">
        <v>1602</v>
      </c>
      <c r="AT37" s="2353">
        <v>1599</v>
      </c>
      <c r="AU37" s="1274"/>
      <c r="AV37" s="979">
        <f t="shared" ref="AV37:AV68" si="20">IF(Z37=0,"NA",(D37/Z37)*1000)</f>
        <v>15.940488841657812</v>
      </c>
      <c r="AW37" s="980">
        <f t="shared" ref="AW37:AW68" si="21">IF(AA37=0,"NA",(E37/AA37)*1000)</f>
        <v>22.916666666666664</v>
      </c>
      <c r="AX37" s="980">
        <f t="shared" ref="AX37:AX68" si="22">IF(AB37=0,"NA",(F37/AB37)*1000)</f>
        <v>11.016949152542372</v>
      </c>
      <c r="AY37" s="980">
        <f t="shared" ref="AY37:AY68" si="23">IF(AC37=0,"NA",(G37/AC37)*1000)</f>
        <v>10.309278350515465</v>
      </c>
      <c r="AZ37" s="980">
        <f t="shared" ref="AZ37:AZ68" si="24">IF(AD37=0,"NA",(H37/AD37)*1000)</f>
        <v>22.404779686333082</v>
      </c>
      <c r="BA37" s="980">
        <f t="shared" ref="BA37:BA68" si="25">IF(AE37=0,"NA",(I37/AE37)*1000)</f>
        <v>14.064697609001406</v>
      </c>
      <c r="BB37" s="980">
        <f t="shared" ref="BB37:BB68" si="26">IF(AF37=0,"NA",(J37/AF37)*1000)</f>
        <v>14.824797843665769</v>
      </c>
      <c r="BC37" s="980">
        <f t="shared" ref="BC37:BC68" si="27">IF(AG37=0,"NA",(K37/AG37)*1000)</f>
        <v>13.461538461538462</v>
      </c>
      <c r="BD37" s="980">
        <f t="shared" ref="BD37:BD68" si="28">IF(AH37=0,"NA",(L37/AH37)*1000)</f>
        <v>10.223642172523961</v>
      </c>
      <c r="BE37" s="980">
        <f t="shared" ref="BE37:BE68" si="29">IF(AI37=0,"NA",(M37/AI37)*1000)</f>
        <v>12.787723785166239</v>
      </c>
      <c r="BF37" s="980">
        <f t="shared" ref="BF37:BF68" si="30">IF(AJ37=0,"NA",(N37/AJ37)*1000)</f>
        <v>13.784461152882205</v>
      </c>
      <c r="BG37" s="980">
        <f t="shared" ref="BG37:BG68" si="31">IF(AK37=0,"NA",(O37/AK37)*1000)</f>
        <v>8.8663711209626346</v>
      </c>
      <c r="BH37" s="980">
        <f t="shared" ref="BH37:BH68" si="32">IF(AL37=0,"NA",(P37/AL37)*1000)</f>
        <v>10</v>
      </c>
      <c r="BI37" s="980">
        <f t="shared" ref="BI37:BI68" si="33">IF(AM37=0,"NA",(Q37/AM37)*1000)</f>
        <v>6.0901339829476244</v>
      </c>
      <c r="BJ37" s="1114">
        <f t="shared" ref="BJ37:BJ68" si="34">IF(AN37=0,"NA",(R37/AN37)*1000)</f>
        <v>6.8493150684931505</v>
      </c>
      <c r="BK37" s="1116">
        <f t="shared" ref="BK37:BK68" si="35">IF(AO37=0,"NA",(S37/AO37)*1000)</f>
        <v>7.3800738007380069</v>
      </c>
      <c r="BL37" s="1278">
        <f t="shared" ref="BL37:BL68" si="36">IF(AP37=0,"NA",(T37/AP37)*1000)</f>
        <v>6.7943174799258808</v>
      </c>
      <c r="BM37" s="1941">
        <f t="shared" ref="BM37:BM68" si="37">IF(AQ37=0,"NA",(U37/AQ37)*1000)</f>
        <v>10.39119804400978</v>
      </c>
      <c r="BN37" s="2296">
        <f t="shared" ref="BN37:BN68" si="38">IF(AR37=0,"NA",(V37/AR37)*1000)</f>
        <v>3.7878787878787881</v>
      </c>
      <c r="BO37" s="2364">
        <f t="shared" ref="BO37:BP68" si="39">(W37/AS37)*1000</f>
        <v>8.7390761548064919</v>
      </c>
      <c r="BP37" s="2366">
        <f t="shared" si="39"/>
        <v>6.8792995622263913</v>
      </c>
    </row>
    <row r="38" spans="1:68" s="142" customFormat="1" ht="15.75" customHeight="1" x14ac:dyDescent="0.3">
      <c r="A38" s="149" t="s">
        <v>84</v>
      </c>
      <c r="B38" s="185" t="s">
        <v>85</v>
      </c>
      <c r="C38" s="150" t="s">
        <v>253</v>
      </c>
      <c r="D38" s="938">
        <v>58</v>
      </c>
      <c r="E38" s="939">
        <v>68</v>
      </c>
      <c r="F38" s="940">
        <v>74</v>
      </c>
      <c r="G38" s="939">
        <v>62</v>
      </c>
      <c r="H38" s="940">
        <v>60</v>
      </c>
      <c r="I38" s="939">
        <v>65</v>
      </c>
      <c r="J38" s="940">
        <v>53</v>
      </c>
      <c r="K38" s="939">
        <v>55</v>
      </c>
      <c r="L38" s="953">
        <v>76</v>
      </c>
      <c r="M38" s="953">
        <v>60</v>
      </c>
      <c r="N38" s="953">
        <v>88</v>
      </c>
      <c r="O38" s="953">
        <v>65</v>
      </c>
      <c r="P38" s="954">
        <v>59</v>
      </c>
      <c r="Q38" s="954">
        <v>57</v>
      </c>
      <c r="R38" s="1107">
        <v>51</v>
      </c>
      <c r="S38" s="1108">
        <v>38</v>
      </c>
      <c r="T38" s="1273">
        <v>31</v>
      </c>
      <c r="U38" s="1937">
        <v>38</v>
      </c>
      <c r="V38" s="2291">
        <v>37</v>
      </c>
      <c r="W38" s="1367">
        <v>32</v>
      </c>
      <c r="X38" s="2351">
        <v>23</v>
      </c>
      <c r="Y38" s="1273"/>
      <c r="Z38" s="961">
        <v>2903</v>
      </c>
      <c r="AA38" s="962">
        <v>2913</v>
      </c>
      <c r="AB38" s="962">
        <v>3101</v>
      </c>
      <c r="AC38" s="962">
        <v>3148</v>
      </c>
      <c r="AD38" s="962">
        <v>3180</v>
      </c>
      <c r="AE38" s="962">
        <v>3246</v>
      </c>
      <c r="AF38" s="962">
        <v>3280</v>
      </c>
      <c r="AG38" s="962">
        <v>3253</v>
      </c>
      <c r="AH38" s="962">
        <v>3190</v>
      </c>
      <c r="AI38" s="962">
        <v>3167</v>
      </c>
      <c r="AJ38" s="962">
        <v>3148</v>
      </c>
      <c r="AK38" s="962">
        <v>3238</v>
      </c>
      <c r="AL38" s="962">
        <v>3518</v>
      </c>
      <c r="AM38" s="962">
        <v>3545</v>
      </c>
      <c r="AN38" s="1110">
        <v>3478</v>
      </c>
      <c r="AO38" s="1111">
        <v>3416</v>
      </c>
      <c r="AP38" s="1391">
        <v>3431</v>
      </c>
      <c r="AQ38" s="1934">
        <v>3402</v>
      </c>
      <c r="AR38" s="2289">
        <v>3332</v>
      </c>
      <c r="AS38" s="1368">
        <v>3290</v>
      </c>
      <c r="AT38" s="2353">
        <v>3243</v>
      </c>
      <c r="AU38" s="1274"/>
      <c r="AV38" s="979">
        <f t="shared" si="20"/>
        <v>19.979331725800893</v>
      </c>
      <c r="AW38" s="980">
        <f t="shared" si="21"/>
        <v>23.34363199450738</v>
      </c>
      <c r="AX38" s="980">
        <f t="shared" si="22"/>
        <v>23.863269912931312</v>
      </c>
      <c r="AY38" s="980">
        <f t="shared" si="23"/>
        <v>19.695044472681065</v>
      </c>
      <c r="AZ38" s="980">
        <f t="shared" si="24"/>
        <v>18.867924528301884</v>
      </c>
      <c r="BA38" s="980">
        <f t="shared" si="25"/>
        <v>20.024645717806528</v>
      </c>
      <c r="BB38" s="980">
        <f t="shared" si="26"/>
        <v>16.158536585365855</v>
      </c>
      <c r="BC38" s="980">
        <f t="shared" si="27"/>
        <v>16.907470027666768</v>
      </c>
      <c r="BD38" s="980">
        <f t="shared" si="28"/>
        <v>23.824451410658305</v>
      </c>
      <c r="BE38" s="980">
        <f t="shared" si="29"/>
        <v>18.945374171139882</v>
      </c>
      <c r="BF38" s="980">
        <f t="shared" si="30"/>
        <v>27.954256670902161</v>
      </c>
      <c r="BG38" s="980">
        <f t="shared" si="31"/>
        <v>20.074119827053735</v>
      </c>
      <c r="BH38" s="980">
        <f t="shared" si="32"/>
        <v>16.770892552586698</v>
      </c>
      <c r="BI38" s="980">
        <f t="shared" si="33"/>
        <v>16.078984485190411</v>
      </c>
      <c r="BJ38" s="1114">
        <f t="shared" si="34"/>
        <v>14.663599769982749</v>
      </c>
      <c r="BK38" s="1116">
        <f t="shared" si="35"/>
        <v>11.124121779859484</v>
      </c>
      <c r="BL38" s="1278">
        <f t="shared" si="36"/>
        <v>9.0352666860973478</v>
      </c>
      <c r="BM38" s="1941">
        <f t="shared" si="37"/>
        <v>11.169900058788947</v>
      </c>
      <c r="BN38" s="2296">
        <f t="shared" si="38"/>
        <v>11.104441776710685</v>
      </c>
      <c r="BO38" s="2364">
        <f t="shared" si="39"/>
        <v>9.7264437689969618</v>
      </c>
      <c r="BP38" s="2366">
        <f t="shared" si="39"/>
        <v>7.0921985815602833</v>
      </c>
    </row>
    <row r="39" spans="1:68" s="142" customFormat="1" ht="15.75" customHeight="1" x14ac:dyDescent="0.3">
      <c r="A39" s="149" t="s">
        <v>86</v>
      </c>
      <c r="B39" s="185" t="s">
        <v>87</v>
      </c>
      <c r="C39" s="150" t="s">
        <v>255</v>
      </c>
      <c r="D39" s="938">
        <v>89</v>
      </c>
      <c r="E39" s="939">
        <v>81</v>
      </c>
      <c r="F39" s="940">
        <v>90</v>
      </c>
      <c r="G39" s="939">
        <v>81</v>
      </c>
      <c r="H39" s="940">
        <v>75</v>
      </c>
      <c r="I39" s="939">
        <v>88</v>
      </c>
      <c r="J39" s="940">
        <v>75</v>
      </c>
      <c r="K39" s="939">
        <v>99</v>
      </c>
      <c r="L39" s="953">
        <v>81</v>
      </c>
      <c r="M39" s="953">
        <v>103</v>
      </c>
      <c r="N39" s="953">
        <v>89</v>
      </c>
      <c r="O39" s="953">
        <v>96</v>
      </c>
      <c r="P39" s="954">
        <v>74</v>
      </c>
      <c r="Q39" s="954">
        <v>84</v>
      </c>
      <c r="R39" s="1107">
        <v>56</v>
      </c>
      <c r="S39" s="1108">
        <v>47</v>
      </c>
      <c r="T39" s="1273">
        <v>55</v>
      </c>
      <c r="U39" s="1937">
        <v>47</v>
      </c>
      <c r="V39" s="2291">
        <v>48</v>
      </c>
      <c r="W39" s="1367">
        <v>41</v>
      </c>
      <c r="X39" s="2351">
        <v>38</v>
      </c>
      <c r="Y39" s="1273"/>
      <c r="Z39" s="961">
        <v>3704</v>
      </c>
      <c r="AA39" s="962">
        <v>3779</v>
      </c>
      <c r="AB39" s="962">
        <v>4091</v>
      </c>
      <c r="AC39" s="962">
        <v>4162</v>
      </c>
      <c r="AD39" s="962">
        <v>4289</v>
      </c>
      <c r="AE39" s="962">
        <v>4403</v>
      </c>
      <c r="AF39" s="962">
        <v>4510</v>
      </c>
      <c r="AG39" s="962">
        <v>4593</v>
      </c>
      <c r="AH39" s="962">
        <v>4559</v>
      </c>
      <c r="AI39" s="962">
        <v>4524</v>
      </c>
      <c r="AJ39" s="962">
        <v>4519</v>
      </c>
      <c r="AK39" s="962">
        <v>5053</v>
      </c>
      <c r="AL39" s="962">
        <v>5417</v>
      </c>
      <c r="AM39" s="962">
        <v>5426</v>
      </c>
      <c r="AN39" s="1110">
        <v>5367</v>
      </c>
      <c r="AO39" s="1111">
        <v>5392</v>
      </c>
      <c r="AP39" s="1391">
        <v>5351</v>
      </c>
      <c r="AQ39" s="1934">
        <v>5298</v>
      </c>
      <c r="AR39" s="2289">
        <v>5332</v>
      </c>
      <c r="AS39" s="1368">
        <v>5414</v>
      </c>
      <c r="AT39" s="2353">
        <v>5474</v>
      </c>
      <c r="AU39" s="1274"/>
      <c r="AV39" s="979">
        <f t="shared" si="20"/>
        <v>24.028077753779698</v>
      </c>
      <c r="AW39" s="980">
        <f t="shared" si="21"/>
        <v>21.434241862926697</v>
      </c>
      <c r="AX39" s="980">
        <f t="shared" si="22"/>
        <v>21.999511121975068</v>
      </c>
      <c r="AY39" s="980">
        <f t="shared" si="23"/>
        <v>19.461797212878423</v>
      </c>
      <c r="AZ39" s="980">
        <f t="shared" si="24"/>
        <v>17.486593611564466</v>
      </c>
      <c r="BA39" s="980">
        <f t="shared" si="25"/>
        <v>19.986372927549397</v>
      </c>
      <c r="BB39" s="980">
        <f t="shared" si="26"/>
        <v>16.62971175166297</v>
      </c>
      <c r="BC39" s="980">
        <f t="shared" si="27"/>
        <v>21.554539516655783</v>
      </c>
      <c r="BD39" s="980">
        <f t="shared" si="28"/>
        <v>17.767054178547927</v>
      </c>
      <c r="BE39" s="980">
        <f t="shared" si="29"/>
        <v>22.767462422634836</v>
      </c>
      <c r="BF39" s="980">
        <f t="shared" si="30"/>
        <v>19.694622704138084</v>
      </c>
      <c r="BG39" s="980">
        <f t="shared" si="31"/>
        <v>18.998614684345934</v>
      </c>
      <c r="BH39" s="980">
        <f t="shared" si="32"/>
        <v>13.660697803212111</v>
      </c>
      <c r="BI39" s="980">
        <f t="shared" si="33"/>
        <v>15.481017323995577</v>
      </c>
      <c r="BJ39" s="1114">
        <f t="shared" si="34"/>
        <v>10.434134525805851</v>
      </c>
      <c r="BK39" s="1116">
        <f t="shared" si="35"/>
        <v>8.7166172106824931</v>
      </c>
      <c r="BL39" s="1278">
        <f t="shared" si="36"/>
        <v>10.278452625677444</v>
      </c>
      <c r="BM39" s="1941">
        <f t="shared" si="37"/>
        <v>8.8712721781804458</v>
      </c>
      <c r="BN39" s="2296">
        <f t="shared" si="38"/>
        <v>9.0022505626406595</v>
      </c>
      <c r="BO39" s="2364">
        <f t="shared" si="39"/>
        <v>7.5729589951976353</v>
      </c>
      <c r="BP39" s="2366">
        <f t="shared" si="39"/>
        <v>6.9419071976616733</v>
      </c>
    </row>
    <row r="40" spans="1:68" s="142" customFormat="1" ht="15.75" customHeight="1" x14ac:dyDescent="0.3">
      <c r="A40" s="149" t="s">
        <v>92</v>
      </c>
      <c r="B40" s="185" t="s">
        <v>93</v>
      </c>
      <c r="C40" s="150" t="s">
        <v>256</v>
      </c>
      <c r="D40" s="938">
        <v>32</v>
      </c>
      <c r="E40" s="939">
        <v>24</v>
      </c>
      <c r="F40" s="940">
        <v>32</v>
      </c>
      <c r="G40" s="939">
        <v>23</v>
      </c>
      <c r="H40" s="940">
        <v>26</v>
      </c>
      <c r="I40" s="939">
        <v>20</v>
      </c>
      <c r="J40" s="940">
        <v>23</v>
      </c>
      <c r="K40" s="939">
        <v>9</v>
      </c>
      <c r="L40" s="953">
        <v>20</v>
      </c>
      <c r="M40" s="953">
        <v>25</v>
      </c>
      <c r="N40" s="953">
        <v>28</v>
      </c>
      <c r="O40" s="953">
        <v>22</v>
      </c>
      <c r="P40" s="954">
        <v>27</v>
      </c>
      <c r="Q40" s="954">
        <v>17</v>
      </c>
      <c r="R40" s="1107">
        <v>20</v>
      </c>
      <c r="S40" s="1108">
        <v>8</v>
      </c>
      <c r="T40" s="1273">
        <v>21</v>
      </c>
      <c r="U40" s="1937">
        <v>23</v>
      </c>
      <c r="V40" s="2291">
        <v>20</v>
      </c>
      <c r="W40" s="1367">
        <v>14</v>
      </c>
      <c r="X40" s="2351">
        <v>12</v>
      </c>
      <c r="Y40" s="1273"/>
      <c r="Z40" s="961">
        <v>905</v>
      </c>
      <c r="AA40" s="962">
        <v>889</v>
      </c>
      <c r="AB40" s="962">
        <v>977</v>
      </c>
      <c r="AC40" s="962">
        <v>982</v>
      </c>
      <c r="AD40" s="962">
        <v>990</v>
      </c>
      <c r="AE40" s="962">
        <v>991</v>
      </c>
      <c r="AF40" s="962">
        <v>999</v>
      </c>
      <c r="AG40" s="962">
        <v>992</v>
      </c>
      <c r="AH40" s="962">
        <v>972</v>
      </c>
      <c r="AI40" s="962">
        <v>956</v>
      </c>
      <c r="AJ40" s="962">
        <v>931</v>
      </c>
      <c r="AK40" s="962">
        <v>985</v>
      </c>
      <c r="AL40" s="962">
        <v>1027</v>
      </c>
      <c r="AM40" s="962">
        <v>970</v>
      </c>
      <c r="AN40" s="1110">
        <v>972</v>
      </c>
      <c r="AO40" s="1111">
        <v>1021</v>
      </c>
      <c r="AP40" s="1391">
        <v>1005</v>
      </c>
      <c r="AQ40" s="1934">
        <v>1007</v>
      </c>
      <c r="AR40" s="2289">
        <v>1029</v>
      </c>
      <c r="AS40" s="1368">
        <v>1003</v>
      </c>
      <c r="AT40" s="2353">
        <v>963</v>
      </c>
      <c r="AU40" s="1274"/>
      <c r="AV40" s="979">
        <f t="shared" si="20"/>
        <v>35.35911602209945</v>
      </c>
      <c r="AW40" s="980">
        <f t="shared" si="21"/>
        <v>26.996625421822273</v>
      </c>
      <c r="AX40" s="980">
        <f t="shared" si="22"/>
        <v>32.753326509723642</v>
      </c>
      <c r="AY40" s="980">
        <f t="shared" si="23"/>
        <v>23.421588594704684</v>
      </c>
      <c r="AZ40" s="980">
        <f t="shared" si="24"/>
        <v>26.262626262626263</v>
      </c>
      <c r="BA40" s="980">
        <f t="shared" si="25"/>
        <v>20.181634712411707</v>
      </c>
      <c r="BB40" s="980">
        <f t="shared" si="26"/>
        <v>23.023023023023026</v>
      </c>
      <c r="BC40" s="980">
        <f t="shared" si="27"/>
        <v>9.0725806451612918</v>
      </c>
      <c r="BD40" s="980">
        <f t="shared" si="28"/>
        <v>20.5761316872428</v>
      </c>
      <c r="BE40" s="980">
        <f t="shared" si="29"/>
        <v>26.15062761506276</v>
      </c>
      <c r="BF40" s="980">
        <f t="shared" si="30"/>
        <v>30.075187969924812</v>
      </c>
      <c r="BG40" s="980">
        <f t="shared" si="31"/>
        <v>22.335025380710658</v>
      </c>
      <c r="BH40" s="980">
        <f t="shared" si="32"/>
        <v>26.29016553067186</v>
      </c>
      <c r="BI40" s="980">
        <f t="shared" si="33"/>
        <v>17.52577319587629</v>
      </c>
      <c r="BJ40" s="1114">
        <f t="shared" si="34"/>
        <v>20.5761316872428</v>
      </c>
      <c r="BK40" s="1116">
        <f t="shared" si="35"/>
        <v>7.8354554358472086</v>
      </c>
      <c r="BL40" s="1278">
        <f t="shared" si="36"/>
        <v>20.895522388059703</v>
      </c>
      <c r="BM40" s="1941">
        <f t="shared" si="37"/>
        <v>22.840119165839127</v>
      </c>
      <c r="BN40" s="2296">
        <f t="shared" si="38"/>
        <v>19.436345966958211</v>
      </c>
      <c r="BO40" s="2364">
        <f t="shared" si="39"/>
        <v>13.958125623130607</v>
      </c>
      <c r="BP40" s="2366">
        <f t="shared" si="39"/>
        <v>12.461059190031152</v>
      </c>
    </row>
    <row r="41" spans="1:68" s="142" customFormat="1" ht="15.75" customHeight="1" x14ac:dyDescent="0.3">
      <c r="A41" s="149" t="s">
        <v>94</v>
      </c>
      <c r="B41" s="185" t="s">
        <v>95</v>
      </c>
      <c r="C41" s="150" t="s">
        <v>252</v>
      </c>
      <c r="D41" s="938">
        <v>50</v>
      </c>
      <c r="E41" s="939">
        <v>42</v>
      </c>
      <c r="F41" s="940">
        <v>41</v>
      </c>
      <c r="G41" s="939">
        <v>39</v>
      </c>
      <c r="H41" s="940">
        <v>47</v>
      </c>
      <c r="I41" s="939">
        <v>36</v>
      </c>
      <c r="J41" s="940">
        <v>48</v>
      </c>
      <c r="K41" s="939">
        <v>31</v>
      </c>
      <c r="L41" s="953">
        <v>38</v>
      </c>
      <c r="M41" s="953">
        <v>37</v>
      </c>
      <c r="N41" s="953">
        <v>30</v>
      </c>
      <c r="O41" s="953">
        <v>28</v>
      </c>
      <c r="P41" s="954">
        <v>33</v>
      </c>
      <c r="Q41" s="954">
        <v>28</v>
      </c>
      <c r="R41" s="1107">
        <v>26</v>
      </c>
      <c r="S41" s="1108">
        <v>21</v>
      </c>
      <c r="T41" s="1273">
        <v>15</v>
      </c>
      <c r="U41" s="1937">
        <v>23</v>
      </c>
      <c r="V41" s="2291">
        <v>15</v>
      </c>
      <c r="W41" s="1367">
        <v>11</v>
      </c>
      <c r="X41" s="2351">
        <v>11</v>
      </c>
      <c r="Y41" s="1273"/>
      <c r="Z41" s="961">
        <v>2873</v>
      </c>
      <c r="AA41" s="962">
        <v>2967</v>
      </c>
      <c r="AB41" s="962">
        <v>2600</v>
      </c>
      <c r="AC41" s="962">
        <v>2649</v>
      </c>
      <c r="AD41" s="962">
        <v>2649</v>
      </c>
      <c r="AE41" s="962">
        <v>2660</v>
      </c>
      <c r="AF41" s="962">
        <v>2679</v>
      </c>
      <c r="AG41" s="962">
        <v>2623</v>
      </c>
      <c r="AH41" s="962">
        <v>2521</v>
      </c>
      <c r="AI41" s="962">
        <v>2476</v>
      </c>
      <c r="AJ41" s="962">
        <v>2424</v>
      </c>
      <c r="AK41" s="962">
        <v>2565</v>
      </c>
      <c r="AL41" s="962">
        <v>2374</v>
      </c>
      <c r="AM41" s="962">
        <v>2313</v>
      </c>
      <c r="AN41" s="1110">
        <v>2240</v>
      </c>
      <c r="AO41" s="1111">
        <v>2127</v>
      </c>
      <c r="AP41" s="1391">
        <v>2129</v>
      </c>
      <c r="AQ41" s="1934">
        <v>2131</v>
      </c>
      <c r="AR41" s="2289">
        <v>2068</v>
      </c>
      <c r="AS41" s="1368">
        <v>2006</v>
      </c>
      <c r="AT41" s="2353">
        <v>2033</v>
      </c>
      <c r="AU41" s="1274"/>
      <c r="AV41" s="979">
        <f t="shared" si="20"/>
        <v>17.40341106856944</v>
      </c>
      <c r="AW41" s="980">
        <f t="shared" si="21"/>
        <v>14.155712841253791</v>
      </c>
      <c r="AX41" s="980">
        <f t="shared" si="22"/>
        <v>15.769230769230768</v>
      </c>
      <c r="AY41" s="980">
        <f t="shared" si="23"/>
        <v>14.722536806342015</v>
      </c>
      <c r="AZ41" s="980">
        <f t="shared" si="24"/>
        <v>17.742544356360892</v>
      </c>
      <c r="BA41" s="980">
        <f t="shared" si="25"/>
        <v>13.533834586466165</v>
      </c>
      <c r="BB41" s="980">
        <f t="shared" si="26"/>
        <v>17.917133258678611</v>
      </c>
      <c r="BC41" s="980">
        <f t="shared" si="27"/>
        <v>11.818528402592451</v>
      </c>
      <c r="BD41" s="980">
        <f t="shared" si="28"/>
        <v>15.073383577945261</v>
      </c>
      <c r="BE41" s="980">
        <f t="shared" si="29"/>
        <v>14.94345718901454</v>
      </c>
      <c r="BF41" s="980">
        <f t="shared" si="30"/>
        <v>12.376237623762377</v>
      </c>
      <c r="BG41" s="980">
        <f t="shared" si="31"/>
        <v>10.91617933723197</v>
      </c>
      <c r="BH41" s="980">
        <f t="shared" si="32"/>
        <v>13.900589721988204</v>
      </c>
      <c r="BI41" s="980">
        <f t="shared" si="33"/>
        <v>12.105490704712494</v>
      </c>
      <c r="BJ41" s="1114">
        <f t="shared" si="34"/>
        <v>11.607142857142858</v>
      </c>
      <c r="BK41" s="1116">
        <f t="shared" si="35"/>
        <v>9.873060648801129</v>
      </c>
      <c r="BL41" s="1278">
        <f t="shared" si="36"/>
        <v>7.045561296383279</v>
      </c>
      <c r="BM41" s="1941">
        <f t="shared" si="37"/>
        <v>10.793054903801032</v>
      </c>
      <c r="BN41" s="2296">
        <f t="shared" si="38"/>
        <v>7.2533849129593806</v>
      </c>
      <c r="BO41" s="2364">
        <f t="shared" si="39"/>
        <v>5.4835493519441671</v>
      </c>
      <c r="BP41" s="2366">
        <f t="shared" si="39"/>
        <v>5.4107230693556323</v>
      </c>
    </row>
    <row r="42" spans="1:68" s="142" customFormat="1" ht="15.75" customHeight="1" x14ac:dyDescent="0.3">
      <c r="A42" s="149" t="s">
        <v>96</v>
      </c>
      <c r="B42" s="185" t="s">
        <v>97</v>
      </c>
      <c r="C42" s="150" t="s">
        <v>254</v>
      </c>
      <c r="D42" s="938">
        <v>13</v>
      </c>
      <c r="E42" s="939">
        <v>10</v>
      </c>
      <c r="F42" s="940">
        <v>12</v>
      </c>
      <c r="G42" s="939">
        <v>12</v>
      </c>
      <c r="H42" s="940">
        <v>8</v>
      </c>
      <c r="I42" s="939">
        <v>8</v>
      </c>
      <c r="J42" s="940">
        <v>4</v>
      </c>
      <c r="K42" s="939">
        <v>11</v>
      </c>
      <c r="L42" s="953">
        <v>16</v>
      </c>
      <c r="M42" s="953">
        <v>7</v>
      </c>
      <c r="N42" s="953">
        <v>10</v>
      </c>
      <c r="O42" s="953">
        <v>10</v>
      </c>
      <c r="P42" s="954">
        <v>8</v>
      </c>
      <c r="Q42" s="954">
        <v>4</v>
      </c>
      <c r="R42" s="1107">
        <v>4</v>
      </c>
      <c r="S42" s="1108">
        <v>7</v>
      </c>
      <c r="T42" s="1273">
        <v>6</v>
      </c>
      <c r="U42" s="1937">
        <v>1</v>
      </c>
      <c r="V42" s="2291">
        <v>5</v>
      </c>
      <c r="W42" s="1367">
        <v>1</v>
      </c>
      <c r="X42" s="2351">
        <v>1</v>
      </c>
      <c r="Y42" s="1273"/>
      <c r="Z42" s="961">
        <v>862</v>
      </c>
      <c r="AA42" s="962">
        <v>874</v>
      </c>
      <c r="AB42" s="962">
        <v>934</v>
      </c>
      <c r="AC42" s="962">
        <v>967</v>
      </c>
      <c r="AD42" s="962">
        <v>999</v>
      </c>
      <c r="AE42" s="962">
        <v>1030</v>
      </c>
      <c r="AF42" s="962">
        <v>1055</v>
      </c>
      <c r="AG42" s="962">
        <v>1067</v>
      </c>
      <c r="AH42" s="962">
        <v>1097</v>
      </c>
      <c r="AI42" s="962">
        <v>1116</v>
      </c>
      <c r="AJ42" s="962">
        <v>1103</v>
      </c>
      <c r="AK42" s="962">
        <v>1163</v>
      </c>
      <c r="AL42" s="962">
        <v>1204</v>
      </c>
      <c r="AM42" s="962">
        <v>1229</v>
      </c>
      <c r="AN42" s="1110">
        <v>1258</v>
      </c>
      <c r="AO42" s="1111">
        <v>1271</v>
      </c>
      <c r="AP42" s="1391">
        <v>1271</v>
      </c>
      <c r="AQ42" s="1934">
        <v>1269</v>
      </c>
      <c r="AR42" s="2289">
        <v>1253</v>
      </c>
      <c r="AS42" s="1368">
        <v>1231</v>
      </c>
      <c r="AT42" s="2353">
        <v>1267</v>
      </c>
      <c r="AU42" s="1274"/>
      <c r="AV42" s="979">
        <f t="shared" si="20"/>
        <v>15.081206496519721</v>
      </c>
      <c r="AW42" s="980">
        <f t="shared" si="21"/>
        <v>11.441647597254004</v>
      </c>
      <c r="AX42" s="980">
        <f t="shared" si="22"/>
        <v>12.847965738758029</v>
      </c>
      <c r="AY42" s="980">
        <f t="shared" si="23"/>
        <v>12.409513960703205</v>
      </c>
      <c r="AZ42" s="980">
        <f t="shared" si="24"/>
        <v>8.0080080080080087</v>
      </c>
      <c r="BA42" s="980">
        <f t="shared" si="25"/>
        <v>7.766990291262136</v>
      </c>
      <c r="BB42" s="980">
        <f t="shared" si="26"/>
        <v>3.7914691943127963</v>
      </c>
      <c r="BC42" s="980">
        <f t="shared" si="27"/>
        <v>10.309278350515465</v>
      </c>
      <c r="BD42" s="980">
        <f t="shared" si="28"/>
        <v>14.585232452142206</v>
      </c>
      <c r="BE42" s="980">
        <f t="shared" si="29"/>
        <v>6.2724014336917566</v>
      </c>
      <c r="BF42" s="980">
        <f t="shared" si="30"/>
        <v>9.0661831368993653</v>
      </c>
      <c r="BG42" s="980">
        <f t="shared" si="31"/>
        <v>8.5984522785898534</v>
      </c>
      <c r="BH42" s="980">
        <f t="shared" si="32"/>
        <v>6.6445182724252492</v>
      </c>
      <c r="BI42" s="980">
        <f t="shared" si="33"/>
        <v>3.2546786004882016</v>
      </c>
      <c r="BJ42" s="1114">
        <f t="shared" si="34"/>
        <v>3.1796502384737679</v>
      </c>
      <c r="BK42" s="1116">
        <f t="shared" si="35"/>
        <v>5.5074744295830058</v>
      </c>
      <c r="BL42" s="1278">
        <f t="shared" si="36"/>
        <v>4.7206923682140047</v>
      </c>
      <c r="BM42" s="1941">
        <f t="shared" si="37"/>
        <v>0.78802206461780933</v>
      </c>
      <c r="BN42" s="2296">
        <f t="shared" si="38"/>
        <v>3.9904229848363926</v>
      </c>
      <c r="BO42" s="2364">
        <f t="shared" si="39"/>
        <v>0.81234768480909825</v>
      </c>
      <c r="BP42" s="2366">
        <f t="shared" si="39"/>
        <v>0.78926598263614833</v>
      </c>
    </row>
    <row r="43" spans="1:68" s="142" customFormat="1" ht="15.75" customHeight="1" x14ac:dyDescent="0.3">
      <c r="A43" s="149" t="s">
        <v>98</v>
      </c>
      <c r="B43" s="185" t="s">
        <v>99</v>
      </c>
      <c r="C43" s="150" t="s">
        <v>256</v>
      </c>
      <c r="D43" s="938">
        <v>28</v>
      </c>
      <c r="E43" s="939">
        <v>22</v>
      </c>
      <c r="F43" s="940">
        <v>22</v>
      </c>
      <c r="G43" s="939">
        <v>18</v>
      </c>
      <c r="H43" s="940">
        <v>22</v>
      </c>
      <c r="I43" s="939">
        <v>17</v>
      </c>
      <c r="J43" s="940">
        <v>20</v>
      </c>
      <c r="K43" s="939">
        <v>23</v>
      </c>
      <c r="L43" s="953">
        <v>28</v>
      </c>
      <c r="M43" s="953">
        <v>26</v>
      </c>
      <c r="N43" s="953">
        <v>26</v>
      </c>
      <c r="O43" s="953">
        <v>17</v>
      </c>
      <c r="P43" s="954">
        <v>22</v>
      </c>
      <c r="Q43" s="954">
        <v>13</v>
      </c>
      <c r="R43" s="1107">
        <v>12</v>
      </c>
      <c r="S43" s="1108">
        <v>20</v>
      </c>
      <c r="T43" s="1273">
        <v>16</v>
      </c>
      <c r="U43" s="1937">
        <v>15</v>
      </c>
      <c r="V43" s="2291">
        <v>8</v>
      </c>
      <c r="W43" s="1367">
        <v>10</v>
      </c>
      <c r="X43" s="2351">
        <v>6</v>
      </c>
      <c r="Y43" s="1273"/>
      <c r="Z43" s="961">
        <v>950</v>
      </c>
      <c r="AA43" s="962">
        <v>935</v>
      </c>
      <c r="AB43" s="962">
        <v>950</v>
      </c>
      <c r="AC43" s="962">
        <v>974</v>
      </c>
      <c r="AD43" s="962">
        <v>962</v>
      </c>
      <c r="AE43" s="962">
        <v>974</v>
      </c>
      <c r="AF43" s="962">
        <v>986</v>
      </c>
      <c r="AG43" s="962">
        <v>965</v>
      </c>
      <c r="AH43" s="962">
        <v>933</v>
      </c>
      <c r="AI43" s="962">
        <v>906</v>
      </c>
      <c r="AJ43" s="962">
        <v>884</v>
      </c>
      <c r="AK43" s="962">
        <v>895</v>
      </c>
      <c r="AL43" s="962">
        <v>930</v>
      </c>
      <c r="AM43" s="962">
        <v>883</v>
      </c>
      <c r="AN43" s="1110">
        <v>836</v>
      </c>
      <c r="AO43" s="1111">
        <v>821</v>
      </c>
      <c r="AP43" s="1391">
        <v>818</v>
      </c>
      <c r="AQ43" s="1934">
        <v>808</v>
      </c>
      <c r="AR43" s="2289">
        <v>777</v>
      </c>
      <c r="AS43" s="1368">
        <v>759</v>
      </c>
      <c r="AT43" s="2353">
        <v>748</v>
      </c>
      <c r="AU43" s="1274"/>
      <c r="AV43" s="979">
        <f t="shared" si="20"/>
        <v>29.473684210526315</v>
      </c>
      <c r="AW43" s="980">
        <f t="shared" si="21"/>
        <v>23.52941176470588</v>
      </c>
      <c r="AX43" s="980">
        <f t="shared" si="22"/>
        <v>23.157894736842106</v>
      </c>
      <c r="AY43" s="980">
        <f t="shared" si="23"/>
        <v>18.480492813141684</v>
      </c>
      <c r="AZ43" s="980">
        <f t="shared" si="24"/>
        <v>22.869022869022871</v>
      </c>
      <c r="BA43" s="980">
        <f t="shared" si="25"/>
        <v>17.453798767967143</v>
      </c>
      <c r="BB43" s="980">
        <f t="shared" si="26"/>
        <v>20.28397565922921</v>
      </c>
      <c r="BC43" s="980">
        <f t="shared" si="27"/>
        <v>23.834196891191709</v>
      </c>
      <c r="BD43" s="980">
        <f t="shared" si="28"/>
        <v>30.010718113612004</v>
      </c>
      <c r="BE43" s="980">
        <f t="shared" si="29"/>
        <v>28.697571743929359</v>
      </c>
      <c r="BF43" s="980">
        <f t="shared" si="30"/>
        <v>29.411764705882351</v>
      </c>
      <c r="BG43" s="980">
        <f t="shared" si="31"/>
        <v>18.994413407821231</v>
      </c>
      <c r="BH43" s="980">
        <f t="shared" si="32"/>
        <v>23.655913978494624</v>
      </c>
      <c r="BI43" s="980">
        <f t="shared" si="33"/>
        <v>14.722536806342015</v>
      </c>
      <c r="BJ43" s="1114">
        <f t="shared" si="34"/>
        <v>14.354066985645934</v>
      </c>
      <c r="BK43" s="1116">
        <f t="shared" si="35"/>
        <v>24.360535931790498</v>
      </c>
      <c r="BL43" s="1278">
        <f t="shared" si="36"/>
        <v>19.559902200488999</v>
      </c>
      <c r="BM43" s="1941">
        <f t="shared" si="37"/>
        <v>18.564356435643564</v>
      </c>
      <c r="BN43" s="2296">
        <f t="shared" si="38"/>
        <v>10.296010296010296</v>
      </c>
      <c r="BO43" s="2364">
        <f t="shared" si="39"/>
        <v>13.175230566534914</v>
      </c>
      <c r="BP43" s="2366">
        <f t="shared" si="39"/>
        <v>8.0213903743315509</v>
      </c>
    </row>
    <row r="44" spans="1:68" s="142" customFormat="1" ht="15.75" customHeight="1" x14ac:dyDescent="0.3">
      <c r="A44" s="149" t="s">
        <v>100</v>
      </c>
      <c r="B44" s="185" t="s">
        <v>101</v>
      </c>
      <c r="C44" s="150" t="s">
        <v>255</v>
      </c>
      <c r="D44" s="938">
        <v>22</v>
      </c>
      <c r="E44" s="939">
        <v>22</v>
      </c>
      <c r="F44" s="940">
        <v>25</v>
      </c>
      <c r="G44" s="939">
        <v>27</v>
      </c>
      <c r="H44" s="940">
        <v>29</v>
      </c>
      <c r="I44" s="939">
        <v>30</v>
      </c>
      <c r="J44" s="940">
        <v>21</v>
      </c>
      <c r="K44" s="939">
        <v>26</v>
      </c>
      <c r="L44" s="953">
        <v>38</v>
      </c>
      <c r="M44" s="953">
        <v>18</v>
      </c>
      <c r="N44" s="953">
        <v>20</v>
      </c>
      <c r="O44" s="953">
        <v>16</v>
      </c>
      <c r="P44" s="954">
        <v>11</v>
      </c>
      <c r="Q44" s="954">
        <v>20</v>
      </c>
      <c r="R44" s="1107">
        <v>6</v>
      </c>
      <c r="S44" s="1108">
        <v>10</v>
      </c>
      <c r="T44" s="1273">
        <v>11</v>
      </c>
      <c r="U44" s="1937">
        <v>14</v>
      </c>
      <c r="V44" s="2291">
        <v>11</v>
      </c>
      <c r="W44" s="1367">
        <v>10</v>
      </c>
      <c r="X44" s="2351">
        <v>7</v>
      </c>
      <c r="Y44" s="1273"/>
      <c r="Z44" s="961">
        <v>811</v>
      </c>
      <c r="AA44" s="962">
        <v>832</v>
      </c>
      <c r="AB44" s="962">
        <v>1020</v>
      </c>
      <c r="AC44" s="962">
        <v>1063</v>
      </c>
      <c r="AD44" s="962">
        <v>1120</v>
      </c>
      <c r="AE44" s="962">
        <v>1166</v>
      </c>
      <c r="AF44" s="962">
        <v>1209</v>
      </c>
      <c r="AG44" s="962">
        <v>1231</v>
      </c>
      <c r="AH44" s="962">
        <v>1215</v>
      </c>
      <c r="AI44" s="962">
        <v>1203</v>
      </c>
      <c r="AJ44" s="962">
        <v>1175</v>
      </c>
      <c r="AK44" s="962">
        <v>1170</v>
      </c>
      <c r="AL44" s="962">
        <v>1104</v>
      </c>
      <c r="AM44" s="962">
        <v>1113</v>
      </c>
      <c r="AN44" s="1110">
        <v>1090</v>
      </c>
      <c r="AO44" s="1111">
        <v>1078</v>
      </c>
      <c r="AP44" s="1391">
        <v>1100</v>
      </c>
      <c r="AQ44" s="1934">
        <v>1137</v>
      </c>
      <c r="AR44" s="2289">
        <v>1179</v>
      </c>
      <c r="AS44" s="1368">
        <v>1223</v>
      </c>
      <c r="AT44" s="2353">
        <v>1250</v>
      </c>
      <c r="AU44" s="1274"/>
      <c r="AV44" s="979">
        <f t="shared" si="20"/>
        <v>27.127003699136868</v>
      </c>
      <c r="AW44" s="980">
        <f t="shared" si="21"/>
        <v>26.442307692307693</v>
      </c>
      <c r="AX44" s="980">
        <f t="shared" si="22"/>
        <v>24.509803921568626</v>
      </c>
      <c r="AY44" s="980">
        <f t="shared" si="23"/>
        <v>25.399811853245531</v>
      </c>
      <c r="AZ44" s="980">
        <f t="shared" si="24"/>
        <v>25.892857142857146</v>
      </c>
      <c r="BA44" s="980">
        <f t="shared" si="25"/>
        <v>25.728987993138936</v>
      </c>
      <c r="BB44" s="980">
        <f t="shared" si="26"/>
        <v>17.369727047146402</v>
      </c>
      <c r="BC44" s="980">
        <f t="shared" si="27"/>
        <v>21.121039805036556</v>
      </c>
      <c r="BD44" s="980">
        <f t="shared" si="28"/>
        <v>31.275720164609055</v>
      </c>
      <c r="BE44" s="980">
        <f t="shared" si="29"/>
        <v>14.962593516209475</v>
      </c>
      <c r="BF44" s="980">
        <f t="shared" si="30"/>
        <v>17.021276595744681</v>
      </c>
      <c r="BG44" s="980">
        <f t="shared" si="31"/>
        <v>13.675213675213675</v>
      </c>
      <c r="BH44" s="980">
        <f t="shared" si="32"/>
        <v>9.9637681159420275</v>
      </c>
      <c r="BI44" s="980">
        <f t="shared" si="33"/>
        <v>17.969451931716083</v>
      </c>
      <c r="BJ44" s="1114">
        <f t="shared" si="34"/>
        <v>5.5045871559633035</v>
      </c>
      <c r="BK44" s="1116">
        <f t="shared" si="35"/>
        <v>9.2764378478664202</v>
      </c>
      <c r="BL44" s="1278">
        <f t="shared" si="36"/>
        <v>10</v>
      </c>
      <c r="BM44" s="1941">
        <f t="shared" si="37"/>
        <v>12.313104661389621</v>
      </c>
      <c r="BN44" s="2296">
        <f t="shared" si="38"/>
        <v>9.3299406276505508</v>
      </c>
      <c r="BO44" s="2364">
        <f t="shared" si="39"/>
        <v>8.1766148814390842</v>
      </c>
      <c r="BP44" s="2366">
        <f t="shared" si="39"/>
        <v>5.6</v>
      </c>
    </row>
    <row r="45" spans="1:68" s="142" customFormat="1" ht="15.75" customHeight="1" x14ac:dyDescent="0.3">
      <c r="A45" s="149" t="s">
        <v>102</v>
      </c>
      <c r="B45" s="185" t="s">
        <v>270</v>
      </c>
      <c r="C45" s="150" t="s">
        <v>252</v>
      </c>
      <c r="D45" s="938">
        <v>32</v>
      </c>
      <c r="E45" s="939">
        <v>31</v>
      </c>
      <c r="F45" s="940">
        <v>31</v>
      </c>
      <c r="G45" s="939">
        <v>25</v>
      </c>
      <c r="H45" s="940">
        <v>45</v>
      </c>
      <c r="I45" s="939">
        <v>23</v>
      </c>
      <c r="J45" s="940">
        <v>25</v>
      </c>
      <c r="K45" s="939">
        <v>39</v>
      </c>
      <c r="L45" s="953">
        <v>44</v>
      </c>
      <c r="M45" s="953">
        <v>42</v>
      </c>
      <c r="N45" s="953">
        <v>44</v>
      </c>
      <c r="O45" s="953">
        <v>31</v>
      </c>
      <c r="P45" s="954">
        <v>38</v>
      </c>
      <c r="Q45" s="954">
        <v>33</v>
      </c>
      <c r="R45" s="1107">
        <v>21</v>
      </c>
      <c r="S45" s="1108">
        <v>25</v>
      </c>
      <c r="T45" s="1273">
        <v>18</v>
      </c>
      <c r="U45" s="1937">
        <v>17</v>
      </c>
      <c r="V45" s="2291">
        <v>15</v>
      </c>
      <c r="W45" s="1367">
        <v>20</v>
      </c>
      <c r="X45" s="2351">
        <v>16</v>
      </c>
      <c r="Y45" s="1273"/>
      <c r="Z45" s="961">
        <v>994</v>
      </c>
      <c r="AA45" s="962">
        <v>991</v>
      </c>
      <c r="AB45" s="962">
        <v>1043</v>
      </c>
      <c r="AC45" s="962">
        <v>992</v>
      </c>
      <c r="AD45" s="962">
        <v>1005</v>
      </c>
      <c r="AE45" s="962">
        <v>1011</v>
      </c>
      <c r="AF45" s="962">
        <v>979</v>
      </c>
      <c r="AG45" s="962">
        <v>936</v>
      </c>
      <c r="AH45" s="962">
        <v>921</v>
      </c>
      <c r="AI45" s="962">
        <v>882</v>
      </c>
      <c r="AJ45" s="962">
        <v>843</v>
      </c>
      <c r="AK45" s="962">
        <v>916</v>
      </c>
      <c r="AL45" s="962">
        <v>966</v>
      </c>
      <c r="AM45" s="962">
        <v>946</v>
      </c>
      <c r="AN45" s="1110">
        <v>936</v>
      </c>
      <c r="AO45" s="1111">
        <v>919</v>
      </c>
      <c r="AP45" s="1391">
        <v>913</v>
      </c>
      <c r="AQ45" s="1934">
        <v>916</v>
      </c>
      <c r="AR45" s="2289">
        <v>863</v>
      </c>
      <c r="AS45" s="1368">
        <v>903</v>
      </c>
      <c r="AT45" s="2353">
        <v>854</v>
      </c>
      <c r="AU45" s="1274"/>
      <c r="AV45" s="979">
        <f t="shared" si="20"/>
        <v>32.193158953722339</v>
      </c>
      <c r="AW45" s="980">
        <f t="shared" si="21"/>
        <v>31.281533804238141</v>
      </c>
      <c r="AX45" s="980">
        <f t="shared" si="22"/>
        <v>29.721955896452542</v>
      </c>
      <c r="AY45" s="980">
        <f t="shared" si="23"/>
        <v>25.201612903225804</v>
      </c>
      <c r="AZ45" s="980">
        <f t="shared" si="24"/>
        <v>44.776119402985074</v>
      </c>
      <c r="BA45" s="980">
        <f t="shared" si="25"/>
        <v>22.74975272007913</v>
      </c>
      <c r="BB45" s="980">
        <f t="shared" si="26"/>
        <v>25.536261491317671</v>
      </c>
      <c r="BC45" s="980">
        <f t="shared" si="27"/>
        <v>41.666666666666664</v>
      </c>
      <c r="BD45" s="980">
        <f t="shared" si="28"/>
        <v>47.774158523344191</v>
      </c>
      <c r="BE45" s="980">
        <f t="shared" si="29"/>
        <v>47.619047619047613</v>
      </c>
      <c r="BF45" s="980">
        <f t="shared" si="30"/>
        <v>52.194543297746144</v>
      </c>
      <c r="BG45" s="980">
        <f t="shared" si="31"/>
        <v>33.842794759825331</v>
      </c>
      <c r="BH45" s="980">
        <f t="shared" si="32"/>
        <v>39.337474120082817</v>
      </c>
      <c r="BI45" s="980">
        <f t="shared" si="33"/>
        <v>34.883720930232556</v>
      </c>
      <c r="BJ45" s="1114">
        <f t="shared" si="34"/>
        <v>22.435897435897434</v>
      </c>
      <c r="BK45" s="1116">
        <f t="shared" si="35"/>
        <v>27.20348204570185</v>
      </c>
      <c r="BL45" s="1278">
        <f t="shared" si="36"/>
        <v>19.715224534501644</v>
      </c>
      <c r="BM45" s="1941">
        <f t="shared" si="37"/>
        <v>18.558951965065503</v>
      </c>
      <c r="BN45" s="2296">
        <f t="shared" si="38"/>
        <v>17.381228273464661</v>
      </c>
      <c r="BO45" s="2364">
        <f t="shared" si="39"/>
        <v>22.148394241417499</v>
      </c>
      <c r="BP45" s="2366">
        <f t="shared" si="39"/>
        <v>18.735362997658079</v>
      </c>
    </row>
    <row r="46" spans="1:68" s="142" customFormat="1" ht="15.75" customHeight="1" x14ac:dyDescent="0.3">
      <c r="A46" s="149" t="s">
        <v>104</v>
      </c>
      <c r="B46" s="185" t="s">
        <v>105</v>
      </c>
      <c r="C46" s="150" t="s">
        <v>253</v>
      </c>
      <c r="D46" s="938">
        <v>65</v>
      </c>
      <c r="E46" s="939">
        <v>84</v>
      </c>
      <c r="F46" s="940">
        <v>68</v>
      </c>
      <c r="G46" s="939">
        <v>51</v>
      </c>
      <c r="H46" s="940">
        <v>55</v>
      </c>
      <c r="I46" s="939">
        <v>69</v>
      </c>
      <c r="J46" s="940">
        <v>66</v>
      </c>
      <c r="K46" s="939">
        <v>44</v>
      </c>
      <c r="L46" s="953">
        <v>52</v>
      </c>
      <c r="M46" s="953">
        <v>65</v>
      </c>
      <c r="N46" s="953">
        <v>54</v>
      </c>
      <c r="O46" s="953">
        <v>51</v>
      </c>
      <c r="P46" s="954">
        <v>52</v>
      </c>
      <c r="Q46" s="954">
        <v>42</v>
      </c>
      <c r="R46" s="1107">
        <v>41</v>
      </c>
      <c r="S46" s="1108">
        <v>52</v>
      </c>
      <c r="T46" s="1273">
        <v>42</v>
      </c>
      <c r="U46" s="1937">
        <v>43</v>
      </c>
      <c r="V46" s="2291">
        <v>34</v>
      </c>
      <c r="W46" s="1367">
        <v>31</v>
      </c>
      <c r="X46" s="2351">
        <v>20</v>
      </c>
      <c r="Y46" s="1273"/>
      <c r="Z46" s="961">
        <v>2265</v>
      </c>
      <c r="AA46" s="962">
        <v>2235</v>
      </c>
      <c r="AB46" s="962">
        <v>2309</v>
      </c>
      <c r="AC46" s="962">
        <v>2286</v>
      </c>
      <c r="AD46" s="962">
        <v>2314</v>
      </c>
      <c r="AE46" s="962">
        <v>2318</v>
      </c>
      <c r="AF46" s="962">
        <v>2301</v>
      </c>
      <c r="AG46" s="962">
        <v>2296</v>
      </c>
      <c r="AH46" s="962">
        <v>2289</v>
      </c>
      <c r="AI46" s="962">
        <v>2214</v>
      </c>
      <c r="AJ46" s="962">
        <v>2180</v>
      </c>
      <c r="AK46" s="962">
        <v>2173</v>
      </c>
      <c r="AL46" s="962">
        <v>2305</v>
      </c>
      <c r="AM46" s="962">
        <v>2282</v>
      </c>
      <c r="AN46" s="1110">
        <v>2250</v>
      </c>
      <c r="AO46" s="1111">
        <v>2139</v>
      </c>
      <c r="AP46" s="1391">
        <v>2123</v>
      </c>
      <c r="AQ46" s="1934">
        <v>2124</v>
      </c>
      <c r="AR46" s="2289">
        <v>2088</v>
      </c>
      <c r="AS46" s="1368">
        <v>2044</v>
      </c>
      <c r="AT46" s="2353">
        <v>2001</v>
      </c>
      <c r="AU46" s="1274"/>
      <c r="AV46" s="979">
        <f t="shared" si="20"/>
        <v>28.697571743929359</v>
      </c>
      <c r="AW46" s="980">
        <f t="shared" si="21"/>
        <v>37.583892617449663</v>
      </c>
      <c r="AX46" s="980">
        <f t="shared" si="22"/>
        <v>29.449978345604158</v>
      </c>
      <c r="AY46" s="980">
        <f t="shared" si="23"/>
        <v>22.309711286089239</v>
      </c>
      <c r="AZ46" s="980">
        <f t="shared" si="24"/>
        <v>23.76836646499568</v>
      </c>
      <c r="BA46" s="980">
        <f t="shared" si="25"/>
        <v>29.767040552200172</v>
      </c>
      <c r="BB46" s="980">
        <f t="shared" si="26"/>
        <v>28.683181225554105</v>
      </c>
      <c r="BC46" s="980">
        <f t="shared" si="27"/>
        <v>19.16376306620209</v>
      </c>
      <c r="BD46" s="980">
        <f t="shared" si="28"/>
        <v>22.717343818261249</v>
      </c>
      <c r="BE46" s="980">
        <f t="shared" si="29"/>
        <v>29.358626919602528</v>
      </c>
      <c r="BF46" s="980">
        <f t="shared" si="30"/>
        <v>24.770642201834864</v>
      </c>
      <c r="BG46" s="980">
        <f t="shared" si="31"/>
        <v>23.469857340082832</v>
      </c>
      <c r="BH46" s="980">
        <f t="shared" si="32"/>
        <v>22.559652928416487</v>
      </c>
      <c r="BI46" s="980">
        <f t="shared" si="33"/>
        <v>18.404907975460123</v>
      </c>
      <c r="BJ46" s="1114">
        <f t="shared" si="34"/>
        <v>18.222222222222221</v>
      </c>
      <c r="BK46" s="1116">
        <f t="shared" si="35"/>
        <v>24.310425432445069</v>
      </c>
      <c r="BL46" s="1278">
        <f t="shared" si="36"/>
        <v>19.783325482807346</v>
      </c>
      <c r="BM46" s="1941">
        <f t="shared" si="37"/>
        <v>20.24482109227872</v>
      </c>
      <c r="BN46" s="2296">
        <f t="shared" si="38"/>
        <v>16.283524904214559</v>
      </c>
      <c r="BO46" s="2364">
        <f t="shared" si="39"/>
        <v>15.166340508806261</v>
      </c>
      <c r="BP46" s="2366">
        <f t="shared" si="39"/>
        <v>9.9950024987506261</v>
      </c>
    </row>
    <row r="47" spans="1:68" s="142" customFormat="1" ht="15.75" customHeight="1" x14ac:dyDescent="0.3">
      <c r="A47" s="149" t="s">
        <v>108</v>
      </c>
      <c r="B47" s="185" t="s">
        <v>109</v>
      </c>
      <c r="C47" s="150" t="s">
        <v>254</v>
      </c>
      <c r="D47" s="938">
        <v>59</v>
      </c>
      <c r="E47" s="939">
        <v>64</v>
      </c>
      <c r="F47" s="940">
        <v>56</v>
      </c>
      <c r="G47" s="939">
        <v>45</v>
      </c>
      <c r="H47" s="940">
        <v>49</v>
      </c>
      <c r="I47" s="939">
        <v>39</v>
      </c>
      <c r="J47" s="940">
        <v>50</v>
      </c>
      <c r="K47" s="939">
        <v>57</v>
      </c>
      <c r="L47" s="953">
        <v>68</v>
      </c>
      <c r="M47" s="953">
        <v>54</v>
      </c>
      <c r="N47" s="953">
        <v>62</v>
      </c>
      <c r="O47" s="953">
        <v>66</v>
      </c>
      <c r="P47" s="954">
        <v>48</v>
      </c>
      <c r="Q47" s="954">
        <v>41</v>
      </c>
      <c r="R47" s="1107">
        <v>39</v>
      </c>
      <c r="S47" s="1108">
        <v>45</v>
      </c>
      <c r="T47" s="1273">
        <v>28</v>
      </c>
      <c r="U47" s="1937">
        <v>32</v>
      </c>
      <c r="V47" s="2291">
        <v>17</v>
      </c>
      <c r="W47" s="1367">
        <v>24</v>
      </c>
      <c r="X47" s="2351">
        <v>19</v>
      </c>
      <c r="Y47" s="1273"/>
      <c r="Z47" s="961">
        <v>5327</v>
      </c>
      <c r="AA47" s="962">
        <v>5453</v>
      </c>
      <c r="AB47" s="962">
        <v>6290</v>
      </c>
      <c r="AC47" s="962">
        <v>6618</v>
      </c>
      <c r="AD47" s="962">
        <v>6797</v>
      </c>
      <c r="AE47" s="962">
        <v>6917</v>
      </c>
      <c r="AF47" s="962">
        <v>7073</v>
      </c>
      <c r="AG47" s="962">
        <v>7144</v>
      </c>
      <c r="AH47" s="962">
        <v>7059</v>
      </c>
      <c r="AI47" s="962">
        <v>6982</v>
      </c>
      <c r="AJ47" s="962">
        <v>6835</v>
      </c>
      <c r="AK47" s="962">
        <v>7327</v>
      </c>
      <c r="AL47" s="962">
        <v>7287</v>
      </c>
      <c r="AM47" s="962">
        <v>7272</v>
      </c>
      <c r="AN47" s="1110">
        <v>7304</v>
      </c>
      <c r="AO47" s="1111">
        <v>7330</v>
      </c>
      <c r="AP47" s="1391">
        <v>7304</v>
      </c>
      <c r="AQ47" s="1934">
        <v>7304</v>
      </c>
      <c r="AR47" s="2289">
        <v>7106</v>
      </c>
      <c r="AS47" s="1368">
        <v>7152</v>
      </c>
      <c r="AT47" s="2353">
        <v>7136</v>
      </c>
      <c r="AU47" s="1274"/>
      <c r="AV47" s="979">
        <f t="shared" si="20"/>
        <v>11.075652337150366</v>
      </c>
      <c r="AW47" s="980">
        <f t="shared" si="21"/>
        <v>11.736658719970658</v>
      </c>
      <c r="AX47" s="980">
        <f t="shared" si="22"/>
        <v>8.9030206677265511</v>
      </c>
      <c r="AY47" s="980">
        <f t="shared" si="23"/>
        <v>6.799637352674524</v>
      </c>
      <c r="AZ47" s="980">
        <f t="shared" si="24"/>
        <v>7.2090628218331618</v>
      </c>
      <c r="BA47" s="980">
        <f t="shared" si="25"/>
        <v>5.6382824924100037</v>
      </c>
      <c r="BB47" s="980">
        <f t="shared" si="26"/>
        <v>7.0691361515622795</v>
      </c>
      <c r="BC47" s="980">
        <f t="shared" si="27"/>
        <v>7.9787234042553186</v>
      </c>
      <c r="BD47" s="980">
        <f t="shared" si="28"/>
        <v>9.6330925060206827</v>
      </c>
      <c r="BE47" s="980">
        <f t="shared" si="29"/>
        <v>7.7341735892294468</v>
      </c>
      <c r="BF47" s="980">
        <f t="shared" si="30"/>
        <v>9.0709583028529615</v>
      </c>
      <c r="BG47" s="980">
        <f t="shared" si="31"/>
        <v>9.0077794458850828</v>
      </c>
      <c r="BH47" s="980">
        <f t="shared" si="32"/>
        <v>6.5870728694936185</v>
      </c>
      <c r="BI47" s="980">
        <f t="shared" si="33"/>
        <v>5.6380638063806376</v>
      </c>
      <c r="BJ47" s="1114">
        <f t="shared" si="34"/>
        <v>5.3395399780941952</v>
      </c>
      <c r="BK47" s="1116">
        <f t="shared" si="35"/>
        <v>6.1391541609822644</v>
      </c>
      <c r="BL47" s="1278">
        <f t="shared" si="36"/>
        <v>3.8335158817086525</v>
      </c>
      <c r="BM47" s="1941">
        <f t="shared" si="37"/>
        <v>4.381161007667032</v>
      </c>
      <c r="BN47" s="2296">
        <f t="shared" si="38"/>
        <v>2.3923444976076556</v>
      </c>
      <c r="BO47" s="2364">
        <f t="shared" si="39"/>
        <v>3.3557046979865772</v>
      </c>
      <c r="BP47" s="2366">
        <f t="shared" si="39"/>
        <v>2.6625560538116591</v>
      </c>
    </row>
    <row r="48" spans="1:68" s="142" customFormat="1" ht="15.75" customHeight="1" x14ac:dyDescent="0.3">
      <c r="A48" s="149" t="s">
        <v>110</v>
      </c>
      <c r="B48" s="185" t="s">
        <v>111</v>
      </c>
      <c r="C48" s="150" t="s">
        <v>254</v>
      </c>
      <c r="D48" s="938">
        <v>278</v>
      </c>
      <c r="E48" s="939">
        <v>299</v>
      </c>
      <c r="F48" s="940">
        <v>288</v>
      </c>
      <c r="G48" s="939">
        <v>232</v>
      </c>
      <c r="H48" s="940">
        <v>241</v>
      </c>
      <c r="I48" s="939">
        <v>251</v>
      </c>
      <c r="J48" s="940">
        <v>246</v>
      </c>
      <c r="K48" s="939">
        <v>255</v>
      </c>
      <c r="L48" s="953">
        <v>288</v>
      </c>
      <c r="M48" s="953">
        <v>250</v>
      </c>
      <c r="N48" s="953">
        <v>277</v>
      </c>
      <c r="O48" s="953">
        <v>261</v>
      </c>
      <c r="P48" s="954">
        <v>229</v>
      </c>
      <c r="Q48" s="954">
        <v>193</v>
      </c>
      <c r="R48" s="1107">
        <v>171</v>
      </c>
      <c r="S48" s="1108">
        <v>156</v>
      </c>
      <c r="T48" s="1273">
        <v>135</v>
      </c>
      <c r="U48" s="1937">
        <v>139</v>
      </c>
      <c r="V48" s="2291">
        <v>103</v>
      </c>
      <c r="W48" s="1367">
        <v>106</v>
      </c>
      <c r="X48" s="2351">
        <v>105</v>
      </c>
      <c r="Y48" s="1273"/>
      <c r="Z48" s="961">
        <v>14928</v>
      </c>
      <c r="AA48" s="962">
        <v>15182</v>
      </c>
      <c r="AB48" s="962">
        <v>16294</v>
      </c>
      <c r="AC48" s="962">
        <v>16692</v>
      </c>
      <c r="AD48" s="962">
        <v>17018</v>
      </c>
      <c r="AE48" s="962">
        <v>17379</v>
      </c>
      <c r="AF48" s="962">
        <v>17843</v>
      </c>
      <c r="AG48" s="962">
        <v>18146</v>
      </c>
      <c r="AH48" s="962">
        <v>18174</v>
      </c>
      <c r="AI48" s="962">
        <v>18477</v>
      </c>
      <c r="AJ48" s="962">
        <v>18441</v>
      </c>
      <c r="AK48" s="962">
        <v>18333</v>
      </c>
      <c r="AL48" s="962">
        <v>19484</v>
      </c>
      <c r="AM48" s="962">
        <v>19490</v>
      </c>
      <c r="AN48" s="1110">
        <v>19605</v>
      </c>
      <c r="AO48" s="1111">
        <v>19774</v>
      </c>
      <c r="AP48" s="1391">
        <v>19718</v>
      </c>
      <c r="AQ48" s="1934">
        <v>19860</v>
      </c>
      <c r="AR48" s="2289">
        <v>20032</v>
      </c>
      <c r="AS48" s="1368">
        <v>20314</v>
      </c>
      <c r="AT48" s="2353">
        <v>20301</v>
      </c>
      <c r="AU48" s="1274"/>
      <c r="AV48" s="979">
        <f t="shared" si="20"/>
        <v>18.622722400857448</v>
      </c>
      <c r="AW48" s="980">
        <f t="shared" si="21"/>
        <v>19.694374917665655</v>
      </c>
      <c r="AX48" s="980">
        <f t="shared" si="22"/>
        <v>17.675217871609181</v>
      </c>
      <c r="AY48" s="980">
        <f t="shared" si="23"/>
        <v>13.898873711957823</v>
      </c>
      <c r="AZ48" s="980">
        <f t="shared" si="24"/>
        <v>14.161476084146198</v>
      </c>
      <c r="BA48" s="980">
        <f t="shared" si="25"/>
        <v>14.442718223142874</v>
      </c>
      <c r="BB48" s="980">
        <f t="shared" si="26"/>
        <v>13.786919240038111</v>
      </c>
      <c r="BC48" s="980">
        <f t="shared" si="27"/>
        <v>14.052683787060509</v>
      </c>
      <c r="BD48" s="980">
        <f t="shared" si="28"/>
        <v>15.846814130075934</v>
      </c>
      <c r="BE48" s="980">
        <f t="shared" si="29"/>
        <v>13.530335011094873</v>
      </c>
      <c r="BF48" s="980">
        <f t="shared" si="30"/>
        <v>15.020877392766119</v>
      </c>
      <c r="BG48" s="980">
        <f t="shared" si="31"/>
        <v>14.236622484045164</v>
      </c>
      <c r="BH48" s="980">
        <f t="shared" si="32"/>
        <v>11.753233422295216</v>
      </c>
      <c r="BI48" s="980">
        <f t="shared" si="33"/>
        <v>9.9025141097998972</v>
      </c>
      <c r="BJ48" s="1114">
        <f t="shared" si="34"/>
        <v>8.7222647283856158</v>
      </c>
      <c r="BK48" s="1116">
        <f t="shared" si="35"/>
        <v>7.8891473652270667</v>
      </c>
      <c r="BL48" s="1278">
        <f t="shared" si="36"/>
        <v>6.8465361598539403</v>
      </c>
      <c r="BM48" s="1941">
        <f t="shared" si="37"/>
        <v>6.998992950654582</v>
      </c>
      <c r="BN48" s="2296">
        <f t="shared" si="38"/>
        <v>5.1417731629392973</v>
      </c>
      <c r="BO48" s="2364">
        <f t="shared" si="39"/>
        <v>5.2180762036034265</v>
      </c>
      <c r="BP48" s="2366">
        <f t="shared" si="39"/>
        <v>5.1721590069454715</v>
      </c>
    </row>
    <row r="49" spans="1:68" s="142" customFormat="1" ht="15.75" customHeight="1" x14ac:dyDescent="0.3">
      <c r="A49" s="149" t="s">
        <v>112</v>
      </c>
      <c r="B49" s="185" t="s">
        <v>288</v>
      </c>
      <c r="C49" s="150" t="s">
        <v>253</v>
      </c>
      <c r="D49" s="938">
        <v>143</v>
      </c>
      <c r="E49" s="939">
        <v>146</v>
      </c>
      <c r="F49" s="940">
        <v>129</v>
      </c>
      <c r="G49" s="939">
        <v>137</v>
      </c>
      <c r="H49" s="940">
        <v>134</v>
      </c>
      <c r="I49" s="939">
        <v>135</v>
      </c>
      <c r="J49" s="940">
        <v>122</v>
      </c>
      <c r="K49" s="939">
        <v>126</v>
      </c>
      <c r="L49" s="953">
        <v>161</v>
      </c>
      <c r="M49" s="953">
        <v>167</v>
      </c>
      <c r="N49" s="953">
        <v>127</v>
      </c>
      <c r="O49" s="953">
        <v>122</v>
      </c>
      <c r="P49" s="954">
        <v>95</v>
      </c>
      <c r="Q49" s="954">
        <v>82</v>
      </c>
      <c r="R49" s="1107">
        <v>71</v>
      </c>
      <c r="S49" s="1108">
        <v>70</v>
      </c>
      <c r="T49" s="1273">
        <v>64</v>
      </c>
      <c r="U49" s="1937">
        <v>56</v>
      </c>
      <c r="V49" s="2291">
        <v>54</v>
      </c>
      <c r="W49" s="1367">
        <v>52</v>
      </c>
      <c r="X49" s="2351">
        <v>43</v>
      </c>
      <c r="Y49" s="1273"/>
      <c r="Z49" s="961">
        <v>4535</v>
      </c>
      <c r="AA49" s="962">
        <v>4514</v>
      </c>
      <c r="AB49" s="962">
        <v>4685</v>
      </c>
      <c r="AC49" s="962">
        <v>4609</v>
      </c>
      <c r="AD49" s="962">
        <v>4566</v>
      </c>
      <c r="AE49" s="962">
        <v>4484</v>
      </c>
      <c r="AF49" s="962">
        <v>4445</v>
      </c>
      <c r="AG49" s="962">
        <v>4461</v>
      </c>
      <c r="AH49" s="962">
        <v>4357</v>
      </c>
      <c r="AI49" s="962">
        <v>4171</v>
      </c>
      <c r="AJ49" s="962">
        <v>4053</v>
      </c>
      <c r="AK49" s="962">
        <v>3913</v>
      </c>
      <c r="AL49" s="962">
        <v>3941</v>
      </c>
      <c r="AM49" s="962">
        <v>3777</v>
      </c>
      <c r="AN49" s="1110">
        <v>3765</v>
      </c>
      <c r="AO49" s="1111">
        <v>3706</v>
      </c>
      <c r="AP49" s="1391">
        <v>3645</v>
      </c>
      <c r="AQ49" s="1934">
        <v>3570</v>
      </c>
      <c r="AR49" s="2289">
        <v>3602</v>
      </c>
      <c r="AS49" s="1368">
        <v>3578</v>
      </c>
      <c r="AT49" s="2353">
        <v>3559</v>
      </c>
      <c r="AU49" s="1274"/>
      <c r="AV49" s="979">
        <f t="shared" si="20"/>
        <v>31.532524807056227</v>
      </c>
      <c r="AW49" s="980">
        <f t="shared" si="21"/>
        <v>32.343819229065133</v>
      </c>
      <c r="AX49" s="980">
        <f t="shared" si="22"/>
        <v>27.534685165421557</v>
      </c>
      <c r="AY49" s="980">
        <f t="shared" si="23"/>
        <v>29.724452158819698</v>
      </c>
      <c r="AZ49" s="980">
        <f t="shared" si="24"/>
        <v>29.347349978098993</v>
      </c>
      <c r="BA49" s="980">
        <f t="shared" si="25"/>
        <v>30.107047279214985</v>
      </c>
      <c r="BB49" s="980">
        <f t="shared" si="26"/>
        <v>27.446569178852645</v>
      </c>
      <c r="BC49" s="980">
        <f t="shared" si="27"/>
        <v>28.244788164088771</v>
      </c>
      <c r="BD49" s="980">
        <f t="shared" si="28"/>
        <v>36.952031214138167</v>
      </c>
      <c r="BE49" s="980">
        <f t="shared" si="29"/>
        <v>40.038360105490291</v>
      </c>
      <c r="BF49" s="980">
        <f t="shared" si="30"/>
        <v>31.334813718233406</v>
      </c>
      <c r="BG49" s="980">
        <f t="shared" si="31"/>
        <v>31.178124201380015</v>
      </c>
      <c r="BH49" s="980">
        <f t="shared" si="32"/>
        <v>24.105556965237248</v>
      </c>
      <c r="BI49" s="980">
        <f t="shared" si="33"/>
        <v>21.710352131321155</v>
      </c>
      <c r="BJ49" s="1114">
        <f t="shared" si="34"/>
        <v>18.857901726427624</v>
      </c>
      <c r="BK49" s="1116">
        <f t="shared" si="35"/>
        <v>18.888289260658393</v>
      </c>
      <c r="BL49" s="1278">
        <f t="shared" si="36"/>
        <v>17.558299039780522</v>
      </c>
      <c r="BM49" s="1941">
        <f t="shared" si="37"/>
        <v>15.686274509803921</v>
      </c>
      <c r="BN49" s="2296">
        <f t="shared" si="38"/>
        <v>14.991671293725709</v>
      </c>
      <c r="BO49" s="2364">
        <f t="shared" si="39"/>
        <v>14.533258803801006</v>
      </c>
      <c r="BP49" s="2366">
        <f t="shared" si="39"/>
        <v>12.082045518404046</v>
      </c>
    </row>
    <row r="50" spans="1:68" s="142" customFormat="1" ht="15.75" customHeight="1" x14ac:dyDescent="0.3">
      <c r="A50" s="149" t="s">
        <v>114</v>
      </c>
      <c r="B50" s="185" t="s">
        <v>115</v>
      </c>
      <c r="C50" s="150" t="s">
        <v>253</v>
      </c>
      <c r="D50" s="938">
        <v>0</v>
      </c>
      <c r="E50" s="939">
        <v>0</v>
      </c>
      <c r="F50" s="940">
        <v>0</v>
      </c>
      <c r="G50" s="939">
        <v>0</v>
      </c>
      <c r="H50" s="940">
        <v>1</v>
      </c>
      <c r="I50" s="939">
        <v>0</v>
      </c>
      <c r="J50" s="940">
        <v>1</v>
      </c>
      <c r="K50" s="939">
        <v>1</v>
      </c>
      <c r="L50" s="953">
        <v>0</v>
      </c>
      <c r="M50" s="953">
        <v>0</v>
      </c>
      <c r="N50" s="953">
        <v>2</v>
      </c>
      <c r="O50" s="953">
        <v>0</v>
      </c>
      <c r="P50" s="954">
        <v>0</v>
      </c>
      <c r="Q50" s="954">
        <v>0</v>
      </c>
      <c r="R50" s="1107">
        <v>0</v>
      </c>
      <c r="S50" s="1108">
        <v>0</v>
      </c>
      <c r="T50" s="1273">
        <v>0</v>
      </c>
      <c r="U50" s="1937">
        <v>1</v>
      </c>
      <c r="V50" s="2291">
        <v>1</v>
      </c>
      <c r="W50" s="1367">
        <v>0</v>
      </c>
      <c r="X50" s="2351">
        <v>2</v>
      </c>
      <c r="Y50" s="1273"/>
      <c r="Z50" s="961">
        <v>133</v>
      </c>
      <c r="AA50" s="962">
        <v>130</v>
      </c>
      <c r="AB50" s="962">
        <v>143</v>
      </c>
      <c r="AC50" s="962">
        <v>150</v>
      </c>
      <c r="AD50" s="962">
        <v>151</v>
      </c>
      <c r="AE50" s="962">
        <v>157</v>
      </c>
      <c r="AF50" s="962">
        <v>149</v>
      </c>
      <c r="AG50" s="962">
        <v>138</v>
      </c>
      <c r="AH50" s="962">
        <v>135</v>
      </c>
      <c r="AI50" s="962">
        <v>122</v>
      </c>
      <c r="AJ50" s="962">
        <v>119</v>
      </c>
      <c r="AK50" s="962">
        <v>129</v>
      </c>
      <c r="AL50" s="962">
        <v>114</v>
      </c>
      <c r="AM50" s="962">
        <v>108</v>
      </c>
      <c r="AN50" s="1110">
        <v>99</v>
      </c>
      <c r="AO50" s="1111">
        <v>93</v>
      </c>
      <c r="AP50" s="1391">
        <v>93</v>
      </c>
      <c r="AQ50" s="1934">
        <v>86</v>
      </c>
      <c r="AR50" s="2289">
        <v>88</v>
      </c>
      <c r="AS50" s="1368">
        <v>81</v>
      </c>
      <c r="AT50" s="2353">
        <v>80</v>
      </c>
      <c r="AU50" s="1274"/>
      <c r="AV50" s="979">
        <f t="shared" si="20"/>
        <v>0</v>
      </c>
      <c r="AW50" s="980">
        <f t="shared" si="21"/>
        <v>0</v>
      </c>
      <c r="AX50" s="980">
        <f t="shared" si="22"/>
        <v>0</v>
      </c>
      <c r="AY50" s="980">
        <f t="shared" si="23"/>
        <v>0</v>
      </c>
      <c r="AZ50" s="980">
        <f t="shared" si="24"/>
        <v>6.6225165562913908</v>
      </c>
      <c r="BA50" s="980">
        <f t="shared" si="25"/>
        <v>0</v>
      </c>
      <c r="BB50" s="980">
        <f t="shared" si="26"/>
        <v>6.7114093959731544</v>
      </c>
      <c r="BC50" s="980">
        <f t="shared" si="27"/>
        <v>7.2463768115942031</v>
      </c>
      <c r="BD50" s="980">
        <f t="shared" si="28"/>
        <v>0</v>
      </c>
      <c r="BE50" s="980">
        <f t="shared" si="29"/>
        <v>0</v>
      </c>
      <c r="BF50" s="980">
        <f t="shared" si="30"/>
        <v>16.806722689075631</v>
      </c>
      <c r="BG50" s="980">
        <f t="shared" si="31"/>
        <v>0</v>
      </c>
      <c r="BH50" s="980">
        <f t="shared" si="32"/>
        <v>0</v>
      </c>
      <c r="BI50" s="980">
        <f t="shared" si="33"/>
        <v>0</v>
      </c>
      <c r="BJ50" s="1114">
        <f t="shared" si="34"/>
        <v>0</v>
      </c>
      <c r="BK50" s="1116">
        <f t="shared" si="35"/>
        <v>0</v>
      </c>
      <c r="BL50" s="1278">
        <f t="shared" si="36"/>
        <v>0</v>
      </c>
      <c r="BM50" s="1941">
        <f t="shared" si="37"/>
        <v>11.627906976744185</v>
      </c>
      <c r="BN50" s="2296">
        <f t="shared" si="38"/>
        <v>11.363636363636363</v>
      </c>
      <c r="BO50" s="2364">
        <f t="shared" si="39"/>
        <v>0</v>
      </c>
      <c r="BP50" s="2366">
        <f t="shared" si="39"/>
        <v>25</v>
      </c>
    </row>
    <row r="51" spans="1:68" s="142" customFormat="1" ht="15.75" customHeight="1" x14ac:dyDescent="0.3">
      <c r="A51" s="149" t="s">
        <v>118</v>
      </c>
      <c r="B51" s="185" t="s">
        <v>258</v>
      </c>
      <c r="C51" s="150" t="s">
        <v>252</v>
      </c>
      <c r="D51" s="938">
        <v>39</v>
      </c>
      <c r="E51" s="939">
        <v>43</v>
      </c>
      <c r="F51" s="940">
        <v>35</v>
      </c>
      <c r="G51" s="939">
        <v>31</v>
      </c>
      <c r="H51" s="940">
        <v>44</v>
      </c>
      <c r="I51" s="939">
        <v>40</v>
      </c>
      <c r="J51" s="940">
        <v>34</v>
      </c>
      <c r="K51" s="939">
        <v>40</v>
      </c>
      <c r="L51" s="953">
        <v>33</v>
      </c>
      <c r="M51" s="953">
        <v>26</v>
      </c>
      <c r="N51" s="953">
        <v>24</v>
      </c>
      <c r="O51" s="953">
        <v>32</v>
      </c>
      <c r="P51" s="954">
        <v>25</v>
      </c>
      <c r="Q51" s="954">
        <v>19</v>
      </c>
      <c r="R51" s="1107">
        <v>12</v>
      </c>
      <c r="S51" s="1108">
        <v>14</v>
      </c>
      <c r="T51" s="1273">
        <v>13</v>
      </c>
      <c r="U51" s="1937">
        <v>16</v>
      </c>
      <c r="V51" s="2291">
        <v>9</v>
      </c>
      <c r="W51" s="1367">
        <v>14</v>
      </c>
      <c r="X51" s="2351">
        <v>15</v>
      </c>
      <c r="Y51" s="1273"/>
      <c r="Z51" s="961">
        <v>1977</v>
      </c>
      <c r="AA51" s="962">
        <v>2019</v>
      </c>
      <c r="AB51" s="962">
        <v>1978</v>
      </c>
      <c r="AC51" s="962">
        <v>2030</v>
      </c>
      <c r="AD51" s="962">
        <v>2088</v>
      </c>
      <c r="AE51" s="962">
        <v>2152</v>
      </c>
      <c r="AF51" s="962">
        <v>2176</v>
      </c>
      <c r="AG51" s="962">
        <v>2177</v>
      </c>
      <c r="AH51" s="962">
        <v>2183</v>
      </c>
      <c r="AI51" s="962">
        <v>2180</v>
      </c>
      <c r="AJ51" s="962">
        <v>2162</v>
      </c>
      <c r="AK51" s="962">
        <v>2336</v>
      </c>
      <c r="AL51" s="962">
        <v>2303</v>
      </c>
      <c r="AM51" s="962">
        <v>2240</v>
      </c>
      <c r="AN51" s="1110">
        <v>2216</v>
      </c>
      <c r="AO51" s="1111">
        <v>2194</v>
      </c>
      <c r="AP51" s="1391">
        <v>2249</v>
      </c>
      <c r="AQ51" s="1934">
        <v>2257</v>
      </c>
      <c r="AR51" s="2289">
        <v>2166</v>
      </c>
      <c r="AS51" s="1368">
        <v>2211</v>
      </c>
      <c r="AT51" s="2353">
        <v>2198</v>
      </c>
      <c r="AU51" s="1274"/>
      <c r="AV51" s="979">
        <f t="shared" si="20"/>
        <v>19.726858877086492</v>
      </c>
      <c r="AW51" s="980">
        <f t="shared" si="21"/>
        <v>21.297672114908369</v>
      </c>
      <c r="AX51" s="980">
        <f t="shared" si="22"/>
        <v>17.694641051567242</v>
      </c>
      <c r="AY51" s="980">
        <f t="shared" si="23"/>
        <v>15.270935960591133</v>
      </c>
      <c r="AZ51" s="980">
        <f t="shared" si="24"/>
        <v>21.072796934865902</v>
      </c>
      <c r="BA51" s="980">
        <f t="shared" si="25"/>
        <v>18.587360594795541</v>
      </c>
      <c r="BB51" s="980">
        <f t="shared" si="26"/>
        <v>15.625</v>
      </c>
      <c r="BC51" s="980">
        <f t="shared" si="27"/>
        <v>18.373909049150207</v>
      </c>
      <c r="BD51" s="980">
        <f t="shared" si="28"/>
        <v>15.116811726981219</v>
      </c>
      <c r="BE51" s="980">
        <f t="shared" si="29"/>
        <v>11.926605504587156</v>
      </c>
      <c r="BF51" s="980">
        <f t="shared" si="30"/>
        <v>11.100832562442182</v>
      </c>
      <c r="BG51" s="980">
        <f t="shared" si="31"/>
        <v>13.698630136986301</v>
      </c>
      <c r="BH51" s="980">
        <f t="shared" si="32"/>
        <v>10.855405992184108</v>
      </c>
      <c r="BI51" s="980">
        <f t="shared" si="33"/>
        <v>8.4821428571428559</v>
      </c>
      <c r="BJ51" s="1114">
        <f t="shared" si="34"/>
        <v>5.4151624548736459</v>
      </c>
      <c r="BK51" s="1116">
        <f t="shared" si="35"/>
        <v>6.381039197812215</v>
      </c>
      <c r="BL51" s="1278">
        <f t="shared" si="36"/>
        <v>5.7803468208092479</v>
      </c>
      <c r="BM51" s="1941">
        <f t="shared" si="37"/>
        <v>7.0890562693841384</v>
      </c>
      <c r="BN51" s="2296">
        <f t="shared" si="38"/>
        <v>4.1551246537396125</v>
      </c>
      <c r="BO51" s="2364">
        <f t="shared" si="39"/>
        <v>6.3319764812302122</v>
      </c>
      <c r="BP51" s="2366">
        <f t="shared" si="39"/>
        <v>6.824385805277525</v>
      </c>
    </row>
    <row r="52" spans="1:68" s="142" customFormat="1" ht="15.75" customHeight="1" x14ac:dyDescent="0.3">
      <c r="A52" s="149" t="s">
        <v>120</v>
      </c>
      <c r="B52" s="185" t="s">
        <v>121</v>
      </c>
      <c r="C52" s="150" t="s">
        <v>252</v>
      </c>
      <c r="D52" s="938">
        <v>36</v>
      </c>
      <c r="E52" s="939">
        <v>50</v>
      </c>
      <c r="F52" s="940">
        <v>44</v>
      </c>
      <c r="G52" s="939">
        <v>36</v>
      </c>
      <c r="H52" s="940">
        <v>37</v>
      </c>
      <c r="I52" s="939">
        <v>31</v>
      </c>
      <c r="J52" s="940">
        <v>36</v>
      </c>
      <c r="K52" s="939">
        <v>45</v>
      </c>
      <c r="L52" s="953">
        <v>48</v>
      </c>
      <c r="M52" s="953">
        <v>37</v>
      </c>
      <c r="N52" s="953">
        <v>42</v>
      </c>
      <c r="O52" s="953">
        <v>43</v>
      </c>
      <c r="P52" s="954">
        <v>49</v>
      </c>
      <c r="Q52" s="954">
        <v>41</v>
      </c>
      <c r="R52" s="1107">
        <v>36</v>
      </c>
      <c r="S52" s="1108">
        <v>33</v>
      </c>
      <c r="T52" s="1273">
        <v>25</v>
      </c>
      <c r="U52" s="1937">
        <v>28</v>
      </c>
      <c r="V52" s="2291">
        <v>27</v>
      </c>
      <c r="W52" s="1367">
        <v>19</v>
      </c>
      <c r="X52" s="2351">
        <v>30</v>
      </c>
      <c r="Y52" s="1273"/>
      <c r="Z52" s="961">
        <v>2769</v>
      </c>
      <c r="AA52" s="962">
        <v>2829</v>
      </c>
      <c r="AB52" s="962">
        <v>3000</v>
      </c>
      <c r="AC52" s="962">
        <v>3181</v>
      </c>
      <c r="AD52" s="962">
        <v>3293</v>
      </c>
      <c r="AE52" s="962">
        <v>3365</v>
      </c>
      <c r="AF52" s="962">
        <v>3483</v>
      </c>
      <c r="AG52" s="962">
        <v>3470</v>
      </c>
      <c r="AH52" s="962">
        <v>3452</v>
      </c>
      <c r="AI52" s="962">
        <v>3519</v>
      </c>
      <c r="AJ52" s="962">
        <v>3505</v>
      </c>
      <c r="AK52" s="962">
        <v>3940</v>
      </c>
      <c r="AL52" s="962">
        <v>4025</v>
      </c>
      <c r="AM52" s="962">
        <v>4099</v>
      </c>
      <c r="AN52" s="1110">
        <v>4102</v>
      </c>
      <c r="AO52" s="1111">
        <v>4220</v>
      </c>
      <c r="AP52" s="1391">
        <v>4345</v>
      </c>
      <c r="AQ52" s="1934">
        <v>4298</v>
      </c>
      <c r="AR52" s="2289">
        <v>4302</v>
      </c>
      <c r="AS52" s="1368">
        <v>4386</v>
      </c>
      <c r="AT52" s="2353">
        <v>4385</v>
      </c>
      <c r="AU52" s="1274"/>
      <c r="AV52" s="979">
        <f t="shared" si="20"/>
        <v>13.001083423618635</v>
      </c>
      <c r="AW52" s="980">
        <f t="shared" si="21"/>
        <v>17.674089784376108</v>
      </c>
      <c r="AX52" s="980">
        <f t="shared" si="22"/>
        <v>14.666666666666666</v>
      </c>
      <c r="AY52" s="980">
        <f t="shared" si="23"/>
        <v>11.317195850361522</v>
      </c>
      <c r="AZ52" s="980">
        <f t="shared" si="24"/>
        <v>11.235955056179774</v>
      </c>
      <c r="BA52" s="980">
        <f t="shared" si="25"/>
        <v>9.212481426448738</v>
      </c>
      <c r="BB52" s="980">
        <f t="shared" si="26"/>
        <v>10.335917312661499</v>
      </c>
      <c r="BC52" s="980">
        <f t="shared" si="27"/>
        <v>12.968299711815563</v>
      </c>
      <c r="BD52" s="980">
        <f t="shared" si="28"/>
        <v>13.904982618771726</v>
      </c>
      <c r="BE52" s="980">
        <f t="shared" si="29"/>
        <v>10.514350667803352</v>
      </c>
      <c r="BF52" s="980">
        <f t="shared" si="30"/>
        <v>11.982881597717546</v>
      </c>
      <c r="BG52" s="980">
        <f t="shared" si="31"/>
        <v>10.913705583756345</v>
      </c>
      <c r="BH52" s="980">
        <f t="shared" si="32"/>
        <v>12.17391304347826</v>
      </c>
      <c r="BI52" s="980">
        <f t="shared" si="33"/>
        <v>10.00243961941937</v>
      </c>
      <c r="BJ52" s="1114">
        <f t="shared" si="34"/>
        <v>8.7762067284251586</v>
      </c>
      <c r="BK52" s="1116">
        <f t="shared" si="35"/>
        <v>7.8199052132701414</v>
      </c>
      <c r="BL52" s="1278">
        <f t="shared" si="36"/>
        <v>5.7537399309551214</v>
      </c>
      <c r="BM52" s="1941">
        <f t="shared" si="37"/>
        <v>6.5146579804560263</v>
      </c>
      <c r="BN52" s="2296">
        <f t="shared" si="38"/>
        <v>6.2761506276150625</v>
      </c>
      <c r="BO52" s="2364">
        <f t="shared" si="39"/>
        <v>4.3319653442772461</v>
      </c>
      <c r="BP52" s="2366">
        <f t="shared" si="39"/>
        <v>6.8415051311288488</v>
      </c>
    </row>
    <row r="53" spans="1:68" s="142" customFormat="1" ht="15.75" customHeight="1" x14ac:dyDescent="0.3">
      <c r="A53" s="149" t="s">
        <v>122</v>
      </c>
      <c r="B53" s="185" t="s">
        <v>259</v>
      </c>
      <c r="C53" s="150" t="s">
        <v>254</v>
      </c>
      <c r="D53" s="938">
        <v>9</v>
      </c>
      <c r="E53" s="939">
        <v>6</v>
      </c>
      <c r="F53" s="940">
        <v>12</v>
      </c>
      <c r="G53" s="939">
        <v>1</v>
      </c>
      <c r="H53" s="940">
        <v>8</v>
      </c>
      <c r="I53" s="939">
        <v>8</v>
      </c>
      <c r="J53" s="940">
        <v>9</v>
      </c>
      <c r="K53" s="939">
        <v>10</v>
      </c>
      <c r="L53" s="953">
        <v>15</v>
      </c>
      <c r="M53" s="953">
        <v>7</v>
      </c>
      <c r="N53" s="953">
        <v>13</v>
      </c>
      <c r="O53" s="953">
        <v>4</v>
      </c>
      <c r="P53" s="954">
        <v>8</v>
      </c>
      <c r="Q53" s="954">
        <v>7</v>
      </c>
      <c r="R53" s="1107">
        <v>7</v>
      </c>
      <c r="S53" s="1108">
        <v>7</v>
      </c>
      <c r="T53" s="1273">
        <v>4</v>
      </c>
      <c r="U53" s="1937">
        <v>2</v>
      </c>
      <c r="V53" s="2291">
        <v>2</v>
      </c>
      <c r="W53" s="1367">
        <v>3</v>
      </c>
      <c r="X53" s="2351">
        <v>4</v>
      </c>
      <c r="Y53" s="1273"/>
      <c r="Z53" s="961">
        <v>408</v>
      </c>
      <c r="AA53" s="962">
        <v>405</v>
      </c>
      <c r="AB53" s="962">
        <v>411</v>
      </c>
      <c r="AC53" s="962">
        <v>405</v>
      </c>
      <c r="AD53" s="962">
        <v>401</v>
      </c>
      <c r="AE53" s="962">
        <v>405</v>
      </c>
      <c r="AF53" s="962">
        <v>404</v>
      </c>
      <c r="AG53" s="962">
        <v>392</v>
      </c>
      <c r="AH53" s="962">
        <v>393</v>
      </c>
      <c r="AI53" s="962">
        <v>364</v>
      </c>
      <c r="AJ53" s="962">
        <v>355</v>
      </c>
      <c r="AK53" s="962">
        <v>372</v>
      </c>
      <c r="AL53" s="962">
        <v>388</v>
      </c>
      <c r="AM53" s="962">
        <v>367</v>
      </c>
      <c r="AN53" s="1110">
        <v>366</v>
      </c>
      <c r="AO53" s="1111">
        <v>386</v>
      </c>
      <c r="AP53" s="1391">
        <v>391</v>
      </c>
      <c r="AQ53" s="1934">
        <v>382</v>
      </c>
      <c r="AR53" s="2289">
        <v>348</v>
      </c>
      <c r="AS53" s="1368">
        <v>340</v>
      </c>
      <c r="AT53" s="2353">
        <v>353</v>
      </c>
      <c r="AU53" s="1274"/>
      <c r="AV53" s="979">
        <f t="shared" si="20"/>
        <v>22.058823529411764</v>
      </c>
      <c r="AW53" s="980">
        <f t="shared" si="21"/>
        <v>14.814814814814815</v>
      </c>
      <c r="AX53" s="980">
        <f t="shared" si="22"/>
        <v>29.197080291970803</v>
      </c>
      <c r="AY53" s="980">
        <f t="shared" si="23"/>
        <v>2.4691358024691357</v>
      </c>
      <c r="AZ53" s="980">
        <f t="shared" si="24"/>
        <v>19.950124688279303</v>
      </c>
      <c r="BA53" s="980">
        <f t="shared" si="25"/>
        <v>19.753086419753085</v>
      </c>
      <c r="BB53" s="980">
        <f t="shared" si="26"/>
        <v>22.277227722772277</v>
      </c>
      <c r="BC53" s="980">
        <f t="shared" si="27"/>
        <v>25.510204081632654</v>
      </c>
      <c r="BD53" s="980">
        <f t="shared" si="28"/>
        <v>38.167938931297712</v>
      </c>
      <c r="BE53" s="980">
        <f t="shared" si="29"/>
        <v>19.230769230769234</v>
      </c>
      <c r="BF53" s="980">
        <f t="shared" si="30"/>
        <v>36.619718309859152</v>
      </c>
      <c r="BG53" s="980">
        <f t="shared" si="31"/>
        <v>10.752688172043012</v>
      </c>
      <c r="BH53" s="980">
        <f t="shared" si="32"/>
        <v>20.618556701030929</v>
      </c>
      <c r="BI53" s="980">
        <f t="shared" si="33"/>
        <v>19.073569482288828</v>
      </c>
      <c r="BJ53" s="1114">
        <f t="shared" si="34"/>
        <v>19.125683060109289</v>
      </c>
      <c r="BK53" s="1116">
        <f t="shared" si="35"/>
        <v>18.134715025906733</v>
      </c>
      <c r="BL53" s="1278">
        <f t="shared" si="36"/>
        <v>10.230179028132993</v>
      </c>
      <c r="BM53" s="1941">
        <f t="shared" si="37"/>
        <v>5.2356020942408383</v>
      </c>
      <c r="BN53" s="2296">
        <f t="shared" si="38"/>
        <v>5.7471264367816088</v>
      </c>
      <c r="BO53" s="2364">
        <f t="shared" si="39"/>
        <v>8.8235294117647065</v>
      </c>
      <c r="BP53" s="2366">
        <f t="shared" si="39"/>
        <v>11.3314447592068</v>
      </c>
    </row>
    <row r="54" spans="1:68" s="142" customFormat="1" ht="15.75" customHeight="1" x14ac:dyDescent="0.3">
      <c r="A54" s="149" t="s">
        <v>124</v>
      </c>
      <c r="B54" s="185" t="s">
        <v>125</v>
      </c>
      <c r="C54" s="150" t="s">
        <v>255</v>
      </c>
      <c r="D54" s="938">
        <v>25</v>
      </c>
      <c r="E54" s="939">
        <v>25</v>
      </c>
      <c r="F54" s="940">
        <v>26</v>
      </c>
      <c r="G54" s="939">
        <v>27</v>
      </c>
      <c r="H54" s="940">
        <v>29</v>
      </c>
      <c r="I54" s="939">
        <v>35</v>
      </c>
      <c r="J54" s="940">
        <v>29</v>
      </c>
      <c r="K54" s="939">
        <v>26</v>
      </c>
      <c r="L54" s="953">
        <v>20</v>
      </c>
      <c r="M54" s="953">
        <v>24</v>
      </c>
      <c r="N54" s="953">
        <v>38</v>
      </c>
      <c r="O54" s="953">
        <v>20</v>
      </c>
      <c r="P54" s="954">
        <v>18</v>
      </c>
      <c r="Q54" s="954">
        <v>23</v>
      </c>
      <c r="R54" s="1107">
        <v>28</v>
      </c>
      <c r="S54" s="1108">
        <v>14</v>
      </c>
      <c r="T54" s="1273">
        <v>14</v>
      </c>
      <c r="U54" s="1937">
        <v>14</v>
      </c>
      <c r="V54" s="2291">
        <v>14</v>
      </c>
      <c r="W54" s="1367">
        <v>17</v>
      </c>
      <c r="X54" s="2351">
        <v>12</v>
      </c>
      <c r="Y54" s="1273"/>
      <c r="Z54" s="961">
        <v>1213</v>
      </c>
      <c r="AA54" s="962">
        <v>1245</v>
      </c>
      <c r="AB54" s="962">
        <v>1181</v>
      </c>
      <c r="AC54" s="962">
        <v>1228</v>
      </c>
      <c r="AD54" s="962">
        <v>1241</v>
      </c>
      <c r="AE54" s="962">
        <v>1277</v>
      </c>
      <c r="AF54" s="962">
        <v>1354</v>
      </c>
      <c r="AG54" s="962">
        <v>1400</v>
      </c>
      <c r="AH54" s="962">
        <v>1446</v>
      </c>
      <c r="AI54" s="962">
        <v>1517</v>
      </c>
      <c r="AJ54" s="962">
        <v>1526</v>
      </c>
      <c r="AK54" s="962">
        <v>1679</v>
      </c>
      <c r="AL54" s="962">
        <v>1660</v>
      </c>
      <c r="AM54" s="962">
        <v>1718</v>
      </c>
      <c r="AN54" s="1110">
        <v>1687</v>
      </c>
      <c r="AO54" s="1111">
        <v>1716</v>
      </c>
      <c r="AP54" s="1391">
        <v>1736</v>
      </c>
      <c r="AQ54" s="1934">
        <v>1780</v>
      </c>
      <c r="AR54" s="2289">
        <v>1798</v>
      </c>
      <c r="AS54" s="1368">
        <v>1815</v>
      </c>
      <c r="AT54" s="2353">
        <v>1852</v>
      </c>
      <c r="AU54" s="1274"/>
      <c r="AV54" s="979">
        <f t="shared" si="20"/>
        <v>20.610057708161584</v>
      </c>
      <c r="AW54" s="980">
        <f t="shared" si="21"/>
        <v>20.080321285140563</v>
      </c>
      <c r="AX54" s="980">
        <f t="shared" si="22"/>
        <v>22.01524132091448</v>
      </c>
      <c r="AY54" s="980">
        <f t="shared" si="23"/>
        <v>21.986970684039086</v>
      </c>
      <c r="AZ54" s="980">
        <f t="shared" si="24"/>
        <v>23.368251410153103</v>
      </c>
      <c r="BA54" s="980">
        <f t="shared" si="25"/>
        <v>27.4079874706343</v>
      </c>
      <c r="BB54" s="980">
        <f t="shared" si="26"/>
        <v>21.418020679468242</v>
      </c>
      <c r="BC54" s="980">
        <f t="shared" si="27"/>
        <v>18.571428571428573</v>
      </c>
      <c r="BD54" s="980">
        <f t="shared" si="28"/>
        <v>13.831258644536652</v>
      </c>
      <c r="BE54" s="980">
        <f t="shared" si="29"/>
        <v>15.820698747528017</v>
      </c>
      <c r="BF54" s="980">
        <f t="shared" si="30"/>
        <v>24.901703800786368</v>
      </c>
      <c r="BG54" s="980">
        <f t="shared" si="31"/>
        <v>11.911852293031567</v>
      </c>
      <c r="BH54" s="980">
        <f t="shared" si="32"/>
        <v>10.843373493975903</v>
      </c>
      <c r="BI54" s="980">
        <f t="shared" si="33"/>
        <v>13.387660069848661</v>
      </c>
      <c r="BJ54" s="1114">
        <f t="shared" si="34"/>
        <v>16.597510373443985</v>
      </c>
      <c r="BK54" s="1116">
        <f t="shared" si="35"/>
        <v>8.1585081585081589</v>
      </c>
      <c r="BL54" s="1278">
        <f t="shared" si="36"/>
        <v>8.064516129032258</v>
      </c>
      <c r="BM54" s="1941">
        <f t="shared" si="37"/>
        <v>7.8651685393258433</v>
      </c>
      <c r="BN54" s="2296">
        <f t="shared" si="38"/>
        <v>7.7864293659621797</v>
      </c>
      <c r="BO54" s="2364">
        <f t="shared" si="39"/>
        <v>9.3663911845730023</v>
      </c>
      <c r="BP54" s="2366">
        <f t="shared" si="39"/>
        <v>6.4794816414686824</v>
      </c>
    </row>
    <row r="55" spans="1:68" s="142" customFormat="1" ht="15.75" customHeight="1" x14ac:dyDescent="0.3">
      <c r="A55" s="149" t="s">
        <v>126</v>
      </c>
      <c r="B55" s="185" t="s">
        <v>127</v>
      </c>
      <c r="C55" s="150" t="s">
        <v>254</v>
      </c>
      <c r="D55" s="938">
        <v>17</v>
      </c>
      <c r="E55" s="939">
        <v>18</v>
      </c>
      <c r="F55" s="940">
        <v>30</v>
      </c>
      <c r="G55" s="939">
        <v>11</v>
      </c>
      <c r="H55" s="940">
        <v>18</v>
      </c>
      <c r="I55" s="939">
        <v>15</v>
      </c>
      <c r="J55" s="940">
        <v>17</v>
      </c>
      <c r="K55" s="939">
        <v>12</v>
      </c>
      <c r="L55" s="953">
        <v>10</v>
      </c>
      <c r="M55" s="953">
        <v>14</v>
      </c>
      <c r="N55" s="953">
        <v>13</v>
      </c>
      <c r="O55" s="953">
        <v>23</v>
      </c>
      <c r="P55" s="954">
        <v>17</v>
      </c>
      <c r="Q55" s="954">
        <v>13</v>
      </c>
      <c r="R55" s="1107">
        <v>7</v>
      </c>
      <c r="S55" s="1108">
        <v>10</v>
      </c>
      <c r="T55" s="1273">
        <v>6</v>
      </c>
      <c r="U55" s="1937">
        <v>8</v>
      </c>
      <c r="V55" s="2291">
        <v>5</v>
      </c>
      <c r="W55" s="1367">
        <v>6</v>
      </c>
      <c r="X55" s="2351">
        <v>7</v>
      </c>
      <c r="Y55" s="1273"/>
      <c r="Z55" s="961">
        <v>882</v>
      </c>
      <c r="AA55" s="962">
        <v>898</v>
      </c>
      <c r="AB55" s="962">
        <v>895</v>
      </c>
      <c r="AC55" s="962">
        <v>914</v>
      </c>
      <c r="AD55" s="962">
        <v>934</v>
      </c>
      <c r="AE55" s="962">
        <v>944</v>
      </c>
      <c r="AF55" s="962">
        <v>943</v>
      </c>
      <c r="AG55" s="962">
        <v>961</v>
      </c>
      <c r="AH55" s="962">
        <v>962</v>
      </c>
      <c r="AI55" s="962">
        <v>981</v>
      </c>
      <c r="AJ55" s="962">
        <v>974</v>
      </c>
      <c r="AK55" s="962">
        <v>1081</v>
      </c>
      <c r="AL55" s="962">
        <v>1069</v>
      </c>
      <c r="AM55" s="962">
        <v>1075</v>
      </c>
      <c r="AN55" s="1110">
        <v>1032</v>
      </c>
      <c r="AO55" s="1111">
        <v>1020</v>
      </c>
      <c r="AP55" s="1391">
        <v>1014</v>
      </c>
      <c r="AQ55" s="1934">
        <v>1006</v>
      </c>
      <c r="AR55" s="2289">
        <v>1017</v>
      </c>
      <c r="AS55" s="1368">
        <v>1004</v>
      </c>
      <c r="AT55" s="2353">
        <v>1042</v>
      </c>
      <c r="AU55" s="1274"/>
      <c r="AV55" s="979">
        <f t="shared" si="20"/>
        <v>19.274376417233558</v>
      </c>
      <c r="AW55" s="980">
        <f t="shared" si="21"/>
        <v>20.044543429844101</v>
      </c>
      <c r="AX55" s="980">
        <f t="shared" si="22"/>
        <v>33.519553072625698</v>
      </c>
      <c r="AY55" s="980">
        <f t="shared" si="23"/>
        <v>12.035010940919038</v>
      </c>
      <c r="AZ55" s="980">
        <f t="shared" si="24"/>
        <v>19.271948608137045</v>
      </c>
      <c r="BA55" s="980">
        <f t="shared" si="25"/>
        <v>15.889830508474576</v>
      </c>
      <c r="BB55" s="980">
        <f t="shared" si="26"/>
        <v>18.027571580063629</v>
      </c>
      <c r="BC55" s="980">
        <f t="shared" si="27"/>
        <v>12.486992715920914</v>
      </c>
      <c r="BD55" s="980">
        <f t="shared" si="28"/>
        <v>10.395010395010395</v>
      </c>
      <c r="BE55" s="980">
        <f t="shared" si="29"/>
        <v>14.271151885830784</v>
      </c>
      <c r="BF55" s="980">
        <f t="shared" si="30"/>
        <v>13.347022587268993</v>
      </c>
      <c r="BG55" s="980">
        <f t="shared" si="31"/>
        <v>21.276595744680851</v>
      </c>
      <c r="BH55" s="980">
        <f t="shared" si="32"/>
        <v>15.902712815715622</v>
      </c>
      <c r="BI55" s="980">
        <f t="shared" si="33"/>
        <v>12.093023255813954</v>
      </c>
      <c r="BJ55" s="1114">
        <f t="shared" si="34"/>
        <v>6.7829457364341081</v>
      </c>
      <c r="BK55" s="1116">
        <f t="shared" si="35"/>
        <v>9.8039215686274517</v>
      </c>
      <c r="BL55" s="1278">
        <f t="shared" si="36"/>
        <v>5.9171597633136095</v>
      </c>
      <c r="BM55" s="1941">
        <f t="shared" si="37"/>
        <v>7.9522862823061624</v>
      </c>
      <c r="BN55" s="2296">
        <f t="shared" si="38"/>
        <v>4.9164208456243852</v>
      </c>
      <c r="BO55" s="2364">
        <f t="shared" si="39"/>
        <v>5.9760956175298805</v>
      </c>
      <c r="BP55" s="2366">
        <f t="shared" si="39"/>
        <v>6.7178502879078694</v>
      </c>
    </row>
    <row r="56" spans="1:68" s="142" customFormat="1" ht="15.75" customHeight="1" x14ac:dyDescent="0.3">
      <c r="A56" s="149" t="s">
        <v>128</v>
      </c>
      <c r="B56" s="185" t="s">
        <v>129</v>
      </c>
      <c r="C56" s="150" t="s">
        <v>254</v>
      </c>
      <c r="D56" s="938">
        <v>22</v>
      </c>
      <c r="E56" s="939">
        <v>19</v>
      </c>
      <c r="F56" s="940">
        <v>23</v>
      </c>
      <c r="G56" s="939">
        <v>25</v>
      </c>
      <c r="H56" s="940">
        <v>20</v>
      </c>
      <c r="I56" s="939">
        <v>12</v>
      </c>
      <c r="J56" s="940">
        <v>16</v>
      </c>
      <c r="K56" s="939">
        <v>13</v>
      </c>
      <c r="L56" s="953">
        <v>11</v>
      </c>
      <c r="M56" s="953">
        <v>12</v>
      </c>
      <c r="N56" s="953">
        <v>9</v>
      </c>
      <c r="O56" s="953">
        <v>9</v>
      </c>
      <c r="P56" s="954">
        <v>9</v>
      </c>
      <c r="Q56" s="954">
        <v>12</v>
      </c>
      <c r="R56" s="1107">
        <v>4</v>
      </c>
      <c r="S56" s="1108">
        <v>8</v>
      </c>
      <c r="T56" s="1273">
        <v>5</v>
      </c>
      <c r="U56" s="1937">
        <v>2</v>
      </c>
      <c r="V56" s="2291">
        <v>4</v>
      </c>
      <c r="W56" s="1367">
        <v>6</v>
      </c>
      <c r="X56" s="2351">
        <v>11</v>
      </c>
      <c r="Y56" s="1273"/>
      <c r="Z56" s="961">
        <v>651</v>
      </c>
      <c r="AA56" s="962">
        <v>656</v>
      </c>
      <c r="AB56" s="962">
        <v>639</v>
      </c>
      <c r="AC56" s="962">
        <v>651</v>
      </c>
      <c r="AD56" s="962">
        <v>638</v>
      </c>
      <c r="AE56" s="962">
        <v>627</v>
      </c>
      <c r="AF56" s="962">
        <v>598</v>
      </c>
      <c r="AG56" s="962">
        <v>557</v>
      </c>
      <c r="AH56" s="962">
        <v>532</v>
      </c>
      <c r="AI56" s="962">
        <v>531</v>
      </c>
      <c r="AJ56" s="962">
        <v>512</v>
      </c>
      <c r="AK56" s="962">
        <v>494</v>
      </c>
      <c r="AL56" s="962">
        <v>510</v>
      </c>
      <c r="AM56" s="962">
        <v>505</v>
      </c>
      <c r="AN56" s="1110">
        <v>480</v>
      </c>
      <c r="AO56" s="1111">
        <v>474</v>
      </c>
      <c r="AP56" s="1391">
        <v>471</v>
      </c>
      <c r="AQ56" s="1934">
        <v>468</v>
      </c>
      <c r="AR56" s="2289">
        <v>455</v>
      </c>
      <c r="AS56" s="1368">
        <v>441</v>
      </c>
      <c r="AT56" s="2353">
        <v>437</v>
      </c>
      <c r="AU56" s="1274"/>
      <c r="AV56" s="979">
        <f t="shared" si="20"/>
        <v>33.794162826420894</v>
      </c>
      <c r="AW56" s="980">
        <f t="shared" si="21"/>
        <v>28.963414634146343</v>
      </c>
      <c r="AX56" s="980">
        <f t="shared" si="22"/>
        <v>35.993740219092331</v>
      </c>
      <c r="AY56" s="980">
        <f t="shared" si="23"/>
        <v>38.402457757296467</v>
      </c>
      <c r="AZ56" s="980">
        <f t="shared" si="24"/>
        <v>31.347962382445139</v>
      </c>
      <c r="BA56" s="980">
        <f t="shared" si="25"/>
        <v>19.138755980861244</v>
      </c>
      <c r="BB56" s="980">
        <f t="shared" si="26"/>
        <v>26.755852842809364</v>
      </c>
      <c r="BC56" s="980">
        <f t="shared" si="27"/>
        <v>23.339317773788149</v>
      </c>
      <c r="BD56" s="980">
        <f t="shared" si="28"/>
        <v>20.676691729323306</v>
      </c>
      <c r="BE56" s="980">
        <f t="shared" si="29"/>
        <v>22.598870056497177</v>
      </c>
      <c r="BF56" s="980">
        <f t="shared" si="30"/>
        <v>17.578125</v>
      </c>
      <c r="BG56" s="980">
        <f t="shared" si="31"/>
        <v>18.218623481781375</v>
      </c>
      <c r="BH56" s="980">
        <f t="shared" si="32"/>
        <v>17.647058823529413</v>
      </c>
      <c r="BI56" s="980">
        <f t="shared" si="33"/>
        <v>23.762376237623762</v>
      </c>
      <c r="BJ56" s="1114">
        <f t="shared" si="34"/>
        <v>8.3333333333333339</v>
      </c>
      <c r="BK56" s="1116">
        <f t="shared" si="35"/>
        <v>16.877637130801688</v>
      </c>
      <c r="BL56" s="1278">
        <f t="shared" si="36"/>
        <v>10.615711252653927</v>
      </c>
      <c r="BM56" s="1941">
        <f t="shared" si="37"/>
        <v>4.2735042735042743</v>
      </c>
      <c r="BN56" s="2296">
        <f t="shared" si="38"/>
        <v>8.791208791208792</v>
      </c>
      <c r="BO56" s="2364">
        <f t="shared" si="39"/>
        <v>13.605442176870747</v>
      </c>
      <c r="BP56" s="2366">
        <f t="shared" si="39"/>
        <v>25.17162471395881</v>
      </c>
    </row>
    <row r="57" spans="1:68" s="142" customFormat="1" ht="15.75" customHeight="1" x14ac:dyDescent="0.3">
      <c r="A57" s="149" t="s">
        <v>130</v>
      </c>
      <c r="B57" s="185" t="s">
        <v>131</v>
      </c>
      <c r="C57" s="150" t="s">
        <v>256</v>
      </c>
      <c r="D57" s="938">
        <v>52</v>
      </c>
      <c r="E57" s="939">
        <v>41</v>
      </c>
      <c r="F57" s="940">
        <v>37</v>
      </c>
      <c r="G57" s="939">
        <v>28</v>
      </c>
      <c r="H57" s="940">
        <v>31</v>
      </c>
      <c r="I57" s="939">
        <v>33</v>
      </c>
      <c r="J57" s="940">
        <v>38</v>
      </c>
      <c r="K57" s="939">
        <v>37</v>
      </c>
      <c r="L57" s="953">
        <v>40</v>
      </c>
      <c r="M57" s="953">
        <v>50</v>
      </c>
      <c r="N57" s="953">
        <v>37</v>
      </c>
      <c r="O57" s="953">
        <v>40</v>
      </c>
      <c r="P57" s="954">
        <v>42</v>
      </c>
      <c r="Q57" s="954">
        <v>38</v>
      </c>
      <c r="R57" s="1107">
        <v>42</v>
      </c>
      <c r="S57" s="1108">
        <v>25</v>
      </c>
      <c r="T57" s="1273">
        <v>26</v>
      </c>
      <c r="U57" s="1937">
        <v>38</v>
      </c>
      <c r="V57" s="2291">
        <v>18</v>
      </c>
      <c r="W57" s="1367">
        <v>23</v>
      </c>
      <c r="X57" s="2351">
        <v>28</v>
      </c>
      <c r="Y57" s="1273"/>
      <c r="Z57" s="961">
        <v>1639</v>
      </c>
      <c r="AA57" s="962">
        <v>1597</v>
      </c>
      <c r="AB57" s="962">
        <v>1533</v>
      </c>
      <c r="AC57" s="962">
        <v>1505</v>
      </c>
      <c r="AD57" s="962">
        <v>1496</v>
      </c>
      <c r="AE57" s="962">
        <v>1501</v>
      </c>
      <c r="AF57" s="962">
        <v>1494</v>
      </c>
      <c r="AG57" s="962">
        <v>1487</v>
      </c>
      <c r="AH57" s="962">
        <v>1427</v>
      </c>
      <c r="AI57" s="962">
        <v>1382</v>
      </c>
      <c r="AJ57" s="962">
        <v>1342</v>
      </c>
      <c r="AK57" s="962">
        <v>1427</v>
      </c>
      <c r="AL57" s="962">
        <v>1452</v>
      </c>
      <c r="AM57" s="962">
        <v>1382</v>
      </c>
      <c r="AN57" s="1110">
        <v>1350</v>
      </c>
      <c r="AO57" s="1111">
        <v>1280</v>
      </c>
      <c r="AP57" s="1391">
        <v>1272</v>
      </c>
      <c r="AQ57" s="1934">
        <v>1255</v>
      </c>
      <c r="AR57" s="2289">
        <v>1236</v>
      </c>
      <c r="AS57" s="1368">
        <v>1226</v>
      </c>
      <c r="AT57" s="2353">
        <v>1225</v>
      </c>
      <c r="AU57" s="1274"/>
      <c r="AV57" s="979">
        <f t="shared" si="20"/>
        <v>31.726662599145818</v>
      </c>
      <c r="AW57" s="980">
        <f t="shared" si="21"/>
        <v>25.673137132122733</v>
      </c>
      <c r="AX57" s="980">
        <f t="shared" si="22"/>
        <v>24.135681669928243</v>
      </c>
      <c r="AY57" s="980">
        <f t="shared" si="23"/>
        <v>18.604651162790699</v>
      </c>
      <c r="AZ57" s="980">
        <f t="shared" si="24"/>
        <v>20.72192513368984</v>
      </c>
      <c r="BA57" s="980">
        <f t="shared" si="25"/>
        <v>21.985343104596936</v>
      </c>
      <c r="BB57" s="980">
        <f t="shared" si="26"/>
        <v>25.435073627844712</v>
      </c>
      <c r="BC57" s="980">
        <f t="shared" si="27"/>
        <v>24.882313382649631</v>
      </c>
      <c r="BD57" s="980">
        <f t="shared" si="28"/>
        <v>28.030833917309039</v>
      </c>
      <c r="BE57" s="980">
        <f t="shared" si="29"/>
        <v>36.179450072358897</v>
      </c>
      <c r="BF57" s="980">
        <f t="shared" si="30"/>
        <v>27.570789865871834</v>
      </c>
      <c r="BG57" s="980">
        <f t="shared" si="31"/>
        <v>28.030833917309039</v>
      </c>
      <c r="BH57" s="980">
        <f t="shared" si="32"/>
        <v>28.925619834710744</v>
      </c>
      <c r="BI57" s="980">
        <f t="shared" si="33"/>
        <v>27.496382054992765</v>
      </c>
      <c r="BJ57" s="1114">
        <f t="shared" si="34"/>
        <v>31.111111111111111</v>
      </c>
      <c r="BK57" s="1116">
        <f t="shared" si="35"/>
        <v>19.53125</v>
      </c>
      <c r="BL57" s="1278">
        <f t="shared" si="36"/>
        <v>20.440251572327043</v>
      </c>
      <c r="BM57" s="1941">
        <f t="shared" si="37"/>
        <v>30.278884462151396</v>
      </c>
      <c r="BN57" s="2296">
        <f t="shared" si="38"/>
        <v>14.563106796116505</v>
      </c>
      <c r="BO57" s="2364">
        <f t="shared" si="39"/>
        <v>18.760195758564436</v>
      </c>
      <c r="BP57" s="2366">
        <f t="shared" si="39"/>
        <v>22.857142857142858</v>
      </c>
    </row>
    <row r="58" spans="1:68" s="142" customFormat="1" ht="15.75" customHeight="1" x14ac:dyDescent="0.3">
      <c r="A58" s="149" t="s">
        <v>132</v>
      </c>
      <c r="B58" s="185" t="s">
        <v>133</v>
      </c>
      <c r="C58" s="150" t="s">
        <v>255</v>
      </c>
      <c r="D58" s="938">
        <v>91</v>
      </c>
      <c r="E58" s="939">
        <v>107</v>
      </c>
      <c r="F58" s="940">
        <v>105</v>
      </c>
      <c r="G58" s="939">
        <v>93</v>
      </c>
      <c r="H58" s="940">
        <v>103</v>
      </c>
      <c r="I58" s="939">
        <v>88</v>
      </c>
      <c r="J58" s="940">
        <v>120</v>
      </c>
      <c r="K58" s="939">
        <v>117</v>
      </c>
      <c r="L58" s="953">
        <v>125</v>
      </c>
      <c r="M58" s="953">
        <v>146</v>
      </c>
      <c r="N58" s="953">
        <v>110</v>
      </c>
      <c r="O58" s="953">
        <v>110</v>
      </c>
      <c r="P58" s="954">
        <v>95</v>
      </c>
      <c r="Q58" s="954">
        <v>82</v>
      </c>
      <c r="R58" s="1107">
        <v>109</v>
      </c>
      <c r="S58" s="1108">
        <v>85</v>
      </c>
      <c r="T58" s="1273">
        <v>83</v>
      </c>
      <c r="U58" s="1937">
        <v>61</v>
      </c>
      <c r="V58" s="2291">
        <v>80</v>
      </c>
      <c r="W58" s="1367">
        <v>72</v>
      </c>
      <c r="X58" s="2351">
        <v>75</v>
      </c>
      <c r="Y58" s="1273"/>
      <c r="Z58" s="961">
        <v>7056</v>
      </c>
      <c r="AA58" s="962">
        <v>7253</v>
      </c>
      <c r="AB58" s="962">
        <v>10496</v>
      </c>
      <c r="AC58" s="962">
        <v>12325</v>
      </c>
      <c r="AD58" s="962">
        <v>13499</v>
      </c>
      <c r="AE58" s="962">
        <v>14909</v>
      </c>
      <c r="AF58" s="962">
        <v>16258</v>
      </c>
      <c r="AG58" s="962">
        <v>17149</v>
      </c>
      <c r="AH58" s="962">
        <v>17671</v>
      </c>
      <c r="AI58" s="962">
        <v>18501</v>
      </c>
      <c r="AJ58" s="962">
        <v>19322</v>
      </c>
      <c r="AK58" s="962">
        <v>20223</v>
      </c>
      <c r="AL58" s="962">
        <v>21819</v>
      </c>
      <c r="AM58" s="962">
        <v>23326</v>
      </c>
      <c r="AN58" s="1110">
        <v>24410</v>
      </c>
      <c r="AO58" s="1111">
        <v>26063</v>
      </c>
      <c r="AP58" s="1391">
        <v>27190</v>
      </c>
      <c r="AQ58" s="1934">
        <v>28290</v>
      </c>
      <c r="AR58" s="2289">
        <v>29154</v>
      </c>
      <c r="AS58" s="1368">
        <v>29996</v>
      </c>
      <c r="AT58" s="2353">
        <v>31150</v>
      </c>
      <c r="AU58" s="1274"/>
      <c r="AV58" s="979">
        <f t="shared" si="20"/>
        <v>12.896825396825395</v>
      </c>
      <c r="AW58" s="980">
        <f t="shared" si="21"/>
        <v>14.752516200193023</v>
      </c>
      <c r="AX58" s="980">
        <f t="shared" si="22"/>
        <v>10.003810975609756</v>
      </c>
      <c r="AY58" s="980">
        <f t="shared" si="23"/>
        <v>7.5456389452332662</v>
      </c>
      <c r="AZ58" s="980">
        <f t="shared" si="24"/>
        <v>7.6301948292466104</v>
      </c>
      <c r="BA58" s="980">
        <f t="shared" si="25"/>
        <v>5.9024750150915555</v>
      </c>
      <c r="BB58" s="980">
        <f t="shared" si="26"/>
        <v>7.3809816705621847</v>
      </c>
      <c r="BC58" s="980">
        <f t="shared" si="27"/>
        <v>6.8225552510350465</v>
      </c>
      <c r="BD58" s="980">
        <f t="shared" si="28"/>
        <v>7.073736630637768</v>
      </c>
      <c r="BE58" s="980">
        <f t="shared" si="29"/>
        <v>7.8914653261985839</v>
      </c>
      <c r="BF58" s="980">
        <f t="shared" si="30"/>
        <v>5.6929924438463928</v>
      </c>
      <c r="BG58" s="980">
        <f t="shared" si="31"/>
        <v>5.4393512337437571</v>
      </c>
      <c r="BH58" s="980">
        <f t="shared" si="32"/>
        <v>4.3540033915394831</v>
      </c>
      <c r="BI58" s="980">
        <f t="shared" si="33"/>
        <v>3.5153905513161279</v>
      </c>
      <c r="BJ58" s="1114">
        <f t="shared" si="34"/>
        <v>4.4653830397378131</v>
      </c>
      <c r="BK58" s="1116">
        <f t="shared" si="35"/>
        <v>3.2613283198403868</v>
      </c>
      <c r="BL58" s="1278">
        <f t="shared" si="36"/>
        <v>3.052592865023906</v>
      </c>
      <c r="BM58" s="1941">
        <f t="shared" si="37"/>
        <v>2.1562389536938849</v>
      </c>
      <c r="BN58" s="2296">
        <f t="shared" si="38"/>
        <v>2.7440488440694244</v>
      </c>
      <c r="BO58" s="2364">
        <f t="shared" si="39"/>
        <v>2.4003200426723561</v>
      </c>
      <c r="BP58" s="2366">
        <f t="shared" si="39"/>
        <v>2.407704654895666</v>
      </c>
    </row>
    <row r="59" spans="1:68" s="142" customFormat="1" ht="15.75" customHeight="1" x14ac:dyDescent="0.3">
      <c r="A59" s="149" t="s">
        <v>134</v>
      </c>
      <c r="B59" s="185" t="s">
        <v>135</v>
      </c>
      <c r="C59" s="150" t="s">
        <v>255</v>
      </c>
      <c r="D59" s="938">
        <v>53</v>
      </c>
      <c r="E59" s="939">
        <v>42</v>
      </c>
      <c r="F59" s="940">
        <v>46</v>
      </c>
      <c r="G59" s="939">
        <v>45</v>
      </c>
      <c r="H59" s="940">
        <v>40</v>
      </c>
      <c r="I59" s="939">
        <v>37</v>
      </c>
      <c r="J59" s="940">
        <v>36</v>
      </c>
      <c r="K59" s="939">
        <v>37</v>
      </c>
      <c r="L59" s="953">
        <v>46</v>
      </c>
      <c r="M59" s="953">
        <v>40</v>
      </c>
      <c r="N59" s="953">
        <v>40</v>
      </c>
      <c r="O59" s="953">
        <v>34</v>
      </c>
      <c r="P59" s="954">
        <v>40</v>
      </c>
      <c r="Q59" s="954">
        <v>27</v>
      </c>
      <c r="R59" s="1107">
        <v>29</v>
      </c>
      <c r="S59" s="1108">
        <v>25</v>
      </c>
      <c r="T59" s="1273">
        <v>25</v>
      </c>
      <c r="U59" s="1937">
        <v>18</v>
      </c>
      <c r="V59" s="2291">
        <v>20</v>
      </c>
      <c r="W59" s="1367">
        <v>11</v>
      </c>
      <c r="X59" s="2351">
        <v>18</v>
      </c>
      <c r="Y59" s="1273"/>
      <c r="Z59" s="961">
        <v>1489</v>
      </c>
      <c r="AA59" s="962">
        <v>1508</v>
      </c>
      <c r="AB59" s="962">
        <v>1675</v>
      </c>
      <c r="AC59" s="962">
        <v>1731</v>
      </c>
      <c r="AD59" s="962">
        <v>1791</v>
      </c>
      <c r="AE59" s="962">
        <v>1852</v>
      </c>
      <c r="AF59" s="962">
        <v>1882</v>
      </c>
      <c r="AG59" s="962">
        <v>1913</v>
      </c>
      <c r="AH59" s="962">
        <v>1892</v>
      </c>
      <c r="AI59" s="962">
        <v>1847</v>
      </c>
      <c r="AJ59" s="962">
        <v>1881</v>
      </c>
      <c r="AK59" s="962">
        <v>1976</v>
      </c>
      <c r="AL59" s="962">
        <v>1944</v>
      </c>
      <c r="AM59" s="962">
        <v>1897</v>
      </c>
      <c r="AN59" s="1110">
        <v>1858</v>
      </c>
      <c r="AO59" s="1111">
        <v>1861</v>
      </c>
      <c r="AP59" s="1391">
        <v>1895</v>
      </c>
      <c r="AQ59" s="1934">
        <v>1887</v>
      </c>
      <c r="AR59" s="2289">
        <v>1900</v>
      </c>
      <c r="AS59" s="1368">
        <v>1948</v>
      </c>
      <c r="AT59" s="2353">
        <v>2020</v>
      </c>
      <c r="AU59" s="1274"/>
      <c r="AV59" s="979">
        <f t="shared" si="20"/>
        <v>35.594358629952985</v>
      </c>
      <c r="AW59" s="980">
        <f t="shared" si="21"/>
        <v>27.851458885941646</v>
      </c>
      <c r="AX59" s="980">
        <f t="shared" si="22"/>
        <v>27.46268656716418</v>
      </c>
      <c r="AY59" s="980">
        <f t="shared" si="23"/>
        <v>25.996533795493935</v>
      </c>
      <c r="AZ59" s="980">
        <f t="shared" si="24"/>
        <v>22.333891680625349</v>
      </c>
      <c r="BA59" s="980">
        <f t="shared" si="25"/>
        <v>19.978401727861769</v>
      </c>
      <c r="BB59" s="980">
        <f t="shared" si="26"/>
        <v>19.128586609989373</v>
      </c>
      <c r="BC59" s="980">
        <f t="shared" si="27"/>
        <v>19.341348667015161</v>
      </c>
      <c r="BD59" s="980">
        <f t="shared" si="28"/>
        <v>24.312896405919663</v>
      </c>
      <c r="BE59" s="980">
        <f t="shared" si="29"/>
        <v>21.656740660530588</v>
      </c>
      <c r="BF59" s="980">
        <f t="shared" si="30"/>
        <v>21.26528442317916</v>
      </c>
      <c r="BG59" s="980">
        <f t="shared" si="31"/>
        <v>17.206477732793523</v>
      </c>
      <c r="BH59" s="980">
        <f t="shared" si="32"/>
        <v>20.5761316872428</v>
      </c>
      <c r="BI59" s="980">
        <f t="shared" si="33"/>
        <v>14.232999472851873</v>
      </c>
      <c r="BJ59" s="1114">
        <f t="shared" si="34"/>
        <v>15.608180839612487</v>
      </c>
      <c r="BK59" s="1116">
        <f t="shared" si="35"/>
        <v>13.433637829124127</v>
      </c>
      <c r="BL59" s="1278">
        <f t="shared" si="36"/>
        <v>13.192612137203167</v>
      </c>
      <c r="BM59" s="1941">
        <f t="shared" si="37"/>
        <v>9.5389507154213025</v>
      </c>
      <c r="BN59" s="2296">
        <f t="shared" si="38"/>
        <v>10.526315789473683</v>
      </c>
      <c r="BO59" s="2364">
        <f t="shared" si="39"/>
        <v>5.6468172484599597</v>
      </c>
      <c r="BP59" s="2366">
        <f t="shared" si="39"/>
        <v>8.9108910891089099</v>
      </c>
    </row>
    <row r="60" spans="1:68" s="142" customFormat="1" ht="15.75" customHeight="1" x14ac:dyDescent="0.3">
      <c r="A60" s="149" t="s">
        <v>136</v>
      </c>
      <c r="B60" s="185" t="s">
        <v>137</v>
      </c>
      <c r="C60" s="150" t="s">
        <v>254</v>
      </c>
      <c r="D60" s="938">
        <v>27</v>
      </c>
      <c r="E60" s="939">
        <v>20</v>
      </c>
      <c r="F60" s="940">
        <v>13</v>
      </c>
      <c r="G60" s="939">
        <v>14</v>
      </c>
      <c r="H60" s="940">
        <v>17</v>
      </c>
      <c r="I60" s="939">
        <v>20</v>
      </c>
      <c r="J60" s="940">
        <v>18</v>
      </c>
      <c r="K60" s="939">
        <v>29</v>
      </c>
      <c r="L60" s="953">
        <v>24</v>
      </c>
      <c r="M60" s="953">
        <v>17</v>
      </c>
      <c r="N60" s="953">
        <v>19</v>
      </c>
      <c r="O60" s="953">
        <v>16</v>
      </c>
      <c r="P60" s="954">
        <v>21</v>
      </c>
      <c r="Q60" s="954">
        <v>16</v>
      </c>
      <c r="R60" s="1107">
        <v>22</v>
      </c>
      <c r="S60" s="1108">
        <v>7</v>
      </c>
      <c r="T60" s="1273">
        <v>9</v>
      </c>
      <c r="U60" s="1937">
        <v>10</v>
      </c>
      <c r="V60" s="2291">
        <v>9</v>
      </c>
      <c r="W60" s="1367">
        <v>13</v>
      </c>
      <c r="X60" s="2351">
        <v>6</v>
      </c>
      <c r="Y60" s="1273"/>
      <c r="Z60" s="961">
        <v>769</v>
      </c>
      <c r="AA60" s="962">
        <v>770</v>
      </c>
      <c r="AB60" s="962">
        <v>821</v>
      </c>
      <c r="AC60" s="962">
        <v>830</v>
      </c>
      <c r="AD60" s="962">
        <v>835</v>
      </c>
      <c r="AE60" s="962">
        <v>805</v>
      </c>
      <c r="AF60" s="962">
        <v>784</v>
      </c>
      <c r="AG60" s="962">
        <v>791</v>
      </c>
      <c r="AH60" s="962">
        <v>749</v>
      </c>
      <c r="AI60" s="962">
        <v>697</v>
      </c>
      <c r="AJ60" s="962">
        <v>669</v>
      </c>
      <c r="AK60" s="962">
        <v>674</v>
      </c>
      <c r="AL60" s="962">
        <v>689</v>
      </c>
      <c r="AM60" s="962">
        <v>662</v>
      </c>
      <c r="AN60" s="1110">
        <v>652</v>
      </c>
      <c r="AO60" s="1111">
        <v>627</v>
      </c>
      <c r="AP60" s="1391">
        <v>645</v>
      </c>
      <c r="AQ60" s="1934">
        <v>627</v>
      </c>
      <c r="AR60" s="2289">
        <v>634</v>
      </c>
      <c r="AS60" s="1368">
        <v>635</v>
      </c>
      <c r="AT60" s="2353">
        <v>597</v>
      </c>
      <c r="AU60" s="1274"/>
      <c r="AV60" s="979">
        <f t="shared" si="20"/>
        <v>35.110533159947984</v>
      </c>
      <c r="AW60" s="980">
        <f t="shared" si="21"/>
        <v>25.974025974025977</v>
      </c>
      <c r="AX60" s="980">
        <f t="shared" si="22"/>
        <v>15.834348355663822</v>
      </c>
      <c r="AY60" s="980">
        <f t="shared" si="23"/>
        <v>16.867469879518072</v>
      </c>
      <c r="AZ60" s="980">
        <f t="shared" si="24"/>
        <v>20.359281437125748</v>
      </c>
      <c r="BA60" s="980">
        <f t="shared" si="25"/>
        <v>24.844720496894407</v>
      </c>
      <c r="BB60" s="980">
        <f t="shared" si="26"/>
        <v>22.95918367346939</v>
      </c>
      <c r="BC60" s="980">
        <f t="shared" si="27"/>
        <v>36.662452591656134</v>
      </c>
      <c r="BD60" s="980">
        <f t="shared" si="28"/>
        <v>32.042723631508679</v>
      </c>
      <c r="BE60" s="980">
        <f t="shared" si="29"/>
        <v>24.390243902439025</v>
      </c>
      <c r="BF60" s="980">
        <f t="shared" si="30"/>
        <v>28.400597907324364</v>
      </c>
      <c r="BG60" s="980">
        <f t="shared" si="31"/>
        <v>23.738872403560833</v>
      </c>
      <c r="BH60" s="980">
        <f t="shared" si="32"/>
        <v>30.478955007256896</v>
      </c>
      <c r="BI60" s="980">
        <f t="shared" si="33"/>
        <v>24.169184290030213</v>
      </c>
      <c r="BJ60" s="1114">
        <f t="shared" si="34"/>
        <v>33.742331288343557</v>
      </c>
      <c r="BK60" s="1116">
        <f t="shared" si="35"/>
        <v>11.164274322169058</v>
      </c>
      <c r="BL60" s="1278">
        <f t="shared" si="36"/>
        <v>13.953488372093023</v>
      </c>
      <c r="BM60" s="1941">
        <f t="shared" si="37"/>
        <v>15.948963317384369</v>
      </c>
      <c r="BN60" s="2296">
        <f t="shared" si="38"/>
        <v>14.195583596214512</v>
      </c>
      <c r="BO60" s="2364">
        <f t="shared" si="39"/>
        <v>20.472440944881889</v>
      </c>
      <c r="BP60" s="2366">
        <f t="shared" si="39"/>
        <v>10.050251256281408</v>
      </c>
    </row>
    <row r="61" spans="1:68" s="142" customFormat="1" ht="15.75" customHeight="1" x14ac:dyDescent="0.3">
      <c r="A61" s="149" t="s">
        <v>140</v>
      </c>
      <c r="B61" s="185" t="s">
        <v>141</v>
      </c>
      <c r="C61" s="150" t="s">
        <v>255</v>
      </c>
      <c r="D61" s="938">
        <v>8</v>
      </c>
      <c r="E61" s="939">
        <v>15</v>
      </c>
      <c r="F61" s="940">
        <v>15</v>
      </c>
      <c r="G61" s="939">
        <v>23</v>
      </c>
      <c r="H61" s="940">
        <v>8</v>
      </c>
      <c r="I61" s="939">
        <v>12</v>
      </c>
      <c r="J61" s="940">
        <v>16</v>
      </c>
      <c r="K61" s="939">
        <v>20</v>
      </c>
      <c r="L61" s="953">
        <v>20</v>
      </c>
      <c r="M61" s="953">
        <v>14</v>
      </c>
      <c r="N61" s="953">
        <v>14</v>
      </c>
      <c r="O61" s="953">
        <v>13</v>
      </c>
      <c r="P61" s="954">
        <v>9</v>
      </c>
      <c r="Q61" s="954">
        <v>8</v>
      </c>
      <c r="R61" s="1107">
        <v>11</v>
      </c>
      <c r="S61" s="1108">
        <v>4</v>
      </c>
      <c r="T61" s="1273">
        <v>1</v>
      </c>
      <c r="U61" s="1937">
        <v>5</v>
      </c>
      <c r="V61" s="2291">
        <v>12</v>
      </c>
      <c r="W61" s="1367">
        <v>7</v>
      </c>
      <c r="X61" s="2351">
        <v>4</v>
      </c>
      <c r="Y61" s="1273"/>
      <c r="Z61" s="961">
        <v>889</v>
      </c>
      <c r="AA61" s="962">
        <v>902</v>
      </c>
      <c r="AB61" s="962">
        <v>871</v>
      </c>
      <c r="AC61" s="962">
        <v>895</v>
      </c>
      <c r="AD61" s="962">
        <v>910</v>
      </c>
      <c r="AE61" s="962">
        <v>918</v>
      </c>
      <c r="AF61" s="962">
        <v>908</v>
      </c>
      <c r="AG61" s="962">
        <v>902</v>
      </c>
      <c r="AH61" s="962">
        <v>884</v>
      </c>
      <c r="AI61" s="962">
        <v>875</v>
      </c>
      <c r="AJ61" s="962">
        <v>863</v>
      </c>
      <c r="AK61" s="962">
        <v>891</v>
      </c>
      <c r="AL61" s="962">
        <v>834</v>
      </c>
      <c r="AM61" s="962">
        <v>827</v>
      </c>
      <c r="AN61" s="1110">
        <v>838</v>
      </c>
      <c r="AO61" s="1111">
        <v>832</v>
      </c>
      <c r="AP61" s="1391">
        <v>844</v>
      </c>
      <c r="AQ61" s="1934">
        <v>820</v>
      </c>
      <c r="AR61" s="2289">
        <v>819</v>
      </c>
      <c r="AS61" s="1368">
        <v>790</v>
      </c>
      <c r="AT61" s="2353">
        <v>809</v>
      </c>
      <c r="AU61" s="1274"/>
      <c r="AV61" s="979">
        <f t="shared" si="20"/>
        <v>8.9988751406074243</v>
      </c>
      <c r="AW61" s="980">
        <f t="shared" si="21"/>
        <v>16.62971175166297</v>
      </c>
      <c r="AX61" s="980">
        <f t="shared" si="22"/>
        <v>17.221584385763489</v>
      </c>
      <c r="AY61" s="980">
        <f t="shared" si="23"/>
        <v>25.69832402234637</v>
      </c>
      <c r="AZ61" s="980">
        <f t="shared" si="24"/>
        <v>8.791208791208792</v>
      </c>
      <c r="BA61" s="980">
        <f t="shared" si="25"/>
        <v>13.071895424836601</v>
      </c>
      <c r="BB61" s="980">
        <f t="shared" si="26"/>
        <v>17.621145374449341</v>
      </c>
      <c r="BC61" s="980">
        <f t="shared" si="27"/>
        <v>22.172949002217297</v>
      </c>
      <c r="BD61" s="980">
        <f t="shared" si="28"/>
        <v>22.624434389140269</v>
      </c>
      <c r="BE61" s="980">
        <f t="shared" si="29"/>
        <v>16</v>
      </c>
      <c r="BF61" s="980">
        <f t="shared" si="30"/>
        <v>16.222479721900346</v>
      </c>
      <c r="BG61" s="980">
        <f t="shared" si="31"/>
        <v>14.590347923681257</v>
      </c>
      <c r="BH61" s="980">
        <f t="shared" si="32"/>
        <v>10.791366906474821</v>
      </c>
      <c r="BI61" s="980">
        <f t="shared" si="33"/>
        <v>9.6735187424425622</v>
      </c>
      <c r="BJ61" s="1114">
        <f t="shared" si="34"/>
        <v>13.126491646778042</v>
      </c>
      <c r="BK61" s="1116">
        <f t="shared" si="35"/>
        <v>4.8076923076923084</v>
      </c>
      <c r="BL61" s="1278">
        <f t="shared" si="36"/>
        <v>1.1848341232227488</v>
      </c>
      <c r="BM61" s="1941">
        <f t="shared" si="37"/>
        <v>6.0975609756097562</v>
      </c>
      <c r="BN61" s="2296">
        <f t="shared" si="38"/>
        <v>14.652014652014651</v>
      </c>
      <c r="BO61" s="2364">
        <f t="shared" si="39"/>
        <v>8.8607594936708871</v>
      </c>
      <c r="BP61" s="2366">
        <f t="shared" si="39"/>
        <v>4.9443757725587139</v>
      </c>
    </row>
    <row r="62" spans="1:68" s="142" customFormat="1" ht="15.75" customHeight="1" x14ac:dyDescent="0.3">
      <c r="A62" s="149" t="s">
        <v>146</v>
      </c>
      <c r="B62" s="185" t="s">
        <v>147</v>
      </c>
      <c r="C62" s="150" t="s">
        <v>252</v>
      </c>
      <c r="D62" s="938">
        <v>10</v>
      </c>
      <c r="E62" s="939">
        <v>5</v>
      </c>
      <c r="F62" s="940">
        <v>10</v>
      </c>
      <c r="G62" s="939">
        <v>7</v>
      </c>
      <c r="H62" s="940">
        <v>8</v>
      </c>
      <c r="I62" s="939">
        <v>6</v>
      </c>
      <c r="J62" s="940">
        <v>5</v>
      </c>
      <c r="K62" s="939">
        <v>6</v>
      </c>
      <c r="L62" s="953">
        <v>9</v>
      </c>
      <c r="M62" s="953">
        <v>5</v>
      </c>
      <c r="N62" s="953">
        <v>9</v>
      </c>
      <c r="O62" s="953">
        <v>5</v>
      </c>
      <c r="P62" s="954">
        <v>2</v>
      </c>
      <c r="Q62" s="954">
        <v>5</v>
      </c>
      <c r="R62" s="1107">
        <v>2</v>
      </c>
      <c r="S62" s="1108">
        <v>3</v>
      </c>
      <c r="T62" s="1273">
        <v>8</v>
      </c>
      <c r="U62" s="1937">
        <v>0</v>
      </c>
      <c r="V62" s="2291"/>
      <c r="W62" s="1367">
        <v>4</v>
      </c>
      <c r="X62" s="2351">
        <v>1</v>
      </c>
      <c r="Y62" s="1273"/>
      <c r="Z62" s="961">
        <v>505</v>
      </c>
      <c r="AA62" s="962">
        <v>511</v>
      </c>
      <c r="AB62" s="962">
        <v>520</v>
      </c>
      <c r="AC62" s="962">
        <v>535</v>
      </c>
      <c r="AD62" s="962">
        <v>533</v>
      </c>
      <c r="AE62" s="962">
        <v>525</v>
      </c>
      <c r="AF62" s="962">
        <v>528</v>
      </c>
      <c r="AG62" s="962">
        <v>510</v>
      </c>
      <c r="AH62" s="962">
        <v>515</v>
      </c>
      <c r="AI62" s="962">
        <v>483</v>
      </c>
      <c r="AJ62" s="962">
        <v>485</v>
      </c>
      <c r="AK62" s="962">
        <v>509</v>
      </c>
      <c r="AL62" s="962">
        <v>502</v>
      </c>
      <c r="AM62" s="962">
        <v>499</v>
      </c>
      <c r="AN62" s="1110">
        <v>502</v>
      </c>
      <c r="AO62" s="1111">
        <v>509</v>
      </c>
      <c r="AP62" s="1391">
        <v>468</v>
      </c>
      <c r="AQ62" s="1934">
        <v>471</v>
      </c>
      <c r="AR62" s="2289">
        <v>452</v>
      </c>
      <c r="AS62" s="1368">
        <v>445</v>
      </c>
      <c r="AT62" s="2353">
        <v>442</v>
      </c>
      <c r="AU62" s="1274"/>
      <c r="AV62" s="979">
        <f t="shared" si="20"/>
        <v>19.801980198019802</v>
      </c>
      <c r="AW62" s="980">
        <f t="shared" si="21"/>
        <v>9.7847358121330714</v>
      </c>
      <c r="AX62" s="980">
        <f t="shared" si="22"/>
        <v>19.230769230769234</v>
      </c>
      <c r="AY62" s="980">
        <f t="shared" si="23"/>
        <v>13.084112149532711</v>
      </c>
      <c r="AZ62" s="980">
        <f t="shared" si="24"/>
        <v>15.0093808630394</v>
      </c>
      <c r="BA62" s="980">
        <f t="shared" si="25"/>
        <v>11.428571428571429</v>
      </c>
      <c r="BB62" s="980">
        <f t="shared" si="26"/>
        <v>9.4696969696969706</v>
      </c>
      <c r="BC62" s="980">
        <f t="shared" si="27"/>
        <v>11.76470588235294</v>
      </c>
      <c r="BD62" s="980">
        <f t="shared" si="28"/>
        <v>17.475728155339805</v>
      </c>
      <c r="BE62" s="980">
        <f t="shared" si="29"/>
        <v>10.351966873706004</v>
      </c>
      <c r="BF62" s="980">
        <f t="shared" si="30"/>
        <v>18.556701030927837</v>
      </c>
      <c r="BG62" s="980">
        <f t="shared" si="31"/>
        <v>9.8231827111984273</v>
      </c>
      <c r="BH62" s="980">
        <f t="shared" si="32"/>
        <v>3.9840637450199203</v>
      </c>
      <c r="BI62" s="980">
        <f t="shared" si="33"/>
        <v>10.020040080160321</v>
      </c>
      <c r="BJ62" s="1114">
        <f t="shared" si="34"/>
        <v>3.9840637450199203</v>
      </c>
      <c r="BK62" s="1116">
        <f t="shared" si="35"/>
        <v>5.8939096267190569</v>
      </c>
      <c r="BL62" s="1278">
        <f t="shared" si="36"/>
        <v>17.094017094017097</v>
      </c>
      <c r="BM62" s="1941">
        <f t="shared" si="37"/>
        <v>0</v>
      </c>
      <c r="BN62" s="2296">
        <f t="shared" si="38"/>
        <v>0</v>
      </c>
      <c r="BO62" s="2364">
        <f t="shared" si="39"/>
        <v>8.9887640449438209</v>
      </c>
      <c r="BP62" s="2366">
        <f t="shared" si="39"/>
        <v>2.2624434389140275</v>
      </c>
    </row>
    <row r="63" spans="1:68" s="142" customFormat="1" ht="15.75" customHeight="1" x14ac:dyDescent="0.3">
      <c r="A63" s="149" t="s">
        <v>148</v>
      </c>
      <c r="B63" s="185" t="s">
        <v>149</v>
      </c>
      <c r="C63" s="150" t="s">
        <v>253</v>
      </c>
      <c r="D63" s="938">
        <v>70</v>
      </c>
      <c r="E63" s="939">
        <v>57</v>
      </c>
      <c r="F63" s="940">
        <v>52</v>
      </c>
      <c r="G63" s="939">
        <v>57</v>
      </c>
      <c r="H63" s="940">
        <v>58</v>
      </c>
      <c r="I63" s="939">
        <v>63</v>
      </c>
      <c r="J63" s="940">
        <v>43</v>
      </c>
      <c r="K63" s="939">
        <v>45</v>
      </c>
      <c r="L63" s="953">
        <v>43</v>
      </c>
      <c r="M63" s="953">
        <v>37</v>
      </c>
      <c r="N63" s="953">
        <v>53</v>
      </c>
      <c r="O63" s="953">
        <v>50</v>
      </c>
      <c r="P63" s="954">
        <v>36</v>
      </c>
      <c r="Q63" s="954">
        <v>33</v>
      </c>
      <c r="R63" s="1107">
        <v>35</v>
      </c>
      <c r="S63" s="1108">
        <v>23</v>
      </c>
      <c r="T63" s="1273">
        <v>30</v>
      </c>
      <c r="U63" s="1937">
        <v>23</v>
      </c>
      <c r="V63" s="2291">
        <v>21</v>
      </c>
      <c r="W63" s="1367">
        <v>19</v>
      </c>
      <c r="X63" s="2351">
        <v>18</v>
      </c>
      <c r="Y63" s="1273"/>
      <c r="Z63" s="961">
        <v>1765</v>
      </c>
      <c r="AA63" s="962">
        <v>1747</v>
      </c>
      <c r="AB63" s="962">
        <v>1975</v>
      </c>
      <c r="AC63" s="962">
        <v>2008</v>
      </c>
      <c r="AD63" s="962">
        <v>1965</v>
      </c>
      <c r="AE63" s="962">
        <v>1958</v>
      </c>
      <c r="AF63" s="962">
        <v>1928</v>
      </c>
      <c r="AG63" s="962">
        <v>1942</v>
      </c>
      <c r="AH63" s="962">
        <v>1905</v>
      </c>
      <c r="AI63" s="962">
        <v>1865</v>
      </c>
      <c r="AJ63" s="962">
        <v>1828</v>
      </c>
      <c r="AK63" s="962">
        <v>1798</v>
      </c>
      <c r="AL63" s="962">
        <v>1836</v>
      </c>
      <c r="AM63" s="962">
        <v>1819</v>
      </c>
      <c r="AN63" s="1110">
        <v>1779</v>
      </c>
      <c r="AO63" s="1111">
        <v>1768</v>
      </c>
      <c r="AP63" s="1391">
        <v>1737</v>
      </c>
      <c r="AQ63" s="1934">
        <v>1734</v>
      </c>
      <c r="AR63" s="2289">
        <v>1696</v>
      </c>
      <c r="AS63" s="1368">
        <v>1638</v>
      </c>
      <c r="AT63" s="2353">
        <v>1607</v>
      </c>
      <c r="AU63" s="1274"/>
      <c r="AV63" s="979">
        <f t="shared" si="20"/>
        <v>39.660056657223798</v>
      </c>
      <c r="AW63" s="980">
        <f t="shared" si="21"/>
        <v>32.627361190612476</v>
      </c>
      <c r="AX63" s="980">
        <f t="shared" si="22"/>
        <v>26.329113924050631</v>
      </c>
      <c r="AY63" s="980">
        <f t="shared" si="23"/>
        <v>28.386454183266931</v>
      </c>
      <c r="AZ63" s="980">
        <f t="shared" si="24"/>
        <v>29.516539440203562</v>
      </c>
      <c r="BA63" s="980">
        <f t="shared" si="25"/>
        <v>32.175689479060267</v>
      </c>
      <c r="BB63" s="980">
        <f t="shared" si="26"/>
        <v>22.302904564315352</v>
      </c>
      <c r="BC63" s="980">
        <f t="shared" si="27"/>
        <v>23.171987641606592</v>
      </c>
      <c r="BD63" s="980">
        <f t="shared" si="28"/>
        <v>22.57217847769029</v>
      </c>
      <c r="BE63" s="980">
        <f t="shared" si="29"/>
        <v>19.839142091152816</v>
      </c>
      <c r="BF63" s="980">
        <f t="shared" si="30"/>
        <v>28.993435448577682</v>
      </c>
      <c r="BG63" s="980">
        <f t="shared" si="31"/>
        <v>27.808676307007786</v>
      </c>
      <c r="BH63" s="980">
        <f t="shared" si="32"/>
        <v>19.607843137254903</v>
      </c>
      <c r="BI63" s="980">
        <f t="shared" si="33"/>
        <v>18.141836173721828</v>
      </c>
      <c r="BJ63" s="1114">
        <f t="shared" si="34"/>
        <v>19.673974142776839</v>
      </c>
      <c r="BK63" s="1116">
        <f t="shared" si="35"/>
        <v>13.009049773755656</v>
      </c>
      <c r="BL63" s="1278">
        <f t="shared" si="36"/>
        <v>17.271157167530223</v>
      </c>
      <c r="BM63" s="1941">
        <f t="shared" si="37"/>
        <v>13.264129181084199</v>
      </c>
      <c r="BN63" s="2296">
        <f t="shared" si="38"/>
        <v>12.382075471698114</v>
      </c>
      <c r="BO63" s="2364">
        <f t="shared" si="39"/>
        <v>11.599511599511599</v>
      </c>
      <c r="BP63" s="2366">
        <f t="shared" si="39"/>
        <v>11.200995644057251</v>
      </c>
    </row>
    <row r="64" spans="1:68" s="142" customFormat="1" ht="15.75" customHeight="1" x14ac:dyDescent="0.3">
      <c r="A64" s="149" t="s">
        <v>150</v>
      </c>
      <c r="B64" s="185" t="s">
        <v>151</v>
      </c>
      <c r="C64" s="150" t="s">
        <v>254</v>
      </c>
      <c r="D64" s="938">
        <v>10</v>
      </c>
      <c r="E64" s="939">
        <v>16</v>
      </c>
      <c r="F64" s="940">
        <v>5</v>
      </c>
      <c r="G64" s="939">
        <v>12</v>
      </c>
      <c r="H64" s="940">
        <v>11</v>
      </c>
      <c r="I64" s="939">
        <v>13</v>
      </c>
      <c r="J64" s="940">
        <v>7</v>
      </c>
      <c r="K64" s="939">
        <v>9</v>
      </c>
      <c r="L64" s="953">
        <v>7</v>
      </c>
      <c r="M64" s="953">
        <v>17</v>
      </c>
      <c r="N64" s="953">
        <v>8</v>
      </c>
      <c r="O64" s="953">
        <v>9</v>
      </c>
      <c r="P64" s="954">
        <v>6</v>
      </c>
      <c r="Q64" s="954">
        <v>6</v>
      </c>
      <c r="R64" s="1107">
        <v>4</v>
      </c>
      <c r="S64" s="1108">
        <v>10</v>
      </c>
      <c r="T64" s="1273">
        <v>7</v>
      </c>
      <c r="U64" s="1937">
        <v>11</v>
      </c>
      <c r="V64" s="2291">
        <v>4</v>
      </c>
      <c r="W64" s="1367">
        <v>4</v>
      </c>
      <c r="X64" s="2351">
        <v>1</v>
      </c>
      <c r="Y64" s="1273"/>
      <c r="Z64" s="961">
        <v>521</v>
      </c>
      <c r="AA64" s="962">
        <v>530</v>
      </c>
      <c r="AB64" s="962">
        <v>583</v>
      </c>
      <c r="AC64" s="962">
        <v>603</v>
      </c>
      <c r="AD64" s="962">
        <v>618</v>
      </c>
      <c r="AE64" s="962">
        <v>620</v>
      </c>
      <c r="AF64" s="962">
        <v>616</v>
      </c>
      <c r="AG64" s="962">
        <v>604</v>
      </c>
      <c r="AH64" s="962">
        <v>593</v>
      </c>
      <c r="AI64" s="962">
        <v>562</v>
      </c>
      <c r="AJ64" s="962">
        <v>546</v>
      </c>
      <c r="AK64" s="962">
        <v>521</v>
      </c>
      <c r="AL64" s="962">
        <v>501</v>
      </c>
      <c r="AM64" s="962">
        <v>494</v>
      </c>
      <c r="AN64" s="1110">
        <v>472</v>
      </c>
      <c r="AO64" s="1111">
        <v>459</v>
      </c>
      <c r="AP64" s="1391">
        <v>466</v>
      </c>
      <c r="AQ64" s="1934">
        <v>466</v>
      </c>
      <c r="AR64" s="2289">
        <v>467</v>
      </c>
      <c r="AS64" s="1368">
        <v>463</v>
      </c>
      <c r="AT64" s="2353">
        <v>492</v>
      </c>
      <c r="AU64" s="1274"/>
      <c r="AV64" s="979">
        <f t="shared" si="20"/>
        <v>19.193857965451055</v>
      </c>
      <c r="AW64" s="980">
        <f t="shared" si="21"/>
        <v>30.188679245283019</v>
      </c>
      <c r="AX64" s="980">
        <f t="shared" si="22"/>
        <v>8.5763293310463133</v>
      </c>
      <c r="AY64" s="980">
        <f t="shared" si="23"/>
        <v>19.900497512437809</v>
      </c>
      <c r="AZ64" s="980">
        <f t="shared" si="24"/>
        <v>17.79935275080906</v>
      </c>
      <c r="BA64" s="980">
        <f t="shared" si="25"/>
        <v>20.967741935483872</v>
      </c>
      <c r="BB64" s="980">
        <f t="shared" si="26"/>
        <v>11.363636363636363</v>
      </c>
      <c r="BC64" s="980">
        <f t="shared" si="27"/>
        <v>14.900662251655628</v>
      </c>
      <c r="BD64" s="980">
        <f t="shared" si="28"/>
        <v>11.804384485666104</v>
      </c>
      <c r="BE64" s="980">
        <f t="shared" si="29"/>
        <v>30.249110320284696</v>
      </c>
      <c r="BF64" s="980">
        <f t="shared" si="30"/>
        <v>14.652014652014651</v>
      </c>
      <c r="BG64" s="980">
        <f t="shared" si="31"/>
        <v>17.274472168905952</v>
      </c>
      <c r="BH64" s="980">
        <f t="shared" si="32"/>
        <v>11.976047904191617</v>
      </c>
      <c r="BI64" s="980">
        <f t="shared" si="33"/>
        <v>12.145748987854251</v>
      </c>
      <c r="BJ64" s="1114">
        <f t="shared" si="34"/>
        <v>8.4745762711864412</v>
      </c>
      <c r="BK64" s="1116">
        <f t="shared" si="35"/>
        <v>21.786492374727668</v>
      </c>
      <c r="BL64" s="1278">
        <f t="shared" si="36"/>
        <v>15.021459227467812</v>
      </c>
      <c r="BM64" s="1941">
        <f t="shared" si="37"/>
        <v>23.605150214592275</v>
      </c>
      <c r="BN64" s="2296">
        <f t="shared" si="38"/>
        <v>8.565310492505354</v>
      </c>
      <c r="BO64" s="2364">
        <f t="shared" si="39"/>
        <v>8.6393088552915778</v>
      </c>
      <c r="BP64" s="2366">
        <f t="shared" si="39"/>
        <v>2.0325203252032522</v>
      </c>
    </row>
    <row r="65" spans="1:68" s="142" customFormat="1" ht="15.75" customHeight="1" x14ac:dyDescent="0.3">
      <c r="A65" s="149" t="s">
        <v>152</v>
      </c>
      <c r="B65" s="185" t="s">
        <v>153</v>
      </c>
      <c r="C65" s="150" t="s">
        <v>256</v>
      </c>
      <c r="D65" s="938">
        <v>58</v>
      </c>
      <c r="E65" s="939">
        <v>71</v>
      </c>
      <c r="F65" s="940">
        <v>94</v>
      </c>
      <c r="G65" s="939">
        <v>53</v>
      </c>
      <c r="H65" s="940">
        <v>56</v>
      </c>
      <c r="I65" s="939">
        <v>67</v>
      </c>
      <c r="J65" s="940">
        <v>75</v>
      </c>
      <c r="K65" s="939">
        <v>81</v>
      </c>
      <c r="L65" s="953">
        <v>49</v>
      </c>
      <c r="M65" s="953">
        <v>79</v>
      </c>
      <c r="N65" s="953">
        <v>106</v>
      </c>
      <c r="O65" s="953">
        <v>66</v>
      </c>
      <c r="P65" s="954">
        <v>60</v>
      </c>
      <c r="Q65" s="954">
        <v>51</v>
      </c>
      <c r="R65" s="1107">
        <v>54</v>
      </c>
      <c r="S65" s="1108">
        <v>56</v>
      </c>
      <c r="T65" s="1273">
        <v>55</v>
      </c>
      <c r="U65" s="1937">
        <v>33</v>
      </c>
      <c r="V65" s="2291">
        <v>32</v>
      </c>
      <c r="W65" s="1367">
        <v>21</v>
      </c>
      <c r="X65" s="2351">
        <v>34</v>
      </c>
      <c r="Y65" s="1273"/>
      <c r="Z65" s="961">
        <v>6434</v>
      </c>
      <c r="AA65" s="962">
        <v>6481</v>
      </c>
      <c r="AB65" s="962">
        <v>6679</v>
      </c>
      <c r="AC65" s="962">
        <v>6151</v>
      </c>
      <c r="AD65" s="962">
        <v>6161</v>
      </c>
      <c r="AE65" s="962">
        <v>6015</v>
      </c>
      <c r="AF65" s="962">
        <v>5988</v>
      </c>
      <c r="AG65" s="962">
        <v>6272</v>
      </c>
      <c r="AH65" s="962">
        <v>6553</v>
      </c>
      <c r="AI65" s="962">
        <v>6799</v>
      </c>
      <c r="AJ65" s="962">
        <v>6886</v>
      </c>
      <c r="AK65" s="962">
        <v>7131</v>
      </c>
      <c r="AL65" s="962">
        <v>7319</v>
      </c>
      <c r="AM65" s="962">
        <v>7096</v>
      </c>
      <c r="AN65" s="1110">
        <v>6757</v>
      </c>
      <c r="AO65" s="1111">
        <v>6914</v>
      </c>
      <c r="AP65" s="1391">
        <v>6896</v>
      </c>
      <c r="AQ65" s="1934">
        <v>6920</v>
      </c>
      <c r="AR65" s="2289">
        <v>7027</v>
      </c>
      <c r="AS65" s="1368">
        <v>6913</v>
      </c>
      <c r="AT65" s="2353">
        <v>7064</v>
      </c>
      <c r="AU65" s="1274"/>
      <c r="AV65" s="979">
        <f t="shared" si="20"/>
        <v>9.0146098849860117</v>
      </c>
      <c r="AW65" s="980">
        <f t="shared" si="21"/>
        <v>10.955099521678754</v>
      </c>
      <c r="AX65" s="980">
        <f t="shared" si="22"/>
        <v>14.073963168138942</v>
      </c>
      <c r="AY65" s="980">
        <f t="shared" si="23"/>
        <v>8.6164851243700209</v>
      </c>
      <c r="AZ65" s="980">
        <f t="shared" si="24"/>
        <v>9.0894335335172869</v>
      </c>
      <c r="BA65" s="980">
        <f t="shared" si="25"/>
        <v>11.138819617622611</v>
      </c>
      <c r="BB65" s="980">
        <f t="shared" si="26"/>
        <v>12.525050100200401</v>
      </c>
      <c r="BC65" s="980">
        <f t="shared" si="27"/>
        <v>12.914540816326531</v>
      </c>
      <c r="BD65" s="980">
        <f t="shared" si="28"/>
        <v>7.4774912253929502</v>
      </c>
      <c r="BE65" s="980">
        <f t="shared" si="29"/>
        <v>11.619355787615826</v>
      </c>
      <c r="BF65" s="980">
        <f t="shared" si="30"/>
        <v>15.393552134766193</v>
      </c>
      <c r="BG65" s="980">
        <f t="shared" si="31"/>
        <v>9.2553639040807738</v>
      </c>
      <c r="BH65" s="980">
        <f t="shared" si="32"/>
        <v>8.1978412351414125</v>
      </c>
      <c r="BI65" s="980">
        <f t="shared" si="33"/>
        <v>7.1871476888387829</v>
      </c>
      <c r="BJ65" s="1114">
        <f t="shared" si="34"/>
        <v>7.9917122983572586</v>
      </c>
      <c r="BK65" s="1116">
        <f t="shared" si="35"/>
        <v>8.099508244142319</v>
      </c>
      <c r="BL65" s="1278">
        <f t="shared" si="36"/>
        <v>7.9756380510440836</v>
      </c>
      <c r="BM65" s="1941">
        <f t="shared" si="37"/>
        <v>4.7687861271676306</v>
      </c>
      <c r="BN65" s="2296">
        <f t="shared" si="38"/>
        <v>4.553863668706418</v>
      </c>
      <c r="BO65" s="2364">
        <f t="shared" si="39"/>
        <v>3.0377549544336753</v>
      </c>
      <c r="BP65" s="2366">
        <f t="shared" si="39"/>
        <v>4.8131370328425822</v>
      </c>
    </row>
    <row r="66" spans="1:68" s="142" customFormat="1" ht="15.75" customHeight="1" x14ac:dyDescent="0.3">
      <c r="A66" s="149" t="s">
        <v>154</v>
      </c>
      <c r="B66" s="185" t="s">
        <v>155</v>
      </c>
      <c r="C66" s="150" t="s">
        <v>253</v>
      </c>
      <c r="D66" s="938">
        <v>33</v>
      </c>
      <c r="E66" s="939">
        <v>21</v>
      </c>
      <c r="F66" s="940">
        <v>27</v>
      </c>
      <c r="G66" s="939">
        <v>21</v>
      </c>
      <c r="H66" s="940">
        <v>13</v>
      </c>
      <c r="I66" s="939">
        <v>23</v>
      </c>
      <c r="J66" s="940">
        <v>10</v>
      </c>
      <c r="K66" s="939">
        <v>22</v>
      </c>
      <c r="L66" s="953">
        <v>14</v>
      </c>
      <c r="M66" s="953">
        <v>21</v>
      </c>
      <c r="N66" s="953">
        <v>14</v>
      </c>
      <c r="O66" s="953">
        <v>15</v>
      </c>
      <c r="P66" s="954">
        <v>11</v>
      </c>
      <c r="Q66" s="954">
        <v>8</v>
      </c>
      <c r="R66" s="1107">
        <v>8</v>
      </c>
      <c r="S66" s="1108">
        <v>9</v>
      </c>
      <c r="T66" s="1273">
        <v>7</v>
      </c>
      <c r="U66" s="1937">
        <v>6</v>
      </c>
      <c r="V66" s="2291">
        <v>4</v>
      </c>
      <c r="W66" s="1367">
        <v>5</v>
      </c>
      <c r="X66" s="2351">
        <v>9</v>
      </c>
      <c r="Y66" s="1273"/>
      <c r="Z66" s="961">
        <v>850</v>
      </c>
      <c r="AA66" s="962">
        <v>855</v>
      </c>
      <c r="AB66" s="962">
        <v>907</v>
      </c>
      <c r="AC66" s="962">
        <v>918</v>
      </c>
      <c r="AD66" s="962">
        <v>911</v>
      </c>
      <c r="AE66" s="962">
        <v>890</v>
      </c>
      <c r="AF66" s="962">
        <v>877</v>
      </c>
      <c r="AG66" s="962">
        <v>844</v>
      </c>
      <c r="AH66" s="962">
        <v>795</v>
      </c>
      <c r="AI66" s="962">
        <v>764</v>
      </c>
      <c r="AJ66" s="962">
        <v>760</v>
      </c>
      <c r="AK66" s="962">
        <v>770</v>
      </c>
      <c r="AL66" s="962">
        <v>796</v>
      </c>
      <c r="AM66" s="962">
        <v>806</v>
      </c>
      <c r="AN66" s="1110">
        <v>760</v>
      </c>
      <c r="AO66" s="1111">
        <v>751</v>
      </c>
      <c r="AP66" s="1391">
        <v>747</v>
      </c>
      <c r="AQ66" s="1934">
        <v>736</v>
      </c>
      <c r="AR66" s="2289">
        <v>767</v>
      </c>
      <c r="AS66" s="1368">
        <v>773</v>
      </c>
      <c r="AT66" s="2353">
        <v>770</v>
      </c>
      <c r="AU66" s="1274"/>
      <c r="AV66" s="979">
        <f t="shared" si="20"/>
        <v>38.82352941176471</v>
      </c>
      <c r="AW66" s="980">
        <f t="shared" si="21"/>
        <v>24.561403508771932</v>
      </c>
      <c r="AX66" s="980">
        <f t="shared" si="22"/>
        <v>29.768467475192942</v>
      </c>
      <c r="AY66" s="980">
        <f t="shared" si="23"/>
        <v>22.875816993464049</v>
      </c>
      <c r="AZ66" s="980">
        <f t="shared" si="24"/>
        <v>14.270032930845225</v>
      </c>
      <c r="BA66" s="980">
        <f t="shared" si="25"/>
        <v>25.842696629213481</v>
      </c>
      <c r="BB66" s="980">
        <f t="shared" si="26"/>
        <v>11.402508551881414</v>
      </c>
      <c r="BC66" s="980">
        <f t="shared" si="27"/>
        <v>26.066350710900473</v>
      </c>
      <c r="BD66" s="980">
        <f t="shared" si="28"/>
        <v>17.610062893081761</v>
      </c>
      <c r="BE66" s="980">
        <f t="shared" si="29"/>
        <v>27.486910994764401</v>
      </c>
      <c r="BF66" s="980">
        <f t="shared" si="30"/>
        <v>18.421052631578945</v>
      </c>
      <c r="BG66" s="980">
        <f t="shared" si="31"/>
        <v>19.480519480519479</v>
      </c>
      <c r="BH66" s="980">
        <f t="shared" si="32"/>
        <v>13.819095477386936</v>
      </c>
      <c r="BI66" s="980">
        <f t="shared" si="33"/>
        <v>9.9255583126550864</v>
      </c>
      <c r="BJ66" s="1114">
        <f t="shared" si="34"/>
        <v>10.526315789473683</v>
      </c>
      <c r="BK66" s="1116">
        <f t="shared" si="35"/>
        <v>11.984021304926763</v>
      </c>
      <c r="BL66" s="1278">
        <f t="shared" si="36"/>
        <v>9.3708165997322634</v>
      </c>
      <c r="BM66" s="1941">
        <f t="shared" si="37"/>
        <v>8.1521739130434785</v>
      </c>
      <c r="BN66" s="2296">
        <f t="shared" si="38"/>
        <v>5.2151238591916558</v>
      </c>
      <c r="BO66" s="2364">
        <f t="shared" si="39"/>
        <v>6.4683053040103493</v>
      </c>
      <c r="BP66" s="2366">
        <f t="shared" si="39"/>
        <v>11.688311688311689</v>
      </c>
    </row>
    <row r="67" spans="1:68" s="142" customFormat="1" ht="15.75" customHeight="1" x14ac:dyDescent="0.3">
      <c r="A67" s="149" t="s">
        <v>156</v>
      </c>
      <c r="B67" s="185" t="s">
        <v>157</v>
      </c>
      <c r="C67" s="150" t="s">
        <v>254</v>
      </c>
      <c r="D67" s="938">
        <v>7</v>
      </c>
      <c r="E67" s="939">
        <v>13</v>
      </c>
      <c r="F67" s="940">
        <v>6</v>
      </c>
      <c r="G67" s="939">
        <v>11</v>
      </c>
      <c r="H67" s="940">
        <v>16</v>
      </c>
      <c r="I67" s="939">
        <v>10</v>
      </c>
      <c r="J67" s="940">
        <v>14</v>
      </c>
      <c r="K67" s="939">
        <v>10</v>
      </c>
      <c r="L67" s="953">
        <v>16</v>
      </c>
      <c r="M67" s="953">
        <v>9</v>
      </c>
      <c r="N67" s="953">
        <v>11</v>
      </c>
      <c r="O67" s="953">
        <v>11</v>
      </c>
      <c r="P67" s="954">
        <v>12</v>
      </c>
      <c r="Q67" s="954">
        <v>13</v>
      </c>
      <c r="R67" s="1107">
        <v>12</v>
      </c>
      <c r="S67" s="1108">
        <v>10</v>
      </c>
      <c r="T67" s="1273">
        <v>11</v>
      </c>
      <c r="U67" s="1937">
        <v>3</v>
      </c>
      <c r="V67" s="2291">
        <v>5</v>
      </c>
      <c r="W67" s="1367">
        <v>5</v>
      </c>
      <c r="X67" s="2351">
        <v>5</v>
      </c>
      <c r="Y67" s="1273"/>
      <c r="Z67" s="961">
        <v>748</v>
      </c>
      <c r="AA67" s="962">
        <v>757</v>
      </c>
      <c r="AB67" s="962">
        <v>908</v>
      </c>
      <c r="AC67" s="962">
        <v>951</v>
      </c>
      <c r="AD67" s="962">
        <v>968</v>
      </c>
      <c r="AE67" s="962">
        <v>1010</v>
      </c>
      <c r="AF67" s="962">
        <v>1051</v>
      </c>
      <c r="AG67" s="962">
        <v>1035</v>
      </c>
      <c r="AH67" s="962">
        <v>1043</v>
      </c>
      <c r="AI67" s="962">
        <v>1031</v>
      </c>
      <c r="AJ67" s="962">
        <v>1034</v>
      </c>
      <c r="AK67" s="962">
        <v>1120</v>
      </c>
      <c r="AL67" s="962">
        <v>1179</v>
      </c>
      <c r="AM67" s="962">
        <v>1183</v>
      </c>
      <c r="AN67" s="1110">
        <v>1159</v>
      </c>
      <c r="AO67" s="1111">
        <v>1181</v>
      </c>
      <c r="AP67" s="1391">
        <v>1201</v>
      </c>
      <c r="AQ67" s="1934">
        <v>1197</v>
      </c>
      <c r="AR67" s="2289">
        <v>1215</v>
      </c>
      <c r="AS67" s="1368">
        <v>1195</v>
      </c>
      <c r="AT67" s="2353">
        <v>1217</v>
      </c>
      <c r="AU67" s="1274"/>
      <c r="AV67" s="979">
        <f t="shared" si="20"/>
        <v>9.3582887700534751</v>
      </c>
      <c r="AW67" s="980">
        <f t="shared" si="21"/>
        <v>17.173051519154559</v>
      </c>
      <c r="AX67" s="980">
        <f t="shared" si="22"/>
        <v>6.607929515418502</v>
      </c>
      <c r="AY67" s="980">
        <f t="shared" si="23"/>
        <v>11.566771819137749</v>
      </c>
      <c r="AZ67" s="980">
        <f t="shared" si="24"/>
        <v>16.528925619834713</v>
      </c>
      <c r="BA67" s="980">
        <f t="shared" si="25"/>
        <v>9.9009900990099009</v>
      </c>
      <c r="BB67" s="980">
        <f t="shared" si="26"/>
        <v>13.320647002854425</v>
      </c>
      <c r="BC67" s="980">
        <f t="shared" si="27"/>
        <v>9.6618357487922708</v>
      </c>
      <c r="BD67" s="980">
        <f t="shared" si="28"/>
        <v>15.340364333652923</v>
      </c>
      <c r="BE67" s="980">
        <f t="shared" si="29"/>
        <v>8.7293889427740066</v>
      </c>
      <c r="BF67" s="980">
        <f t="shared" si="30"/>
        <v>10.638297872340425</v>
      </c>
      <c r="BG67" s="980">
        <f t="shared" si="31"/>
        <v>9.8214285714285712</v>
      </c>
      <c r="BH67" s="980">
        <f t="shared" si="32"/>
        <v>10.178117048346056</v>
      </c>
      <c r="BI67" s="980">
        <f t="shared" si="33"/>
        <v>10.989010989010989</v>
      </c>
      <c r="BJ67" s="1114">
        <f t="shared" si="34"/>
        <v>10.353753235547885</v>
      </c>
      <c r="BK67" s="1116">
        <f t="shared" si="35"/>
        <v>8.4674005080440296</v>
      </c>
      <c r="BL67" s="1278">
        <f t="shared" si="36"/>
        <v>9.1590341382181517</v>
      </c>
      <c r="BM67" s="1941">
        <f t="shared" si="37"/>
        <v>2.5062656641604009</v>
      </c>
      <c r="BN67" s="2296">
        <f t="shared" si="38"/>
        <v>4.1152263374485596</v>
      </c>
      <c r="BO67" s="2364">
        <f t="shared" si="39"/>
        <v>4.1841004184100417</v>
      </c>
      <c r="BP67" s="2366">
        <f t="shared" si="39"/>
        <v>4.1084634346754321</v>
      </c>
    </row>
    <row r="68" spans="1:68" s="142" customFormat="1" ht="15.75" customHeight="1" x14ac:dyDescent="0.3">
      <c r="A68" s="149" t="s">
        <v>162</v>
      </c>
      <c r="B68" s="185" t="s">
        <v>163</v>
      </c>
      <c r="C68" s="150" t="s">
        <v>252</v>
      </c>
      <c r="D68" s="938">
        <v>24</v>
      </c>
      <c r="E68" s="939">
        <v>30</v>
      </c>
      <c r="F68" s="940">
        <v>34</v>
      </c>
      <c r="G68" s="939">
        <v>40</v>
      </c>
      <c r="H68" s="940">
        <v>29</v>
      </c>
      <c r="I68" s="939">
        <v>23</v>
      </c>
      <c r="J68" s="940">
        <v>27</v>
      </c>
      <c r="K68" s="939">
        <v>26</v>
      </c>
      <c r="L68" s="953">
        <v>23</v>
      </c>
      <c r="M68" s="953">
        <v>19</v>
      </c>
      <c r="N68" s="953">
        <v>32</v>
      </c>
      <c r="O68" s="953">
        <v>16</v>
      </c>
      <c r="P68" s="954">
        <v>21</v>
      </c>
      <c r="Q68" s="954">
        <v>23</v>
      </c>
      <c r="R68" s="1107">
        <v>9</v>
      </c>
      <c r="S68" s="1108">
        <v>13</v>
      </c>
      <c r="T68" s="1273">
        <v>10</v>
      </c>
      <c r="U68" s="1937">
        <v>11</v>
      </c>
      <c r="V68" s="2291">
        <v>7</v>
      </c>
      <c r="W68" s="1367">
        <v>12</v>
      </c>
      <c r="X68" s="2351">
        <v>9</v>
      </c>
      <c r="Y68" s="1273"/>
      <c r="Z68" s="961">
        <v>894</v>
      </c>
      <c r="AA68" s="962">
        <v>896</v>
      </c>
      <c r="AB68" s="962">
        <v>883</v>
      </c>
      <c r="AC68" s="962">
        <v>888</v>
      </c>
      <c r="AD68" s="962">
        <v>884</v>
      </c>
      <c r="AE68" s="962">
        <v>910</v>
      </c>
      <c r="AF68" s="962">
        <v>892</v>
      </c>
      <c r="AG68" s="962">
        <v>906</v>
      </c>
      <c r="AH68" s="962">
        <v>884</v>
      </c>
      <c r="AI68" s="962">
        <v>838</v>
      </c>
      <c r="AJ68" s="962">
        <v>827</v>
      </c>
      <c r="AK68" s="962">
        <v>802</v>
      </c>
      <c r="AL68" s="962">
        <v>655</v>
      </c>
      <c r="AM68" s="962">
        <v>649</v>
      </c>
      <c r="AN68" s="1110">
        <v>606</v>
      </c>
      <c r="AO68" s="1111">
        <v>576</v>
      </c>
      <c r="AP68" s="1391">
        <v>591</v>
      </c>
      <c r="AQ68" s="1934">
        <v>614</v>
      </c>
      <c r="AR68" s="2289">
        <v>605</v>
      </c>
      <c r="AS68" s="1368">
        <v>583</v>
      </c>
      <c r="AT68" s="2353">
        <v>603</v>
      </c>
      <c r="AU68" s="1274"/>
      <c r="AV68" s="979">
        <f t="shared" si="20"/>
        <v>26.845637583892618</v>
      </c>
      <c r="AW68" s="980">
        <f t="shared" si="21"/>
        <v>33.482142857142854</v>
      </c>
      <c r="AX68" s="980">
        <f t="shared" si="22"/>
        <v>38.505096262740658</v>
      </c>
      <c r="AY68" s="980">
        <f t="shared" si="23"/>
        <v>45.045045045045043</v>
      </c>
      <c r="AZ68" s="980">
        <f t="shared" si="24"/>
        <v>32.805429864253398</v>
      </c>
      <c r="BA68" s="980">
        <f t="shared" si="25"/>
        <v>25.274725274725274</v>
      </c>
      <c r="BB68" s="980">
        <f t="shared" si="26"/>
        <v>30.269058295964125</v>
      </c>
      <c r="BC68" s="980">
        <f t="shared" si="27"/>
        <v>28.697571743929359</v>
      </c>
      <c r="BD68" s="980">
        <f t="shared" si="28"/>
        <v>26.018099547511312</v>
      </c>
      <c r="BE68" s="980">
        <f t="shared" si="29"/>
        <v>22.673031026252982</v>
      </c>
      <c r="BF68" s="980">
        <f t="shared" si="30"/>
        <v>38.694074969770249</v>
      </c>
      <c r="BG68" s="980">
        <f t="shared" si="31"/>
        <v>19.950124688279303</v>
      </c>
      <c r="BH68" s="980">
        <f t="shared" si="32"/>
        <v>32.061068702290079</v>
      </c>
      <c r="BI68" s="980">
        <f t="shared" si="33"/>
        <v>35.439137134052388</v>
      </c>
      <c r="BJ68" s="1114">
        <f t="shared" si="34"/>
        <v>14.85148514851485</v>
      </c>
      <c r="BK68" s="1116">
        <f t="shared" si="35"/>
        <v>22.569444444444443</v>
      </c>
      <c r="BL68" s="1278">
        <f t="shared" si="36"/>
        <v>16.920473773265652</v>
      </c>
      <c r="BM68" s="1941">
        <f t="shared" si="37"/>
        <v>17.915309446254074</v>
      </c>
      <c r="BN68" s="2296">
        <f t="shared" si="38"/>
        <v>11.570247933884296</v>
      </c>
      <c r="BO68" s="2364">
        <f t="shared" si="39"/>
        <v>20.583190394511149</v>
      </c>
      <c r="BP68" s="2366">
        <f t="shared" si="39"/>
        <v>14.925373134328359</v>
      </c>
    </row>
    <row r="69" spans="1:68" s="142" customFormat="1" ht="15.75" customHeight="1" x14ac:dyDescent="0.3">
      <c r="A69" s="149" t="s">
        <v>164</v>
      </c>
      <c r="B69" s="185" t="s">
        <v>165</v>
      </c>
      <c r="C69" s="150" t="s">
        <v>254</v>
      </c>
      <c r="D69" s="938">
        <v>14</v>
      </c>
      <c r="E69" s="939">
        <v>18</v>
      </c>
      <c r="F69" s="940">
        <v>11</v>
      </c>
      <c r="G69" s="939">
        <v>27</v>
      </c>
      <c r="H69" s="940">
        <v>24</v>
      </c>
      <c r="I69" s="939">
        <v>20</v>
      </c>
      <c r="J69" s="940">
        <v>14</v>
      </c>
      <c r="K69" s="939">
        <v>21</v>
      </c>
      <c r="L69" s="953">
        <v>20</v>
      </c>
      <c r="M69" s="953">
        <v>20</v>
      </c>
      <c r="N69" s="953">
        <v>16</v>
      </c>
      <c r="O69" s="953">
        <v>16</v>
      </c>
      <c r="P69" s="954">
        <v>13</v>
      </c>
      <c r="Q69" s="954">
        <v>7</v>
      </c>
      <c r="R69" s="1107">
        <v>4</v>
      </c>
      <c r="S69" s="1108">
        <v>9</v>
      </c>
      <c r="T69" s="1273">
        <v>6</v>
      </c>
      <c r="U69" s="1937">
        <v>5</v>
      </c>
      <c r="V69" s="2291">
        <v>6</v>
      </c>
      <c r="W69" s="1367">
        <v>9</v>
      </c>
      <c r="X69" s="2351">
        <v>4</v>
      </c>
      <c r="Y69" s="1273"/>
      <c r="Z69" s="961">
        <v>635</v>
      </c>
      <c r="AA69" s="962">
        <v>645</v>
      </c>
      <c r="AB69" s="962">
        <v>654</v>
      </c>
      <c r="AC69" s="962">
        <v>656</v>
      </c>
      <c r="AD69" s="962">
        <v>673</v>
      </c>
      <c r="AE69" s="962">
        <v>656</v>
      </c>
      <c r="AF69" s="962">
        <v>660</v>
      </c>
      <c r="AG69" s="962">
        <v>612</v>
      </c>
      <c r="AH69" s="962">
        <v>598</v>
      </c>
      <c r="AI69" s="962">
        <v>607</v>
      </c>
      <c r="AJ69" s="962">
        <v>594</v>
      </c>
      <c r="AK69" s="962">
        <v>604</v>
      </c>
      <c r="AL69" s="962">
        <v>540</v>
      </c>
      <c r="AM69" s="962">
        <v>548</v>
      </c>
      <c r="AN69" s="1110">
        <v>518</v>
      </c>
      <c r="AO69" s="1111">
        <v>507</v>
      </c>
      <c r="AP69" s="1391">
        <v>512</v>
      </c>
      <c r="AQ69" s="1934">
        <v>510</v>
      </c>
      <c r="AR69" s="2289">
        <v>496</v>
      </c>
      <c r="AS69" s="1368">
        <v>480</v>
      </c>
      <c r="AT69" s="2353">
        <v>465</v>
      </c>
      <c r="AU69" s="1274"/>
      <c r="AV69" s="979">
        <f t="shared" ref="AV69:AV100" si="40">IF(Z69=0,"NA",(D69/Z69)*1000)</f>
        <v>22.047244094488189</v>
      </c>
      <c r="AW69" s="980">
        <f t="shared" ref="AW69:AW100" si="41">IF(AA69=0,"NA",(E69/AA69)*1000)</f>
        <v>27.906976744186046</v>
      </c>
      <c r="AX69" s="980">
        <f t="shared" ref="AX69:AX100" si="42">IF(AB69=0,"NA",(F69/AB69)*1000)</f>
        <v>16.819571865443425</v>
      </c>
      <c r="AY69" s="980">
        <f t="shared" ref="AY69:AY100" si="43">IF(AC69=0,"NA",(G69/AC69)*1000)</f>
        <v>41.158536585365859</v>
      </c>
      <c r="AZ69" s="980">
        <f t="shared" ref="AZ69:AZ100" si="44">IF(AD69=0,"NA",(H69/AD69)*1000)</f>
        <v>35.661218424962854</v>
      </c>
      <c r="BA69" s="980">
        <f t="shared" ref="BA69:BA100" si="45">IF(AE69=0,"NA",(I69/AE69)*1000)</f>
        <v>30.487804878048781</v>
      </c>
      <c r="BB69" s="980">
        <f t="shared" ref="BB69:BB100" si="46">IF(AF69=0,"NA",(J69/AF69)*1000)</f>
        <v>21.212121212121215</v>
      </c>
      <c r="BC69" s="980">
        <f t="shared" ref="BC69:BC100" si="47">IF(AG69=0,"NA",(K69/AG69)*1000)</f>
        <v>34.313725490196084</v>
      </c>
      <c r="BD69" s="980">
        <f t="shared" ref="BD69:BD100" si="48">IF(AH69=0,"NA",(L69/AH69)*1000)</f>
        <v>33.444816053511701</v>
      </c>
      <c r="BE69" s="980">
        <f t="shared" ref="BE69:BE100" si="49">IF(AI69=0,"NA",(M69/AI69)*1000)</f>
        <v>32.948929159802304</v>
      </c>
      <c r="BF69" s="980">
        <f t="shared" ref="BF69:BF100" si="50">IF(AJ69=0,"NA",(N69/AJ69)*1000)</f>
        <v>26.936026936026934</v>
      </c>
      <c r="BG69" s="980">
        <f t="shared" ref="BG69:BG100" si="51">IF(AK69=0,"NA",(O69/AK69)*1000)</f>
        <v>26.490066225165563</v>
      </c>
      <c r="BH69" s="980">
        <f t="shared" ref="BH69:BH100" si="52">IF(AL69=0,"NA",(P69/AL69)*1000)</f>
        <v>24.074074074074073</v>
      </c>
      <c r="BI69" s="980">
        <f t="shared" ref="BI69:BI100" si="53">IF(AM69=0,"NA",(Q69/AM69)*1000)</f>
        <v>12.773722627737227</v>
      </c>
      <c r="BJ69" s="1114">
        <f t="shared" ref="BJ69:BJ100" si="54">IF(AN69=0,"NA",(R69/AN69)*1000)</f>
        <v>7.7220077220077226</v>
      </c>
      <c r="BK69" s="1116">
        <f t="shared" ref="BK69:BK100" si="55">IF(AO69=0,"NA",(S69/AO69)*1000)</f>
        <v>17.751479289940828</v>
      </c>
      <c r="BL69" s="1278">
        <f t="shared" ref="BL69:BL100" si="56">IF(AP69=0,"NA",(T69/AP69)*1000)</f>
        <v>11.71875</v>
      </c>
      <c r="BM69" s="1941">
        <f t="shared" ref="BM69:BM100" si="57">IF(AQ69=0,"NA",(U69/AQ69)*1000)</f>
        <v>9.8039215686274517</v>
      </c>
      <c r="BN69" s="2296">
        <f t="shared" ref="BN69:BN100" si="58">IF(AR69=0,"NA",(V69/AR69)*1000)</f>
        <v>12.096774193548386</v>
      </c>
      <c r="BO69" s="2364">
        <f t="shared" ref="BO69:BP100" si="59">(W69/AS69)*1000</f>
        <v>18.75</v>
      </c>
      <c r="BP69" s="2366">
        <f t="shared" si="59"/>
        <v>8.6021505376344081</v>
      </c>
    </row>
    <row r="70" spans="1:68" s="142" customFormat="1" ht="15.75" customHeight="1" x14ac:dyDescent="0.3">
      <c r="A70" s="149" t="s">
        <v>168</v>
      </c>
      <c r="B70" s="185" t="s">
        <v>169</v>
      </c>
      <c r="C70" s="150" t="s">
        <v>254</v>
      </c>
      <c r="D70" s="938">
        <v>25</v>
      </c>
      <c r="E70" s="939">
        <v>41</v>
      </c>
      <c r="F70" s="940">
        <v>21</v>
      </c>
      <c r="G70" s="939">
        <v>26</v>
      </c>
      <c r="H70" s="940">
        <v>28</v>
      </c>
      <c r="I70" s="939">
        <v>33</v>
      </c>
      <c r="J70" s="940">
        <v>21</v>
      </c>
      <c r="K70" s="939">
        <v>26</v>
      </c>
      <c r="L70" s="953">
        <v>22</v>
      </c>
      <c r="M70" s="953">
        <v>19</v>
      </c>
      <c r="N70" s="953">
        <v>31</v>
      </c>
      <c r="O70" s="953">
        <v>36</v>
      </c>
      <c r="P70" s="954">
        <v>16</v>
      </c>
      <c r="Q70" s="954">
        <v>16</v>
      </c>
      <c r="R70" s="1107">
        <v>27</v>
      </c>
      <c r="S70" s="1108">
        <v>14</v>
      </c>
      <c r="T70" s="1273">
        <v>25</v>
      </c>
      <c r="U70" s="1937">
        <v>9</v>
      </c>
      <c r="V70" s="2291">
        <v>10</v>
      </c>
      <c r="W70" s="1367">
        <v>11</v>
      </c>
      <c r="X70" s="2351">
        <v>11</v>
      </c>
      <c r="Y70" s="1273"/>
      <c r="Z70" s="961">
        <v>905</v>
      </c>
      <c r="AA70" s="962">
        <v>901</v>
      </c>
      <c r="AB70" s="962">
        <v>981</v>
      </c>
      <c r="AC70" s="962">
        <v>995</v>
      </c>
      <c r="AD70" s="962">
        <v>1012</v>
      </c>
      <c r="AE70" s="962">
        <v>1000</v>
      </c>
      <c r="AF70" s="962">
        <v>974</v>
      </c>
      <c r="AG70" s="962">
        <v>927</v>
      </c>
      <c r="AH70" s="962">
        <v>892</v>
      </c>
      <c r="AI70" s="962">
        <v>881</v>
      </c>
      <c r="AJ70" s="962">
        <v>872</v>
      </c>
      <c r="AK70" s="962">
        <v>927</v>
      </c>
      <c r="AL70" s="962">
        <v>889</v>
      </c>
      <c r="AM70" s="962">
        <v>866</v>
      </c>
      <c r="AN70" s="1110">
        <v>859</v>
      </c>
      <c r="AO70" s="1111">
        <v>836</v>
      </c>
      <c r="AP70" s="1391">
        <v>828</v>
      </c>
      <c r="AQ70" s="1934">
        <v>782</v>
      </c>
      <c r="AR70" s="2289">
        <v>802</v>
      </c>
      <c r="AS70" s="1368">
        <v>799</v>
      </c>
      <c r="AT70" s="2353">
        <v>803</v>
      </c>
      <c r="AU70" s="1274"/>
      <c r="AV70" s="979">
        <f t="shared" si="40"/>
        <v>27.624309392265193</v>
      </c>
      <c r="AW70" s="980">
        <f t="shared" si="41"/>
        <v>45.504994450610432</v>
      </c>
      <c r="AX70" s="980">
        <f t="shared" si="42"/>
        <v>21.406727828746178</v>
      </c>
      <c r="AY70" s="980">
        <f t="shared" si="43"/>
        <v>26.13065326633166</v>
      </c>
      <c r="AZ70" s="980">
        <f t="shared" si="44"/>
        <v>27.66798418972332</v>
      </c>
      <c r="BA70" s="980">
        <f t="shared" si="45"/>
        <v>33</v>
      </c>
      <c r="BB70" s="980">
        <f t="shared" si="46"/>
        <v>21.560574948665298</v>
      </c>
      <c r="BC70" s="980">
        <f t="shared" si="47"/>
        <v>28.047464940668824</v>
      </c>
      <c r="BD70" s="980">
        <f t="shared" si="48"/>
        <v>24.663677130044842</v>
      </c>
      <c r="BE70" s="980">
        <f t="shared" si="49"/>
        <v>21.566401816118049</v>
      </c>
      <c r="BF70" s="980">
        <f t="shared" si="50"/>
        <v>35.550458715596335</v>
      </c>
      <c r="BG70" s="980">
        <f t="shared" si="51"/>
        <v>38.834951456310677</v>
      </c>
      <c r="BH70" s="980">
        <f t="shared" si="52"/>
        <v>17.997750281214849</v>
      </c>
      <c r="BI70" s="980">
        <f t="shared" si="53"/>
        <v>18.475750577367204</v>
      </c>
      <c r="BJ70" s="1114">
        <f t="shared" si="54"/>
        <v>31.431897555296857</v>
      </c>
      <c r="BK70" s="1116">
        <f t="shared" si="55"/>
        <v>16.746411483253588</v>
      </c>
      <c r="BL70" s="1278">
        <f t="shared" si="56"/>
        <v>30.193236714975843</v>
      </c>
      <c r="BM70" s="1941">
        <f t="shared" si="57"/>
        <v>11.508951406649617</v>
      </c>
      <c r="BN70" s="2296">
        <f t="shared" si="58"/>
        <v>12.468827930174564</v>
      </c>
      <c r="BO70" s="2364">
        <f t="shared" si="59"/>
        <v>13.767209011264081</v>
      </c>
      <c r="BP70" s="2366">
        <f t="shared" si="59"/>
        <v>13.698630136986301</v>
      </c>
    </row>
    <row r="71" spans="1:68" s="142" customFormat="1" ht="15.75" customHeight="1" x14ac:dyDescent="0.3">
      <c r="A71" s="149" t="s">
        <v>170</v>
      </c>
      <c r="B71" s="185" t="s">
        <v>171</v>
      </c>
      <c r="C71" s="150" t="s">
        <v>255</v>
      </c>
      <c r="D71" s="938">
        <v>40</v>
      </c>
      <c r="E71" s="939">
        <v>45</v>
      </c>
      <c r="F71" s="940">
        <v>35</v>
      </c>
      <c r="G71" s="939">
        <v>31</v>
      </c>
      <c r="H71" s="940">
        <v>37</v>
      </c>
      <c r="I71" s="939">
        <v>42</v>
      </c>
      <c r="J71" s="940">
        <v>33</v>
      </c>
      <c r="K71" s="939">
        <v>32</v>
      </c>
      <c r="L71" s="953">
        <v>35</v>
      </c>
      <c r="M71" s="953">
        <v>35</v>
      </c>
      <c r="N71" s="953">
        <v>40</v>
      </c>
      <c r="O71" s="953">
        <v>28</v>
      </c>
      <c r="P71" s="954">
        <v>34</v>
      </c>
      <c r="Q71" s="954">
        <v>35</v>
      </c>
      <c r="R71" s="1107">
        <v>22</v>
      </c>
      <c r="S71" s="1108">
        <v>26</v>
      </c>
      <c r="T71" s="1273">
        <v>20</v>
      </c>
      <c r="U71" s="1937">
        <v>13</v>
      </c>
      <c r="V71" s="2291">
        <v>21</v>
      </c>
      <c r="W71" s="1367">
        <v>25</v>
      </c>
      <c r="X71" s="2351">
        <v>18</v>
      </c>
      <c r="Y71" s="1273"/>
      <c r="Z71" s="961">
        <v>1515</v>
      </c>
      <c r="AA71" s="962">
        <v>1532</v>
      </c>
      <c r="AB71" s="962">
        <v>1645</v>
      </c>
      <c r="AC71" s="962">
        <v>1664</v>
      </c>
      <c r="AD71" s="962">
        <v>1703</v>
      </c>
      <c r="AE71" s="962">
        <v>1723</v>
      </c>
      <c r="AF71" s="962">
        <v>1755</v>
      </c>
      <c r="AG71" s="962">
        <v>1783</v>
      </c>
      <c r="AH71" s="962">
        <v>1811</v>
      </c>
      <c r="AI71" s="962">
        <v>1795</v>
      </c>
      <c r="AJ71" s="962">
        <v>1802</v>
      </c>
      <c r="AK71" s="962">
        <v>2075</v>
      </c>
      <c r="AL71" s="962">
        <v>2074</v>
      </c>
      <c r="AM71" s="962">
        <v>2034</v>
      </c>
      <c r="AN71" s="1110">
        <v>2043</v>
      </c>
      <c r="AO71" s="1111">
        <v>2059</v>
      </c>
      <c r="AP71" s="1391">
        <v>2054</v>
      </c>
      <c r="AQ71" s="1934">
        <v>2046</v>
      </c>
      <c r="AR71" s="2289">
        <v>1990</v>
      </c>
      <c r="AS71" s="1368">
        <v>2047</v>
      </c>
      <c r="AT71" s="2353">
        <v>2046</v>
      </c>
      <c r="AU71" s="1274"/>
      <c r="AV71" s="979">
        <f t="shared" si="40"/>
        <v>26.402640264026402</v>
      </c>
      <c r="AW71" s="980">
        <f t="shared" si="41"/>
        <v>29.373368146214101</v>
      </c>
      <c r="AX71" s="980">
        <f t="shared" si="42"/>
        <v>21.276595744680851</v>
      </c>
      <c r="AY71" s="980">
        <f t="shared" si="43"/>
        <v>18.629807692307693</v>
      </c>
      <c r="AZ71" s="980">
        <f t="shared" si="44"/>
        <v>21.726365237815617</v>
      </c>
      <c r="BA71" s="980">
        <f t="shared" si="45"/>
        <v>24.376088218224027</v>
      </c>
      <c r="BB71" s="980">
        <f t="shared" si="46"/>
        <v>18.803418803418804</v>
      </c>
      <c r="BC71" s="980">
        <f t="shared" si="47"/>
        <v>17.947279865395402</v>
      </c>
      <c r="BD71" s="980">
        <f t="shared" si="48"/>
        <v>19.326339039204861</v>
      </c>
      <c r="BE71" s="980">
        <f t="shared" si="49"/>
        <v>19.498607242339833</v>
      </c>
      <c r="BF71" s="980">
        <f t="shared" si="50"/>
        <v>22.197558268590456</v>
      </c>
      <c r="BG71" s="980">
        <f t="shared" si="51"/>
        <v>13.493975903614457</v>
      </c>
      <c r="BH71" s="980">
        <f t="shared" si="52"/>
        <v>16.393442622950822</v>
      </c>
      <c r="BI71" s="980">
        <f t="shared" si="53"/>
        <v>17.207472959685351</v>
      </c>
      <c r="BJ71" s="1114">
        <f t="shared" si="54"/>
        <v>10.768477728830151</v>
      </c>
      <c r="BK71" s="1116">
        <f t="shared" si="55"/>
        <v>12.627489072365226</v>
      </c>
      <c r="BL71" s="1278">
        <f t="shared" si="56"/>
        <v>9.7370983446932815</v>
      </c>
      <c r="BM71" s="1941">
        <f t="shared" si="57"/>
        <v>6.3538611925708706</v>
      </c>
      <c r="BN71" s="2296">
        <f t="shared" si="58"/>
        <v>10.552763819095476</v>
      </c>
      <c r="BO71" s="2364">
        <f t="shared" si="59"/>
        <v>12.212994626282365</v>
      </c>
      <c r="BP71" s="2366">
        <f t="shared" si="59"/>
        <v>8.7976539589442826</v>
      </c>
    </row>
    <row r="72" spans="1:68" s="142" customFormat="1" ht="15.75" customHeight="1" x14ac:dyDescent="0.3">
      <c r="A72" s="149" t="s">
        <v>172</v>
      </c>
      <c r="B72" s="185" t="s">
        <v>173</v>
      </c>
      <c r="C72" s="150" t="s">
        <v>255</v>
      </c>
      <c r="D72" s="938">
        <v>43</v>
      </c>
      <c r="E72" s="939">
        <v>43</v>
      </c>
      <c r="F72" s="940">
        <v>52</v>
      </c>
      <c r="G72" s="939">
        <v>45</v>
      </c>
      <c r="H72" s="940">
        <v>49</v>
      </c>
      <c r="I72" s="939">
        <v>41</v>
      </c>
      <c r="J72" s="940">
        <v>45</v>
      </c>
      <c r="K72" s="939">
        <v>32</v>
      </c>
      <c r="L72" s="953">
        <v>31</v>
      </c>
      <c r="M72" s="953">
        <v>32</v>
      </c>
      <c r="N72" s="953">
        <v>27</v>
      </c>
      <c r="O72" s="953">
        <v>34</v>
      </c>
      <c r="P72" s="954">
        <v>26</v>
      </c>
      <c r="Q72" s="954">
        <v>33</v>
      </c>
      <c r="R72" s="1107">
        <v>26</v>
      </c>
      <c r="S72" s="1108">
        <v>23</v>
      </c>
      <c r="T72" s="1273">
        <v>21</v>
      </c>
      <c r="U72" s="1937">
        <v>12</v>
      </c>
      <c r="V72" s="2291">
        <v>15</v>
      </c>
      <c r="W72" s="1367">
        <v>18</v>
      </c>
      <c r="X72" s="2351">
        <v>18</v>
      </c>
      <c r="Y72" s="1273"/>
      <c r="Z72" s="961">
        <v>1495</v>
      </c>
      <c r="AA72" s="962">
        <v>1507</v>
      </c>
      <c r="AB72" s="962">
        <v>1495</v>
      </c>
      <c r="AC72" s="962">
        <v>1463</v>
      </c>
      <c r="AD72" s="962">
        <v>1471</v>
      </c>
      <c r="AE72" s="962">
        <v>1472</v>
      </c>
      <c r="AF72" s="962">
        <v>1473</v>
      </c>
      <c r="AG72" s="962">
        <v>1476</v>
      </c>
      <c r="AH72" s="962">
        <v>1437</v>
      </c>
      <c r="AI72" s="962">
        <v>1432</v>
      </c>
      <c r="AJ72" s="962">
        <v>1405</v>
      </c>
      <c r="AK72" s="962">
        <v>1408</v>
      </c>
      <c r="AL72" s="962">
        <v>1450</v>
      </c>
      <c r="AM72" s="962">
        <v>1422</v>
      </c>
      <c r="AN72" s="1110">
        <v>1400</v>
      </c>
      <c r="AO72" s="1111">
        <v>1364</v>
      </c>
      <c r="AP72" s="1391">
        <v>1384</v>
      </c>
      <c r="AQ72" s="1934">
        <v>1350</v>
      </c>
      <c r="AR72" s="2289">
        <v>1322</v>
      </c>
      <c r="AS72" s="1368">
        <v>1318</v>
      </c>
      <c r="AT72" s="2353">
        <v>1317</v>
      </c>
      <c r="AU72" s="1274"/>
      <c r="AV72" s="979">
        <f t="shared" si="40"/>
        <v>28.762541806020067</v>
      </c>
      <c r="AW72" s="980">
        <f t="shared" si="41"/>
        <v>28.533510285335105</v>
      </c>
      <c r="AX72" s="980">
        <f t="shared" si="42"/>
        <v>34.782608695652172</v>
      </c>
      <c r="AY72" s="980">
        <f t="shared" si="43"/>
        <v>30.758714969241282</v>
      </c>
      <c r="AZ72" s="980">
        <f t="shared" si="44"/>
        <v>33.310673011556759</v>
      </c>
      <c r="BA72" s="980">
        <f t="shared" si="45"/>
        <v>27.853260869565215</v>
      </c>
      <c r="BB72" s="980">
        <f t="shared" si="46"/>
        <v>30.549898167006109</v>
      </c>
      <c r="BC72" s="980">
        <f t="shared" si="47"/>
        <v>21.680216802168022</v>
      </c>
      <c r="BD72" s="980">
        <f t="shared" si="48"/>
        <v>21.572720946416144</v>
      </c>
      <c r="BE72" s="980">
        <f t="shared" si="49"/>
        <v>22.346368715083798</v>
      </c>
      <c r="BF72" s="980">
        <f t="shared" si="50"/>
        <v>19.217081850533805</v>
      </c>
      <c r="BG72" s="980">
        <f t="shared" si="51"/>
        <v>24.147727272727273</v>
      </c>
      <c r="BH72" s="980">
        <f t="shared" si="52"/>
        <v>17.931034482758619</v>
      </c>
      <c r="BI72" s="980">
        <f t="shared" si="53"/>
        <v>23.206751054852322</v>
      </c>
      <c r="BJ72" s="1114">
        <f t="shared" si="54"/>
        <v>18.571428571428573</v>
      </c>
      <c r="BK72" s="1116">
        <f t="shared" si="55"/>
        <v>16.862170087976537</v>
      </c>
      <c r="BL72" s="1278">
        <f t="shared" si="56"/>
        <v>15.173410404624278</v>
      </c>
      <c r="BM72" s="1941">
        <f t="shared" si="57"/>
        <v>8.8888888888888893</v>
      </c>
      <c r="BN72" s="2296">
        <f t="shared" si="58"/>
        <v>11.346444780635402</v>
      </c>
      <c r="BO72" s="2364">
        <f t="shared" si="59"/>
        <v>13.657056145675266</v>
      </c>
      <c r="BP72" s="2366">
        <f t="shared" si="59"/>
        <v>13.66742596810934</v>
      </c>
    </row>
    <row r="73" spans="1:68" s="142" customFormat="1" ht="15.75" customHeight="1" x14ac:dyDescent="0.3">
      <c r="A73" s="149" t="s">
        <v>174</v>
      </c>
      <c r="B73" s="185" t="s">
        <v>175</v>
      </c>
      <c r="C73" s="150" t="s">
        <v>256</v>
      </c>
      <c r="D73" s="938">
        <v>23</v>
      </c>
      <c r="E73" s="939">
        <v>29</v>
      </c>
      <c r="F73" s="940">
        <v>22</v>
      </c>
      <c r="G73" s="939">
        <v>21</v>
      </c>
      <c r="H73" s="940">
        <v>24</v>
      </c>
      <c r="I73" s="939">
        <v>21</v>
      </c>
      <c r="J73" s="940">
        <v>15</v>
      </c>
      <c r="K73" s="939">
        <v>28</v>
      </c>
      <c r="L73" s="953">
        <v>13</v>
      </c>
      <c r="M73" s="953">
        <v>15</v>
      </c>
      <c r="N73" s="953">
        <v>21</v>
      </c>
      <c r="O73" s="953">
        <v>15</v>
      </c>
      <c r="P73" s="954">
        <v>20</v>
      </c>
      <c r="Q73" s="954">
        <v>10</v>
      </c>
      <c r="R73" s="1107">
        <v>15</v>
      </c>
      <c r="S73" s="1108">
        <v>13</v>
      </c>
      <c r="T73" s="1273">
        <v>15</v>
      </c>
      <c r="U73" s="1937">
        <v>13</v>
      </c>
      <c r="V73" s="2291">
        <v>12</v>
      </c>
      <c r="W73" s="1367">
        <v>12</v>
      </c>
      <c r="X73" s="2351">
        <v>6</v>
      </c>
      <c r="Y73" s="1273"/>
      <c r="Z73" s="961">
        <v>1010</v>
      </c>
      <c r="AA73" s="962">
        <v>994</v>
      </c>
      <c r="AB73" s="962">
        <v>1118</v>
      </c>
      <c r="AC73" s="962">
        <v>1112</v>
      </c>
      <c r="AD73" s="962">
        <v>1109</v>
      </c>
      <c r="AE73" s="962">
        <v>1090</v>
      </c>
      <c r="AF73" s="962">
        <v>1100</v>
      </c>
      <c r="AG73" s="962">
        <v>1085</v>
      </c>
      <c r="AH73" s="962">
        <v>1067</v>
      </c>
      <c r="AI73" s="962">
        <v>1044</v>
      </c>
      <c r="AJ73" s="962">
        <v>1022</v>
      </c>
      <c r="AK73" s="962">
        <v>1060</v>
      </c>
      <c r="AL73" s="962">
        <v>1049</v>
      </c>
      <c r="AM73" s="962">
        <v>994</v>
      </c>
      <c r="AN73" s="1110">
        <v>1006</v>
      </c>
      <c r="AO73" s="1111">
        <v>984</v>
      </c>
      <c r="AP73" s="1391">
        <v>986</v>
      </c>
      <c r="AQ73" s="1934">
        <v>952</v>
      </c>
      <c r="AR73" s="2289">
        <v>905</v>
      </c>
      <c r="AS73" s="1368">
        <v>879</v>
      </c>
      <c r="AT73" s="2353">
        <v>871</v>
      </c>
      <c r="AU73" s="1274"/>
      <c r="AV73" s="979">
        <f t="shared" si="40"/>
        <v>22.772277227722771</v>
      </c>
      <c r="AW73" s="980">
        <f t="shared" si="41"/>
        <v>29.175050301810867</v>
      </c>
      <c r="AX73" s="980">
        <f t="shared" si="42"/>
        <v>19.677996422182471</v>
      </c>
      <c r="AY73" s="980">
        <f t="shared" si="43"/>
        <v>18.884892086330936</v>
      </c>
      <c r="AZ73" s="980">
        <f t="shared" si="44"/>
        <v>21.641118124436431</v>
      </c>
      <c r="BA73" s="980">
        <f t="shared" si="45"/>
        <v>19.26605504587156</v>
      </c>
      <c r="BB73" s="980">
        <f t="shared" si="46"/>
        <v>13.636363636363635</v>
      </c>
      <c r="BC73" s="980">
        <f t="shared" si="47"/>
        <v>25.806451612903224</v>
      </c>
      <c r="BD73" s="980">
        <f t="shared" si="48"/>
        <v>12.183692596063731</v>
      </c>
      <c r="BE73" s="980">
        <f t="shared" si="49"/>
        <v>14.367816091954023</v>
      </c>
      <c r="BF73" s="980">
        <f t="shared" si="50"/>
        <v>20.547945205479451</v>
      </c>
      <c r="BG73" s="980">
        <f t="shared" si="51"/>
        <v>14.150943396226415</v>
      </c>
      <c r="BH73" s="980">
        <f t="shared" si="52"/>
        <v>19.065776930409914</v>
      </c>
      <c r="BI73" s="980">
        <f t="shared" si="53"/>
        <v>10.060362173038229</v>
      </c>
      <c r="BJ73" s="1114">
        <f t="shared" si="54"/>
        <v>14.910536779324055</v>
      </c>
      <c r="BK73" s="1116">
        <f t="shared" si="55"/>
        <v>13.21138211382114</v>
      </c>
      <c r="BL73" s="1278">
        <f t="shared" si="56"/>
        <v>15.212981744421906</v>
      </c>
      <c r="BM73" s="1941">
        <f t="shared" si="57"/>
        <v>13.655462184873949</v>
      </c>
      <c r="BN73" s="2296">
        <f t="shared" si="58"/>
        <v>13.259668508287293</v>
      </c>
      <c r="BO73" s="2364">
        <f t="shared" si="59"/>
        <v>13.651877133105803</v>
      </c>
      <c r="BP73" s="2366">
        <f t="shared" si="59"/>
        <v>6.8886337543053955</v>
      </c>
    </row>
    <row r="74" spans="1:68" s="142" customFormat="1" ht="15.75" customHeight="1" x14ac:dyDescent="0.3">
      <c r="A74" s="149" t="s">
        <v>178</v>
      </c>
      <c r="B74" s="185" t="s">
        <v>179</v>
      </c>
      <c r="C74" s="150" t="s">
        <v>253</v>
      </c>
      <c r="D74" s="938">
        <v>105</v>
      </c>
      <c r="E74" s="939">
        <v>123</v>
      </c>
      <c r="F74" s="940">
        <v>115</v>
      </c>
      <c r="G74" s="939">
        <v>89</v>
      </c>
      <c r="H74" s="940">
        <v>70</v>
      </c>
      <c r="I74" s="939">
        <v>92</v>
      </c>
      <c r="J74" s="940">
        <v>70</v>
      </c>
      <c r="K74" s="939">
        <v>90</v>
      </c>
      <c r="L74" s="953">
        <v>68</v>
      </c>
      <c r="M74" s="953">
        <v>72</v>
      </c>
      <c r="N74" s="953">
        <v>69</v>
      </c>
      <c r="O74" s="953">
        <v>63</v>
      </c>
      <c r="P74" s="954">
        <v>56</v>
      </c>
      <c r="Q74" s="954">
        <v>42</v>
      </c>
      <c r="R74" s="1107">
        <v>48</v>
      </c>
      <c r="S74" s="1108">
        <v>36</v>
      </c>
      <c r="T74" s="1273">
        <v>37</v>
      </c>
      <c r="U74" s="1937">
        <v>36</v>
      </c>
      <c r="V74" s="2291">
        <v>36</v>
      </c>
      <c r="W74" s="1367">
        <v>36</v>
      </c>
      <c r="X74" s="2351">
        <v>33</v>
      </c>
      <c r="Y74" s="1273"/>
      <c r="Z74" s="961">
        <v>3613</v>
      </c>
      <c r="AA74" s="962">
        <v>3601</v>
      </c>
      <c r="AB74" s="962">
        <v>4068</v>
      </c>
      <c r="AC74" s="962">
        <v>4021</v>
      </c>
      <c r="AD74" s="962">
        <v>3989</v>
      </c>
      <c r="AE74" s="962">
        <v>3909</v>
      </c>
      <c r="AF74" s="962">
        <v>3873</v>
      </c>
      <c r="AG74" s="962">
        <v>3776</v>
      </c>
      <c r="AH74" s="962">
        <v>3690</v>
      </c>
      <c r="AI74" s="962">
        <v>3598</v>
      </c>
      <c r="AJ74" s="962">
        <v>3536</v>
      </c>
      <c r="AK74" s="962">
        <v>3670</v>
      </c>
      <c r="AL74" s="962">
        <v>3759</v>
      </c>
      <c r="AM74" s="962">
        <v>3736</v>
      </c>
      <c r="AN74" s="1110">
        <v>3668</v>
      </c>
      <c r="AO74" s="1111">
        <v>3669</v>
      </c>
      <c r="AP74" s="1391">
        <v>3631</v>
      </c>
      <c r="AQ74" s="1934">
        <v>3589</v>
      </c>
      <c r="AR74" s="2289">
        <v>3588</v>
      </c>
      <c r="AS74" s="1368">
        <v>3571</v>
      </c>
      <c r="AT74" s="2353">
        <v>3505</v>
      </c>
      <c r="AU74" s="1274"/>
      <c r="AV74" s="979">
        <f t="shared" si="40"/>
        <v>29.061721561029614</v>
      </c>
      <c r="AW74" s="980">
        <f t="shared" si="41"/>
        <v>34.15717856151069</v>
      </c>
      <c r="AX74" s="980">
        <f t="shared" si="42"/>
        <v>28.269419862340218</v>
      </c>
      <c r="AY74" s="980">
        <f t="shared" si="43"/>
        <v>22.133797562795323</v>
      </c>
      <c r="AZ74" s="980">
        <f t="shared" si="44"/>
        <v>17.548257708698923</v>
      </c>
      <c r="BA74" s="980">
        <f t="shared" si="45"/>
        <v>23.535431056536197</v>
      </c>
      <c r="BB74" s="980">
        <f t="shared" si="46"/>
        <v>18.073844564936742</v>
      </c>
      <c r="BC74" s="980">
        <f t="shared" si="47"/>
        <v>23.834745762711865</v>
      </c>
      <c r="BD74" s="980">
        <f t="shared" si="48"/>
        <v>18.428184281842821</v>
      </c>
      <c r="BE74" s="980">
        <f t="shared" si="49"/>
        <v>20.011117287381879</v>
      </c>
      <c r="BF74" s="980">
        <f t="shared" si="50"/>
        <v>19.513574660633484</v>
      </c>
      <c r="BG74" s="980">
        <f t="shared" si="51"/>
        <v>17.166212534059945</v>
      </c>
      <c r="BH74" s="980">
        <f t="shared" si="52"/>
        <v>14.8975791433892</v>
      </c>
      <c r="BI74" s="980">
        <f t="shared" si="53"/>
        <v>11.241970021413277</v>
      </c>
      <c r="BJ74" s="1114">
        <f t="shared" si="54"/>
        <v>13.086150490730644</v>
      </c>
      <c r="BK74" s="1116">
        <f t="shared" si="55"/>
        <v>9.8119378577269014</v>
      </c>
      <c r="BL74" s="1278">
        <f t="shared" si="56"/>
        <v>10.190030294684659</v>
      </c>
      <c r="BM74" s="1941">
        <f t="shared" si="57"/>
        <v>10.030649205906938</v>
      </c>
      <c r="BN74" s="2296">
        <f t="shared" si="58"/>
        <v>10.033444816053512</v>
      </c>
      <c r="BO74" s="2364">
        <f t="shared" si="59"/>
        <v>10.081209745169421</v>
      </c>
      <c r="BP74" s="2366">
        <f t="shared" si="59"/>
        <v>9.4151212553495007</v>
      </c>
    </row>
    <row r="75" spans="1:68" s="142" customFormat="1" ht="15.75" customHeight="1" x14ac:dyDescent="0.3">
      <c r="A75" s="149" t="s">
        <v>182</v>
      </c>
      <c r="B75" s="185" t="s">
        <v>183</v>
      </c>
      <c r="C75" s="150" t="s">
        <v>254</v>
      </c>
      <c r="D75" s="938">
        <v>7</v>
      </c>
      <c r="E75" s="939">
        <v>17</v>
      </c>
      <c r="F75" s="940">
        <v>20</v>
      </c>
      <c r="G75" s="939">
        <v>17</v>
      </c>
      <c r="H75" s="940">
        <v>12</v>
      </c>
      <c r="I75" s="939">
        <v>12</v>
      </c>
      <c r="J75" s="940">
        <v>14</v>
      </c>
      <c r="K75" s="939">
        <v>13</v>
      </c>
      <c r="L75" s="953">
        <v>11</v>
      </c>
      <c r="M75" s="953">
        <v>10</v>
      </c>
      <c r="N75" s="953">
        <v>11</v>
      </c>
      <c r="O75" s="953">
        <v>7</v>
      </c>
      <c r="P75" s="954">
        <v>14</v>
      </c>
      <c r="Q75" s="954">
        <v>8</v>
      </c>
      <c r="R75" s="1107">
        <v>15</v>
      </c>
      <c r="S75" s="1108">
        <v>10</v>
      </c>
      <c r="T75" s="1273">
        <v>7</v>
      </c>
      <c r="U75" s="1937">
        <v>9</v>
      </c>
      <c r="V75" s="2291">
        <v>10</v>
      </c>
      <c r="W75" s="1367">
        <v>3</v>
      </c>
      <c r="X75" s="2351">
        <v>4</v>
      </c>
      <c r="Y75" s="1273"/>
      <c r="Z75" s="961">
        <v>1014</v>
      </c>
      <c r="AA75" s="962">
        <v>1028</v>
      </c>
      <c r="AB75" s="962">
        <v>1370</v>
      </c>
      <c r="AC75" s="962">
        <v>1429</v>
      </c>
      <c r="AD75" s="962">
        <v>1497</v>
      </c>
      <c r="AE75" s="962">
        <v>1545</v>
      </c>
      <c r="AF75" s="962">
        <v>1620</v>
      </c>
      <c r="AG75" s="962">
        <v>1620</v>
      </c>
      <c r="AH75" s="962">
        <v>1628</v>
      </c>
      <c r="AI75" s="962">
        <v>1589</v>
      </c>
      <c r="AJ75" s="962">
        <v>1596</v>
      </c>
      <c r="AK75" s="962">
        <v>1770</v>
      </c>
      <c r="AL75" s="962">
        <v>1793</v>
      </c>
      <c r="AM75" s="962">
        <v>1792</v>
      </c>
      <c r="AN75" s="1110">
        <v>1719</v>
      </c>
      <c r="AO75" s="1111">
        <v>1617</v>
      </c>
      <c r="AP75" s="1391">
        <v>1579</v>
      </c>
      <c r="AQ75" s="1934">
        <v>1542</v>
      </c>
      <c r="AR75" s="2289">
        <v>1473</v>
      </c>
      <c r="AS75" s="1368">
        <v>1467</v>
      </c>
      <c r="AT75" s="2353">
        <v>1474</v>
      </c>
      <c r="AU75" s="1274"/>
      <c r="AV75" s="979">
        <f t="shared" si="40"/>
        <v>6.9033530571992108</v>
      </c>
      <c r="AW75" s="980">
        <f t="shared" si="41"/>
        <v>16.536964980544749</v>
      </c>
      <c r="AX75" s="980">
        <f t="shared" si="42"/>
        <v>14.598540145985401</v>
      </c>
      <c r="AY75" s="980">
        <f t="shared" si="43"/>
        <v>11.896431070678798</v>
      </c>
      <c r="AZ75" s="980">
        <f t="shared" si="44"/>
        <v>8.0160320641282556</v>
      </c>
      <c r="BA75" s="980">
        <f t="shared" si="45"/>
        <v>7.766990291262136</v>
      </c>
      <c r="BB75" s="980">
        <f t="shared" si="46"/>
        <v>8.6419753086419746</v>
      </c>
      <c r="BC75" s="980">
        <f t="shared" si="47"/>
        <v>8.0246913580246915</v>
      </c>
      <c r="BD75" s="980">
        <f t="shared" si="48"/>
        <v>6.756756756756757</v>
      </c>
      <c r="BE75" s="980">
        <f t="shared" si="49"/>
        <v>6.2932662051604789</v>
      </c>
      <c r="BF75" s="980">
        <f t="shared" si="50"/>
        <v>6.8922305764411025</v>
      </c>
      <c r="BG75" s="980">
        <f t="shared" si="51"/>
        <v>3.9548022598870056</v>
      </c>
      <c r="BH75" s="980">
        <f t="shared" si="52"/>
        <v>7.8081427774679311</v>
      </c>
      <c r="BI75" s="980">
        <f t="shared" si="53"/>
        <v>4.4642857142857144</v>
      </c>
      <c r="BJ75" s="1114">
        <f t="shared" si="54"/>
        <v>8.7260034904013963</v>
      </c>
      <c r="BK75" s="1116">
        <f t="shared" si="55"/>
        <v>6.1842918985776132</v>
      </c>
      <c r="BL75" s="1278">
        <f t="shared" si="56"/>
        <v>4.4331855604813173</v>
      </c>
      <c r="BM75" s="1941">
        <f t="shared" si="57"/>
        <v>5.836575875486381</v>
      </c>
      <c r="BN75" s="2296">
        <f t="shared" si="58"/>
        <v>6.7888662593346911</v>
      </c>
      <c r="BO75" s="2364">
        <f t="shared" si="59"/>
        <v>2.0449897750511248</v>
      </c>
      <c r="BP75" s="2366">
        <f t="shared" si="59"/>
        <v>2.7137042062415193</v>
      </c>
    </row>
    <row r="76" spans="1:68" s="142" customFormat="1" ht="15.75" customHeight="1" x14ac:dyDescent="0.3">
      <c r="A76" s="149" t="s">
        <v>184</v>
      </c>
      <c r="B76" s="185" t="s">
        <v>185</v>
      </c>
      <c r="C76" s="150" t="s">
        <v>254</v>
      </c>
      <c r="D76" s="938">
        <v>38</v>
      </c>
      <c r="E76" s="939">
        <v>37</v>
      </c>
      <c r="F76" s="940">
        <v>44</v>
      </c>
      <c r="G76" s="939">
        <v>32</v>
      </c>
      <c r="H76" s="940">
        <v>25</v>
      </c>
      <c r="I76" s="939">
        <v>21</v>
      </c>
      <c r="J76" s="940">
        <v>23</v>
      </c>
      <c r="K76" s="939">
        <v>26</v>
      </c>
      <c r="L76" s="953">
        <v>25</v>
      </c>
      <c r="M76" s="953">
        <v>25</v>
      </c>
      <c r="N76" s="953">
        <v>34</v>
      </c>
      <c r="O76" s="953">
        <v>27</v>
      </c>
      <c r="P76" s="954">
        <v>25</v>
      </c>
      <c r="Q76" s="954">
        <v>23</v>
      </c>
      <c r="R76" s="1107">
        <v>16</v>
      </c>
      <c r="S76" s="1108">
        <v>12</v>
      </c>
      <c r="T76" s="1273">
        <v>19</v>
      </c>
      <c r="U76" s="1937">
        <v>6</v>
      </c>
      <c r="V76" s="2291">
        <v>15</v>
      </c>
      <c r="W76" s="1367">
        <v>10</v>
      </c>
      <c r="X76" s="2351">
        <v>7</v>
      </c>
      <c r="Y76" s="1273"/>
      <c r="Z76" s="961">
        <v>1670</v>
      </c>
      <c r="AA76" s="962">
        <v>1667</v>
      </c>
      <c r="AB76" s="962">
        <v>1854</v>
      </c>
      <c r="AC76" s="962">
        <v>1867</v>
      </c>
      <c r="AD76" s="962">
        <v>1910</v>
      </c>
      <c r="AE76" s="962">
        <v>1933</v>
      </c>
      <c r="AF76" s="962">
        <v>1924</v>
      </c>
      <c r="AG76" s="962">
        <v>1890</v>
      </c>
      <c r="AH76" s="962">
        <v>1875</v>
      </c>
      <c r="AI76" s="962">
        <v>1936</v>
      </c>
      <c r="AJ76" s="962">
        <v>1978</v>
      </c>
      <c r="AK76" s="962">
        <v>2049</v>
      </c>
      <c r="AL76" s="962">
        <v>2030</v>
      </c>
      <c r="AM76" s="962">
        <v>1994</v>
      </c>
      <c r="AN76" s="1110">
        <v>1969</v>
      </c>
      <c r="AO76" s="1111">
        <v>2019</v>
      </c>
      <c r="AP76" s="1391">
        <v>2048</v>
      </c>
      <c r="AQ76" s="1934">
        <v>2041</v>
      </c>
      <c r="AR76" s="2289">
        <v>1990</v>
      </c>
      <c r="AS76" s="1368">
        <v>1892</v>
      </c>
      <c r="AT76" s="2353">
        <v>1903</v>
      </c>
      <c r="AU76" s="1274"/>
      <c r="AV76" s="979">
        <f t="shared" si="40"/>
        <v>22.754491017964074</v>
      </c>
      <c r="AW76" s="980">
        <f t="shared" si="41"/>
        <v>22.195560887822438</v>
      </c>
      <c r="AX76" s="980">
        <f t="shared" si="42"/>
        <v>23.732470334412085</v>
      </c>
      <c r="AY76" s="980">
        <f t="shared" si="43"/>
        <v>17.13979646491698</v>
      </c>
      <c r="AZ76" s="980">
        <f t="shared" si="44"/>
        <v>13.089005235602095</v>
      </c>
      <c r="BA76" s="980">
        <f t="shared" si="45"/>
        <v>10.863942058975685</v>
      </c>
      <c r="BB76" s="980">
        <f t="shared" si="46"/>
        <v>11.954261954261955</v>
      </c>
      <c r="BC76" s="980">
        <f t="shared" si="47"/>
        <v>13.756613756613756</v>
      </c>
      <c r="BD76" s="980">
        <f t="shared" si="48"/>
        <v>13.333333333333334</v>
      </c>
      <c r="BE76" s="980">
        <f t="shared" si="49"/>
        <v>12.913223140495868</v>
      </c>
      <c r="BF76" s="980">
        <f t="shared" si="50"/>
        <v>17.189079878665318</v>
      </c>
      <c r="BG76" s="980">
        <f t="shared" si="51"/>
        <v>13.177159590043924</v>
      </c>
      <c r="BH76" s="980">
        <f t="shared" si="52"/>
        <v>12.315270935960593</v>
      </c>
      <c r="BI76" s="980">
        <f t="shared" si="53"/>
        <v>11.534603811434303</v>
      </c>
      <c r="BJ76" s="1114">
        <f t="shared" si="54"/>
        <v>8.1259522600304717</v>
      </c>
      <c r="BK76" s="1116">
        <f t="shared" si="55"/>
        <v>5.9435364041604748</v>
      </c>
      <c r="BL76" s="1278">
        <f t="shared" si="56"/>
        <v>9.27734375</v>
      </c>
      <c r="BM76" s="1941">
        <f t="shared" si="57"/>
        <v>2.9397354238118569</v>
      </c>
      <c r="BN76" s="2296">
        <f t="shared" si="58"/>
        <v>7.5376884422110546</v>
      </c>
      <c r="BO76" s="2364">
        <f t="shared" si="59"/>
        <v>5.2854122621564485</v>
      </c>
      <c r="BP76" s="2366">
        <f t="shared" si="59"/>
        <v>3.6784025223331582</v>
      </c>
    </row>
    <row r="77" spans="1:68" s="142" customFormat="1" ht="15.75" customHeight="1" x14ac:dyDescent="0.3">
      <c r="A77" s="149" t="s">
        <v>186</v>
      </c>
      <c r="B77" s="185" t="s">
        <v>187</v>
      </c>
      <c r="C77" s="150" t="s">
        <v>252</v>
      </c>
      <c r="D77" s="938">
        <v>29</v>
      </c>
      <c r="E77" s="939">
        <v>38</v>
      </c>
      <c r="F77" s="940">
        <v>34</v>
      </c>
      <c r="G77" s="939">
        <v>29</v>
      </c>
      <c r="H77" s="940">
        <v>29</v>
      </c>
      <c r="I77" s="939">
        <v>42</v>
      </c>
      <c r="J77" s="940">
        <v>37</v>
      </c>
      <c r="K77" s="939">
        <v>30</v>
      </c>
      <c r="L77" s="953">
        <v>21</v>
      </c>
      <c r="M77" s="953">
        <v>32</v>
      </c>
      <c r="N77" s="953">
        <v>23</v>
      </c>
      <c r="O77" s="953">
        <v>38</v>
      </c>
      <c r="P77" s="954">
        <v>30</v>
      </c>
      <c r="Q77" s="954">
        <v>27</v>
      </c>
      <c r="R77" s="1107">
        <v>24</v>
      </c>
      <c r="S77" s="1108">
        <v>19</v>
      </c>
      <c r="T77" s="1273">
        <v>13</v>
      </c>
      <c r="U77" s="1937">
        <v>11</v>
      </c>
      <c r="V77" s="2291">
        <v>25</v>
      </c>
      <c r="W77" s="1367">
        <v>13</v>
      </c>
      <c r="X77" s="2351">
        <v>17</v>
      </c>
      <c r="Y77" s="1273"/>
      <c r="Z77" s="961">
        <v>2054</v>
      </c>
      <c r="AA77" s="962">
        <v>2064</v>
      </c>
      <c r="AB77" s="962">
        <v>2544</v>
      </c>
      <c r="AC77" s="962">
        <v>2647</v>
      </c>
      <c r="AD77" s="962">
        <v>2695</v>
      </c>
      <c r="AE77" s="962">
        <v>2727</v>
      </c>
      <c r="AF77" s="962">
        <v>2712</v>
      </c>
      <c r="AG77" s="962">
        <v>2654</v>
      </c>
      <c r="AH77" s="962">
        <v>2573</v>
      </c>
      <c r="AI77" s="962">
        <v>2554</v>
      </c>
      <c r="AJ77" s="962">
        <v>2484</v>
      </c>
      <c r="AK77" s="962">
        <v>2716</v>
      </c>
      <c r="AL77" s="962">
        <v>2312</v>
      </c>
      <c r="AM77" s="962">
        <v>2343</v>
      </c>
      <c r="AN77" s="1110">
        <v>2278</v>
      </c>
      <c r="AO77" s="1111">
        <v>2237</v>
      </c>
      <c r="AP77" s="1391">
        <v>2204</v>
      </c>
      <c r="AQ77" s="1934">
        <v>2290</v>
      </c>
      <c r="AR77" s="2289">
        <v>2330</v>
      </c>
      <c r="AS77" s="1368">
        <v>2318</v>
      </c>
      <c r="AT77" s="2353">
        <v>2302</v>
      </c>
      <c r="AU77" s="1274"/>
      <c r="AV77" s="979">
        <f t="shared" si="40"/>
        <v>14.118792599805257</v>
      </c>
      <c r="AW77" s="980">
        <f t="shared" si="41"/>
        <v>18.410852713178297</v>
      </c>
      <c r="AX77" s="980">
        <f t="shared" si="42"/>
        <v>13.364779874213838</v>
      </c>
      <c r="AY77" s="980">
        <f t="shared" si="43"/>
        <v>10.95579901775595</v>
      </c>
      <c r="AZ77" s="980">
        <f t="shared" si="44"/>
        <v>10.760667903525047</v>
      </c>
      <c r="BA77" s="980">
        <f t="shared" si="45"/>
        <v>15.401540154015402</v>
      </c>
      <c r="BB77" s="980">
        <f t="shared" si="46"/>
        <v>13.64306784660767</v>
      </c>
      <c r="BC77" s="980">
        <f t="shared" si="47"/>
        <v>11.303692539562924</v>
      </c>
      <c r="BD77" s="980">
        <f t="shared" si="48"/>
        <v>8.1616789739603579</v>
      </c>
      <c r="BE77" s="980">
        <f t="shared" si="49"/>
        <v>12.529365700861394</v>
      </c>
      <c r="BF77" s="980">
        <f t="shared" si="50"/>
        <v>9.2592592592592595</v>
      </c>
      <c r="BG77" s="980">
        <f t="shared" si="51"/>
        <v>13.991163475699558</v>
      </c>
      <c r="BH77" s="980">
        <f t="shared" si="52"/>
        <v>12.975778546712801</v>
      </c>
      <c r="BI77" s="980">
        <f t="shared" si="53"/>
        <v>11.523687580025609</v>
      </c>
      <c r="BJ77" s="1114">
        <f t="shared" si="54"/>
        <v>10.535557506584723</v>
      </c>
      <c r="BK77" s="1116">
        <f t="shared" si="55"/>
        <v>8.4935181046043802</v>
      </c>
      <c r="BL77" s="1278">
        <f t="shared" si="56"/>
        <v>5.8983666061705993</v>
      </c>
      <c r="BM77" s="1941">
        <f t="shared" si="57"/>
        <v>4.8034934497816595</v>
      </c>
      <c r="BN77" s="2296">
        <f t="shared" si="58"/>
        <v>10.729613733905579</v>
      </c>
      <c r="BO77" s="2364">
        <f t="shared" si="59"/>
        <v>5.6082830025884389</v>
      </c>
      <c r="BP77" s="2366">
        <f t="shared" si="59"/>
        <v>7.3848827106863597</v>
      </c>
    </row>
    <row r="78" spans="1:68" s="142" customFormat="1" ht="15.75" customHeight="1" x14ac:dyDescent="0.3">
      <c r="A78" s="149" t="s">
        <v>188</v>
      </c>
      <c r="B78" s="185" t="s">
        <v>189</v>
      </c>
      <c r="C78" s="150" t="s">
        <v>255</v>
      </c>
      <c r="D78" s="938">
        <v>405</v>
      </c>
      <c r="E78" s="939">
        <v>426</v>
      </c>
      <c r="F78" s="940">
        <v>404</v>
      </c>
      <c r="G78" s="939">
        <v>451</v>
      </c>
      <c r="H78" s="940">
        <v>420</v>
      </c>
      <c r="I78" s="939">
        <v>386</v>
      </c>
      <c r="J78" s="940">
        <v>439</v>
      </c>
      <c r="K78" s="939">
        <v>447</v>
      </c>
      <c r="L78" s="953">
        <v>479</v>
      </c>
      <c r="M78" s="953">
        <v>474</v>
      </c>
      <c r="N78" s="953">
        <v>408</v>
      </c>
      <c r="O78" s="953">
        <v>404</v>
      </c>
      <c r="P78" s="954">
        <v>380</v>
      </c>
      <c r="Q78" s="954">
        <v>325</v>
      </c>
      <c r="R78" s="1107">
        <v>325</v>
      </c>
      <c r="S78" s="1108">
        <v>275</v>
      </c>
      <c r="T78" s="1273">
        <v>246</v>
      </c>
      <c r="U78" s="1937">
        <v>232</v>
      </c>
      <c r="V78" s="2291">
        <v>242</v>
      </c>
      <c r="W78" s="1367">
        <v>261</v>
      </c>
      <c r="X78" s="2351">
        <v>230</v>
      </c>
      <c r="Y78" s="1273"/>
      <c r="Z78" s="961">
        <v>19321</v>
      </c>
      <c r="AA78" s="962">
        <v>19752</v>
      </c>
      <c r="AB78" s="962">
        <v>21315</v>
      </c>
      <c r="AC78" s="962">
        <v>22796</v>
      </c>
      <c r="AD78" s="962">
        <v>23735</v>
      </c>
      <c r="AE78" s="962">
        <v>24592</v>
      </c>
      <c r="AF78" s="962">
        <v>25136</v>
      </c>
      <c r="AG78" s="962">
        <v>25705</v>
      </c>
      <c r="AH78" s="962">
        <v>25596</v>
      </c>
      <c r="AI78" s="962">
        <v>25690</v>
      </c>
      <c r="AJ78" s="962">
        <v>25773</v>
      </c>
      <c r="AK78" s="962">
        <v>27037</v>
      </c>
      <c r="AL78" s="962">
        <v>29106</v>
      </c>
      <c r="AM78" s="962">
        <v>29815</v>
      </c>
      <c r="AN78" s="1110">
        <v>30602</v>
      </c>
      <c r="AO78" s="1111">
        <v>31274</v>
      </c>
      <c r="AP78" s="1391">
        <v>31783</v>
      </c>
      <c r="AQ78" s="1934">
        <v>31928</v>
      </c>
      <c r="AR78" s="2289">
        <v>32629</v>
      </c>
      <c r="AS78" s="1368">
        <v>32970</v>
      </c>
      <c r="AT78" s="2353">
        <v>33478</v>
      </c>
      <c r="AU78" s="1274"/>
      <c r="AV78" s="979">
        <f t="shared" si="40"/>
        <v>20.961647947828787</v>
      </c>
      <c r="AW78" s="980">
        <f t="shared" si="41"/>
        <v>21.567436208991491</v>
      </c>
      <c r="AX78" s="980">
        <f t="shared" si="42"/>
        <v>18.953788411916491</v>
      </c>
      <c r="AY78" s="980">
        <f t="shared" si="43"/>
        <v>19.784172661870503</v>
      </c>
      <c r="AZ78" s="980">
        <f t="shared" si="44"/>
        <v>17.69538655993259</v>
      </c>
      <c r="BA78" s="980">
        <f t="shared" si="45"/>
        <v>15.696161353285619</v>
      </c>
      <c r="BB78" s="980">
        <f t="shared" si="46"/>
        <v>17.464990451941439</v>
      </c>
      <c r="BC78" s="980">
        <f t="shared" si="47"/>
        <v>17.389612915775142</v>
      </c>
      <c r="BD78" s="980">
        <f t="shared" si="48"/>
        <v>18.713861540865761</v>
      </c>
      <c r="BE78" s="980">
        <f t="shared" si="49"/>
        <v>18.450759050214092</v>
      </c>
      <c r="BF78" s="980">
        <f t="shared" si="50"/>
        <v>15.83052031195437</v>
      </c>
      <c r="BG78" s="980">
        <f t="shared" si="51"/>
        <v>14.942486222583867</v>
      </c>
      <c r="BH78" s="980">
        <f t="shared" si="52"/>
        <v>13.055727341441626</v>
      </c>
      <c r="BI78" s="980">
        <f t="shared" si="53"/>
        <v>10.900553412711723</v>
      </c>
      <c r="BJ78" s="1114">
        <f t="shared" si="54"/>
        <v>10.620220900594733</v>
      </c>
      <c r="BK78" s="1116">
        <f t="shared" si="55"/>
        <v>8.7932467864679928</v>
      </c>
      <c r="BL78" s="1278">
        <f t="shared" si="56"/>
        <v>7.7399867853884148</v>
      </c>
      <c r="BM78" s="1941">
        <f t="shared" si="57"/>
        <v>7.2663492858932592</v>
      </c>
      <c r="BN78" s="2296">
        <f t="shared" si="58"/>
        <v>7.4167151920071106</v>
      </c>
      <c r="BO78" s="2364">
        <f t="shared" si="59"/>
        <v>7.9162875341219285</v>
      </c>
      <c r="BP78" s="2366">
        <f t="shared" si="59"/>
        <v>6.8701834040265251</v>
      </c>
    </row>
    <row r="79" spans="1:68" s="142" customFormat="1" ht="15.75" customHeight="1" x14ac:dyDescent="0.3">
      <c r="A79" s="149" t="s">
        <v>190</v>
      </c>
      <c r="B79" s="185" t="s">
        <v>191</v>
      </c>
      <c r="C79" s="150" t="s">
        <v>256</v>
      </c>
      <c r="D79" s="938">
        <v>70</v>
      </c>
      <c r="E79" s="939">
        <v>58</v>
      </c>
      <c r="F79" s="940">
        <v>50</v>
      </c>
      <c r="G79" s="939">
        <v>65</v>
      </c>
      <c r="H79" s="940">
        <v>47</v>
      </c>
      <c r="I79" s="939">
        <v>36</v>
      </c>
      <c r="J79" s="940">
        <v>44</v>
      </c>
      <c r="K79" s="939">
        <v>47</v>
      </c>
      <c r="L79" s="953">
        <v>44</v>
      </c>
      <c r="M79" s="953">
        <v>43</v>
      </c>
      <c r="N79" s="953">
        <v>51</v>
      </c>
      <c r="O79" s="953">
        <v>65</v>
      </c>
      <c r="P79" s="954">
        <v>42</v>
      </c>
      <c r="Q79" s="954">
        <v>36</v>
      </c>
      <c r="R79" s="1107">
        <v>48</v>
      </c>
      <c r="S79" s="1108">
        <v>40</v>
      </c>
      <c r="T79" s="1273">
        <v>32</v>
      </c>
      <c r="U79" s="1937">
        <v>38</v>
      </c>
      <c r="V79" s="2291">
        <v>32</v>
      </c>
      <c r="W79" s="1367">
        <v>23</v>
      </c>
      <c r="X79" s="2351">
        <v>24</v>
      </c>
      <c r="Y79" s="1273"/>
      <c r="Z79" s="961">
        <v>1944</v>
      </c>
      <c r="AA79" s="962">
        <v>1894</v>
      </c>
      <c r="AB79" s="962">
        <v>1914</v>
      </c>
      <c r="AC79" s="962">
        <v>1923</v>
      </c>
      <c r="AD79" s="962">
        <v>1907</v>
      </c>
      <c r="AE79" s="962">
        <v>1920</v>
      </c>
      <c r="AF79" s="962">
        <v>1900</v>
      </c>
      <c r="AG79" s="962">
        <v>1846</v>
      </c>
      <c r="AH79" s="962">
        <v>1830</v>
      </c>
      <c r="AI79" s="962">
        <v>1810</v>
      </c>
      <c r="AJ79" s="962">
        <v>1813</v>
      </c>
      <c r="AK79" s="962">
        <v>1821</v>
      </c>
      <c r="AL79" s="962">
        <v>1908</v>
      </c>
      <c r="AM79" s="962">
        <v>1826</v>
      </c>
      <c r="AN79" s="1110">
        <v>1805</v>
      </c>
      <c r="AO79" s="1111">
        <v>1738</v>
      </c>
      <c r="AP79" s="1391">
        <v>1670</v>
      </c>
      <c r="AQ79" s="1934">
        <v>1703</v>
      </c>
      <c r="AR79" s="2289">
        <v>1706</v>
      </c>
      <c r="AS79" s="1368">
        <v>1697</v>
      </c>
      <c r="AT79" s="2353">
        <v>1689</v>
      </c>
      <c r="AU79" s="1274"/>
      <c r="AV79" s="979">
        <f t="shared" si="40"/>
        <v>36.008230452674901</v>
      </c>
      <c r="AW79" s="980">
        <f t="shared" si="41"/>
        <v>30.623020063357973</v>
      </c>
      <c r="AX79" s="980">
        <f t="shared" si="42"/>
        <v>26.123301985370951</v>
      </c>
      <c r="AY79" s="980">
        <f t="shared" si="43"/>
        <v>33.801352054082159</v>
      </c>
      <c r="AZ79" s="980">
        <f t="shared" si="44"/>
        <v>24.646040901940221</v>
      </c>
      <c r="BA79" s="980">
        <f t="shared" si="45"/>
        <v>18.75</v>
      </c>
      <c r="BB79" s="980">
        <f t="shared" si="46"/>
        <v>23.157894736842106</v>
      </c>
      <c r="BC79" s="980">
        <f t="shared" si="47"/>
        <v>25.460455037919829</v>
      </c>
      <c r="BD79" s="980">
        <f t="shared" si="48"/>
        <v>24.043715846994537</v>
      </c>
      <c r="BE79" s="980">
        <f t="shared" si="49"/>
        <v>23.756906077348066</v>
      </c>
      <c r="BF79" s="980">
        <f t="shared" si="50"/>
        <v>28.130170987313846</v>
      </c>
      <c r="BG79" s="980">
        <f t="shared" si="51"/>
        <v>35.694673256452504</v>
      </c>
      <c r="BH79" s="980">
        <f t="shared" si="52"/>
        <v>22.012578616352201</v>
      </c>
      <c r="BI79" s="980">
        <f t="shared" si="53"/>
        <v>19.715224534501644</v>
      </c>
      <c r="BJ79" s="1114">
        <f t="shared" si="54"/>
        <v>26.592797783933516</v>
      </c>
      <c r="BK79" s="1116">
        <f t="shared" si="55"/>
        <v>23.014959723820485</v>
      </c>
      <c r="BL79" s="1278">
        <f t="shared" si="56"/>
        <v>19.161676646706585</v>
      </c>
      <c r="BM79" s="1941">
        <f t="shared" si="57"/>
        <v>22.313564298297123</v>
      </c>
      <c r="BN79" s="2296">
        <f t="shared" si="58"/>
        <v>18.75732708089097</v>
      </c>
      <c r="BO79" s="2364">
        <f t="shared" si="59"/>
        <v>13.553329404832056</v>
      </c>
      <c r="BP79" s="2366">
        <f t="shared" si="59"/>
        <v>14.209591474245116</v>
      </c>
    </row>
    <row r="80" spans="1:68" s="142" customFormat="1" ht="15.75" customHeight="1" x14ac:dyDescent="0.3">
      <c r="A80" s="149" t="s">
        <v>194</v>
      </c>
      <c r="B80" s="185" t="s">
        <v>195</v>
      </c>
      <c r="C80" s="150" t="s">
        <v>255</v>
      </c>
      <c r="D80" s="938">
        <v>8</v>
      </c>
      <c r="E80" s="939">
        <v>9</v>
      </c>
      <c r="F80" s="940">
        <v>5</v>
      </c>
      <c r="G80" s="939">
        <v>11</v>
      </c>
      <c r="H80" s="940">
        <v>6</v>
      </c>
      <c r="I80" s="939">
        <v>2</v>
      </c>
      <c r="J80" s="940">
        <v>4</v>
      </c>
      <c r="K80" s="939">
        <v>8</v>
      </c>
      <c r="L80" s="953">
        <v>5</v>
      </c>
      <c r="M80" s="953">
        <v>6</v>
      </c>
      <c r="N80" s="953">
        <v>6</v>
      </c>
      <c r="O80" s="953">
        <v>4</v>
      </c>
      <c r="P80" s="954">
        <v>3</v>
      </c>
      <c r="Q80" s="954">
        <v>6</v>
      </c>
      <c r="R80" s="1107">
        <v>4</v>
      </c>
      <c r="S80" s="1108">
        <v>1</v>
      </c>
      <c r="T80" s="1273">
        <v>3</v>
      </c>
      <c r="U80" s="1937">
        <v>3</v>
      </c>
      <c r="V80" s="2291">
        <v>0</v>
      </c>
      <c r="W80" s="1367">
        <v>3</v>
      </c>
      <c r="X80" s="2351">
        <v>2</v>
      </c>
      <c r="Y80" s="1273"/>
      <c r="Z80" s="961">
        <v>465</v>
      </c>
      <c r="AA80" s="962">
        <v>473</v>
      </c>
      <c r="AB80" s="962">
        <v>462</v>
      </c>
      <c r="AC80" s="962">
        <v>469</v>
      </c>
      <c r="AD80" s="962">
        <v>459</v>
      </c>
      <c r="AE80" s="962">
        <v>471</v>
      </c>
      <c r="AF80" s="962">
        <v>476</v>
      </c>
      <c r="AG80" s="962">
        <v>455</v>
      </c>
      <c r="AH80" s="962">
        <v>436</v>
      </c>
      <c r="AI80" s="962">
        <v>415</v>
      </c>
      <c r="AJ80" s="962">
        <v>404</v>
      </c>
      <c r="AK80" s="962">
        <v>407</v>
      </c>
      <c r="AL80" s="962">
        <v>438</v>
      </c>
      <c r="AM80" s="962">
        <v>439</v>
      </c>
      <c r="AN80" s="1110">
        <v>420</v>
      </c>
      <c r="AO80" s="1111">
        <v>421</v>
      </c>
      <c r="AP80" s="1391">
        <v>397</v>
      </c>
      <c r="AQ80" s="1934">
        <v>396</v>
      </c>
      <c r="AR80" s="2289">
        <v>382</v>
      </c>
      <c r="AS80" s="1368">
        <v>377</v>
      </c>
      <c r="AT80" s="2353">
        <v>372</v>
      </c>
      <c r="AU80" s="1274"/>
      <c r="AV80" s="979">
        <f t="shared" si="40"/>
        <v>17.204301075268816</v>
      </c>
      <c r="AW80" s="980">
        <f t="shared" si="41"/>
        <v>19.027484143763214</v>
      </c>
      <c r="AX80" s="980">
        <f t="shared" si="42"/>
        <v>10.822510822510822</v>
      </c>
      <c r="AY80" s="980">
        <f t="shared" si="43"/>
        <v>23.454157782515992</v>
      </c>
      <c r="AZ80" s="980">
        <f t="shared" si="44"/>
        <v>13.071895424836601</v>
      </c>
      <c r="BA80" s="980">
        <f t="shared" si="45"/>
        <v>4.2462845010615711</v>
      </c>
      <c r="BB80" s="980">
        <f t="shared" si="46"/>
        <v>8.4033613445378155</v>
      </c>
      <c r="BC80" s="980">
        <f t="shared" si="47"/>
        <v>17.582417582417584</v>
      </c>
      <c r="BD80" s="980">
        <f t="shared" si="48"/>
        <v>11.467889908256881</v>
      </c>
      <c r="BE80" s="980">
        <f t="shared" si="49"/>
        <v>14.457831325301205</v>
      </c>
      <c r="BF80" s="980">
        <f t="shared" si="50"/>
        <v>14.85148514851485</v>
      </c>
      <c r="BG80" s="980">
        <f t="shared" si="51"/>
        <v>9.8280098280098276</v>
      </c>
      <c r="BH80" s="980">
        <f t="shared" si="52"/>
        <v>6.8493150684931505</v>
      </c>
      <c r="BI80" s="980">
        <f t="shared" si="53"/>
        <v>13.66742596810934</v>
      </c>
      <c r="BJ80" s="1114">
        <f t="shared" si="54"/>
        <v>9.5238095238095255</v>
      </c>
      <c r="BK80" s="1116">
        <f t="shared" si="55"/>
        <v>2.3752969121140142</v>
      </c>
      <c r="BL80" s="1278">
        <f t="shared" si="56"/>
        <v>7.5566750629722916</v>
      </c>
      <c r="BM80" s="1941">
        <f t="shared" si="57"/>
        <v>7.5757575757575761</v>
      </c>
      <c r="BN80" s="2296">
        <f t="shared" si="58"/>
        <v>0</v>
      </c>
      <c r="BO80" s="2364">
        <f t="shared" si="59"/>
        <v>7.9575596816976129</v>
      </c>
      <c r="BP80" s="2366">
        <f t="shared" si="59"/>
        <v>5.3763440860215059</v>
      </c>
    </row>
    <row r="81" spans="1:68" s="142" customFormat="1" ht="15.75" customHeight="1" x14ac:dyDescent="0.3">
      <c r="A81" s="149" t="s">
        <v>198</v>
      </c>
      <c r="B81" s="185" t="s">
        <v>260</v>
      </c>
      <c r="C81" s="150" t="s">
        <v>254</v>
      </c>
      <c r="D81" s="938">
        <v>10</v>
      </c>
      <c r="E81" s="939">
        <v>7</v>
      </c>
      <c r="F81" s="940">
        <v>12</v>
      </c>
      <c r="G81" s="939">
        <v>10</v>
      </c>
      <c r="H81" s="940">
        <v>10</v>
      </c>
      <c r="I81" s="939">
        <v>8</v>
      </c>
      <c r="J81" s="940">
        <v>8</v>
      </c>
      <c r="K81" s="939">
        <v>10</v>
      </c>
      <c r="L81" s="953">
        <v>11</v>
      </c>
      <c r="M81" s="953">
        <v>14</v>
      </c>
      <c r="N81" s="953">
        <v>6</v>
      </c>
      <c r="O81" s="953">
        <v>12</v>
      </c>
      <c r="P81" s="954">
        <v>11</v>
      </c>
      <c r="Q81" s="954">
        <v>6</v>
      </c>
      <c r="R81" s="1107">
        <v>1</v>
      </c>
      <c r="S81" s="1108">
        <v>5</v>
      </c>
      <c r="T81" s="1273">
        <v>6</v>
      </c>
      <c r="U81" s="1937">
        <v>1</v>
      </c>
      <c r="V81" s="2291">
        <v>4</v>
      </c>
      <c r="W81" s="1367">
        <v>3</v>
      </c>
      <c r="X81" s="2351">
        <v>4</v>
      </c>
      <c r="Y81" s="1273"/>
      <c r="Z81" s="961">
        <v>463</v>
      </c>
      <c r="AA81" s="962">
        <v>468</v>
      </c>
      <c r="AB81" s="962">
        <v>466</v>
      </c>
      <c r="AC81" s="962">
        <v>464</v>
      </c>
      <c r="AD81" s="962">
        <v>462</v>
      </c>
      <c r="AE81" s="962">
        <v>454</v>
      </c>
      <c r="AF81" s="962">
        <v>441</v>
      </c>
      <c r="AG81" s="962">
        <v>394</v>
      </c>
      <c r="AH81" s="962">
        <v>382</v>
      </c>
      <c r="AI81" s="962">
        <v>369</v>
      </c>
      <c r="AJ81" s="962">
        <v>366</v>
      </c>
      <c r="AK81" s="962">
        <v>378</v>
      </c>
      <c r="AL81" s="962">
        <v>454</v>
      </c>
      <c r="AM81" s="962">
        <v>435</v>
      </c>
      <c r="AN81" s="1110">
        <v>444</v>
      </c>
      <c r="AO81" s="1111">
        <v>419</v>
      </c>
      <c r="AP81" s="1391">
        <v>411</v>
      </c>
      <c r="AQ81" s="1934">
        <v>432</v>
      </c>
      <c r="AR81" s="2289">
        <v>415</v>
      </c>
      <c r="AS81" s="1368">
        <v>427</v>
      </c>
      <c r="AT81" s="2353">
        <v>453</v>
      </c>
      <c r="AU81" s="1274"/>
      <c r="AV81" s="979">
        <f t="shared" si="40"/>
        <v>21.598272138228939</v>
      </c>
      <c r="AW81" s="980">
        <f t="shared" si="41"/>
        <v>14.957264957264957</v>
      </c>
      <c r="AX81" s="980">
        <f t="shared" si="42"/>
        <v>25.751072961373392</v>
      </c>
      <c r="AY81" s="980">
        <f t="shared" si="43"/>
        <v>21.551724137931036</v>
      </c>
      <c r="AZ81" s="980">
        <f t="shared" si="44"/>
        <v>21.645021645021643</v>
      </c>
      <c r="BA81" s="980">
        <f t="shared" si="45"/>
        <v>17.621145374449341</v>
      </c>
      <c r="BB81" s="980">
        <f t="shared" si="46"/>
        <v>18.140589569160998</v>
      </c>
      <c r="BC81" s="980">
        <f t="shared" si="47"/>
        <v>25.380710659898476</v>
      </c>
      <c r="BD81" s="980">
        <f t="shared" si="48"/>
        <v>28.795811518324605</v>
      </c>
      <c r="BE81" s="980">
        <f t="shared" si="49"/>
        <v>37.940379403794033</v>
      </c>
      <c r="BF81" s="980">
        <f t="shared" si="50"/>
        <v>16.393442622950822</v>
      </c>
      <c r="BG81" s="980">
        <f t="shared" si="51"/>
        <v>31.746031746031743</v>
      </c>
      <c r="BH81" s="980">
        <f t="shared" si="52"/>
        <v>24.229074889867842</v>
      </c>
      <c r="BI81" s="980">
        <f t="shared" si="53"/>
        <v>13.793103448275861</v>
      </c>
      <c r="BJ81" s="1114">
        <f t="shared" si="54"/>
        <v>2.2522522522522523</v>
      </c>
      <c r="BK81" s="1116">
        <f t="shared" si="55"/>
        <v>11.933174224343675</v>
      </c>
      <c r="BL81" s="1278">
        <f t="shared" si="56"/>
        <v>14.598540145985401</v>
      </c>
      <c r="BM81" s="1941">
        <f t="shared" si="57"/>
        <v>2.3148148148148149</v>
      </c>
      <c r="BN81" s="2296">
        <f t="shared" si="58"/>
        <v>9.6385542168674707</v>
      </c>
      <c r="BO81" s="2364">
        <f t="shared" si="59"/>
        <v>7.0257611241217797</v>
      </c>
      <c r="BP81" s="2366">
        <f t="shared" si="59"/>
        <v>8.8300220750551883</v>
      </c>
    </row>
    <row r="82" spans="1:68" s="142" customFormat="1" ht="15.75" customHeight="1" x14ac:dyDescent="0.3">
      <c r="A82" s="149" t="s">
        <v>202</v>
      </c>
      <c r="B82" s="185" t="s">
        <v>289</v>
      </c>
      <c r="C82" s="150" t="s">
        <v>253</v>
      </c>
      <c r="D82" s="938">
        <v>83</v>
      </c>
      <c r="E82" s="939">
        <v>93</v>
      </c>
      <c r="F82" s="940">
        <v>99</v>
      </c>
      <c r="G82" s="939">
        <v>123</v>
      </c>
      <c r="H82" s="940">
        <v>107</v>
      </c>
      <c r="I82" s="939">
        <v>116</v>
      </c>
      <c r="J82" s="940">
        <v>150</v>
      </c>
      <c r="K82" s="939">
        <v>111</v>
      </c>
      <c r="L82" s="953">
        <v>107</v>
      </c>
      <c r="M82" s="953">
        <v>78</v>
      </c>
      <c r="N82" s="953">
        <v>98</v>
      </c>
      <c r="O82" s="953">
        <v>104</v>
      </c>
      <c r="P82" s="954">
        <v>85</v>
      </c>
      <c r="Q82" s="954">
        <v>72</v>
      </c>
      <c r="R82" s="1107">
        <v>65</v>
      </c>
      <c r="S82" s="1108">
        <v>68</v>
      </c>
      <c r="T82" s="1273">
        <v>53</v>
      </c>
      <c r="U82" s="1937">
        <v>33</v>
      </c>
      <c r="V82" s="2291">
        <v>50</v>
      </c>
      <c r="W82" s="1367">
        <v>35</v>
      </c>
      <c r="X82" s="2351">
        <v>38</v>
      </c>
      <c r="Y82" s="1273"/>
      <c r="Z82" s="961">
        <v>7163</v>
      </c>
      <c r="AA82" s="962">
        <v>7170</v>
      </c>
      <c r="AB82" s="962">
        <v>7461</v>
      </c>
      <c r="AC82" s="962">
        <v>7559</v>
      </c>
      <c r="AD82" s="962">
        <v>7620</v>
      </c>
      <c r="AE82" s="962">
        <v>7653</v>
      </c>
      <c r="AF82" s="962">
        <v>7624</v>
      </c>
      <c r="AG82" s="962">
        <v>7534</v>
      </c>
      <c r="AH82" s="962">
        <v>7471</v>
      </c>
      <c r="AI82" s="962">
        <v>7395</v>
      </c>
      <c r="AJ82" s="962">
        <v>7252</v>
      </c>
      <c r="AK82" s="962">
        <v>7712</v>
      </c>
      <c r="AL82" s="962">
        <v>7852</v>
      </c>
      <c r="AM82" s="962">
        <v>7724</v>
      </c>
      <c r="AN82" s="1110">
        <v>7605</v>
      </c>
      <c r="AO82" s="1111">
        <v>7659</v>
      </c>
      <c r="AP82" s="1391">
        <v>7586</v>
      </c>
      <c r="AQ82" s="1934">
        <v>7582</v>
      </c>
      <c r="AR82" s="2289">
        <v>7490</v>
      </c>
      <c r="AS82" s="1368">
        <v>7434</v>
      </c>
      <c r="AT82" s="2353">
        <v>7395</v>
      </c>
      <c r="AU82" s="1274"/>
      <c r="AV82" s="979">
        <f t="shared" si="40"/>
        <v>11.587323747033366</v>
      </c>
      <c r="AW82" s="980">
        <f t="shared" si="41"/>
        <v>12.97071129707113</v>
      </c>
      <c r="AX82" s="980">
        <f t="shared" si="42"/>
        <v>13.268998793727382</v>
      </c>
      <c r="AY82" s="980">
        <f t="shared" si="43"/>
        <v>16.271993649953696</v>
      </c>
      <c r="AZ82" s="980">
        <f t="shared" si="44"/>
        <v>14.041994750656167</v>
      </c>
      <c r="BA82" s="980">
        <f t="shared" si="45"/>
        <v>15.157454592970076</v>
      </c>
      <c r="BB82" s="980">
        <f t="shared" si="46"/>
        <v>19.67471143756558</v>
      </c>
      <c r="BC82" s="980">
        <f t="shared" si="47"/>
        <v>14.733209450491106</v>
      </c>
      <c r="BD82" s="980">
        <f t="shared" si="48"/>
        <v>14.322045241600856</v>
      </c>
      <c r="BE82" s="980">
        <f t="shared" si="49"/>
        <v>10.547667342799189</v>
      </c>
      <c r="BF82" s="980">
        <f t="shared" si="50"/>
        <v>13.513513513513514</v>
      </c>
      <c r="BG82" s="980">
        <f t="shared" si="51"/>
        <v>13.485477178423237</v>
      </c>
      <c r="BH82" s="980">
        <f t="shared" si="52"/>
        <v>10.825267447784004</v>
      </c>
      <c r="BI82" s="980">
        <f t="shared" si="53"/>
        <v>9.321595028482653</v>
      </c>
      <c r="BJ82" s="1114">
        <f t="shared" si="54"/>
        <v>8.5470085470085486</v>
      </c>
      <c r="BK82" s="1116">
        <f t="shared" si="55"/>
        <v>8.8784436610523567</v>
      </c>
      <c r="BL82" s="1278">
        <f t="shared" si="56"/>
        <v>6.9865541787503291</v>
      </c>
      <c r="BM82" s="1941">
        <f t="shared" si="57"/>
        <v>4.3524136111843834</v>
      </c>
      <c r="BN82" s="2296">
        <f t="shared" si="58"/>
        <v>6.6755674232309747</v>
      </c>
      <c r="BO82" s="2364">
        <f t="shared" si="59"/>
        <v>4.7080979284369109</v>
      </c>
      <c r="BP82" s="2366">
        <f t="shared" si="59"/>
        <v>5.1386071670047331</v>
      </c>
    </row>
    <row r="83" spans="1:68" s="142" customFormat="1" ht="15.75" customHeight="1" x14ac:dyDescent="0.3">
      <c r="A83" s="149" t="s">
        <v>204</v>
      </c>
      <c r="B83" s="185" t="s">
        <v>281</v>
      </c>
      <c r="C83" s="150" t="s">
        <v>253</v>
      </c>
      <c r="D83" s="938">
        <v>46</v>
      </c>
      <c r="E83" s="939">
        <v>29</v>
      </c>
      <c r="F83" s="940">
        <v>31</v>
      </c>
      <c r="G83" s="939">
        <v>36</v>
      </c>
      <c r="H83" s="940">
        <v>35</v>
      </c>
      <c r="I83" s="939">
        <v>32</v>
      </c>
      <c r="J83" s="940">
        <v>44</v>
      </c>
      <c r="K83" s="939">
        <v>38</v>
      </c>
      <c r="L83" s="953">
        <v>28</v>
      </c>
      <c r="M83" s="953">
        <v>41</v>
      </c>
      <c r="N83" s="953">
        <v>44</v>
      </c>
      <c r="O83" s="953">
        <v>44</v>
      </c>
      <c r="P83" s="954">
        <v>36</v>
      </c>
      <c r="Q83" s="954">
        <v>33</v>
      </c>
      <c r="R83" s="1107">
        <v>25</v>
      </c>
      <c r="S83" s="1108">
        <v>18</v>
      </c>
      <c r="T83" s="1273">
        <v>31</v>
      </c>
      <c r="U83" s="1937">
        <v>19</v>
      </c>
      <c r="V83" s="2291">
        <v>20</v>
      </c>
      <c r="W83" s="1367">
        <v>13</v>
      </c>
      <c r="X83" s="2351">
        <v>8</v>
      </c>
      <c r="Y83" s="1273"/>
      <c r="Z83" s="961">
        <v>2089</v>
      </c>
      <c r="AA83" s="962">
        <v>2084</v>
      </c>
      <c r="AB83" s="962">
        <v>2310</v>
      </c>
      <c r="AC83" s="962">
        <v>2279</v>
      </c>
      <c r="AD83" s="962">
        <v>2250</v>
      </c>
      <c r="AE83" s="962">
        <v>2247</v>
      </c>
      <c r="AF83" s="962">
        <v>2213</v>
      </c>
      <c r="AG83" s="962">
        <v>2229</v>
      </c>
      <c r="AH83" s="962">
        <v>2211</v>
      </c>
      <c r="AI83" s="962">
        <v>2213</v>
      </c>
      <c r="AJ83" s="962">
        <v>2199</v>
      </c>
      <c r="AK83" s="962">
        <v>2135</v>
      </c>
      <c r="AL83" s="962">
        <v>2275</v>
      </c>
      <c r="AM83" s="962">
        <v>2244</v>
      </c>
      <c r="AN83" s="1110">
        <v>2268</v>
      </c>
      <c r="AO83" s="1111">
        <v>2267</v>
      </c>
      <c r="AP83" s="1391">
        <v>2289</v>
      </c>
      <c r="AQ83" s="1934">
        <v>2287</v>
      </c>
      <c r="AR83" s="2289">
        <v>2232</v>
      </c>
      <c r="AS83" s="1368">
        <v>2334</v>
      </c>
      <c r="AT83" s="2353">
        <v>2350</v>
      </c>
      <c r="AU83" s="1274"/>
      <c r="AV83" s="979">
        <f t="shared" si="40"/>
        <v>22.020105313547152</v>
      </c>
      <c r="AW83" s="980">
        <f t="shared" si="41"/>
        <v>13.915547024952014</v>
      </c>
      <c r="AX83" s="980">
        <f t="shared" si="42"/>
        <v>13.419913419913421</v>
      </c>
      <c r="AY83" s="980">
        <f t="shared" si="43"/>
        <v>15.796401930671347</v>
      </c>
      <c r="AZ83" s="980">
        <f t="shared" si="44"/>
        <v>15.555555555555555</v>
      </c>
      <c r="BA83" s="980">
        <f t="shared" si="45"/>
        <v>14.241210502892745</v>
      </c>
      <c r="BB83" s="980">
        <f t="shared" si="46"/>
        <v>19.882512426570266</v>
      </c>
      <c r="BC83" s="980">
        <f t="shared" si="47"/>
        <v>17.048003589053387</v>
      </c>
      <c r="BD83" s="980">
        <f t="shared" si="48"/>
        <v>12.663952962460424</v>
      </c>
      <c r="BE83" s="980">
        <f t="shared" si="49"/>
        <v>18.526886579304112</v>
      </c>
      <c r="BF83" s="980">
        <f t="shared" si="50"/>
        <v>20.009095043201455</v>
      </c>
      <c r="BG83" s="980">
        <f t="shared" si="51"/>
        <v>20.608899297423889</v>
      </c>
      <c r="BH83" s="980">
        <f t="shared" si="52"/>
        <v>15.824175824175825</v>
      </c>
      <c r="BI83" s="980">
        <f t="shared" si="53"/>
        <v>14.705882352941176</v>
      </c>
      <c r="BJ83" s="1114">
        <f t="shared" si="54"/>
        <v>11.022927689594356</v>
      </c>
      <c r="BK83" s="1116">
        <f t="shared" si="55"/>
        <v>7.9400088222320235</v>
      </c>
      <c r="BL83" s="1278">
        <f t="shared" si="56"/>
        <v>13.543031891655744</v>
      </c>
      <c r="BM83" s="1941">
        <f t="shared" si="57"/>
        <v>8.3078268473983385</v>
      </c>
      <c r="BN83" s="2296">
        <f t="shared" si="58"/>
        <v>8.9605734767025087</v>
      </c>
      <c r="BO83" s="2364">
        <f t="shared" si="59"/>
        <v>5.5698371893744643</v>
      </c>
      <c r="BP83" s="2366">
        <f t="shared" si="59"/>
        <v>3.4042553191489362</v>
      </c>
    </row>
    <row r="84" spans="1:68" s="142" customFormat="1" ht="15.75" customHeight="1" x14ac:dyDescent="0.3">
      <c r="A84" s="149" t="s">
        <v>206</v>
      </c>
      <c r="B84" s="185" t="s">
        <v>282</v>
      </c>
      <c r="C84" s="150" t="s">
        <v>255</v>
      </c>
      <c r="D84" s="938">
        <v>166</v>
      </c>
      <c r="E84" s="939">
        <v>179</v>
      </c>
      <c r="F84" s="940">
        <v>150</v>
      </c>
      <c r="G84" s="939">
        <v>165</v>
      </c>
      <c r="H84" s="940">
        <v>138</v>
      </c>
      <c r="I84" s="939">
        <v>160</v>
      </c>
      <c r="J84" s="940">
        <v>159</v>
      </c>
      <c r="K84" s="939">
        <v>141</v>
      </c>
      <c r="L84" s="953">
        <v>155</v>
      </c>
      <c r="M84" s="953">
        <v>138</v>
      </c>
      <c r="N84" s="953">
        <v>145</v>
      </c>
      <c r="O84" s="953">
        <v>120</v>
      </c>
      <c r="P84" s="954">
        <v>133</v>
      </c>
      <c r="Q84" s="954">
        <v>124</v>
      </c>
      <c r="R84" s="1107">
        <v>90</v>
      </c>
      <c r="S84" s="1108">
        <v>110</v>
      </c>
      <c r="T84" s="1273">
        <v>96</v>
      </c>
      <c r="U84" s="1937">
        <v>104</v>
      </c>
      <c r="V84" s="2291">
        <v>82</v>
      </c>
      <c r="W84" s="1367">
        <v>72</v>
      </c>
      <c r="X84" s="2351">
        <v>90</v>
      </c>
      <c r="Y84" s="1273"/>
      <c r="Z84" s="961">
        <v>7556</v>
      </c>
      <c r="AA84" s="962">
        <v>7629</v>
      </c>
      <c r="AB84" s="962">
        <v>9246</v>
      </c>
      <c r="AC84" s="962">
        <v>8922</v>
      </c>
      <c r="AD84" s="962">
        <v>8890</v>
      </c>
      <c r="AE84" s="962">
        <v>8966</v>
      </c>
      <c r="AF84" s="962">
        <v>8982</v>
      </c>
      <c r="AG84" s="962">
        <v>8971</v>
      </c>
      <c r="AH84" s="962">
        <v>9080</v>
      </c>
      <c r="AI84" s="962">
        <v>9420</v>
      </c>
      <c r="AJ84" s="962">
        <v>9278</v>
      </c>
      <c r="AK84" s="962">
        <v>9613</v>
      </c>
      <c r="AL84" s="962">
        <v>10756</v>
      </c>
      <c r="AM84" s="962">
        <v>10625</v>
      </c>
      <c r="AN84" s="1110">
        <v>10687</v>
      </c>
      <c r="AO84" s="1111">
        <v>10758</v>
      </c>
      <c r="AP84" s="1391">
        <v>10786</v>
      </c>
      <c r="AQ84" s="1934">
        <v>10736</v>
      </c>
      <c r="AR84" s="2289">
        <v>10871</v>
      </c>
      <c r="AS84" s="1368">
        <v>10951</v>
      </c>
      <c r="AT84" s="2353">
        <v>10947</v>
      </c>
      <c r="AU84" s="1274"/>
      <c r="AV84" s="979">
        <f t="shared" si="40"/>
        <v>21.969295923769188</v>
      </c>
      <c r="AW84" s="980">
        <f t="shared" si="41"/>
        <v>23.46310132389566</v>
      </c>
      <c r="AX84" s="980">
        <f t="shared" si="42"/>
        <v>16.223231667748216</v>
      </c>
      <c r="AY84" s="980">
        <f t="shared" si="43"/>
        <v>18.493611297915265</v>
      </c>
      <c r="AZ84" s="980">
        <f t="shared" si="44"/>
        <v>15.523059617547807</v>
      </c>
      <c r="BA84" s="980">
        <f t="shared" si="45"/>
        <v>17.845192951148785</v>
      </c>
      <c r="BB84" s="980">
        <f t="shared" si="46"/>
        <v>17.702070808283231</v>
      </c>
      <c r="BC84" s="980">
        <f t="shared" si="47"/>
        <v>15.717311336528816</v>
      </c>
      <c r="BD84" s="980">
        <f t="shared" si="48"/>
        <v>17.070484581497798</v>
      </c>
      <c r="BE84" s="980">
        <f t="shared" si="49"/>
        <v>14.64968152866242</v>
      </c>
      <c r="BF84" s="980">
        <f t="shared" si="50"/>
        <v>15.628368182798017</v>
      </c>
      <c r="BG84" s="980">
        <f t="shared" si="51"/>
        <v>12.483095807760325</v>
      </c>
      <c r="BH84" s="980">
        <f t="shared" si="52"/>
        <v>12.365191521011528</v>
      </c>
      <c r="BI84" s="980">
        <f t="shared" si="53"/>
        <v>11.670588235294119</v>
      </c>
      <c r="BJ84" s="1114">
        <f t="shared" si="54"/>
        <v>8.4214466173856088</v>
      </c>
      <c r="BK84" s="1116">
        <f t="shared" si="55"/>
        <v>10.224948875255624</v>
      </c>
      <c r="BL84" s="1278">
        <f t="shared" si="56"/>
        <v>8.9004264787687735</v>
      </c>
      <c r="BM84" s="1941">
        <f t="shared" si="57"/>
        <v>9.6870342771982116</v>
      </c>
      <c r="BN84" s="2296">
        <f t="shared" si="58"/>
        <v>7.5430043234293072</v>
      </c>
      <c r="BO84" s="2364">
        <f t="shared" si="59"/>
        <v>6.5747420326910788</v>
      </c>
      <c r="BP84" s="2366">
        <f t="shared" si="59"/>
        <v>8.2214305289120304</v>
      </c>
    </row>
    <row r="85" spans="1:68" s="142" customFormat="1" ht="15.75" customHeight="1" x14ac:dyDescent="0.3">
      <c r="A85" s="149" t="s">
        <v>208</v>
      </c>
      <c r="B85" s="185" t="s">
        <v>209</v>
      </c>
      <c r="C85" s="150" t="s">
        <v>256</v>
      </c>
      <c r="D85" s="938">
        <v>56</v>
      </c>
      <c r="E85" s="939">
        <v>51</v>
      </c>
      <c r="F85" s="940">
        <v>42</v>
      </c>
      <c r="G85" s="939">
        <v>47</v>
      </c>
      <c r="H85" s="940">
        <v>34</v>
      </c>
      <c r="I85" s="939">
        <v>41</v>
      </c>
      <c r="J85" s="940">
        <v>34</v>
      </c>
      <c r="K85" s="939">
        <v>25</v>
      </c>
      <c r="L85" s="953">
        <v>41</v>
      </c>
      <c r="M85" s="953">
        <v>27</v>
      </c>
      <c r="N85" s="953">
        <v>48</v>
      </c>
      <c r="O85" s="953">
        <v>39</v>
      </c>
      <c r="P85" s="954">
        <v>45</v>
      </c>
      <c r="Q85" s="954">
        <v>32</v>
      </c>
      <c r="R85" s="1107">
        <v>36</v>
      </c>
      <c r="S85" s="1108">
        <v>47</v>
      </c>
      <c r="T85" s="1273">
        <v>31</v>
      </c>
      <c r="U85" s="1937">
        <v>26</v>
      </c>
      <c r="V85" s="2291">
        <v>21</v>
      </c>
      <c r="W85" s="1367">
        <v>26</v>
      </c>
      <c r="X85" s="2351">
        <v>26</v>
      </c>
      <c r="Y85" s="1273"/>
      <c r="Z85" s="961">
        <v>1787</v>
      </c>
      <c r="AA85" s="962">
        <v>1739</v>
      </c>
      <c r="AB85" s="962">
        <v>1824</v>
      </c>
      <c r="AC85" s="962">
        <v>1765</v>
      </c>
      <c r="AD85" s="962">
        <v>1739</v>
      </c>
      <c r="AE85" s="962">
        <v>1726</v>
      </c>
      <c r="AF85" s="962">
        <v>1724</v>
      </c>
      <c r="AG85" s="962">
        <v>1711</v>
      </c>
      <c r="AH85" s="962">
        <v>1699</v>
      </c>
      <c r="AI85" s="962">
        <v>1680</v>
      </c>
      <c r="AJ85" s="962">
        <v>1674</v>
      </c>
      <c r="AK85" s="962">
        <v>1683</v>
      </c>
      <c r="AL85" s="962">
        <v>1697</v>
      </c>
      <c r="AM85" s="962">
        <v>1628</v>
      </c>
      <c r="AN85" s="1110">
        <v>1558</v>
      </c>
      <c r="AO85" s="1111">
        <v>1534</v>
      </c>
      <c r="AP85" s="1391">
        <v>1544</v>
      </c>
      <c r="AQ85" s="1934">
        <v>1556</v>
      </c>
      <c r="AR85" s="2289">
        <v>1516</v>
      </c>
      <c r="AS85" s="1368">
        <v>1469</v>
      </c>
      <c r="AT85" s="2353">
        <v>1459</v>
      </c>
      <c r="AU85" s="1274"/>
      <c r="AV85" s="979">
        <f t="shared" si="40"/>
        <v>31.337437045327363</v>
      </c>
      <c r="AW85" s="980">
        <f t="shared" si="41"/>
        <v>29.327199539965498</v>
      </c>
      <c r="AX85" s="980">
        <f t="shared" si="42"/>
        <v>23.026315789473681</v>
      </c>
      <c r="AY85" s="980">
        <f t="shared" si="43"/>
        <v>26.628895184135978</v>
      </c>
      <c r="AZ85" s="980">
        <f t="shared" si="44"/>
        <v>19.551466359976999</v>
      </c>
      <c r="BA85" s="980">
        <f t="shared" si="45"/>
        <v>23.754345307068366</v>
      </c>
      <c r="BB85" s="980">
        <f t="shared" si="46"/>
        <v>19.721577726218097</v>
      </c>
      <c r="BC85" s="980">
        <f t="shared" si="47"/>
        <v>14.611338398597312</v>
      </c>
      <c r="BD85" s="980">
        <f t="shared" si="48"/>
        <v>24.131842260153032</v>
      </c>
      <c r="BE85" s="980">
        <f t="shared" si="49"/>
        <v>16.071428571428569</v>
      </c>
      <c r="BF85" s="980">
        <f t="shared" si="50"/>
        <v>28.673835125448029</v>
      </c>
      <c r="BG85" s="980">
        <f t="shared" si="51"/>
        <v>23.172905525846705</v>
      </c>
      <c r="BH85" s="980">
        <f t="shared" si="52"/>
        <v>26.517383618149676</v>
      </c>
      <c r="BI85" s="980">
        <f t="shared" si="53"/>
        <v>19.656019656019655</v>
      </c>
      <c r="BJ85" s="1114">
        <f t="shared" si="54"/>
        <v>23.106546854942234</v>
      </c>
      <c r="BK85" s="1116">
        <f t="shared" si="55"/>
        <v>30.638852672750978</v>
      </c>
      <c r="BL85" s="1278">
        <f t="shared" si="56"/>
        <v>20.077720207253883</v>
      </c>
      <c r="BM85" s="1941">
        <f t="shared" si="57"/>
        <v>16.709511568123393</v>
      </c>
      <c r="BN85" s="2296">
        <f t="shared" si="58"/>
        <v>13.852242744063323</v>
      </c>
      <c r="BO85" s="2364">
        <f t="shared" si="59"/>
        <v>17.699115044247787</v>
      </c>
      <c r="BP85" s="2366">
        <f t="shared" si="59"/>
        <v>17.82042494859493</v>
      </c>
    </row>
    <row r="86" spans="1:68" s="142" customFormat="1" ht="15.75" customHeight="1" x14ac:dyDescent="0.3">
      <c r="A86" s="149" t="s">
        <v>210</v>
      </c>
      <c r="B86" s="185" t="s">
        <v>211</v>
      </c>
      <c r="C86" s="150" t="s">
        <v>256</v>
      </c>
      <c r="D86" s="938">
        <v>39</v>
      </c>
      <c r="E86" s="939">
        <v>34</v>
      </c>
      <c r="F86" s="940">
        <v>34</v>
      </c>
      <c r="G86" s="939">
        <v>42</v>
      </c>
      <c r="H86" s="940">
        <v>27</v>
      </c>
      <c r="I86" s="939">
        <v>26</v>
      </c>
      <c r="J86" s="940">
        <v>32</v>
      </c>
      <c r="K86" s="939">
        <v>29</v>
      </c>
      <c r="L86" s="953">
        <v>30</v>
      </c>
      <c r="M86" s="953">
        <v>26</v>
      </c>
      <c r="N86" s="953">
        <v>29</v>
      </c>
      <c r="O86" s="953">
        <v>33</v>
      </c>
      <c r="P86" s="954">
        <v>29</v>
      </c>
      <c r="Q86" s="954">
        <v>34</v>
      </c>
      <c r="R86" s="1107">
        <v>19</v>
      </c>
      <c r="S86" s="1108">
        <v>19</v>
      </c>
      <c r="T86" s="1273">
        <v>15</v>
      </c>
      <c r="U86" s="1937">
        <v>13</v>
      </c>
      <c r="V86" s="2291">
        <v>12</v>
      </c>
      <c r="W86" s="1367">
        <v>22</v>
      </c>
      <c r="X86" s="2351">
        <v>14</v>
      </c>
      <c r="Y86" s="1273"/>
      <c r="Z86" s="961">
        <v>1341</v>
      </c>
      <c r="AA86" s="962">
        <v>1316</v>
      </c>
      <c r="AB86" s="962">
        <v>1391</v>
      </c>
      <c r="AC86" s="962">
        <v>1363</v>
      </c>
      <c r="AD86" s="962">
        <v>1318</v>
      </c>
      <c r="AE86" s="962">
        <v>1289</v>
      </c>
      <c r="AF86" s="962">
        <v>1291</v>
      </c>
      <c r="AG86" s="962">
        <v>1274</v>
      </c>
      <c r="AH86" s="962">
        <v>1230</v>
      </c>
      <c r="AI86" s="962">
        <v>1201</v>
      </c>
      <c r="AJ86" s="962">
        <v>1189</v>
      </c>
      <c r="AK86" s="962">
        <v>1195</v>
      </c>
      <c r="AL86" s="962">
        <v>1275</v>
      </c>
      <c r="AM86" s="962">
        <v>1243</v>
      </c>
      <c r="AN86" s="1110">
        <v>1243</v>
      </c>
      <c r="AO86" s="1111">
        <v>1228</v>
      </c>
      <c r="AP86" s="1391">
        <v>1214</v>
      </c>
      <c r="AQ86" s="1934">
        <v>1177</v>
      </c>
      <c r="AR86" s="2289">
        <v>1172</v>
      </c>
      <c r="AS86" s="1368">
        <v>1154</v>
      </c>
      <c r="AT86" s="2353">
        <v>1129</v>
      </c>
      <c r="AU86" s="1274"/>
      <c r="AV86" s="979">
        <f t="shared" si="40"/>
        <v>29.082774049217001</v>
      </c>
      <c r="AW86" s="980">
        <f t="shared" si="41"/>
        <v>25.835866261398177</v>
      </c>
      <c r="AX86" s="980">
        <f t="shared" si="42"/>
        <v>24.442846872753414</v>
      </c>
      <c r="AY86" s="980">
        <f t="shared" si="43"/>
        <v>30.814380044020542</v>
      </c>
      <c r="AZ86" s="980">
        <f t="shared" si="44"/>
        <v>20.485584218512901</v>
      </c>
      <c r="BA86" s="980">
        <f t="shared" si="45"/>
        <v>20.17067494181536</v>
      </c>
      <c r="BB86" s="980">
        <f t="shared" si="46"/>
        <v>24.786986831913246</v>
      </c>
      <c r="BC86" s="980">
        <f t="shared" si="47"/>
        <v>22.762951334379906</v>
      </c>
      <c r="BD86" s="980">
        <f t="shared" si="48"/>
        <v>24.390243902439025</v>
      </c>
      <c r="BE86" s="980">
        <f t="shared" si="49"/>
        <v>21.64862614487927</v>
      </c>
      <c r="BF86" s="980">
        <f t="shared" si="50"/>
        <v>24.390243902439025</v>
      </c>
      <c r="BG86" s="980">
        <f t="shared" si="51"/>
        <v>27.615062761506277</v>
      </c>
      <c r="BH86" s="980">
        <f t="shared" si="52"/>
        <v>22.745098039215684</v>
      </c>
      <c r="BI86" s="980">
        <f t="shared" si="53"/>
        <v>27.353177795655672</v>
      </c>
      <c r="BJ86" s="1114">
        <f t="shared" si="54"/>
        <v>15.285599356395815</v>
      </c>
      <c r="BK86" s="1116">
        <f t="shared" si="55"/>
        <v>15.472312703583063</v>
      </c>
      <c r="BL86" s="1278">
        <f t="shared" si="56"/>
        <v>12.355848434925866</v>
      </c>
      <c r="BM86" s="1941">
        <f t="shared" si="57"/>
        <v>11.04502973661852</v>
      </c>
      <c r="BN86" s="2296">
        <f t="shared" si="58"/>
        <v>10.238907849829351</v>
      </c>
      <c r="BO86" s="2364">
        <f t="shared" si="59"/>
        <v>19.064124783362217</v>
      </c>
      <c r="BP86" s="2366">
        <f t="shared" si="59"/>
        <v>12.400354295837024</v>
      </c>
    </row>
    <row r="87" spans="1:68" s="142" customFormat="1" ht="15.75" customHeight="1" x14ac:dyDescent="0.3">
      <c r="A87" s="149" t="s">
        <v>212</v>
      </c>
      <c r="B87" s="185" t="s">
        <v>213</v>
      </c>
      <c r="C87" s="150" t="s">
        <v>255</v>
      </c>
      <c r="D87" s="938">
        <v>50</v>
      </c>
      <c r="E87" s="939">
        <v>43</v>
      </c>
      <c r="F87" s="940">
        <v>54</v>
      </c>
      <c r="G87" s="939">
        <v>52</v>
      </c>
      <c r="H87" s="940">
        <v>56</v>
      </c>
      <c r="I87" s="939">
        <v>54</v>
      </c>
      <c r="J87" s="940">
        <v>49</v>
      </c>
      <c r="K87" s="939">
        <v>60</v>
      </c>
      <c r="L87" s="953">
        <v>60</v>
      </c>
      <c r="M87" s="953">
        <v>65</v>
      </c>
      <c r="N87" s="953">
        <v>52</v>
      </c>
      <c r="O87" s="953">
        <v>48</v>
      </c>
      <c r="P87" s="954">
        <v>54</v>
      </c>
      <c r="Q87" s="954">
        <v>26</v>
      </c>
      <c r="R87" s="1107">
        <v>42</v>
      </c>
      <c r="S87" s="1108">
        <v>43</v>
      </c>
      <c r="T87" s="1273">
        <v>41</v>
      </c>
      <c r="U87" s="1937">
        <v>24</v>
      </c>
      <c r="V87" s="2291">
        <v>26</v>
      </c>
      <c r="W87" s="1367">
        <v>26</v>
      </c>
      <c r="X87" s="2351">
        <v>19</v>
      </c>
      <c r="Y87" s="1273"/>
      <c r="Z87" s="961">
        <v>2065</v>
      </c>
      <c r="AA87" s="962">
        <v>2088</v>
      </c>
      <c r="AB87" s="962">
        <v>2170</v>
      </c>
      <c r="AC87" s="962">
        <v>2236</v>
      </c>
      <c r="AD87" s="962">
        <v>2230</v>
      </c>
      <c r="AE87" s="962">
        <v>2255</v>
      </c>
      <c r="AF87" s="962">
        <v>2314</v>
      </c>
      <c r="AG87" s="962">
        <v>2351</v>
      </c>
      <c r="AH87" s="962">
        <v>2343</v>
      </c>
      <c r="AI87" s="962">
        <v>2345</v>
      </c>
      <c r="AJ87" s="962">
        <v>2335</v>
      </c>
      <c r="AK87" s="962">
        <v>2409</v>
      </c>
      <c r="AL87" s="962">
        <v>2519</v>
      </c>
      <c r="AM87" s="962">
        <v>2519</v>
      </c>
      <c r="AN87" s="1110">
        <v>2509</v>
      </c>
      <c r="AO87" s="1111">
        <v>2513</v>
      </c>
      <c r="AP87" s="1391">
        <v>2543</v>
      </c>
      <c r="AQ87" s="1934">
        <v>2595</v>
      </c>
      <c r="AR87" s="2289">
        <v>2481</v>
      </c>
      <c r="AS87" s="1368">
        <v>2488</v>
      </c>
      <c r="AT87" s="2353">
        <v>2502</v>
      </c>
      <c r="AU87" s="1274"/>
      <c r="AV87" s="979">
        <f t="shared" si="40"/>
        <v>24.213075060532688</v>
      </c>
      <c r="AW87" s="980">
        <f t="shared" si="41"/>
        <v>20.593869731800766</v>
      </c>
      <c r="AX87" s="980">
        <f t="shared" si="42"/>
        <v>24.88479262672811</v>
      </c>
      <c r="AY87" s="980">
        <f t="shared" si="43"/>
        <v>23.255813953488371</v>
      </c>
      <c r="AZ87" s="980">
        <f t="shared" si="44"/>
        <v>25.112107623318384</v>
      </c>
      <c r="BA87" s="980">
        <f t="shared" si="45"/>
        <v>23.946784922394681</v>
      </c>
      <c r="BB87" s="980">
        <f t="shared" si="46"/>
        <v>21.175453759723425</v>
      </c>
      <c r="BC87" s="980">
        <f t="shared" si="47"/>
        <v>25.521054870267971</v>
      </c>
      <c r="BD87" s="980">
        <f t="shared" si="48"/>
        <v>25.608194622279129</v>
      </c>
      <c r="BE87" s="980">
        <f t="shared" si="49"/>
        <v>27.718550106609808</v>
      </c>
      <c r="BF87" s="980">
        <f t="shared" si="50"/>
        <v>22.26980728051392</v>
      </c>
      <c r="BG87" s="980">
        <f t="shared" si="51"/>
        <v>19.925280199252803</v>
      </c>
      <c r="BH87" s="980">
        <f t="shared" si="52"/>
        <v>21.437078205637157</v>
      </c>
      <c r="BI87" s="980">
        <f t="shared" si="53"/>
        <v>10.321556173084558</v>
      </c>
      <c r="BJ87" s="1114">
        <f t="shared" si="54"/>
        <v>16.739736946990835</v>
      </c>
      <c r="BK87" s="1116">
        <f t="shared" si="55"/>
        <v>17.111022682053324</v>
      </c>
      <c r="BL87" s="1278">
        <f t="shared" si="56"/>
        <v>16.122689736531655</v>
      </c>
      <c r="BM87" s="1941">
        <f t="shared" si="57"/>
        <v>9.2485549132947984</v>
      </c>
      <c r="BN87" s="2296">
        <f t="shared" si="58"/>
        <v>10.479645304312777</v>
      </c>
      <c r="BO87" s="2364">
        <f t="shared" si="59"/>
        <v>10.45016077170418</v>
      </c>
      <c r="BP87" s="2366">
        <f t="shared" si="59"/>
        <v>7.5939248601119109</v>
      </c>
    </row>
    <row r="88" spans="1:68" s="142" customFormat="1" ht="15.75" customHeight="1" x14ac:dyDescent="0.3">
      <c r="A88" s="149" t="s">
        <v>214</v>
      </c>
      <c r="B88" s="185" t="s">
        <v>215</v>
      </c>
      <c r="C88" s="150" t="s">
        <v>256</v>
      </c>
      <c r="D88" s="938">
        <v>65</v>
      </c>
      <c r="E88" s="939">
        <v>54</v>
      </c>
      <c r="F88" s="940">
        <v>56</v>
      </c>
      <c r="G88" s="939">
        <v>56</v>
      </c>
      <c r="H88" s="940">
        <v>57</v>
      </c>
      <c r="I88" s="939">
        <v>73</v>
      </c>
      <c r="J88" s="940">
        <v>39</v>
      </c>
      <c r="K88" s="939">
        <v>57</v>
      </c>
      <c r="L88" s="953">
        <v>58</v>
      </c>
      <c r="M88" s="953">
        <v>70</v>
      </c>
      <c r="N88" s="953">
        <v>69</v>
      </c>
      <c r="O88" s="953">
        <v>47</v>
      </c>
      <c r="P88" s="954">
        <v>66</v>
      </c>
      <c r="Q88" s="954">
        <v>65</v>
      </c>
      <c r="R88" s="1107">
        <v>51</v>
      </c>
      <c r="S88" s="1108">
        <v>34</v>
      </c>
      <c r="T88" s="1273">
        <v>37</v>
      </c>
      <c r="U88" s="1937">
        <v>31</v>
      </c>
      <c r="V88" s="2291">
        <v>28</v>
      </c>
      <c r="W88" s="1367">
        <v>22</v>
      </c>
      <c r="X88" s="2351">
        <v>26</v>
      </c>
      <c r="Y88" s="1273"/>
      <c r="Z88" s="961">
        <v>2121</v>
      </c>
      <c r="AA88" s="962">
        <v>2102</v>
      </c>
      <c r="AB88" s="962">
        <v>2006</v>
      </c>
      <c r="AC88" s="962">
        <v>1959</v>
      </c>
      <c r="AD88" s="962">
        <v>1963</v>
      </c>
      <c r="AE88" s="962">
        <v>1999</v>
      </c>
      <c r="AF88" s="962">
        <v>2006</v>
      </c>
      <c r="AG88" s="962">
        <v>2095</v>
      </c>
      <c r="AH88" s="962">
        <v>2053</v>
      </c>
      <c r="AI88" s="962">
        <v>1999</v>
      </c>
      <c r="AJ88" s="962">
        <v>1948</v>
      </c>
      <c r="AK88" s="962">
        <v>1848</v>
      </c>
      <c r="AL88" s="962">
        <v>1952</v>
      </c>
      <c r="AM88" s="962">
        <v>1860</v>
      </c>
      <c r="AN88" s="1110">
        <v>1833</v>
      </c>
      <c r="AO88" s="1111">
        <v>1775</v>
      </c>
      <c r="AP88" s="1391">
        <v>1756</v>
      </c>
      <c r="AQ88" s="1934">
        <v>1716</v>
      </c>
      <c r="AR88" s="2289">
        <v>1721</v>
      </c>
      <c r="AS88" s="1368">
        <v>1722</v>
      </c>
      <c r="AT88" s="2353">
        <v>1702</v>
      </c>
      <c r="AU88" s="1274"/>
      <c r="AV88" s="979">
        <f t="shared" si="40"/>
        <v>30.645921735030647</v>
      </c>
      <c r="AW88" s="980">
        <f t="shared" si="41"/>
        <v>25.689819219790675</v>
      </c>
      <c r="AX88" s="980">
        <f t="shared" si="42"/>
        <v>27.916251246261215</v>
      </c>
      <c r="AY88" s="980">
        <f t="shared" si="43"/>
        <v>28.58601327207759</v>
      </c>
      <c r="AZ88" s="980">
        <f t="shared" si="44"/>
        <v>29.037187977585329</v>
      </c>
      <c r="BA88" s="980">
        <f t="shared" si="45"/>
        <v>36.518259129564782</v>
      </c>
      <c r="BB88" s="980">
        <f t="shared" si="46"/>
        <v>19.441674975074775</v>
      </c>
      <c r="BC88" s="980">
        <f t="shared" si="47"/>
        <v>27.207637231503579</v>
      </c>
      <c r="BD88" s="980">
        <f t="shared" si="48"/>
        <v>28.251339503166101</v>
      </c>
      <c r="BE88" s="980">
        <f t="shared" si="49"/>
        <v>35.017508754377189</v>
      </c>
      <c r="BF88" s="980">
        <f t="shared" si="50"/>
        <v>35.420944558521555</v>
      </c>
      <c r="BG88" s="980">
        <f t="shared" si="51"/>
        <v>25.432900432900432</v>
      </c>
      <c r="BH88" s="980">
        <f t="shared" si="52"/>
        <v>33.811475409836071</v>
      </c>
      <c r="BI88" s="980">
        <f t="shared" si="53"/>
        <v>34.946236559139784</v>
      </c>
      <c r="BJ88" s="1114">
        <f t="shared" si="54"/>
        <v>27.823240589198036</v>
      </c>
      <c r="BK88" s="1116">
        <f t="shared" si="55"/>
        <v>19.154929577464788</v>
      </c>
      <c r="BL88" s="1278">
        <f t="shared" si="56"/>
        <v>21.070615034168565</v>
      </c>
      <c r="BM88" s="1941">
        <f t="shared" si="57"/>
        <v>18.065268065268064</v>
      </c>
      <c r="BN88" s="2296">
        <f t="shared" si="58"/>
        <v>16.269610691458453</v>
      </c>
      <c r="BO88" s="2364">
        <f t="shared" si="59"/>
        <v>12.775842044134729</v>
      </c>
      <c r="BP88" s="2366">
        <f t="shared" si="59"/>
        <v>15.276145710928319</v>
      </c>
    </row>
    <row r="89" spans="1:68" s="142" customFormat="1" ht="15.75" customHeight="1" x14ac:dyDescent="0.3">
      <c r="A89" s="149" t="s">
        <v>216</v>
      </c>
      <c r="B89" s="185" t="s">
        <v>217</v>
      </c>
      <c r="C89" s="150" t="s">
        <v>252</v>
      </c>
      <c r="D89" s="938">
        <v>28</v>
      </c>
      <c r="E89" s="939">
        <v>24</v>
      </c>
      <c r="F89" s="940">
        <v>29</v>
      </c>
      <c r="G89" s="939">
        <v>31</v>
      </c>
      <c r="H89" s="940">
        <v>23</v>
      </c>
      <c r="I89" s="939">
        <v>19</v>
      </c>
      <c r="J89" s="940">
        <v>20</v>
      </c>
      <c r="K89" s="939">
        <v>19</v>
      </c>
      <c r="L89" s="953">
        <v>23</v>
      </c>
      <c r="M89" s="953">
        <v>26</v>
      </c>
      <c r="N89" s="953">
        <v>25</v>
      </c>
      <c r="O89" s="953">
        <v>21</v>
      </c>
      <c r="P89" s="954">
        <v>14</v>
      </c>
      <c r="Q89" s="954">
        <v>8</v>
      </c>
      <c r="R89" s="1107">
        <v>7</v>
      </c>
      <c r="S89" s="1108">
        <v>4</v>
      </c>
      <c r="T89" s="1273">
        <v>4</v>
      </c>
      <c r="U89" s="1937">
        <v>5</v>
      </c>
      <c r="V89" s="2291">
        <v>8</v>
      </c>
      <c r="W89" s="1367">
        <v>7</v>
      </c>
      <c r="X89" s="2351">
        <v>8</v>
      </c>
      <c r="Y89" s="1273"/>
      <c r="Z89" s="961">
        <v>1004</v>
      </c>
      <c r="AA89" s="962">
        <v>996</v>
      </c>
      <c r="AB89" s="962">
        <v>1115</v>
      </c>
      <c r="AC89" s="962">
        <v>1123</v>
      </c>
      <c r="AD89" s="962">
        <v>1099</v>
      </c>
      <c r="AE89" s="962">
        <v>1084</v>
      </c>
      <c r="AF89" s="962">
        <v>1089</v>
      </c>
      <c r="AG89" s="962">
        <v>1101</v>
      </c>
      <c r="AH89" s="962">
        <v>1086</v>
      </c>
      <c r="AI89" s="962">
        <v>1058</v>
      </c>
      <c r="AJ89" s="962">
        <v>1026</v>
      </c>
      <c r="AK89" s="962">
        <v>1062</v>
      </c>
      <c r="AL89" s="962">
        <v>1116</v>
      </c>
      <c r="AM89" s="962">
        <v>1114</v>
      </c>
      <c r="AN89" s="1110">
        <v>1099</v>
      </c>
      <c r="AO89" s="1111">
        <v>1082</v>
      </c>
      <c r="AP89" s="1391">
        <v>1017</v>
      </c>
      <c r="AQ89" s="1934">
        <v>1014</v>
      </c>
      <c r="AR89" s="2289">
        <v>1029</v>
      </c>
      <c r="AS89" s="1368">
        <v>991</v>
      </c>
      <c r="AT89" s="2353">
        <v>979</v>
      </c>
      <c r="AU89" s="1274"/>
      <c r="AV89" s="979">
        <f t="shared" si="40"/>
        <v>27.888446215139442</v>
      </c>
      <c r="AW89" s="980">
        <f t="shared" si="41"/>
        <v>24.096385542168676</v>
      </c>
      <c r="AX89" s="980">
        <f t="shared" si="42"/>
        <v>26.00896860986547</v>
      </c>
      <c r="AY89" s="980">
        <f t="shared" si="43"/>
        <v>27.604630454140697</v>
      </c>
      <c r="AZ89" s="980">
        <f t="shared" si="44"/>
        <v>20.928116469517743</v>
      </c>
      <c r="BA89" s="980">
        <f t="shared" si="45"/>
        <v>17.527675276752767</v>
      </c>
      <c r="BB89" s="980">
        <f t="shared" si="46"/>
        <v>18.365472910927455</v>
      </c>
      <c r="BC89" s="980">
        <f t="shared" si="47"/>
        <v>17.257039055404178</v>
      </c>
      <c r="BD89" s="980">
        <f t="shared" si="48"/>
        <v>21.178637200736649</v>
      </c>
      <c r="BE89" s="980">
        <f t="shared" si="49"/>
        <v>24.574669187145556</v>
      </c>
      <c r="BF89" s="980">
        <f t="shared" si="50"/>
        <v>24.366471734892787</v>
      </c>
      <c r="BG89" s="980">
        <f t="shared" si="51"/>
        <v>19.774011299435031</v>
      </c>
      <c r="BH89" s="980">
        <f t="shared" si="52"/>
        <v>12.544802867383513</v>
      </c>
      <c r="BI89" s="980">
        <f t="shared" si="53"/>
        <v>7.1813285457809695</v>
      </c>
      <c r="BJ89" s="1114">
        <f t="shared" si="54"/>
        <v>6.369426751592357</v>
      </c>
      <c r="BK89" s="1116">
        <f t="shared" si="55"/>
        <v>3.6968576709796674</v>
      </c>
      <c r="BL89" s="1278">
        <f t="shared" si="56"/>
        <v>3.9331366764995086</v>
      </c>
      <c r="BM89" s="1941">
        <f t="shared" si="57"/>
        <v>4.9309664694280082</v>
      </c>
      <c r="BN89" s="2296">
        <f t="shared" si="58"/>
        <v>7.7745383867832842</v>
      </c>
      <c r="BO89" s="2364">
        <f t="shared" si="59"/>
        <v>7.0635721493440968</v>
      </c>
      <c r="BP89" s="2366">
        <f t="shared" si="59"/>
        <v>8.1716036772216558</v>
      </c>
    </row>
    <row r="90" spans="1:68" s="142" customFormat="1" ht="15.75" customHeight="1" x14ac:dyDescent="0.3">
      <c r="A90" s="149" t="s">
        <v>218</v>
      </c>
      <c r="B90" s="185" t="s">
        <v>219</v>
      </c>
      <c r="C90" s="150" t="s">
        <v>255</v>
      </c>
      <c r="D90" s="938">
        <v>105</v>
      </c>
      <c r="E90" s="939">
        <v>113</v>
      </c>
      <c r="F90" s="940">
        <v>125</v>
      </c>
      <c r="G90" s="939">
        <v>139</v>
      </c>
      <c r="H90" s="940">
        <v>134</v>
      </c>
      <c r="I90" s="939">
        <v>140</v>
      </c>
      <c r="J90" s="940">
        <v>158</v>
      </c>
      <c r="K90" s="939">
        <v>130</v>
      </c>
      <c r="L90" s="953">
        <v>139</v>
      </c>
      <c r="M90" s="953">
        <v>171</v>
      </c>
      <c r="N90" s="953">
        <v>150</v>
      </c>
      <c r="O90" s="953">
        <v>133</v>
      </c>
      <c r="P90" s="954">
        <v>127</v>
      </c>
      <c r="Q90" s="954">
        <v>107</v>
      </c>
      <c r="R90" s="1107">
        <v>100</v>
      </c>
      <c r="S90" s="1108">
        <v>94</v>
      </c>
      <c r="T90" s="1273">
        <v>75</v>
      </c>
      <c r="U90" s="1937">
        <v>64</v>
      </c>
      <c r="V90" s="2291">
        <v>75</v>
      </c>
      <c r="W90" s="1367">
        <v>59</v>
      </c>
      <c r="X90" s="2351">
        <v>57</v>
      </c>
      <c r="Y90" s="1273"/>
      <c r="Z90" s="961">
        <v>5497</v>
      </c>
      <c r="AA90" s="962">
        <v>5632</v>
      </c>
      <c r="AB90" s="962">
        <v>6964</v>
      </c>
      <c r="AC90" s="962">
        <v>7535</v>
      </c>
      <c r="AD90" s="962">
        <v>7898</v>
      </c>
      <c r="AE90" s="962">
        <v>8256</v>
      </c>
      <c r="AF90" s="962">
        <v>8502</v>
      </c>
      <c r="AG90" s="962">
        <v>8705</v>
      </c>
      <c r="AH90" s="962">
        <v>8634</v>
      </c>
      <c r="AI90" s="962">
        <v>8566</v>
      </c>
      <c r="AJ90" s="962">
        <v>8507</v>
      </c>
      <c r="AK90" s="962">
        <v>9462</v>
      </c>
      <c r="AL90" s="962">
        <v>9560</v>
      </c>
      <c r="AM90" s="962">
        <v>9426</v>
      </c>
      <c r="AN90" s="1110">
        <v>9326</v>
      </c>
      <c r="AO90" s="1111">
        <v>9421</v>
      </c>
      <c r="AP90" s="1391">
        <v>9376</v>
      </c>
      <c r="AQ90" s="1934">
        <v>9362</v>
      </c>
      <c r="AR90" s="2289">
        <v>9235</v>
      </c>
      <c r="AS90" s="1368">
        <v>9322</v>
      </c>
      <c r="AT90" s="2353">
        <v>9404</v>
      </c>
      <c r="AU90" s="1274"/>
      <c r="AV90" s="979">
        <f t="shared" si="40"/>
        <v>19.101327997089321</v>
      </c>
      <c r="AW90" s="980">
        <f t="shared" si="41"/>
        <v>20.063920454545457</v>
      </c>
      <c r="AX90" s="980">
        <f t="shared" si="42"/>
        <v>17.949454336588168</v>
      </c>
      <c r="AY90" s="980">
        <f t="shared" si="43"/>
        <v>18.447246184472462</v>
      </c>
      <c r="AZ90" s="980">
        <f t="shared" si="44"/>
        <v>16.966320587490504</v>
      </c>
      <c r="BA90" s="980">
        <f t="shared" si="45"/>
        <v>16.95736434108527</v>
      </c>
      <c r="BB90" s="980">
        <f t="shared" si="46"/>
        <v>18.583862620559866</v>
      </c>
      <c r="BC90" s="980">
        <f t="shared" si="47"/>
        <v>14.933946008041357</v>
      </c>
      <c r="BD90" s="980">
        <f t="shared" si="48"/>
        <v>16.099142923326383</v>
      </c>
      <c r="BE90" s="980">
        <f t="shared" si="49"/>
        <v>19.962643007237919</v>
      </c>
      <c r="BF90" s="980">
        <f t="shared" si="50"/>
        <v>17.632537909956508</v>
      </c>
      <c r="BG90" s="980">
        <f t="shared" si="51"/>
        <v>14.056224899598392</v>
      </c>
      <c r="BH90" s="980">
        <f t="shared" si="52"/>
        <v>13.284518828451882</v>
      </c>
      <c r="BI90" s="980">
        <f t="shared" si="53"/>
        <v>11.351580734139613</v>
      </c>
      <c r="BJ90" s="1114">
        <f t="shared" si="54"/>
        <v>10.72271070126528</v>
      </c>
      <c r="BK90" s="1116">
        <f t="shared" si="55"/>
        <v>9.9777093726780599</v>
      </c>
      <c r="BL90" s="1278">
        <f t="shared" si="56"/>
        <v>7.9991467576791804</v>
      </c>
      <c r="BM90" s="1941">
        <f t="shared" si="57"/>
        <v>6.8361461226233713</v>
      </c>
      <c r="BN90" s="2296">
        <f t="shared" si="58"/>
        <v>8.1212777476989721</v>
      </c>
      <c r="BO90" s="2364">
        <f t="shared" si="59"/>
        <v>6.3291139240506329</v>
      </c>
      <c r="BP90" s="2366">
        <f t="shared" si="59"/>
        <v>6.0612505316886436</v>
      </c>
    </row>
    <row r="91" spans="1:68" s="142" customFormat="1" ht="15.75" customHeight="1" x14ac:dyDescent="0.3">
      <c r="A91" s="149" t="s">
        <v>220</v>
      </c>
      <c r="B91" s="185" t="s">
        <v>221</v>
      </c>
      <c r="C91" s="150" t="s">
        <v>255</v>
      </c>
      <c r="D91" s="938">
        <v>131</v>
      </c>
      <c r="E91" s="939">
        <v>123</v>
      </c>
      <c r="F91" s="940">
        <v>99</v>
      </c>
      <c r="G91" s="939">
        <v>112</v>
      </c>
      <c r="H91" s="940">
        <v>118</v>
      </c>
      <c r="I91" s="939">
        <v>134</v>
      </c>
      <c r="J91" s="940">
        <v>119</v>
      </c>
      <c r="K91" s="939">
        <v>124</v>
      </c>
      <c r="L91" s="953">
        <v>134</v>
      </c>
      <c r="M91" s="953">
        <v>133</v>
      </c>
      <c r="N91" s="953">
        <v>120</v>
      </c>
      <c r="O91" s="953">
        <v>111</v>
      </c>
      <c r="P91" s="954">
        <v>82</v>
      </c>
      <c r="Q91" s="954">
        <v>89</v>
      </c>
      <c r="R91" s="1107">
        <v>103</v>
      </c>
      <c r="S91" s="1108">
        <v>59</v>
      </c>
      <c r="T91" s="1273">
        <v>76</v>
      </c>
      <c r="U91" s="1937">
        <v>59</v>
      </c>
      <c r="V91" s="2291">
        <v>61</v>
      </c>
      <c r="W91" s="1367">
        <v>58</v>
      </c>
      <c r="X91" s="2351">
        <v>49</v>
      </c>
      <c r="Y91" s="1273"/>
      <c r="Z91" s="961">
        <v>5888</v>
      </c>
      <c r="AA91" s="962">
        <v>6049</v>
      </c>
      <c r="AB91" s="962">
        <v>7564</v>
      </c>
      <c r="AC91" s="962">
        <v>8188</v>
      </c>
      <c r="AD91" s="962">
        <v>8624</v>
      </c>
      <c r="AE91" s="962">
        <v>9085</v>
      </c>
      <c r="AF91" s="962">
        <v>9313</v>
      </c>
      <c r="AG91" s="962">
        <v>9440</v>
      </c>
      <c r="AH91" s="962">
        <v>9376</v>
      </c>
      <c r="AI91" s="962">
        <v>9393</v>
      </c>
      <c r="AJ91" s="962">
        <v>9346</v>
      </c>
      <c r="AK91" s="962">
        <v>10621</v>
      </c>
      <c r="AL91" s="962">
        <v>10676</v>
      </c>
      <c r="AM91" s="962">
        <v>10874</v>
      </c>
      <c r="AN91" s="1110">
        <v>10966</v>
      </c>
      <c r="AO91" s="1111">
        <v>11025</v>
      </c>
      <c r="AP91" s="1391">
        <v>11120</v>
      </c>
      <c r="AQ91" s="1934">
        <v>11073</v>
      </c>
      <c r="AR91" s="2289">
        <v>10908</v>
      </c>
      <c r="AS91" s="1368">
        <v>10968</v>
      </c>
      <c r="AT91" s="2353">
        <v>11105</v>
      </c>
      <c r="AU91" s="1274"/>
      <c r="AV91" s="979">
        <f t="shared" si="40"/>
        <v>22.248641304347828</v>
      </c>
      <c r="AW91" s="980">
        <f t="shared" si="41"/>
        <v>20.333939494131261</v>
      </c>
      <c r="AX91" s="980">
        <f t="shared" si="42"/>
        <v>13.088313061872025</v>
      </c>
      <c r="AY91" s="980">
        <f t="shared" si="43"/>
        <v>13.678553981436249</v>
      </c>
      <c r="AZ91" s="980">
        <f t="shared" si="44"/>
        <v>13.68274582560297</v>
      </c>
      <c r="BA91" s="980">
        <f t="shared" si="45"/>
        <v>14.749587231700605</v>
      </c>
      <c r="BB91" s="980">
        <f t="shared" si="46"/>
        <v>12.777837431547299</v>
      </c>
      <c r="BC91" s="980">
        <f t="shared" si="47"/>
        <v>13.135593220338983</v>
      </c>
      <c r="BD91" s="980">
        <f t="shared" si="48"/>
        <v>14.291808873720136</v>
      </c>
      <c r="BE91" s="980">
        <f t="shared" si="49"/>
        <v>14.15948046417545</v>
      </c>
      <c r="BF91" s="980">
        <f t="shared" si="50"/>
        <v>12.839717526214423</v>
      </c>
      <c r="BG91" s="980">
        <f t="shared" si="51"/>
        <v>10.450993315130402</v>
      </c>
      <c r="BH91" s="980">
        <f t="shared" si="52"/>
        <v>7.6807793180966657</v>
      </c>
      <c r="BI91" s="980">
        <f t="shared" si="53"/>
        <v>8.184660658451353</v>
      </c>
      <c r="BJ91" s="1114">
        <f t="shared" si="54"/>
        <v>9.3926682473098673</v>
      </c>
      <c r="BK91" s="1116">
        <f t="shared" si="55"/>
        <v>5.3514739229024944</v>
      </c>
      <c r="BL91" s="1278">
        <f t="shared" si="56"/>
        <v>6.8345323741007187</v>
      </c>
      <c r="BM91" s="1941">
        <f t="shared" si="57"/>
        <v>5.3282759866341554</v>
      </c>
      <c r="BN91" s="2296">
        <f t="shared" si="58"/>
        <v>5.5922258892555918</v>
      </c>
      <c r="BO91" s="2364">
        <f t="shared" si="59"/>
        <v>5.2881108679795767</v>
      </c>
      <c r="BP91" s="2366">
        <f t="shared" si="59"/>
        <v>4.4124268347591178</v>
      </c>
    </row>
    <row r="92" spans="1:68" s="142" customFormat="1" ht="15.75" customHeight="1" x14ac:dyDescent="0.3">
      <c r="A92" s="149" t="s">
        <v>224</v>
      </c>
      <c r="B92" s="185" t="s">
        <v>225</v>
      </c>
      <c r="C92" s="150" t="s">
        <v>252</v>
      </c>
      <c r="D92" s="938">
        <v>12</v>
      </c>
      <c r="E92" s="939">
        <v>11</v>
      </c>
      <c r="F92" s="940">
        <v>13</v>
      </c>
      <c r="G92" s="939">
        <v>15</v>
      </c>
      <c r="H92" s="940">
        <v>9</v>
      </c>
      <c r="I92" s="939">
        <v>6</v>
      </c>
      <c r="J92" s="940">
        <v>4</v>
      </c>
      <c r="K92" s="939">
        <v>9</v>
      </c>
      <c r="L92" s="953">
        <v>13</v>
      </c>
      <c r="M92" s="953">
        <v>3</v>
      </c>
      <c r="N92" s="953">
        <v>12</v>
      </c>
      <c r="O92" s="953">
        <v>6</v>
      </c>
      <c r="P92" s="954">
        <v>4</v>
      </c>
      <c r="Q92" s="954">
        <v>5</v>
      </c>
      <c r="R92" s="1107">
        <v>1</v>
      </c>
      <c r="S92" s="1108">
        <v>2</v>
      </c>
      <c r="T92" s="1273">
        <v>3</v>
      </c>
      <c r="U92" s="1937">
        <v>5</v>
      </c>
      <c r="V92" s="2291">
        <v>3</v>
      </c>
      <c r="W92" s="1367">
        <v>2</v>
      </c>
      <c r="X92" s="2351">
        <v>2</v>
      </c>
      <c r="Y92" s="1273"/>
      <c r="Z92" s="961">
        <v>465</v>
      </c>
      <c r="AA92" s="962">
        <v>466</v>
      </c>
      <c r="AB92" s="962">
        <v>526</v>
      </c>
      <c r="AC92" s="962">
        <v>530</v>
      </c>
      <c r="AD92" s="962">
        <v>520</v>
      </c>
      <c r="AE92" s="962">
        <v>522</v>
      </c>
      <c r="AF92" s="962">
        <v>519</v>
      </c>
      <c r="AG92" s="962">
        <v>484</v>
      </c>
      <c r="AH92" s="962">
        <v>478</v>
      </c>
      <c r="AI92" s="962">
        <v>459</v>
      </c>
      <c r="AJ92" s="962">
        <v>447</v>
      </c>
      <c r="AK92" s="962">
        <v>412</v>
      </c>
      <c r="AL92" s="962">
        <v>431</v>
      </c>
      <c r="AM92" s="962">
        <v>424</v>
      </c>
      <c r="AN92" s="1110">
        <v>410</v>
      </c>
      <c r="AO92" s="1111">
        <v>387</v>
      </c>
      <c r="AP92" s="1391">
        <v>379</v>
      </c>
      <c r="AQ92" s="1934">
        <v>363</v>
      </c>
      <c r="AR92" s="2289">
        <v>358</v>
      </c>
      <c r="AS92" s="1368">
        <v>335</v>
      </c>
      <c r="AT92" s="2353">
        <v>311</v>
      </c>
      <c r="AU92" s="1274"/>
      <c r="AV92" s="979">
        <f t="shared" si="40"/>
        <v>25.806451612903224</v>
      </c>
      <c r="AW92" s="980">
        <f t="shared" si="41"/>
        <v>23.605150214592275</v>
      </c>
      <c r="AX92" s="980">
        <f t="shared" si="42"/>
        <v>24.714828897338403</v>
      </c>
      <c r="AY92" s="980">
        <f t="shared" si="43"/>
        <v>28.30188679245283</v>
      </c>
      <c r="AZ92" s="980">
        <f t="shared" si="44"/>
        <v>17.30769230769231</v>
      </c>
      <c r="BA92" s="980">
        <f t="shared" si="45"/>
        <v>11.494252873563218</v>
      </c>
      <c r="BB92" s="980">
        <f t="shared" si="46"/>
        <v>7.7071290944123314</v>
      </c>
      <c r="BC92" s="980">
        <f t="shared" si="47"/>
        <v>18.595041322314049</v>
      </c>
      <c r="BD92" s="980">
        <f t="shared" si="48"/>
        <v>27.196652719665273</v>
      </c>
      <c r="BE92" s="980">
        <f t="shared" si="49"/>
        <v>6.5359477124183005</v>
      </c>
      <c r="BF92" s="980">
        <f t="shared" si="50"/>
        <v>26.845637583892618</v>
      </c>
      <c r="BG92" s="980">
        <f t="shared" si="51"/>
        <v>14.563106796116505</v>
      </c>
      <c r="BH92" s="980">
        <f t="shared" si="52"/>
        <v>9.2807424593967518</v>
      </c>
      <c r="BI92" s="980">
        <f t="shared" si="53"/>
        <v>11.79245283018868</v>
      </c>
      <c r="BJ92" s="1114">
        <f t="shared" si="54"/>
        <v>2.4390243902439024</v>
      </c>
      <c r="BK92" s="1116">
        <f t="shared" si="55"/>
        <v>5.1679586563307494</v>
      </c>
      <c r="BL92" s="1278">
        <f t="shared" si="56"/>
        <v>7.9155672823219003</v>
      </c>
      <c r="BM92" s="1941">
        <f t="shared" si="57"/>
        <v>13.774104683195592</v>
      </c>
      <c r="BN92" s="2296">
        <f t="shared" si="58"/>
        <v>8.3798882681564244</v>
      </c>
      <c r="BO92" s="2364">
        <f t="shared" si="59"/>
        <v>5.9701492537313436</v>
      </c>
      <c r="BP92" s="2366">
        <f t="shared" si="59"/>
        <v>6.430868167202572</v>
      </c>
    </row>
    <row r="93" spans="1:68" s="142" customFormat="1" ht="15.75" customHeight="1" x14ac:dyDescent="0.3">
      <c r="A93" s="149" t="s">
        <v>226</v>
      </c>
      <c r="B93" s="185" t="s">
        <v>227</v>
      </c>
      <c r="C93" s="150" t="s">
        <v>252</v>
      </c>
      <c r="D93" s="938">
        <v>21</v>
      </c>
      <c r="E93" s="939">
        <v>30</v>
      </c>
      <c r="F93" s="940">
        <v>29</v>
      </c>
      <c r="G93" s="939">
        <v>19</v>
      </c>
      <c r="H93" s="940">
        <v>18</v>
      </c>
      <c r="I93" s="939">
        <v>19</v>
      </c>
      <c r="J93" s="940">
        <v>21</v>
      </c>
      <c r="K93" s="939">
        <v>25</v>
      </c>
      <c r="L93" s="953">
        <v>18</v>
      </c>
      <c r="M93" s="953">
        <v>18</v>
      </c>
      <c r="N93" s="953">
        <v>19</v>
      </c>
      <c r="O93" s="953">
        <v>18</v>
      </c>
      <c r="P93" s="954">
        <v>15</v>
      </c>
      <c r="Q93" s="954">
        <v>18</v>
      </c>
      <c r="R93" s="1107">
        <v>10</v>
      </c>
      <c r="S93" s="1108">
        <v>12</v>
      </c>
      <c r="T93" s="1273">
        <v>6</v>
      </c>
      <c r="U93" s="1937">
        <v>9</v>
      </c>
      <c r="V93" s="2291">
        <v>6</v>
      </c>
      <c r="W93" s="1367">
        <v>10</v>
      </c>
      <c r="X93" s="2351">
        <v>4</v>
      </c>
      <c r="Y93" s="1273"/>
      <c r="Z93" s="961">
        <v>696</v>
      </c>
      <c r="AA93" s="962">
        <v>696</v>
      </c>
      <c r="AB93" s="962">
        <v>633</v>
      </c>
      <c r="AC93" s="962">
        <v>641</v>
      </c>
      <c r="AD93" s="962">
        <v>651</v>
      </c>
      <c r="AE93" s="962">
        <v>645</v>
      </c>
      <c r="AF93" s="962">
        <v>635</v>
      </c>
      <c r="AG93" s="962">
        <v>600</v>
      </c>
      <c r="AH93" s="962">
        <v>599</v>
      </c>
      <c r="AI93" s="962">
        <v>561</v>
      </c>
      <c r="AJ93" s="962">
        <v>545</v>
      </c>
      <c r="AK93" s="962">
        <v>539</v>
      </c>
      <c r="AL93" s="962">
        <v>557</v>
      </c>
      <c r="AM93" s="962">
        <v>548</v>
      </c>
      <c r="AN93" s="1110">
        <v>541</v>
      </c>
      <c r="AO93" s="1111">
        <v>518</v>
      </c>
      <c r="AP93" s="1391">
        <v>524</v>
      </c>
      <c r="AQ93" s="1934">
        <v>488</v>
      </c>
      <c r="AR93" s="2289">
        <v>476</v>
      </c>
      <c r="AS93" s="1368">
        <v>467</v>
      </c>
      <c r="AT93" s="2353">
        <v>474</v>
      </c>
      <c r="AU93" s="1274"/>
      <c r="AV93" s="979">
        <f t="shared" si="40"/>
        <v>30.172413793103448</v>
      </c>
      <c r="AW93" s="980">
        <f t="shared" si="41"/>
        <v>43.103448275862071</v>
      </c>
      <c r="AX93" s="980">
        <f t="shared" si="42"/>
        <v>45.813586097946285</v>
      </c>
      <c r="AY93" s="980">
        <f t="shared" si="43"/>
        <v>29.6411856474259</v>
      </c>
      <c r="AZ93" s="980">
        <f t="shared" si="44"/>
        <v>27.649769585253459</v>
      </c>
      <c r="BA93" s="980">
        <f t="shared" si="45"/>
        <v>29.45736434108527</v>
      </c>
      <c r="BB93" s="980">
        <f t="shared" si="46"/>
        <v>33.070866141732282</v>
      </c>
      <c r="BC93" s="980">
        <f t="shared" si="47"/>
        <v>41.666666666666664</v>
      </c>
      <c r="BD93" s="980">
        <f t="shared" si="48"/>
        <v>30.050083472454091</v>
      </c>
      <c r="BE93" s="980">
        <f t="shared" si="49"/>
        <v>32.085561497326204</v>
      </c>
      <c r="BF93" s="980">
        <f t="shared" si="50"/>
        <v>34.862385321100916</v>
      </c>
      <c r="BG93" s="980">
        <f t="shared" si="51"/>
        <v>33.395176252319111</v>
      </c>
      <c r="BH93" s="980">
        <f t="shared" si="52"/>
        <v>26.929982046678635</v>
      </c>
      <c r="BI93" s="980">
        <f t="shared" si="53"/>
        <v>32.846715328467155</v>
      </c>
      <c r="BJ93" s="1114">
        <f t="shared" si="54"/>
        <v>18.484288354898339</v>
      </c>
      <c r="BK93" s="1116">
        <f t="shared" si="55"/>
        <v>23.166023166023166</v>
      </c>
      <c r="BL93" s="1278">
        <f t="shared" si="56"/>
        <v>11.450381679389313</v>
      </c>
      <c r="BM93" s="1941">
        <f t="shared" si="57"/>
        <v>18.442622950819672</v>
      </c>
      <c r="BN93" s="2296">
        <f t="shared" si="58"/>
        <v>12.605042016806722</v>
      </c>
      <c r="BO93" s="2364">
        <f t="shared" si="59"/>
        <v>21.413276231263382</v>
      </c>
      <c r="BP93" s="2366">
        <f t="shared" si="59"/>
        <v>8.4388185654008439</v>
      </c>
    </row>
    <row r="94" spans="1:68" s="142" customFormat="1" ht="15.75" customHeight="1" x14ac:dyDescent="0.3">
      <c r="A94" s="149" t="s">
        <v>228</v>
      </c>
      <c r="B94" s="185" t="s">
        <v>229</v>
      </c>
      <c r="C94" s="150" t="s">
        <v>256</v>
      </c>
      <c r="D94" s="938">
        <v>46</v>
      </c>
      <c r="E94" s="939">
        <v>57</v>
      </c>
      <c r="F94" s="940">
        <v>61</v>
      </c>
      <c r="G94" s="939">
        <v>74</v>
      </c>
      <c r="H94" s="940">
        <v>64</v>
      </c>
      <c r="I94" s="939">
        <v>36</v>
      </c>
      <c r="J94" s="940">
        <v>51</v>
      </c>
      <c r="K94" s="939">
        <v>59</v>
      </c>
      <c r="L94" s="953">
        <v>66</v>
      </c>
      <c r="M94" s="953">
        <v>73</v>
      </c>
      <c r="N94" s="953">
        <v>60</v>
      </c>
      <c r="O94" s="953">
        <v>51</v>
      </c>
      <c r="P94" s="954">
        <v>75</v>
      </c>
      <c r="Q94" s="954">
        <v>42</v>
      </c>
      <c r="R94" s="1107">
        <v>54</v>
      </c>
      <c r="S94" s="1108">
        <v>55</v>
      </c>
      <c r="T94" s="1273">
        <v>60</v>
      </c>
      <c r="U94" s="1937">
        <v>55</v>
      </c>
      <c r="V94" s="2291">
        <v>45</v>
      </c>
      <c r="W94" s="1367">
        <v>36</v>
      </c>
      <c r="X94" s="2351">
        <v>48</v>
      </c>
      <c r="Y94" s="1273"/>
      <c r="Z94" s="961">
        <v>2798</v>
      </c>
      <c r="AA94" s="962">
        <v>2713</v>
      </c>
      <c r="AB94" s="962">
        <v>2798</v>
      </c>
      <c r="AC94" s="962">
        <v>2725</v>
      </c>
      <c r="AD94" s="962">
        <v>2606</v>
      </c>
      <c r="AE94" s="962">
        <v>2598</v>
      </c>
      <c r="AF94" s="962">
        <v>2582</v>
      </c>
      <c r="AG94" s="962">
        <v>2632</v>
      </c>
      <c r="AH94" s="962">
        <v>2610</v>
      </c>
      <c r="AI94" s="962">
        <v>2571</v>
      </c>
      <c r="AJ94" s="962">
        <v>2548</v>
      </c>
      <c r="AK94" s="962">
        <v>2629</v>
      </c>
      <c r="AL94" s="962">
        <v>2609</v>
      </c>
      <c r="AM94" s="962">
        <v>2500</v>
      </c>
      <c r="AN94" s="1110">
        <v>2478</v>
      </c>
      <c r="AO94" s="1111">
        <v>2461</v>
      </c>
      <c r="AP94" s="1391">
        <v>2401</v>
      </c>
      <c r="AQ94" s="1934">
        <v>2381</v>
      </c>
      <c r="AR94" s="2289">
        <v>2269</v>
      </c>
      <c r="AS94" s="1368">
        <v>2229</v>
      </c>
      <c r="AT94" s="2353">
        <v>2299</v>
      </c>
      <c r="AU94" s="1274"/>
      <c r="AV94" s="979">
        <f t="shared" si="40"/>
        <v>16.440314510364548</v>
      </c>
      <c r="AW94" s="980">
        <f t="shared" si="41"/>
        <v>21.009952082565427</v>
      </c>
      <c r="AX94" s="980">
        <f t="shared" si="42"/>
        <v>21.801286633309505</v>
      </c>
      <c r="AY94" s="980">
        <f t="shared" si="43"/>
        <v>27.155963302752294</v>
      </c>
      <c r="AZ94" s="980">
        <f t="shared" si="44"/>
        <v>24.558710667689947</v>
      </c>
      <c r="BA94" s="980">
        <f t="shared" si="45"/>
        <v>13.856812933025404</v>
      </c>
      <c r="BB94" s="980">
        <f t="shared" si="46"/>
        <v>19.752130131680868</v>
      </c>
      <c r="BC94" s="980">
        <f t="shared" si="47"/>
        <v>22.416413373860181</v>
      </c>
      <c r="BD94" s="980">
        <f t="shared" si="48"/>
        <v>25.287356321839081</v>
      </c>
      <c r="BE94" s="980">
        <f t="shared" si="49"/>
        <v>28.393621159082066</v>
      </c>
      <c r="BF94" s="980">
        <f t="shared" si="50"/>
        <v>23.547880690737834</v>
      </c>
      <c r="BG94" s="980">
        <f t="shared" si="51"/>
        <v>19.399011030810197</v>
      </c>
      <c r="BH94" s="980">
        <f t="shared" si="52"/>
        <v>28.746646224607129</v>
      </c>
      <c r="BI94" s="980">
        <f t="shared" si="53"/>
        <v>16.8</v>
      </c>
      <c r="BJ94" s="1114">
        <f t="shared" si="54"/>
        <v>21.791767554479417</v>
      </c>
      <c r="BK94" s="1116">
        <f t="shared" si="55"/>
        <v>22.348638764729785</v>
      </c>
      <c r="BL94" s="1278">
        <f t="shared" si="56"/>
        <v>24.989587671803417</v>
      </c>
      <c r="BM94" s="1941">
        <f t="shared" si="57"/>
        <v>23.099538009239815</v>
      </c>
      <c r="BN94" s="2296">
        <f t="shared" si="58"/>
        <v>19.83252534156016</v>
      </c>
      <c r="BO94" s="2364">
        <f t="shared" si="59"/>
        <v>16.150740242261104</v>
      </c>
      <c r="BP94" s="2366">
        <f t="shared" si="59"/>
        <v>20.878642888212266</v>
      </c>
    </row>
    <row r="95" spans="1:68" s="142" customFormat="1" ht="15.75" customHeight="1" x14ac:dyDescent="0.3">
      <c r="A95" s="149" t="s">
        <v>232</v>
      </c>
      <c r="B95" s="185" t="s">
        <v>233</v>
      </c>
      <c r="C95" s="150" t="s">
        <v>255</v>
      </c>
      <c r="D95" s="938">
        <v>51</v>
      </c>
      <c r="E95" s="939">
        <v>51</v>
      </c>
      <c r="F95" s="940">
        <v>47</v>
      </c>
      <c r="G95" s="939">
        <v>60</v>
      </c>
      <c r="H95" s="940">
        <v>52</v>
      </c>
      <c r="I95" s="939">
        <v>46</v>
      </c>
      <c r="J95" s="940">
        <v>48</v>
      </c>
      <c r="K95" s="939">
        <v>46</v>
      </c>
      <c r="L95" s="953">
        <v>56</v>
      </c>
      <c r="M95" s="953">
        <v>46</v>
      </c>
      <c r="N95" s="953">
        <v>41</v>
      </c>
      <c r="O95" s="953">
        <v>37</v>
      </c>
      <c r="P95" s="954">
        <v>37</v>
      </c>
      <c r="Q95" s="954">
        <v>35</v>
      </c>
      <c r="R95" s="1107">
        <v>33</v>
      </c>
      <c r="S95" s="1108">
        <v>39</v>
      </c>
      <c r="T95" s="1273">
        <v>47</v>
      </c>
      <c r="U95" s="1937">
        <v>30</v>
      </c>
      <c r="V95" s="2291">
        <v>26</v>
      </c>
      <c r="W95" s="1367">
        <v>28</v>
      </c>
      <c r="X95" s="2351">
        <v>16</v>
      </c>
      <c r="Y95" s="1273"/>
      <c r="Z95" s="961">
        <v>2025</v>
      </c>
      <c r="AA95" s="962">
        <v>2079</v>
      </c>
      <c r="AB95" s="962">
        <v>2168</v>
      </c>
      <c r="AC95" s="962">
        <v>2268</v>
      </c>
      <c r="AD95" s="962">
        <v>2342</v>
      </c>
      <c r="AE95" s="962">
        <v>2429</v>
      </c>
      <c r="AF95" s="962">
        <v>2472</v>
      </c>
      <c r="AG95" s="962">
        <v>2476</v>
      </c>
      <c r="AH95" s="962">
        <v>2428</v>
      </c>
      <c r="AI95" s="962">
        <v>2370</v>
      </c>
      <c r="AJ95" s="962">
        <v>2360</v>
      </c>
      <c r="AK95" s="962">
        <v>2336</v>
      </c>
      <c r="AL95" s="962">
        <v>2588</v>
      </c>
      <c r="AM95" s="962">
        <v>2527</v>
      </c>
      <c r="AN95" s="1110">
        <v>2516</v>
      </c>
      <c r="AO95" s="1111">
        <v>2521</v>
      </c>
      <c r="AP95" s="1391">
        <v>2493</v>
      </c>
      <c r="AQ95" s="1934">
        <v>2443</v>
      </c>
      <c r="AR95" s="2289">
        <v>2439</v>
      </c>
      <c r="AS95" s="1368">
        <v>2447</v>
      </c>
      <c r="AT95" s="2353">
        <v>2485</v>
      </c>
      <c r="AU95" s="1274"/>
      <c r="AV95" s="979">
        <f t="shared" si="40"/>
        <v>25.185185185185187</v>
      </c>
      <c r="AW95" s="980">
        <f t="shared" si="41"/>
        <v>24.531024531024531</v>
      </c>
      <c r="AX95" s="980">
        <f t="shared" si="42"/>
        <v>21.678966789667896</v>
      </c>
      <c r="AY95" s="980">
        <f t="shared" si="43"/>
        <v>26.455026455026452</v>
      </c>
      <c r="AZ95" s="980">
        <f t="shared" si="44"/>
        <v>22.20324508966695</v>
      </c>
      <c r="BA95" s="980">
        <f t="shared" si="45"/>
        <v>18.937834499794153</v>
      </c>
      <c r="BB95" s="980">
        <f t="shared" si="46"/>
        <v>19.417475728155338</v>
      </c>
      <c r="BC95" s="980">
        <f t="shared" si="47"/>
        <v>18.578352180936992</v>
      </c>
      <c r="BD95" s="980">
        <f t="shared" si="48"/>
        <v>23.064250411861615</v>
      </c>
      <c r="BE95" s="980">
        <f t="shared" si="49"/>
        <v>19.409282700421944</v>
      </c>
      <c r="BF95" s="980">
        <f t="shared" si="50"/>
        <v>17.372881355932204</v>
      </c>
      <c r="BG95" s="980">
        <f t="shared" si="51"/>
        <v>15.839041095890412</v>
      </c>
      <c r="BH95" s="980">
        <f t="shared" si="52"/>
        <v>14.2967542503864</v>
      </c>
      <c r="BI95" s="980">
        <f t="shared" si="53"/>
        <v>13.850415512465373</v>
      </c>
      <c r="BJ95" s="1114">
        <f t="shared" si="54"/>
        <v>13.116057233704293</v>
      </c>
      <c r="BK95" s="1116">
        <f t="shared" si="55"/>
        <v>15.470051566838556</v>
      </c>
      <c r="BL95" s="1278">
        <f t="shared" si="56"/>
        <v>18.852787805856398</v>
      </c>
      <c r="BM95" s="1941">
        <f t="shared" si="57"/>
        <v>12.279983626688498</v>
      </c>
      <c r="BN95" s="2296">
        <f t="shared" si="58"/>
        <v>10.66010660106601</v>
      </c>
      <c r="BO95" s="2364">
        <f t="shared" si="59"/>
        <v>11.442582754393134</v>
      </c>
      <c r="BP95" s="2366">
        <f t="shared" si="59"/>
        <v>6.4386317907444663</v>
      </c>
    </row>
    <row r="96" spans="1:68" s="142" customFormat="1" ht="15.75" customHeight="1" x14ac:dyDescent="0.3">
      <c r="A96" s="149" t="s">
        <v>234</v>
      </c>
      <c r="B96" s="185" t="s">
        <v>235</v>
      </c>
      <c r="C96" s="150" t="s">
        <v>256</v>
      </c>
      <c r="D96" s="938">
        <v>77</v>
      </c>
      <c r="E96" s="939">
        <v>71</v>
      </c>
      <c r="F96" s="940">
        <v>68</v>
      </c>
      <c r="G96" s="939">
        <v>64</v>
      </c>
      <c r="H96" s="940">
        <v>62</v>
      </c>
      <c r="I96" s="939">
        <v>51</v>
      </c>
      <c r="J96" s="940">
        <v>57</v>
      </c>
      <c r="K96" s="939">
        <v>66</v>
      </c>
      <c r="L96" s="953">
        <v>53</v>
      </c>
      <c r="M96" s="953">
        <v>68</v>
      </c>
      <c r="N96" s="953">
        <v>66</v>
      </c>
      <c r="O96" s="953">
        <v>67</v>
      </c>
      <c r="P96" s="954">
        <v>77</v>
      </c>
      <c r="Q96" s="954">
        <v>56</v>
      </c>
      <c r="R96" s="1107">
        <v>54</v>
      </c>
      <c r="S96" s="1108">
        <v>52</v>
      </c>
      <c r="T96" s="1273">
        <v>35</v>
      </c>
      <c r="U96" s="1937">
        <v>48</v>
      </c>
      <c r="V96" s="2291">
        <v>41</v>
      </c>
      <c r="W96" s="1367">
        <v>37</v>
      </c>
      <c r="X96" s="2351">
        <v>39</v>
      </c>
      <c r="Y96" s="1273"/>
      <c r="Z96" s="961">
        <v>2715</v>
      </c>
      <c r="AA96" s="962">
        <v>2658</v>
      </c>
      <c r="AB96" s="962">
        <v>3179</v>
      </c>
      <c r="AC96" s="962">
        <v>3116</v>
      </c>
      <c r="AD96" s="962">
        <v>3070</v>
      </c>
      <c r="AE96" s="962">
        <v>3058</v>
      </c>
      <c r="AF96" s="962">
        <v>3083</v>
      </c>
      <c r="AG96" s="962">
        <v>3109</v>
      </c>
      <c r="AH96" s="962">
        <v>3007</v>
      </c>
      <c r="AI96" s="962">
        <v>2971</v>
      </c>
      <c r="AJ96" s="962">
        <v>2937</v>
      </c>
      <c r="AK96" s="962">
        <v>2948</v>
      </c>
      <c r="AL96" s="962">
        <v>3083</v>
      </c>
      <c r="AM96" s="962">
        <v>3056</v>
      </c>
      <c r="AN96" s="1110">
        <v>3116</v>
      </c>
      <c r="AO96" s="1111">
        <v>3077</v>
      </c>
      <c r="AP96" s="1391">
        <v>3039</v>
      </c>
      <c r="AQ96" s="1934">
        <v>3045</v>
      </c>
      <c r="AR96" s="2289">
        <v>3020</v>
      </c>
      <c r="AS96" s="1368">
        <v>3119</v>
      </c>
      <c r="AT96" s="2353">
        <v>3066</v>
      </c>
      <c r="AU96" s="1274"/>
      <c r="AV96" s="979">
        <f t="shared" si="40"/>
        <v>28.360957642725598</v>
      </c>
      <c r="AW96" s="980">
        <f t="shared" si="41"/>
        <v>26.711813393528971</v>
      </c>
      <c r="AX96" s="980">
        <f t="shared" si="42"/>
        <v>21.390374331550802</v>
      </c>
      <c r="AY96" s="980">
        <f t="shared" si="43"/>
        <v>20.539152759948649</v>
      </c>
      <c r="AZ96" s="980">
        <f t="shared" si="44"/>
        <v>20.195439739413683</v>
      </c>
      <c r="BA96" s="980">
        <f t="shared" si="45"/>
        <v>16.677567037279267</v>
      </c>
      <c r="BB96" s="980">
        <f t="shared" si="46"/>
        <v>18.488485241647744</v>
      </c>
      <c r="BC96" s="980">
        <f t="shared" si="47"/>
        <v>21.22869089739466</v>
      </c>
      <c r="BD96" s="980">
        <f t="shared" si="48"/>
        <v>17.625540405719988</v>
      </c>
      <c r="BE96" s="980">
        <f t="shared" si="49"/>
        <v>22.887916526422082</v>
      </c>
      <c r="BF96" s="980">
        <f t="shared" si="50"/>
        <v>22.471910112359549</v>
      </c>
      <c r="BG96" s="980">
        <f t="shared" si="51"/>
        <v>22.727272727272727</v>
      </c>
      <c r="BH96" s="980">
        <f t="shared" si="52"/>
        <v>24.975673045734673</v>
      </c>
      <c r="BI96" s="980">
        <f t="shared" si="53"/>
        <v>18.32460732984293</v>
      </c>
      <c r="BJ96" s="1114">
        <f t="shared" si="54"/>
        <v>17.329910141206675</v>
      </c>
      <c r="BK96" s="1116">
        <f t="shared" si="55"/>
        <v>16.899577510562239</v>
      </c>
      <c r="BL96" s="1278">
        <f t="shared" si="56"/>
        <v>11.516946363935505</v>
      </c>
      <c r="BM96" s="1941">
        <f t="shared" si="57"/>
        <v>15.763546798029555</v>
      </c>
      <c r="BN96" s="2296">
        <f t="shared" si="58"/>
        <v>13.576158940397352</v>
      </c>
      <c r="BO96" s="2364">
        <f t="shared" si="59"/>
        <v>11.862776530939405</v>
      </c>
      <c r="BP96" s="2366">
        <f t="shared" si="59"/>
        <v>12.720156555772993</v>
      </c>
    </row>
    <row r="97" spans="1:68" s="142" customFormat="1" ht="15.75" customHeight="1" x14ac:dyDescent="0.3">
      <c r="A97" s="149" t="s">
        <v>236</v>
      </c>
      <c r="B97" s="185" t="s">
        <v>237</v>
      </c>
      <c r="C97" s="150" t="s">
        <v>254</v>
      </c>
      <c r="D97" s="938">
        <v>36</v>
      </c>
      <c r="E97" s="939">
        <v>38</v>
      </c>
      <c r="F97" s="940">
        <v>24</v>
      </c>
      <c r="G97" s="939">
        <v>38</v>
      </c>
      <c r="H97" s="940">
        <v>34</v>
      </c>
      <c r="I97" s="939">
        <v>25</v>
      </c>
      <c r="J97" s="940">
        <v>36</v>
      </c>
      <c r="K97" s="939">
        <v>31</v>
      </c>
      <c r="L97" s="953">
        <v>28</v>
      </c>
      <c r="M97" s="953">
        <v>18</v>
      </c>
      <c r="N97" s="953">
        <v>29</v>
      </c>
      <c r="O97" s="953">
        <v>28</v>
      </c>
      <c r="P97" s="954">
        <v>30</v>
      </c>
      <c r="Q97" s="954">
        <v>22</v>
      </c>
      <c r="R97" s="1107">
        <v>14</v>
      </c>
      <c r="S97" s="1108">
        <v>20</v>
      </c>
      <c r="T97" s="1273">
        <v>13</v>
      </c>
      <c r="U97" s="1937">
        <v>16</v>
      </c>
      <c r="V97" s="2291">
        <v>13</v>
      </c>
      <c r="W97" s="1367">
        <v>8</v>
      </c>
      <c r="X97" s="2351">
        <v>10</v>
      </c>
      <c r="Y97" s="1273"/>
      <c r="Z97" s="961">
        <v>915</v>
      </c>
      <c r="AA97" s="962">
        <v>914</v>
      </c>
      <c r="AB97" s="962">
        <v>1097</v>
      </c>
      <c r="AC97" s="962">
        <v>1110</v>
      </c>
      <c r="AD97" s="962">
        <v>1129</v>
      </c>
      <c r="AE97" s="962">
        <v>1125</v>
      </c>
      <c r="AF97" s="962">
        <v>1118</v>
      </c>
      <c r="AG97" s="962">
        <v>1073</v>
      </c>
      <c r="AH97" s="962">
        <v>1026</v>
      </c>
      <c r="AI97" s="962">
        <v>985</v>
      </c>
      <c r="AJ97" s="962">
        <v>993</v>
      </c>
      <c r="AK97" s="962">
        <v>986</v>
      </c>
      <c r="AL97" s="962">
        <v>996</v>
      </c>
      <c r="AM97" s="962">
        <v>948</v>
      </c>
      <c r="AN97" s="1110">
        <v>930</v>
      </c>
      <c r="AO97" s="1111">
        <v>902</v>
      </c>
      <c r="AP97" s="1391">
        <v>887</v>
      </c>
      <c r="AQ97" s="1934">
        <v>877</v>
      </c>
      <c r="AR97" s="2289">
        <v>873</v>
      </c>
      <c r="AS97" s="1368">
        <v>867</v>
      </c>
      <c r="AT97" s="2353">
        <v>882</v>
      </c>
      <c r="AU97" s="1274"/>
      <c r="AV97" s="979">
        <f t="shared" si="40"/>
        <v>39.344262295081968</v>
      </c>
      <c r="AW97" s="980">
        <f t="shared" si="41"/>
        <v>41.575492341356671</v>
      </c>
      <c r="AX97" s="980">
        <f t="shared" si="42"/>
        <v>21.877848678213311</v>
      </c>
      <c r="AY97" s="980">
        <f t="shared" si="43"/>
        <v>34.234234234234229</v>
      </c>
      <c r="AZ97" s="980">
        <f t="shared" si="44"/>
        <v>30.115146147032775</v>
      </c>
      <c r="BA97" s="980">
        <f t="shared" si="45"/>
        <v>22.222222222222221</v>
      </c>
      <c r="BB97" s="980">
        <f t="shared" si="46"/>
        <v>32.200357781753134</v>
      </c>
      <c r="BC97" s="980">
        <f t="shared" si="47"/>
        <v>28.890959925442687</v>
      </c>
      <c r="BD97" s="980">
        <f t="shared" si="48"/>
        <v>27.29044834307992</v>
      </c>
      <c r="BE97" s="980">
        <f t="shared" si="49"/>
        <v>18.274111675126903</v>
      </c>
      <c r="BF97" s="980">
        <f t="shared" si="50"/>
        <v>29.204431017119841</v>
      </c>
      <c r="BG97" s="980">
        <f t="shared" si="51"/>
        <v>28.397565922920894</v>
      </c>
      <c r="BH97" s="980">
        <f t="shared" si="52"/>
        <v>30.120481927710845</v>
      </c>
      <c r="BI97" s="980">
        <f t="shared" si="53"/>
        <v>23.206751054852322</v>
      </c>
      <c r="BJ97" s="1114">
        <f t="shared" si="54"/>
        <v>15.053763440860216</v>
      </c>
      <c r="BK97" s="1116">
        <f t="shared" si="55"/>
        <v>22.172949002217297</v>
      </c>
      <c r="BL97" s="1278">
        <f t="shared" si="56"/>
        <v>14.656144306651633</v>
      </c>
      <c r="BM97" s="1941">
        <f t="shared" si="57"/>
        <v>18.244013683010262</v>
      </c>
      <c r="BN97" s="2296">
        <f t="shared" si="58"/>
        <v>14.891179839633446</v>
      </c>
      <c r="BO97" s="2364">
        <f t="shared" si="59"/>
        <v>9.2272202998846602</v>
      </c>
      <c r="BP97" s="2366">
        <f t="shared" si="59"/>
        <v>11.337868480725623</v>
      </c>
    </row>
    <row r="98" spans="1:68" s="142" customFormat="1" ht="15.75" customHeight="1" x14ac:dyDescent="0.3">
      <c r="A98" s="149" t="s">
        <v>242</v>
      </c>
      <c r="B98" s="185" t="s">
        <v>243</v>
      </c>
      <c r="C98" s="150" t="s">
        <v>256</v>
      </c>
      <c r="D98" s="938">
        <v>107</v>
      </c>
      <c r="E98" s="939">
        <v>80</v>
      </c>
      <c r="F98" s="940">
        <v>95</v>
      </c>
      <c r="G98" s="939">
        <v>79</v>
      </c>
      <c r="H98" s="940">
        <v>83</v>
      </c>
      <c r="I98" s="939">
        <v>65</v>
      </c>
      <c r="J98" s="940">
        <v>80</v>
      </c>
      <c r="K98" s="939">
        <v>66</v>
      </c>
      <c r="L98" s="953">
        <v>81</v>
      </c>
      <c r="M98" s="953">
        <v>78</v>
      </c>
      <c r="N98" s="953">
        <v>83</v>
      </c>
      <c r="O98" s="953">
        <v>98</v>
      </c>
      <c r="P98" s="954">
        <v>94</v>
      </c>
      <c r="Q98" s="954">
        <v>69</v>
      </c>
      <c r="R98" s="1107">
        <v>58</v>
      </c>
      <c r="S98" s="1108">
        <v>59</v>
      </c>
      <c r="T98" s="1273">
        <v>59</v>
      </c>
      <c r="U98" s="1937">
        <v>46</v>
      </c>
      <c r="V98" s="2291">
        <v>46</v>
      </c>
      <c r="W98" s="1367">
        <v>47</v>
      </c>
      <c r="X98" s="2351">
        <v>42</v>
      </c>
      <c r="Y98" s="1273"/>
      <c r="Z98" s="961">
        <v>2668</v>
      </c>
      <c r="AA98" s="962">
        <v>2602</v>
      </c>
      <c r="AB98" s="962">
        <v>2764</v>
      </c>
      <c r="AC98" s="962">
        <v>2687</v>
      </c>
      <c r="AD98" s="962">
        <v>2611</v>
      </c>
      <c r="AE98" s="962">
        <v>2572</v>
      </c>
      <c r="AF98" s="962">
        <v>2569</v>
      </c>
      <c r="AG98" s="962">
        <v>2634</v>
      </c>
      <c r="AH98" s="962">
        <v>2618</v>
      </c>
      <c r="AI98" s="962">
        <v>2578</v>
      </c>
      <c r="AJ98" s="962">
        <v>2537</v>
      </c>
      <c r="AK98" s="962">
        <v>2464</v>
      </c>
      <c r="AL98" s="962">
        <v>2505</v>
      </c>
      <c r="AM98" s="962">
        <v>2418</v>
      </c>
      <c r="AN98" s="1110">
        <v>2410</v>
      </c>
      <c r="AO98" s="1111">
        <v>2376</v>
      </c>
      <c r="AP98" s="1391">
        <v>2257</v>
      </c>
      <c r="AQ98" s="1934">
        <v>2172</v>
      </c>
      <c r="AR98" s="2289">
        <v>2172</v>
      </c>
      <c r="AS98" s="1368">
        <v>2151</v>
      </c>
      <c r="AT98" s="2353">
        <v>2119</v>
      </c>
      <c r="AU98" s="1274"/>
      <c r="AV98" s="979">
        <f t="shared" si="40"/>
        <v>40.104947526236884</v>
      </c>
      <c r="AW98" s="980">
        <f t="shared" si="41"/>
        <v>30.745580322828591</v>
      </c>
      <c r="AX98" s="980">
        <f t="shared" si="42"/>
        <v>34.370477568740952</v>
      </c>
      <c r="AY98" s="980">
        <f t="shared" si="43"/>
        <v>29.40081875697804</v>
      </c>
      <c r="AZ98" s="980">
        <f t="shared" si="44"/>
        <v>31.788586748372275</v>
      </c>
      <c r="BA98" s="980">
        <f t="shared" si="45"/>
        <v>25.272161741835145</v>
      </c>
      <c r="BB98" s="980">
        <f t="shared" si="46"/>
        <v>31.140521603736865</v>
      </c>
      <c r="BC98" s="980">
        <f t="shared" si="47"/>
        <v>25.056947608200456</v>
      </c>
      <c r="BD98" s="980">
        <f t="shared" si="48"/>
        <v>30.939648586707413</v>
      </c>
      <c r="BE98" s="980">
        <f t="shared" si="49"/>
        <v>30.256012412723042</v>
      </c>
      <c r="BF98" s="980">
        <f t="shared" si="50"/>
        <v>32.715806070161605</v>
      </c>
      <c r="BG98" s="980">
        <f t="shared" si="51"/>
        <v>39.772727272727273</v>
      </c>
      <c r="BH98" s="980">
        <f t="shared" si="52"/>
        <v>37.5249500998004</v>
      </c>
      <c r="BI98" s="980">
        <f t="shared" si="53"/>
        <v>28.535980148883372</v>
      </c>
      <c r="BJ98" s="1114">
        <f t="shared" si="54"/>
        <v>24.066390041493776</v>
      </c>
      <c r="BK98" s="1116">
        <f t="shared" si="55"/>
        <v>24.831649831649834</v>
      </c>
      <c r="BL98" s="1278">
        <f t="shared" si="56"/>
        <v>26.140894993354006</v>
      </c>
      <c r="BM98" s="1941">
        <f t="shared" si="57"/>
        <v>21.178637200736649</v>
      </c>
      <c r="BN98" s="2296">
        <f t="shared" si="58"/>
        <v>21.178637200736649</v>
      </c>
      <c r="BO98" s="2364">
        <f t="shared" si="59"/>
        <v>21.85030218503022</v>
      </c>
      <c r="BP98" s="2366">
        <f t="shared" si="59"/>
        <v>19.820670127418595</v>
      </c>
    </row>
    <row r="99" spans="1:68" s="142" customFormat="1" ht="15.75" customHeight="1" x14ac:dyDescent="0.3">
      <c r="A99" s="149" t="s">
        <v>244</v>
      </c>
      <c r="B99" s="185" t="s">
        <v>245</v>
      </c>
      <c r="C99" s="150" t="s">
        <v>256</v>
      </c>
      <c r="D99" s="938">
        <v>33</v>
      </c>
      <c r="E99" s="939">
        <v>45</v>
      </c>
      <c r="F99" s="940">
        <v>46</v>
      </c>
      <c r="G99" s="939">
        <v>40</v>
      </c>
      <c r="H99" s="940">
        <v>38</v>
      </c>
      <c r="I99" s="939">
        <v>36</v>
      </c>
      <c r="J99" s="940">
        <v>43</v>
      </c>
      <c r="K99" s="939">
        <v>38</v>
      </c>
      <c r="L99" s="953">
        <v>33</v>
      </c>
      <c r="M99" s="953">
        <v>36</v>
      </c>
      <c r="N99" s="953">
        <v>34</v>
      </c>
      <c r="O99" s="953">
        <v>42</v>
      </c>
      <c r="P99" s="954">
        <v>33</v>
      </c>
      <c r="Q99" s="954">
        <v>47</v>
      </c>
      <c r="R99" s="1107">
        <v>40</v>
      </c>
      <c r="S99" s="1108">
        <v>37</v>
      </c>
      <c r="T99" s="1273">
        <v>33</v>
      </c>
      <c r="U99" s="1937">
        <v>23</v>
      </c>
      <c r="V99" s="2291">
        <v>19</v>
      </c>
      <c r="W99" s="1367">
        <v>25</v>
      </c>
      <c r="X99" s="2351">
        <v>17</v>
      </c>
      <c r="Y99" s="1273"/>
      <c r="Z99" s="961">
        <v>1626</v>
      </c>
      <c r="AA99" s="962">
        <v>1611</v>
      </c>
      <c r="AB99" s="962">
        <v>1721</v>
      </c>
      <c r="AC99" s="962">
        <v>1711</v>
      </c>
      <c r="AD99" s="962">
        <v>1709</v>
      </c>
      <c r="AE99" s="962">
        <v>1697</v>
      </c>
      <c r="AF99" s="962">
        <v>1694</v>
      </c>
      <c r="AG99" s="962">
        <v>1646</v>
      </c>
      <c r="AH99" s="962">
        <v>1583</v>
      </c>
      <c r="AI99" s="962">
        <v>1557</v>
      </c>
      <c r="AJ99" s="962">
        <v>1522</v>
      </c>
      <c r="AK99" s="962">
        <v>1575</v>
      </c>
      <c r="AL99" s="962">
        <v>1601</v>
      </c>
      <c r="AM99" s="962">
        <v>1590</v>
      </c>
      <c r="AN99" s="1110">
        <v>1620</v>
      </c>
      <c r="AO99" s="1111">
        <v>1581</v>
      </c>
      <c r="AP99" s="1391">
        <v>1549</v>
      </c>
      <c r="AQ99" s="1934">
        <v>1562</v>
      </c>
      <c r="AR99" s="2289">
        <v>1571</v>
      </c>
      <c r="AS99" s="1368">
        <v>1605</v>
      </c>
      <c r="AT99" s="2353">
        <v>1614</v>
      </c>
      <c r="AU99" s="1274"/>
      <c r="AV99" s="979">
        <f t="shared" si="40"/>
        <v>20.29520295202952</v>
      </c>
      <c r="AW99" s="980">
        <f t="shared" si="41"/>
        <v>27.932960893854748</v>
      </c>
      <c r="AX99" s="980">
        <f t="shared" si="42"/>
        <v>26.728646135967463</v>
      </c>
      <c r="AY99" s="980">
        <f t="shared" si="43"/>
        <v>23.378141437755698</v>
      </c>
      <c r="AZ99" s="980">
        <f t="shared" si="44"/>
        <v>22.235225277940316</v>
      </c>
      <c r="BA99" s="980">
        <f t="shared" si="45"/>
        <v>21.213906894519742</v>
      </c>
      <c r="BB99" s="980">
        <f t="shared" si="46"/>
        <v>25.38370720188902</v>
      </c>
      <c r="BC99" s="980">
        <f t="shared" si="47"/>
        <v>23.086269744835967</v>
      </c>
      <c r="BD99" s="980">
        <f t="shared" si="48"/>
        <v>20.846493998736577</v>
      </c>
      <c r="BE99" s="980">
        <f t="shared" si="49"/>
        <v>23.121387283236992</v>
      </c>
      <c r="BF99" s="980">
        <f t="shared" si="50"/>
        <v>22.339027595269382</v>
      </c>
      <c r="BG99" s="980">
        <f t="shared" si="51"/>
        <v>26.666666666666668</v>
      </c>
      <c r="BH99" s="980">
        <f t="shared" si="52"/>
        <v>20.612117426608368</v>
      </c>
      <c r="BI99" s="980">
        <f t="shared" si="53"/>
        <v>29.559748427672957</v>
      </c>
      <c r="BJ99" s="1114">
        <f t="shared" si="54"/>
        <v>24.691358024691358</v>
      </c>
      <c r="BK99" s="1116">
        <f t="shared" si="55"/>
        <v>23.402909550917141</v>
      </c>
      <c r="BL99" s="1278">
        <f t="shared" si="56"/>
        <v>21.304067140090378</v>
      </c>
      <c r="BM99" s="1941">
        <f t="shared" si="57"/>
        <v>14.7247119078105</v>
      </c>
      <c r="BN99" s="2296">
        <f t="shared" si="58"/>
        <v>12.0942075111394</v>
      </c>
      <c r="BO99" s="2364">
        <f t="shared" si="59"/>
        <v>15.576323987538942</v>
      </c>
      <c r="BP99" s="2366">
        <f t="shared" si="59"/>
        <v>10.532837670384138</v>
      </c>
    </row>
    <row r="100" spans="1:68" s="142" customFormat="1" ht="15.75" customHeight="1" x14ac:dyDescent="0.3">
      <c r="A100" s="149" t="s">
        <v>246</v>
      </c>
      <c r="B100" s="185" t="s">
        <v>247</v>
      </c>
      <c r="C100" s="150" t="s">
        <v>252</v>
      </c>
      <c r="D100" s="938">
        <v>46</v>
      </c>
      <c r="E100" s="939">
        <v>59</v>
      </c>
      <c r="F100" s="940">
        <v>66</v>
      </c>
      <c r="G100" s="939">
        <v>49</v>
      </c>
      <c r="H100" s="940">
        <v>44</v>
      </c>
      <c r="I100" s="939">
        <v>48</v>
      </c>
      <c r="J100" s="940">
        <v>52</v>
      </c>
      <c r="K100" s="939">
        <v>34</v>
      </c>
      <c r="L100" s="953">
        <v>33</v>
      </c>
      <c r="M100" s="953">
        <v>41</v>
      </c>
      <c r="N100" s="953">
        <v>36</v>
      </c>
      <c r="O100" s="953">
        <v>37</v>
      </c>
      <c r="P100" s="954">
        <v>30</v>
      </c>
      <c r="Q100" s="954">
        <v>25</v>
      </c>
      <c r="R100" s="1107">
        <v>20</v>
      </c>
      <c r="S100" s="1108">
        <v>22</v>
      </c>
      <c r="T100" s="1273">
        <v>21</v>
      </c>
      <c r="U100" s="1937">
        <v>19</v>
      </c>
      <c r="V100" s="2291">
        <v>21</v>
      </c>
      <c r="W100" s="1367">
        <v>21</v>
      </c>
      <c r="X100" s="2351">
        <v>16</v>
      </c>
      <c r="Y100" s="1273"/>
      <c r="Z100" s="961">
        <v>4874</v>
      </c>
      <c r="AA100" s="962">
        <v>4943</v>
      </c>
      <c r="AB100" s="962">
        <v>5437</v>
      </c>
      <c r="AC100" s="962">
        <v>5696</v>
      </c>
      <c r="AD100" s="962">
        <v>5813</v>
      </c>
      <c r="AE100" s="962">
        <v>5917</v>
      </c>
      <c r="AF100" s="962">
        <v>5811</v>
      </c>
      <c r="AG100" s="962">
        <v>5731</v>
      </c>
      <c r="AH100" s="962">
        <v>5572</v>
      </c>
      <c r="AI100" s="962">
        <v>5410</v>
      </c>
      <c r="AJ100" s="962">
        <v>5218</v>
      </c>
      <c r="AK100" s="962">
        <v>5734</v>
      </c>
      <c r="AL100" s="962">
        <v>5939</v>
      </c>
      <c r="AM100" s="962">
        <v>5929</v>
      </c>
      <c r="AN100" s="1110">
        <v>5779</v>
      </c>
      <c r="AO100" s="1111">
        <v>5707</v>
      </c>
      <c r="AP100" s="1391">
        <v>5620</v>
      </c>
      <c r="AQ100" s="1934">
        <v>5742</v>
      </c>
      <c r="AR100" s="2289">
        <v>5602</v>
      </c>
      <c r="AS100" s="1368">
        <v>5540</v>
      </c>
      <c r="AT100" s="2353">
        <v>5545</v>
      </c>
      <c r="AU100" s="1274"/>
      <c r="AV100" s="979">
        <f t="shared" si="40"/>
        <v>9.4378334017234309</v>
      </c>
      <c r="AW100" s="980">
        <f t="shared" si="41"/>
        <v>11.936071211814687</v>
      </c>
      <c r="AX100" s="980">
        <f t="shared" si="42"/>
        <v>12.139047268714364</v>
      </c>
      <c r="AY100" s="980">
        <f t="shared" si="43"/>
        <v>8.60252808988764</v>
      </c>
      <c r="AZ100" s="980">
        <f t="shared" si="44"/>
        <v>7.5692413555823155</v>
      </c>
      <c r="BA100" s="980">
        <f t="shared" si="45"/>
        <v>8.1122190299138079</v>
      </c>
      <c r="BB100" s="980">
        <f t="shared" si="46"/>
        <v>8.9485458612975393</v>
      </c>
      <c r="BC100" s="980">
        <f t="shared" si="47"/>
        <v>5.9326470075030535</v>
      </c>
      <c r="BD100" s="980">
        <f t="shared" si="48"/>
        <v>5.9224694903086865</v>
      </c>
      <c r="BE100" s="980">
        <f t="shared" si="49"/>
        <v>7.5785582255083179</v>
      </c>
      <c r="BF100" s="980">
        <f t="shared" si="50"/>
        <v>6.8991950939057105</v>
      </c>
      <c r="BG100" s="980">
        <f t="shared" si="51"/>
        <v>6.4527380537146843</v>
      </c>
      <c r="BH100" s="980">
        <f t="shared" si="52"/>
        <v>5.0513554470449566</v>
      </c>
      <c r="BI100" s="980">
        <f t="shared" si="53"/>
        <v>4.2165626581210995</v>
      </c>
      <c r="BJ100" s="1114">
        <f t="shared" si="54"/>
        <v>3.4608063678837166</v>
      </c>
      <c r="BK100" s="1116">
        <f t="shared" si="55"/>
        <v>3.854915016646224</v>
      </c>
      <c r="BL100" s="1278">
        <f t="shared" si="56"/>
        <v>3.7366548042704624</v>
      </c>
      <c r="BM100" s="1941">
        <f t="shared" si="57"/>
        <v>3.3089515848136539</v>
      </c>
      <c r="BN100" s="2296">
        <f t="shared" si="58"/>
        <v>3.7486611924312743</v>
      </c>
      <c r="BO100" s="2364">
        <f t="shared" si="59"/>
        <v>3.7906137184115525</v>
      </c>
      <c r="BP100" s="2366">
        <f t="shared" si="59"/>
        <v>2.885482416591524</v>
      </c>
    </row>
    <row r="101" spans="1:68" s="142" customFormat="1" ht="15.75" customHeight="1" x14ac:dyDescent="0.3">
      <c r="A101" s="149" t="s">
        <v>14</v>
      </c>
      <c r="B101" s="185" t="s">
        <v>15</v>
      </c>
      <c r="C101" s="150" t="s">
        <v>255</v>
      </c>
      <c r="D101" s="938">
        <v>111</v>
      </c>
      <c r="E101" s="939">
        <v>123</v>
      </c>
      <c r="F101" s="940">
        <v>122</v>
      </c>
      <c r="G101" s="939">
        <v>113</v>
      </c>
      <c r="H101" s="940">
        <v>107</v>
      </c>
      <c r="I101" s="939">
        <v>121</v>
      </c>
      <c r="J101" s="940">
        <v>105</v>
      </c>
      <c r="K101" s="939">
        <v>135</v>
      </c>
      <c r="L101" s="953">
        <v>102</v>
      </c>
      <c r="M101" s="953">
        <v>117</v>
      </c>
      <c r="N101" s="953">
        <v>100</v>
      </c>
      <c r="O101" s="953">
        <v>86</v>
      </c>
      <c r="P101" s="954">
        <v>106</v>
      </c>
      <c r="Q101" s="954">
        <v>76</v>
      </c>
      <c r="R101" s="1107">
        <v>72</v>
      </c>
      <c r="S101" s="1108">
        <v>60</v>
      </c>
      <c r="T101" s="1273">
        <v>69</v>
      </c>
      <c r="U101" s="1937">
        <v>56</v>
      </c>
      <c r="V101" s="2291">
        <v>56</v>
      </c>
      <c r="W101" s="1367">
        <v>51</v>
      </c>
      <c r="X101" s="2351">
        <v>51</v>
      </c>
      <c r="Y101" s="1273"/>
      <c r="Z101" s="961">
        <v>4716</v>
      </c>
      <c r="AA101" s="962">
        <v>4794</v>
      </c>
      <c r="AB101" s="962">
        <v>4606</v>
      </c>
      <c r="AC101" s="962">
        <v>4488</v>
      </c>
      <c r="AD101" s="962">
        <v>4231</v>
      </c>
      <c r="AE101" s="962">
        <v>3935</v>
      </c>
      <c r="AF101" s="962">
        <v>4061</v>
      </c>
      <c r="AG101" s="962">
        <v>4282</v>
      </c>
      <c r="AH101" s="962">
        <v>4244</v>
      </c>
      <c r="AI101" s="962">
        <v>4924</v>
      </c>
      <c r="AJ101" s="962">
        <v>5183</v>
      </c>
      <c r="AK101" s="962">
        <v>4357</v>
      </c>
      <c r="AL101" s="962">
        <v>4687</v>
      </c>
      <c r="AM101" s="962">
        <v>4707</v>
      </c>
      <c r="AN101" s="1110">
        <v>4789</v>
      </c>
      <c r="AO101" s="1111">
        <v>4840</v>
      </c>
      <c r="AP101" s="1391">
        <v>4983</v>
      </c>
      <c r="AQ101" s="1934">
        <v>5159</v>
      </c>
      <c r="AR101" s="2289">
        <v>5673</v>
      </c>
      <c r="AS101" s="1368">
        <v>5748</v>
      </c>
      <c r="AT101" s="2353">
        <v>5960</v>
      </c>
      <c r="AU101" s="1274"/>
      <c r="AV101" s="979">
        <f t="shared" ref="AV101:AV125" si="60">IF(Z101=0,"NA",(D101/Z101)*1000)</f>
        <v>23.536895674300254</v>
      </c>
      <c r="AW101" s="980">
        <f t="shared" ref="AW101:AW125" si="61">IF(AA101=0,"NA",(E101/AA101)*1000)</f>
        <v>25.657071339173967</v>
      </c>
      <c r="AX101" s="980">
        <f t="shared" ref="AX101:AX125" si="62">IF(AB101=0,"NA",(F101/AB101)*1000)</f>
        <v>26.487190620929223</v>
      </c>
      <c r="AY101" s="980">
        <f t="shared" ref="AY101:AY125" si="63">IF(AC101=0,"NA",(G101/AC101)*1000)</f>
        <v>25.178253119429588</v>
      </c>
      <c r="AZ101" s="980">
        <f t="shared" ref="AZ101:AZ125" si="64">IF(AD101=0,"NA",(H101/AD101)*1000)</f>
        <v>25.289529662018435</v>
      </c>
      <c r="BA101" s="980">
        <f t="shared" ref="BA101:BA125" si="65">IF(AE101=0,"NA",(I101/AE101)*1000)</f>
        <v>30.749682337992379</v>
      </c>
      <c r="BB101" s="980">
        <f t="shared" ref="BB101:BB125" si="66">IF(AF101=0,"NA",(J101/AF101)*1000)</f>
        <v>25.855700566362966</v>
      </c>
      <c r="BC101" s="980">
        <f t="shared" ref="BC101:BC125" si="67">IF(AG101=0,"NA",(K101/AG101)*1000)</f>
        <v>31.527323680523121</v>
      </c>
      <c r="BD101" s="980">
        <f t="shared" ref="BD101:BD125" si="68">IF(AH101=0,"NA",(L101/AH101)*1000)</f>
        <v>24.03393025447691</v>
      </c>
      <c r="BE101" s="980">
        <f t="shared" ref="BE101:BE125" si="69">IF(AI101=0,"NA",(M101/AI101)*1000)</f>
        <v>23.761169780666123</v>
      </c>
      <c r="BF101" s="980">
        <f t="shared" ref="BF101:BF125" si="70">IF(AJ101=0,"NA",(N101/AJ101)*1000)</f>
        <v>19.293845263360986</v>
      </c>
      <c r="BG101" s="980">
        <f t="shared" ref="BG101:BG125" si="71">IF(AK101=0,"NA",(O101/AK101)*1000)</f>
        <v>19.73835207711728</v>
      </c>
      <c r="BH101" s="980">
        <f t="shared" ref="BH101:BH125" si="72">IF(AL101=0,"NA",(P101/AL101)*1000)</f>
        <v>22.615745679539149</v>
      </c>
      <c r="BI101" s="980">
        <f t="shared" ref="BI101:BI125" si="73">IF(AM101=0,"NA",(Q101/AM101)*1000)</f>
        <v>16.146165285744637</v>
      </c>
      <c r="BJ101" s="1114">
        <f t="shared" ref="BJ101:BJ125" si="74">IF(AN101=0,"NA",(R101/AN101)*1000)</f>
        <v>15.034453956984757</v>
      </c>
      <c r="BK101" s="1116">
        <f t="shared" ref="BK101:BK125" si="75">IF(AO101=0,"NA",(S101/AO101)*1000)</f>
        <v>12.396694214876034</v>
      </c>
      <c r="BL101" s="1278">
        <f t="shared" ref="BL101:BL125" si="76">IF(AP101=0,"NA",(T101/AP101)*1000)</f>
        <v>13.847080072245635</v>
      </c>
      <c r="BM101" s="1941">
        <f t="shared" ref="BM101:BM125" si="77">IF(AQ101=0,"NA",(U101/AQ101)*1000)</f>
        <v>10.854816824966077</v>
      </c>
      <c r="BN101" s="2296">
        <f t="shared" ref="BN101:BN125" si="78">IF(AR101=0,"NA",(V101/AR101)*1000)</f>
        <v>9.8713202890886649</v>
      </c>
      <c r="BO101" s="2364">
        <f t="shared" ref="BO101:BP125" si="79">(W101/AS101)*1000</f>
        <v>8.8726513569937371</v>
      </c>
      <c r="BP101" s="2366">
        <f t="shared" si="79"/>
        <v>8.5570469798657722</v>
      </c>
    </row>
    <row r="102" spans="1:68" s="142" customFormat="1" ht="15.75" customHeight="1" x14ac:dyDescent="0.3">
      <c r="A102" s="149" t="s">
        <v>34</v>
      </c>
      <c r="B102" s="185" t="s">
        <v>35</v>
      </c>
      <c r="C102" s="150" t="s">
        <v>256</v>
      </c>
      <c r="D102" s="938">
        <v>30</v>
      </c>
      <c r="E102" s="939">
        <v>43</v>
      </c>
      <c r="F102" s="940">
        <v>25</v>
      </c>
      <c r="G102" s="939">
        <v>29</v>
      </c>
      <c r="H102" s="940">
        <v>27</v>
      </c>
      <c r="I102" s="939">
        <v>22</v>
      </c>
      <c r="J102" s="940">
        <v>24</v>
      </c>
      <c r="K102" s="939">
        <v>20</v>
      </c>
      <c r="L102" s="953">
        <v>20</v>
      </c>
      <c r="M102" s="953">
        <v>37</v>
      </c>
      <c r="N102" s="953">
        <v>30</v>
      </c>
      <c r="O102" s="953">
        <v>39</v>
      </c>
      <c r="P102" s="954">
        <v>34</v>
      </c>
      <c r="Q102" s="954">
        <v>21</v>
      </c>
      <c r="R102" s="1107">
        <v>19</v>
      </c>
      <c r="S102" s="1108">
        <v>26</v>
      </c>
      <c r="T102" s="1273">
        <v>17</v>
      </c>
      <c r="U102" s="1937">
        <v>25</v>
      </c>
      <c r="V102" s="2291">
        <v>16</v>
      </c>
      <c r="W102" s="1367">
        <v>15</v>
      </c>
      <c r="X102" s="2351">
        <v>8</v>
      </c>
      <c r="Y102" s="1273"/>
      <c r="Z102" s="961">
        <v>1235</v>
      </c>
      <c r="AA102" s="962">
        <v>1232</v>
      </c>
      <c r="AB102" s="962">
        <v>1013</v>
      </c>
      <c r="AC102" s="962">
        <v>978</v>
      </c>
      <c r="AD102" s="962">
        <v>974</v>
      </c>
      <c r="AE102" s="962">
        <v>985</v>
      </c>
      <c r="AF102" s="962">
        <v>982</v>
      </c>
      <c r="AG102" s="962">
        <v>974</v>
      </c>
      <c r="AH102" s="962">
        <v>976</v>
      </c>
      <c r="AI102" s="962">
        <v>949</v>
      </c>
      <c r="AJ102" s="962">
        <v>901</v>
      </c>
      <c r="AK102" s="962">
        <v>921</v>
      </c>
      <c r="AL102" s="962">
        <v>1006</v>
      </c>
      <c r="AM102" s="962">
        <v>970</v>
      </c>
      <c r="AN102" s="1110">
        <v>1013</v>
      </c>
      <c r="AO102" s="1111">
        <v>954</v>
      </c>
      <c r="AP102" s="1391">
        <v>911</v>
      </c>
      <c r="AQ102" s="1934">
        <v>958</v>
      </c>
      <c r="AR102" s="2289">
        <v>928</v>
      </c>
      <c r="AS102" s="1368">
        <v>921</v>
      </c>
      <c r="AT102" s="2353">
        <v>889</v>
      </c>
      <c r="AU102" s="1274"/>
      <c r="AV102" s="979">
        <f t="shared" si="60"/>
        <v>24.291497975708502</v>
      </c>
      <c r="AW102" s="980">
        <f t="shared" si="61"/>
        <v>34.902597402597401</v>
      </c>
      <c r="AX102" s="980">
        <f t="shared" si="62"/>
        <v>24.679170779861796</v>
      </c>
      <c r="AY102" s="980">
        <f t="shared" si="63"/>
        <v>29.652351738241308</v>
      </c>
      <c r="AZ102" s="980">
        <f t="shared" si="64"/>
        <v>27.720739219712527</v>
      </c>
      <c r="BA102" s="980">
        <f t="shared" si="65"/>
        <v>22.335025380710658</v>
      </c>
      <c r="BB102" s="980">
        <f t="shared" si="66"/>
        <v>24.439918533604889</v>
      </c>
      <c r="BC102" s="980">
        <f t="shared" si="67"/>
        <v>20.533880903490758</v>
      </c>
      <c r="BD102" s="980">
        <f t="shared" si="68"/>
        <v>20.491803278688522</v>
      </c>
      <c r="BE102" s="980">
        <f t="shared" si="69"/>
        <v>38.988408851422555</v>
      </c>
      <c r="BF102" s="980">
        <f t="shared" si="70"/>
        <v>33.296337402885683</v>
      </c>
      <c r="BG102" s="980">
        <f t="shared" si="71"/>
        <v>42.34527687296417</v>
      </c>
      <c r="BH102" s="980">
        <f t="shared" si="72"/>
        <v>33.797216699801197</v>
      </c>
      <c r="BI102" s="980">
        <f t="shared" si="73"/>
        <v>21.649484536082472</v>
      </c>
      <c r="BJ102" s="1114">
        <f t="shared" si="74"/>
        <v>18.756169792694966</v>
      </c>
      <c r="BK102" s="1116">
        <f t="shared" si="75"/>
        <v>27.253668763102723</v>
      </c>
      <c r="BL102" s="1278">
        <f t="shared" si="76"/>
        <v>18.660812294182215</v>
      </c>
      <c r="BM102" s="1941">
        <f t="shared" si="77"/>
        <v>26.096033402922757</v>
      </c>
      <c r="BN102" s="2296">
        <f t="shared" si="78"/>
        <v>17.241379310344826</v>
      </c>
      <c r="BO102" s="2364">
        <f t="shared" si="79"/>
        <v>16.286644951140065</v>
      </c>
      <c r="BP102" s="2366">
        <f t="shared" si="79"/>
        <v>8.9988751406074243</v>
      </c>
    </row>
    <row r="103" spans="1:68" s="142" customFormat="1" ht="15.75" customHeight="1" x14ac:dyDescent="0.3">
      <c r="A103" s="149" t="s">
        <v>52</v>
      </c>
      <c r="B103" s="185" t="s">
        <v>53</v>
      </c>
      <c r="C103" s="150" t="s">
        <v>253</v>
      </c>
      <c r="D103" s="938">
        <v>65</v>
      </c>
      <c r="E103" s="939">
        <v>52</v>
      </c>
      <c r="F103" s="940">
        <v>62</v>
      </c>
      <c r="G103" s="939">
        <v>41</v>
      </c>
      <c r="H103" s="940">
        <v>49</v>
      </c>
      <c r="I103" s="939">
        <v>48</v>
      </c>
      <c r="J103" s="940">
        <v>54</v>
      </c>
      <c r="K103" s="939">
        <v>49</v>
      </c>
      <c r="L103" s="953">
        <v>48</v>
      </c>
      <c r="M103" s="953">
        <v>49</v>
      </c>
      <c r="N103" s="953">
        <v>51</v>
      </c>
      <c r="O103" s="953">
        <v>35</v>
      </c>
      <c r="P103" s="954">
        <v>24</v>
      </c>
      <c r="Q103" s="954">
        <v>25</v>
      </c>
      <c r="R103" s="1107">
        <v>30</v>
      </c>
      <c r="S103" s="1108">
        <v>24</v>
      </c>
      <c r="T103" s="1273">
        <v>16</v>
      </c>
      <c r="U103" s="1937">
        <v>10</v>
      </c>
      <c r="V103" s="2291">
        <v>14</v>
      </c>
      <c r="W103" s="1367">
        <v>17</v>
      </c>
      <c r="X103" s="2351">
        <v>15</v>
      </c>
      <c r="Y103" s="1273"/>
      <c r="Z103" s="961">
        <v>2530</v>
      </c>
      <c r="AA103" s="962">
        <v>2564</v>
      </c>
      <c r="AB103" s="962">
        <v>4348</v>
      </c>
      <c r="AC103" s="962">
        <v>3394</v>
      </c>
      <c r="AD103" s="962">
        <v>3349</v>
      </c>
      <c r="AE103" s="962">
        <v>1751</v>
      </c>
      <c r="AF103" s="962">
        <v>1639</v>
      </c>
      <c r="AG103" s="962">
        <v>2076</v>
      </c>
      <c r="AH103" s="962">
        <v>2259</v>
      </c>
      <c r="AI103" s="962">
        <v>2303</v>
      </c>
      <c r="AJ103" s="962">
        <v>2317</v>
      </c>
      <c r="AK103" s="962">
        <v>2342</v>
      </c>
      <c r="AL103" s="962">
        <v>2175</v>
      </c>
      <c r="AM103" s="962">
        <v>2335</v>
      </c>
      <c r="AN103" s="1110">
        <v>2061</v>
      </c>
      <c r="AO103" s="1111">
        <v>1985</v>
      </c>
      <c r="AP103" s="1391">
        <v>2022</v>
      </c>
      <c r="AQ103" s="1934">
        <v>1972</v>
      </c>
      <c r="AR103" s="2289">
        <v>1967</v>
      </c>
      <c r="AS103" s="1368">
        <v>2032</v>
      </c>
      <c r="AT103" s="2353">
        <v>2079</v>
      </c>
      <c r="AU103" s="1274"/>
      <c r="AV103" s="979">
        <f t="shared" si="60"/>
        <v>25.691699604743082</v>
      </c>
      <c r="AW103" s="980">
        <f t="shared" si="61"/>
        <v>20.280811232449299</v>
      </c>
      <c r="AX103" s="980">
        <f t="shared" si="62"/>
        <v>14.259429622815087</v>
      </c>
      <c r="AY103" s="980">
        <f t="shared" si="63"/>
        <v>12.080141426045964</v>
      </c>
      <c r="AZ103" s="980">
        <f t="shared" si="64"/>
        <v>14.631233203941475</v>
      </c>
      <c r="BA103" s="980">
        <f t="shared" si="65"/>
        <v>27.41290691033695</v>
      </c>
      <c r="BB103" s="980">
        <f t="shared" si="66"/>
        <v>32.946918852959122</v>
      </c>
      <c r="BC103" s="980">
        <f t="shared" si="67"/>
        <v>23.603082851637765</v>
      </c>
      <c r="BD103" s="980">
        <f t="shared" si="68"/>
        <v>21.248339973439574</v>
      </c>
      <c r="BE103" s="980">
        <f t="shared" si="69"/>
        <v>21.276595744680851</v>
      </c>
      <c r="BF103" s="980">
        <f t="shared" si="70"/>
        <v>22.011221406991798</v>
      </c>
      <c r="BG103" s="980">
        <f t="shared" si="71"/>
        <v>14.944491887275833</v>
      </c>
      <c r="BH103" s="980">
        <f t="shared" si="72"/>
        <v>11.034482758620689</v>
      </c>
      <c r="BI103" s="980">
        <f t="shared" si="73"/>
        <v>10.706638115631691</v>
      </c>
      <c r="BJ103" s="1114">
        <f t="shared" si="74"/>
        <v>14.556040756914118</v>
      </c>
      <c r="BK103" s="1116">
        <f t="shared" si="75"/>
        <v>12.090680100755668</v>
      </c>
      <c r="BL103" s="1278">
        <f t="shared" si="76"/>
        <v>7.9129574678536096</v>
      </c>
      <c r="BM103" s="1941">
        <f t="shared" si="77"/>
        <v>5.0709939148073024</v>
      </c>
      <c r="BN103" s="2296">
        <f t="shared" si="78"/>
        <v>7.1174377224199281</v>
      </c>
      <c r="BO103" s="2364">
        <f t="shared" si="79"/>
        <v>8.3661417322834648</v>
      </c>
      <c r="BP103" s="2366">
        <f t="shared" si="79"/>
        <v>7.2150072150072146</v>
      </c>
    </row>
    <row r="104" spans="1:68" s="142" customFormat="1" ht="15.75" customHeight="1" x14ac:dyDescent="0.3">
      <c r="A104" s="149" t="s">
        <v>54</v>
      </c>
      <c r="B104" s="185" t="s">
        <v>55</v>
      </c>
      <c r="C104" s="150" t="s">
        <v>252</v>
      </c>
      <c r="D104" s="938">
        <v>327</v>
      </c>
      <c r="E104" s="939">
        <v>350</v>
      </c>
      <c r="F104" s="940">
        <v>326</v>
      </c>
      <c r="G104" s="939">
        <v>326</v>
      </c>
      <c r="H104" s="940">
        <v>280</v>
      </c>
      <c r="I104" s="939">
        <v>274</v>
      </c>
      <c r="J104" s="940">
        <v>288</v>
      </c>
      <c r="K104" s="939">
        <v>276</v>
      </c>
      <c r="L104" s="953">
        <v>286</v>
      </c>
      <c r="M104" s="953">
        <v>311</v>
      </c>
      <c r="N104" s="953">
        <v>278</v>
      </c>
      <c r="O104" s="953">
        <v>245</v>
      </c>
      <c r="P104" s="954">
        <v>216</v>
      </c>
      <c r="Q104" s="954">
        <v>209</v>
      </c>
      <c r="R104" s="1107">
        <v>165</v>
      </c>
      <c r="S104" s="1108">
        <v>131</v>
      </c>
      <c r="T104" s="1273">
        <v>139</v>
      </c>
      <c r="U104" s="1937">
        <v>122</v>
      </c>
      <c r="V104" s="2291">
        <v>113</v>
      </c>
      <c r="W104" s="1367">
        <v>113</v>
      </c>
      <c r="X104" s="2351">
        <v>101</v>
      </c>
      <c r="Y104" s="1273"/>
      <c r="Z104" s="961">
        <v>13930</v>
      </c>
      <c r="AA104" s="962">
        <v>14290</v>
      </c>
      <c r="AB104" s="962">
        <v>15678</v>
      </c>
      <c r="AC104" s="962">
        <v>16061</v>
      </c>
      <c r="AD104" s="962">
        <v>16243</v>
      </c>
      <c r="AE104" s="962">
        <v>16526</v>
      </c>
      <c r="AF104" s="962">
        <v>16631</v>
      </c>
      <c r="AG104" s="962">
        <v>16618</v>
      </c>
      <c r="AH104" s="962">
        <v>16437</v>
      </c>
      <c r="AI104" s="962">
        <v>16067</v>
      </c>
      <c r="AJ104" s="962">
        <v>15790</v>
      </c>
      <c r="AK104" s="962">
        <v>16550</v>
      </c>
      <c r="AL104" s="962">
        <v>16318</v>
      </c>
      <c r="AM104" s="962">
        <v>16191</v>
      </c>
      <c r="AN104" s="1110">
        <v>15992</v>
      </c>
      <c r="AO104" s="1111">
        <v>15924</v>
      </c>
      <c r="AP104" s="1391">
        <v>15859</v>
      </c>
      <c r="AQ104" s="1934">
        <v>15802</v>
      </c>
      <c r="AR104" s="2289">
        <v>15844</v>
      </c>
      <c r="AS104" s="1368">
        <v>16078</v>
      </c>
      <c r="AT104" s="2353">
        <v>15977</v>
      </c>
      <c r="AU104" s="1274"/>
      <c r="AV104" s="979">
        <f t="shared" si="60"/>
        <v>23.47451543431443</v>
      </c>
      <c r="AW104" s="980">
        <f t="shared" si="61"/>
        <v>24.4926522043387</v>
      </c>
      <c r="AX104" s="980">
        <f t="shared" si="62"/>
        <v>20.793468554662585</v>
      </c>
      <c r="AY104" s="980">
        <f t="shared" si="63"/>
        <v>20.297615341510493</v>
      </c>
      <c r="AZ104" s="980">
        <f t="shared" si="64"/>
        <v>17.2381949147325</v>
      </c>
      <c r="BA104" s="980">
        <f t="shared" si="65"/>
        <v>16.579934648432772</v>
      </c>
      <c r="BB104" s="980">
        <f t="shared" si="66"/>
        <v>17.317058505201132</v>
      </c>
      <c r="BC104" s="980">
        <f t="shared" si="67"/>
        <v>16.608496810687207</v>
      </c>
      <c r="BD104" s="980">
        <f t="shared" si="68"/>
        <v>17.399768814260508</v>
      </c>
      <c r="BE104" s="980">
        <f t="shared" si="69"/>
        <v>19.35644488703554</v>
      </c>
      <c r="BF104" s="980">
        <f t="shared" si="70"/>
        <v>17.60607979734009</v>
      </c>
      <c r="BG104" s="980">
        <f t="shared" si="71"/>
        <v>14.803625377643504</v>
      </c>
      <c r="BH104" s="980">
        <f t="shared" si="72"/>
        <v>13.236916288760877</v>
      </c>
      <c r="BI104" s="980">
        <f t="shared" si="73"/>
        <v>12.908405904514852</v>
      </c>
      <c r="BJ104" s="1114">
        <f t="shared" si="74"/>
        <v>10.317658829414707</v>
      </c>
      <c r="BK104" s="1116">
        <f t="shared" si="75"/>
        <v>8.2265762371263502</v>
      </c>
      <c r="BL104" s="1278">
        <f t="shared" si="76"/>
        <v>8.7647392647707925</v>
      </c>
      <c r="BM104" s="1941">
        <f t="shared" si="77"/>
        <v>7.7205417035818247</v>
      </c>
      <c r="BN104" s="2296">
        <f t="shared" si="78"/>
        <v>7.1320373643019437</v>
      </c>
      <c r="BO104" s="2364">
        <f t="shared" si="79"/>
        <v>7.028237342953104</v>
      </c>
      <c r="BP104" s="2366">
        <f t="shared" si="79"/>
        <v>6.321587281717469</v>
      </c>
    </row>
    <row r="105" spans="1:68" s="142" customFormat="1" ht="15.75" customHeight="1" x14ac:dyDescent="0.3">
      <c r="A105" s="149" t="s">
        <v>66</v>
      </c>
      <c r="B105" s="185" t="s">
        <v>67</v>
      </c>
      <c r="C105" s="150" t="s">
        <v>253</v>
      </c>
      <c r="D105" s="938">
        <v>126</v>
      </c>
      <c r="E105" s="939">
        <v>123</v>
      </c>
      <c r="F105" s="940">
        <v>120</v>
      </c>
      <c r="G105" s="939">
        <v>111</v>
      </c>
      <c r="H105" s="940">
        <v>103</v>
      </c>
      <c r="I105" s="939">
        <v>114</v>
      </c>
      <c r="J105" s="940">
        <v>109</v>
      </c>
      <c r="K105" s="939">
        <v>80</v>
      </c>
      <c r="L105" s="953">
        <v>116</v>
      </c>
      <c r="M105" s="953">
        <v>100</v>
      </c>
      <c r="N105" s="953">
        <v>103</v>
      </c>
      <c r="O105" s="953">
        <v>109</v>
      </c>
      <c r="P105" s="954">
        <v>79</v>
      </c>
      <c r="Q105" s="954">
        <v>60</v>
      </c>
      <c r="R105" s="1107">
        <v>49</v>
      </c>
      <c r="S105" s="1108">
        <v>64</v>
      </c>
      <c r="T105" s="1273">
        <v>57</v>
      </c>
      <c r="U105" s="1937">
        <v>47</v>
      </c>
      <c r="V105" s="2291">
        <v>46</v>
      </c>
      <c r="W105" s="1367">
        <v>46</v>
      </c>
      <c r="X105" s="2351">
        <v>35</v>
      </c>
      <c r="Y105" s="1273"/>
      <c r="Z105" s="961">
        <v>3290</v>
      </c>
      <c r="AA105" s="962">
        <v>3280</v>
      </c>
      <c r="AB105" s="962">
        <v>3155</v>
      </c>
      <c r="AC105" s="962">
        <v>3116</v>
      </c>
      <c r="AD105" s="962">
        <v>3075</v>
      </c>
      <c r="AE105" s="962">
        <v>3043</v>
      </c>
      <c r="AF105" s="962">
        <v>2956</v>
      </c>
      <c r="AG105" s="962">
        <v>2910</v>
      </c>
      <c r="AH105" s="962">
        <v>2849</v>
      </c>
      <c r="AI105" s="962">
        <v>2801</v>
      </c>
      <c r="AJ105" s="962">
        <v>2716</v>
      </c>
      <c r="AK105" s="962">
        <v>2529</v>
      </c>
      <c r="AL105" s="962">
        <v>2599</v>
      </c>
      <c r="AM105" s="962">
        <v>2511</v>
      </c>
      <c r="AN105" s="1110">
        <v>2486</v>
      </c>
      <c r="AO105" s="1111">
        <v>2415</v>
      </c>
      <c r="AP105" s="1391">
        <v>2377</v>
      </c>
      <c r="AQ105" s="1934">
        <v>2336</v>
      </c>
      <c r="AR105" s="2289">
        <v>2382</v>
      </c>
      <c r="AS105" s="1368">
        <v>2375</v>
      </c>
      <c r="AT105" s="2353">
        <v>2406</v>
      </c>
      <c r="AU105" s="1274"/>
      <c r="AV105" s="979">
        <f t="shared" si="60"/>
        <v>38.297872340425535</v>
      </c>
      <c r="AW105" s="980">
        <f t="shared" si="61"/>
        <v>37.5</v>
      </c>
      <c r="AX105" s="980">
        <f t="shared" si="62"/>
        <v>38.034865293185419</v>
      </c>
      <c r="AY105" s="980">
        <f t="shared" si="63"/>
        <v>35.622593068035947</v>
      </c>
      <c r="AZ105" s="980">
        <f t="shared" si="64"/>
        <v>33.49593495934959</v>
      </c>
      <c r="BA105" s="980">
        <f t="shared" si="65"/>
        <v>37.463029904699312</v>
      </c>
      <c r="BB105" s="980">
        <f t="shared" si="66"/>
        <v>36.874154262516917</v>
      </c>
      <c r="BC105" s="980">
        <f t="shared" si="67"/>
        <v>27.491408934707902</v>
      </c>
      <c r="BD105" s="980">
        <f t="shared" si="68"/>
        <v>40.716040716040716</v>
      </c>
      <c r="BE105" s="980">
        <f t="shared" si="69"/>
        <v>35.701535166012142</v>
      </c>
      <c r="BF105" s="980">
        <f t="shared" si="70"/>
        <v>37.923416789396171</v>
      </c>
      <c r="BG105" s="980">
        <f t="shared" si="71"/>
        <v>43.100039541320683</v>
      </c>
      <c r="BH105" s="980">
        <f t="shared" si="72"/>
        <v>30.396306271642938</v>
      </c>
      <c r="BI105" s="980">
        <f t="shared" si="73"/>
        <v>23.894862604540027</v>
      </c>
      <c r="BJ105" s="1114">
        <f t="shared" si="74"/>
        <v>19.710378117457761</v>
      </c>
      <c r="BK105" s="1116">
        <f t="shared" si="75"/>
        <v>26.501035196687372</v>
      </c>
      <c r="BL105" s="1278">
        <f t="shared" si="76"/>
        <v>23.979806478754732</v>
      </c>
      <c r="BM105" s="1941">
        <f t="shared" si="77"/>
        <v>20.11986301369863</v>
      </c>
      <c r="BN105" s="2296">
        <f t="shared" si="78"/>
        <v>19.311502938706969</v>
      </c>
      <c r="BO105" s="2364">
        <f t="shared" si="79"/>
        <v>19.368421052631579</v>
      </c>
      <c r="BP105" s="2366">
        <f t="shared" si="79"/>
        <v>14.546965918536991</v>
      </c>
    </row>
    <row r="106" spans="1:68" s="142" customFormat="1" ht="15.75" customHeight="1" x14ac:dyDescent="0.3">
      <c r="A106" s="149" t="s">
        <v>82</v>
      </c>
      <c r="B106" s="185" t="s">
        <v>83</v>
      </c>
      <c r="C106" s="150" t="s">
        <v>252</v>
      </c>
      <c r="D106" s="938">
        <v>20</v>
      </c>
      <c r="E106" s="939">
        <v>15</v>
      </c>
      <c r="F106" s="940">
        <v>22</v>
      </c>
      <c r="G106" s="939">
        <v>15</v>
      </c>
      <c r="H106" s="940">
        <v>22</v>
      </c>
      <c r="I106" s="939">
        <v>24</v>
      </c>
      <c r="J106" s="940">
        <v>30</v>
      </c>
      <c r="K106" s="939">
        <v>21</v>
      </c>
      <c r="L106" s="953">
        <v>26</v>
      </c>
      <c r="M106" s="953">
        <v>23</v>
      </c>
      <c r="N106" s="953">
        <v>20</v>
      </c>
      <c r="O106" s="953">
        <v>12</v>
      </c>
      <c r="P106" s="954">
        <v>11</v>
      </c>
      <c r="Q106" s="954">
        <v>13</v>
      </c>
      <c r="R106" s="1107">
        <v>19</v>
      </c>
      <c r="S106" s="1108">
        <v>19</v>
      </c>
      <c r="T106" s="1273">
        <v>9</v>
      </c>
      <c r="U106" s="1937">
        <v>9</v>
      </c>
      <c r="V106" s="2291">
        <v>6</v>
      </c>
      <c r="W106" s="1367">
        <v>12</v>
      </c>
      <c r="X106" s="2351">
        <v>7</v>
      </c>
      <c r="Y106" s="1273"/>
      <c r="Z106" s="961">
        <v>587</v>
      </c>
      <c r="AA106" s="962">
        <v>594</v>
      </c>
      <c r="AB106" s="962">
        <v>648</v>
      </c>
      <c r="AC106" s="962">
        <v>658</v>
      </c>
      <c r="AD106" s="962">
        <v>633</v>
      </c>
      <c r="AE106" s="962">
        <v>630</v>
      </c>
      <c r="AF106" s="962">
        <v>632</v>
      </c>
      <c r="AG106" s="962">
        <v>625</v>
      </c>
      <c r="AH106" s="962">
        <v>598</v>
      </c>
      <c r="AI106" s="962">
        <v>546</v>
      </c>
      <c r="AJ106" s="962">
        <v>503</v>
      </c>
      <c r="AK106" s="962">
        <v>515</v>
      </c>
      <c r="AL106" s="962">
        <v>550</v>
      </c>
      <c r="AM106" s="962">
        <v>509</v>
      </c>
      <c r="AN106" s="1110">
        <v>489</v>
      </c>
      <c r="AO106" s="1111">
        <v>539</v>
      </c>
      <c r="AP106" s="1391">
        <v>536</v>
      </c>
      <c r="AQ106" s="1934">
        <v>505</v>
      </c>
      <c r="AR106" s="2289">
        <v>496</v>
      </c>
      <c r="AS106" s="1368">
        <v>481</v>
      </c>
      <c r="AT106" s="2353">
        <v>475</v>
      </c>
      <c r="AU106" s="1274"/>
      <c r="AV106" s="979">
        <f t="shared" si="60"/>
        <v>34.071550255536629</v>
      </c>
      <c r="AW106" s="980">
        <f t="shared" si="61"/>
        <v>25.252525252525253</v>
      </c>
      <c r="AX106" s="980">
        <f t="shared" si="62"/>
        <v>33.950617283950614</v>
      </c>
      <c r="AY106" s="980">
        <f t="shared" si="63"/>
        <v>22.796352583586625</v>
      </c>
      <c r="AZ106" s="980">
        <f t="shared" si="64"/>
        <v>34.755134281200633</v>
      </c>
      <c r="BA106" s="980">
        <f t="shared" si="65"/>
        <v>38.095238095238102</v>
      </c>
      <c r="BB106" s="980">
        <f t="shared" si="66"/>
        <v>47.468354430379748</v>
      </c>
      <c r="BC106" s="980">
        <f t="shared" si="67"/>
        <v>33.6</v>
      </c>
      <c r="BD106" s="980">
        <f t="shared" si="68"/>
        <v>43.478260869565219</v>
      </c>
      <c r="BE106" s="980">
        <f t="shared" si="69"/>
        <v>42.124542124542124</v>
      </c>
      <c r="BF106" s="980">
        <f t="shared" si="70"/>
        <v>39.761431411530815</v>
      </c>
      <c r="BG106" s="980">
        <f t="shared" si="71"/>
        <v>23.300970873786408</v>
      </c>
      <c r="BH106" s="980">
        <f t="shared" si="72"/>
        <v>20</v>
      </c>
      <c r="BI106" s="980">
        <f t="shared" si="73"/>
        <v>25.540275049115913</v>
      </c>
      <c r="BJ106" s="1114">
        <f t="shared" si="74"/>
        <v>38.854805725971374</v>
      </c>
      <c r="BK106" s="1116">
        <f t="shared" si="75"/>
        <v>35.250463821892389</v>
      </c>
      <c r="BL106" s="1278">
        <f t="shared" si="76"/>
        <v>16.791044776119403</v>
      </c>
      <c r="BM106" s="1941">
        <f t="shared" si="77"/>
        <v>17.82178217821782</v>
      </c>
      <c r="BN106" s="2296">
        <f t="shared" si="78"/>
        <v>12.096774193548386</v>
      </c>
      <c r="BO106" s="2364">
        <f t="shared" si="79"/>
        <v>24.948024948024951</v>
      </c>
      <c r="BP106" s="2366">
        <f t="shared" si="79"/>
        <v>14.736842105263158</v>
      </c>
    </row>
    <row r="107" spans="1:68" s="142" customFormat="1" ht="15.75" customHeight="1" x14ac:dyDescent="0.3">
      <c r="A107" s="149" t="s">
        <v>88</v>
      </c>
      <c r="B107" s="185" t="s">
        <v>89</v>
      </c>
      <c r="C107" s="150" t="s">
        <v>255</v>
      </c>
      <c r="D107" s="938">
        <v>46</v>
      </c>
      <c r="E107" s="939">
        <v>53</v>
      </c>
      <c r="F107" s="940">
        <v>43</v>
      </c>
      <c r="G107" s="939">
        <v>38</v>
      </c>
      <c r="H107" s="940">
        <v>45</v>
      </c>
      <c r="I107" s="939">
        <v>50</v>
      </c>
      <c r="J107" s="940">
        <v>49</v>
      </c>
      <c r="K107" s="939">
        <v>48</v>
      </c>
      <c r="L107" s="953">
        <v>60</v>
      </c>
      <c r="M107" s="953">
        <v>44</v>
      </c>
      <c r="N107" s="953">
        <v>37</v>
      </c>
      <c r="O107" s="953">
        <v>37</v>
      </c>
      <c r="P107" s="954">
        <v>34</v>
      </c>
      <c r="Q107" s="954">
        <v>31</v>
      </c>
      <c r="R107" s="1107">
        <v>30</v>
      </c>
      <c r="S107" s="1108">
        <v>26</v>
      </c>
      <c r="T107" s="1273">
        <v>27</v>
      </c>
      <c r="U107" s="1937">
        <v>17</v>
      </c>
      <c r="V107" s="2291">
        <v>18</v>
      </c>
      <c r="W107" s="1367">
        <v>20</v>
      </c>
      <c r="X107" s="2351">
        <v>15</v>
      </c>
      <c r="Y107" s="1273"/>
      <c r="Z107" s="961">
        <v>1725</v>
      </c>
      <c r="AA107" s="962">
        <v>1746</v>
      </c>
      <c r="AB107" s="962">
        <v>1780</v>
      </c>
      <c r="AC107" s="962">
        <v>1715</v>
      </c>
      <c r="AD107" s="962">
        <v>1716</v>
      </c>
      <c r="AE107" s="962">
        <v>1734</v>
      </c>
      <c r="AF107" s="962">
        <v>1752</v>
      </c>
      <c r="AG107" s="962">
        <v>1863</v>
      </c>
      <c r="AH107" s="962">
        <v>1868</v>
      </c>
      <c r="AI107" s="962">
        <v>1930</v>
      </c>
      <c r="AJ107" s="962">
        <v>1939</v>
      </c>
      <c r="AK107" s="962">
        <v>1871</v>
      </c>
      <c r="AL107" s="962">
        <v>1940</v>
      </c>
      <c r="AM107" s="962">
        <v>1972</v>
      </c>
      <c r="AN107" s="1110">
        <v>2134</v>
      </c>
      <c r="AO107" s="1111">
        <v>2208</v>
      </c>
      <c r="AP107" s="1391">
        <v>2167</v>
      </c>
      <c r="AQ107" s="1934">
        <v>2137</v>
      </c>
      <c r="AR107" s="2289">
        <v>2202</v>
      </c>
      <c r="AS107" s="1368">
        <v>2253</v>
      </c>
      <c r="AT107" s="2353">
        <v>2292</v>
      </c>
      <c r="AU107" s="1274"/>
      <c r="AV107" s="979">
        <f t="shared" si="60"/>
        <v>26.666666666666668</v>
      </c>
      <c r="AW107" s="980">
        <f t="shared" si="61"/>
        <v>30.355097365406642</v>
      </c>
      <c r="AX107" s="980">
        <f t="shared" si="62"/>
        <v>24.157303370786519</v>
      </c>
      <c r="AY107" s="980">
        <f t="shared" si="63"/>
        <v>22.157434402332363</v>
      </c>
      <c r="AZ107" s="980">
        <f t="shared" si="64"/>
        <v>26.223776223776223</v>
      </c>
      <c r="BA107" s="980">
        <f t="shared" si="65"/>
        <v>28.83506343713956</v>
      </c>
      <c r="BB107" s="980">
        <f t="shared" si="66"/>
        <v>27.968036529680365</v>
      </c>
      <c r="BC107" s="980">
        <f t="shared" si="67"/>
        <v>25.764895330112722</v>
      </c>
      <c r="BD107" s="980">
        <f t="shared" si="68"/>
        <v>32.119914346895072</v>
      </c>
      <c r="BE107" s="980">
        <f t="shared" si="69"/>
        <v>22.797927461139896</v>
      </c>
      <c r="BF107" s="980">
        <f t="shared" si="70"/>
        <v>19.082001031459516</v>
      </c>
      <c r="BG107" s="980">
        <f t="shared" si="71"/>
        <v>19.775521111704968</v>
      </c>
      <c r="BH107" s="980">
        <f t="shared" si="72"/>
        <v>17.52577319587629</v>
      </c>
      <c r="BI107" s="980">
        <f t="shared" si="73"/>
        <v>15.720081135902637</v>
      </c>
      <c r="BJ107" s="1114">
        <f t="shared" si="74"/>
        <v>14.058106841611997</v>
      </c>
      <c r="BK107" s="1116">
        <f t="shared" si="75"/>
        <v>11.77536231884058</v>
      </c>
      <c r="BL107" s="1278">
        <f t="shared" si="76"/>
        <v>12.459621596677433</v>
      </c>
      <c r="BM107" s="1941">
        <f t="shared" si="77"/>
        <v>7.9550772110435188</v>
      </c>
      <c r="BN107" s="2296">
        <f t="shared" si="78"/>
        <v>8.1743869209809255</v>
      </c>
      <c r="BO107" s="2364">
        <f t="shared" si="79"/>
        <v>8.8770528184642696</v>
      </c>
      <c r="BP107" s="2366">
        <f t="shared" si="79"/>
        <v>6.5445026178010473</v>
      </c>
    </row>
    <row r="108" spans="1:68" s="142" customFormat="1" ht="15.75" customHeight="1" x14ac:dyDescent="0.3">
      <c r="A108" s="149" t="s">
        <v>90</v>
      </c>
      <c r="B108" s="185" t="s">
        <v>91</v>
      </c>
      <c r="C108" s="150" t="s">
        <v>256</v>
      </c>
      <c r="D108" s="938">
        <v>21</v>
      </c>
      <c r="E108" s="939">
        <v>26</v>
      </c>
      <c r="F108" s="940">
        <v>19</v>
      </c>
      <c r="G108" s="939">
        <v>24</v>
      </c>
      <c r="H108" s="940">
        <v>21</v>
      </c>
      <c r="I108" s="939">
        <v>9</v>
      </c>
      <c r="J108" s="940">
        <v>17</v>
      </c>
      <c r="K108" s="939">
        <v>18</v>
      </c>
      <c r="L108" s="953">
        <v>13</v>
      </c>
      <c r="M108" s="953">
        <v>19</v>
      </c>
      <c r="N108" s="953">
        <v>18</v>
      </c>
      <c r="O108" s="953">
        <v>24</v>
      </c>
      <c r="P108" s="954">
        <v>17</v>
      </c>
      <c r="Q108" s="954">
        <v>18</v>
      </c>
      <c r="R108" s="1107">
        <v>20</v>
      </c>
      <c r="S108" s="1108">
        <v>16</v>
      </c>
      <c r="T108" s="1273">
        <v>11</v>
      </c>
      <c r="U108" s="1937">
        <v>9</v>
      </c>
      <c r="V108" s="2291">
        <v>12</v>
      </c>
      <c r="W108" s="1367">
        <v>6</v>
      </c>
      <c r="X108" s="2351">
        <v>8</v>
      </c>
      <c r="Y108" s="1273"/>
      <c r="Z108" s="961">
        <v>422</v>
      </c>
      <c r="AA108" s="962">
        <v>428</v>
      </c>
      <c r="AB108" s="962">
        <v>406</v>
      </c>
      <c r="AC108" s="962">
        <v>387</v>
      </c>
      <c r="AD108" s="962">
        <v>375</v>
      </c>
      <c r="AE108" s="962">
        <v>359</v>
      </c>
      <c r="AF108" s="962">
        <v>370</v>
      </c>
      <c r="AG108" s="962">
        <v>360</v>
      </c>
      <c r="AH108" s="962">
        <v>367</v>
      </c>
      <c r="AI108" s="962">
        <v>364</v>
      </c>
      <c r="AJ108" s="962">
        <v>357</v>
      </c>
      <c r="AK108" s="962">
        <v>344</v>
      </c>
      <c r="AL108" s="962">
        <v>406</v>
      </c>
      <c r="AM108" s="962">
        <v>415</v>
      </c>
      <c r="AN108" s="1110">
        <v>435</v>
      </c>
      <c r="AO108" s="1111">
        <v>438</v>
      </c>
      <c r="AP108" s="1391">
        <v>440</v>
      </c>
      <c r="AQ108" s="1934">
        <v>447</v>
      </c>
      <c r="AR108" s="2289">
        <v>423</v>
      </c>
      <c r="AS108" s="1368">
        <v>396</v>
      </c>
      <c r="AT108" s="2353">
        <v>395</v>
      </c>
      <c r="AU108" s="1274"/>
      <c r="AV108" s="979">
        <f t="shared" si="60"/>
        <v>49.763033175355453</v>
      </c>
      <c r="AW108" s="980">
        <f t="shared" si="61"/>
        <v>60.747663551401871</v>
      </c>
      <c r="AX108" s="980">
        <f t="shared" si="62"/>
        <v>46.798029556650242</v>
      </c>
      <c r="AY108" s="980">
        <f t="shared" si="63"/>
        <v>62.015503875968989</v>
      </c>
      <c r="AZ108" s="980">
        <f t="shared" si="64"/>
        <v>56</v>
      </c>
      <c r="BA108" s="980">
        <f t="shared" si="65"/>
        <v>25.069637883008355</v>
      </c>
      <c r="BB108" s="980">
        <f t="shared" si="66"/>
        <v>45.945945945945951</v>
      </c>
      <c r="BC108" s="980">
        <f t="shared" si="67"/>
        <v>50</v>
      </c>
      <c r="BD108" s="980">
        <f t="shared" si="68"/>
        <v>35.422343324250683</v>
      </c>
      <c r="BE108" s="980">
        <f t="shared" si="69"/>
        <v>52.197802197802197</v>
      </c>
      <c r="BF108" s="980">
        <f t="shared" si="70"/>
        <v>50.420168067226889</v>
      </c>
      <c r="BG108" s="980">
        <f t="shared" si="71"/>
        <v>69.767441860465112</v>
      </c>
      <c r="BH108" s="980">
        <f t="shared" si="72"/>
        <v>41.871921182266007</v>
      </c>
      <c r="BI108" s="980">
        <f t="shared" si="73"/>
        <v>43.373493975903614</v>
      </c>
      <c r="BJ108" s="1114">
        <f t="shared" si="74"/>
        <v>45.977011494252871</v>
      </c>
      <c r="BK108" s="1116">
        <f t="shared" si="75"/>
        <v>36.529680365296798</v>
      </c>
      <c r="BL108" s="1278">
        <f t="shared" si="76"/>
        <v>25</v>
      </c>
      <c r="BM108" s="1941">
        <f t="shared" si="77"/>
        <v>20.134228187919462</v>
      </c>
      <c r="BN108" s="2296">
        <f t="shared" si="78"/>
        <v>28.368794326241133</v>
      </c>
      <c r="BO108" s="2364">
        <f t="shared" si="79"/>
        <v>15.151515151515152</v>
      </c>
      <c r="BP108" s="2366">
        <f t="shared" si="79"/>
        <v>20.253164556962027</v>
      </c>
    </row>
    <row r="109" spans="1:68" s="142" customFormat="1" ht="15.75" customHeight="1" x14ac:dyDescent="0.3">
      <c r="A109" s="149" t="s">
        <v>106</v>
      </c>
      <c r="B109" s="185" t="s">
        <v>107</v>
      </c>
      <c r="C109" s="150" t="s">
        <v>252</v>
      </c>
      <c r="D109" s="938">
        <v>276</v>
      </c>
      <c r="E109" s="939">
        <v>297</v>
      </c>
      <c r="F109" s="940">
        <v>272</v>
      </c>
      <c r="G109" s="939">
        <v>274</v>
      </c>
      <c r="H109" s="940">
        <v>238</v>
      </c>
      <c r="I109" s="939">
        <v>203</v>
      </c>
      <c r="J109" s="940">
        <v>221</v>
      </c>
      <c r="K109" s="939">
        <v>247</v>
      </c>
      <c r="L109" s="953">
        <v>226</v>
      </c>
      <c r="M109" s="953">
        <v>256</v>
      </c>
      <c r="N109" s="953">
        <v>189</v>
      </c>
      <c r="O109" s="953">
        <v>188</v>
      </c>
      <c r="P109" s="954">
        <v>177</v>
      </c>
      <c r="Q109" s="954">
        <v>144</v>
      </c>
      <c r="R109" s="1107">
        <v>145</v>
      </c>
      <c r="S109" s="1108">
        <v>122</v>
      </c>
      <c r="T109" s="1273">
        <v>123</v>
      </c>
      <c r="U109" s="1937">
        <v>93</v>
      </c>
      <c r="V109" s="2291">
        <v>101</v>
      </c>
      <c r="W109" s="1367">
        <v>68</v>
      </c>
      <c r="X109" s="2351">
        <v>83</v>
      </c>
      <c r="Y109" s="1273"/>
      <c r="Z109" s="961">
        <v>10507</v>
      </c>
      <c r="AA109" s="962">
        <v>10640</v>
      </c>
      <c r="AB109" s="962">
        <v>10952</v>
      </c>
      <c r="AC109" s="962">
        <v>10727</v>
      </c>
      <c r="AD109" s="962">
        <v>10660</v>
      </c>
      <c r="AE109" s="962">
        <v>10790</v>
      </c>
      <c r="AF109" s="962">
        <v>10593</v>
      </c>
      <c r="AG109" s="962">
        <v>10346</v>
      </c>
      <c r="AH109" s="962">
        <v>10181</v>
      </c>
      <c r="AI109" s="962">
        <v>10345</v>
      </c>
      <c r="AJ109" s="962">
        <v>10046</v>
      </c>
      <c r="AK109" s="962">
        <v>9446</v>
      </c>
      <c r="AL109" s="962">
        <v>9459</v>
      </c>
      <c r="AM109" s="962">
        <v>9212</v>
      </c>
      <c r="AN109" s="1110">
        <v>8917</v>
      </c>
      <c r="AO109" s="1111">
        <v>8669</v>
      </c>
      <c r="AP109" s="1391">
        <v>8503</v>
      </c>
      <c r="AQ109" s="1934">
        <v>8273</v>
      </c>
      <c r="AR109" s="2289">
        <v>8211</v>
      </c>
      <c r="AS109" s="1368">
        <v>8313</v>
      </c>
      <c r="AT109" s="2353">
        <v>8261</v>
      </c>
      <c r="AU109" s="1274"/>
      <c r="AV109" s="979">
        <f t="shared" si="60"/>
        <v>26.268202150946987</v>
      </c>
      <c r="AW109" s="980">
        <f t="shared" si="61"/>
        <v>27.913533834586467</v>
      </c>
      <c r="AX109" s="980">
        <f t="shared" si="62"/>
        <v>24.83564645726808</v>
      </c>
      <c r="AY109" s="980">
        <f t="shared" si="63"/>
        <v>25.543022280227465</v>
      </c>
      <c r="AZ109" s="980">
        <f t="shared" si="64"/>
        <v>22.326454033771107</v>
      </c>
      <c r="BA109" s="980">
        <f t="shared" si="65"/>
        <v>18.813716404077848</v>
      </c>
      <c r="BB109" s="980">
        <f t="shared" si="66"/>
        <v>20.862833946946097</v>
      </c>
      <c r="BC109" s="980">
        <f t="shared" si="67"/>
        <v>23.873960951092208</v>
      </c>
      <c r="BD109" s="980">
        <f t="shared" si="68"/>
        <v>22.198212356350062</v>
      </c>
      <c r="BE109" s="980">
        <f t="shared" si="69"/>
        <v>24.746254229096181</v>
      </c>
      <c r="BF109" s="980">
        <f t="shared" si="70"/>
        <v>18.813458092773242</v>
      </c>
      <c r="BG109" s="980">
        <f t="shared" si="71"/>
        <v>19.902604276942622</v>
      </c>
      <c r="BH109" s="980">
        <f t="shared" si="72"/>
        <v>18.712337456390742</v>
      </c>
      <c r="BI109" s="980">
        <f t="shared" si="73"/>
        <v>15.631784628745114</v>
      </c>
      <c r="BJ109" s="1114">
        <f t="shared" si="74"/>
        <v>16.261074352360659</v>
      </c>
      <c r="BK109" s="1116">
        <f t="shared" si="75"/>
        <v>14.073134156188718</v>
      </c>
      <c r="BL109" s="1278">
        <f t="shared" si="76"/>
        <v>14.465482770786782</v>
      </c>
      <c r="BM109" s="1941">
        <f t="shared" si="77"/>
        <v>11.241387646561101</v>
      </c>
      <c r="BN109" s="2296">
        <f t="shared" si="78"/>
        <v>12.300572402874193</v>
      </c>
      <c r="BO109" s="2364">
        <f t="shared" si="79"/>
        <v>8.1799591002044991</v>
      </c>
      <c r="BP109" s="2366">
        <f t="shared" si="79"/>
        <v>10.047209780898196</v>
      </c>
    </row>
    <row r="110" spans="1:68" s="142" customFormat="1" ht="15.75" customHeight="1" x14ac:dyDescent="0.3">
      <c r="A110" s="149" t="s">
        <v>116</v>
      </c>
      <c r="B110" s="185" t="s">
        <v>117</v>
      </c>
      <c r="C110" s="150" t="s">
        <v>254</v>
      </c>
      <c r="D110" s="938">
        <v>62</v>
      </c>
      <c r="E110" s="939">
        <v>71</v>
      </c>
      <c r="F110" s="940">
        <v>68</v>
      </c>
      <c r="G110" s="939">
        <v>78</v>
      </c>
      <c r="H110" s="940">
        <v>71</v>
      </c>
      <c r="I110" s="939">
        <v>68</v>
      </c>
      <c r="J110" s="940">
        <v>50</v>
      </c>
      <c r="K110" s="939">
        <v>55</v>
      </c>
      <c r="L110" s="953">
        <v>67</v>
      </c>
      <c r="M110" s="953">
        <v>71</v>
      </c>
      <c r="N110" s="953">
        <v>64</v>
      </c>
      <c r="O110" s="953">
        <v>73</v>
      </c>
      <c r="P110" s="954">
        <v>59</v>
      </c>
      <c r="Q110" s="954">
        <v>48</v>
      </c>
      <c r="R110" s="1107">
        <v>47</v>
      </c>
      <c r="S110" s="1108">
        <v>35</v>
      </c>
      <c r="T110" s="1273">
        <v>39</v>
      </c>
      <c r="U110" s="1937">
        <v>30</v>
      </c>
      <c r="V110" s="2291">
        <v>24</v>
      </c>
      <c r="W110" s="1367">
        <v>31</v>
      </c>
      <c r="X110" s="2351">
        <v>26</v>
      </c>
      <c r="Y110" s="1273"/>
      <c r="Z110" s="961">
        <v>1671</v>
      </c>
      <c r="AA110" s="962">
        <v>1686</v>
      </c>
      <c r="AB110" s="962">
        <v>1503</v>
      </c>
      <c r="AC110" s="962">
        <v>1509</v>
      </c>
      <c r="AD110" s="962">
        <v>1523</v>
      </c>
      <c r="AE110" s="962">
        <v>1543</v>
      </c>
      <c r="AF110" s="962">
        <v>1556</v>
      </c>
      <c r="AG110" s="962">
        <v>1590</v>
      </c>
      <c r="AH110" s="962">
        <v>1579</v>
      </c>
      <c r="AI110" s="962">
        <v>1638</v>
      </c>
      <c r="AJ110" s="962">
        <v>1629</v>
      </c>
      <c r="AK110" s="962">
        <v>1483</v>
      </c>
      <c r="AL110" s="962">
        <v>1489</v>
      </c>
      <c r="AM110" s="962">
        <v>1418</v>
      </c>
      <c r="AN110" s="1110">
        <v>1354</v>
      </c>
      <c r="AO110" s="1111">
        <v>1315</v>
      </c>
      <c r="AP110" s="1391">
        <v>1332</v>
      </c>
      <c r="AQ110" s="1934">
        <v>1392</v>
      </c>
      <c r="AR110" s="2289">
        <v>1425</v>
      </c>
      <c r="AS110" s="1368">
        <v>1457</v>
      </c>
      <c r="AT110" s="2353">
        <v>1451</v>
      </c>
      <c r="AU110" s="1274"/>
      <c r="AV110" s="979">
        <f t="shared" si="60"/>
        <v>37.10353081986834</v>
      </c>
      <c r="AW110" s="980">
        <f t="shared" si="61"/>
        <v>42.111506524317917</v>
      </c>
      <c r="AX110" s="980">
        <f t="shared" si="62"/>
        <v>45.242847638057221</v>
      </c>
      <c r="AY110" s="980">
        <f t="shared" si="63"/>
        <v>51.689860834990057</v>
      </c>
      <c r="AZ110" s="980">
        <f t="shared" si="64"/>
        <v>46.618516086671043</v>
      </c>
      <c r="BA110" s="980">
        <f t="shared" si="65"/>
        <v>44.069993519118597</v>
      </c>
      <c r="BB110" s="980">
        <f t="shared" si="66"/>
        <v>32.133676092544988</v>
      </c>
      <c r="BC110" s="980">
        <f t="shared" si="67"/>
        <v>34.591194968553459</v>
      </c>
      <c r="BD110" s="980">
        <f t="shared" si="68"/>
        <v>42.431918936035466</v>
      </c>
      <c r="BE110" s="980">
        <f t="shared" si="69"/>
        <v>43.345543345543341</v>
      </c>
      <c r="BF110" s="980">
        <f t="shared" si="70"/>
        <v>39.287906691221608</v>
      </c>
      <c r="BG110" s="980">
        <f t="shared" si="71"/>
        <v>49.224544841537423</v>
      </c>
      <c r="BH110" s="980">
        <f t="shared" si="72"/>
        <v>39.623908663532575</v>
      </c>
      <c r="BI110" s="980">
        <f t="shared" si="73"/>
        <v>33.850493653032444</v>
      </c>
      <c r="BJ110" s="1114">
        <f t="shared" si="74"/>
        <v>34.711964549483014</v>
      </c>
      <c r="BK110" s="1116">
        <f t="shared" si="75"/>
        <v>26.615969581749049</v>
      </c>
      <c r="BL110" s="1278">
        <f t="shared" si="76"/>
        <v>29.27927927927928</v>
      </c>
      <c r="BM110" s="1941">
        <f t="shared" si="77"/>
        <v>21.551724137931036</v>
      </c>
      <c r="BN110" s="2296">
        <f t="shared" si="78"/>
        <v>16.842105263157894</v>
      </c>
      <c r="BO110" s="2364">
        <f t="shared" si="79"/>
        <v>21.276595744680851</v>
      </c>
      <c r="BP110" s="2366">
        <f t="shared" si="79"/>
        <v>17.918676774638183</v>
      </c>
    </row>
    <row r="111" spans="1:68" s="142" customFormat="1" ht="15.75" customHeight="1" x14ac:dyDescent="0.3">
      <c r="A111" s="149" t="s">
        <v>138</v>
      </c>
      <c r="B111" s="185" t="s">
        <v>139</v>
      </c>
      <c r="C111" s="150" t="s">
        <v>253</v>
      </c>
      <c r="D111" s="938">
        <v>116</v>
      </c>
      <c r="E111" s="939">
        <v>106</v>
      </c>
      <c r="F111" s="940">
        <v>121</v>
      </c>
      <c r="G111" s="939">
        <v>138</v>
      </c>
      <c r="H111" s="940">
        <v>130</v>
      </c>
      <c r="I111" s="940">
        <v>120</v>
      </c>
      <c r="J111" s="940">
        <v>120</v>
      </c>
      <c r="K111" s="939">
        <v>133</v>
      </c>
      <c r="L111" s="953">
        <v>139</v>
      </c>
      <c r="M111" s="953">
        <v>150</v>
      </c>
      <c r="N111" s="953">
        <v>119</v>
      </c>
      <c r="O111" s="953">
        <v>102</v>
      </c>
      <c r="P111" s="954">
        <v>108</v>
      </c>
      <c r="Q111" s="954">
        <v>78</v>
      </c>
      <c r="R111" s="1107">
        <v>61</v>
      </c>
      <c r="S111" s="1108">
        <v>66</v>
      </c>
      <c r="T111" s="1273">
        <v>76</v>
      </c>
      <c r="U111" s="1937">
        <v>65</v>
      </c>
      <c r="V111" s="2291">
        <v>43</v>
      </c>
      <c r="W111" s="1367">
        <v>63</v>
      </c>
      <c r="X111" s="2351">
        <v>69</v>
      </c>
      <c r="Y111" s="1273"/>
      <c r="Z111" s="961">
        <v>5632</v>
      </c>
      <c r="AA111" s="962">
        <v>5669</v>
      </c>
      <c r="AB111" s="962">
        <v>5181</v>
      </c>
      <c r="AC111" s="962">
        <v>5080</v>
      </c>
      <c r="AD111" s="962">
        <v>5057</v>
      </c>
      <c r="AE111" s="962">
        <v>5232</v>
      </c>
      <c r="AF111" s="962">
        <v>5208</v>
      </c>
      <c r="AG111" s="962">
        <v>5575</v>
      </c>
      <c r="AH111" s="962">
        <v>5500</v>
      </c>
      <c r="AI111" s="962">
        <v>5895</v>
      </c>
      <c r="AJ111" s="962">
        <v>6014</v>
      </c>
      <c r="AK111" s="962">
        <v>5921</v>
      </c>
      <c r="AL111" s="962">
        <v>6221</v>
      </c>
      <c r="AM111" s="962">
        <v>6095</v>
      </c>
      <c r="AN111" s="1110">
        <v>6114</v>
      </c>
      <c r="AO111" s="1111">
        <v>6275</v>
      </c>
      <c r="AP111" s="1391">
        <v>6427</v>
      </c>
      <c r="AQ111" s="1934">
        <v>6505</v>
      </c>
      <c r="AR111" s="2289">
        <v>6488</v>
      </c>
      <c r="AS111" s="1368">
        <v>6630</v>
      </c>
      <c r="AT111" s="2353">
        <v>6747</v>
      </c>
      <c r="AU111" s="1274"/>
      <c r="AV111" s="979">
        <f t="shared" si="60"/>
        <v>20.596590909090907</v>
      </c>
      <c r="AW111" s="980">
        <f t="shared" si="61"/>
        <v>18.698183101076026</v>
      </c>
      <c r="AX111" s="980">
        <f t="shared" si="62"/>
        <v>23.354564755838638</v>
      </c>
      <c r="AY111" s="980">
        <f t="shared" si="63"/>
        <v>27.165354330708659</v>
      </c>
      <c r="AZ111" s="980">
        <f t="shared" si="64"/>
        <v>25.70694087403599</v>
      </c>
      <c r="BA111" s="980">
        <f t="shared" si="65"/>
        <v>22.935779816513762</v>
      </c>
      <c r="BB111" s="980">
        <f t="shared" si="66"/>
        <v>23.041474654377883</v>
      </c>
      <c r="BC111" s="980">
        <f t="shared" si="67"/>
        <v>23.856502242152466</v>
      </c>
      <c r="BD111" s="980">
        <f t="shared" si="68"/>
        <v>25.272727272727273</v>
      </c>
      <c r="BE111" s="980">
        <f t="shared" si="69"/>
        <v>25.445292620865139</v>
      </c>
      <c r="BF111" s="980">
        <f t="shared" si="70"/>
        <v>19.787163285666779</v>
      </c>
      <c r="BG111" s="980">
        <f t="shared" si="71"/>
        <v>17.226819793953723</v>
      </c>
      <c r="BH111" s="980">
        <f t="shared" si="72"/>
        <v>17.360552965761133</v>
      </c>
      <c r="BI111" s="980">
        <f t="shared" si="73"/>
        <v>12.797374897456931</v>
      </c>
      <c r="BJ111" s="1114">
        <f t="shared" si="74"/>
        <v>9.9771017337258758</v>
      </c>
      <c r="BK111" s="1116">
        <f t="shared" si="75"/>
        <v>10.517928286852589</v>
      </c>
      <c r="BL111" s="1278">
        <f t="shared" si="76"/>
        <v>11.825112805352418</v>
      </c>
      <c r="BM111" s="1941">
        <f t="shared" si="77"/>
        <v>9.9923136049192927</v>
      </c>
      <c r="BN111" s="2296">
        <f t="shared" si="78"/>
        <v>6.6276202219482121</v>
      </c>
      <c r="BO111" s="2364">
        <f t="shared" si="79"/>
        <v>9.502262443438914</v>
      </c>
      <c r="BP111" s="2366">
        <f t="shared" si="79"/>
        <v>10.226767452200978</v>
      </c>
    </row>
    <row r="112" spans="1:68" s="142" customFormat="1" ht="15.75" customHeight="1" x14ac:dyDescent="0.3">
      <c r="A112" s="149" t="s">
        <v>142</v>
      </c>
      <c r="B112" s="185" t="s">
        <v>261</v>
      </c>
      <c r="C112" s="150" t="s">
        <v>255</v>
      </c>
      <c r="D112" s="938">
        <v>59</v>
      </c>
      <c r="E112" s="939">
        <v>60</v>
      </c>
      <c r="F112" s="940">
        <v>67</v>
      </c>
      <c r="G112" s="939">
        <v>74</v>
      </c>
      <c r="H112" s="940">
        <v>59</v>
      </c>
      <c r="I112" s="939">
        <v>61</v>
      </c>
      <c r="J112" s="940">
        <v>67</v>
      </c>
      <c r="K112" s="939">
        <v>58</v>
      </c>
      <c r="L112" s="953">
        <v>83</v>
      </c>
      <c r="M112" s="953">
        <v>66</v>
      </c>
      <c r="N112" s="953">
        <v>50</v>
      </c>
      <c r="O112" s="953">
        <v>51</v>
      </c>
      <c r="P112" s="954">
        <v>50</v>
      </c>
      <c r="Q112" s="954">
        <v>78</v>
      </c>
      <c r="R112" s="1107">
        <v>59</v>
      </c>
      <c r="S112" s="1108">
        <v>50</v>
      </c>
      <c r="T112" s="1273">
        <v>50</v>
      </c>
      <c r="U112" s="1937">
        <v>51</v>
      </c>
      <c r="V112" s="2291">
        <v>52</v>
      </c>
      <c r="W112" s="1367">
        <v>52</v>
      </c>
      <c r="X112" s="2351">
        <v>49</v>
      </c>
      <c r="Y112" s="1273"/>
      <c r="Z112" s="961">
        <v>2247</v>
      </c>
      <c r="AA112" s="962">
        <v>2305</v>
      </c>
      <c r="AB112" s="962">
        <v>2531</v>
      </c>
      <c r="AC112" s="962">
        <v>2608</v>
      </c>
      <c r="AD112" s="962">
        <v>2647</v>
      </c>
      <c r="AE112" s="962">
        <v>2679</v>
      </c>
      <c r="AF112" s="962">
        <v>2737</v>
      </c>
      <c r="AG112" s="962">
        <v>2758</v>
      </c>
      <c r="AH112" s="962">
        <v>2631</v>
      </c>
      <c r="AI112" s="962">
        <v>2565</v>
      </c>
      <c r="AJ112" s="962">
        <v>2502</v>
      </c>
      <c r="AK112" s="962">
        <v>2429</v>
      </c>
      <c r="AL112" s="962">
        <v>2665</v>
      </c>
      <c r="AM112" s="962">
        <v>2658</v>
      </c>
      <c r="AN112" s="1110">
        <v>2764</v>
      </c>
      <c r="AO112" s="1111">
        <v>2788</v>
      </c>
      <c r="AP112" s="1391">
        <v>2716</v>
      </c>
      <c r="AQ112" s="1934">
        <v>2769</v>
      </c>
      <c r="AR112" s="2289">
        <v>2757</v>
      </c>
      <c r="AS112" s="1368">
        <v>2633</v>
      </c>
      <c r="AT112" s="2353">
        <v>2679</v>
      </c>
      <c r="AU112" s="1274"/>
      <c r="AV112" s="979">
        <f t="shared" si="60"/>
        <v>26.257231864708501</v>
      </c>
      <c r="AW112" s="980">
        <f t="shared" si="61"/>
        <v>26.030368763557483</v>
      </c>
      <c r="AX112" s="980">
        <f t="shared" si="62"/>
        <v>26.471750296325563</v>
      </c>
      <c r="AY112" s="980">
        <f t="shared" si="63"/>
        <v>28.374233128834355</v>
      </c>
      <c r="AZ112" s="980">
        <f t="shared" si="64"/>
        <v>22.289384208537967</v>
      </c>
      <c r="BA112" s="980">
        <f t="shared" si="65"/>
        <v>22.769690182904068</v>
      </c>
      <c r="BB112" s="980">
        <f t="shared" si="66"/>
        <v>24.479356960175373</v>
      </c>
      <c r="BC112" s="980">
        <f t="shared" si="67"/>
        <v>21.029731689630168</v>
      </c>
      <c r="BD112" s="980">
        <f t="shared" si="68"/>
        <v>31.546940326871916</v>
      </c>
      <c r="BE112" s="980">
        <f t="shared" si="69"/>
        <v>25.730994152046787</v>
      </c>
      <c r="BF112" s="980">
        <f t="shared" si="70"/>
        <v>19.984012789768183</v>
      </c>
      <c r="BG112" s="980">
        <f t="shared" si="71"/>
        <v>20.996294771510911</v>
      </c>
      <c r="BH112" s="980">
        <f t="shared" si="72"/>
        <v>18.761726078799253</v>
      </c>
      <c r="BI112" s="980">
        <f t="shared" si="73"/>
        <v>29.345372460496616</v>
      </c>
      <c r="BJ112" s="1114">
        <f t="shared" si="74"/>
        <v>21.345875542691751</v>
      </c>
      <c r="BK112" s="1116">
        <f t="shared" si="75"/>
        <v>17.934002869440459</v>
      </c>
      <c r="BL112" s="1278">
        <f t="shared" si="76"/>
        <v>18.409425625920473</v>
      </c>
      <c r="BM112" s="1941">
        <f t="shared" si="77"/>
        <v>18.418201516793065</v>
      </c>
      <c r="BN112" s="2296">
        <f t="shared" si="78"/>
        <v>18.861080885019948</v>
      </c>
      <c r="BO112" s="2364">
        <f t="shared" si="79"/>
        <v>19.74933535890619</v>
      </c>
      <c r="BP112" s="2366">
        <f t="shared" si="79"/>
        <v>18.290406868234417</v>
      </c>
    </row>
    <row r="113" spans="1:68" s="142" customFormat="1" ht="15.75" customHeight="1" x14ac:dyDescent="0.3">
      <c r="A113" s="149" t="s">
        <v>144</v>
      </c>
      <c r="B113" s="185" t="s">
        <v>145</v>
      </c>
      <c r="C113" s="150" t="s">
        <v>255</v>
      </c>
      <c r="D113" s="938">
        <v>15</v>
      </c>
      <c r="E113" s="939">
        <v>15</v>
      </c>
      <c r="F113" s="940">
        <v>15</v>
      </c>
      <c r="G113" s="939">
        <v>18</v>
      </c>
      <c r="H113" s="940">
        <v>24</v>
      </c>
      <c r="I113" s="939">
        <v>18</v>
      </c>
      <c r="J113" s="940">
        <v>23</v>
      </c>
      <c r="K113" s="939">
        <v>25</v>
      </c>
      <c r="L113" s="953">
        <v>37</v>
      </c>
      <c r="M113" s="953">
        <v>23</v>
      </c>
      <c r="N113" s="953">
        <v>16</v>
      </c>
      <c r="O113" s="953">
        <v>19</v>
      </c>
      <c r="P113" s="954">
        <v>0</v>
      </c>
      <c r="Q113" s="954">
        <v>1</v>
      </c>
      <c r="R113" s="1107">
        <v>3</v>
      </c>
      <c r="S113" s="1108">
        <v>1</v>
      </c>
      <c r="T113" s="1273">
        <v>0</v>
      </c>
      <c r="U113" s="1937">
        <v>10</v>
      </c>
      <c r="V113" s="2291">
        <v>15</v>
      </c>
      <c r="W113" s="1367">
        <v>0</v>
      </c>
      <c r="X113" s="2351">
        <v>0</v>
      </c>
      <c r="Y113" s="1273"/>
      <c r="Z113" s="961">
        <v>595</v>
      </c>
      <c r="AA113" s="962">
        <v>609</v>
      </c>
      <c r="AB113" s="962">
        <v>720</v>
      </c>
      <c r="AC113" s="962">
        <v>759</v>
      </c>
      <c r="AD113" s="962">
        <v>769</v>
      </c>
      <c r="AE113" s="962">
        <v>791</v>
      </c>
      <c r="AF113" s="962">
        <v>840</v>
      </c>
      <c r="AG113" s="962">
        <v>849</v>
      </c>
      <c r="AH113" s="962">
        <v>830</v>
      </c>
      <c r="AI113" s="962">
        <v>830</v>
      </c>
      <c r="AJ113" s="962">
        <v>840</v>
      </c>
      <c r="AK113" s="962">
        <v>773</v>
      </c>
      <c r="AL113" s="962">
        <v>947</v>
      </c>
      <c r="AM113" s="962">
        <v>1047</v>
      </c>
      <c r="AN113" s="1110">
        <v>1073</v>
      </c>
      <c r="AO113" s="1111">
        <v>1047</v>
      </c>
      <c r="AP113" s="1391">
        <v>1022</v>
      </c>
      <c r="AQ113" s="1934">
        <v>1113</v>
      </c>
      <c r="AR113" s="2289">
        <v>1151</v>
      </c>
      <c r="AS113" s="1368">
        <v>1179</v>
      </c>
      <c r="AT113" s="2353">
        <v>1155</v>
      </c>
      <c r="AU113" s="1274"/>
      <c r="AV113" s="979">
        <f t="shared" si="60"/>
        <v>25.210084033613445</v>
      </c>
      <c r="AW113" s="980">
        <f t="shared" si="61"/>
        <v>24.630541871921185</v>
      </c>
      <c r="AX113" s="980">
        <f t="shared" si="62"/>
        <v>20.833333333333332</v>
      </c>
      <c r="AY113" s="980">
        <f t="shared" si="63"/>
        <v>23.715415019762844</v>
      </c>
      <c r="AZ113" s="980">
        <f t="shared" si="64"/>
        <v>31.209362808842652</v>
      </c>
      <c r="BA113" s="980">
        <f t="shared" si="65"/>
        <v>22.756005056890015</v>
      </c>
      <c r="BB113" s="980">
        <f t="shared" si="66"/>
        <v>27.38095238095238</v>
      </c>
      <c r="BC113" s="980">
        <f t="shared" si="67"/>
        <v>29.446407538280329</v>
      </c>
      <c r="BD113" s="980">
        <f t="shared" si="68"/>
        <v>44.578313253012048</v>
      </c>
      <c r="BE113" s="980">
        <f t="shared" si="69"/>
        <v>27.710843373493976</v>
      </c>
      <c r="BF113" s="980">
        <f t="shared" si="70"/>
        <v>19.047619047619051</v>
      </c>
      <c r="BG113" s="980">
        <f t="shared" si="71"/>
        <v>24.579560155239328</v>
      </c>
      <c r="BH113" s="980">
        <f t="shared" si="72"/>
        <v>0</v>
      </c>
      <c r="BI113" s="980">
        <f t="shared" si="73"/>
        <v>0.95510983763132762</v>
      </c>
      <c r="BJ113" s="1114">
        <f t="shared" si="74"/>
        <v>2.7958993476234855</v>
      </c>
      <c r="BK113" s="1116">
        <f t="shared" si="75"/>
        <v>0.95510983763132762</v>
      </c>
      <c r="BL113" s="1278">
        <f t="shared" si="76"/>
        <v>0</v>
      </c>
      <c r="BM113" s="1941">
        <f t="shared" si="77"/>
        <v>8.9847259658580416</v>
      </c>
      <c r="BN113" s="2296">
        <f t="shared" si="78"/>
        <v>13.032145960034752</v>
      </c>
      <c r="BO113" s="2364">
        <f t="shared" si="79"/>
        <v>0</v>
      </c>
      <c r="BP113" s="2366">
        <f t="shared" si="79"/>
        <v>0</v>
      </c>
    </row>
    <row r="114" spans="1:68" s="142" customFormat="1" ht="15.75" customHeight="1" x14ac:dyDescent="0.3">
      <c r="A114" s="149" t="s">
        <v>158</v>
      </c>
      <c r="B114" s="185" t="s">
        <v>159</v>
      </c>
      <c r="C114" s="150" t="s">
        <v>252</v>
      </c>
      <c r="D114" s="938">
        <v>468</v>
      </c>
      <c r="E114" s="939">
        <v>452</v>
      </c>
      <c r="F114" s="940">
        <v>447</v>
      </c>
      <c r="G114" s="939">
        <v>421</v>
      </c>
      <c r="H114" s="940">
        <v>407</v>
      </c>
      <c r="I114" s="939">
        <v>409</v>
      </c>
      <c r="J114" s="940">
        <v>373</v>
      </c>
      <c r="K114" s="939">
        <v>363</v>
      </c>
      <c r="L114" s="953">
        <v>392</v>
      </c>
      <c r="M114" s="953">
        <v>344</v>
      </c>
      <c r="N114" s="953">
        <v>382</v>
      </c>
      <c r="O114" s="953">
        <v>326</v>
      </c>
      <c r="P114" s="954">
        <v>280</v>
      </c>
      <c r="Q114" s="954">
        <v>269</v>
      </c>
      <c r="R114" s="1107">
        <v>248</v>
      </c>
      <c r="S114" s="1108">
        <v>208</v>
      </c>
      <c r="T114" s="1273">
        <v>146</v>
      </c>
      <c r="U114" s="1937">
        <v>150</v>
      </c>
      <c r="V114" s="2291">
        <v>123</v>
      </c>
      <c r="W114" s="1367">
        <v>152</v>
      </c>
      <c r="X114" s="2351">
        <v>121</v>
      </c>
      <c r="Y114" s="1273"/>
      <c r="Z114" s="961">
        <v>13646</v>
      </c>
      <c r="AA114" s="962">
        <v>13975</v>
      </c>
      <c r="AB114" s="962">
        <v>12876</v>
      </c>
      <c r="AC114" s="962">
        <v>12824</v>
      </c>
      <c r="AD114" s="962">
        <v>12894</v>
      </c>
      <c r="AE114" s="962">
        <v>13189</v>
      </c>
      <c r="AF114" s="962">
        <v>13287</v>
      </c>
      <c r="AG114" s="962">
        <v>13249</v>
      </c>
      <c r="AH114" s="962">
        <v>13050</v>
      </c>
      <c r="AI114" s="962">
        <v>13209</v>
      </c>
      <c r="AJ114" s="962">
        <v>13877</v>
      </c>
      <c r="AK114" s="962">
        <v>13149</v>
      </c>
      <c r="AL114" s="962">
        <v>12437</v>
      </c>
      <c r="AM114" s="962">
        <v>11955</v>
      </c>
      <c r="AN114" s="1110">
        <v>11781</v>
      </c>
      <c r="AO114" s="1111">
        <v>11695</v>
      </c>
      <c r="AP114" s="1391">
        <v>11545</v>
      </c>
      <c r="AQ114" s="1934">
        <v>11526</v>
      </c>
      <c r="AR114" s="2289">
        <v>11336</v>
      </c>
      <c r="AS114" s="1368">
        <v>11179</v>
      </c>
      <c r="AT114" s="2353">
        <v>11199</v>
      </c>
      <c r="AU114" s="1274"/>
      <c r="AV114" s="979">
        <f t="shared" si="60"/>
        <v>34.295764326542574</v>
      </c>
      <c r="AW114" s="980">
        <f t="shared" si="61"/>
        <v>32.343470483005362</v>
      </c>
      <c r="AX114" s="980">
        <f t="shared" si="62"/>
        <v>34.715750232991617</v>
      </c>
      <c r="AY114" s="980">
        <f t="shared" si="63"/>
        <v>32.829070492825949</v>
      </c>
      <c r="AZ114" s="980">
        <f t="shared" si="64"/>
        <v>31.565069024352411</v>
      </c>
      <c r="BA114" s="980">
        <f t="shared" si="65"/>
        <v>31.010690727121087</v>
      </c>
      <c r="BB114" s="980">
        <f t="shared" si="66"/>
        <v>28.072552118612176</v>
      </c>
      <c r="BC114" s="980">
        <f t="shared" si="67"/>
        <v>27.39829421088384</v>
      </c>
      <c r="BD114" s="980">
        <f t="shared" si="68"/>
        <v>30.038314176245208</v>
      </c>
      <c r="BE114" s="980">
        <f t="shared" si="69"/>
        <v>26.042849572261336</v>
      </c>
      <c r="BF114" s="980">
        <f t="shared" si="70"/>
        <v>27.527563594436838</v>
      </c>
      <c r="BG114" s="980">
        <f t="shared" si="71"/>
        <v>24.792759905696251</v>
      </c>
      <c r="BH114" s="980">
        <f t="shared" si="72"/>
        <v>22.513467878105654</v>
      </c>
      <c r="BI114" s="980">
        <f t="shared" si="73"/>
        <v>22.50104558762024</v>
      </c>
      <c r="BJ114" s="1114">
        <f t="shared" si="74"/>
        <v>21.050844580256346</v>
      </c>
      <c r="BK114" s="1116">
        <f t="shared" si="75"/>
        <v>17.78537836682343</v>
      </c>
      <c r="BL114" s="1278">
        <f t="shared" si="76"/>
        <v>12.646167171935902</v>
      </c>
      <c r="BM114" s="1941">
        <f t="shared" si="77"/>
        <v>13.014055179593962</v>
      </c>
      <c r="BN114" s="2296">
        <f t="shared" si="78"/>
        <v>10.850388143966127</v>
      </c>
      <c r="BO114" s="2364">
        <f t="shared" si="79"/>
        <v>13.596922801681725</v>
      </c>
      <c r="BP114" s="2366">
        <f t="shared" si="79"/>
        <v>10.804536119296365</v>
      </c>
    </row>
    <row r="115" spans="1:68" s="142" customFormat="1" ht="15.75" customHeight="1" x14ac:dyDescent="0.3">
      <c r="A115" s="149" t="s">
        <v>160</v>
      </c>
      <c r="B115" s="185" t="s">
        <v>161</v>
      </c>
      <c r="C115" s="150" t="s">
        <v>252</v>
      </c>
      <c r="D115" s="938">
        <v>715</v>
      </c>
      <c r="E115" s="939">
        <v>696</v>
      </c>
      <c r="F115" s="940">
        <v>634</v>
      </c>
      <c r="G115" s="939">
        <v>616</v>
      </c>
      <c r="H115" s="940">
        <v>626</v>
      </c>
      <c r="I115" s="939">
        <v>550</v>
      </c>
      <c r="J115" s="940">
        <v>545</v>
      </c>
      <c r="K115" s="939">
        <v>535</v>
      </c>
      <c r="L115" s="953">
        <v>498</v>
      </c>
      <c r="M115" s="953">
        <v>534</v>
      </c>
      <c r="N115" s="953">
        <v>498</v>
      </c>
      <c r="O115" s="953">
        <v>473</v>
      </c>
      <c r="P115" s="954">
        <v>425</v>
      </c>
      <c r="Q115" s="954">
        <v>341</v>
      </c>
      <c r="R115" s="1107">
        <v>346</v>
      </c>
      <c r="S115" s="1108">
        <v>277</v>
      </c>
      <c r="T115" s="1273">
        <v>229</v>
      </c>
      <c r="U115" s="1937">
        <v>243</v>
      </c>
      <c r="V115" s="2291">
        <v>189</v>
      </c>
      <c r="W115" s="1367">
        <v>176</v>
      </c>
      <c r="X115" s="2351">
        <v>170</v>
      </c>
      <c r="Y115" s="1273"/>
      <c r="Z115" s="961">
        <v>17404</v>
      </c>
      <c r="AA115" s="962">
        <v>17626</v>
      </c>
      <c r="AB115" s="962">
        <v>16447</v>
      </c>
      <c r="AC115" s="962">
        <v>15813</v>
      </c>
      <c r="AD115" s="962">
        <v>15886</v>
      </c>
      <c r="AE115" s="962">
        <v>16188</v>
      </c>
      <c r="AF115" s="962">
        <v>16034</v>
      </c>
      <c r="AG115" s="962">
        <v>16005</v>
      </c>
      <c r="AH115" s="962">
        <v>16132</v>
      </c>
      <c r="AI115" s="962">
        <v>17017</v>
      </c>
      <c r="AJ115" s="962">
        <v>16942</v>
      </c>
      <c r="AK115" s="962">
        <v>15154</v>
      </c>
      <c r="AL115" s="962">
        <v>15034</v>
      </c>
      <c r="AM115" s="962">
        <v>14379</v>
      </c>
      <c r="AN115" s="1110">
        <v>14100</v>
      </c>
      <c r="AO115" s="1111">
        <v>13561</v>
      </c>
      <c r="AP115" s="1391">
        <v>13379</v>
      </c>
      <c r="AQ115" s="1934">
        <v>13140</v>
      </c>
      <c r="AR115" s="2289">
        <v>13108</v>
      </c>
      <c r="AS115" s="1368">
        <v>13102</v>
      </c>
      <c r="AT115" s="2353">
        <v>13076</v>
      </c>
      <c r="AU115" s="1274"/>
      <c r="AV115" s="979">
        <f t="shared" si="60"/>
        <v>41.08250976786946</v>
      </c>
      <c r="AW115" s="980">
        <f t="shared" si="61"/>
        <v>39.487121298082378</v>
      </c>
      <c r="AX115" s="980">
        <f t="shared" si="62"/>
        <v>38.548063476621877</v>
      </c>
      <c r="AY115" s="980">
        <f t="shared" si="63"/>
        <v>38.955289951305886</v>
      </c>
      <c r="AZ115" s="980">
        <f t="shared" si="64"/>
        <v>39.405766083343828</v>
      </c>
      <c r="BA115" s="980">
        <f t="shared" si="65"/>
        <v>33.975784531751913</v>
      </c>
      <c r="BB115" s="980">
        <f t="shared" si="66"/>
        <v>33.990270674816017</v>
      </c>
      <c r="BC115" s="980">
        <f t="shared" si="67"/>
        <v>33.427054045610745</v>
      </c>
      <c r="BD115" s="980">
        <f t="shared" si="68"/>
        <v>30.87031986114555</v>
      </c>
      <c r="BE115" s="980">
        <f t="shared" si="69"/>
        <v>31.38038432156079</v>
      </c>
      <c r="BF115" s="980">
        <f t="shared" si="70"/>
        <v>29.394404438673121</v>
      </c>
      <c r="BG115" s="980">
        <f t="shared" si="71"/>
        <v>31.21288108750165</v>
      </c>
      <c r="BH115" s="980">
        <f t="shared" si="72"/>
        <v>28.269256352268194</v>
      </c>
      <c r="BI115" s="980">
        <f t="shared" si="73"/>
        <v>23.715140134918979</v>
      </c>
      <c r="BJ115" s="1114">
        <f t="shared" si="74"/>
        <v>24.539007092198581</v>
      </c>
      <c r="BK115" s="1116">
        <f t="shared" si="75"/>
        <v>20.426222254995945</v>
      </c>
      <c r="BL115" s="1278">
        <f t="shared" si="76"/>
        <v>17.116376410793034</v>
      </c>
      <c r="BM115" s="1941">
        <f t="shared" si="77"/>
        <v>18.493150684931507</v>
      </c>
      <c r="BN115" s="2296">
        <f t="shared" si="78"/>
        <v>14.41867561794324</v>
      </c>
      <c r="BO115" s="2364">
        <f t="shared" si="79"/>
        <v>13.433063654403908</v>
      </c>
      <c r="BP115" s="2366">
        <f t="shared" si="79"/>
        <v>13.000917711838483</v>
      </c>
    </row>
    <row r="116" spans="1:68" s="142" customFormat="1" ht="15.75" customHeight="1" x14ac:dyDescent="0.3">
      <c r="A116" s="149" t="s">
        <v>166</v>
      </c>
      <c r="B116" s="185" t="s">
        <v>167</v>
      </c>
      <c r="C116" s="150" t="s">
        <v>256</v>
      </c>
      <c r="D116" s="938">
        <v>7</v>
      </c>
      <c r="E116" s="939">
        <v>13</v>
      </c>
      <c r="F116" s="940">
        <v>12</v>
      </c>
      <c r="G116" s="939">
        <v>6</v>
      </c>
      <c r="H116" s="940">
        <v>5</v>
      </c>
      <c r="I116" s="939">
        <v>7</v>
      </c>
      <c r="J116" s="940">
        <v>11</v>
      </c>
      <c r="K116" s="939">
        <v>4</v>
      </c>
      <c r="L116" s="953">
        <v>5</v>
      </c>
      <c r="M116" s="953">
        <v>7</v>
      </c>
      <c r="N116" s="953">
        <v>4</v>
      </c>
      <c r="O116" s="953">
        <v>11</v>
      </c>
      <c r="P116" s="954">
        <v>10</v>
      </c>
      <c r="Q116" s="954">
        <v>11</v>
      </c>
      <c r="R116" s="1107">
        <v>15</v>
      </c>
      <c r="S116" s="1108">
        <v>3</v>
      </c>
      <c r="T116" s="1273">
        <v>4</v>
      </c>
      <c r="U116" s="1937">
        <v>9</v>
      </c>
      <c r="V116" s="2291">
        <v>0</v>
      </c>
      <c r="W116" s="1367">
        <v>3</v>
      </c>
      <c r="X116" s="2351">
        <v>6</v>
      </c>
      <c r="Y116" s="1273"/>
      <c r="Z116" s="961">
        <v>276</v>
      </c>
      <c r="AA116" s="962">
        <v>271</v>
      </c>
      <c r="AB116" s="962">
        <v>247</v>
      </c>
      <c r="AC116" s="962">
        <v>246</v>
      </c>
      <c r="AD116" s="962">
        <v>246</v>
      </c>
      <c r="AE116" s="962">
        <v>250</v>
      </c>
      <c r="AF116" s="962">
        <v>246</v>
      </c>
      <c r="AG116" s="962">
        <v>246</v>
      </c>
      <c r="AH116" s="962">
        <v>241</v>
      </c>
      <c r="AI116" s="962">
        <v>245</v>
      </c>
      <c r="AJ116" s="962">
        <v>243</v>
      </c>
      <c r="AK116" s="962">
        <v>244</v>
      </c>
      <c r="AL116" s="962">
        <v>263</v>
      </c>
      <c r="AM116" s="962">
        <v>273</v>
      </c>
      <c r="AN116" s="1110">
        <v>237</v>
      </c>
      <c r="AO116" s="1111">
        <v>242</v>
      </c>
      <c r="AP116" s="1391">
        <v>249</v>
      </c>
      <c r="AQ116" s="1934">
        <v>235</v>
      </c>
      <c r="AR116" s="2289">
        <v>212</v>
      </c>
      <c r="AS116" s="1368">
        <v>206</v>
      </c>
      <c r="AT116" s="2353">
        <v>201</v>
      </c>
      <c r="AU116" s="1274"/>
      <c r="AV116" s="979">
        <f t="shared" si="60"/>
        <v>25.362318840579711</v>
      </c>
      <c r="AW116" s="980">
        <f t="shared" si="61"/>
        <v>47.97047970479705</v>
      </c>
      <c r="AX116" s="980">
        <f t="shared" si="62"/>
        <v>48.582995951417004</v>
      </c>
      <c r="AY116" s="980">
        <f t="shared" si="63"/>
        <v>24.390243902439025</v>
      </c>
      <c r="AZ116" s="980">
        <f t="shared" si="64"/>
        <v>20.325203252032519</v>
      </c>
      <c r="BA116" s="980">
        <f t="shared" si="65"/>
        <v>28</v>
      </c>
      <c r="BB116" s="980">
        <f t="shared" si="66"/>
        <v>44.715447154471548</v>
      </c>
      <c r="BC116" s="980">
        <f t="shared" si="67"/>
        <v>16.260162601626018</v>
      </c>
      <c r="BD116" s="980">
        <f t="shared" si="68"/>
        <v>20.74688796680498</v>
      </c>
      <c r="BE116" s="980">
        <f t="shared" si="69"/>
        <v>28.571428571428569</v>
      </c>
      <c r="BF116" s="980">
        <f t="shared" si="70"/>
        <v>16.460905349794238</v>
      </c>
      <c r="BG116" s="980">
        <f t="shared" si="71"/>
        <v>45.081967213114758</v>
      </c>
      <c r="BH116" s="980">
        <f t="shared" si="72"/>
        <v>38.022813688212928</v>
      </c>
      <c r="BI116" s="980">
        <f t="shared" si="73"/>
        <v>40.293040293040299</v>
      </c>
      <c r="BJ116" s="1114">
        <f t="shared" si="74"/>
        <v>63.291139240506332</v>
      </c>
      <c r="BK116" s="1116">
        <f t="shared" si="75"/>
        <v>12.396694214876034</v>
      </c>
      <c r="BL116" s="1278">
        <f t="shared" si="76"/>
        <v>16.064257028112447</v>
      </c>
      <c r="BM116" s="1941">
        <f t="shared" si="77"/>
        <v>38.297872340425535</v>
      </c>
      <c r="BN116" s="2296">
        <f t="shared" si="78"/>
        <v>0</v>
      </c>
      <c r="BO116" s="2364">
        <f t="shared" si="79"/>
        <v>14.563106796116505</v>
      </c>
      <c r="BP116" s="2366">
        <f t="shared" si="79"/>
        <v>29.850746268656717</v>
      </c>
    </row>
    <row r="117" spans="1:68" s="142" customFormat="1" ht="15.75" customHeight="1" x14ac:dyDescent="0.3">
      <c r="A117" s="149" t="s">
        <v>176</v>
      </c>
      <c r="B117" s="185" t="s">
        <v>177</v>
      </c>
      <c r="C117" s="150" t="s">
        <v>254</v>
      </c>
      <c r="D117" s="938">
        <v>133</v>
      </c>
      <c r="E117" s="939">
        <v>117</v>
      </c>
      <c r="F117" s="940">
        <v>120</v>
      </c>
      <c r="G117" s="939">
        <v>144</v>
      </c>
      <c r="H117" s="940">
        <v>127</v>
      </c>
      <c r="I117" s="939">
        <v>111</v>
      </c>
      <c r="J117" s="940">
        <v>105</v>
      </c>
      <c r="K117" s="939">
        <v>102</v>
      </c>
      <c r="L117" s="953">
        <v>104</v>
      </c>
      <c r="M117" s="953">
        <v>108</v>
      </c>
      <c r="N117" s="953">
        <v>110</v>
      </c>
      <c r="O117" s="953">
        <v>116</v>
      </c>
      <c r="P117" s="954">
        <v>119</v>
      </c>
      <c r="Q117" s="954">
        <v>82</v>
      </c>
      <c r="R117" s="1107">
        <v>83</v>
      </c>
      <c r="S117" s="1108">
        <v>77</v>
      </c>
      <c r="T117" s="1273">
        <v>53</v>
      </c>
      <c r="U117" s="1937">
        <v>53</v>
      </c>
      <c r="V117" s="2291">
        <v>36</v>
      </c>
      <c r="W117" s="1367">
        <v>46</v>
      </c>
      <c r="X117" s="2351">
        <v>40</v>
      </c>
      <c r="Y117" s="1273"/>
      <c r="Z117" s="961">
        <v>2434</v>
      </c>
      <c r="AA117" s="962">
        <v>2457</v>
      </c>
      <c r="AB117" s="962">
        <v>2396</v>
      </c>
      <c r="AC117" s="962">
        <v>2290</v>
      </c>
      <c r="AD117" s="962">
        <v>2263</v>
      </c>
      <c r="AE117" s="962">
        <v>2307</v>
      </c>
      <c r="AF117" s="962">
        <v>2280</v>
      </c>
      <c r="AG117" s="962">
        <v>2179</v>
      </c>
      <c r="AH117" s="962">
        <v>2132</v>
      </c>
      <c r="AI117" s="962">
        <v>2129</v>
      </c>
      <c r="AJ117" s="962">
        <v>2076</v>
      </c>
      <c r="AK117" s="962">
        <v>1890</v>
      </c>
      <c r="AL117" s="962">
        <v>1883</v>
      </c>
      <c r="AM117" s="962">
        <v>1757</v>
      </c>
      <c r="AN117" s="1110">
        <v>1708</v>
      </c>
      <c r="AO117" s="1111">
        <v>1586</v>
      </c>
      <c r="AP117" s="1391">
        <v>1588</v>
      </c>
      <c r="AQ117" s="1934">
        <v>1564</v>
      </c>
      <c r="AR117" s="2289">
        <v>1505</v>
      </c>
      <c r="AS117" s="1368">
        <v>1521</v>
      </c>
      <c r="AT117" s="2353">
        <v>1557</v>
      </c>
      <c r="AU117" s="1274"/>
      <c r="AV117" s="979">
        <f t="shared" si="60"/>
        <v>54.64256368118324</v>
      </c>
      <c r="AW117" s="980">
        <f t="shared" si="61"/>
        <v>47.619047619047613</v>
      </c>
      <c r="AX117" s="980">
        <f t="shared" si="62"/>
        <v>50.083472454090149</v>
      </c>
      <c r="AY117" s="980">
        <f t="shared" si="63"/>
        <v>62.882096069869</v>
      </c>
      <c r="AZ117" s="980">
        <f t="shared" si="64"/>
        <v>56.12019443216969</v>
      </c>
      <c r="BA117" s="980">
        <f t="shared" si="65"/>
        <v>48.11443433029909</v>
      </c>
      <c r="BB117" s="980">
        <f t="shared" si="66"/>
        <v>46.052631578947363</v>
      </c>
      <c r="BC117" s="980">
        <f t="shared" si="67"/>
        <v>46.810463515374025</v>
      </c>
      <c r="BD117" s="980">
        <f t="shared" si="68"/>
        <v>48.780487804878049</v>
      </c>
      <c r="BE117" s="980">
        <f t="shared" si="69"/>
        <v>50.728041333959602</v>
      </c>
      <c r="BF117" s="980">
        <f t="shared" si="70"/>
        <v>52.986512524084773</v>
      </c>
      <c r="BG117" s="980">
        <f t="shared" si="71"/>
        <v>61.375661375661373</v>
      </c>
      <c r="BH117" s="980">
        <f t="shared" si="72"/>
        <v>63.197026022304826</v>
      </c>
      <c r="BI117" s="980">
        <f t="shared" si="73"/>
        <v>46.670461013090495</v>
      </c>
      <c r="BJ117" s="1114">
        <f t="shared" si="74"/>
        <v>48.594847775175644</v>
      </c>
      <c r="BK117" s="1116">
        <f t="shared" si="75"/>
        <v>48.549810844892811</v>
      </c>
      <c r="BL117" s="1278">
        <f t="shared" si="76"/>
        <v>33.375314861460957</v>
      </c>
      <c r="BM117" s="1941">
        <f t="shared" si="77"/>
        <v>33.887468030690535</v>
      </c>
      <c r="BN117" s="2296">
        <f t="shared" si="78"/>
        <v>23.920265780730897</v>
      </c>
      <c r="BO117" s="2364">
        <f t="shared" si="79"/>
        <v>30.243261012491782</v>
      </c>
      <c r="BP117" s="2366">
        <f t="shared" si="79"/>
        <v>25.690430314707772</v>
      </c>
    </row>
    <row r="118" spans="1:68" s="142" customFormat="1" ht="15.75" customHeight="1" x14ac:dyDescent="0.3">
      <c r="A118" s="149" t="s">
        <v>180</v>
      </c>
      <c r="B118" s="185" t="s">
        <v>181</v>
      </c>
      <c r="C118" s="150" t="s">
        <v>252</v>
      </c>
      <c r="D118" s="938">
        <v>318</v>
      </c>
      <c r="E118" s="939">
        <v>330</v>
      </c>
      <c r="F118" s="940">
        <v>290</v>
      </c>
      <c r="G118" s="939">
        <v>286</v>
      </c>
      <c r="H118" s="940">
        <v>249</v>
      </c>
      <c r="I118" s="939">
        <v>247</v>
      </c>
      <c r="J118" s="940">
        <v>254</v>
      </c>
      <c r="K118" s="939">
        <v>231</v>
      </c>
      <c r="L118" s="953">
        <v>234</v>
      </c>
      <c r="M118" s="953">
        <v>223</v>
      </c>
      <c r="N118" s="953">
        <v>210</v>
      </c>
      <c r="O118" s="953">
        <v>239</v>
      </c>
      <c r="P118" s="954">
        <v>205</v>
      </c>
      <c r="Q118" s="954">
        <v>178</v>
      </c>
      <c r="R118" s="1107">
        <v>133</v>
      </c>
      <c r="S118" s="1108">
        <v>129</v>
      </c>
      <c r="T118" s="1273">
        <v>109</v>
      </c>
      <c r="U118" s="1937">
        <v>111</v>
      </c>
      <c r="V118" s="2291">
        <v>85</v>
      </c>
      <c r="W118" s="1367">
        <v>81</v>
      </c>
      <c r="X118" s="2351">
        <v>76</v>
      </c>
      <c r="Y118" s="1273"/>
      <c r="Z118" s="961">
        <v>7261</v>
      </c>
      <c r="AA118" s="962">
        <v>7292</v>
      </c>
      <c r="AB118" s="962">
        <v>6914</v>
      </c>
      <c r="AC118" s="962">
        <v>6795</v>
      </c>
      <c r="AD118" s="962">
        <v>6803</v>
      </c>
      <c r="AE118" s="962">
        <v>6839</v>
      </c>
      <c r="AF118" s="962">
        <v>6876</v>
      </c>
      <c r="AG118" s="962">
        <v>6907</v>
      </c>
      <c r="AH118" s="962">
        <v>7040</v>
      </c>
      <c r="AI118" s="962">
        <v>6990</v>
      </c>
      <c r="AJ118" s="962">
        <v>6907</v>
      </c>
      <c r="AK118" s="962">
        <v>5985</v>
      </c>
      <c r="AL118" s="962">
        <v>5730</v>
      </c>
      <c r="AM118" s="962">
        <v>5485</v>
      </c>
      <c r="AN118" s="1110">
        <v>5503</v>
      </c>
      <c r="AO118" s="1111">
        <v>5338</v>
      </c>
      <c r="AP118" s="1391">
        <v>5321</v>
      </c>
      <c r="AQ118" s="1934">
        <v>5355</v>
      </c>
      <c r="AR118" s="2289">
        <v>5298</v>
      </c>
      <c r="AS118" s="1368">
        <v>5255</v>
      </c>
      <c r="AT118" s="2353">
        <v>5255</v>
      </c>
      <c r="AU118" s="1274"/>
      <c r="AV118" s="979">
        <f t="shared" si="60"/>
        <v>43.79562043795621</v>
      </c>
      <c r="AW118" s="980">
        <f t="shared" si="61"/>
        <v>45.255074053757539</v>
      </c>
      <c r="AX118" s="980">
        <f t="shared" si="62"/>
        <v>41.943881978594156</v>
      </c>
      <c r="AY118" s="980">
        <f t="shared" si="63"/>
        <v>42.089771891096397</v>
      </c>
      <c r="AZ118" s="980">
        <f t="shared" si="64"/>
        <v>36.60149933852712</v>
      </c>
      <c r="BA118" s="980">
        <f t="shared" si="65"/>
        <v>36.116391285275625</v>
      </c>
      <c r="BB118" s="980">
        <f t="shared" si="66"/>
        <v>36.940081442699245</v>
      </c>
      <c r="BC118" s="980">
        <f t="shared" si="67"/>
        <v>33.444331837266539</v>
      </c>
      <c r="BD118" s="980">
        <f t="shared" si="68"/>
        <v>33.238636363636367</v>
      </c>
      <c r="BE118" s="980">
        <f t="shared" si="69"/>
        <v>31.902718168812591</v>
      </c>
      <c r="BF118" s="980">
        <f t="shared" si="70"/>
        <v>30.403938033878674</v>
      </c>
      <c r="BG118" s="980">
        <f t="shared" si="71"/>
        <v>39.933166248955722</v>
      </c>
      <c r="BH118" s="980">
        <f t="shared" si="72"/>
        <v>35.776614310645719</v>
      </c>
      <c r="BI118" s="980">
        <f t="shared" si="73"/>
        <v>32.452142206016411</v>
      </c>
      <c r="BJ118" s="1114">
        <f t="shared" si="74"/>
        <v>24.168635289841905</v>
      </c>
      <c r="BK118" s="1116">
        <f t="shared" si="75"/>
        <v>24.166354439865117</v>
      </c>
      <c r="BL118" s="1278">
        <f t="shared" si="76"/>
        <v>20.48487126479985</v>
      </c>
      <c r="BM118" s="1941">
        <f t="shared" si="77"/>
        <v>20.728291316526612</v>
      </c>
      <c r="BN118" s="2296">
        <f t="shared" si="78"/>
        <v>16.043790109475275</v>
      </c>
      <c r="BO118" s="2364">
        <f t="shared" si="79"/>
        <v>15.413891531874405</v>
      </c>
      <c r="BP118" s="2366">
        <f t="shared" si="79"/>
        <v>14.462416745956231</v>
      </c>
    </row>
    <row r="119" spans="1:68" s="142" customFormat="1" ht="15.75" customHeight="1" x14ac:dyDescent="0.3">
      <c r="A119" s="149" t="s">
        <v>192</v>
      </c>
      <c r="B119" s="185" t="s">
        <v>193</v>
      </c>
      <c r="C119" s="150" t="s">
        <v>256</v>
      </c>
      <c r="D119" s="938">
        <v>25</v>
      </c>
      <c r="E119" s="939">
        <v>14</v>
      </c>
      <c r="F119" s="940">
        <v>16</v>
      </c>
      <c r="G119" s="939">
        <v>13</v>
      </c>
      <c r="H119" s="940">
        <v>12</v>
      </c>
      <c r="I119" s="939">
        <v>14</v>
      </c>
      <c r="J119" s="940">
        <v>12</v>
      </c>
      <c r="K119" s="939">
        <v>10</v>
      </c>
      <c r="L119" s="953">
        <v>11</v>
      </c>
      <c r="M119" s="953">
        <v>14</v>
      </c>
      <c r="N119" s="953">
        <v>16</v>
      </c>
      <c r="O119" s="953">
        <v>13</v>
      </c>
      <c r="P119" s="954">
        <v>18</v>
      </c>
      <c r="Q119" s="954">
        <v>17</v>
      </c>
      <c r="R119" s="1107">
        <v>19</v>
      </c>
      <c r="S119" s="1108">
        <v>14</v>
      </c>
      <c r="T119" s="1273">
        <v>13</v>
      </c>
      <c r="U119" s="1937">
        <v>6</v>
      </c>
      <c r="V119" s="2291">
        <v>12</v>
      </c>
      <c r="W119" s="1367">
        <v>5</v>
      </c>
      <c r="X119" s="2351">
        <v>9</v>
      </c>
      <c r="Y119" s="1273"/>
      <c r="Z119" s="961">
        <v>2508</v>
      </c>
      <c r="AA119" s="962">
        <v>2528</v>
      </c>
      <c r="AB119" s="962">
        <v>2020</v>
      </c>
      <c r="AC119" s="962">
        <v>1821</v>
      </c>
      <c r="AD119" s="962">
        <v>1783</v>
      </c>
      <c r="AE119" s="962">
        <v>1632</v>
      </c>
      <c r="AF119" s="962">
        <v>1623</v>
      </c>
      <c r="AG119" s="962">
        <v>1675</v>
      </c>
      <c r="AH119" s="962">
        <v>1759</v>
      </c>
      <c r="AI119" s="962">
        <v>1859</v>
      </c>
      <c r="AJ119" s="962">
        <v>1860</v>
      </c>
      <c r="AK119" s="962">
        <v>1885</v>
      </c>
      <c r="AL119" s="962">
        <v>1775</v>
      </c>
      <c r="AM119" s="962">
        <v>1778</v>
      </c>
      <c r="AN119" s="1110">
        <v>1796</v>
      </c>
      <c r="AO119" s="1111">
        <v>1861</v>
      </c>
      <c r="AP119" s="1391">
        <v>1931</v>
      </c>
      <c r="AQ119" s="1934">
        <v>1883</v>
      </c>
      <c r="AR119" s="2289">
        <v>1854</v>
      </c>
      <c r="AS119" s="1368">
        <v>1813</v>
      </c>
      <c r="AT119" s="2353">
        <v>2051</v>
      </c>
      <c r="AU119" s="1274"/>
      <c r="AV119" s="979">
        <f t="shared" si="60"/>
        <v>9.9681020733652321</v>
      </c>
      <c r="AW119" s="980">
        <f t="shared" si="61"/>
        <v>5.537974683544304</v>
      </c>
      <c r="AX119" s="980">
        <f t="shared" si="62"/>
        <v>7.9207920792079207</v>
      </c>
      <c r="AY119" s="980">
        <f t="shared" si="63"/>
        <v>7.1389346512904996</v>
      </c>
      <c r="AZ119" s="980">
        <f t="shared" si="64"/>
        <v>6.7302299495232747</v>
      </c>
      <c r="BA119" s="980">
        <f t="shared" si="65"/>
        <v>8.5784313725490211</v>
      </c>
      <c r="BB119" s="980">
        <f t="shared" si="66"/>
        <v>7.3937153419593349</v>
      </c>
      <c r="BC119" s="980">
        <f t="shared" si="67"/>
        <v>5.9701492537313436</v>
      </c>
      <c r="BD119" s="980">
        <f t="shared" si="68"/>
        <v>6.2535531552018195</v>
      </c>
      <c r="BE119" s="980">
        <f t="shared" si="69"/>
        <v>7.5309306078536844</v>
      </c>
      <c r="BF119" s="980">
        <f t="shared" si="70"/>
        <v>8.6021505376344081</v>
      </c>
      <c r="BG119" s="980">
        <f t="shared" si="71"/>
        <v>6.8965517241379306</v>
      </c>
      <c r="BH119" s="980">
        <f t="shared" si="72"/>
        <v>10.140845070422534</v>
      </c>
      <c r="BI119" s="980">
        <f t="shared" si="73"/>
        <v>9.5613048368953883</v>
      </c>
      <c r="BJ119" s="1114">
        <f t="shared" si="74"/>
        <v>10.579064587973273</v>
      </c>
      <c r="BK119" s="1116">
        <f t="shared" si="75"/>
        <v>7.5228371843095116</v>
      </c>
      <c r="BL119" s="1278">
        <f t="shared" si="76"/>
        <v>6.7322630761263591</v>
      </c>
      <c r="BM119" s="1941">
        <f t="shared" si="77"/>
        <v>3.186404673393521</v>
      </c>
      <c r="BN119" s="2296">
        <f t="shared" si="78"/>
        <v>6.4724919093851137</v>
      </c>
      <c r="BO119" s="2364">
        <f t="shared" si="79"/>
        <v>2.7578599007170435</v>
      </c>
      <c r="BP119" s="2366">
        <f t="shared" si="79"/>
        <v>4.3881033642125793</v>
      </c>
    </row>
    <row r="120" spans="1:68" s="142" customFormat="1" ht="15.75" customHeight="1" x14ac:dyDescent="0.3">
      <c r="A120" s="149" t="s">
        <v>196</v>
      </c>
      <c r="B120" s="185" t="s">
        <v>197</v>
      </c>
      <c r="C120" s="150" t="s">
        <v>254</v>
      </c>
      <c r="D120" s="938">
        <v>565</v>
      </c>
      <c r="E120" s="939">
        <v>527</v>
      </c>
      <c r="F120" s="940">
        <v>521</v>
      </c>
      <c r="G120" s="939">
        <v>543</v>
      </c>
      <c r="H120" s="940">
        <v>506</v>
      </c>
      <c r="I120" s="939">
        <v>507</v>
      </c>
      <c r="J120" s="940">
        <v>423</v>
      </c>
      <c r="K120" s="939">
        <v>460</v>
      </c>
      <c r="L120" s="953">
        <v>425</v>
      </c>
      <c r="M120" s="953">
        <v>470</v>
      </c>
      <c r="N120" s="953">
        <v>463</v>
      </c>
      <c r="O120" s="953">
        <v>421</v>
      </c>
      <c r="P120" s="954">
        <v>307</v>
      </c>
      <c r="Q120" s="954">
        <v>285</v>
      </c>
      <c r="R120" s="1107">
        <v>264</v>
      </c>
      <c r="S120" s="1108">
        <v>278</v>
      </c>
      <c r="T120" s="1273">
        <v>215</v>
      </c>
      <c r="U120" s="1937">
        <v>231</v>
      </c>
      <c r="V120" s="2291">
        <v>179</v>
      </c>
      <c r="W120" s="1367">
        <v>194</v>
      </c>
      <c r="X120" s="2351">
        <v>194</v>
      </c>
      <c r="Y120" s="1273"/>
      <c r="Z120" s="961">
        <v>12799</v>
      </c>
      <c r="AA120" s="962">
        <v>12922</v>
      </c>
      <c r="AB120" s="962">
        <v>13167</v>
      </c>
      <c r="AC120" s="962">
        <v>12890</v>
      </c>
      <c r="AD120" s="962">
        <v>12807</v>
      </c>
      <c r="AE120" s="962">
        <v>12710</v>
      </c>
      <c r="AF120" s="962">
        <v>12716</v>
      </c>
      <c r="AG120" s="962">
        <v>13004</v>
      </c>
      <c r="AH120" s="962">
        <v>12887</v>
      </c>
      <c r="AI120" s="962">
        <v>13451</v>
      </c>
      <c r="AJ120" s="962">
        <v>13423</v>
      </c>
      <c r="AK120" s="962">
        <v>11733</v>
      </c>
      <c r="AL120" s="962">
        <v>13057</v>
      </c>
      <c r="AM120" s="962">
        <v>12211</v>
      </c>
      <c r="AN120" s="1110">
        <v>12202</v>
      </c>
      <c r="AO120" s="1111">
        <v>11853</v>
      </c>
      <c r="AP120" s="1391">
        <v>12163</v>
      </c>
      <c r="AQ120" s="1934">
        <v>12138</v>
      </c>
      <c r="AR120" s="2289">
        <v>12564</v>
      </c>
      <c r="AS120" s="1368">
        <v>12218</v>
      </c>
      <c r="AT120" s="2353">
        <v>12150</v>
      </c>
      <c r="AU120" s="1274"/>
      <c r="AV120" s="979">
        <f t="shared" si="60"/>
        <v>44.144073755762165</v>
      </c>
      <c r="AW120" s="980">
        <f t="shared" si="61"/>
        <v>40.783160501470363</v>
      </c>
      <c r="AX120" s="980">
        <f t="shared" si="62"/>
        <v>39.568618515986934</v>
      </c>
      <c r="AY120" s="980">
        <f t="shared" si="63"/>
        <v>42.125678820791308</v>
      </c>
      <c r="AZ120" s="980">
        <f t="shared" si="64"/>
        <v>39.509643163894744</v>
      </c>
      <c r="BA120" s="980">
        <f t="shared" si="65"/>
        <v>39.889850511408333</v>
      </c>
      <c r="BB120" s="980">
        <f t="shared" si="66"/>
        <v>33.265177728845543</v>
      </c>
      <c r="BC120" s="980">
        <f t="shared" si="67"/>
        <v>35.373731159643185</v>
      </c>
      <c r="BD120" s="980">
        <f t="shared" si="68"/>
        <v>32.978971056103049</v>
      </c>
      <c r="BE120" s="980">
        <f t="shared" si="69"/>
        <v>34.941640026763807</v>
      </c>
      <c r="BF120" s="980">
        <f t="shared" si="70"/>
        <v>34.493034344036353</v>
      </c>
      <c r="BG120" s="980">
        <f t="shared" si="71"/>
        <v>35.881701184692751</v>
      </c>
      <c r="BH120" s="980">
        <f t="shared" si="72"/>
        <v>23.512292257026882</v>
      </c>
      <c r="BI120" s="980">
        <f t="shared" si="73"/>
        <v>23.339611825403324</v>
      </c>
      <c r="BJ120" s="1114">
        <f t="shared" si="74"/>
        <v>21.635797410260611</v>
      </c>
      <c r="BK120" s="1116">
        <f t="shared" si="75"/>
        <v>23.453977895891335</v>
      </c>
      <c r="BL120" s="1278">
        <f t="shared" si="76"/>
        <v>17.676560059195925</v>
      </c>
      <c r="BM120" s="1941">
        <f t="shared" si="77"/>
        <v>19.031141868512112</v>
      </c>
      <c r="BN120" s="2296">
        <f t="shared" si="78"/>
        <v>14.247055078000637</v>
      </c>
      <c r="BO120" s="2364">
        <f t="shared" si="79"/>
        <v>15.878212473399902</v>
      </c>
      <c r="BP120" s="2366">
        <f t="shared" si="79"/>
        <v>15.967078189300411</v>
      </c>
    </row>
    <row r="121" spans="1:68" s="142" customFormat="1" ht="15.75" customHeight="1" x14ac:dyDescent="0.3">
      <c r="A121" s="149" t="s">
        <v>200</v>
      </c>
      <c r="B121" s="185" t="s">
        <v>201</v>
      </c>
      <c r="C121" s="150" t="s">
        <v>253</v>
      </c>
      <c r="D121" s="938">
        <v>230</v>
      </c>
      <c r="E121" s="939">
        <v>208</v>
      </c>
      <c r="F121" s="940">
        <v>212</v>
      </c>
      <c r="G121" s="939">
        <v>195</v>
      </c>
      <c r="H121" s="940">
        <v>206</v>
      </c>
      <c r="I121" s="939">
        <v>196</v>
      </c>
      <c r="J121" s="940">
        <v>132</v>
      </c>
      <c r="K121" s="939">
        <v>182</v>
      </c>
      <c r="L121" s="953">
        <v>209</v>
      </c>
      <c r="M121" s="953">
        <v>242</v>
      </c>
      <c r="N121" s="953">
        <v>232</v>
      </c>
      <c r="O121" s="953">
        <v>218</v>
      </c>
      <c r="P121" s="954">
        <v>174</v>
      </c>
      <c r="Q121" s="954">
        <v>173</v>
      </c>
      <c r="R121" s="1107">
        <v>148</v>
      </c>
      <c r="S121" s="1108">
        <v>133</v>
      </c>
      <c r="T121" s="1273">
        <v>118</v>
      </c>
      <c r="U121" s="1937">
        <v>108</v>
      </c>
      <c r="V121" s="2291">
        <v>111</v>
      </c>
      <c r="W121" s="1367">
        <v>104</v>
      </c>
      <c r="X121" s="2351">
        <v>102</v>
      </c>
      <c r="Y121" s="1273"/>
      <c r="Z121" s="961">
        <v>5451</v>
      </c>
      <c r="AA121" s="962">
        <v>5442</v>
      </c>
      <c r="AB121" s="962">
        <v>5381</v>
      </c>
      <c r="AC121" s="962">
        <v>5373</v>
      </c>
      <c r="AD121" s="962">
        <v>5375</v>
      </c>
      <c r="AE121" s="962">
        <v>5400</v>
      </c>
      <c r="AF121" s="962">
        <v>5540</v>
      </c>
      <c r="AG121" s="962">
        <v>5485</v>
      </c>
      <c r="AH121" s="962">
        <v>5341</v>
      </c>
      <c r="AI121" s="962">
        <v>5432</v>
      </c>
      <c r="AJ121" s="962">
        <v>5441</v>
      </c>
      <c r="AK121" s="962">
        <v>4992</v>
      </c>
      <c r="AL121" s="962">
        <v>5235</v>
      </c>
      <c r="AM121" s="962">
        <v>5064</v>
      </c>
      <c r="AN121" s="1110">
        <v>5042</v>
      </c>
      <c r="AO121" s="1111">
        <v>4933</v>
      </c>
      <c r="AP121" s="1391">
        <v>5038</v>
      </c>
      <c r="AQ121" s="1934">
        <v>5056</v>
      </c>
      <c r="AR121" s="2289">
        <v>5067</v>
      </c>
      <c r="AS121" s="1368">
        <v>5180</v>
      </c>
      <c r="AT121" s="2353">
        <v>5279</v>
      </c>
      <c r="AU121" s="1274"/>
      <c r="AV121" s="979">
        <f t="shared" si="60"/>
        <v>42.194092827004219</v>
      </c>
      <c r="AW121" s="980">
        <f t="shared" si="61"/>
        <v>38.221242190371186</v>
      </c>
      <c r="AX121" s="980">
        <f t="shared" si="62"/>
        <v>39.397881434677565</v>
      </c>
      <c r="AY121" s="980">
        <f t="shared" si="63"/>
        <v>36.29257398101619</v>
      </c>
      <c r="AZ121" s="980">
        <f t="shared" si="64"/>
        <v>38.325581395348834</v>
      </c>
      <c r="BA121" s="980">
        <f t="shared" si="65"/>
        <v>36.296296296296298</v>
      </c>
      <c r="BB121" s="980">
        <f t="shared" si="66"/>
        <v>23.826714801444041</v>
      </c>
      <c r="BC121" s="980">
        <f t="shared" si="67"/>
        <v>33.181403828623516</v>
      </c>
      <c r="BD121" s="980">
        <f t="shared" si="68"/>
        <v>39.131248829807156</v>
      </c>
      <c r="BE121" s="980">
        <f t="shared" si="69"/>
        <v>44.550810014727539</v>
      </c>
      <c r="BF121" s="980">
        <f t="shared" si="70"/>
        <v>42.639220731483185</v>
      </c>
      <c r="BG121" s="980">
        <f t="shared" si="71"/>
        <v>43.669871794871796</v>
      </c>
      <c r="BH121" s="980">
        <f t="shared" si="72"/>
        <v>33.237822349570202</v>
      </c>
      <c r="BI121" s="980">
        <f t="shared" si="73"/>
        <v>34.162717219589261</v>
      </c>
      <c r="BJ121" s="1114">
        <f t="shared" si="74"/>
        <v>29.353431178103925</v>
      </c>
      <c r="BK121" s="1116">
        <f t="shared" si="75"/>
        <v>26.961281167646462</v>
      </c>
      <c r="BL121" s="1278">
        <f t="shared" si="76"/>
        <v>23.421992854307266</v>
      </c>
      <c r="BM121" s="1941">
        <f t="shared" si="77"/>
        <v>21.360759493670887</v>
      </c>
      <c r="BN121" s="2296">
        <f t="shared" si="78"/>
        <v>21.906453522794553</v>
      </c>
      <c r="BO121" s="2364">
        <f t="shared" si="79"/>
        <v>20.077220077220076</v>
      </c>
      <c r="BP121" s="2366">
        <f t="shared" si="79"/>
        <v>19.321841257813983</v>
      </c>
    </row>
    <row r="122" spans="1:68" s="142" customFormat="1" ht="15.75" customHeight="1" x14ac:dyDescent="0.3">
      <c r="A122" s="149" t="s">
        <v>222</v>
      </c>
      <c r="B122" s="185" t="s">
        <v>223</v>
      </c>
      <c r="C122" s="150" t="s">
        <v>252</v>
      </c>
      <c r="D122" s="938">
        <v>145</v>
      </c>
      <c r="E122" s="939">
        <v>109</v>
      </c>
      <c r="F122" s="940">
        <v>119</v>
      </c>
      <c r="G122" s="939">
        <v>118</v>
      </c>
      <c r="H122" s="940">
        <v>131</v>
      </c>
      <c r="I122" s="939">
        <v>116</v>
      </c>
      <c r="J122" s="940">
        <v>116</v>
      </c>
      <c r="K122" s="939">
        <v>119</v>
      </c>
      <c r="L122" s="953">
        <v>130</v>
      </c>
      <c r="M122" s="953">
        <v>100</v>
      </c>
      <c r="N122" s="953">
        <v>108</v>
      </c>
      <c r="O122" s="953">
        <v>112</v>
      </c>
      <c r="P122" s="954">
        <v>100</v>
      </c>
      <c r="Q122" s="954">
        <v>77</v>
      </c>
      <c r="R122" s="1107">
        <v>70</v>
      </c>
      <c r="S122" s="1108">
        <v>60</v>
      </c>
      <c r="T122" s="1273">
        <v>51</v>
      </c>
      <c r="U122" s="1937">
        <v>44</v>
      </c>
      <c r="V122" s="2291">
        <v>44</v>
      </c>
      <c r="W122" s="1367">
        <v>42</v>
      </c>
      <c r="X122" s="2351">
        <v>55</v>
      </c>
      <c r="Y122" s="1273"/>
      <c r="Z122" s="961">
        <v>4192</v>
      </c>
      <c r="AA122" s="962">
        <v>4244</v>
      </c>
      <c r="AB122" s="962">
        <v>4696</v>
      </c>
      <c r="AC122" s="962">
        <v>4974</v>
      </c>
      <c r="AD122" s="962">
        <v>5198</v>
      </c>
      <c r="AE122" s="962">
        <v>5477</v>
      </c>
      <c r="AF122" s="962">
        <v>5604</v>
      </c>
      <c r="AG122" s="962">
        <v>5733</v>
      </c>
      <c r="AH122" s="962">
        <v>5787</v>
      </c>
      <c r="AI122" s="962">
        <v>5712</v>
      </c>
      <c r="AJ122" s="962">
        <v>5717</v>
      </c>
      <c r="AK122" s="962">
        <v>5817</v>
      </c>
      <c r="AL122" s="962">
        <v>5914</v>
      </c>
      <c r="AM122" s="962">
        <v>5849</v>
      </c>
      <c r="AN122" s="1110">
        <v>5728</v>
      </c>
      <c r="AO122" s="1111">
        <v>5773</v>
      </c>
      <c r="AP122" s="1391">
        <v>5776</v>
      </c>
      <c r="AQ122" s="1934">
        <v>5824</v>
      </c>
      <c r="AR122" s="2289">
        <v>5813</v>
      </c>
      <c r="AS122" s="1368">
        <v>5738</v>
      </c>
      <c r="AT122" s="2353">
        <v>5811</v>
      </c>
      <c r="AU122" s="1274"/>
      <c r="AV122" s="979">
        <f t="shared" si="60"/>
        <v>34.589694656488547</v>
      </c>
      <c r="AW122" s="980">
        <f t="shared" si="61"/>
        <v>25.683317624882189</v>
      </c>
      <c r="AX122" s="980">
        <f t="shared" si="62"/>
        <v>25.340715502555366</v>
      </c>
      <c r="AY122" s="980">
        <f t="shared" si="63"/>
        <v>23.723361479694411</v>
      </c>
      <c r="AZ122" s="980">
        <f t="shared" si="64"/>
        <v>25.202000769526741</v>
      </c>
      <c r="BA122" s="980">
        <f t="shared" si="65"/>
        <v>21.179477816322802</v>
      </c>
      <c r="BB122" s="980">
        <f t="shared" si="66"/>
        <v>20.699500356887938</v>
      </c>
      <c r="BC122" s="980">
        <f t="shared" si="67"/>
        <v>20.757020757020758</v>
      </c>
      <c r="BD122" s="980">
        <f t="shared" si="68"/>
        <v>22.464143770520131</v>
      </c>
      <c r="BE122" s="980">
        <f t="shared" si="69"/>
        <v>17.50700280112045</v>
      </c>
      <c r="BF122" s="980">
        <f t="shared" si="70"/>
        <v>18.891026762287911</v>
      </c>
      <c r="BG122" s="980">
        <f t="shared" si="71"/>
        <v>19.253910950661854</v>
      </c>
      <c r="BH122" s="980">
        <f t="shared" si="72"/>
        <v>16.909029421711192</v>
      </c>
      <c r="BI122" s="980">
        <f t="shared" si="73"/>
        <v>13.164643528808343</v>
      </c>
      <c r="BJ122" s="1114">
        <f t="shared" si="74"/>
        <v>12.220670391061452</v>
      </c>
      <c r="BK122" s="1116">
        <f t="shared" si="75"/>
        <v>10.393209769617183</v>
      </c>
      <c r="BL122" s="1278">
        <f t="shared" si="76"/>
        <v>8.8296398891966774</v>
      </c>
      <c r="BM122" s="1941">
        <f t="shared" si="77"/>
        <v>7.5549450549450547</v>
      </c>
      <c r="BN122" s="2296">
        <f t="shared" si="78"/>
        <v>7.5692413555823155</v>
      </c>
      <c r="BO122" s="2364">
        <f t="shared" si="79"/>
        <v>7.3196235622168002</v>
      </c>
      <c r="BP122" s="2366">
        <f t="shared" si="79"/>
        <v>9.464808122526243</v>
      </c>
    </row>
    <row r="123" spans="1:68" s="142" customFormat="1" ht="15.75" customHeight="1" x14ac:dyDescent="0.3">
      <c r="A123" s="149" t="s">
        <v>230</v>
      </c>
      <c r="B123" s="185" t="s">
        <v>231</v>
      </c>
      <c r="C123" s="150" t="s">
        <v>252</v>
      </c>
      <c r="D123" s="938">
        <v>615</v>
      </c>
      <c r="E123" s="939">
        <v>580</v>
      </c>
      <c r="F123" s="940">
        <v>523</v>
      </c>
      <c r="G123" s="939">
        <v>552</v>
      </c>
      <c r="H123" s="940">
        <v>534</v>
      </c>
      <c r="I123" s="939">
        <v>494</v>
      </c>
      <c r="J123" s="940">
        <v>515</v>
      </c>
      <c r="K123" s="939">
        <v>462</v>
      </c>
      <c r="L123" s="953">
        <v>490</v>
      </c>
      <c r="M123" s="953">
        <v>501</v>
      </c>
      <c r="N123" s="953">
        <v>430</v>
      </c>
      <c r="O123" s="953">
        <v>411</v>
      </c>
      <c r="P123" s="954">
        <v>372</v>
      </c>
      <c r="Q123" s="954">
        <v>301</v>
      </c>
      <c r="R123" s="1107">
        <v>313</v>
      </c>
      <c r="S123" s="1108">
        <v>246</v>
      </c>
      <c r="T123" s="1273">
        <v>207</v>
      </c>
      <c r="U123" s="1937">
        <v>179</v>
      </c>
      <c r="V123" s="2291">
        <v>179</v>
      </c>
      <c r="W123" s="1367">
        <v>147</v>
      </c>
      <c r="X123" s="2351">
        <v>147</v>
      </c>
      <c r="Y123" s="1273"/>
      <c r="Z123" s="961">
        <v>35984</v>
      </c>
      <c r="AA123" s="962">
        <v>37114</v>
      </c>
      <c r="AB123" s="962">
        <v>30982</v>
      </c>
      <c r="AC123" s="962">
        <v>31402</v>
      </c>
      <c r="AD123" s="962">
        <v>31633</v>
      </c>
      <c r="AE123" s="962">
        <v>32181</v>
      </c>
      <c r="AF123" s="962">
        <v>32033</v>
      </c>
      <c r="AG123" s="962">
        <v>31657</v>
      </c>
      <c r="AH123" s="962">
        <v>31107</v>
      </c>
      <c r="AI123" s="962">
        <v>30831</v>
      </c>
      <c r="AJ123" s="962">
        <v>30355</v>
      </c>
      <c r="AK123" s="962">
        <v>28652</v>
      </c>
      <c r="AL123" s="962">
        <v>28857</v>
      </c>
      <c r="AM123" s="962">
        <v>28027</v>
      </c>
      <c r="AN123" s="1110">
        <v>27731</v>
      </c>
      <c r="AO123" s="1111">
        <v>27280</v>
      </c>
      <c r="AP123" s="1391">
        <v>26992</v>
      </c>
      <c r="AQ123" s="1934">
        <v>26675</v>
      </c>
      <c r="AR123" s="2289">
        <v>26734</v>
      </c>
      <c r="AS123" s="1368">
        <v>26205</v>
      </c>
      <c r="AT123" s="2353">
        <v>26125</v>
      </c>
      <c r="AU123" s="1274"/>
      <c r="AV123" s="979">
        <f t="shared" si="60"/>
        <v>17.090929301911963</v>
      </c>
      <c r="AW123" s="980">
        <f t="shared" si="61"/>
        <v>15.627526000969985</v>
      </c>
      <c r="AX123" s="980">
        <f t="shared" si="62"/>
        <v>16.880769479052354</v>
      </c>
      <c r="AY123" s="980">
        <f t="shared" si="63"/>
        <v>17.578498184828991</v>
      </c>
      <c r="AZ123" s="980">
        <f t="shared" si="64"/>
        <v>16.881105174975499</v>
      </c>
      <c r="BA123" s="980">
        <f t="shared" si="65"/>
        <v>15.350672757216991</v>
      </c>
      <c r="BB123" s="980">
        <f t="shared" si="66"/>
        <v>16.077170418006428</v>
      </c>
      <c r="BC123" s="980">
        <f t="shared" si="67"/>
        <v>14.593928672963326</v>
      </c>
      <c r="BD123" s="980">
        <f t="shared" si="68"/>
        <v>15.752081525058667</v>
      </c>
      <c r="BE123" s="980">
        <f t="shared" si="69"/>
        <v>16.249878369173885</v>
      </c>
      <c r="BF123" s="980">
        <f t="shared" si="70"/>
        <v>14.165705814528085</v>
      </c>
      <c r="BG123" s="980">
        <f t="shared" si="71"/>
        <v>14.344548373586488</v>
      </c>
      <c r="BH123" s="980">
        <f t="shared" si="72"/>
        <v>12.891152926499636</v>
      </c>
      <c r="BI123" s="980">
        <f t="shared" si="73"/>
        <v>10.739643914796448</v>
      </c>
      <c r="BJ123" s="1114">
        <f t="shared" si="74"/>
        <v>11.287007320327431</v>
      </c>
      <c r="BK123" s="1116">
        <f t="shared" si="75"/>
        <v>9.0175953079178885</v>
      </c>
      <c r="BL123" s="1278">
        <f t="shared" si="76"/>
        <v>7.6689389448725542</v>
      </c>
      <c r="BM123" s="1941">
        <f t="shared" si="77"/>
        <v>6.7104029990627936</v>
      </c>
      <c r="BN123" s="2296">
        <f t="shared" si="78"/>
        <v>6.6955936260941122</v>
      </c>
      <c r="BO123" s="2364">
        <f t="shared" si="79"/>
        <v>5.6096164854035484</v>
      </c>
      <c r="BP123" s="2366">
        <f t="shared" si="79"/>
        <v>5.6267942583732058</v>
      </c>
    </row>
    <row r="124" spans="1:68" s="142" customFormat="1" ht="15.75" customHeight="1" x14ac:dyDescent="0.3">
      <c r="A124" s="149" t="s">
        <v>238</v>
      </c>
      <c r="B124" s="185" t="s">
        <v>239</v>
      </c>
      <c r="C124" s="150" t="s">
        <v>252</v>
      </c>
      <c r="D124" s="938">
        <v>17</v>
      </c>
      <c r="E124" s="939">
        <v>7</v>
      </c>
      <c r="F124" s="940">
        <v>3</v>
      </c>
      <c r="G124" s="939">
        <v>8</v>
      </c>
      <c r="H124" s="940">
        <v>8</v>
      </c>
      <c r="I124" s="939">
        <v>13</v>
      </c>
      <c r="J124" s="940">
        <v>17</v>
      </c>
      <c r="K124" s="939">
        <v>21</v>
      </c>
      <c r="L124" s="953">
        <v>18</v>
      </c>
      <c r="M124" s="953">
        <v>12</v>
      </c>
      <c r="N124" s="953">
        <v>10</v>
      </c>
      <c r="O124" s="953">
        <v>16</v>
      </c>
      <c r="P124" s="954">
        <v>2</v>
      </c>
      <c r="Q124" s="954">
        <v>7</v>
      </c>
      <c r="R124" s="1107">
        <v>6</v>
      </c>
      <c r="S124" s="1108">
        <v>6</v>
      </c>
      <c r="T124" s="1273">
        <v>4</v>
      </c>
      <c r="U124" s="1937">
        <v>11</v>
      </c>
      <c r="V124" s="2291">
        <v>8</v>
      </c>
      <c r="W124" s="1367">
        <v>4</v>
      </c>
      <c r="X124" s="2351">
        <v>4</v>
      </c>
      <c r="Y124" s="1273"/>
      <c r="Z124" s="961">
        <v>1407</v>
      </c>
      <c r="AA124" s="962">
        <v>1416</v>
      </c>
      <c r="AB124" s="962">
        <v>1452</v>
      </c>
      <c r="AC124" s="962">
        <v>1432</v>
      </c>
      <c r="AD124" s="962">
        <v>1430</v>
      </c>
      <c r="AE124" s="962">
        <v>1389</v>
      </c>
      <c r="AF124" s="962">
        <v>1364</v>
      </c>
      <c r="AG124" s="962">
        <v>1390</v>
      </c>
      <c r="AH124" s="962">
        <v>1415</v>
      </c>
      <c r="AI124" s="962">
        <v>1464</v>
      </c>
      <c r="AJ124" s="962">
        <v>1452</v>
      </c>
      <c r="AK124" s="962">
        <v>1515</v>
      </c>
      <c r="AL124" s="962">
        <v>1474</v>
      </c>
      <c r="AM124" s="962">
        <v>1518</v>
      </c>
      <c r="AN124" s="1110">
        <v>1505</v>
      </c>
      <c r="AO124" s="1111">
        <v>1495</v>
      </c>
      <c r="AP124" s="1391">
        <v>1561</v>
      </c>
      <c r="AQ124" s="1934">
        <v>1596</v>
      </c>
      <c r="AR124" s="2289">
        <v>1580</v>
      </c>
      <c r="AS124" s="1368">
        <v>1538</v>
      </c>
      <c r="AT124" s="2353">
        <v>1554</v>
      </c>
      <c r="AU124" s="1274"/>
      <c r="AV124" s="979">
        <f t="shared" si="60"/>
        <v>12.082444918265814</v>
      </c>
      <c r="AW124" s="980">
        <f t="shared" si="61"/>
        <v>4.9435028248587578</v>
      </c>
      <c r="AX124" s="980">
        <f t="shared" si="62"/>
        <v>2.0661157024793391</v>
      </c>
      <c r="AY124" s="980">
        <f t="shared" si="63"/>
        <v>5.5865921787709496</v>
      </c>
      <c r="AZ124" s="980">
        <f t="shared" si="64"/>
        <v>5.5944055944055942</v>
      </c>
      <c r="BA124" s="980">
        <f t="shared" si="65"/>
        <v>9.3592512598992084</v>
      </c>
      <c r="BB124" s="980">
        <f t="shared" si="66"/>
        <v>12.463343108504398</v>
      </c>
      <c r="BC124" s="980">
        <f t="shared" si="67"/>
        <v>15.107913669064748</v>
      </c>
      <c r="BD124" s="980">
        <f t="shared" si="68"/>
        <v>12.720848056537102</v>
      </c>
      <c r="BE124" s="980">
        <f t="shared" si="69"/>
        <v>8.1967213114754109</v>
      </c>
      <c r="BF124" s="980">
        <f t="shared" si="70"/>
        <v>6.887052341597796</v>
      </c>
      <c r="BG124" s="980">
        <f t="shared" si="71"/>
        <v>10.561056105610561</v>
      </c>
      <c r="BH124" s="980">
        <f t="shared" si="72"/>
        <v>1.3568521031207597</v>
      </c>
      <c r="BI124" s="980">
        <f t="shared" si="73"/>
        <v>4.6113306982872198</v>
      </c>
      <c r="BJ124" s="1114">
        <f t="shared" si="74"/>
        <v>3.986710963455149</v>
      </c>
      <c r="BK124" s="1116">
        <f t="shared" si="75"/>
        <v>4.0133779264214047</v>
      </c>
      <c r="BL124" s="1278">
        <f t="shared" si="76"/>
        <v>2.5624599615631003</v>
      </c>
      <c r="BM124" s="1941">
        <f t="shared" si="77"/>
        <v>6.8922305764411025</v>
      </c>
      <c r="BN124" s="2296">
        <f t="shared" si="78"/>
        <v>5.0632911392405067</v>
      </c>
      <c r="BO124" s="2364">
        <f t="shared" si="79"/>
        <v>2.6007802340702213</v>
      </c>
      <c r="BP124" s="2366">
        <f t="shared" si="79"/>
        <v>2.574002574002574</v>
      </c>
    </row>
    <row r="125" spans="1:68" s="142" customFormat="1" ht="15.75" customHeight="1" x14ac:dyDescent="0.3">
      <c r="A125" s="155" t="s">
        <v>240</v>
      </c>
      <c r="B125" s="187" t="s">
        <v>241</v>
      </c>
      <c r="C125" s="156" t="s">
        <v>255</v>
      </c>
      <c r="D125" s="1398">
        <v>43</v>
      </c>
      <c r="E125" s="1399">
        <v>41</v>
      </c>
      <c r="F125" s="1400">
        <v>47</v>
      </c>
      <c r="G125" s="1399">
        <v>54</v>
      </c>
      <c r="H125" s="1400">
        <v>56</v>
      </c>
      <c r="I125" s="1399">
        <v>49</v>
      </c>
      <c r="J125" s="1400">
        <v>56</v>
      </c>
      <c r="K125" s="1399">
        <v>55</v>
      </c>
      <c r="L125" s="1401">
        <v>65</v>
      </c>
      <c r="M125" s="1401">
        <v>79</v>
      </c>
      <c r="N125" s="1401">
        <v>64</v>
      </c>
      <c r="O125" s="1401">
        <v>41</v>
      </c>
      <c r="P125" s="1402">
        <v>43</v>
      </c>
      <c r="Q125" s="1402">
        <v>38</v>
      </c>
      <c r="R125" s="1403">
        <v>42</v>
      </c>
      <c r="S125" s="1404">
        <v>25</v>
      </c>
      <c r="T125" s="1405">
        <v>34</v>
      </c>
      <c r="U125" s="1938">
        <v>25</v>
      </c>
      <c r="V125" s="1403">
        <v>21</v>
      </c>
      <c r="W125" s="2359">
        <v>19</v>
      </c>
      <c r="X125" s="2351">
        <v>23</v>
      </c>
      <c r="Y125" s="1273"/>
      <c r="Z125" s="1406">
        <v>1509</v>
      </c>
      <c r="AA125" s="1407">
        <v>1534</v>
      </c>
      <c r="AB125" s="1407">
        <v>1589</v>
      </c>
      <c r="AC125" s="1407">
        <v>1584</v>
      </c>
      <c r="AD125" s="1407">
        <v>1540</v>
      </c>
      <c r="AE125" s="1407">
        <v>1510</v>
      </c>
      <c r="AF125" s="1407">
        <v>1513</v>
      </c>
      <c r="AG125" s="1407">
        <v>1491</v>
      </c>
      <c r="AH125" s="1407">
        <v>1480</v>
      </c>
      <c r="AI125" s="1407">
        <v>1532</v>
      </c>
      <c r="AJ125" s="1407">
        <v>1516</v>
      </c>
      <c r="AK125" s="1407">
        <v>1451</v>
      </c>
      <c r="AL125" s="1407">
        <v>1685</v>
      </c>
      <c r="AM125" s="1407">
        <v>1674</v>
      </c>
      <c r="AN125" s="1408">
        <v>1732</v>
      </c>
      <c r="AO125" s="1409">
        <v>1715</v>
      </c>
      <c r="AP125" s="1392">
        <v>1776</v>
      </c>
      <c r="AQ125" s="1935">
        <v>1685</v>
      </c>
      <c r="AR125" s="1408">
        <v>1752</v>
      </c>
      <c r="AS125" s="2360">
        <v>1844</v>
      </c>
      <c r="AT125" s="2353">
        <v>1849</v>
      </c>
      <c r="AU125" s="1274"/>
      <c r="AV125" s="1394">
        <f t="shared" si="60"/>
        <v>28.495692511597085</v>
      </c>
      <c r="AW125" s="1395">
        <f t="shared" si="61"/>
        <v>26.727509778357238</v>
      </c>
      <c r="AX125" s="1395">
        <f t="shared" si="62"/>
        <v>29.578351164254247</v>
      </c>
      <c r="AY125" s="1395">
        <f t="shared" si="63"/>
        <v>34.090909090909086</v>
      </c>
      <c r="AZ125" s="1395">
        <f t="shared" si="64"/>
        <v>36.36363636363636</v>
      </c>
      <c r="BA125" s="1395">
        <f t="shared" si="65"/>
        <v>32.450331125827809</v>
      </c>
      <c r="BB125" s="1395">
        <f t="shared" si="66"/>
        <v>37.012557832121615</v>
      </c>
      <c r="BC125" s="1395">
        <f t="shared" si="67"/>
        <v>36.887994634473507</v>
      </c>
      <c r="BD125" s="1395">
        <f t="shared" si="68"/>
        <v>43.918918918918919</v>
      </c>
      <c r="BE125" s="1395">
        <f t="shared" si="69"/>
        <v>51.566579634464752</v>
      </c>
      <c r="BF125" s="1395">
        <f t="shared" si="70"/>
        <v>42.21635883905013</v>
      </c>
      <c r="BG125" s="1395">
        <f t="shared" si="71"/>
        <v>28.256374913852515</v>
      </c>
      <c r="BH125" s="1395">
        <f t="shared" si="72"/>
        <v>25.519287833827892</v>
      </c>
      <c r="BI125" s="1395">
        <f t="shared" si="73"/>
        <v>22.700119474313023</v>
      </c>
      <c r="BJ125" s="1396">
        <f t="shared" si="74"/>
        <v>24.24942263279446</v>
      </c>
      <c r="BK125" s="1397">
        <f t="shared" si="75"/>
        <v>14.577259475218659</v>
      </c>
      <c r="BL125" s="1393">
        <f t="shared" si="76"/>
        <v>19.144144144144143</v>
      </c>
      <c r="BM125" s="1942">
        <f t="shared" si="77"/>
        <v>14.836795252225519</v>
      </c>
      <c r="BN125" s="2297">
        <f t="shared" si="78"/>
        <v>11.986301369863012</v>
      </c>
      <c r="BO125" s="2365">
        <f t="shared" si="79"/>
        <v>10.303687635574839</v>
      </c>
      <c r="BP125" s="2366">
        <f t="shared" si="79"/>
        <v>12.439156300703083</v>
      </c>
    </row>
    <row r="126" spans="1:68" s="142" customFormat="1" ht="15.75" customHeight="1" x14ac:dyDescent="0.3">
      <c r="A126" s="274"/>
      <c r="B126" s="231"/>
      <c r="C126" s="275"/>
      <c r="D126" s="152"/>
      <c r="E126" s="151"/>
      <c r="F126" s="152"/>
      <c r="G126" s="276"/>
      <c r="H126" s="152"/>
      <c r="I126" s="151"/>
      <c r="J126" s="152"/>
      <c r="K126" s="151"/>
      <c r="L126" s="277"/>
      <c r="M126" s="277"/>
      <c r="N126" s="277"/>
      <c r="O126" s="277"/>
    </row>
    <row r="127" spans="1:68" s="142" customFormat="1" ht="15.75" customHeight="1" x14ac:dyDescent="0.3">
      <c r="A127" s="274" t="s">
        <v>254</v>
      </c>
      <c r="B127" s="231"/>
      <c r="C127" s="275"/>
      <c r="D127" s="967">
        <v>1749</v>
      </c>
      <c r="E127" s="968">
        <v>1740</v>
      </c>
      <c r="F127" s="969">
        <v>1696</v>
      </c>
      <c r="G127" s="968">
        <v>1685</v>
      </c>
      <c r="H127" s="969">
        <v>1606</v>
      </c>
      <c r="I127" s="968">
        <v>1592</v>
      </c>
      <c r="J127" s="969">
        <v>1481</v>
      </c>
      <c r="K127" s="968">
        <v>1559</v>
      </c>
      <c r="L127" s="947">
        <v>1590</v>
      </c>
      <c r="M127" s="947">
        <v>1573</v>
      </c>
      <c r="N127" s="947">
        <v>1570</v>
      </c>
      <c r="O127" s="947">
        <v>1559</v>
      </c>
      <c r="P127" s="962">
        <v>1312</v>
      </c>
      <c r="Q127" s="962">
        <v>1151</v>
      </c>
      <c r="R127" s="1110">
        <v>1076</v>
      </c>
      <c r="S127" s="2292">
        <v>964</v>
      </c>
      <c r="T127" s="2292">
        <v>855</v>
      </c>
      <c r="U127" s="2292">
        <v>811</v>
      </c>
      <c r="V127" s="2292">
        <v>671</v>
      </c>
      <c r="W127" s="1368">
        <v>679</v>
      </c>
      <c r="X127" s="2353">
        <v>646</v>
      </c>
      <c r="Y127" s="1274"/>
      <c r="Z127" s="961">
        <v>72429</v>
      </c>
      <c r="AA127" s="962">
        <v>73349</v>
      </c>
      <c r="AB127" s="962">
        <v>79212</v>
      </c>
      <c r="AC127" s="962">
        <v>80732</v>
      </c>
      <c r="AD127" s="962">
        <v>81792</v>
      </c>
      <c r="AE127" s="962">
        <v>82810</v>
      </c>
      <c r="AF127" s="962">
        <v>83782</v>
      </c>
      <c r="AG127" s="962">
        <v>83985</v>
      </c>
      <c r="AH127" s="962">
        <v>83370</v>
      </c>
      <c r="AI127" s="962">
        <v>84088</v>
      </c>
      <c r="AJ127" s="962">
        <v>83494</v>
      </c>
      <c r="AK127" s="962">
        <v>84177</v>
      </c>
      <c r="AL127" s="962">
        <v>87440</v>
      </c>
      <c r="AM127" s="962">
        <v>86293</v>
      </c>
      <c r="AN127" s="1110">
        <v>86083</v>
      </c>
      <c r="AO127" s="2361">
        <f>'Teen births'!H127</f>
        <v>85427</v>
      </c>
      <c r="AP127" s="2361">
        <v>86083</v>
      </c>
      <c r="AQ127" s="2361">
        <v>85357</v>
      </c>
      <c r="AR127" s="2361">
        <v>85169</v>
      </c>
      <c r="AS127" s="2361">
        <v>85142</v>
      </c>
      <c r="AT127" s="2353">
        <v>85427</v>
      </c>
      <c r="AU127" s="1274"/>
      <c r="AV127" s="979">
        <f t="shared" ref="AV127:AV131" si="80">IF(Z127=0,"NA",(D127/Z127)*1000)</f>
        <v>24.147786107774508</v>
      </c>
      <c r="AW127" s="980">
        <f t="shared" ref="AW127:AW131" si="81">IF(AA127=0,"NA",(E127/AA127)*1000)</f>
        <v>23.722204801701455</v>
      </c>
      <c r="AX127" s="980">
        <f t="shared" ref="AX127:AX131" si="82">IF(AB127=0,"NA",(F127/AB127)*1000)</f>
        <v>21.410897338787052</v>
      </c>
      <c r="AY127" s="980">
        <f t="shared" ref="AY127:AY131" si="83">IF(AC127=0,"NA",(G127/AC127)*1000)</f>
        <v>20.871525541297132</v>
      </c>
      <c r="AZ127" s="980">
        <f t="shared" ref="AZ127:AZ131" si="84">IF(AD127=0,"NA",(H127/AD127)*1000)</f>
        <v>19.635172143974959</v>
      </c>
      <c r="BA127" s="980">
        <f t="shared" ref="BA127:BA131" si="85">IF(AE127=0,"NA",(I127/AE127)*1000)</f>
        <v>19.224731312643399</v>
      </c>
      <c r="BB127" s="980">
        <f t="shared" ref="BB127:BB131" si="86">IF(AF127=0,"NA",(J127/AF127)*1000)</f>
        <v>17.676827958272657</v>
      </c>
      <c r="BC127" s="980">
        <f t="shared" ref="BC127:BC131" si="87">IF(AG127=0,"NA",(K127/AG127)*1000)</f>
        <v>18.562838602131333</v>
      </c>
      <c r="BD127" s="980">
        <f t="shared" ref="BD127:BD131" si="88">IF(AH127=0,"NA",(L127/AH127)*1000)</f>
        <v>19.071608492263405</v>
      </c>
      <c r="BE127" s="980">
        <f t="shared" ref="BE127:BE131" si="89">IF(AI127=0,"NA",(M127/AI127)*1000)</f>
        <v>18.706593092950243</v>
      </c>
      <c r="BF127" s="980">
        <f t="shared" ref="BF127:BF131" si="90">IF(AJ127=0,"NA",(N127/AJ127)*1000)</f>
        <v>18.80374637698517</v>
      </c>
      <c r="BG127" s="980">
        <f t="shared" ref="BG127:BG131" si="91">IF(AK127=0,"NA",(O127/AK127)*1000)</f>
        <v>18.520498473454744</v>
      </c>
      <c r="BH127" s="980">
        <f t="shared" ref="BH127:BH131" si="92">IF(AL127=0,"NA",(P127/AL127)*1000)</f>
        <v>15.004574565416284</v>
      </c>
      <c r="BI127" s="980">
        <f t="shared" ref="BI127:BI131" si="93">IF(AM127=0,"NA",(Q127/AM127)*1000)</f>
        <v>13.338277728205068</v>
      </c>
      <c r="BJ127" s="1279">
        <f t="shared" ref="BJ127:BJ131" si="94">IF(AN127=0,"NA",(R127/AN127)*1000)</f>
        <v>12.499564373918194</v>
      </c>
      <c r="BK127" s="1280">
        <f t="shared" ref="BK127:BK131" si="95">IF(AO127=0,"NA",(S127/AO127)*1000)</f>
        <v>11.284488510658223</v>
      </c>
      <c r="BL127" s="1943">
        <f t="shared" ref="BL127:BN131" si="96">IF(AP127=0,"NA",(T127/AP127)*1000)</f>
        <v>9.9322746651487517</v>
      </c>
      <c r="BM127" s="1943">
        <f t="shared" si="96"/>
        <v>9.50127113183453</v>
      </c>
      <c r="BN127" s="2364">
        <f t="shared" si="96"/>
        <v>7.8784534278904301</v>
      </c>
      <c r="BO127" s="2367">
        <f t="shared" ref="BO127:BP131" si="97">(W127/AS127)*1000</f>
        <v>7.9749124991191183</v>
      </c>
      <c r="BP127" s="2366">
        <f t="shared" si="97"/>
        <v>7.5620120102543691</v>
      </c>
    </row>
    <row r="128" spans="1:68" s="142" customFormat="1" ht="15.75" customHeight="1" x14ac:dyDescent="0.3">
      <c r="A128" s="274" t="s">
        <v>252</v>
      </c>
      <c r="B128" s="231"/>
      <c r="C128" s="275"/>
      <c r="D128" s="967">
        <v>3368</v>
      </c>
      <c r="E128" s="968">
        <v>3337</v>
      </c>
      <c r="F128" s="969">
        <v>3147</v>
      </c>
      <c r="G128" s="968">
        <v>3071</v>
      </c>
      <c r="H128" s="969">
        <v>2976</v>
      </c>
      <c r="I128" s="968">
        <v>2773</v>
      </c>
      <c r="J128" s="969">
        <v>2805</v>
      </c>
      <c r="K128" s="968">
        <v>2724</v>
      </c>
      <c r="L128" s="947">
        <v>2741</v>
      </c>
      <c r="M128" s="947">
        <v>2746</v>
      </c>
      <c r="N128" s="947">
        <v>2561</v>
      </c>
      <c r="O128" s="947">
        <v>2383</v>
      </c>
      <c r="P128" s="962">
        <v>2157</v>
      </c>
      <c r="Q128" s="962">
        <v>1863</v>
      </c>
      <c r="R128" s="1110">
        <v>1692</v>
      </c>
      <c r="S128" s="2292">
        <v>1419</v>
      </c>
      <c r="T128" s="2292">
        <v>1210</v>
      </c>
      <c r="U128" s="2292">
        <v>1162</v>
      </c>
      <c r="V128" s="2292">
        <v>1042</v>
      </c>
      <c r="W128" s="1368">
        <v>982</v>
      </c>
      <c r="X128" s="2353">
        <v>926</v>
      </c>
      <c r="Y128" s="1274"/>
      <c r="Z128" s="961">
        <v>128725</v>
      </c>
      <c r="AA128" s="962">
        <v>131262</v>
      </c>
      <c r="AB128" s="962">
        <v>126168</v>
      </c>
      <c r="AC128" s="962">
        <v>126899</v>
      </c>
      <c r="AD128" s="962">
        <v>127924</v>
      </c>
      <c r="AE128" s="962">
        <v>130166</v>
      </c>
      <c r="AF128" s="962">
        <v>129942</v>
      </c>
      <c r="AG128" s="962">
        <v>129032</v>
      </c>
      <c r="AH128" s="962">
        <v>127717</v>
      </c>
      <c r="AI128" s="962">
        <v>127702</v>
      </c>
      <c r="AJ128" s="962">
        <v>126592</v>
      </c>
      <c r="AK128" s="962">
        <v>123427</v>
      </c>
      <c r="AL128" s="962">
        <v>121689</v>
      </c>
      <c r="AM128" s="962">
        <v>118821</v>
      </c>
      <c r="AN128" s="1110">
        <v>116990</v>
      </c>
      <c r="AO128" s="2361">
        <f>'Teen births'!H128</f>
        <v>112008</v>
      </c>
      <c r="AP128" s="2361">
        <v>116990</v>
      </c>
      <c r="AQ128" s="2361">
        <v>113543</v>
      </c>
      <c r="AR128" s="2361">
        <v>112941</v>
      </c>
      <c r="AS128" s="2361">
        <v>112350</v>
      </c>
      <c r="AT128" s="2353">
        <v>112008</v>
      </c>
      <c r="AU128" s="1274"/>
      <c r="AV128" s="979">
        <f t="shared" si="80"/>
        <v>26.16430374830064</v>
      </c>
      <c r="AW128" s="980">
        <f t="shared" si="81"/>
        <v>25.422437567612867</v>
      </c>
      <c r="AX128" s="980">
        <f t="shared" si="82"/>
        <v>24.942933231881302</v>
      </c>
      <c r="AY128" s="980">
        <f t="shared" si="83"/>
        <v>24.200348308497308</v>
      </c>
      <c r="AZ128" s="980">
        <f t="shared" si="84"/>
        <v>23.263812888902788</v>
      </c>
      <c r="BA128" s="980">
        <f t="shared" si="85"/>
        <v>21.303566215447969</v>
      </c>
      <c r="BB128" s="980">
        <f t="shared" si="86"/>
        <v>21.586554001015838</v>
      </c>
      <c r="BC128" s="980">
        <f t="shared" si="87"/>
        <v>21.111042222084446</v>
      </c>
      <c r="BD128" s="980">
        <f t="shared" si="88"/>
        <v>21.461512562932111</v>
      </c>
      <c r="BE128" s="980">
        <f t="shared" si="89"/>
        <v>21.50318710748461</v>
      </c>
      <c r="BF128" s="980">
        <f t="shared" si="90"/>
        <v>20.230346309403437</v>
      </c>
      <c r="BG128" s="980">
        <f t="shared" si="91"/>
        <v>19.306958769150995</v>
      </c>
      <c r="BH128" s="980">
        <f t="shared" si="92"/>
        <v>17.725513398910337</v>
      </c>
      <c r="BI128" s="980">
        <f t="shared" si="93"/>
        <v>15.679046633170904</v>
      </c>
      <c r="BJ128" s="1279">
        <f t="shared" si="94"/>
        <v>14.462774596119328</v>
      </c>
      <c r="BK128" s="1280">
        <f t="shared" si="95"/>
        <v>12.668737947289479</v>
      </c>
      <c r="BL128" s="1943">
        <f t="shared" si="96"/>
        <v>10.34276433883238</v>
      </c>
      <c r="BM128" s="1943">
        <f t="shared" si="96"/>
        <v>10.234008261187393</v>
      </c>
      <c r="BN128" s="2364">
        <f t="shared" si="96"/>
        <v>9.2260560823792961</v>
      </c>
      <c r="BO128" s="2367">
        <f t="shared" si="97"/>
        <v>8.7405429461504216</v>
      </c>
      <c r="BP128" s="2366">
        <f t="shared" si="97"/>
        <v>8.2672666238125849</v>
      </c>
    </row>
    <row r="129" spans="1:68" s="142" customFormat="1" ht="15.75" customHeight="1" x14ac:dyDescent="0.3">
      <c r="A129" s="274" t="s">
        <v>255</v>
      </c>
      <c r="B129" s="231"/>
      <c r="C129" s="275"/>
      <c r="D129" s="967">
        <v>2385</v>
      </c>
      <c r="E129" s="968">
        <v>2477</v>
      </c>
      <c r="F129" s="969">
        <v>2452</v>
      </c>
      <c r="G129" s="968">
        <v>2490</v>
      </c>
      <c r="H129" s="969">
        <v>2369</v>
      </c>
      <c r="I129" s="968">
        <v>2347</v>
      </c>
      <c r="J129" s="969">
        <v>2449</v>
      </c>
      <c r="K129" s="968">
        <v>2459</v>
      </c>
      <c r="L129" s="947">
        <v>2629</v>
      </c>
      <c r="M129" s="947">
        <v>2585</v>
      </c>
      <c r="N129" s="947">
        <v>2365</v>
      </c>
      <c r="O129" s="947">
        <v>2112</v>
      </c>
      <c r="P129" s="962">
        <v>1928</v>
      </c>
      <c r="Q129" s="962">
        <v>1797</v>
      </c>
      <c r="R129" s="1110">
        <v>1724</v>
      </c>
      <c r="S129" s="2292">
        <v>1442</v>
      </c>
      <c r="T129" s="2292">
        <v>1437</v>
      </c>
      <c r="U129" s="2292">
        <v>1310</v>
      </c>
      <c r="V129" s="2292">
        <v>1294</v>
      </c>
      <c r="W129" s="1368">
        <v>1213</v>
      </c>
      <c r="X129" s="2353">
        <v>1200</v>
      </c>
      <c r="Y129" s="1274"/>
      <c r="Z129" s="961">
        <v>151287</v>
      </c>
      <c r="AA129" s="962">
        <v>154494</v>
      </c>
      <c r="AB129" s="962">
        <v>161605</v>
      </c>
      <c r="AC129" s="962">
        <v>169393</v>
      </c>
      <c r="AD129" s="962">
        <v>173581</v>
      </c>
      <c r="AE129" s="962">
        <v>177265</v>
      </c>
      <c r="AF129" s="962">
        <v>180682</v>
      </c>
      <c r="AG129" s="962">
        <v>183555</v>
      </c>
      <c r="AH129" s="962">
        <v>183011</v>
      </c>
      <c r="AI129" s="962">
        <v>186356</v>
      </c>
      <c r="AJ129" s="962">
        <v>186572</v>
      </c>
      <c r="AK129" s="962">
        <v>190395</v>
      </c>
      <c r="AL129" s="962">
        <v>198927</v>
      </c>
      <c r="AM129" s="962">
        <v>203315</v>
      </c>
      <c r="AN129" s="1110">
        <v>207128</v>
      </c>
      <c r="AO129" s="2361">
        <f>'Teen births'!H129</f>
        <v>224070</v>
      </c>
      <c r="AP129" s="2361">
        <v>207128</v>
      </c>
      <c r="AQ129" s="2361">
        <v>215641</v>
      </c>
      <c r="AR129" s="2361">
        <v>218522</v>
      </c>
      <c r="AS129" s="2361">
        <v>220774</v>
      </c>
      <c r="AT129" s="2353">
        <v>224070</v>
      </c>
      <c r="AU129" s="1274"/>
      <c r="AV129" s="979">
        <f t="shared" si="80"/>
        <v>15.764738543298501</v>
      </c>
      <c r="AW129" s="980">
        <f t="shared" si="81"/>
        <v>16.032985099744973</v>
      </c>
      <c r="AX129" s="980">
        <f t="shared" si="82"/>
        <v>15.172797871352989</v>
      </c>
      <c r="AY129" s="980">
        <f t="shared" si="83"/>
        <v>14.699544845418641</v>
      </c>
      <c r="AZ129" s="980">
        <f t="shared" si="84"/>
        <v>13.647807075659202</v>
      </c>
      <c r="BA129" s="980">
        <f t="shared" si="85"/>
        <v>13.240064310495585</v>
      </c>
      <c r="BB129" s="980">
        <f t="shared" si="86"/>
        <v>13.554200197031248</v>
      </c>
      <c r="BC129" s="980">
        <f t="shared" si="87"/>
        <v>13.39652965051347</v>
      </c>
      <c r="BD129" s="980">
        <f t="shared" si="88"/>
        <v>14.365256733201829</v>
      </c>
      <c r="BE129" s="980">
        <f t="shared" si="89"/>
        <v>13.871300092296465</v>
      </c>
      <c r="BF129" s="980">
        <f t="shared" si="90"/>
        <v>12.676071436228373</v>
      </c>
      <c r="BG129" s="980">
        <f t="shared" si="91"/>
        <v>11.092728275427401</v>
      </c>
      <c r="BH129" s="980">
        <f t="shared" si="92"/>
        <v>9.6919975669466698</v>
      </c>
      <c r="BI129" s="980">
        <f t="shared" si="93"/>
        <v>8.8385018321324047</v>
      </c>
      <c r="BJ129" s="1279">
        <f t="shared" si="94"/>
        <v>8.3233556061952019</v>
      </c>
      <c r="BK129" s="1280">
        <f t="shared" si="95"/>
        <v>6.4354889097157137</v>
      </c>
      <c r="BL129" s="1943">
        <f t="shared" si="96"/>
        <v>6.9377389826580664</v>
      </c>
      <c r="BM129" s="1943">
        <f t="shared" si="96"/>
        <v>6.0749115427956646</v>
      </c>
      <c r="BN129" s="2364">
        <f t="shared" si="96"/>
        <v>5.9216005711095452</v>
      </c>
      <c r="BO129" s="2367">
        <f t="shared" si="97"/>
        <v>5.494306394774747</v>
      </c>
      <c r="BP129" s="2366">
        <f t="shared" si="97"/>
        <v>5.3554692729950464</v>
      </c>
    </row>
    <row r="130" spans="1:68" s="142" customFormat="1" ht="15.75" customHeight="1" x14ac:dyDescent="0.3">
      <c r="A130" s="274" t="s">
        <v>253</v>
      </c>
      <c r="B130" s="231"/>
      <c r="C130" s="275"/>
      <c r="D130" s="967">
        <v>1689</v>
      </c>
      <c r="E130" s="968">
        <v>1661</v>
      </c>
      <c r="F130" s="969">
        <v>1644</v>
      </c>
      <c r="G130" s="968">
        <v>1526</v>
      </c>
      <c r="H130" s="969">
        <v>1504</v>
      </c>
      <c r="I130" s="968">
        <v>1550</v>
      </c>
      <c r="J130" s="969">
        <v>1469</v>
      </c>
      <c r="K130" s="968">
        <v>1445</v>
      </c>
      <c r="L130" s="947">
        <v>1512</v>
      </c>
      <c r="M130" s="947">
        <v>1588</v>
      </c>
      <c r="N130" s="947">
        <v>1564</v>
      </c>
      <c r="O130" s="947">
        <v>1426</v>
      </c>
      <c r="P130" s="962">
        <v>1225</v>
      </c>
      <c r="Q130" s="962">
        <v>1084</v>
      </c>
      <c r="R130" s="1110">
        <v>967</v>
      </c>
      <c r="S130" s="2292">
        <v>877</v>
      </c>
      <c r="T130" s="2292">
        <v>845</v>
      </c>
      <c r="U130" s="2292">
        <v>741</v>
      </c>
      <c r="V130" s="2292">
        <v>685</v>
      </c>
      <c r="W130" s="1368">
        <v>684</v>
      </c>
      <c r="X130" s="2353">
        <v>653</v>
      </c>
      <c r="Y130" s="1274"/>
      <c r="Z130" s="961">
        <v>68837</v>
      </c>
      <c r="AA130" s="962">
        <v>68970</v>
      </c>
      <c r="AB130" s="962">
        <v>73005</v>
      </c>
      <c r="AC130" s="962">
        <v>72374</v>
      </c>
      <c r="AD130" s="962">
        <v>72580</v>
      </c>
      <c r="AE130" s="962">
        <v>73084</v>
      </c>
      <c r="AF130" s="962">
        <v>72997</v>
      </c>
      <c r="AG130" s="962">
        <v>73368</v>
      </c>
      <c r="AH130" s="962">
        <v>72167</v>
      </c>
      <c r="AI130" s="962">
        <v>71830</v>
      </c>
      <c r="AJ130" s="962">
        <v>71046</v>
      </c>
      <c r="AK130" s="962">
        <v>71941</v>
      </c>
      <c r="AL130" s="962">
        <v>73968</v>
      </c>
      <c r="AM130" s="962">
        <v>73083</v>
      </c>
      <c r="AN130" s="1110">
        <v>72177</v>
      </c>
      <c r="AO130" s="2361">
        <f>'Teen births'!H130</f>
        <v>70007</v>
      </c>
      <c r="AP130" s="2361">
        <v>72177</v>
      </c>
      <c r="AQ130" s="2361">
        <v>71052</v>
      </c>
      <c r="AR130" s="2361">
        <v>70393</v>
      </c>
      <c r="AS130" s="2361">
        <v>70121</v>
      </c>
      <c r="AT130" s="2353">
        <v>70007</v>
      </c>
      <c r="AU130" s="1274"/>
      <c r="AV130" s="979">
        <f t="shared" si="80"/>
        <v>24.536223252030158</v>
      </c>
      <c r="AW130" s="980">
        <f t="shared" si="81"/>
        <v>24.082934609250401</v>
      </c>
      <c r="AX130" s="980">
        <f t="shared" si="82"/>
        <v>22.519005547565236</v>
      </c>
      <c r="AY130" s="980">
        <f t="shared" si="83"/>
        <v>21.08491999889463</v>
      </c>
      <c r="AZ130" s="980">
        <f t="shared" si="84"/>
        <v>20.721961972995317</v>
      </c>
      <c r="BA130" s="980">
        <f t="shared" si="85"/>
        <v>21.208472442668711</v>
      </c>
      <c r="BB130" s="980">
        <f t="shared" si="86"/>
        <v>20.124114689644781</v>
      </c>
      <c r="BC130" s="980">
        <f t="shared" si="87"/>
        <v>19.695234979827717</v>
      </c>
      <c r="BD130" s="980">
        <f t="shared" si="88"/>
        <v>20.951404381504013</v>
      </c>
      <c r="BE130" s="980">
        <f t="shared" si="89"/>
        <v>22.107754420158706</v>
      </c>
      <c r="BF130" s="980">
        <f t="shared" si="90"/>
        <v>22.013906483123609</v>
      </c>
      <c r="BG130" s="980">
        <f t="shared" si="91"/>
        <v>19.821798418148205</v>
      </c>
      <c r="BH130" s="980">
        <f t="shared" si="92"/>
        <v>16.561215660826303</v>
      </c>
      <c r="BI130" s="980">
        <f t="shared" si="93"/>
        <v>14.832450775146068</v>
      </c>
      <c r="BJ130" s="1279">
        <f t="shared" si="94"/>
        <v>13.397619740360504</v>
      </c>
      <c r="BK130" s="1280">
        <f t="shared" si="95"/>
        <v>12.527318696701759</v>
      </c>
      <c r="BL130" s="1943">
        <f t="shared" si="96"/>
        <v>11.707330590077172</v>
      </c>
      <c r="BM130" s="1943">
        <f t="shared" si="96"/>
        <v>10.428981590947476</v>
      </c>
      <c r="BN130" s="2364">
        <f t="shared" si="96"/>
        <v>9.7310812154617636</v>
      </c>
      <c r="BO130" s="2367">
        <f t="shared" si="97"/>
        <v>9.754567105432038</v>
      </c>
      <c r="BP130" s="2366">
        <f t="shared" si="97"/>
        <v>9.3276386647049581</v>
      </c>
    </row>
    <row r="131" spans="1:68" s="142" customFormat="1" ht="15.75" customHeight="1" x14ac:dyDescent="0.3">
      <c r="A131" s="274" t="s">
        <v>256</v>
      </c>
      <c r="B131" s="231"/>
      <c r="C131" s="275"/>
      <c r="D131" s="967">
        <v>911</v>
      </c>
      <c r="E131" s="968">
        <v>875</v>
      </c>
      <c r="F131" s="969">
        <v>864</v>
      </c>
      <c r="G131" s="968">
        <v>805</v>
      </c>
      <c r="H131" s="969">
        <v>740</v>
      </c>
      <c r="I131" s="968">
        <v>679</v>
      </c>
      <c r="J131" s="969">
        <v>710</v>
      </c>
      <c r="K131" s="968">
        <v>718</v>
      </c>
      <c r="L131" s="947">
        <v>724</v>
      </c>
      <c r="M131" s="947">
        <v>814</v>
      </c>
      <c r="N131" s="947">
        <v>842</v>
      </c>
      <c r="O131" s="947">
        <v>804</v>
      </c>
      <c r="P131" s="962">
        <v>822</v>
      </c>
      <c r="Q131" s="962">
        <v>677</v>
      </c>
      <c r="R131" s="1110">
        <v>675</v>
      </c>
      <c r="S131" s="2292">
        <v>614</v>
      </c>
      <c r="T131" s="2292">
        <v>543</v>
      </c>
      <c r="U131" s="2292">
        <v>520</v>
      </c>
      <c r="V131" s="2292">
        <v>448</v>
      </c>
      <c r="W131" s="1368">
        <v>401</v>
      </c>
      <c r="X131" s="2353">
        <v>399</v>
      </c>
      <c r="Y131" s="1274"/>
      <c r="Z131" s="961">
        <v>38047</v>
      </c>
      <c r="AA131" s="962">
        <v>37494</v>
      </c>
      <c r="AB131" s="962">
        <v>38250</v>
      </c>
      <c r="AC131" s="962">
        <v>37027</v>
      </c>
      <c r="AD131" s="962">
        <v>36507</v>
      </c>
      <c r="AE131" s="962">
        <v>36073</v>
      </c>
      <c r="AF131" s="962">
        <v>36009</v>
      </c>
      <c r="AG131" s="962">
        <v>36265</v>
      </c>
      <c r="AH131" s="962">
        <v>36079</v>
      </c>
      <c r="AI131" s="962">
        <v>35872</v>
      </c>
      <c r="AJ131" s="962">
        <v>35506</v>
      </c>
      <c r="AK131" s="962">
        <v>36036</v>
      </c>
      <c r="AL131" s="962">
        <v>37061</v>
      </c>
      <c r="AM131" s="962">
        <v>35880</v>
      </c>
      <c r="AN131" s="1110">
        <v>35415</v>
      </c>
      <c r="AO131" s="2361">
        <f>'Teen births'!H131</f>
        <v>34047</v>
      </c>
      <c r="AP131" s="2361">
        <v>35415</v>
      </c>
      <c r="AQ131" s="2361">
        <v>34608</v>
      </c>
      <c r="AR131" s="2361">
        <v>34258</v>
      </c>
      <c r="AS131" s="2361">
        <v>33909</v>
      </c>
      <c r="AT131" s="2353">
        <v>34047</v>
      </c>
      <c r="AU131" s="1274"/>
      <c r="AV131" s="979">
        <f t="shared" si="80"/>
        <v>23.944069177596131</v>
      </c>
      <c r="AW131" s="980">
        <f t="shared" si="81"/>
        <v>23.337067264095587</v>
      </c>
      <c r="AX131" s="980">
        <f t="shared" si="82"/>
        <v>22.588235294117649</v>
      </c>
      <c r="AY131" s="980">
        <f t="shared" si="83"/>
        <v>21.740891781672833</v>
      </c>
      <c r="AZ131" s="980">
        <f t="shared" si="84"/>
        <v>20.27008518914181</v>
      </c>
      <c r="BA131" s="980">
        <f t="shared" si="85"/>
        <v>18.822942366867185</v>
      </c>
      <c r="BB131" s="980">
        <f t="shared" si="86"/>
        <v>19.717292898997474</v>
      </c>
      <c r="BC131" s="980">
        <f t="shared" si="87"/>
        <v>19.798703984558113</v>
      </c>
      <c r="BD131" s="980">
        <f t="shared" si="88"/>
        <v>20.067075029795724</v>
      </c>
      <c r="BE131" s="980">
        <f t="shared" si="89"/>
        <v>22.691793041926854</v>
      </c>
      <c r="BF131" s="980">
        <f t="shared" si="90"/>
        <v>23.714301808145102</v>
      </c>
      <c r="BG131" s="980">
        <f t="shared" si="91"/>
        <v>22.311022311022313</v>
      </c>
      <c r="BH131" s="980">
        <f t="shared" si="92"/>
        <v>22.179649766601006</v>
      </c>
      <c r="BI131" s="980">
        <f t="shared" si="93"/>
        <v>18.868450390189523</v>
      </c>
      <c r="BJ131" s="1279">
        <f t="shared" si="94"/>
        <v>19.05972045743329</v>
      </c>
      <c r="BK131" s="1280">
        <f t="shared" si="95"/>
        <v>18.033894322554119</v>
      </c>
      <c r="BL131" s="1943">
        <f t="shared" si="96"/>
        <v>15.332486234646336</v>
      </c>
      <c r="BM131" s="1943">
        <f t="shared" si="96"/>
        <v>15.02542764678687</v>
      </c>
      <c r="BN131" s="2364">
        <f t="shared" si="96"/>
        <v>13.077237433592154</v>
      </c>
      <c r="BO131" s="2367">
        <f t="shared" si="97"/>
        <v>11.825768969889999</v>
      </c>
      <c r="BP131" s="2366">
        <f t="shared" si="97"/>
        <v>11.719094193320997</v>
      </c>
    </row>
    <row r="132" spans="1:68" s="142" customFormat="1" ht="15.75" customHeight="1" x14ac:dyDescent="0.3">
      <c r="A132" s="274"/>
      <c r="B132" s="231"/>
      <c r="C132" s="275"/>
      <c r="D132" s="152"/>
      <c r="E132" s="151"/>
      <c r="F132" s="152"/>
      <c r="G132" s="276"/>
      <c r="H132" s="152"/>
      <c r="I132" s="151"/>
      <c r="J132" s="152"/>
      <c r="K132" s="151"/>
      <c r="L132" s="277"/>
      <c r="M132" s="277"/>
      <c r="N132" s="277"/>
      <c r="O132" s="277"/>
    </row>
    <row r="133" spans="1:68" ht="18" customHeight="1" x14ac:dyDescent="0.3">
      <c r="A133" s="2720" t="s">
        <v>520</v>
      </c>
      <c r="B133" s="2720"/>
      <c r="C133" s="2720"/>
      <c r="D133" s="2720"/>
      <c r="E133" s="2720"/>
      <c r="F133" s="2720"/>
      <c r="G133" s="2720"/>
    </row>
    <row r="134" spans="1:68" s="182" customFormat="1" ht="13.8" x14ac:dyDescent="0.3">
      <c r="A134" s="182" t="s">
        <v>248</v>
      </c>
    </row>
    <row r="135" spans="1:68" s="182" customFormat="1" ht="13.8" x14ac:dyDescent="0.3">
      <c r="A135" s="188" t="s">
        <v>249</v>
      </c>
      <c r="B135" s="167" t="s">
        <v>250</v>
      </c>
    </row>
  </sheetData>
  <autoFilter ref="A4:C125"/>
  <sortState ref="A6:BM125">
    <sortCondition ref="A6:A125"/>
  </sortState>
  <mergeCells count="4">
    <mergeCell ref="AV3:BJ3"/>
    <mergeCell ref="A133:G133"/>
    <mergeCell ref="D3:T3"/>
    <mergeCell ref="Z3:AP3"/>
  </mergeCells>
  <hyperlinks>
    <hyperlink ref="B135" r:id="rId1"/>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134"/>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RowHeight="15.6" x14ac:dyDescent="0.3"/>
  <cols>
    <col min="1" max="1" width="7.69921875" style="134" customWidth="1"/>
    <col min="2" max="2" width="28.59765625" style="158" customWidth="1"/>
    <col min="3" max="3" width="10" style="158" customWidth="1"/>
    <col min="4" max="4" width="14.296875" customWidth="1"/>
    <col min="5" max="8" width="13" customWidth="1"/>
    <col min="9" max="9" width="1.59765625" customWidth="1"/>
    <col min="10" max="13" width="11" customWidth="1"/>
    <col min="14" max="14" width="4.296875" customWidth="1"/>
  </cols>
  <sheetData>
    <row r="1" spans="1:14" x14ac:dyDescent="0.3">
      <c r="A1" s="301" t="s">
        <v>1148</v>
      </c>
      <c r="B1" s="301"/>
      <c r="C1" s="301"/>
    </row>
    <row r="2" spans="1:14" x14ac:dyDescent="0.3">
      <c r="A2" s="96"/>
      <c r="B2" s="136"/>
      <c r="C2" s="136"/>
    </row>
    <row r="3" spans="1:14" ht="69" x14ac:dyDescent="0.3">
      <c r="A3" s="1027" t="s">
        <v>4</v>
      </c>
      <c r="B3" s="1028" t="s">
        <v>5</v>
      </c>
      <c r="C3" s="1028" t="s">
        <v>251</v>
      </c>
      <c r="D3" s="2184" t="s">
        <v>722</v>
      </c>
      <c r="E3" s="2185" t="s">
        <v>723</v>
      </c>
      <c r="F3" s="2185" t="s">
        <v>724</v>
      </c>
      <c r="G3" s="2185" t="s">
        <v>725</v>
      </c>
      <c r="H3" s="2186" t="s">
        <v>726</v>
      </c>
      <c r="I3" s="830"/>
      <c r="J3" s="2193" t="s">
        <v>727</v>
      </c>
      <c r="K3" s="2194" t="s">
        <v>728</v>
      </c>
      <c r="L3" s="2194" t="s">
        <v>729</v>
      </c>
      <c r="M3" s="2195" t="s">
        <v>730</v>
      </c>
    </row>
    <row r="4" spans="1:14" x14ac:dyDescent="0.3">
      <c r="A4" s="146" t="s">
        <v>8</v>
      </c>
      <c r="B4" s="147" t="s">
        <v>9</v>
      </c>
      <c r="C4" s="148"/>
      <c r="D4" s="2187">
        <f>SUM(D5:D124)</f>
        <v>1651845</v>
      </c>
      <c r="E4" s="2188">
        <f t="shared" ref="E4:H4" si="0">SUM(E5:E124)</f>
        <v>1204722</v>
      </c>
      <c r="F4" s="2188">
        <f t="shared" ref="F4" si="1">G4+H4</f>
        <v>447123</v>
      </c>
      <c r="G4" s="2188">
        <f t="shared" si="0"/>
        <v>98150</v>
      </c>
      <c r="H4" s="2189">
        <f t="shared" si="0"/>
        <v>348973</v>
      </c>
      <c r="I4" s="1025"/>
      <c r="J4" s="2196">
        <f t="shared" ref="J4" si="2">E4/D4</f>
        <v>0.72931903417088162</v>
      </c>
      <c r="K4" s="2197">
        <f t="shared" ref="K4" si="3">F4/D4</f>
        <v>0.27068096582911833</v>
      </c>
      <c r="L4" s="2197">
        <f t="shared" ref="L4" si="4">G4/D4</f>
        <v>5.9418407901467754E-2</v>
      </c>
      <c r="M4" s="2198">
        <f t="shared" ref="M4" si="5">H4/D4</f>
        <v>0.21126255792765058</v>
      </c>
      <c r="N4" s="1026"/>
    </row>
    <row r="5" spans="1:14" ht="13.5" customHeight="1" x14ac:dyDescent="0.3">
      <c r="A5" s="149" t="s">
        <v>10</v>
      </c>
      <c r="B5" s="184" t="s">
        <v>11</v>
      </c>
      <c r="C5" s="150" t="s">
        <v>252</v>
      </c>
      <c r="D5" s="2190">
        <f t="shared" ref="D5:D36" si="6">E5+F5</f>
        <v>5673</v>
      </c>
      <c r="E5" s="2191">
        <v>3354</v>
      </c>
      <c r="F5" s="2191">
        <f t="shared" ref="F5:F36" si="7">G5+H5</f>
        <v>2319</v>
      </c>
      <c r="G5" s="2191">
        <v>318</v>
      </c>
      <c r="H5" s="2192">
        <v>2001</v>
      </c>
      <c r="I5" s="238"/>
      <c r="J5" s="2199">
        <f t="shared" ref="J5:J36" si="8">E5/D5</f>
        <v>0.59122157588577473</v>
      </c>
      <c r="K5" s="2200">
        <f t="shared" ref="K5:K36" si="9">F5/D5</f>
        <v>0.40877842411422527</v>
      </c>
      <c r="L5" s="2200">
        <f t="shared" ref="L5:L36" si="10">G5/D5</f>
        <v>5.6054997355896349E-2</v>
      </c>
      <c r="M5" s="2201">
        <f t="shared" ref="M5:M36" si="11">H5/D5</f>
        <v>0.35272342675832891</v>
      </c>
    </row>
    <row r="6" spans="1:14" ht="13.5" customHeight="1" x14ac:dyDescent="0.3">
      <c r="A6" s="149" t="s">
        <v>12</v>
      </c>
      <c r="B6" s="185" t="s">
        <v>13</v>
      </c>
      <c r="C6" s="150" t="s">
        <v>253</v>
      </c>
      <c r="D6" s="2190">
        <f t="shared" si="6"/>
        <v>19634</v>
      </c>
      <c r="E6" s="2191">
        <v>15265</v>
      </c>
      <c r="F6" s="2191">
        <f t="shared" si="7"/>
        <v>4369</v>
      </c>
      <c r="G6" s="2191">
        <v>854</v>
      </c>
      <c r="H6" s="2192">
        <v>3515</v>
      </c>
      <c r="I6" s="238"/>
      <c r="J6" s="2199">
        <f t="shared" si="8"/>
        <v>0.77747784455536317</v>
      </c>
      <c r="K6" s="2200">
        <f t="shared" si="9"/>
        <v>0.22252215544463685</v>
      </c>
      <c r="L6" s="2200">
        <f t="shared" si="10"/>
        <v>4.3495976367525724E-2</v>
      </c>
      <c r="M6" s="2201">
        <f t="shared" si="11"/>
        <v>0.17902617907711113</v>
      </c>
    </row>
    <row r="7" spans="1:14" ht="13.5" customHeight="1" x14ac:dyDescent="0.3">
      <c r="A7" s="149" t="s">
        <v>16</v>
      </c>
      <c r="B7" s="185" t="s">
        <v>285</v>
      </c>
      <c r="C7" s="150" t="s">
        <v>253</v>
      </c>
      <c r="D7" s="2190">
        <f t="shared" si="6"/>
        <v>3327</v>
      </c>
      <c r="E7" s="2191">
        <v>2332</v>
      </c>
      <c r="F7" s="2191">
        <f t="shared" si="7"/>
        <v>995</v>
      </c>
      <c r="G7" s="2191">
        <v>164</v>
      </c>
      <c r="H7" s="2192">
        <v>831</v>
      </c>
      <c r="I7" s="238"/>
      <c r="J7" s="2199">
        <f t="shared" si="8"/>
        <v>0.70093177036369103</v>
      </c>
      <c r="K7" s="2200">
        <f t="shared" si="9"/>
        <v>0.29906822963630897</v>
      </c>
      <c r="L7" s="2200">
        <f t="shared" si="10"/>
        <v>4.9293657950105201E-2</v>
      </c>
      <c r="M7" s="2201">
        <f t="shared" si="11"/>
        <v>0.24977457168620379</v>
      </c>
    </row>
    <row r="8" spans="1:14" ht="13.5" customHeight="1" x14ac:dyDescent="0.3">
      <c r="A8" s="149" t="s">
        <v>18</v>
      </c>
      <c r="B8" s="185" t="s">
        <v>19</v>
      </c>
      <c r="C8" s="150" t="s">
        <v>254</v>
      </c>
      <c r="D8" s="2190">
        <f t="shared" si="6"/>
        <v>2525</v>
      </c>
      <c r="E8" s="2191">
        <v>1777</v>
      </c>
      <c r="F8" s="2191">
        <f t="shared" si="7"/>
        <v>748</v>
      </c>
      <c r="G8" s="2191">
        <v>335</v>
      </c>
      <c r="H8" s="2192">
        <v>413</v>
      </c>
      <c r="I8" s="238"/>
      <c r="J8" s="2199">
        <f t="shared" si="8"/>
        <v>0.70376237623762372</v>
      </c>
      <c r="K8" s="2200">
        <f t="shared" si="9"/>
        <v>0.29623762376237622</v>
      </c>
      <c r="L8" s="2200">
        <f t="shared" si="10"/>
        <v>0.13267326732673268</v>
      </c>
      <c r="M8" s="2201">
        <f t="shared" si="11"/>
        <v>0.16356435643564357</v>
      </c>
    </row>
    <row r="9" spans="1:14" ht="13.5" customHeight="1" x14ac:dyDescent="0.3">
      <c r="A9" s="149" t="s">
        <v>20</v>
      </c>
      <c r="B9" s="185" t="s">
        <v>21</v>
      </c>
      <c r="C9" s="150" t="s">
        <v>253</v>
      </c>
      <c r="D9" s="2190">
        <f t="shared" si="6"/>
        <v>5244</v>
      </c>
      <c r="E9" s="2191">
        <v>3785</v>
      </c>
      <c r="F9" s="2191">
        <f t="shared" si="7"/>
        <v>1459</v>
      </c>
      <c r="G9" s="2191">
        <v>389</v>
      </c>
      <c r="H9" s="2192">
        <v>1070</v>
      </c>
      <c r="I9" s="238"/>
      <c r="J9" s="2199">
        <f t="shared" si="8"/>
        <v>0.72177726926010677</v>
      </c>
      <c r="K9" s="2200">
        <f t="shared" si="9"/>
        <v>0.27822273073989323</v>
      </c>
      <c r="L9" s="2200">
        <f t="shared" si="10"/>
        <v>7.4180015255530127E-2</v>
      </c>
      <c r="M9" s="2201">
        <f t="shared" si="11"/>
        <v>0.20404271548436309</v>
      </c>
    </row>
    <row r="10" spans="1:14" ht="13.5" customHeight="1" x14ac:dyDescent="0.3">
      <c r="A10" s="149" t="s">
        <v>22</v>
      </c>
      <c r="B10" s="185" t="s">
        <v>23</v>
      </c>
      <c r="C10" s="150" t="s">
        <v>253</v>
      </c>
      <c r="D10" s="2190">
        <f t="shared" si="6"/>
        <v>2756</v>
      </c>
      <c r="E10" s="2191">
        <v>2070</v>
      </c>
      <c r="F10" s="2191">
        <f t="shared" si="7"/>
        <v>686</v>
      </c>
      <c r="G10" s="2191">
        <v>142</v>
      </c>
      <c r="H10" s="2192">
        <v>544</v>
      </c>
      <c r="I10" s="238"/>
      <c r="J10" s="2199">
        <f t="shared" si="8"/>
        <v>0.75108853410740206</v>
      </c>
      <c r="K10" s="2200">
        <f t="shared" si="9"/>
        <v>0.24891146589259797</v>
      </c>
      <c r="L10" s="2200">
        <f t="shared" si="10"/>
        <v>5.1523947750362842E-2</v>
      </c>
      <c r="M10" s="2201">
        <f t="shared" si="11"/>
        <v>0.19738751814223512</v>
      </c>
    </row>
    <row r="11" spans="1:14" ht="13.5" customHeight="1" x14ac:dyDescent="0.3">
      <c r="A11" s="149" t="s">
        <v>24</v>
      </c>
      <c r="B11" s="185" t="s">
        <v>25</v>
      </c>
      <c r="C11" s="150" t="s">
        <v>255</v>
      </c>
      <c r="D11" s="2190">
        <f t="shared" si="6"/>
        <v>38461</v>
      </c>
      <c r="E11" s="2191">
        <v>31571</v>
      </c>
      <c r="F11" s="2191">
        <f t="shared" si="7"/>
        <v>6890</v>
      </c>
      <c r="G11" s="2191">
        <v>1819</v>
      </c>
      <c r="H11" s="2192">
        <v>5071</v>
      </c>
      <c r="I11" s="238"/>
      <c r="J11" s="2199">
        <f t="shared" si="8"/>
        <v>0.82085749200488811</v>
      </c>
      <c r="K11" s="2200">
        <f t="shared" si="9"/>
        <v>0.17914250799511194</v>
      </c>
      <c r="L11" s="2200">
        <f t="shared" si="10"/>
        <v>4.7294662125269754E-2</v>
      </c>
      <c r="M11" s="2201">
        <f t="shared" si="11"/>
        <v>0.13184784586984219</v>
      </c>
    </row>
    <row r="12" spans="1:14" ht="13.5" customHeight="1" x14ac:dyDescent="0.3">
      <c r="A12" s="149" t="s">
        <v>26</v>
      </c>
      <c r="B12" s="185" t="s">
        <v>286</v>
      </c>
      <c r="C12" s="150" t="s">
        <v>253</v>
      </c>
      <c r="D12" s="2190">
        <f t="shared" si="6"/>
        <v>20839</v>
      </c>
      <c r="E12" s="2191">
        <v>14812</v>
      </c>
      <c r="F12" s="2191">
        <f t="shared" si="7"/>
        <v>6027</v>
      </c>
      <c r="G12" s="2191">
        <v>1097</v>
      </c>
      <c r="H12" s="2192">
        <v>4930</v>
      </c>
      <c r="I12" s="238"/>
      <c r="J12" s="2199">
        <f t="shared" si="8"/>
        <v>0.71078266711454485</v>
      </c>
      <c r="K12" s="2200">
        <f t="shared" si="9"/>
        <v>0.28921733288545515</v>
      </c>
      <c r="L12" s="2200">
        <f t="shared" si="10"/>
        <v>5.2641681462642163E-2</v>
      </c>
      <c r="M12" s="2201">
        <f t="shared" si="11"/>
        <v>0.236575651422813</v>
      </c>
    </row>
    <row r="13" spans="1:14" ht="13.5" customHeight="1" x14ac:dyDescent="0.3">
      <c r="A13" s="149" t="s">
        <v>27</v>
      </c>
      <c r="B13" s="185" t="s">
        <v>28</v>
      </c>
      <c r="C13" s="150" t="s">
        <v>253</v>
      </c>
      <c r="D13" s="2190">
        <f t="shared" si="6"/>
        <v>463</v>
      </c>
      <c r="E13" s="2191">
        <v>360</v>
      </c>
      <c r="F13" s="2191">
        <f t="shared" si="7"/>
        <v>103</v>
      </c>
      <c r="G13" s="2191">
        <v>83</v>
      </c>
      <c r="H13" s="2192">
        <v>20</v>
      </c>
      <c r="I13" s="238"/>
      <c r="J13" s="2199">
        <f t="shared" si="8"/>
        <v>0.77753779697624192</v>
      </c>
      <c r="K13" s="2200">
        <f t="shared" si="9"/>
        <v>0.2224622030237581</v>
      </c>
      <c r="L13" s="2200">
        <f t="shared" si="10"/>
        <v>0.17926565874730022</v>
      </c>
      <c r="M13" s="2201">
        <f t="shared" si="11"/>
        <v>4.3196544276457881E-2</v>
      </c>
    </row>
    <row r="14" spans="1:14" ht="13.5" customHeight="1" x14ac:dyDescent="0.3">
      <c r="A14" s="149" t="s">
        <v>29</v>
      </c>
      <c r="B14" s="185" t="s">
        <v>736</v>
      </c>
      <c r="C14" s="150" t="s">
        <v>253</v>
      </c>
      <c r="D14" s="2190">
        <f t="shared" si="6"/>
        <v>13797</v>
      </c>
      <c r="E14" s="2191">
        <v>10681</v>
      </c>
      <c r="F14" s="2191">
        <f t="shared" si="7"/>
        <v>3116</v>
      </c>
      <c r="G14" s="2191">
        <v>829</v>
      </c>
      <c r="H14" s="2192">
        <v>2287</v>
      </c>
      <c r="I14" s="238"/>
      <c r="J14" s="2199">
        <f t="shared" si="8"/>
        <v>0.77415380155106184</v>
      </c>
      <c r="K14" s="2200">
        <f t="shared" si="9"/>
        <v>0.22584619844893816</v>
      </c>
      <c r="L14" s="2200">
        <f t="shared" si="10"/>
        <v>6.0085525838950493E-2</v>
      </c>
      <c r="M14" s="2201">
        <f t="shared" si="11"/>
        <v>0.16576067260998767</v>
      </c>
    </row>
    <row r="15" spans="1:14" ht="13.5" customHeight="1" x14ac:dyDescent="0.3">
      <c r="A15" s="149" t="s">
        <v>30</v>
      </c>
      <c r="B15" s="185" t="s">
        <v>31</v>
      </c>
      <c r="C15" s="150" t="s">
        <v>256</v>
      </c>
      <c r="D15" s="2190">
        <f t="shared" si="6"/>
        <v>925</v>
      </c>
      <c r="E15" s="2191">
        <v>759</v>
      </c>
      <c r="F15" s="2191">
        <f t="shared" si="7"/>
        <v>166</v>
      </c>
      <c r="G15" s="2191">
        <v>0</v>
      </c>
      <c r="H15" s="2192">
        <v>166</v>
      </c>
      <c r="I15" s="238"/>
      <c r="J15" s="2199">
        <f t="shared" si="8"/>
        <v>0.82054054054054049</v>
      </c>
      <c r="K15" s="2200">
        <f t="shared" si="9"/>
        <v>0.17945945945945946</v>
      </c>
      <c r="L15" s="2200">
        <f t="shared" si="10"/>
        <v>0</v>
      </c>
      <c r="M15" s="2201">
        <f t="shared" si="11"/>
        <v>0.17945945945945946</v>
      </c>
    </row>
    <row r="16" spans="1:14" ht="13.5" customHeight="1" x14ac:dyDescent="0.3">
      <c r="A16" s="149" t="s">
        <v>32</v>
      </c>
      <c r="B16" s="185" t="s">
        <v>33</v>
      </c>
      <c r="C16" s="150" t="s">
        <v>253</v>
      </c>
      <c r="D16" s="2190">
        <f t="shared" si="6"/>
        <v>5966</v>
      </c>
      <c r="E16" s="2191">
        <v>4850</v>
      </c>
      <c r="F16" s="2191">
        <f t="shared" si="7"/>
        <v>1116</v>
      </c>
      <c r="G16" s="2191">
        <v>225</v>
      </c>
      <c r="H16" s="2192">
        <v>891</v>
      </c>
      <c r="I16" s="238"/>
      <c r="J16" s="2199">
        <f t="shared" si="8"/>
        <v>0.81293999329534028</v>
      </c>
      <c r="K16" s="2200">
        <f t="shared" si="9"/>
        <v>0.18706000670465975</v>
      </c>
      <c r="L16" s="2200">
        <f t="shared" si="10"/>
        <v>3.7713711029165271E-2</v>
      </c>
      <c r="M16" s="2201">
        <f t="shared" si="11"/>
        <v>0.14934629567549446</v>
      </c>
    </row>
    <row r="17" spans="1:13" ht="13.5" customHeight="1" x14ac:dyDescent="0.3">
      <c r="A17" s="149" t="s">
        <v>36</v>
      </c>
      <c r="B17" s="185" t="s">
        <v>37</v>
      </c>
      <c r="C17" s="150" t="s">
        <v>252</v>
      </c>
      <c r="D17" s="2190">
        <f t="shared" si="6"/>
        <v>2382</v>
      </c>
      <c r="E17" s="2191">
        <v>877</v>
      </c>
      <c r="F17" s="2191">
        <f t="shared" si="7"/>
        <v>1505</v>
      </c>
      <c r="G17" s="2191">
        <v>305</v>
      </c>
      <c r="H17" s="2192">
        <v>1200</v>
      </c>
      <c r="I17" s="238"/>
      <c r="J17" s="2199">
        <f t="shared" si="8"/>
        <v>0.36817800167926112</v>
      </c>
      <c r="K17" s="2200">
        <f t="shared" si="9"/>
        <v>0.63182199832073882</v>
      </c>
      <c r="L17" s="2200">
        <f t="shared" si="10"/>
        <v>0.12804366078925272</v>
      </c>
      <c r="M17" s="2201">
        <f t="shared" si="11"/>
        <v>0.50377833753148615</v>
      </c>
    </row>
    <row r="18" spans="1:13" ht="13.5" customHeight="1" x14ac:dyDescent="0.3">
      <c r="A18" s="149" t="s">
        <v>38</v>
      </c>
      <c r="B18" s="185" t="s">
        <v>39</v>
      </c>
      <c r="C18" s="150" t="s">
        <v>256</v>
      </c>
      <c r="D18" s="2190">
        <f t="shared" si="6"/>
        <v>3094</v>
      </c>
      <c r="E18" s="2191">
        <v>1847</v>
      </c>
      <c r="F18" s="2191">
        <f t="shared" si="7"/>
        <v>1247</v>
      </c>
      <c r="G18" s="2191">
        <v>336</v>
      </c>
      <c r="H18" s="2192">
        <v>911</v>
      </c>
      <c r="I18" s="238"/>
      <c r="J18" s="2199">
        <f t="shared" si="8"/>
        <v>0.59696186166774401</v>
      </c>
      <c r="K18" s="2200">
        <f t="shared" si="9"/>
        <v>0.40303813833225599</v>
      </c>
      <c r="L18" s="2200">
        <f t="shared" si="10"/>
        <v>0.10859728506787331</v>
      </c>
      <c r="M18" s="2201">
        <f t="shared" si="11"/>
        <v>0.29444085326438268</v>
      </c>
    </row>
    <row r="19" spans="1:13" ht="13.5" customHeight="1" x14ac:dyDescent="0.3">
      <c r="A19" s="149" t="s">
        <v>40</v>
      </c>
      <c r="B19" s="185" t="s">
        <v>41</v>
      </c>
      <c r="C19" s="150" t="s">
        <v>254</v>
      </c>
      <c r="D19" s="2190">
        <f t="shared" si="6"/>
        <v>2631</v>
      </c>
      <c r="E19" s="2191">
        <v>1797</v>
      </c>
      <c r="F19" s="2191">
        <f t="shared" si="7"/>
        <v>834</v>
      </c>
      <c r="G19" s="2191">
        <v>305</v>
      </c>
      <c r="H19" s="2192">
        <v>529</v>
      </c>
      <c r="I19" s="238"/>
      <c r="J19" s="2199">
        <f t="shared" si="8"/>
        <v>0.68301026225769668</v>
      </c>
      <c r="K19" s="2200">
        <f t="shared" si="9"/>
        <v>0.31698973774230332</v>
      </c>
      <c r="L19" s="2200">
        <f t="shared" si="10"/>
        <v>0.11592550361079437</v>
      </c>
      <c r="M19" s="2201">
        <f t="shared" si="11"/>
        <v>0.20106423413150892</v>
      </c>
    </row>
    <row r="20" spans="1:13" ht="13.5" customHeight="1" x14ac:dyDescent="0.3">
      <c r="A20" s="149" t="s">
        <v>42</v>
      </c>
      <c r="B20" s="185" t="s">
        <v>43</v>
      </c>
      <c r="C20" s="150" t="s">
        <v>253</v>
      </c>
      <c r="D20" s="2190">
        <f t="shared" si="6"/>
        <v>9664</v>
      </c>
      <c r="E20" s="2191">
        <v>7091</v>
      </c>
      <c r="F20" s="2191">
        <f t="shared" si="7"/>
        <v>2573</v>
      </c>
      <c r="G20" s="2191">
        <v>745</v>
      </c>
      <c r="H20" s="2192">
        <v>1828</v>
      </c>
      <c r="I20" s="238"/>
      <c r="J20" s="2199">
        <f t="shared" si="8"/>
        <v>0.7337541390728477</v>
      </c>
      <c r="K20" s="2200">
        <f t="shared" si="9"/>
        <v>0.2662458609271523</v>
      </c>
      <c r="L20" s="2200">
        <f t="shared" si="10"/>
        <v>7.7090231788079472E-2</v>
      </c>
      <c r="M20" s="2201">
        <f t="shared" si="11"/>
        <v>0.18915562913907286</v>
      </c>
    </row>
    <row r="21" spans="1:13" ht="13.5" customHeight="1" x14ac:dyDescent="0.3">
      <c r="A21" s="149" t="s">
        <v>44</v>
      </c>
      <c r="B21" s="185" t="s">
        <v>45</v>
      </c>
      <c r="C21" s="150" t="s">
        <v>254</v>
      </c>
      <c r="D21" s="2190">
        <f t="shared" si="6"/>
        <v>5243</v>
      </c>
      <c r="E21" s="2191">
        <v>3665</v>
      </c>
      <c r="F21" s="2191">
        <f t="shared" si="7"/>
        <v>1578</v>
      </c>
      <c r="G21" s="2191">
        <v>555</v>
      </c>
      <c r="H21" s="2192">
        <v>1023</v>
      </c>
      <c r="I21" s="238"/>
      <c r="J21" s="2199">
        <f t="shared" si="8"/>
        <v>0.6990272744611864</v>
      </c>
      <c r="K21" s="2200">
        <f t="shared" si="9"/>
        <v>0.30097272553881366</v>
      </c>
      <c r="L21" s="2200">
        <f t="shared" si="10"/>
        <v>0.1058554262826626</v>
      </c>
      <c r="M21" s="2201">
        <f t="shared" si="11"/>
        <v>0.19511729925615107</v>
      </c>
    </row>
    <row r="22" spans="1:13" ht="13.5" customHeight="1" x14ac:dyDescent="0.3">
      <c r="A22" s="149" t="s">
        <v>46</v>
      </c>
      <c r="B22" s="185" t="s">
        <v>47</v>
      </c>
      <c r="C22" s="150" t="s">
        <v>256</v>
      </c>
      <c r="D22" s="2190">
        <f t="shared" si="6"/>
        <v>4637</v>
      </c>
      <c r="E22" s="2191">
        <v>3209</v>
      </c>
      <c r="F22" s="2191">
        <f t="shared" si="7"/>
        <v>1428</v>
      </c>
      <c r="G22" s="2191">
        <v>508</v>
      </c>
      <c r="H22" s="2192">
        <v>920</v>
      </c>
      <c r="I22" s="238"/>
      <c r="J22" s="2199">
        <f t="shared" si="8"/>
        <v>0.6920422687082165</v>
      </c>
      <c r="K22" s="2200">
        <f t="shared" si="9"/>
        <v>0.3079577312917835</v>
      </c>
      <c r="L22" s="2200">
        <f t="shared" si="10"/>
        <v>0.10955359068363166</v>
      </c>
      <c r="M22" s="2201">
        <f t="shared" si="11"/>
        <v>0.19840414060815181</v>
      </c>
    </row>
    <row r="23" spans="1:13" ht="13.5" customHeight="1" x14ac:dyDescent="0.3">
      <c r="A23" s="149" t="s">
        <v>48</v>
      </c>
      <c r="B23" s="185" t="s">
        <v>257</v>
      </c>
      <c r="C23" s="150" t="s">
        <v>254</v>
      </c>
      <c r="D23" s="2190">
        <f t="shared" si="6"/>
        <v>830</v>
      </c>
      <c r="E23" s="2191">
        <v>617</v>
      </c>
      <c r="F23" s="2191">
        <f t="shared" si="7"/>
        <v>213</v>
      </c>
      <c r="G23" s="2191">
        <v>74</v>
      </c>
      <c r="H23" s="2192">
        <v>139</v>
      </c>
      <c r="I23" s="238"/>
      <c r="J23" s="2199">
        <f t="shared" si="8"/>
        <v>0.74337349397590358</v>
      </c>
      <c r="K23" s="2200">
        <f t="shared" si="9"/>
        <v>0.25662650602409637</v>
      </c>
      <c r="L23" s="2200">
        <f t="shared" si="10"/>
        <v>8.91566265060241E-2</v>
      </c>
      <c r="M23" s="2201">
        <f t="shared" si="11"/>
        <v>0.1674698795180723</v>
      </c>
    </row>
    <row r="24" spans="1:13" ht="13.5" customHeight="1" x14ac:dyDescent="0.3">
      <c r="A24" s="149" t="s">
        <v>50</v>
      </c>
      <c r="B24" s="185" t="s">
        <v>51</v>
      </c>
      <c r="C24" s="150" t="s">
        <v>253</v>
      </c>
      <c r="D24" s="2190">
        <f t="shared" si="6"/>
        <v>2251</v>
      </c>
      <c r="E24" s="2191">
        <v>1161</v>
      </c>
      <c r="F24" s="2191">
        <f t="shared" si="7"/>
        <v>1090</v>
      </c>
      <c r="G24" s="2191">
        <v>202</v>
      </c>
      <c r="H24" s="2192">
        <v>888</v>
      </c>
      <c r="I24" s="238"/>
      <c r="J24" s="2199">
        <f t="shared" si="8"/>
        <v>0.5157707685473123</v>
      </c>
      <c r="K24" s="2200">
        <f t="shared" si="9"/>
        <v>0.4842292314526877</v>
      </c>
      <c r="L24" s="2200">
        <f t="shared" si="10"/>
        <v>8.9737894269213678E-2</v>
      </c>
      <c r="M24" s="2201">
        <f t="shared" si="11"/>
        <v>0.39449133718347401</v>
      </c>
    </row>
    <row r="25" spans="1:13" ht="13.5" customHeight="1" x14ac:dyDescent="0.3">
      <c r="A25" s="149" t="s">
        <v>56</v>
      </c>
      <c r="B25" s="185" t="s">
        <v>283</v>
      </c>
      <c r="C25" s="150" t="s">
        <v>254</v>
      </c>
      <c r="D25" s="2190">
        <f t="shared" si="6"/>
        <v>75802</v>
      </c>
      <c r="E25" s="2191">
        <v>55462</v>
      </c>
      <c r="F25" s="2191">
        <f t="shared" si="7"/>
        <v>20340</v>
      </c>
      <c r="G25" s="2191">
        <v>4348</v>
      </c>
      <c r="H25" s="2192">
        <v>15992</v>
      </c>
      <c r="I25" s="238"/>
      <c r="J25" s="2199">
        <f t="shared" si="8"/>
        <v>0.73166934909369141</v>
      </c>
      <c r="K25" s="2200">
        <f t="shared" si="9"/>
        <v>0.26833065090630853</v>
      </c>
      <c r="L25" s="2200">
        <f t="shared" si="10"/>
        <v>5.7359964117041765E-2</v>
      </c>
      <c r="M25" s="2201">
        <f t="shared" si="11"/>
        <v>0.21097068678926678</v>
      </c>
    </row>
    <row r="26" spans="1:13" ht="13.5" customHeight="1" x14ac:dyDescent="0.3">
      <c r="A26" s="149" t="s">
        <v>58</v>
      </c>
      <c r="B26" s="185" t="s">
        <v>59</v>
      </c>
      <c r="C26" s="150" t="s">
        <v>255</v>
      </c>
      <c r="D26" s="2190">
        <f t="shared" si="6"/>
        <v>2559</v>
      </c>
      <c r="E26" s="2191">
        <v>1717</v>
      </c>
      <c r="F26" s="2191">
        <f t="shared" si="7"/>
        <v>842</v>
      </c>
      <c r="G26" s="2191">
        <v>179</v>
      </c>
      <c r="H26" s="2192">
        <v>663</v>
      </c>
      <c r="I26" s="238"/>
      <c r="J26" s="2199">
        <f t="shared" si="8"/>
        <v>0.67096522078937082</v>
      </c>
      <c r="K26" s="2200">
        <f t="shared" si="9"/>
        <v>0.32903477921062912</v>
      </c>
      <c r="L26" s="2200">
        <f t="shared" si="10"/>
        <v>6.9949198905822588E-2</v>
      </c>
      <c r="M26" s="2201">
        <f t="shared" si="11"/>
        <v>0.25908558030480655</v>
      </c>
    </row>
    <row r="27" spans="1:13" ht="13.5" customHeight="1" x14ac:dyDescent="0.3">
      <c r="A27" s="149" t="s">
        <v>60</v>
      </c>
      <c r="B27" s="185" t="s">
        <v>61</v>
      </c>
      <c r="C27" s="150" t="s">
        <v>253</v>
      </c>
      <c r="D27" s="2190">
        <f t="shared" si="6"/>
        <v>746</v>
      </c>
      <c r="E27" s="2191">
        <v>647</v>
      </c>
      <c r="F27" s="2191">
        <f t="shared" si="7"/>
        <v>99</v>
      </c>
      <c r="G27" s="2191">
        <v>48</v>
      </c>
      <c r="H27" s="2192">
        <v>51</v>
      </c>
      <c r="I27" s="238"/>
      <c r="J27" s="2199">
        <f t="shared" si="8"/>
        <v>0.86729222520107241</v>
      </c>
      <c r="K27" s="2200">
        <f t="shared" si="9"/>
        <v>0.13270777479892762</v>
      </c>
      <c r="L27" s="2200">
        <f t="shared" si="10"/>
        <v>6.4343163538873996E-2</v>
      </c>
      <c r="M27" s="2201">
        <f t="shared" si="11"/>
        <v>6.8364611260053623E-2</v>
      </c>
    </row>
    <row r="28" spans="1:13" ht="13.5" customHeight="1" x14ac:dyDescent="0.3">
      <c r="A28" s="149" t="s">
        <v>62</v>
      </c>
      <c r="B28" s="185" t="s">
        <v>63</v>
      </c>
      <c r="C28" s="150" t="s">
        <v>255</v>
      </c>
      <c r="D28" s="2190">
        <f t="shared" si="6"/>
        <v>10712</v>
      </c>
      <c r="E28" s="2191">
        <v>8295</v>
      </c>
      <c r="F28" s="2191">
        <f t="shared" si="7"/>
        <v>2417</v>
      </c>
      <c r="G28" s="2191">
        <v>858</v>
      </c>
      <c r="H28" s="2192">
        <v>1559</v>
      </c>
      <c r="I28" s="238"/>
      <c r="J28" s="2199">
        <f t="shared" si="8"/>
        <v>0.77436519790888725</v>
      </c>
      <c r="K28" s="2200">
        <f t="shared" si="9"/>
        <v>0.22563480209111278</v>
      </c>
      <c r="L28" s="2200">
        <f t="shared" si="10"/>
        <v>8.0097087378640783E-2</v>
      </c>
      <c r="M28" s="2201">
        <f t="shared" si="11"/>
        <v>0.14553771471247198</v>
      </c>
    </row>
    <row r="29" spans="1:13" ht="13.5" customHeight="1" x14ac:dyDescent="0.3">
      <c r="A29" s="149" t="s">
        <v>64</v>
      </c>
      <c r="B29" s="185" t="s">
        <v>65</v>
      </c>
      <c r="C29" s="150" t="s">
        <v>254</v>
      </c>
      <c r="D29" s="2190">
        <f t="shared" si="6"/>
        <v>1665</v>
      </c>
      <c r="E29" s="2191">
        <v>1025</v>
      </c>
      <c r="F29" s="2191">
        <f t="shared" si="7"/>
        <v>640</v>
      </c>
      <c r="G29" s="2191">
        <v>92</v>
      </c>
      <c r="H29" s="2192">
        <v>548</v>
      </c>
      <c r="I29" s="238"/>
      <c r="J29" s="2199">
        <f t="shared" si="8"/>
        <v>0.61561561561561562</v>
      </c>
      <c r="K29" s="2200">
        <f t="shared" si="9"/>
        <v>0.38438438438438438</v>
      </c>
      <c r="L29" s="2200">
        <f t="shared" si="10"/>
        <v>5.5255255255255258E-2</v>
      </c>
      <c r="M29" s="2201">
        <f t="shared" si="11"/>
        <v>0.32912912912912912</v>
      </c>
    </row>
    <row r="30" spans="1:13" ht="13.5" customHeight="1" x14ac:dyDescent="0.3">
      <c r="A30" s="149" t="s">
        <v>68</v>
      </c>
      <c r="B30" s="185" t="s">
        <v>69</v>
      </c>
      <c r="C30" s="150" t="s">
        <v>256</v>
      </c>
      <c r="D30" s="2190">
        <f t="shared" si="6"/>
        <v>2591</v>
      </c>
      <c r="E30" s="2191">
        <v>1909</v>
      </c>
      <c r="F30" s="2191">
        <f t="shared" si="7"/>
        <v>682</v>
      </c>
      <c r="G30" s="2191">
        <v>213</v>
      </c>
      <c r="H30" s="2192">
        <v>469</v>
      </c>
      <c r="I30" s="238"/>
      <c r="J30" s="2199">
        <f t="shared" si="8"/>
        <v>0.73678116557313778</v>
      </c>
      <c r="K30" s="2200">
        <f t="shared" si="9"/>
        <v>0.26321883442686222</v>
      </c>
      <c r="L30" s="2200">
        <f t="shared" si="10"/>
        <v>8.2207641837128517E-2</v>
      </c>
      <c r="M30" s="2201">
        <f t="shared" si="11"/>
        <v>0.18101119258973369</v>
      </c>
    </row>
    <row r="31" spans="1:13" ht="13.5" customHeight="1" x14ac:dyDescent="0.3">
      <c r="A31" s="149" t="s">
        <v>70</v>
      </c>
      <c r="B31" s="185" t="s">
        <v>71</v>
      </c>
      <c r="C31" s="150" t="s">
        <v>252</v>
      </c>
      <c r="D31" s="2190">
        <f t="shared" si="6"/>
        <v>4486</v>
      </c>
      <c r="E31" s="2191">
        <v>3025</v>
      </c>
      <c r="F31" s="2191">
        <f t="shared" si="7"/>
        <v>1461</v>
      </c>
      <c r="G31" s="2191">
        <v>449</v>
      </c>
      <c r="H31" s="2192">
        <v>1012</v>
      </c>
      <c r="I31" s="238"/>
      <c r="J31" s="2199">
        <f t="shared" si="8"/>
        <v>0.67432010699955414</v>
      </c>
      <c r="K31" s="2200">
        <f t="shared" si="9"/>
        <v>0.32567989300044581</v>
      </c>
      <c r="L31" s="2200">
        <f t="shared" si="10"/>
        <v>0.10008916629514043</v>
      </c>
      <c r="M31" s="2201">
        <f t="shared" si="11"/>
        <v>0.22559072670530539</v>
      </c>
    </row>
    <row r="32" spans="1:13" ht="13.5" customHeight="1" x14ac:dyDescent="0.3">
      <c r="A32" s="149" t="s">
        <v>72</v>
      </c>
      <c r="B32" s="185" t="s">
        <v>73</v>
      </c>
      <c r="C32" s="150" t="s">
        <v>254</v>
      </c>
      <c r="D32" s="2190">
        <f t="shared" si="6"/>
        <v>1960</v>
      </c>
      <c r="E32" s="2191">
        <v>967</v>
      </c>
      <c r="F32" s="2191">
        <f t="shared" si="7"/>
        <v>993</v>
      </c>
      <c r="G32" s="2191">
        <v>316</v>
      </c>
      <c r="H32" s="2192">
        <v>677</v>
      </c>
      <c r="I32" s="238"/>
      <c r="J32" s="2199">
        <f t="shared" si="8"/>
        <v>0.49336734693877549</v>
      </c>
      <c r="K32" s="2200">
        <f t="shared" si="9"/>
        <v>0.50663265306122451</v>
      </c>
      <c r="L32" s="2200">
        <f t="shared" si="10"/>
        <v>0.16122448979591836</v>
      </c>
      <c r="M32" s="2201">
        <f t="shared" si="11"/>
        <v>0.3454081632653061</v>
      </c>
    </row>
    <row r="33" spans="1:13" ht="13.5" customHeight="1" x14ac:dyDescent="0.3">
      <c r="A33" s="149" t="s">
        <v>74</v>
      </c>
      <c r="B33" s="185" t="s">
        <v>472</v>
      </c>
      <c r="C33" s="150" t="s">
        <v>255</v>
      </c>
      <c r="D33" s="2190">
        <f t="shared" si="6"/>
        <v>258502</v>
      </c>
      <c r="E33" s="2191">
        <v>213955</v>
      </c>
      <c r="F33" s="2191">
        <f t="shared" si="7"/>
        <v>44547</v>
      </c>
      <c r="G33" s="2191">
        <v>10609</v>
      </c>
      <c r="H33" s="2192">
        <v>33938</v>
      </c>
      <c r="I33" s="238"/>
      <c r="J33" s="2199">
        <f t="shared" si="8"/>
        <v>0.82767251317204504</v>
      </c>
      <c r="K33" s="2200">
        <f t="shared" si="9"/>
        <v>0.1723274868279549</v>
      </c>
      <c r="L33" s="2200">
        <f t="shared" si="10"/>
        <v>4.1040301429002481E-2</v>
      </c>
      <c r="M33" s="2201">
        <f t="shared" si="11"/>
        <v>0.13128718539895243</v>
      </c>
    </row>
    <row r="34" spans="1:13" ht="13.5" customHeight="1" x14ac:dyDescent="0.3">
      <c r="A34" s="149" t="s">
        <v>76</v>
      </c>
      <c r="B34" s="185" t="s">
        <v>77</v>
      </c>
      <c r="C34" s="150" t="s">
        <v>255</v>
      </c>
      <c r="D34" s="2190">
        <f t="shared" si="6"/>
        <v>14628</v>
      </c>
      <c r="E34" s="2191">
        <v>11925</v>
      </c>
      <c r="F34" s="2191">
        <f t="shared" si="7"/>
        <v>2703</v>
      </c>
      <c r="G34" s="2191">
        <v>814</v>
      </c>
      <c r="H34" s="2192">
        <v>1889</v>
      </c>
      <c r="I34" s="238"/>
      <c r="J34" s="2199">
        <f t="shared" si="8"/>
        <v>0.81521739130434778</v>
      </c>
      <c r="K34" s="2200">
        <f t="shared" si="9"/>
        <v>0.18478260869565216</v>
      </c>
      <c r="L34" s="2200">
        <f t="shared" si="10"/>
        <v>5.5646704949412089E-2</v>
      </c>
      <c r="M34" s="2201">
        <f t="shared" si="11"/>
        <v>0.12913590374624009</v>
      </c>
    </row>
    <row r="35" spans="1:13" ht="13.5" customHeight="1" x14ac:dyDescent="0.3">
      <c r="A35" s="149" t="s">
        <v>78</v>
      </c>
      <c r="B35" s="185" t="s">
        <v>79</v>
      </c>
      <c r="C35" s="150" t="s">
        <v>256</v>
      </c>
      <c r="D35" s="2190">
        <f t="shared" si="6"/>
        <v>2784</v>
      </c>
      <c r="E35" s="2191">
        <v>2326</v>
      </c>
      <c r="F35" s="2191">
        <f t="shared" si="7"/>
        <v>458</v>
      </c>
      <c r="G35" s="2191">
        <v>78</v>
      </c>
      <c r="H35" s="2192">
        <v>380</v>
      </c>
      <c r="I35" s="238"/>
      <c r="J35" s="2199">
        <f t="shared" si="8"/>
        <v>0.83548850574712641</v>
      </c>
      <c r="K35" s="2200">
        <f t="shared" si="9"/>
        <v>0.16451149425287356</v>
      </c>
      <c r="L35" s="2200">
        <f t="shared" si="10"/>
        <v>2.8017241379310345E-2</v>
      </c>
      <c r="M35" s="2201">
        <f t="shared" si="11"/>
        <v>0.13649425287356323</v>
      </c>
    </row>
    <row r="36" spans="1:13" ht="13.5" customHeight="1" x14ac:dyDescent="0.3">
      <c r="A36" s="149" t="s">
        <v>80</v>
      </c>
      <c r="B36" s="185" t="s">
        <v>81</v>
      </c>
      <c r="C36" s="150" t="s">
        <v>254</v>
      </c>
      <c r="D36" s="2190">
        <f t="shared" si="6"/>
        <v>4586</v>
      </c>
      <c r="E36" s="2191">
        <v>3616</v>
      </c>
      <c r="F36" s="2191">
        <f t="shared" si="7"/>
        <v>970</v>
      </c>
      <c r="G36" s="2191">
        <v>404</v>
      </c>
      <c r="H36" s="2192">
        <v>566</v>
      </c>
      <c r="I36" s="238"/>
      <c r="J36" s="2199">
        <f t="shared" si="8"/>
        <v>0.78848669864805931</v>
      </c>
      <c r="K36" s="2200">
        <f t="shared" si="9"/>
        <v>0.21151330135194069</v>
      </c>
      <c r="L36" s="2200">
        <f t="shared" si="10"/>
        <v>8.8094199738334059E-2</v>
      </c>
      <c r="M36" s="2201">
        <f t="shared" si="11"/>
        <v>0.12341910161360663</v>
      </c>
    </row>
    <row r="37" spans="1:13" ht="13.5" customHeight="1" x14ac:dyDescent="0.3">
      <c r="A37" s="149" t="s">
        <v>84</v>
      </c>
      <c r="B37" s="185" t="s">
        <v>85</v>
      </c>
      <c r="C37" s="150" t="s">
        <v>253</v>
      </c>
      <c r="D37" s="2190">
        <f t="shared" ref="D37:D68" si="12">E37+F37</f>
        <v>9258</v>
      </c>
      <c r="E37" s="2191">
        <v>6711</v>
      </c>
      <c r="F37" s="2191">
        <f t="shared" ref="F37:F68" si="13">G37+H37</f>
        <v>2547</v>
      </c>
      <c r="G37" s="2191">
        <v>629</v>
      </c>
      <c r="H37" s="2192">
        <v>1918</v>
      </c>
      <c r="I37" s="238"/>
      <c r="J37" s="2199">
        <f t="shared" ref="J37:J68" si="14">E37/D37</f>
        <v>0.72488658457550226</v>
      </c>
      <c r="K37" s="2200">
        <f t="shared" ref="K37:K68" si="15">F37/D37</f>
        <v>0.27511341542449774</v>
      </c>
      <c r="L37" s="2200">
        <f t="shared" ref="L37:L68" si="16">G37/D37</f>
        <v>6.7941240008641171E-2</v>
      </c>
      <c r="M37" s="2201">
        <f t="shared" ref="M37:M68" si="17">H37/D37</f>
        <v>0.20717217541585656</v>
      </c>
    </row>
    <row r="38" spans="1:13" ht="13.5" customHeight="1" x14ac:dyDescent="0.3">
      <c r="A38" s="149" t="s">
        <v>86</v>
      </c>
      <c r="B38" s="185" t="s">
        <v>87</v>
      </c>
      <c r="C38" s="150" t="s">
        <v>255</v>
      </c>
      <c r="D38" s="2190">
        <f t="shared" si="12"/>
        <v>17524</v>
      </c>
      <c r="E38" s="2191">
        <v>13511</v>
      </c>
      <c r="F38" s="2191">
        <f t="shared" si="13"/>
        <v>4013</v>
      </c>
      <c r="G38" s="2191">
        <v>1117</v>
      </c>
      <c r="H38" s="2192">
        <v>2896</v>
      </c>
      <c r="I38" s="238"/>
      <c r="J38" s="2199">
        <f t="shared" si="14"/>
        <v>0.77099977174161149</v>
      </c>
      <c r="K38" s="2200">
        <f t="shared" si="15"/>
        <v>0.22900022825838851</v>
      </c>
      <c r="L38" s="2200">
        <f t="shared" si="16"/>
        <v>6.3741154987445786E-2</v>
      </c>
      <c r="M38" s="2201">
        <f t="shared" si="17"/>
        <v>0.16525907327094272</v>
      </c>
    </row>
    <row r="39" spans="1:13" ht="13.5" customHeight="1" x14ac:dyDescent="0.3">
      <c r="A39" s="149" t="s">
        <v>92</v>
      </c>
      <c r="B39" s="185" t="s">
        <v>93</v>
      </c>
      <c r="C39" s="150" t="s">
        <v>256</v>
      </c>
      <c r="D39" s="2190">
        <f t="shared" si="12"/>
        <v>2820</v>
      </c>
      <c r="E39" s="2191">
        <v>1863</v>
      </c>
      <c r="F39" s="2191">
        <f t="shared" si="13"/>
        <v>957</v>
      </c>
      <c r="G39" s="2191">
        <v>416</v>
      </c>
      <c r="H39" s="2192">
        <v>541</v>
      </c>
      <c r="I39" s="238"/>
      <c r="J39" s="2199">
        <f t="shared" si="14"/>
        <v>0.66063829787234041</v>
      </c>
      <c r="K39" s="2200">
        <f t="shared" si="15"/>
        <v>0.33936170212765959</v>
      </c>
      <c r="L39" s="2200">
        <f t="shared" si="16"/>
        <v>0.14751773049645389</v>
      </c>
      <c r="M39" s="2201">
        <f t="shared" si="17"/>
        <v>0.19184397163120567</v>
      </c>
    </row>
    <row r="40" spans="1:13" ht="13.5" customHeight="1" x14ac:dyDescent="0.3">
      <c r="A40" s="149" t="s">
        <v>94</v>
      </c>
      <c r="B40" s="185" t="s">
        <v>95</v>
      </c>
      <c r="C40" s="150" t="s">
        <v>252</v>
      </c>
      <c r="D40" s="2190">
        <f t="shared" si="12"/>
        <v>6885</v>
      </c>
      <c r="E40" s="2191">
        <v>5252</v>
      </c>
      <c r="F40" s="2191">
        <f t="shared" si="13"/>
        <v>1633</v>
      </c>
      <c r="G40" s="2191">
        <v>467</v>
      </c>
      <c r="H40" s="2192">
        <v>1166</v>
      </c>
      <c r="I40" s="238"/>
      <c r="J40" s="2199">
        <f t="shared" si="14"/>
        <v>0.76281771968046475</v>
      </c>
      <c r="K40" s="2200">
        <f t="shared" si="15"/>
        <v>0.23718228031953523</v>
      </c>
      <c r="L40" s="2200">
        <f t="shared" si="16"/>
        <v>6.782861292665214E-2</v>
      </c>
      <c r="M40" s="2201">
        <f t="shared" si="17"/>
        <v>0.16935366739288307</v>
      </c>
    </row>
    <row r="41" spans="1:13" ht="13.5" customHeight="1" x14ac:dyDescent="0.3">
      <c r="A41" s="149" t="s">
        <v>96</v>
      </c>
      <c r="B41" s="185" t="s">
        <v>97</v>
      </c>
      <c r="C41" s="150" t="s">
        <v>254</v>
      </c>
      <c r="D41" s="2190">
        <f t="shared" si="12"/>
        <v>3436</v>
      </c>
      <c r="E41" s="2191">
        <v>2792</v>
      </c>
      <c r="F41" s="2191">
        <f t="shared" si="13"/>
        <v>644</v>
      </c>
      <c r="G41" s="2191">
        <v>165</v>
      </c>
      <c r="H41" s="2192">
        <v>479</v>
      </c>
      <c r="I41" s="238"/>
      <c r="J41" s="2199">
        <f t="shared" si="14"/>
        <v>0.81257275902211878</v>
      </c>
      <c r="K41" s="2200">
        <f t="shared" si="15"/>
        <v>0.18742724097788127</v>
      </c>
      <c r="L41" s="2200">
        <f t="shared" si="16"/>
        <v>4.8020954598370198E-2</v>
      </c>
      <c r="M41" s="2201">
        <f t="shared" si="17"/>
        <v>0.13940628637951105</v>
      </c>
    </row>
    <row r="42" spans="1:13" ht="13.5" customHeight="1" x14ac:dyDescent="0.3">
      <c r="A42" s="149" t="s">
        <v>98</v>
      </c>
      <c r="B42" s="185" t="s">
        <v>99</v>
      </c>
      <c r="C42" s="150" t="s">
        <v>256</v>
      </c>
      <c r="D42" s="2190">
        <f t="shared" si="12"/>
        <v>2272</v>
      </c>
      <c r="E42" s="2191">
        <v>1654</v>
      </c>
      <c r="F42" s="2191">
        <f t="shared" si="13"/>
        <v>618</v>
      </c>
      <c r="G42" s="2191">
        <v>166</v>
      </c>
      <c r="H42" s="2192">
        <v>452</v>
      </c>
      <c r="I42" s="238"/>
      <c r="J42" s="2199">
        <f t="shared" si="14"/>
        <v>0.72799295774647887</v>
      </c>
      <c r="K42" s="2200">
        <f t="shared" si="15"/>
        <v>0.27200704225352113</v>
      </c>
      <c r="L42" s="2200">
        <f t="shared" si="16"/>
        <v>7.3063380281690141E-2</v>
      </c>
      <c r="M42" s="2201">
        <f t="shared" si="17"/>
        <v>0.198943661971831</v>
      </c>
    </row>
    <row r="43" spans="1:13" ht="13.5" customHeight="1" x14ac:dyDescent="0.3">
      <c r="A43" s="149" t="s">
        <v>100</v>
      </c>
      <c r="B43" s="185" t="s">
        <v>101</v>
      </c>
      <c r="C43" s="150" t="s">
        <v>255</v>
      </c>
      <c r="D43" s="2190">
        <f t="shared" si="12"/>
        <v>4054</v>
      </c>
      <c r="E43" s="2191">
        <v>3372</v>
      </c>
      <c r="F43" s="2191">
        <f t="shared" si="13"/>
        <v>682</v>
      </c>
      <c r="G43" s="2191">
        <v>155</v>
      </c>
      <c r="H43" s="2192">
        <v>527</v>
      </c>
      <c r="I43" s="238"/>
      <c r="J43" s="2199">
        <f t="shared" si="14"/>
        <v>0.83177109028120377</v>
      </c>
      <c r="K43" s="2200">
        <f t="shared" si="15"/>
        <v>0.16822890971879625</v>
      </c>
      <c r="L43" s="2200">
        <f t="shared" si="16"/>
        <v>3.8233843117908242E-2</v>
      </c>
      <c r="M43" s="2201">
        <f t="shared" si="17"/>
        <v>0.129995066600888</v>
      </c>
    </row>
    <row r="44" spans="1:13" ht="13.5" customHeight="1" x14ac:dyDescent="0.3">
      <c r="A44" s="149" t="s">
        <v>102</v>
      </c>
      <c r="B44" s="185" t="s">
        <v>270</v>
      </c>
      <c r="C44" s="150" t="s">
        <v>252</v>
      </c>
      <c r="D44" s="2190">
        <f t="shared" si="12"/>
        <v>2748</v>
      </c>
      <c r="E44" s="2191">
        <v>1140</v>
      </c>
      <c r="F44" s="2191">
        <f t="shared" si="13"/>
        <v>1608</v>
      </c>
      <c r="G44" s="2191">
        <v>241</v>
      </c>
      <c r="H44" s="2192">
        <v>1367</v>
      </c>
      <c r="I44" s="238"/>
      <c r="J44" s="2199">
        <f t="shared" si="14"/>
        <v>0.41484716157205243</v>
      </c>
      <c r="K44" s="2200">
        <f t="shared" si="15"/>
        <v>0.58515283842794763</v>
      </c>
      <c r="L44" s="2200">
        <f t="shared" si="16"/>
        <v>8.7700145560407575E-2</v>
      </c>
      <c r="M44" s="2201">
        <f t="shared" si="17"/>
        <v>0.49745269286754001</v>
      </c>
    </row>
    <row r="45" spans="1:13" ht="13.5" customHeight="1" x14ac:dyDescent="0.3">
      <c r="A45" s="149" t="s">
        <v>104</v>
      </c>
      <c r="B45" s="185" t="s">
        <v>105</v>
      </c>
      <c r="C45" s="150" t="s">
        <v>253</v>
      </c>
      <c r="D45" s="2190">
        <f t="shared" si="12"/>
        <v>6048</v>
      </c>
      <c r="E45" s="2191">
        <v>4039</v>
      </c>
      <c r="F45" s="2191">
        <f t="shared" si="13"/>
        <v>2009</v>
      </c>
      <c r="G45" s="2191">
        <v>370</v>
      </c>
      <c r="H45" s="2192">
        <v>1639</v>
      </c>
      <c r="I45" s="238"/>
      <c r="J45" s="2199">
        <f t="shared" si="14"/>
        <v>0.66782407407407407</v>
      </c>
      <c r="K45" s="2200">
        <f t="shared" si="15"/>
        <v>0.33217592592592593</v>
      </c>
      <c r="L45" s="2200">
        <f t="shared" si="16"/>
        <v>6.1177248677248677E-2</v>
      </c>
      <c r="M45" s="2201">
        <f t="shared" si="17"/>
        <v>0.27099867724867727</v>
      </c>
    </row>
    <row r="46" spans="1:13" ht="13.5" customHeight="1" x14ac:dyDescent="0.3">
      <c r="A46" s="149" t="s">
        <v>108</v>
      </c>
      <c r="B46" s="185" t="s">
        <v>109</v>
      </c>
      <c r="C46" s="150" t="s">
        <v>254</v>
      </c>
      <c r="D46" s="2190">
        <f t="shared" si="12"/>
        <v>21494</v>
      </c>
      <c r="E46" s="2191">
        <v>17718</v>
      </c>
      <c r="F46" s="2191">
        <f t="shared" si="13"/>
        <v>3776</v>
      </c>
      <c r="G46" s="2191">
        <v>962</v>
      </c>
      <c r="H46" s="2192">
        <v>2814</v>
      </c>
      <c r="I46" s="238"/>
      <c r="J46" s="2199">
        <f t="shared" si="14"/>
        <v>0.82432306690239132</v>
      </c>
      <c r="K46" s="2200">
        <f t="shared" si="15"/>
        <v>0.17567693309760862</v>
      </c>
      <c r="L46" s="2200">
        <f t="shared" si="16"/>
        <v>4.4756676281753047E-2</v>
      </c>
      <c r="M46" s="2201">
        <f t="shared" si="17"/>
        <v>0.13092025681585559</v>
      </c>
    </row>
    <row r="47" spans="1:13" ht="13.5" customHeight="1" x14ac:dyDescent="0.3">
      <c r="A47" s="149" t="s">
        <v>110</v>
      </c>
      <c r="B47" s="185" t="s">
        <v>111</v>
      </c>
      <c r="C47" s="150" t="s">
        <v>254</v>
      </c>
      <c r="D47" s="2190">
        <f t="shared" si="12"/>
        <v>67595</v>
      </c>
      <c r="E47" s="2191">
        <v>46211</v>
      </c>
      <c r="F47" s="2191">
        <f t="shared" si="13"/>
        <v>21384</v>
      </c>
      <c r="G47" s="2191">
        <v>4276</v>
      </c>
      <c r="H47" s="2192">
        <v>17108</v>
      </c>
      <c r="I47" s="238"/>
      <c r="J47" s="2199">
        <f t="shared" si="14"/>
        <v>0.68364524003254679</v>
      </c>
      <c r="K47" s="2200">
        <f t="shared" si="15"/>
        <v>0.31635475996745321</v>
      </c>
      <c r="L47" s="2200">
        <f t="shared" si="16"/>
        <v>6.3259116798579776E-2</v>
      </c>
      <c r="M47" s="2201">
        <f t="shared" si="17"/>
        <v>0.25309564316887345</v>
      </c>
    </row>
    <row r="48" spans="1:13" ht="13.5" customHeight="1" x14ac:dyDescent="0.3">
      <c r="A48" s="149" t="s">
        <v>112</v>
      </c>
      <c r="B48" s="185" t="s">
        <v>288</v>
      </c>
      <c r="C48" s="150" t="s">
        <v>253</v>
      </c>
      <c r="D48" s="2190">
        <f t="shared" si="12"/>
        <v>11047</v>
      </c>
      <c r="E48" s="2191">
        <v>6453</v>
      </c>
      <c r="F48" s="2191">
        <f t="shared" si="13"/>
        <v>4594</v>
      </c>
      <c r="G48" s="2191">
        <v>532</v>
      </c>
      <c r="H48" s="2192">
        <v>4062</v>
      </c>
      <c r="I48" s="238"/>
      <c r="J48" s="2199">
        <f t="shared" si="14"/>
        <v>0.58414049063094053</v>
      </c>
      <c r="K48" s="2200">
        <f t="shared" si="15"/>
        <v>0.41585950936905947</v>
      </c>
      <c r="L48" s="2200">
        <f t="shared" si="16"/>
        <v>4.8157870915180589E-2</v>
      </c>
      <c r="M48" s="2201">
        <f t="shared" si="17"/>
        <v>0.36770163845387888</v>
      </c>
    </row>
    <row r="49" spans="1:13" ht="13.5" customHeight="1" x14ac:dyDescent="0.3">
      <c r="A49" s="149" t="s">
        <v>114</v>
      </c>
      <c r="B49" s="185" t="s">
        <v>115</v>
      </c>
      <c r="C49" s="150" t="s">
        <v>253</v>
      </c>
      <c r="D49" s="2190">
        <f t="shared" si="12"/>
        <v>232</v>
      </c>
      <c r="E49" s="2191">
        <v>186</v>
      </c>
      <c r="F49" s="2191">
        <f t="shared" si="13"/>
        <v>46</v>
      </c>
      <c r="G49" s="2191">
        <v>22</v>
      </c>
      <c r="H49" s="2192">
        <v>24</v>
      </c>
      <c r="I49" s="238"/>
      <c r="J49" s="2199">
        <f t="shared" si="14"/>
        <v>0.80172413793103448</v>
      </c>
      <c r="K49" s="2200">
        <f t="shared" si="15"/>
        <v>0.19827586206896552</v>
      </c>
      <c r="L49" s="2200">
        <f t="shared" si="16"/>
        <v>9.4827586206896547E-2</v>
      </c>
      <c r="M49" s="2201">
        <f t="shared" si="17"/>
        <v>0.10344827586206896</v>
      </c>
    </row>
    <row r="50" spans="1:13" ht="13.5" customHeight="1" x14ac:dyDescent="0.3">
      <c r="A50" s="149" t="s">
        <v>118</v>
      </c>
      <c r="B50" s="185" t="s">
        <v>258</v>
      </c>
      <c r="C50" s="150" t="s">
        <v>252</v>
      </c>
      <c r="D50" s="2190">
        <f t="shared" si="12"/>
        <v>6927</v>
      </c>
      <c r="E50" s="2191">
        <v>5047</v>
      </c>
      <c r="F50" s="2191">
        <f t="shared" si="13"/>
        <v>1880</v>
      </c>
      <c r="G50" s="2191">
        <v>263</v>
      </c>
      <c r="H50" s="2192">
        <v>1617</v>
      </c>
      <c r="I50" s="238"/>
      <c r="J50" s="2199">
        <f t="shared" si="14"/>
        <v>0.72859823877580487</v>
      </c>
      <c r="K50" s="2200">
        <f t="shared" si="15"/>
        <v>0.27140176122419518</v>
      </c>
      <c r="L50" s="2200">
        <f t="shared" si="16"/>
        <v>3.796737404359752E-2</v>
      </c>
      <c r="M50" s="2201">
        <f t="shared" si="17"/>
        <v>0.23343438718059767</v>
      </c>
    </row>
    <row r="51" spans="1:13" ht="13.5" customHeight="1" x14ac:dyDescent="0.3">
      <c r="A51" s="149" t="s">
        <v>120</v>
      </c>
      <c r="B51" s="185" t="s">
        <v>121</v>
      </c>
      <c r="C51" s="150" t="s">
        <v>252</v>
      </c>
      <c r="D51" s="2190">
        <f t="shared" si="12"/>
        <v>14017</v>
      </c>
      <c r="E51" s="2191">
        <v>10803</v>
      </c>
      <c r="F51" s="2191">
        <f t="shared" si="13"/>
        <v>3214</v>
      </c>
      <c r="G51" s="2191">
        <v>1141</v>
      </c>
      <c r="H51" s="2192">
        <v>2073</v>
      </c>
      <c r="I51" s="238"/>
      <c r="J51" s="2199">
        <f t="shared" si="14"/>
        <v>0.77070699864450309</v>
      </c>
      <c r="K51" s="2200">
        <f t="shared" si="15"/>
        <v>0.22929300135549691</v>
      </c>
      <c r="L51" s="2200">
        <f t="shared" si="16"/>
        <v>8.1401155739459233E-2</v>
      </c>
      <c r="M51" s="2201">
        <f t="shared" si="17"/>
        <v>0.14789184561603766</v>
      </c>
    </row>
    <row r="52" spans="1:13" ht="13.5" customHeight="1" x14ac:dyDescent="0.3">
      <c r="A52" s="149" t="s">
        <v>122</v>
      </c>
      <c r="B52" s="185" t="s">
        <v>259</v>
      </c>
      <c r="C52" s="150" t="s">
        <v>254</v>
      </c>
      <c r="D52" s="2190">
        <f t="shared" si="12"/>
        <v>1104</v>
      </c>
      <c r="E52" s="2191">
        <v>647</v>
      </c>
      <c r="F52" s="2191">
        <f t="shared" si="13"/>
        <v>457</v>
      </c>
      <c r="G52" s="2191">
        <v>3</v>
      </c>
      <c r="H52" s="2192">
        <v>454</v>
      </c>
      <c r="I52" s="238"/>
      <c r="J52" s="2199">
        <f t="shared" si="14"/>
        <v>0.58605072463768115</v>
      </c>
      <c r="K52" s="2200">
        <f t="shared" si="15"/>
        <v>0.41394927536231885</v>
      </c>
      <c r="L52" s="2200">
        <f t="shared" si="16"/>
        <v>2.717391304347826E-3</v>
      </c>
      <c r="M52" s="2201">
        <f t="shared" si="17"/>
        <v>0.41123188405797101</v>
      </c>
    </row>
    <row r="53" spans="1:13" ht="13.5" customHeight="1" x14ac:dyDescent="0.3">
      <c r="A53" s="149" t="s">
        <v>124</v>
      </c>
      <c r="B53" s="185" t="s">
        <v>125</v>
      </c>
      <c r="C53" s="150" t="s">
        <v>255</v>
      </c>
      <c r="D53" s="2190">
        <f t="shared" si="12"/>
        <v>5605</v>
      </c>
      <c r="E53" s="2191">
        <v>4584</v>
      </c>
      <c r="F53" s="2191">
        <f t="shared" si="13"/>
        <v>1021</v>
      </c>
      <c r="G53" s="2191">
        <v>476</v>
      </c>
      <c r="H53" s="2192">
        <v>545</v>
      </c>
      <c r="I53" s="238"/>
      <c r="J53" s="2199">
        <f t="shared" si="14"/>
        <v>0.81784121320249781</v>
      </c>
      <c r="K53" s="2200">
        <f t="shared" si="15"/>
        <v>0.18215878679750222</v>
      </c>
      <c r="L53" s="2200">
        <f t="shared" si="16"/>
        <v>8.492417484388938E-2</v>
      </c>
      <c r="M53" s="2201">
        <f t="shared" si="17"/>
        <v>9.723461195361284E-2</v>
      </c>
    </row>
    <row r="54" spans="1:13" ht="13.5" customHeight="1" x14ac:dyDescent="0.3">
      <c r="A54" s="149" t="s">
        <v>126</v>
      </c>
      <c r="B54" s="185" t="s">
        <v>127</v>
      </c>
      <c r="C54" s="150" t="s">
        <v>254</v>
      </c>
      <c r="D54" s="2190">
        <f t="shared" si="12"/>
        <v>3465</v>
      </c>
      <c r="E54" s="2191">
        <v>2413</v>
      </c>
      <c r="F54" s="2191">
        <f t="shared" si="13"/>
        <v>1052</v>
      </c>
      <c r="G54" s="2191">
        <v>245</v>
      </c>
      <c r="H54" s="2192">
        <v>807</v>
      </c>
      <c r="I54" s="238"/>
      <c r="J54" s="2199">
        <f t="shared" si="14"/>
        <v>0.69639249639249634</v>
      </c>
      <c r="K54" s="2200">
        <f t="shared" si="15"/>
        <v>0.3036075036075036</v>
      </c>
      <c r="L54" s="2200">
        <f t="shared" si="16"/>
        <v>7.0707070707070704E-2</v>
      </c>
      <c r="M54" s="2201">
        <f t="shared" si="17"/>
        <v>0.23290043290043291</v>
      </c>
    </row>
    <row r="55" spans="1:13" ht="13.5" customHeight="1" x14ac:dyDescent="0.3">
      <c r="A55" s="149" t="s">
        <v>128</v>
      </c>
      <c r="B55" s="185" t="s">
        <v>129</v>
      </c>
      <c r="C55" s="150" t="s">
        <v>254</v>
      </c>
      <c r="D55" s="2190">
        <f t="shared" si="12"/>
        <v>1333</v>
      </c>
      <c r="E55" s="2191">
        <v>788</v>
      </c>
      <c r="F55" s="2191">
        <f t="shared" si="13"/>
        <v>545</v>
      </c>
      <c r="G55" s="2191">
        <v>123</v>
      </c>
      <c r="H55" s="2192">
        <v>422</v>
      </c>
      <c r="I55" s="238"/>
      <c r="J55" s="2199">
        <f t="shared" si="14"/>
        <v>0.59114778694673664</v>
      </c>
      <c r="K55" s="2200">
        <f t="shared" si="15"/>
        <v>0.4088522130532633</v>
      </c>
      <c r="L55" s="2200">
        <f t="shared" si="16"/>
        <v>9.2273068267066771E-2</v>
      </c>
      <c r="M55" s="2201">
        <f t="shared" si="17"/>
        <v>0.31657914478619653</v>
      </c>
    </row>
    <row r="56" spans="1:13" ht="13.5" customHeight="1" x14ac:dyDescent="0.3">
      <c r="A56" s="149" t="s">
        <v>130</v>
      </c>
      <c r="B56" s="185" t="s">
        <v>131</v>
      </c>
      <c r="C56" s="150" t="s">
        <v>256</v>
      </c>
      <c r="D56" s="2190">
        <f t="shared" si="12"/>
        <v>3759</v>
      </c>
      <c r="E56" s="2191">
        <v>2700</v>
      </c>
      <c r="F56" s="2191">
        <f t="shared" si="13"/>
        <v>1059</v>
      </c>
      <c r="G56" s="2191">
        <v>364</v>
      </c>
      <c r="H56" s="2192">
        <v>695</v>
      </c>
      <c r="I56" s="238"/>
      <c r="J56" s="2199">
        <f t="shared" si="14"/>
        <v>0.71827613727055073</v>
      </c>
      <c r="K56" s="2200">
        <f t="shared" si="15"/>
        <v>0.28172386272944933</v>
      </c>
      <c r="L56" s="2200">
        <f t="shared" si="16"/>
        <v>9.683426443202979E-2</v>
      </c>
      <c r="M56" s="2201">
        <f t="shared" si="17"/>
        <v>0.18488959829741952</v>
      </c>
    </row>
    <row r="57" spans="1:13" ht="13.5" customHeight="1" x14ac:dyDescent="0.3">
      <c r="A57" s="149" t="s">
        <v>132</v>
      </c>
      <c r="B57" s="185" t="s">
        <v>133</v>
      </c>
      <c r="C57" s="150" t="s">
        <v>255</v>
      </c>
      <c r="D57" s="2190">
        <f t="shared" si="12"/>
        <v>104357</v>
      </c>
      <c r="E57" s="2191">
        <v>91654</v>
      </c>
      <c r="F57" s="2191">
        <f t="shared" si="13"/>
        <v>12703</v>
      </c>
      <c r="G57" s="2191">
        <v>3327</v>
      </c>
      <c r="H57" s="2192">
        <v>9376</v>
      </c>
      <c r="I57" s="238"/>
      <c r="J57" s="2199">
        <f t="shared" si="14"/>
        <v>0.87827361844437846</v>
      </c>
      <c r="K57" s="2200">
        <f t="shared" si="15"/>
        <v>0.12172638155562157</v>
      </c>
      <c r="L57" s="2200">
        <f t="shared" si="16"/>
        <v>3.1880947133397855E-2</v>
      </c>
      <c r="M57" s="2201">
        <f t="shared" si="17"/>
        <v>8.9845434422223716E-2</v>
      </c>
    </row>
    <row r="58" spans="1:13" ht="13.5" customHeight="1" x14ac:dyDescent="0.3">
      <c r="A58" s="149" t="s">
        <v>134</v>
      </c>
      <c r="B58" s="185" t="s">
        <v>135</v>
      </c>
      <c r="C58" s="150" t="s">
        <v>255</v>
      </c>
      <c r="D58" s="2190">
        <f t="shared" si="12"/>
        <v>6388</v>
      </c>
      <c r="E58" s="2191">
        <v>4617</v>
      </c>
      <c r="F58" s="2191">
        <f t="shared" si="13"/>
        <v>1771</v>
      </c>
      <c r="G58" s="2191">
        <v>597</v>
      </c>
      <c r="H58" s="2192">
        <v>1174</v>
      </c>
      <c r="I58" s="238"/>
      <c r="J58" s="2199">
        <f t="shared" si="14"/>
        <v>0.72276142767689422</v>
      </c>
      <c r="K58" s="2200">
        <f t="shared" si="15"/>
        <v>0.27723857232310584</v>
      </c>
      <c r="L58" s="2200">
        <f t="shared" si="16"/>
        <v>9.3456480901690675E-2</v>
      </c>
      <c r="M58" s="2201">
        <f t="shared" si="17"/>
        <v>0.18378209142141516</v>
      </c>
    </row>
    <row r="59" spans="1:13" ht="13.5" customHeight="1" x14ac:dyDescent="0.3">
      <c r="A59" s="149" t="s">
        <v>136</v>
      </c>
      <c r="B59" s="185" t="s">
        <v>137</v>
      </c>
      <c r="C59" s="150" t="s">
        <v>254</v>
      </c>
      <c r="D59" s="2190">
        <f t="shared" si="12"/>
        <v>1971</v>
      </c>
      <c r="E59" s="2191">
        <v>1158</v>
      </c>
      <c r="F59" s="2191">
        <f t="shared" si="13"/>
        <v>813</v>
      </c>
      <c r="G59" s="2191">
        <v>244</v>
      </c>
      <c r="H59" s="2192">
        <v>569</v>
      </c>
      <c r="I59" s="238"/>
      <c r="J59" s="2199">
        <f t="shared" si="14"/>
        <v>0.58751902587519023</v>
      </c>
      <c r="K59" s="2200">
        <f t="shared" si="15"/>
        <v>0.41248097412480972</v>
      </c>
      <c r="L59" s="2200">
        <f t="shared" si="16"/>
        <v>0.12379502790461694</v>
      </c>
      <c r="M59" s="2201">
        <f t="shared" si="17"/>
        <v>0.28868594622019278</v>
      </c>
    </row>
    <row r="60" spans="1:13" ht="13.5" customHeight="1" x14ac:dyDescent="0.3">
      <c r="A60" s="149" t="s">
        <v>140</v>
      </c>
      <c r="B60" s="185" t="s">
        <v>141</v>
      </c>
      <c r="C60" s="150" t="s">
        <v>255</v>
      </c>
      <c r="D60" s="2190">
        <f t="shared" si="12"/>
        <v>2290</v>
      </c>
      <c r="E60" s="2191">
        <v>1781</v>
      </c>
      <c r="F60" s="2191">
        <f t="shared" si="13"/>
        <v>509</v>
      </c>
      <c r="G60" s="2191">
        <v>142</v>
      </c>
      <c r="H60" s="2192">
        <v>367</v>
      </c>
      <c r="I60" s="238"/>
      <c r="J60" s="2199">
        <f t="shared" si="14"/>
        <v>0.77772925764192136</v>
      </c>
      <c r="K60" s="2200">
        <f t="shared" si="15"/>
        <v>0.22227074235807862</v>
      </c>
      <c r="L60" s="2200">
        <f t="shared" si="16"/>
        <v>6.2008733624454151E-2</v>
      </c>
      <c r="M60" s="2201">
        <f t="shared" si="17"/>
        <v>0.16026200873362445</v>
      </c>
    </row>
    <row r="61" spans="1:13" ht="13.5" customHeight="1" x14ac:dyDescent="0.3">
      <c r="A61" s="149" t="s">
        <v>146</v>
      </c>
      <c r="B61" s="185" t="s">
        <v>147</v>
      </c>
      <c r="C61" s="150" t="s">
        <v>252</v>
      </c>
      <c r="D61" s="2190">
        <f t="shared" si="12"/>
        <v>1205</v>
      </c>
      <c r="E61" s="2191">
        <v>1010</v>
      </c>
      <c r="F61" s="2191">
        <f t="shared" si="13"/>
        <v>195</v>
      </c>
      <c r="G61" s="2191">
        <v>26</v>
      </c>
      <c r="H61" s="2192">
        <v>169</v>
      </c>
      <c r="I61" s="238"/>
      <c r="J61" s="2199">
        <f t="shared" si="14"/>
        <v>0.83817427385892118</v>
      </c>
      <c r="K61" s="2200">
        <f t="shared" si="15"/>
        <v>0.16182572614107885</v>
      </c>
      <c r="L61" s="2200">
        <f t="shared" si="16"/>
        <v>2.1576763485477178E-2</v>
      </c>
      <c r="M61" s="2201">
        <f t="shared" si="17"/>
        <v>0.14024896265560166</v>
      </c>
    </row>
    <row r="62" spans="1:13" ht="13.5" customHeight="1" x14ac:dyDescent="0.3">
      <c r="A62" s="149" t="s">
        <v>148</v>
      </c>
      <c r="B62" s="185" t="s">
        <v>149</v>
      </c>
      <c r="C62" s="150" t="s">
        <v>253</v>
      </c>
      <c r="D62" s="2190">
        <f t="shared" si="12"/>
        <v>4635</v>
      </c>
      <c r="E62" s="2191">
        <v>2541</v>
      </c>
      <c r="F62" s="2191">
        <f t="shared" si="13"/>
        <v>2094</v>
      </c>
      <c r="G62" s="2191">
        <v>409</v>
      </c>
      <c r="H62" s="2192">
        <v>1685</v>
      </c>
      <c r="I62" s="238"/>
      <c r="J62" s="2199">
        <f t="shared" si="14"/>
        <v>0.54822006472491913</v>
      </c>
      <c r="K62" s="2200">
        <f t="shared" si="15"/>
        <v>0.45177993527508092</v>
      </c>
      <c r="L62" s="2200">
        <f t="shared" si="16"/>
        <v>8.8241639697950375E-2</v>
      </c>
      <c r="M62" s="2201">
        <f t="shared" si="17"/>
        <v>0.36353829557713052</v>
      </c>
    </row>
    <row r="63" spans="1:13" ht="13.5" customHeight="1" x14ac:dyDescent="0.3">
      <c r="A63" s="149" t="s">
        <v>150</v>
      </c>
      <c r="B63" s="185" t="s">
        <v>151</v>
      </c>
      <c r="C63" s="150" t="s">
        <v>254</v>
      </c>
      <c r="D63" s="2190">
        <f t="shared" si="12"/>
        <v>1351</v>
      </c>
      <c r="E63" s="2191">
        <v>1075</v>
      </c>
      <c r="F63" s="2191">
        <f t="shared" si="13"/>
        <v>276</v>
      </c>
      <c r="G63" s="2191">
        <v>122</v>
      </c>
      <c r="H63" s="2192">
        <v>154</v>
      </c>
      <c r="I63" s="238"/>
      <c r="J63" s="2199">
        <f t="shared" si="14"/>
        <v>0.79570688378978538</v>
      </c>
      <c r="K63" s="2200">
        <f t="shared" si="15"/>
        <v>0.20429311621021465</v>
      </c>
      <c r="L63" s="2200">
        <f t="shared" si="16"/>
        <v>9.0303478904515178E-2</v>
      </c>
      <c r="M63" s="2201">
        <f t="shared" si="17"/>
        <v>0.11398963730569948</v>
      </c>
    </row>
    <row r="64" spans="1:13" ht="13.5" customHeight="1" x14ac:dyDescent="0.3">
      <c r="A64" s="149" t="s">
        <v>152</v>
      </c>
      <c r="B64" s="185" t="s">
        <v>153</v>
      </c>
      <c r="C64" s="150" t="s">
        <v>256</v>
      </c>
      <c r="D64" s="2190">
        <f t="shared" si="12"/>
        <v>14128</v>
      </c>
      <c r="E64" s="2191">
        <v>11073</v>
      </c>
      <c r="F64" s="2191">
        <f t="shared" si="13"/>
        <v>3055</v>
      </c>
      <c r="G64" s="2191">
        <v>1053</v>
      </c>
      <c r="H64" s="2192">
        <v>2002</v>
      </c>
      <c r="I64" s="238"/>
      <c r="J64" s="2199">
        <f t="shared" si="14"/>
        <v>0.7837627406568517</v>
      </c>
      <c r="K64" s="2200">
        <f t="shared" si="15"/>
        <v>0.21623725934314836</v>
      </c>
      <c r="L64" s="2200">
        <f t="shared" si="16"/>
        <v>7.4532842582106462E-2</v>
      </c>
      <c r="M64" s="2201">
        <f t="shared" si="17"/>
        <v>0.1417044167610419</v>
      </c>
    </row>
    <row r="65" spans="1:13" ht="13.5" customHeight="1" x14ac:dyDescent="0.3">
      <c r="A65" s="149" t="s">
        <v>154</v>
      </c>
      <c r="B65" s="185" t="s">
        <v>155</v>
      </c>
      <c r="C65" s="150" t="s">
        <v>253</v>
      </c>
      <c r="D65" s="2190">
        <f t="shared" si="12"/>
        <v>2149</v>
      </c>
      <c r="E65" s="2191">
        <v>1373</v>
      </c>
      <c r="F65" s="2191">
        <f t="shared" si="13"/>
        <v>776</v>
      </c>
      <c r="G65" s="2191">
        <v>174</v>
      </c>
      <c r="H65" s="2192">
        <v>602</v>
      </c>
      <c r="I65" s="238"/>
      <c r="J65" s="2199">
        <f t="shared" si="14"/>
        <v>0.63890181479758024</v>
      </c>
      <c r="K65" s="2200">
        <f t="shared" si="15"/>
        <v>0.36109818520241971</v>
      </c>
      <c r="L65" s="2200">
        <f t="shared" si="16"/>
        <v>8.0967892042810616E-2</v>
      </c>
      <c r="M65" s="2201">
        <f t="shared" si="17"/>
        <v>0.28013029315960913</v>
      </c>
    </row>
    <row r="66" spans="1:13" ht="13.5" customHeight="1" x14ac:dyDescent="0.3">
      <c r="A66" s="149" t="s">
        <v>156</v>
      </c>
      <c r="B66" s="185" t="s">
        <v>157</v>
      </c>
      <c r="C66" s="150" t="s">
        <v>254</v>
      </c>
      <c r="D66" s="2190">
        <f t="shared" si="12"/>
        <v>3855</v>
      </c>
      <c r="E66" s="2191">
        <v>3201</v>
      </c>
      <c r="F66" s="2191">
        <f t="shared" si="13"/>
        <v>654</v>
      </c>
      <c r="G66" s="2191">
        <v>55</v>
      </c>
      <c r="H66" s="2192">
        <v>599</v>
      </c>
      <c r="I66" s="238"/>
      <c r="J66" s="2199">
        <f t="shared" si="14"/>
        <v>0.83035019455252923</v>
      </c>
      <c r="K66" s="2200">
        <f t="shared" si="15"/>
        <v>0.16964980544747083</v>
      </c>
      <c r="L66" s="2200">
        <f t="shared" si="16"/>
        <v>1.4267185473411154E-2</v>
      </c>
      <c r="M66" s="2201">
        <f t="shared" si="17"/>
        <v>0.15538261997405967</v>
      </c>
    </row>
    <row r="67" spans="1:13" ht="13.5" customHeight="1" x14ac:dyDescent="0.3">
      <c r="A67" s="149" t="s">
        <v>162</v>
      </c>
      <c r="B67" s="185" t="s">
        <v>163</v>
      </c>
      <c r="C67" s="150" t="s">
        <v>252</v>
      </c>
      <c r="D67" s="2190">
        <f t="shared" si="12"/>
        <v>1988</v>
      </c>
      <c r="E67" s="2191">
        <v>1021</v>
      </c>
      <c r="F67" s="2191">
        <f t="shared" si="13"/>
        <v>967</v>
      </c>
      <c r="G67" s="2191">
        <v>199</v>
      </c>
      <c r="H67" s="2192">
        <v>768</v>
      </c>
      <c r="I67" s="238"/>
      <c r="J67" s="2199">
        <f t="shared" si="14"/>
        <v>0.51358148893360156</v>
      </c>
      <c r="K67" s="2200">
        <f t="shared" si="15"/>
        <v>0.48641851106639838</v>
      </c>
      <c r="L67" s="2200">
        <f t="shared" si="16"/>
        <v>0.10010060362173039</v>
      </c>
      <c r="M67" s="2201">
        <f t="shared" si="17"/>
        <v>0.38631790744466799</v>
      </c>
    </row>
    <row r="68" spans="1:13" ht="13.5" customHeight="1" x14ac:dyDescent="0.3">
      <c r="A68" s="149" t="s">
        <v>164</v>
      </c>
      <c r="B68" s="185" t="s">
        <v>165</v>
      </c>
      <c r="C68" s="150" t="s">
        <v>254</v>
      </c>
      <c r="D68" s="2190">
        <f t="shared" si="12"/>
        <v>1400</v>
      </c>
      <c r="E68" s="2191">
        <v>928</v>
      </c>
      <c r="F68" s="2191">
        <f t="shared" si="13"/>
        <v>472</v>
      </c>
      <c r="G68" s="2191">
        <v>52</v>
      </c>
      <c r="H68" s="2192">
        <v>420</v>
      </c>
      <c r="I68" s="238"/>
      <c r="J68" s="2199">
        <f t="shared" si="14"/>
        <v>0.66285714285714281</v>
      </c>
      <c r="K68" s="2200">
        <f t="shared" si="15"/>
        <v>0.33714285714285713</v>
      </c>
      <c r="L68" s="2200">
        <f t="shared" si="16"/>
        <v>3.7142857142857144E-2</v>
      </c>
      <c r="M68" s="2201">
        <f t="shared" si="17"/>
        <v>0.3</v>
      </c>
    </row>
    <row r="69" spans="1:13" ht="13.5" customHeight="1" x14ac:dyDescent="0.3">
      <c r="A69" s="149" t="s">
        <v>168</v>
      </c>
      <c r="B69" s="185" t="s">
        <v>169</v>
      </c>
      <c r="C69" s="150" t="s">
        <v>254</v>
      </c>
      <c r="D69" s="2190">
        <f t="shared" ref="D69:D100" si="18">E69+F69</f>
        <v>2506</v>
      </c>
      <c r="E69" s="2191">
        <v>1506</v>
      </c>
      <c r="F69" s="2191">
        <f t="shared" ref="F69:F100" si="19">G69+H69</f>
        <v>1000</v>
      </c>
      <c r="G69" s="2191">
        <v>171</v>
      </c>
      <c r="H69" s="2192">
        <v>829</v>
      </c>
      <c r="I69" s="238"/>
      <c r="J69" s="2199">
        <f t="shared" ref="J69:J100" si="20">E69/D69</f>
        <v>0.60095770151636074</v>
      </c>
      <c r="K69" s="2200">
        <f t="shared" ref="K69:K100" si="21">F69/D69</f>
        <v>0.39904229848363926</v>
      </c>
      <c r="L69" s="2200">
        <f t="shared" ref="L69:L100" si="22">G69/D69</f>
        <v>6.823623304070231E-2</v>
      </c>
      <c r="M69" s="2201">
        <f t="shared" ref="M69:M100" si="23">H69/D69</f>
        <v>0.33080606544293695</v>
      </c>
    </row>
    <row r="70" spans="1:13" ht="13.5" customHeight="1" x14ac:dyDescent="0.3">
      <c r="A70" s="149" t="s">
        <v>170</v>
      </c>
      <c r="B70" s="185" t="s">
        <v>171</v>
      </c>
      <c r="C70" s="150" t="s">
        <v>255</v>
      </c>
      <c r="D70" s="2190">
        <f t="shared" si="18"/>
        <v>6843</v>
      </c>
      <c r="E70" s="2191">
        <v>4665</v>
      </c>
      <c r="F70" s="2191">
        <f t="shared" si="19"/>
        <v>2178</v>
      </c>
      <c r="G70" s="2191">
        <v>655</v>
      </c>
      <c r="H70" s="2192">
        <v>1523</v>
      </c>
      <c r="I70" s="238"/>
      <c r="J70" s="2199">
        <f t="shared" si="20"/>
        <v>0.68171854449802716</v>
      </c>
      <c r="K70" s="2200">
        <f t="shared" si="21"/>
        <v>0.31828145550197284</v>
      </c>
      <c r="L70" s="2200">
        <f t="shared" si="22"/>
        <v>9.5718252228554734E-2</v>
      </c>
      <c r="M70" s="2201">
        <f t="shared" si="23"/>
        <v>0.22256320327341808</v>
      </c>
    </row>
    <row r="71" spans="1:13" ht="13.5" customHeight="1" x14ac:dyDescent="0.3">
      <c r="A71" s="149" t="s">
        <v>172</v>
      </c>
      <c r="B71" s="185" t="s">
        <v>173</v>
      </c>
      <c r="C71" s="150" t="s">
        <v>255</v>
      </c>
      <c r="D71" s="2190">
        <f t="shared" si="18"/>
        <v>4120</v>
      </c>
      <c r="E71" s="2191">
        <v>2836</v>
      </c>
      <c r="F71" s="2191">
        <f t="shared" si="19"/>
        <v>1284</v>
      </c>
      <c r="G71" s="2191">
        <v>598</v>
      </c>
      <c r="H71" s="2192">
        <v>686</v>
      </c>
      <c r="I71" s="238"/>
      <c r="J71" s="2199">
        <f t="shared" si="20"/>
        <v>0.68834951456310678</v>
      </c>
      <c r="K71" s="2200">
        <f t="shared" si="21"/>
        <v>0.31165048543689322</v>
      </c>
      <c r="L71" s="2200">
        <f t="shared" si="22"/>
        <v>0.14514563106796116</v>
      </c>
      <c r="M71" s="2201">
        <f t="shared" si="23"/>
        <v>0.16650485436893203</v>
      </c>
    </row>
    <row r="72" spans="1:13" ht="13.5" customHeight="1" x14ac:dyDescent="0.3">
      <c r="A72" s="149" t="s">
        <v>174</v>
      </c>
      <c r="B72" s="185" t="s">
        <v>175</v>
      </c>
      <c r="C72" s="150" t="s">
        <v>256</v>
      </c>
      <c r="D72" s="2190">
        <f t="shared" si="18"/>
        <v>2681</v>
      </c>
      <c r="E72" s="2191">
        <v>1817</v>
      </c>
      <c r="F72" s="2191">
        <f t="shared" si="19"/>
        <v>864</v>
      </c>
      <c r="G72" s="2191">
        <v>131</v>
      </c>
      <c r="H72" s="2192">
        <v>733</v>
      </c>
      <c r="I72" s="238"/>
      <c r="J72" s="2199">
        <f t="shared" si="20"/>
        <v>0.6777321894815368</v>
      </c>
      <c r="K72" s="2200">
        <f t="shared" si="21"/>
        <v>0.32226781051846326</v>
      </c>
      <c r="L72" s="2200">
        <f t="shared" si="22"/>
        <v>4.8862364789257741E-2</v>
      </c>
      <c r="M72" s="2201">
        <f t="shared" si="23"/>
        <v>0.2734054457292055</v>
      </c>
    </row>
    <row r="73" spans="1:13" ht="13.5" customHeight="1" x14ac:dyDescent="0.3">
      <c r="A73" s="149" t="s">
        <v>178</v>
      </c>
      <c r="B73" s="185" t="s">
        <v>179</v>
      </c>
      <c r="C73" s="150" t="s">
        <v>253</v>
      </c>
      <c r="D73" s="2190">
        <f t="shared" si="18"/>
        <v>10029</v>
      </c>
      <c r="E73" s="2191">
        <v>6659</v>
      </c>
      <c r="F73" s="2191">
        <f t="shared" si="19"/>
        <v>3370</v>
      </c>
      <c r="G73" s="2191">
        <v>728</v>
      </c>
      <c r="H73" s="2192">
        <v>2642</v>
      </c>
      <c r="I73" s="238"/>
      <c r="J73" s="2199">
        <f t="shared" si="20"/>
        <v>0.6639744740253265</v>
      </c>
      <c r="K73" s="2200">
        <f t="shared" si="21"/>
        <v>0.33602552597467344</v>
      </c>
      <c r="L73" s="2200">
        <f t="shared" si="22"/>
        <v>7.2589490477614912E-2</v>
      </c>
      <c r="M73" s="2201">
        <f t="shared" si="23"/>
        <v>0.26343603549705852</v>
      </c>
    </row>
    <row r="74" spans="1:13" ht="13.5" customHeight="1" x14ac:dyDescent="0.3">
      <c r="A74" s="149" t="s">
        <v>182</v>
      </c>
      <c r="B74" s="185" t="s">
        <v>183</v>
      </c>
      <c r="C74" s="150" t="s">
        <v>254</v>
      </c>
      <c r="D74" s="2190">
        <f t="shared" si="18"/>
        <v>4698</v>
      </c>
      <c r="E74" s="2191">
        <v>3918</v>
      </c>
      <c r="F74" s="2191">
        <f t="shared" si="19"/>
        <v>780</v>
      </c>
      <c r="G74" s="2191">
        <v>200</v>
      </c>
      <c r="H74" s="2192">
        <v>580</v>
      </c>
      <c r="I74" s="238"/>
      <c r="J74" s="2199">
        <f t="shared" si="20"/>
        <v>0.83397190293742018</v>
      </c>
      <c r="K74" s="2200">
        <f t="shared" si="21"/>
        <v>0.16602809706257982</v>
      </c>
      <c r="L74" s="2200">
        <f t="shared" si="22"/>
        <v>4.2571306939123033E-2</v>
      </c>
      <c r="M74" s="2201">
        <f t="shared" si="23"/>
        <v>0.12345679012345678</v>
      </c>
    </row>
    <row r="75" spans="1:13" ht="13.5" customHeight="1" x14ac:dyDescent="0.3">
      <c r="A75" s="149" t="s">
        <v>184</v>
      </c>
      <c r="B75" s="185" t="s">
        <v>185</v>
      </c>
      <c r="C75" s="150" t="s">
        <v>254</v>
      </c>
      <c r="D75" s="2190">
        <f t="shared" si="18"/>
        <v>2951</v>
      </c>
      <c r="E75" s="2191">
        <v>2219</v>
      </c>
      <c r="F75" s="2191">
        <f t="shared" si="19"/>
        <v>732</v>
      </c>
      <c r="G75" s="2191">
        <v>150</v>
      </c>
      <c r="H75" s="2192">
        <v>582</v>
      </c>
      <c r="I75" s="238"/>
      <c r="J75" s="2199">
        <f t="shared" si="20"/>
        <v>0.75194849203659775</v>
      </c>
      <c r="K75" s="2200">
        <f t="shared" si="21"/>
        <v>0.24805150796340222</v>
      </c>
      <c r="L75" s="2200">
        <f t="shared" si="22"/>
        <v>5.0830227041680789E-2</v>
      </c>
      <c r="M75" s="2201">
        <f t="shared" si="23"/>
        <v>0.19722128092172145</v>
      </c>
    </row>
    <row r="76" spans="1:13" ht="13.5" customHeight="1" x14ac:dyDescent="0.3">
      <c r="A76" s="149" t="s">
        <v>186</v>
      </c>
      <c r="B76" s="185" t="s">
        <v>187</v>
      </c>
      <c r="C76" s="150" t="s">
        <v>252</v>
      </c>
      <c r="D76" s="2190">
        <f t="shared" si="18"/>
        <v>7399</v>
      </c>
      <c r="E76" s="2191">
        <v>5662</v>
      </c>
      <c r="F76" s="2191">
        <f t="shared" si="19"/>
        <v>1737</v>
      </c>
      <c r="G76" s="2191">
        <v>381</v>
      </c>
      <c r="H76" s="2192">
        <v>1356</v>
      </c>
      <c r="I76" s="238"/>
      <c r="J76" s="2199">
        <f t="shared" si="20"/>
        <v>0.76523854574942562</v>
      </c>
      <c r="K76" s="2200">
        <f t="shared" si="21"/>
        <v>0.2347614542505744</v>
      </c>
      <c r="L76" s="2200">
        <f t="shared" si="22"/>
        <v>5.1493445060143264E-2</v>
      </c>
      <c r="M76" s="2201">
        <f t="shared" si="23"/>
        <v>0.18326800919043115</v>
      </c>
    </row>
    <row r="77" spans="1:13" ht="13.5" customHeight="1" x14ac:dyDescent="0.3">
      <c r="A77" s="149" t="s">
        <v>188</v>
      </c>
      <c r="B77" s="185" t="s">
        <v>189</v>
      </c>
      <c r="C77" s="150" t="s">
        <v>255</v>
      </c>
      <c r="D77" s="2190">
        <f t="shared" si="18"/>
        <v>111686</v>
      </c>
      <c r="E77" s="2191">
        <v>89727</v>
      </c>
      <c r="F77" s="2191">
        <f t="shared" si="19"/>
        <v>21959</v>
      </c>
      <c r="G77" s="2191">
        <v>5750</v>
      </c>
      <c r="H77" s="2192">
        <v>16209</v>
      </c>
      <c r="I77" s="238"/>
      <c r="J77" s="2199">
        <f t="shared" si="20"/>
        <v>0.80338627939043394</v>
      </c>
      <c r="K77" s="2200">
        <f t="shared" si="21"/>
        <v>0.19661372060956611</v>
      </c>
      <c r="L77" s="2200">
        <f t="shared" si="22"/>
        <v>5.1483623730816754E-2</v>
      </c>
      <c r="M77" s="2201">
        <f t="shared" si="23"/>
        <v>0.14513009687874934</v>
      </c>
    </row>
    <row r="78" spans="1:13" ht="13.5" customHeight="1" x14ac:dyDescent="0.3">
      <c r="A78" s="149" t="s">
        <v>190</v>
      </c>
      <c r="B78" s="185" t="s">
        <v>191</v>
      </c>
      <c r="C78" s="150" t="s">
        <v>256</v>
      </c>
      <c r="D78" s="2190">
        <f t="shared" si="18"/>
        <v>5539</v>
      </c>
      <c r="E78" s="2191">
        <v>4105</v>
      </c>
      <c r="F78" s="2191">
        <f t="shared" si="19"/>
        <v>1434</v>
      </c>
      <c r="G78" s="2191">
        <v>317</v>
      </c>
      <c r="H78" s="2192">
        <v>1117</v>
      </c>
      <c r="I78" s="238"/>
      <c r="J78" s="2199">
        <f t="shared" si="20"/>
        <v>0.74110850333995304</v>
      </c>
      <c r="K78" s="2200">
        <f t="shared" si="21"/>
        <v>0.25889149666004696</v>
      </c>
      <c r="L78" s="2200">
        <f t="shared" si="22"/>
        <v>5.7230547030149848E-2</v>
      </c>
      <c r="M78" s="2201">
        <f t="shared" si="23"/>
        <v>0.20166094962989708</v>
      </c>
    </row>
    <row r="79" spans="1:13" ht="13.5" customHeight="1" x14ac:dyDescent="0.3">
      <c r="A79" s="149" t="s">
        <v>194</v>
      </c>
      <c r="B79" s="185" t="s">
        <v>195</v>
      </c>
      <c r="C79" s="150" t="s">
        <v>255</v>
      </c>
      <c r="D79" s="2190">
        <f t="shared" si="18"/>
        <v>1126</v>
      </c>
      <c r="E79" s="2191">
        <v>777</v>
      </c>
      <c r="F79" s="2191">
        <f t="shared" si="19"/>
        <v>349</v>
      </c>
      <c r="G79" s="2191">
        <v>78</v>
      </c>
      <c r="H79" s="2192">
        <v>271</v>
      </c>
      <c r="I79" s="238"/>
      <c r="J79" s="2199">
        <f t="shared" si="20"/>
        <v>0.6900532859680284</v>
      </c>
      <c r="K79" s="2200">
        <f t="shared" si="21"/>
        <v>0.3099467140319716</v>
      </c>
      <c r="L79" s="2200">
        <f t="shared" si="22"/>
        <v>6.9271758436944941E-2</v>
      </c>
      <c r="M79" s="2201">
        <f t="shared" si="23"/>
        <v>0.24067495559502664</v>
      </c>
    </row>
    <row r="80" spans="1:13" ht="13.5" customHeight="1" x14ac:dyDescent="0.3">
      <c r="A80" s="149" t="s">
        <v>198</v>
      </c>
      <c r="B80" s="185" t="s">
        <v>260</v>
      </c>
      <c r="C80" s="150" t="s">
        <v>254</v>
      </c>
      <c r="D80" s="2190">
        <f t="shared" si="18"/>
        <v>1356</v>
      </c>
      <c r="E80" s="2191">
        <v>1208</v>
      </c>
      <c r="F80" s="2191">
        <f t="shared" si="19"/>
        <v>148</v>
      </c>
      <c r="G80" s="2191">
        <v>56</v>
      </c>
      <c r="H80" s="2192">
        <v>92</v>
      </c>
      <c r="I80" s="238"/>
      <c r="J80" s="2199">
        <f t="shared" si="20"/>
        <v>0.89085545722713866</v>
      </c>
      <c r="K80" s="2200">
        <f t="shared" si="21"/>
        <v>0.10914454277286136</v>
      </c>
      <c r="L80" s="2200">
        <f t="shared" si="22"/>
        <v>4.1297935103244837E-2</v>
      </c>
      <c r="M80" s="2201">
        <f t="shared" si="23"/>
        <v>6.7846607669616518E-2</v>
      </c>
    </row>
    <row r="81" spans="1:13" ht="13.5" customHeight="1" x14ac:dyDescent="0.3">
      <c r="A81" s="149" t="s">
        <v>202</v>
      </c>
      <c r="B81" s="185" t="s">
        <v>289</v>
      </c>
      <c r="C81" s="150" t="s">
        <v>253</v>
      </c>
      <c r="D81" s="2190">
        <f t="shared" si="18"/>
        <v>20969</v>
      </c>
      <c r="E81" s="2191">
        <v>15502</v>
      </c>
      <c r="F81" s="2191">
        <f t="shared" si="19"/>
        <v>5467</v>
      </c>
      <c r="G81" s="2191">
        <v>1269</v>
      </c>
      <c r="H81" s="2192">
        <v>4198</v>
      </c>
      <c r="I81" s="238"/>
      <c r="J81" s="2199">
        <f t="shared" si="20"/>
        <v>0.73928179693833751</v>
      </c>
      <c r="K81" s="2200">
        <f t="shared" si="21"/>
        <v>0.26071820306166243</v>
      </c>
      <c r="L81" s="2200">
        <f t="shared" si="22"/>
        <v>6.0517907387095234E-2</v>
      </c>
      <c r="M81" s="2201">
        <f t="shared" si="23"/>
        <v>0.20020029567456721</v>
      </c>
    </row>
    <row r="82" spans="1:13" ht="13.5" customHeight="1" x14ac:dyDescent="0.3">
      <c r="A82" s="149" t="s">
        <v>204</v>
      </c>
      <c r="B82" s="185" t="s">
        <v>281</v>
      </c>
      <c r="C82" s="150" t="s">
        <v>253</v>
      </c>
      <c r="D82" s="2190">
        <f t="shared" si="18"/>
        <v>4896</v>
      </c>
      <c r="E82" s="2191">
        <v>3651</v>
      </c>
      <c r="F82" s="2191">
        <f t="shared" si="19"/>
        <v>1245</v>
      </c>
      <c r="G82" s="2191">
        <v>504</v>
      </c>
      <c r="H82" s="2192">
        <v>741</v>
      </c>
      <c r="I82" s="238"/>
      <c r="J82" s="2199">
        <f t="shared" si="20"/>
        <v>0.74571078431372551</v>
      </c>
      <c r="K82" s="2200">
        <f t="shared" si="21"/>
        <v>0.25428921568627449</v>
      </c>
      <c r="L82" s="2200">
        <f t="shared" si="22"/>
        <v>0.10294117647058823</v>
      </c>
      <c r="M82" s="2201">
        <f t="shared" si="23"/>
        <v>0.15134803921568626</v>
      </c>
    </row>
    <row r="83" spans="1:13" ht="13.5" customHeight="1" x14ac:dyDescent="0.3">
      <c r="A83" s="149" t="s">
        <v>206</v>
      </c>
      <c r="B83" s="185" t="s">
        <v>282</v>
      </c>
      <c r="C83" s="150" t="s">
        <v>255</v>
      </c>
      <c r="D83" s="2190">
        <f t="shared" si="18"/>
        <v>23404</v>
      </c>
      <c r="E83" s="2191">
        <v>17365</v>
      </c>
      <c r="F83" s="2191">
        <f t="shared" si="19"/>
        <v>6039</v>
      </c>
      <c r="G83" s="2191">
        <v>1864</v>
      </c>
      <c r="H83" s="2192">
        <v>4175</v>
      </c>
      <c r="I83" s="238"/>
      <c r="J83" s="2199">
        <f t="shared" si="20"/>
        <v>0.74196718509656467</v>
      </c>
      <c r="K83" s="2200">
        <f t="shared" si="21"/>
        <v>0.25803281490343533</v>
      </c>
      <c r="L83" s="2200">
        <f t="shared" si="22"/>
        <v>7.9644505212784142E-2</v>
      </c>
      <c r="M83" s="2201">
        <f t="shared" si="23"/>
        <v>0.17838830969065117</v>
      </c>
    </row>
    <row r="84" spans="1:13" ht="13.5" customHeight="1" x14ac:dyDescent="0.3">
      <c r="A84" s="149" t="s">
        <v>208</v>
      </c>
      <c r="B84" s="185" t="s">
        <v>209</v>
      </c>
      <c r="C84" s="150" t="s">
        <v>256</v>
      </c>
      <c r="D84" s="2190">
        <f t="shared" si="18"/>
        <v>4266</v>
      </c>
      <c r="E84" s="2191">
        <v>3204</v>
      </c>
      <c r="F84" s="2191">
        <f t="shared" si="19"/>
        <v>1062</v>
      </c>
      <c r="G84" s="2191">
        <v>300</v>
      </c>
      <c r="H84" s="2192">
        <v>762</v>
      </c>
      <c r="I84" s="238"/>
      <c r="J84" s="2199">
        <f t="shared" si="20"/>
        <v>0.75105485232067515</v>
      </c>
      <c r="K84" s="2200">
        <f t="shared" si="21"/>
        <v>0.24894514767932491</v>
      </c>
      <c r="L84" s="2200">
        <f t="shared" si="22"/>
        <v>7.0323488045007029E-2</v>
      </c>
      <c r="M84" s="2201">
        <f t="shared" si="23"/>
        <v>0.17862165963431786</v>
      </c>
    </row>
    <row r="85" spans="1:13" ht="13.5" customHeight="1" x14ac:dyDescent="0.3">
      <c r="A85" s="149" t="s">
        <v>210</v>
      </c>
      <c r="B85" s="185" t="s">
        <v>211</v>
      </c>
      <c r="C85" s="150" t="s">
        <v>256</v>
      </c>
      <c r="D85" s="2190">
        <f t="shared" si="18"/>
        <v>3099</v>
      </c>
      <c r="E85" s="2191">
        <v>2341</v>
      </c>
      <c r="F85" s="2191">
        <f t="shared" si="19"/>
        <v>758</v>
      </c>
      <c r="G85" s="2191">
        <v>160</v>
      </c>
      <c r="H85" s="2192">
        <v>598</v>
      </c>
      <c r="I85" s="238"/>
      <c r="J85" s="2199">
        <f t="shared" si="20"/>
        <v>0.75540496934494994</v>
      </c>
      <c r="K85" s="2200">
        <f t="shared" si="21"/>
        <v>0.24459503065505001</v>
      </c>
      <c r="L85" s="2200">
        <f t="shared" si="22"/>
        <v>5.1629557921910291E-2</v>
      </c>
      <c r="M85" s="2201">
        <f t="shared" si="23"/>
        <v>0.19296547273313971</v>
      </c>
    </row>
    <row r="86" spans="1:13" ht="13.5" customHeight="1" x14ac:dyDescent="0.3">
      <c r="A86" s="149" t="s">
        <v>212</v>
      </c>
      <c r="B86" s="185" t="s">
        <v>213</v>
      </c>
      <c r="C86" s="150" t="s">
        <v>255</v>
      </c>
      <c r="D86" s="2190">
        <f t="shared" si="18"/>
        <v>8141</v>
      </c>
      <c r="E86" s="2191">
        <v>5894</v>
      </c>
      <c r="F86" s="2191">
        <f t="shared" si="19"/>
        <v>2247</v>
      </c>
      <c r="G86" s="2191">
        <v>568</v>
      </c>
      <c r="H86" s="2192">
        <v>1679</v>
      </c>
      <c r="I86" s="238"/>
      <c r="J86" s="2199">
        <f t="shared" si="20"/>
        <v>0.72398968185726564</v>
      </c>
      <c r="K86" s="2200">
        <f t="shared" si="21"/>
        <v>0.2760103181427343</v>
      </c>
      <c r="L86" s="2200">
        <f t="shared" si="22"/>
        <v>6.9770298489129093E-2</v>
      </c>
      <c r="M86" s="2201">
        <f t="shared" si="23"/>
        <v>0.20624001965360519</v>
      </c>
    </row>
    <row r="87" spans="1:13" ht="13.5" customHeight="1" x14ac:dyDescent="0.3">
      <c r="A87" s="149" t="s">
        <v>214</v>
      </c>
      <c r="B87" s="185" t="s">
        <v>215</v>
      </c>
      <c r="C87" s="150" t="s">
        <v>256</v>
      </c>
      <c r="D87" s="2190">
        <f t="shared" si="18"/>
        <v>5075</v>
      </c>
      <c r="E87" s="2191">
        <v>3395</v>
      </c>
      <c r="F87" s="2191">
        <f t="shared" si="19"/>
        <v>1680</v>
      </c>
      <c r="G87" s="2191">
        <v>679</v>
      </c>
      <c r="H87" s="2192">
        <v>1001</v>
      </c>
      <c r="I87" s="238"/>
      <c r="J87" s="2199">
        <f t="shared" si="20"/>
        <v>0.66896551724137931</v>
      </c>
      <c r="K87" s="2200">
        <f t="shared" si="21"/>
        <v>0.33103448275862069</v>
      </c>
      <c r="L87" s="2200">
        <f t="shared" si="22"/>
        <v>0.13379310344827586</v>
      </c>
      <c r="M87" s="2201">
        <f t="shared" si="23"/>
        <v>0.19724137931034483</v>
      </c>
    </row>
    <row r="88" spans="1:13" ht="13.5" customHeight="1" x14ac:dyDescent="0.3">
      <c r="A88" s="149" t="s">
        <v>216</v>
      </c>
      <c r="B88" s="185" t="s">
        <v>217</v>
      </c>
      <c r="C88" s="150" t="s">
        <v>252</v>
      </c>
      <c r="D88" s="2190">
        <f t="shared" si="18"/>
        <v>3069</v>
      </c>
      <c r="E88" s="2191">
        <v>1825</v>
      </c>
      <c r="F88" s="2191">
        <f t="shared" si="19"/>
        <v>1244</v>
      </c>
      <c r="G88" s="2191">
        <v>283</v>
      </c>
      <c r="H88" s="2192">
        <v>961</v>
      </c>
      <c r="I88" s="238"/>
      <c r="J88" s="2199">
        <f t="shared" si="20"/>
        <v>0.59465623981753013</v>
      </c>
      <c r="K88" s="2200">
        <f t="shared" si="21"/>
        <v>0.40534376018246987</v>
      </c>
      <c r="L88" s="2200">
        <f t="shared" si="22"/>
        <v>9.2212447051156735E-2</v>
      </c>
      <c r="M88" s="2201">
        <f t="shared" si="23"/>
        <v>0.31313131313131315</v>
      </c>
    </row>
    <row r="89" spans="1:13" ht="13.5" customHeight="1" x14ac:dyDescent="0.3">
      <c r="A89" s="149" t="s">
        <v>218</v>
      </c>
      <c r="B89" s="185" t="s">
        <v>219</v>
      </c>
      <c r="C89" s="150" t="s">
        <v>255</v>
      </c>
      <c r="D89" s="2190">
        <f t="shared" si="18"/>
        <v>28844</v>
      </c>
      <c r="E89" s="2191">
        <v>22454</v>
      </c>
      <c r="F89" s="2191">
        <f t="shared" si="19"/>
        <v>6390</v>
      </c>
      <c r="G89" s="2191">
        <v>1357</v>
      </c>
      <c r="H89" s="2192">
        <v>5033</v>
      </c>
      <c r="I89" s="238"/>
      <c r="J89" s="2199">
        <f t="shared" si="20"/>
        <v>0.77846345860490918</v>
      </c>
      <c r="K89" s="2200">
        <f t="shared" si="21"/>
        <v>0.22153654139509082</v>
      </c>
      <c r="L89" s="2200">
        <f t="shared" si="22"/>
        <v>4.7046179448065453E-2</v>
      </c>
      <c r="M89" s="2201">
        <f t="shared" si="23"/>
        <v>0.17449036194702539</v>
      </c>
    </row>
    <row r="90" spans="1:13" ht="13.5" customHeight="1" x14ac:dyDescent="0.3">
      <c r="A90" s="149" t="s">
        <v>220</v>
      </c>
      <c r="B90" s="185" t="s">
        <v>221</v>
      </c>
      <c r="C90" s="150" t="s">
        <v>255</v>
      </c>
      <c r="D90" s="2190">
        <f t="shared" si="18"/>
        <v>34157</v>
      </c>
      <c r="E90" s="2191">
        <v>27552</v>
      </c>
      <c r="F90" s="2191">
        <f t="shared" si="19"/>
        <v>6605</v>
      </c>
      <c r="G90" s="2191">
        <v>2038</v>
      </c>
      <c r="H90" s="2192">
        <v>4567</v>
      </c>
      <c r="I90" s="238"/>
      <c r="J90" s="2199">
        <f t="shared" si="20"/>
        <v>0.80662821676376728</v>
      </c>
      <c r="K90" s="2200">
        <f t="shared" si="21"/>
        <v>0.19337178323623269</v>
      </c>
      <c r="L90" s="2200">
        <f t="shared" si="22"/>
        <v>5.9665661504230465E-2</v>
      </c>
      <c r="M90" s="2201">
        <f t="shared" si="23"/>
        <v>0.13370612173200222</v>
      </c>
    </row>
    <row r="91" spans="1:13" ht="13.5" customHeight="1" x14ac:dyDescent="0.3">
      <c r="A91" s="149" t="s">
        <v>224</v>
      </c>
      <c r="B91" s="185" t="s">
        <v>225</v>
      </c>
      <c r="C91" s="150" t="s">
        <v>252</v>
      </c>
      <c r="D91" s="2190">
        <f t="shared" si="18"/>
        <v>944</v>
      </c>
      <c r="E91" s="2191">
        <v>629</v>
      </c>
      <c r="F91" s="2191">
        <f t="shared" si="19"/>
        <v>315</v>
      </c>
      <c r="G91" s="2191">
        <v>58</v>
      </c>
      <c r="H91" s="2192">
        <v>257</v>
      </c>
      <c r="I91" s="238"/>
      <c r="J91" s="2199">
        <f t="shared" si="20"/>
        <v>0.66631355932203384</v>
      </c>
      <c r="K91" s="2200">
        <f t="shared" si="21"/>
        <v>0.3336864406779661</v>
      </c>
      <c r="L91" s="2200">
        <f t="shared" si="22"/>
        <v>6.1440677966101698E-2</v>
      </c>
      <c r="M91" s="2201">
        <f t="shared" si="23"/>
        <v>0.2722457627118644</v>
      </c>
    </row>
    <row r="92" spans="1:13" ht="13.5" customHeight="1" x14ac:dyDescent="0.3">
      <c r="A92" s="149" t="s">
        <v>226</v>
      </c>
      <c r="B92" s="185" t="s">
        <v>227</v>
      </c>
      <c r="C92" s="150" t="s">
        <v>252</v>
      </c>
      <c r="D92" s="2190">
        <f t="shared" si="18"/>
        <v>1411</v>
      </c>
      <c r="E92" s="2191">
        <v>827</v>
      </c>
      <c r="F92" s="2191">
        <f t="shared" si="19"/>
        <v>584</v>
      </c>
      <c r="G92" s="2191">
        <v>72</v>
      </c>
      <c r="H92" s="2192">
        <v>512</v>
      </c>
      <c r="I92" s="238"/>
      <c r="J92" s="2199">
        <f t="shared" si="20"/>
        <v>0.58610914245216161</v>
      </c>
      <c r="K92" s="2200">
        <f t="shared" si="21"/>
        <v>0.41389085754783839</v>
      </c>
      <c r="L92" s="2200">
        <f t="shared" si="22"/>
        <v>5.1027639971651308E-2</v>
      </c>
      <c r="M92" s="2201">
        <f t="shared" si="23"/>
        <v>0.36286321757618711</v>
      </c>
    </row>
    <row r="93" spans="1:13" ht="13.5" customHeight="1" x14ac:dyDescent="0.3">
      <c r="A93" s="149" t="s">
        <v>228</v>
      </c>
      <c r="B93" s="185" t="s">
        <v>229</v>
      </c>
      <c r="C93" s="150" t="s">
        <v>256</v>
      </c>
      <c r="D93" s="2190">
        <f t="shared" si="18"/>
        <v>6687</v>
      </c>
      <c r="E93" s="2191">
        <v>5013</v>
      </c>
      <c r="F93" s="2191">
        <f t="shared" si="19"/>
        <v>1674</v>
      </c>
      <c r="G93" s="2191">
        <v>460</v>
      </c>
      <c r="H93" s="2192">
        <v>1214</v>
      </c>
      <c r="I93" s="238"/>
      <c r="J93" s="2199">
        <f t="shared" si="20"/>
        <v>0.74966352624495292</v>
      </c>
      <c r="K93" s="2200">
        <f t="shared" si="21"/>
        <v>0.25033647375504708</v>
      </c>
      <c r="L93" s="2200">
        <f t="shared" si="22"/>
        <v>6.8790189920741734E-2</v>
      </c>
      <c r="M93" s="2201">
        <f t="shared" si="23"/>
        <v>0.18154628383430538</v>
      </c>
    </row>
    <row r="94" spans="1:13" ht="13.5" customHeight="1" x14ac:dyDescent="0.3">
      <c r="A94" s="149" t="s">
        <v>232</v>
      </c>
      <c r="B94" s="185" t="s">
        <v>233</v>
      </c>
      <c r="C94" s="150" t="s">
        <v>255</v>
      </c>
      <c r="D94" s="2190">
        <f t="shared" si="18"/>
        <v>7161</v>
      </c>
      <c r="E94" s="2191">
        <v>5093</v>
      </c>
      <c r="F94" s="2191">
        <f t="shared" si="19"/>
        <v>2068</v>
      </c>
      <c r="G94" s="2191">
        <v>443</v>
      </c>
      <c r="H94" s="2192">
        <v>1625</v>
      </c>
      <c r="I94" s="238"/>
      <c r="J94" s="2199">
        <f t="shared" si="20"/>
        <v>0.71121351766513052</v>
      </c>
      <c r="K94" s="2200">
        <f t="shared" si="21"/>
        <v>0.28878648233486942</v>
      </c>
      <c r="L94" s="2200">
        <f t="shared" si="22"/>
        <v>6.186286831448122E-2</v>
      </c>
      <c r="M94" s="2201">
        <f t="shared" si="23"/>
        <v>0.22692361402038821</v>
      </c>
    </row>
    <row r="95" spans="1:13" ht="13.5" customHeight="1" x14ac:dyDescent="0.3">
      <c r="A95" s="149" t="s">
        <v>234</v>
      </c>
      <c r="B95" s="185" t="s">
        <v>235</v>
      </c>
      <c r="C95" s="150" t="s">
        <v>256</v>
      </c>
      <c r="D95" s="2190">
        <f t="shared" si="18"/>
        <v>8070</v>
      </c>
      <c r="E95" s="2191">
        <v>6060</v>
      </c>
      <c r="F95" s="2191">
        <f t="shared" si="19"/>
        <v>2010</v>
      </c>
      <c r="G95" s="2191">
        <v>344</v>
      </c>
      <c r="H95" s="2192">
        <v>1666</v>
      </c>
      <c r="I95" s="238"/>
      <c r="J95" s="2199">
        <f t="shared" si="20"/>
        <v>0.75092936802973975</v>
      </c>
      <c r="K95" s="2200">
        <f t="shared" si="21"/>
        <v>0.24907063197026022</v>
      </c>
      <c r="L95" s="2200">
        <f t="shared" si="22"/>
        <v>4.2627013630731105E-2</v>
      </c>
      <c r="M95" s="2201">
        <f t="shared" si="23"/>
        <v>0.20644361833952912</v>
      </c>
    </row>
    <row r="96" spans="1:13" ht="13.5" customHeight="1" x14ac:dyDescent="0.3">
      <c r="A96" s="149" t="s">
        <v>236</v>
      </c>
      <c r="B96" s="185" t="s">
        <v>237</v>
      </c>
      <c r="C96" s="150" t="s">
        <v>254</v>
      </c>
      <c r="D96" s="2190">
        <f t="shared" si="18"/>
        <v>2721</v>
      </c>
      <c r="E96" s="2191">
        <v>1971</v>
      </c>
      <c r="F96" s="2191">
        <f t="shared" si="19"/>
        <v>750</v>
      </c>
      <c r="G96" s="2191">
        <v>90</v>
      </c>
      <c r="H96" s="2192">
        <v>660</v>
      </c>
      <c r="I96" s="238"/>
      <c r="J96" s="2199">
        <f t="shared" si="20"/>
        <v>0.72436604189636167</v>
      </c>
      <c r="K96" s="2200">
        <f t="shared" si="21"/>
        <v>0.27563395810363839</v>
      </c>
      <c r="L96" s="2200">
        <f t="shared" si="22"/>
        <v>3.3076074972436607E-2</v>
      </c>
      <c r="M96" s="2201">
        <f t="shared" si="23"/>
        <v>0.24255788313120177</v>
      </c>
    </row>
    <row r="97" spans="1:13" ht="13.5" customHeight="1" x14ac:dyDescent="0.3">
      <c r="A97" s="149" t="s">
        <v>242</v>
      </c>
      <c r="B97" s="185" t="s">
        <v>243</v>
      </c>
      <c r="C97" s="150" t="s">
        <v>256</v>
      </c>
      <c r="D97" s="2190">
        <f t="shared" si="18"/>
        <v>6313</v>
      </c>
      <c r="E97" s="2191">
        <v>3968</v>
      </c>
      <c r="F97" s="2191">
        <f t="shared" si="19"/>
        <v>2345</v>
      </c>
      <c r="G97" s="2191">
        <v>231</v>
      </c>
      <c r="H97" s="2192">
        <v>2114</v>
      </c>
      <c r="I97" s="238"/>
      <c r="J97" s="2199">
        <f t="shared" si="20"/>
        <v>0.62854427372089339</v>
      </c>
      <c r="K97" s="2200">
        <f t="shared" si="21"/>
        <v>0.37145572627910661</v>
      </c>
      <c r="L97" s="2200">
        <f t="shared" si="22"/>
        <v>3.65911610961508E-2</v>
      </c>
      <c r="M97" s="2201">
        <f t="shared" si="23"/>
        <v>0.33486456518295582</v>
      </c>
    </row>
    <row r="98" spans="1:13" ht="13.5" customHeight="1" x14ac:dyDescent="0.3">
      <c r="A98" s="149" t="s">
        <v>244</v>
      </c>
      <c r="B98" s="185" t="s">
        <v>245</v>
      </c>
      <c r="C98" s="150" t="s">
        <v>256</v>
      </c>
      <c r="D98" s="2190">
        <f t="shared" si="18"/>
        <v>4939</v>
      </c>
      <c r="E98" s="2191">
        <v>3328</v>
      </c>
      <c r="F98" s="2191">
        <f t="shared" si="19"/>
        <v>1611</v>
      </c>
      <c r="G98" s="2191">
        <v>884</v>
      </c>
      <c r="H98" s="2192">
        <v>727</v>
      </c>
      <c r="I98" s="238"/>
      <c r="J98" s="2199">
        <f t="shared" si="20"/>
        <v>0.67382061145980965</v>
      </c>
      <c r="K98" s="2200">
        <f t="shared" si="21"/>
        <v>0.3261793885401903</v>
      </c>
      <c r="L98" s="2200">
        <f t="shared" si="22"/>
        <v>0.17898359991901194</v>
      </c>
      <c r="M98" s="2201">
        <f t="shared" si="23"/>
        <v>0.14719578862117838</v>
      </c>
    </row>
    <row r="99" spans="1:13" ht="13.5" customHeight="1" x14ac:dyDescent="0.3">
      <c r="A99" s="149" t="s">
        <v>246</v>
      </c>
      <c r="B99" s="185" t="s">
        <v>247</v>
      </c>
      <c r="C99" s="150" t="s">
        <v>252</v>
      </c>
      <c r="D99" s="2190">
        <f t="shared" si="18"/>
        <v>17538</v>
      </c>
      <c r="E99" s="2191">
        <v>13732</v>
      </c>
      <c r="F99" s="2191">
        <f t="shared" si="19"/>
        <v>3806</v>
      </c>
      <c r="G99" s="2191">
        <v>983</v>
      </c>
      <c r="H99" s="2192">
        <v>2823</v>
      </c>
      <c r="I99" s="238"/>
      <c r="J99" s="2199">
        <f t="shared" si="20"/>
        <v>0.78298551716273235</v>
      </c>
      <c r="K99" s="2200">
        <f t="shared" si="21"/>
        <v>0.21701448283726765</v>
      </c>
      <c r="L99" s="2200">
        <f t="shared" si="22"/>
        <v>5.6049720606682632E-2</v>
      </c>
      <c r="M99" s="2201">
        <f t="shared" si="23"/>
        <v>0.16096476223058501</v>
      </c>
    </row>
    <row r="100" spans="1:13" ht="13.5" customHeight="1" x14ac:dyDescent="0.3">
      <c r="A100" s="149" t="s">
        <v>14</v>
      </c>
      <c r="B100" s="185" t="s">
        <v>15</v>
      </c>
      <c r="C100" s="150" t="s">
        <v>255</v>
      </c>
      <c r="D100" s="2190">
        <f t="shared" si="18"/>
        <v>26407</v>
      </c>
      <c r="E100" s="2191">
        <v>18645</v>
      </c>
      <c r="F100" s="2191">
        <f t="shared" si="19"/>
        <v>7762</v>
      </c>
      <c r="G100" s="2191">
        <v>1209</v>
      </c>
      <c r="H100" s="2192">
        <v>6553</v>
      </c>
      <c r="I100" s="238"/>
      <c r="J100" s="2199">
        <f t="shared" si="20"/>
        <v>0.70606278638239861</v>
      </c>
      <c r="K100" s="2200">
        <f t="shared" si="21"/>
        <v>0.29393721361760139</v>
      </c>
      <c r="L100" s="2200">
        <f t="shared" si="22"/>
        <v>4.5783315030105652E-2</v>
      </c>
      <c r="M100" s="2201">
        <f t="shared" si="23"/>
        <v>0.24815389858749573</v>
      </c>
    </row>
    <row r="101" spans="1:13" ht="13.5" customHeight="1" x14ac:dyDescent="0.3">
      <c r="A101" s="149" t="s">
        <v>34</v>
      </c>
      <c r="B101" s="185" t="s">
        <v>35</v>
      </c>
      <c r="C101" s="150" t="s">
        <v>256</v>
      </c>
      <c r="D101" s="2190">
        <f t="shared" ref="D101:D124" si="24">E101+F101</f>
        <v>2885</v>
      </c>
      <c r="E101" s="2191">
        <v>1574</v>
      </c>
      <c r="F101" s="2191">
        <f t="shared" ref="F101:F124" si="25">G101+H101</f>
        <v>1311</v>
      </c>
      <c r="G101" s="2191">
        <v>91</v>
      </c>
      <c r="H101" s="2192">
        <v>1220</v>
      </c>
      <c r="I101" s="238"/>
      <c r="J101" s="2199">
        <f t="shared" ref="J101:J124" si="26">E101/D101</f>
        <v>0.54558058925476605</v>
      </c>
      <c r="K101" s="2200">
        <f t="shared" ref="K101:K124" si="27">F101/D101</f>
        <v>0.45441941074523395</v>
      </c>
      <c r="L101" s="2200">
        <f t="shared" ref="L101:L124" si="28">G101/D101</f>
        <v>3.1542461005199307E-2</v>
      </c>
      <c r="M101" s="2201">
        <f t="shared" ref="M101:M124" si="29">H101/D101</f>
        <v>0.42287694974003465</v>
      </c>
    </row>
    <row r="102" spans="1:13" ht="13.5" customHeight="1" x14ac:dyDescent="0.3">
      <c r="A102" s="149" t="s">
        <v>52</v>
      </c>
      <c r="B102" s="185" t="s">
        <v>53</v>
      </c>
      <c r="C102" s="150" t="s">
        <v>253</v>
      </c>
      <c r="D102" s="2190">
        <f t="shared" si="24"/>
        <v>6666</v>
      </c>
      <c r="E102" s="2191">
        <v>4527</v>
      </c>
      <c r="F102" s="2191">
        <f t="shared" si="25"/>
        <v>2139</v>
      </c>
      <c r="G102" s="2191">
        <v>530</v>
      </c>
      <c r="H102" s="2192">
        <v>1609</v>
      </c>
      <c r="I102" s="238"/>
      <c r="J102" s="2199">
        <f t="shared" si="26"/>
        <v>0.67911791179117909</v>
      </c>
      <c r="K102" s="2200">
        <f t="shared" si="27"/>
        <v>0.32088208820882086</v>
      </c>
      <c r="L102" s="2200">
        <f t="shared" si="28"/>
        <v>7.950795079507951E-2</v>
      </c>
      <c r="M102" s="2201">
        <f t="shared" si="29"/>
        <v>0.24137413741374136</v>
      </c>
    </row>
    <row r="103" spans="1:13" ht="13.5" customHeight="1" x14ac:dyDescent="0.3">
      <c r="A103" s="149" t="s">
        <v>54</v>
      </c>
      <c r="B103" s="185" t="s">
        <v>55</v>
      </c>
      <c r="C103" s="150" t="s">
        <v>252</v>
      </c>
      <c r="D103" s="2190">
        <f t="shared" si="24"/>
        <v>50504</v>
      </c>
      <c r="E103" s="2191">
        <v>34699</v>
      </c>
      <c r="F103" s="2191">
        <f t="shared" si="25"/>
        <v>15805</v>
      </c>
      <c r="G103" s="2191">
        <v>2840</v>
      </c>
      <c r="H103" s="2192">
        <v>12965</v>
      </c>
      <c r="I103" s="238"/>
      <c r="J103" s="2199">
        <f t="shared" si="26"/>
        <v>0.6870544907334073</v>
      </c>
      <c r="K103" s="2200">
        <f t="shared" si="27"/>
        <v>0.31294550926659276</v>
      </c>
      <c r="L103" s="2200">
        <f t="shared" si="28"/>
        <v>5.6233169649928721E-2</v>
      </c>
      <c r="M103" s="2201">
        <f t="shared" si="29"/>
        <v>0.25671233961666401</v>
      </c>
    </row>
    <row r="104" spans="1:13" ht="13.5" customHeight="1" x14ac:dyDescent="0.3">
      <c r="A104" s="149" t="s">
        <v>66</v>
      </c>
      <c r="B104" s="185" t="s">
        <v>67</v>
      </c>
      <c r="C104" s="150" t="s">
        <v>253</v>
      </c>
      <c r="D104" s="2190">
        <f t="shared" si="24"/>
        <v>7738</v>
      </c>
      <c r="E104" s="2191">
        <v>3646</v>
      </c>
      <c r="F104" s="2191">
        <f t="shared" si="25"/>
        <v>4092</v>
      </c>
      <c r="G104" s="2191">
        <v>709</v>
      </c>
      <c r="H104" s="2192">
        <v>3383</v>
      </c>
      <c r="I104" s="238"/>
      <c r="J104" s="2199">
        <f t="shared" si="26"/>
        <v>0.47118118376841561</v>
      </c>
      <c r="K104" s="2200">
        <f t="shared" si="27"/>
        <v>0.52881881623158444</v>
      </c>
      <c r="L104" s="2200">
        <f t="shared" si="28"/>
        <v>9.1625743086068745E-2</v>
      </c>
      <c r="M104" s="2201">
        <f t="shared" si="29"/>
        <v>0.43719307314551564</v>
      </c>
    </row>
    <row r="105" spans="1:13" ht="13.5" customHeight="1" x14ac:dyDescent="0.3">
      <c r="A105" s="149" t="s">
        <v>82</v>
      </c>
      <c r="B105" s="185" t="s">
        <v>83</v>
      </c>
      <c r="C105" s="150" t="s">
        <v>252</v>
      </c>
      <c r="D105" s="2190">
        <f t="shared" si="24"/>
        <v>1675</v>
      </c>
      <c r="E105" s="2191">
        <v>700</v>
      </c>
      <c r="F105" s="2191">
        <f t="shared" si="25"/>
        <v>975</v>
      </c>
      <c r="G105" s="2191">
        <v>28</v>
      </c>
      <c r="H105" s="2192">
        <v>947</v>
      </c>
      <c r="I105" s="238"/>
      <c r="J105" s="2199">
        <f t="shared" si="26"/>
        <v>0.41791044776119401</v>
      </c>
      <c r="K105" s="2200">
        <f t="shared" si="27"/>
        <v>0.58208955223880599</v>
      </c>
      <c r="L105" s="2200">
        <f t="shared" si="28"/>
        <v>1.671641791044776E-2</v>
      </c>
      <c r="M105" s="2201">
        <f t="shared" si="29"/>
        <v>0.56537313432835823</v>
      </c>
    </row>
    <row r="106" spans="1:13" ht="13.5" customHeight="1" x14ac:dyDescent="0.3">
      <c r="A106" s="149" t="s">
        <v>88</v>
      </c>
      <c r="B106" s="185" t="s">
        <v>89</v>
      </c>
      <c r="C106" s="150" t="s">
        <v>255</v>
      </c>
      <c r="D106" s="2190">
        <f t="shared" si="24"/>
        <v>5409</v>
      </c>
      <c r="E106" s="2191">
        <v>2874</v>
      </c>
      <c r="F106" s="2191">
        <f t="shared" si="25"/>
        <v>2535</v>
      </c>
      <c r="G106" s="2191">
        <v>326</v>
      </c>
      <c r="H106" s="2192">
        <v>2209</v>
      </c>
      <c r="I106" s="238"/>
      <c r="J106" s="2199">
        <f t="shared" si="26"/>
        <v>0.53133666112035494</v>
      </c>
      <c r="K106" s="2200">
        <f t="shared" si="27"/>
        <v>0.46866333887964501</v>
      </c>
      <c r="L106" s="2200">
        <f t="shared" si="28"/>
        <v>6.0269920502865594E-2</v>
      </c>
      <c r="M106" s="2201">
        <f t="shared" si="29"/>
        <v>0.40839341837677945</v>
      </c>
    </row>
    <row r="107" spans="1:13" ht="13.5" customHeight="1" x14ac:dyDescent="0.3">
      <c r="A107" s="149" t="s">
        <v>90</v>
      </c>
      <c r="B107" s="185" t="s">
        <v>91</v>
      </c>
      <c r="C107" s="150" t="s">
        <v>256</v>
      </c>
      <c r="D107" s="2190">
        <f t="shared" si="24"/>
        <v>1291</v>
      </c>
      <c r="E107" s="2191">
        <v>876</v>
      </c>
      <c r="F107" s="2191">
        <f t="shared" si="25"/>
        <v>415</v>
      </c>
      <c r="G107" s="2191">
        <v>157</v>
      </c>
      <c r="H107" s="2192">
        <v>258</v>
      </c>
      <c r="I107" s="238"/>
      <c r="J107" s="2199">
        <f t="shared" si="26"/>
        <v>0.67854376452362508</v>
      </c>
      <c r="K107" s="2200">
        <f t="shared" si="27"/>
        <v>0.32145623547637492</v>
      </c>
      <c r="L107" s="2200">
        <f t="shared" si="28"/>
        <v>0.12161115414407436</v>
      </c>
      <c r="M107" s="2201">
        <f t="shared" si="29"/>
        <v>0.19984508133230056</v>
      </c>
    </row>
    <row r="108" spans="1:13" ht="13.5" customHeight="1" x14ac:dyDescent="0.3">
      <c r="A108" s="149" t="s">
        <v>106</v>
      </c>
      <c r="B108" s="185" t="s">
        <v>107</v>
      </c>
      <c r="C108" s="150" t="s">
        <v>252</v>
      </c>
      <c r="D108" s="2190">
        <f t="shared" si="24"/>
        <v>24805</v>
      </c>
      <c r="E108" s="2191">
        <v>13829</v>
      </c>
      <c r="F108" s="2191">
        <f t="shared" si="25"/>
        <v>10976</v>
      </c>
      <c r="G108" s="2191">
        <v>1821</v>
      </c>
      <c r="H108" s="2192">
        <v>9155</v>
      </c>
      <c r="I108" s="238"/>
      <c r="J108" s="2199">
        <f t="shared" si="26"/>
        <v>0.55750856682120542</v>
      </c>
      <c r="K108" s="2200">
        <f t="shared" si="27"/>
        <v>0.44249143317879458</v>
      </c>
      <c r="L108" s="2200">
        <f t="shared" si="28"/>
        <v>7.3412618423704903E-2</v>
      </c>
      <c r="M108" s="2201">
        <f t="shared" si="29"/>
        <v>0.36907881475508969</v>
      </c>
    </row>
    <row r="109" spans="1:13" ht="13.5" customHeight="1" x14ac:dyDescent="0.3">
      <c r="A109" s="149" t="s">
        <v>116</v>
      </c>
      <c r="B109" s="185" t="s">
        <v>117</v>
      </c>
      <c r="C109" s="150" t="s">
        <v>254</v>
      </c>
      <c r="D109" s="2190">
        <f t="shared" si="24"/>
        <v>4763</v>
      </c>
      <c r="E109" s="2191">
        <v>2417</v>
      </c>
      <c r="F109" s="2191">
        <f t="shared" si="25"/>
        <v>2346</v>
      </c>
      <c r="G109" s="2191">
        <v>259</v>
      </c>
      <c r="H109" s="2192">
        <v>2087</v>
      </c>
      <c r="I109" s="238"/>
      <c r="J109" s="2199">
        <f t="shared" si="26"/>
        <v>0.50745328574427884</v>
      </c>
      <c r="K109" s="2200">
        <f t="shared" si="27"/>
        <v>0.49254671425572116</v>
      </c>
      <c r="L109" s="2200">
        <f t="shared" si="28"/>
        <v>5.437749317656939E-2</v>
      </c>
      <c r="M109" s="2201">
        <f t="shared" si="29"/>
        <v>0.43816922107915179</v>
      </c>
    </row>
    <row r="110" spans="1:13" ht="13.5" customHeight="1" x14ac:dyDescent="0.3">
      <c r="A110" s="149" t="s">
        <v>138</v>
      </c>
      <c r="B110" s="185" t="s">
        <v>139</v>
      </c>
      <c r="C110" s="150" t="s">
        <v>253</v>
      </c>
      <c r="D110" s="2190">
        <f t="shared" si="24"/>
        <v>13579</v>
      </c>
      <c r="E110" s="2191">
        <v>7690</v>
      </c>
      <c r="F110" s="2191">
        <f t="shared" si="25"/>
        <v>5889</v>
      </c>
      <c r="G110" s="2191">
        <v>1158</v>
      </c>
      <c r="H110" s="2192">
        <v>4731</v>
      </c>
      <c r="I110" s="238"/>
      <c r="J110" s="2199">
        <f t="shared" si="26"/>
        <v>0.56631563443552546</v>
      </c>
      <c r="K110" s="2200">
        <f t="shared" si="27"/>
        <v>0.43368436556447454</v>
      </c>
      <c r="L110" s="2200">
        <f t="shared" si="28"/>
        <v>8.527873922969291E-2</v>
      </c>
      <c r="M110" s="2201">
        <f t="shared" si="29"/>
        <v>0.34840562633478167</v>
      </c>
    </row>
    <row r="111" spans="1:13" ht="13.5" customHeight="1" x14ac:dyDescent="0.3">
      <c r="A111" s="149" t="s">
        <v>142</v>
      </c>
      <c r="B111" s="185" t="s">
        <v>261</v>
      </c>
      <c r="C111" s="150" t="s">
        <v>255</v>
      </c>
      <c r="D111" s="2190">
        <f t="shared" si="24"/>
        <v>9619</v>
      </c>
      <c r="E111" s="2191">
        <v>7647</v>
      </c>
      <c r="F111" s="2191">
        <f t="shared" si="25"/>
        <v>1972</v>
      </c>
      <c r="G111" s="2191">
        <v>392</v>
      </c>
      <c r="H111" s="2192">
        <v>1580</v>
      </c>
      <c r="I111" s="238"/>
      <c r="J111" s="2199">
        <f t="shared" si="26"/>
        <v>0.79498908410437674</v>
      </c>
      <c r="K111" s="2200">
        <f t="shared" si="27"/>
        <v>0.20501091589562326</v>
      </c>
      <c r="L111" s="2200">
        <f t="shared" si="28"/>
        <v>4.0752676993450462E-2</v>
      </c>
      <c r="M111" s="2201">
        <f t="shared" si="29"/>
        <v>0.16425823890217278</v>
      </c>
    </row>
    <row r="112" spans="1:13" ht="13.5" customHeight="1" x14ac:dyDescent="0.3">
      <c r="A112" s="149" t="s">
        <v>144</v>
      </c>
      <c r="B112" s="185" t="s">
        <v>145</v>
      </c>
      <c r="C112" s="150" t="s">
        <v>255</v>
      </c>
      <c r="D112" s="2190">
        <f t="shared" si="24"/>
        <v>3494</v>
      </c>
      <c r="E112" s="2191">
        <v>2549</v>
      </c>
      <c r="F112" s="2191">
        <f t="shared" si="25"/>
        <v>945</v>
      </c>
      <c r="G112" s="2191">
        <v>234</v>
      </c>
      <c r="H112" s="2192">
        <v>711</v>
      </c>
      <c r="I112" s="238"/>
      <c r="J112" s="2199">
        <f t="shared" si="26"/>
        <v>0.72953634802518608</v>
      </c>
      <c r="K112" s="2200">
        <f t="shared" si="27"/>
        <v>0.27046365197481398</v>
      </c>
      <c r="L112" s="2200">
        <f t="shared" si="28"/>
        <v>6.6971951917572978E-2</v>
      </c>
      <c r="M112" s="2201">
        <f t="shared" si="29"/>
        <v>0.20349170005724099</v>
      </c>
    </row>
    <row r="113" spans="1:13" ht="13.5" customHeight="1" x14ac:dyDescent="0.3">
      <c r="A113" s="149" t="s">
        <v>158</v>
      </c>
      <c r="B113" s="185" t="s">
        <v>159</v>
      </c>
      <c r="C113" s="150" t="s">
        <v>252</v>
      </c>
      <c r="D113" s="2190">
        <f t="shared" si="24"/>
        <v>36647</v>
      </c>
      <c r="E113" s="2191">
        <v>20997</v>
      </c>
      <c r="F113" s="2191">
        <f t="shared" si="25"/>
        <v>15650</v>
      </c>
      <c r="G113" s="2191">
        <v>2723</v>
      </c>
      <c r="H113" s="2192">
        <v>12927</v>
      </c>
      <c r="I113" s="238"/>
      <c r="J113" s="2199">
        <f t="shared" si="26"/>
        <v>0.57295276557426256</v>
      </c>
      <c r="K113" s="2200">
        <f t="shared" si="27"/>
        <v>0.42704723442573744</v>
      </c>
      <c r="L113" s="2200">
        <f t="shared" si="28"/>
        <v>7.430349005375611E-2</v>
      </c>
      <c r="M113" s="2201">
        <f t="shared" si="29"/>
        <v>0.35274374437198136</v>
      </c>
    </row>
    <row r="114" spans="1:13" ht="13.5" customHeight="1" x14ac:dyDescent="0.3">
      <c r="A114" s="149" t="s">
        <v>160</v>
      </c>
      <c r="B114" s="185" t="s">
        <v>161</v>
      </c>
      <c r="C114" s="150" t="s">
        <v>252</v>
      </c>
      <c r="D114" s="2190">
        <f t="shared" si="24"/>
        <v>41839</v>
      </c>
      <c r="E114" s="2191">
        <v>21838</v>
      </c>
      <c r="F114" s="2191">
        <f t="shared" si="25"/>
        <v>20001</v>
      </c>
      <c r="G114" s="2191">
        <v>2610</v>
      </c>
      <c r="H114" s="2192">
        <v>17391</v>
      </c>
      <c r="I114" s="238"/>
      <c r="J114" s="2199">
        <f t="shared" si="26"/>
        <v>0.52195320155835467</v>
      </c>
      <c r="K114" s="2200">
        <f t="shared" si="27"/>
        <v>0.47804679844164538</v>
      </c>
      <c r="L114" s="2200">
        <f t="shared" si="28"/>
        <v>6.2381988097229855E-2</v>
      </c>
      <c r="M114" s="2201">
        <f t="shared" si="29"/>
        <v>0.41566481034441549</v>
      </c>
    </row>
    <row r="115" spans="1:13" ht="13.5" customHeight="1" x14ac:dyDescent="0.3">
      <c r="A115" s="149" t="s">
        <v>166</v>
      </c>
      <c r="B115" s="185" t="s">
        <v>167</v>
      </c>
      <c r="C115" s="150" t="s">
        <v>256</v>
      </c>
      <c r="D115" s="2190">
        <f t="shared" si="24"/>
        <v>846</v>
      </c>
      <c r="E115" s="2191">
        <v>429</v>
      </c>
      <c r="F115" s="2191">
        <f t="shared" si="25"/>
        <v>417</v>
      </c>
      <c r="G115" s="2191">
        <v>59</v>
      </c>
      <c r="H115" s="2192">
        <v>358</v>
      </c>
      <c r="I115" s="238"/>
      <c r="J115" s="2199">
        <f t="shared" si="26"/>
        <v>0.50709219858156029</v>
      </c>
      <c r="K115" s="2200">
        <f t="shared" si="27"/>
        <v>0.49290780141843971</v>
      </c>
      <c r="L115" s="2200">
        <f t="shared" si="28"/>
        <v>6.9739952718676126E-2</v>
      </c>
      <c r="M115" s="2201">
        <f t="shared" si="29"/>
        <v>0.42316784869976359</v>
      </c>
    </row>
    <row r="116" spans="1:13" ht="13.5" customHeight="1" x14ac:dyDescent="0.3">
      <c r="A116" s="149" t="s">
        <v>176</v>
      </c>
      <c r="B116" s="185" t="s">
        <v>177</v>
      </c>
      <c r="C116" s="150" t="s">
        <v>254</v>
      </c>
      <c r="D116" s="2190">
        <f t="shared" si="24"/>
        <v>5559</v>
      </c>
      <c r="E116" s="2191">
        <v>1928</v>
      </c>
      <c r="F116" s="2191">
        <f t="shared" si="25"/>
        <v>3631</v>
      </c>
      <c r="G116" s="2191">
        <v>458</v>
      </c>
      <c r="H116" s="2192">
        <v>3173</v>
      </c>
      <c r="I116" s="238"/>
      <c r="J116" s="2199">
        <f t="shared" si="26"/>
        <v>0.34682496851951788</v>
      </c>
      <c r="K116" s="2200">
        <f t="shared" si="27"/>
        <v>0.65317503148048206</v>
      </c>
      <c r="L116" s="2200">
        <f t="shared" si="28"/>
        <v>8.238891887030042E-2</v>
      </c>
      <c r="M116" s="2201">
        <f t="shared" si="29"/>
        <v>0.57078611261018164</v>
      </c>
    </row>
    <row r="117" spans="1:13" ht="13.5" customHeight="1" x14ac:dyDescent="0.3">
      <c r="A117" s="149" t="s">
        <v>180</v>
      </c>
      <c r="B117" s="185" t="s">
        <v>181</v>
      </c>
      <c r="C117" s="150" t="s">
        <v>252</v>
      </c>
      <c r="D117" s="2190">
        <f t="shared" si="24"/>
        <v>17788</v>
      </c>
      <c r="E117" s="2191">
        <v>8532</v>
      </c>
      <c r="F117" s="2191">
        <f t="shared" si="25"/>
        <v>9256</v>
      </c>
      <c r="G117" s="2191">
        <v>1553</v>
      </c>
      <c r="H117" s="2192">
        <v>7703</v>
      </c>
      <c r="I117" s="238"/>
      <c r="J117" s="2199">
        <f t="shared" si="26"/>
        <v>0.47964920170901731</v>
      </c>
      <c r="K117" s="2200">
        <f t="shared" si="27"/>
        <v>0.52035079829098263</v>
      </c>
      <c r="L117" s="2200">
        <f t="shared" si="28"/>
        <v>8.7306049021812451E-2</v>
      </c>
      <c r="M117" s="2201">
        <f t="shared" si="29"/>
        <v>0.43304474926917025</v>
      </c>
    </row>
    <row r="118" spans="1:13" ht="13.5" customHeight="1" x14ac:dyDescent="0.3">
      <c r="A118" s="149" t="s">
        <v>192</v>
      </c>
      <c r="B118" s="185" t="s">
        <v>193</v>
      </c>
      <c r="C118" s="150" t="s">
        <v>256</v>
      </c>
      <c r="D118" s="2190">
        <f t="shared" si="24"/>
        <v>1615</v>
      </c>
      <c r="E118" s="2191">
        <v>1256</v>
      </c>
      <c r="F118" s="2191">
        <f t="shared" si="25"/>
        <v>359</v>
      </c>
      <c r="G118" s="2191">
        <v>24</v>
      </c>
      <c r="H118" s="2192">
        <v>335</v>
      </c>
      <c r="I118" s="238"/>
      <c r="J118" s="2199">
        <f t="shared" si="26"/>
        <v>0.77770897832817343</v>
      </c>
      <c r="K118" s="2200">
        <f t="shared" si="27"/>
        <v>0.22229102167182663</v>
      </c>
      <c r="L118" s="2200">
        <f t="shared" si="28"/>
        <v>1.4860681114551083E-2</v>
      </c>
      <c r="M118" s="2201">
        <f t="shared" si="29"/>
        <v>0.20743034055727555</v>
      </c>
    </row>
    <row r="119" spans="1:13" ht="13.5" customHeight="1" x14ac:dyDescent="0.3">
      <c r="A119" s="149" t="s">
        <v>196</v>
      </c>
      <c r="B119" s="185" t="s">
        <v>197</v>
      </c>
      <c r="C119" s="150" t="s">
        <v>254</v>
      </c>
      <c r="D119" s="2190">
        <f t="shared" si="24"/>
        <v>33676</v>
      </c>
      <c r="E119" s="2191">
        <v>13234</v>
      </c>
      <c r="F119" s="2191">
        <f t="shared" si="25"/>
        <v>20442</v>
      </c>
      <c r="G119" s="2191">
        <v>2677</v>
      </c>
      <c r="H119" s="2192">
        <v>17765</v>
      </c>
      <c r="I119" s="238"/>
      <c r="J119" s="2199">
        <f t="shared" si="26"/>
        <v>0.39298016391495427</v>
      </c>
      <c r="K119" s="2200">
        <f t="shared" si="27"/>
        <v>0.60701983608504573</v>
      </c>
      <c r="L119" s="2200">
        <f t="shared" si="28"/>
        <v>7.949281387338164E-2</v>
      </c>
      <c r="M119" s="2201">
        <f t="shared" si="29"/>
        <v>0.52752702221166414</v>
      </c>
    </row>
    <row r="120" spans="1:13" ht="13.5" customHeight="1" x14ac:dyDescent="0.3">
      <c r="A120" s="149" t="s">
        <v>200</v>
      </c>
      <c r="B120" s="185" t="s">
        <v>201</v>
      </c>
      <c r="C120" s="150" t="s">
        <v>253</v>
      </c>
      <c r="D120" s="2190">
        <f t="shared" si="24"/>
        <v>18468</v>
      </c>
      <c r="E120" s="2191">
        <v>9209</v>
      </c>
      <c r="F120" s="2191">
        <f t="shared" si="25"/>
        <v>9259</v>
      </c>
      <c r="G120" s="2191">
        <v>2371</v>
      </c>
      <c r="H120" s="2192">
        <v>6888</v>
      </c>
      <c r="I120" s="238"/>
      <c r="J120" s="2199">
        <f t="shared" si="26"/>
        <v>0.49864630712583929</v>
      </c>
      <c r="K120" s="2200">
        <f t="shared" si="27"/>
        <v>0.50135369287416076</v>
      </c>
      <c r="L120" s="2200">
        <f t="shared" si="28"/>
        <v>0.12838423218540176</v>
      </c>
      <c r="M120" s="2201">
        <f t="shared" si="29"/>
        <v>0.37296946068875891</v>
      </c>
    </row>
    <row r="121" spans="1:13" ht="13.5" customHeight="1" x14ac:dyDescent="0.3">
      <c r="A121" s="149" t="s">
        <v>222</v>
      </c>
      <c r="B121" s="185" t="s">
        <v>223</v>
      </c>
      <c r="C121" s="150" t="s">
        <v>252</v>
      </c>
      <c r="D121" s="2190">
        <f t="shared" si="24"/>
        <v>18445</v>
      </c>
      <c r="E121" s="2191">
        <v>12729</v>
      </c>
      <c r="F121" s="2191">
        <f t="shared" si="25"/>
        <v>5716</v>
      </c>
      <c r="G121" s="2191">
        <v>881</v>
      </c>
      <c r="H121" s="2192">
        <v>4835</v>
      </c>
      <c r="I121" s="238"/>
      <c r="J121" s="2199">
        <f t="shared" si="26"/>
        <v>0.69010571970723777</v>
      </c>
      <c r="K121" s="2200">
        <f t="shared" si="27"/>
        <v>0.30989428029276228</v>
      </c>
      <c r="L121" s="2200">
        <f t="shared" si="28"/>
        <v>4.7763621577663326E-2</v>
      </c>
      <c r="M121" s="2201">
        <f t="shared" si="29"/>
        <v>0.26213065871509894</v>
      </c>
    </row>
    <row r="122" spans="1:13" ht="13.5" customHeight="1" x14ac:dyDescent="0.3">
      <c r="A122" s="149" t="s">
        <v>230</v>
      </c>
      <c r="B122" s="185" t="s">
        <v>231</v>
      </c>
      <c r="C122" s="150" t="s">
        <v>252</v>
      </c>
      <c r="D122" s="2190">
        <f t="shared" si="24"/>
        <v>89687</v>
      </c>
      <c r="E122" s="2191">
        <v>63734</v>
      </c>
      <c r="F122" s="2191">
        <f t="shared" si="25"/>
        <v>25953</v>
      </c>
      <c r="G122" s="2191">
        <v>6261</v>
      </c>
      <c r="H122" s="2192">
        <v>19692</v>
      </c>
      <c r="I122" s="238"/>
      <c r="J122" s="2199">
        <f t="shared" si="26"/>
        <v>0.71062695819907007</v>
      </c>
      <c r="K122" s="2200">
        <f t="shared" si="27"/>
        <v>0.28937304180092988</v>
      </c>
      <c r="L122" s="2200">
        <f t="shared" si="28"/>
        <v>6.9809448415043426E-2</v>
      </c>
      <c r="M122" s="2201">
        <f t="shared" si="29"/>
        <v>0.21956359338588646</v>
      </c>
    </row>
    <row r="123" spans="1:13" ht="13.5" customHeight="1" x14ac:dyDescent="0.3">
      <c r="A123" s="149" t="s">
        <v>238</v>
      </c>
      <c r="B123" s="185" t="s">
        <v>239</v>
      </c>
      <c r="C123" s="150" t="s">
        <v>252</v>
      </c>
      <c r="D123" s="2190">
        <f t="shared" si="24"/>
        <v>1454</v>
      </c>
      <c r="E123" s="2191">
        <v>995</v>
      </c>
      <c r="F123" s="2191">
        <f t="shared" si="25"/>
        <v>459</v>
      </c>
      <c r="G123" s="2191">
        <v>91</v>
      </c>
      <c r="H123" s="2192">
        <v>368</v>
      </c>
      <c r="I123" s="238"/>
      <c r="J123" s="2199">
        <f t="shared" si="26"/>
        <v>0.68431911966987624</v>
      </c>
      <c r="K123" s="2200">
        <f t="shared" si="27"/>
        <v>0.31568088033012381</v>
      </c>
      <c r="L123" s="2200">
        <f t="shared" si="28"/>
        <v>6.2585969738651992E-2</v>
      </c>
      <c r="M123" s="2201">
        <f t="shared" si="29"/>
        <v>0.25309491059147182</v>
      </c>
    </row>
    <row r="124" spans="1:13" ht="13.5" customHeight="1" x14ac:dyDescent="0.3">
      <c r="A124" s="155" t="s">
        <v>240</v>
      </c>
      <c r="B124" s="187" t="s">
        <v>241</v>
      </c>
      <c r="C124" s="156" t="s">
        <v>255</v>
      </c>
      <c r="D124" s="2190">
        <f t="shared" si="24"/>
        <v>5645</v>
      </c>
      <c r="E124" s="2191">
        <v>3200</v>
      </c>
      <c r="F124" s="2191">
        <f t="shared" si="25"/>
        <v>2445</v>
      </c>
      <c r="G124" s="2191">
        <v>660</v>
      </c>
      <c r="H124" s="2192">
        <v>1785</v>
      </c>
      <c r="I124" s="238"/>
      <c r="J124" s="2199">
        <f t="shared" si="26"/>
        <v>0.566873339238264</v>
      </c>
      <c r="K124" s="2200">
        <f t="shared" si="27"/>
        <v>0.43312666076173606</v>
      </c>
      <c r="L124" s="2200">
        <f t="shared" si="28"/>
        <v>0.11691762621789194</v>
      </c>
      <c r="M124" s="2201">
        <f t="shared" si="29"/>
        <v>0.31620903454384414</v>
      </c>
    </row>
    <row r="125" spans="1:13" x14ac:dyDescent="0.3">
      <c r="A125" s="274"/>
      <c r="B125" s="231"/>
      <c r="C125" s="275"/>
    </row>
    <row r="126" spans="1:13" x14ac:dyDescent="0.3">
      <c r="A126" s="274" t="s">
        <v>254</v>
      </c>
      <c r="B126" s="231"/>
      <c r="C126" s="275"/>
      <c r="D126" s="2190">
        <f t="shared" ref="D126:D130" si="30">E126+F126</f>
        <v>260476</v>
      </c>
      <c r="E126" s="1030">
        <v>174258</v>
      </c>
      <c r="F126" s="831">
        <f>G126+H126</f>
        <v>86218</v>
      </c>
      <c r="G126" s="1341">
        <v>16737</v>
      </c>
      <c r="H126" s="1030">
        <v>69481</v>
      </c>
      <c r="J126" s="1024">
        <f t="shared" ref="J126:J130" si="31">E126/D126</f>
        <v>0.66899829542836964</v>
      </c>
      <c r="K126" s="1024">
        <f t="shared" ref="K126:K130" si="32">F126/D126</f>
        <v>0.33100170457163042</v>
      </c>
      <c r="L126" s="1024">
        <f t="shared" ref="L126:L130" si="33">G126/D126</f>
        <v>6.4255440040541165E-2</v>
      </c>
      <c r="M126" s="1024">
        <f t="shared" ref="M126:M130" si="34">H126/D126</f>
        <v>0.26674626453108924</v>
      </c>
    </row>
    <row r="127" spans="1:13" x14ac:dyDescent="0.3">
      <c r="A127" s="274" t="s">
        <v>252</v>
      </c>
      <c r="B127" s="231"/>
      <c r="C127" s="275"/>
      <c r="D127" s="2190">
        <f t="shared" si="30"/>
        <v>359516</v>
      </c>
      <c r="E127" s="831">
        <v>232257</v>
      </c>
      <c r="F127" s="831">
        <f t="shared" ref="F127:F130" si="35">G127+H127</f>
        <v>127259</v>
      </c>
      <c r="G127" s="1236">
        <v>23994</v>
      </c>
      <c r="H127" s="831">
        <v>103265</v>
      </c>
      <c r="J127" s="1024">
        <f t="shared" si="31"/>
        <v>0.64602688058389612</v>
      </c>
      <c r="K127" s="1024">
        <f t="shared" si="32"/>
        <v>0.35397311941610388</v>
      </c>
      <c r="L127" s="1024">
        <f t="shared" si="33"/>
        <v>6.6739727856340192E-2</v>
      </c>
      <c r="M127" s="1024">
        <f t="shared" si="34"/>
        <v>0.28723339155976368</v>
      </c>
    </row>
    <row r="128" spans="1:13" x14ac:dyDescent="0.3">
      <c r="A128" s="274" t="s">
        <v>255</v>
      </c>
      <c r="B128" s="231"/>
      <c r="C128" s="275"/>
      <c r="D128" s="2190">
        <f t="shared" si="30"/>
        <v>741136</v>
      </c>
      <c r="E128" s="831">
        <v>598260</v>
      </c>
      <c r="F128" s="831">
        <f t="shared" si="35"/>
        <v>142876</v>
      </c>
      <c r="G128" s="1236">
        <v>36265</v>
      </c>
      <c r="H128" s="831">
        <v>106611</v>
      </c>
      <c r="J128" s="1024">
        <f t="shared" si="31"/>
        <v>0.8072202672653872</v>
      </c>
      <c r="K128" s="1024">
        <f t="shared" si="32"/>
        <v>0.19277973273461282</v>
      </c>
      <c r="L128" s="1024">
        <f t="shared" si="33"/>
        <v>4.8931640076854993E-2</v>
      </c>
      <c r="M128" s="1024">
        <f t="shared" si="34"/>
        <v>0.14384809265775783</v>
      </c>
    </row>
    <row r="129" spans="1:13" x14ac:dyDescent="0.3">
      <c r="A129" s="274" t="s">
        <v>253</v>
      </c>
      <c r="B129" s="231"/>
      <c r="C129" s="275"/>
      <c r="D129" s="2190">
        <f t="shared" si="30"/>
        <v>200401</v>
      </c>
      <c r="E129" s="831">
        <v>135241</v>
      </c>
      <c r="F129" s="831">
        <f t="shared" si="35"/>
        <v>65160</v>
      </c>
      <c r="G129" s="1236">
        <v>14183</v>
      </c>
      <c r="H129" s="831">
        <v>50977</v>
      </c>
      <c r="J129" s="1024">
        <f t="shared" si="31"/>
        <v>0.67485192189659737</v>
      </c>
      <c r="K129" s="1024">
        <f t="shared" si="32"/>
        <v>0.32514807810340268</v>
      </c>
      <c r="L129" s="1024">
        <f t="shared" si="33"/>
        <v>7.0773099934631059E-2</v>
      </c>
      <c r="M129" s="1024">
        <f t="shared" si="34"/>
        <v>0.25437497816877164</v>
      </c>
    </row>
    <row r="130" spans="1:13" x14ac:dyDescent="0.3">
      <c r="A130" s="274" t="s">
        <v>256</v>
      </c>
      <c r="B130" s="231"/>
      <c r="C130" s="275"/>
      <c r="D130" s="2190">
        <f t="shared" si="30"/>
        <v>90316</v>
      </c>
      <c r="E130" s="831">
        <v>64706</v>
      </c>
      <c r="F130" s="831">
        <f t="shared" si="35"/>
        <v>25610</v>
      </c>
      <c r="G130" s="1236">
        <v>6971</v>
      </c>
      <c r="H130" s="831">
        <v>18639</v>
      </c>
      <c r="J130" s="1024">
        <f t="shared" si="31"/>
        <v>0.71644005491828688</v>
      </c>
      <c r="K130" s="1024">
        <f t="shared" si="32"/>
        <v>0.28355994508171312</v>
      </c>
      <c r="L130" s="1024">
        <f t="shared" si="33"/>
        <v>7.7184552017361269E-2</v>
      </c>
      <c r="M130" s="1024">
        <f t="shared" si="34"/>
        <v>0.20637539306435182</v>
      </c>
    </row>
    <row r="131" spans="1:13" x14ac:dyDescent="0.3">
      <c r="A131" s="274"/>
      <c r="B131" s="231"/>
      <c r="C131" s="275"/>
    </row>
    <row r="132" spans="1:13" x14ac:dyDescent="0.3">
      <c r="A132" s="1029" t="s">
        <v>1160</v>
      </c>
      <c r="B132"/>
      <c r="C132"/>
    </row>
    <row r="133" spans="1:13" x14ac:dyDescent="0.3">
      <c r="A133" s="182" t="s">
        <v>248</v>
      </c>
      <c r="B133" s="182"/>
      <c r="C133" s="182"/>
    </row>
    <row r="134" spans="1:13" x14ac:dyDescent="0.3">
      <c r="A134" s="188" t="s">
        <v>249</v>
      </c>
      <c r="B134" s="167" t="s">
        <v>250</v>
      </c>
      <c r="C134" s="182"/>
    </row>
  </sheetData>
  <autoFilter ref="A3:C124"/>
  <sortState ref="A5:N124">
    <sortCondition ref="A5:A124"/>
  </sortState>
  <hyperlinks>
    <hyperlink ref="B134" r:id="rId1"/>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129"/>
  <sheetViews>
    <sheetView topLeftCell="C1" workbookViewId="0">
      <pane ySplit="4" topLeftCell="A106" activePane="bottomLeft" state="frozen"/>
      <selection pane="bottomLeft" activeCell="C1" sqref="A1:XFD1048576"/>
    </sheetView>
  </sheetViews>
  <sheetFormatPr defaultColWidth="9" defaultRowHeight="12.75" customHeight="1" x14ac:dyDescent="0.3"/>
  <cols>
    <col min="1" max="1" width="9" style="441"/>
    <col min="2" max="2" width="33.296875" style="441" customWidth="1"/>
    <col min="3" max="3" width="16.69921875" style="441" customWidth="1"/>
    <col min="4" max="14" width="8.796875" style="441" customWidth="1"/>
    <col min="15" max="15" width="4.59765625" style="441" customWidth="1"/>
    <col min="16" max="16" width="10.5" style="441" customWidth="1"/>
    <col min="17" max="16384" width="9" style="441"/>
  </cols>
  <sheetData>
    <row r="1" spans="1:21" ht="12.75" customHeight="1" x14ac:dyDescent="0.3">
      <c r="A1" s="253" t="s">
        <v>801</v>
      </c>
    </row>
    <row r="3" spans="1:21" ht="53.25" customHeight="1" x14ac:dyDescent="0.3">
      <c r="A3" s="446" t="s">
        <v>4</v>
      </c>
      <c r="B3" s="447" t="s">
        <v>5</v>
      </c>
      <c r="C3" s="503" t="s">
        <v>251</v>
      </c>
      <c r="D3" s="467" t="s">
        <v>399</v>
      </c>
      <c r="E3" s="467" t="s">
        <v>400</v>
      </c>
      <c r="F3" s="467" t="s">
        <v>401</v>
      </c>
      <c r="G3" s="467" t="s">
        <v>402</v>
      </c>
      <c r="H3" s="467" t="s">
        <v>403</v>
      </c>
      <c r="I3" s="467" t="s">
        <v>404</v>
      </c>
      <c r="J3" s="467" t="s">
        <v>591</v>
      </c>
      <c r="K3" s="467" t="s">
        <v>586</v>
      </c>
      <c r="L3" s="542" t="s">
        <v>672</v>
      </c>
      <c r="M3" s="542" t="s">
        <v>702</v>
      </c>
      <c r="N3" s="542" t="s">
        <v>809</v>
      </c>
      <c r="O3" s="443"/>
      <c r="P3" s="443" t="s">
        <v>803</v>
      </c>
      <c r="Q3" s="443" t="s">
        <v>796</v>
      </c>
      <c r="R3" s="443" t="s">
        <v>797</v>
      </c>
      <c r="S3" s="443"/>
      <c r="T3" s="443"/>
      <c r="U3" s="443"/>
    </row>
    <row r="4" spans="1:21" ht="15.6" x14ac:dyDescent="0.3">
      <c r="A4" s="528">
        <v>999</v>
      </c>
      <c r="B4" s="507" t="s">
        <v>9</v>
      </c>
      <c r="C4" s="529"/>
      <c r="D4" s="444">
        <f t="shared" ref="D4:L4" si="0">SUM(D5:D124)</f>
        <v>751272</v>
      </c>
      <c r="E4" s="444">
        <f t="shared" si="0"/>
        <v>788458</v>
      </c>
      <c r="F4" s="444">
        <f t="shared" si="0"/>
        <v>802040</v>
      </c>
      <c r="G4" s="444">
        <f t="shared" si="0"/>
        <v>843341</v>
      </c>
      <c r="H4" s="444">
        <f t="shared" si="0"/>
        <v>976493</v>
      </c>
      <c r="I4" s="444">
        <f t="shared" si="0"/>
        <v>1149555</v>
      </c>
      <c r="J4" s="445">
        <f t="shared" si="0"/>
        <v>1261099</v>
      </c>
      <c r="K4" s="445">
        <f t="shared" si="0"/>
        <v>1343272</v>
      </c>
      <c r="L4" s="812">
        <f t="shared" si="0"/>
        <v>1402476</v>
      </c>
      <c r="M4" s="812">
        <v>1359367</v>
      </c>
      <c r="N4" s="1124">
        <v>1287689</v>
      </c>
      <c r="O4" s="443"/>
      <c r="P4" s="443"/>
      <c r="Q4" s="443"/>
      <c r="R4" s="443"/>
      <c r="S4" s="443"/>
      <c r="T4" s="443"/>
      <c r="U4" s="443"/>
    </row>
    <row r="5" spans="1:21" ht="15.6" x14ac:dyDescent="0.3">
      <c r="A5" s="448" t="s">
        <v>10</v>
      </c>
      <c r="B5" s="451" t="s">
        <v>11</v>
      </c>
      <c r="C5" s="505" t="s">
        <v>252</v>
      </c>
      <c r="D5" s="454">
        <v>5982</v>
      </c>
      <c r="E5" s="454">
        <v>6196</v>
      </c>
      <c r="F5" s="454">
        <v>6487</v>
      </c>
      <c r="G5" s="454">
        <v>6764</v>
      </c>
      <c r="H5" s="454">
        <v>7393</v>
      </c>
      <c r="I5" s="454">
        <v>8490</v>
      </c>
      <c r="J5" s="454">
        <v>9362</v>
      </c>
      <c r="K5" s="455">
        <v>10046</v>
      </c>
      <c r="L5" s="813">
        <v>10332</v>
      </c>
      <c r="M5" s="813">
        <v>10088</v>
      </c>
      <c r="N5" s="1125">
        <v>9291</v>
      </c>
      <c r="P5" s="265">
        <f t="shared" ref="P5:P36" si="1">(M5-N5)/M5</f>
        <v>7.9004758128469466E-2</v>
      </c>
      <c r="Q5" s="265">
        <f t="shared" ref="Q5:Q36" si="2">(L5-M5)/L5</f>
        <v>2.3615950445218737E-2</v>
      </c>
      <c r="R5" s="265">
        <f t="shared" ref="R5:R36" si="3">(L5-K5)/K5</f>
        <v>2.8469042404937289E-2</v>
      </c>
    </row>
    <row r="6" spans="1:21" ht="15.6" x14ac:dyDescent="0.3">
      <c r="A6" s="449" t="s">
        <v>12</v>
      </c>
      <c r="B6" s="452" t="s">
        <v>13</v>
      </c>
      <c r="C6" s="506" t="s">
        <v>253</v>
      </c>
      <c r="D6" s="456">
        <v>4580</v>
      </c>
      <c r="E6" s="456">
        <v>5076</v>
      </c>
      <c r="F6" s="456">
        <v>5231</v>
      </c>
      <c r="G6" s="456">
        <v>5708</v>
      </c>
      <c r="H6" s="456">
        <v>7052</v>
      </c>
      <c r="I6" s="456">
        <v>8838</v>
      </c>
      <c r="J6" s="456">
        <v>9931</v>
      </c>
      <c r="K6" s="457">
        <v>10527</v>
      </c>
      <c r="L6" s="813">
        <v>10776</v>
      </c>
      <c r="M6" s="813">
        <v>10403</v>
      </c>
      <c r="N6" s="1125">
        <v>9833</v>
      </c>
      <c r="P6" s="265">
        <f t="shared" si="1"/>
        <v>5.4791886955685862E-2</v>
      </c>
      <c r="Q6" s="265">
        <f t="shared" si="2"/>
        <v>3.4613956941351151E-2</v>
      </c>
      <c r="R6" s="265">
        <f t="shared" si="3"/>
        <v>2.365346252493588E-2</v>
      </c>
    </row>
    <row r="7" spans="1:21" ht="15.6" x14ac:dyDescent="0.3">
      <c r="A7" s="449" t="s">
        <v>16</v>
      </c>
      <c r="B7" s="452" t="s">
        <v>285</v>
      </c>
      <c r="C7" s="506" t="s">
        <v>253</v>
      </c>
      <c r="D7" s="456">
        <v>3621</v>
      </c>
      <c r="E7" s="456">
        <v>3696</v>
      </c>
      <c r="F7" s="456">
        <v>3868</v>
      </c>
      <c r="G7" s="456">
        <v>4048</v>
      </c>
      <c r="H7" s="456">
        <v>4527</v>
      </c>
      <c r="I7" s="456">
        <v>4745</v>
      </c>
      <c r="J7" s="456">
        <v>4987</v>
      </c>
      <c r="K7" s="457">
        <v>5413</v>
      </c>
      <c r="L7" s="813">
        <v>5618</v>
      </c>
      <c r="M7" s="813">
        <v>5278</v>
      </c>
      <c r="N7" s="1125">
        <v>5000</v>
      </c>
      <c r="P7" s="265">
        <f t="shared" si="1"/>
        <v>5.267146646456991E-2</v>
      </c>
      <c r="Q7" s="1094">
        <f t="shared" si="2"/>
        <v>6.0519757920968316E-2</v>
      </c>
      <c r="R7" s="1094">
        <f t="shared" si="3"/>
        <v>3.7871790134860521E-2</v>
      </c>
    </row>
    <row r="8" spans="1:21" ht="15.6" x14ac:dyDescent="0.3">
      <c r="A8" s="449" t="s">
        <v>18</v>
      </c>
      <c r="B8" s="452" t="s">
        <v>19</v>
      </c>
      <c r="C8" s="506" t="s">
        <v>254</v>
      </c>
      <c r="D8" s="456">
        <v>1509</v>
      </c>
      <c r="E8" s="456">
        <v>1696</v>
      </c>
      <c r="F8" s="456">
        <v>1683</v>
      </c>
      <c r="G8" s="456">
        <v>1729</v>
      </c>
      <c r="H8" s="456">
        <v>2278</v>
      </c>
      <c r="I8" s="456">
        <v>2779</v>
      </c>
      <c r="J8" s="456">
        <v>2928</v>
      </c>
      <c r="K8" s="457">
        <v>3096</v>
      </c>
      <c r="L8" s="813">
        <v>3000</v>
      </c>
      <c r="M8" s="813">
        <v>2803</v>
      </c>
      <c r="N8" s="1125">
        <v>2546</v>
      </c>
      <c r="P8" s="265">
        <f t="shared" si="1"/>
        <v>9.1687477702461648E-2</v>
      </c>
      <c r="Q8" s="265">
        <f t="shared" si="2"/>
        <v>6.5666666666666665E-2</v>
      </c>
      <c r="R8" s="265">
        <f t="shared" si="3"/>
        <v>-3.1007751937984496E-2</v>
      </c>
    </row>
    <row r="9" spans="1:21" ht="15.6" x14ac:dyDescent="0.3">
      <c r="A9" s="449" t="s">
        <v>20</v>
      </c>
      <c r="B9" s="452" t="s">
        <v>21</v>
      </c>
      <c r="C9" s="506" t="s">
        <v>253</v>
      </c>
      <c r="D9" s="456">
        <v>4148</v>
      </c>
      <c r="E9" s="456">
        <v>4347</v>
      </c>
      <c r="F9" s="456">
        <v>4122</v>
      </c>
      <c r="G9" s="456">
        <v>4158</v>
      </c>
      <c r="H9" s="456">
        <v>4754</v>
      </c>
      <c r="I9" s="456">
        <v>5718</v>
      </c>
      <c r="J9" s="456">
        <v>5979</v>
      </c>
      <c r="K9" s="457">
        <v>6082</v>
      </c>
      <c r="L9" s="813">
        <v>6250</v>
      </c>
      <c r="M9" s="813">
        <v>5848</v>
      </c>
      <c r="N9" s="1125">
        <v>5298</v>
      </c>
      <c r="P9" s="265">
        <f t="shared" si="1"/>
        <v>9.4049247606019154E-2</v>
      </c>
      <c r="Q9" s="265">
        <f t="shared" si="2"/>
        <v>6.4320000000000002E-2</v>
      </c>
      <c r="R9" s="265">
        <f t="shared" si="3"/>
        <v>2.7622492601118053E-2</v>
      </c>
    </row>
    <row r="10" spans="1:21" ht="15.6" x14ac:dyDescent="0.3">
      <c r="A10" s="449" t="s">
        <v>22</v>
      </c>
      <c r="B10" s="452" t="s">
        <v>23</v>
      </c>
      <c r="C10" s="506" t="s">
        <v>253</v>
      </c>
      <c r="D10" s="456">
        <v>2212</v>
      </c>
      <c r="E10" s="456">
        <v>2324</v>
      </c>
      <c r="F10" s="456">
        <v>2356</v>
      </c>
      <c r="G10" s="456">
        <v>2555</v>
      </c>
      <c r="H10" s="456">
        <v>2809</v>
      </c>
      <c r="I10" s="456">
        <v>3211</v>
      </c>
      <c r="J10" s="456">
        <v>3456</v>
      </c>
      <c r="K10" s="457">
        <v>3681</v>
      </c>
      <c r="L10" s="813">
        <v>3788</v>
      </c>
      <c r="M10" s="813">
        <v>3667</v>
      </c>
      <c r="N10" s="1125">
        <v>3487</v>
      </c>
      <c r="P10" s="265">
        <f t="shared" si="1"/>
        <v>4.9086446686664849E-2</v>
      </c>
      <c r="Q10" s="265">
        <f t="shared" si="2"/>
        <v>3.1942977824709611E-2</v>
      </c>
      <c r="R10" s="265">
        <f t="shared" si="3"/>
        <v>2.9068187992393371E-2</v>
      </c>
    </row>
    <row r="11" spans="1:21" ht="15.6" x14ac:dyDescent="0.3">
      <c r="A11" s="449" t="s">
        <v>24</v>
      </c>
      <c r="B11" s="452" t="s">
        <v>25</v>
      </c>
      <c r="C11" s="506" t="s">
        <v>255</v>
      </c>
      <c r="D11" s="456">
        <v>7066</v>
      </c>
      <c r="E11" s="456">
        <v>6991</v>
      </c>
      <c r="F11" s="456">
        <v>6532</v>
      </c>
      <c r="G11" s="456">
        <v>6865</v>
      </c>
      <c r="H11" s="456">
        <v>8392</v>
      </c>
      <c r="I11" s="456">
        <v>10038</v>
      </c>
      <c r="J11" s="456">
        <v>11526</v>
      </c>
      <c r="K11" s="457">
        <v>12781</v>
      </c>
      <c r="L11" s="813">
        <v>13822</v>
      </c>
      <c r="M11" s="813">
        <v>13840</v>
      </c>
      <c r="N11" s="1125">
        <v>13383</v>
      </c>
      <c r="P11" s="265">
        <f t="shared" si="1"/>
        <v>3.3020231213872833E-2</v>
      </c>
      <c r="Q11" s="265">
        <f t="shared" si="2"/>
        <v>-1.3022717407032266E-3</v>
      </c>
      <c r="R11" s="265">
        <f t="shared" si="3"/>
        <v>8.1449025897817079E-2</v>
      </c>
    </row>
    <row r="12" spans="1:21" ht="15.6" x14ac:dyDescent="0.3">
      <c r="A12" s="449" t="s">
        <v>26</v>
      </c>
      <c r="B12" s="452" t="s">
        <v>547</v>
      </c>
      <c r="C12" s="506" t="s">
        <v>253</v>
      </c>
      <c r="D12" s="456">
        <v>11894</v>
      </c>
      <c r="E12" s="456">
        <v>12791</v>
      </c>
      <c r="F12" s="456">
        <v>13054</v>
      </c>
      <c r="G12" s="456">
        <v>14389</v>
      </c>
      <c r="H12" s="456">
        <v>17153</v>
      </c>
      <c r="I12" s="456">
        <v>20080</v>
      </c>
      <c r="J12" s="456">
        <v>22221</v>
      </c>
      <c r="K12" s="457">
        <v>23384</v>
      </c>
      <c r="L12" s="813">
        <v>25492</v>
      </c>
      <c r="M12" s="813">
        <v>22640</v>
      </c>
      <c r="N12" s="1125">
        <v>20472</v>
      </c>
      <c r="P12" s="265">
        <f t="shared" si="1"/>
        <v>9.5759717314487638E-2</v>
      </c>
      <c r="Q12" s="1094">
        <f t="shared" si="2"/>
        <v>0.1118782363094304</v>
      </c>
      <c r="R12" s="1094">
        <f t="shared" si="3"/>
        <v>9.0147109134450912E-2</v>
      </c>
    </row>
    <row r="13" spans="1:21" ht="15.6" x14ac:dyDescent="0.3">
      <c r="A13" s="449" t="s">
        <v>27</v>
      </c>
      <c r="B13" s="452" t="s">
        <v>28</v>
      </c>
      <c r="C13" s="506" t="s">
        <v>253</v>
      </c>
      <c r="D13" s="456">
        <v>285</v>
      </c>
      <c r="E13" s="456">
        <v>275</v>
      </c>
      <c r="F13" s="456">
        <v>306</v>
      </c>
      <c r="G13" s="456">
        <v>400</v>
      </c>
      <c r="H13" s="456">
        <v>470</v>
      </c>
      <c r="I13" s="456">
        <v>573</v>
      </c>
      <c r="J13" s="456">
        <v>579</v>
      </c>
      <c r="K13" s="457">
        <v>693</v>
      </c>
      <c r="L13" s="813">
        <v>750</v>
      </c>
      <c r="M13" s="813">
        <v>665</v>
      </c>
      <c r="N13" s="1125">
        <v>589</v>
      </c>
      <c r="P13" s="265">
        <f t="shared" si="1"/>
        <v>0.11428571428571428</v>
      </c>
      <c r="Q13" s="265">
        <f t="shared" si="2"/>
        <v>0.11333333333333333</v>
      </c>
      <c r="R13" s="265">
        <f t="shared" si="3"/>
        <v>8.2251082251082255E-2</v>
      </c>
    </row>
    <row r="14" spans="1:21" ht="15.6" x14ac:dyDescent="0.3">
      <c r="A14" s="449" t="s">
        <v>29</v>
      </c>
      <c r="B14" s="452" t="s">
        <v>736</v>
      </c>
      <c r="C14" s="506" t="s">
        <v>253</v>
      </c>
      <c r="D14" s="456">
        <v>6198</v>
      </c>
      <c r="E14" s="456">
        <v>6521</v>
      </c>
      <c r="F14" s="456">
        <v>6761</v>
      </c>
      <c r="G14" s="456">
        <v>6795</v>
      </c>
      <c r="H14" s="456">
        <v>8037</v>
      </c>
      <c r="I14" s="456">
        <v>9464</v>
      </c>
      <c r="J14" s="456">
        <v>10370</v>
      </c>
      <c r="K14" s="457">
        <v>10717</v>
      </c>
      <c r="L14" s="813">
        <v>11077</v>
      </c>
      <c r="M14" s="813">
        <v>11387</v>
      </c>
      <c r="N14" s="1125">
        <v>9512</v>
      </c>
      <c r="P14" s="265">
        <f t="shared" si="1"/>
        <v>0.16466145604636867</v>
      </c>
      <c r="Q14" s="265">
        <f t="shared" si="2"/>
        <v>-2.7985916764466913E-2</v>
      </c>
      <c r="R14" s="265">
        <f t="shared" si="3"/>
        <v>3.3591490155827193E-2</v>
      </c>
    </row>
    <row r="15" spans="1:21" ht="15.6" x14ac:dyDescent="0.3">
      <c r="A15" s="449" t="s">
        <v>30</v>
      </c>
      <c r="B15" s="532" t="s">
        <v>31</v>
      </c>
      <c r="C15" s="506" t="s">
        <v>256</v>
      </c>
      <c r="D15" s="456">
        <v>720</v>
      </c>
      <c r="E15" s="456">
        <v>758</v>
      </c>
      <c r="F15" s="456">
        <v>760</v>
      </c>
      <c r="G15" s="456">
        <v>762</v>
      </c>
      <c r="H15" s="456">
        <v>807</v>
      </c>
      <c r="I15" s="456">
        <v>875</v>
      </c>
      <c r="J15" s="456">
        <v>970</v>
      </c>
      <c r="K15" s="457">
        <v>953</v>
      </c>
      <c r="L15" s="813">
        <v>993</v>
      </c>
      <c r="M15" s="813">
        <v>923</v>
      </c>
      <c r="N15" s="1125">
        <v>826</v>
      </c>
      <c r="P15" s="265">
        <f t="shared" si="1"/>
        <v>0.10509209100758396</v>
      </c>
      <c r="Q15" s="265">
        <f t="shared" si="2"/>
        <v>7.0493454179254789E-2</v>
      </c>
      <c r="R15" s="265">
        <f t="shared" si="3"/>
        <v>4.197271773347324E-2</v>
      </c>
    </row>
    <row r="16" spans="1:21" ht="15.6" x14ac:dyDescent="0.3">
      <c r="A16" s="449" t="s">
        <v>32</v>
      </c>
      <c r="B16" s="452" t="s">
        <v>33</v>
      </c>
      <c r="C16" s="506" t="s">
        <v>253</v>
      </c>
      <c r="D16" s="456">
        <v>1372</v>
      </c>
      <c r="E16" s="456">
        <v>1459</v>
      </c>
      <c r="F16" s="456">
        <v>1481</v>
      </c>
      <c r="G16" s="456">
        <v>1634</v>
      </c>
      <c r="H16" s="456">
        <v>1929</v>
      </c>
      <c r="I16" s="456">
        <v>2461</v>
      </c>
      <c r="J16" s="456">
        <v>2522</v>
      </c>
      <c r="K16" s="457">
        <v>2764</v>
      </c>
      <c r="L16" s="813">
        <v>2819</v>
      </c>
      <c r="M16" s="813">
        <v>2794</v>
      </c>
      <c r="N16" s="1125">
        <v>2734</v>
      </c>
      <c r="P16" s="265">
        <f t="shared" si="1"/>
        <v>2.1474588403722263E-2</v>
      </c>
      <c r="Q16" s="265">
        <f t="shared" si="2"/>
        <v>8.8683930471798508E-3</v>
      </c>
      <c r="R16" s="265">
        <f t="shared" si="3"/>
        <v>1.9898697539797394E-2</v>
      </c>
    </row>
    <row r="17" spans="1:18" ht="15.6" x14ac:dyDescent="0.3">
      <c r="A17" s="449" t="s">
        <v>36</v>
      </c>
      <c r="B17" s="452" t="s">
        <v>37</v>
      </c>
      <c r="C17" s="506" t="s">
        <v>252</v>
      </c>
      <c r="D17" s="456">
        <v>3608</v>
      </c>
      <c r="E17" s="456">
        <v>3766</v>
      </c>
      <c r="F17" s="456">
        <v>3888</v>
      </c>
      <c r="G17" s="456">
        <v>3948</v>
      </c>
      <c r="H17" s="456">
        <v>4353</v>
      </c>
      <c r="I17" s="456">
        <v>4710</v>
      </c>
      <c r="J17" s="456">
        <v>5056</v>
      </c>
      <c r="K17" s="457">
        <v>5222</v>
      </c>
      <c r="L17" s="813">
        <v>5261</v>
      </c>
      <c r="M17" s="813">
        <v>5136</v>
      </c>
      <c r="N17" s="1125">
        <v>4806</v>
      </c>
      <c r="P17" s="265">
        <f t="shared" si="1"/>
        <v>6.4252336448598124E-2</v>
      </c>
      <c r="Q17" s="265">
        <f t="shared" si="2"/>
        <v>2.3759741494012544E-2</v>
      </c>
      <c r="R17" s="265">
        <f t="shared" si="3"/>
        <v>7.46840291076216E-3</v>
      </c>
    </row>
    <row r="18" spans="1:18" ht="15.6" x14ac:dyDescent="0.3">
      <c r="A18" s="449" t="s">
        <v>38</v>
      </c>
      <c r="B18" s="452" t="s">
        <v>39</v>
      </c>
      <c r="C18" s="506" t="s">
        <v>256</v>
      </c>
      <c r="D18" s="456">
        <v>5892</v>
      </c>
      <c r="E18" s="456">
        <v>5754</v>
      </c>
      <c r="F18" s="456">
        <v>5594</v>
      </c>
      <c r="G18" s="456">
        <v>5580</v>
      </c>
      <c r="H18" s="456">
        <v>5768</v>
      </c>
      <c r="I18" s="456">
        <v>6066</v>
      </c>
      <c r="J18" s="456">
        <v>6035</v>
      </c>
      <c r="K18" s="457">
        <v>6166</v>
      </c>
      <c r="L18" s="813">
        <v>6567</v>
      </c>
      <c r="M18" s="813">
        <v>6367</v>
      </c>
      <c r="N18" s="1125">
        <v>6262</v>
      </c>
      <c r="P18" s="265">
        <f t="shared" si="1"/>
        <v>1.6491283178891158E-2</v>
      </c>
      <c r="Q18" s="265">
        <f t="shared" si="2"/>
        <v>3.0455306837216384E-2</v>
      </c>
      <c r="R18" s="265">
        <f t="shared" si="3"/>
        <v>6.5034057735971457E-2</v>
      </c>
    </row>
    <row r="19" spans="1:18" ht="15.6" x14ac:dyDescent="0.3">
      <c r="A19" s="449" t="s">
        <v>40</v>
      </c>
      <c r="B19" s="452" t="s">
        <v>41</v>
      </c>
      <c r="C19" s="506" t="s">
        <v>254</v>
      </c>
      <c r="D19" s="456">
        <v>2763</v>
      </c>
      <c r="E19" s="456">
        <v>2828</v>
      </c>
      <c r="F19" s="456">
        <v>2954</v>
      </c>
      <c r="G19" s="456">
        <v>3089</v>
      </c>
      <c r="H19" s="456">
        <v>3524</v>
      </c>
      <c r="I19" s="456">
        <v>4135</v>
      </c>
      <c r="J19" s="456">
        <v>4476</v>
      </c>
      <c r="K19" s="457">
        <v>4756</v>
      </c>
      <c r="L19" s="813">
        <v>4849</v>
      </c>
      <c r="M19" s="813">
        <v>4470</v>
      </c>
      <c r="N19" s="1125">
        <v>4312</v>
      </c>
      <c r="P19" s="265">
        <f t="shared" si="1"/>
        <v>3.5346756152125278E-2</v>
      </c>
      <c r="Q19" s="265">
        <f t="shared" si="2"/>
        <v>7.816044545267066E-2</v>
      </c>
      <c r="R19" s="265">
        <f t="shared" si="3"/>
        <v>1.9554247266610598E-2</v>
      </c>
    </row>
    <row r="20" spans="1:18" ht="15.6" x14ac:dyDescent="0.3">
      <c r="A20" s="449" t="s">
        <v>42</v>
      </c>
      <c r="B20" s="452" t="s">
        <v>43</v>
      </c>
      <c r="C20" s="506" t="s">
        <v>253</v>
      </c>
      <c r="D20" s="456">
        <v>6928</v>
      </c>
      <c r="E20" s="456">
        <v>7181</v>
      </c>
      <c r="F20" s="456">
        <v>7315</v>
      </c>
      <c r="G20" s="456">
        <v>7596</v>
      </c>
      <c r="H20" s="456">
        <v>8550</v>
      </c>
      <c r="I20" s="456">
        <v>10067</v>
      </c>
      <c r="J20" s="456">
        <v>10878</v>
      </c>
      <c r="K20" s="457">
        <v>11338</v>
      </c>
      <c r="L20" s="813">
        <v>11586</v>
      </c>
      <c r="M20" s="813">
        <v>11206</v>
      </c>
      <c r="N20" s="1125">
        <v>10862</v>
      </c>
      <c r="P20" s="265">
        <f t="shared" si="1"/>
        <v>3.0697840442620025E-2</v>
      </c>
      <c r="Q20" s="265">
        <f t="shared" si="2"/>
        <v>3.2798204729846368E-2</v>
      </c>
      <c r="R20" s="265">
        <f t="shared" si="3"/>
        <v>2.1873346269183278E-2</v>
      </c>
    </row>
    <row r="21" spans="1:18" ht="15.6" x14ac:dyDescent="0.3">
      <c r="A21" s="449" t="s">
        <v>44</v>
      </c>
      <c r="B21" s="452" t="s">
        <v>45</v>
      </c>
      <c r="C21" s="506" t="s">
        <v>254</v>
      </c>
      <c r="D21" s="456">
        <v>3702</v>
      </c>
      <c r="E21" s="456">
        <v>3805</v>
      </c>
      <c r="F21" s="456">
        <v>4025</v>
      </c>
      <c r="G21" s="456">
        <v>4534</v>
      </c>
      <c r="H21" s="456">
        <v>5612</v>
      </c>
      <c r="I21" s="456">
        <v>6487</v>
      </c>
      <c r="J21" s="456">
        <v>6917</v>
      </c>
      <c r="K21" s="457">
        <v>7318</v>
      </c>
      <c r="L21" s="813">
        <v>7516</v>
      </c>
      <c r="M21" s="813">
        <v>7062</v>
      </c>
      <c r="N21" s="1125">
        <v>6873</v>
      </c>
      <c r="P21" s="265">
        <f t="shared" si="1"/>
        <v>2.6762956669498725E-2</v>
      </c>
      <c r="Q21" s="265">
        <f t="shared" si="2"/>
        <v>6.0404470463012241E-2</v>
      </c>
      <c r="R21" s="265">
        <f t="shared" si="3"/>
        <v>2.705657283410768E-2</v>
      </c>
    </row>
    <row r="22" spans="1:18" ht="15.6" x14ac:dyDescent="0.3">
      <c r="A22" s="449" t="s">
        <v>46</v>
      </c>
      <c r="B22" s="452" t="s">
        <v>47</v>
      </c>
      <c r="C22" s="506" t="s">
        <v>256</v>
      </c>
      <c r="D22" s="456">
        <v>4883</v>
      </c>
      <c r="E22" s="456">
        <v>5103</v>
      </c>
      <c r="F22" s="456">
        <v>5345</v>
      </c>
      <c r="G22" s="456">
        <v>5657</v>
      </c>
      <c r="H22" s="456">
        <v>6429</v>
      </c>
      <c r="I22" s="456">
        <v>7118</v>
      </c>
      <c r="J22" s="456">
        <v>7552</v>
      </c>
      <c r="K22" s="457">
        <v>7844</v>
      </c>
      <c r="L22" s="813">
        <v>8008</v>
      </c>
      <c r="M22" s="813">
        <v>7687</v>
      </c>
      <c r="N22" s="1125">
        <v>7132</v>
      </c>
      <c r="P22" s="265">
        <f t="shared" si="1"/>
        <v>7.2199817874333286E-2</v>
      </c>
      <c r="Q22" s="265">
        <f t="shared" si="2"/>
        <v>4.0084915084915088E-2</v>
      </c>
      <c r="R22" s="265">
        <f t="shared" si="3"/>
        <v>2.0907700152983173E-2</v>
      </c>
    </row>
    <row r="23" spans="1:18" ht="15.6" x14ac:dyDescent="0.3">
      <c r="A23" s="449" t="s">
        <v>48</v>
      </c>
      <c r="B23" s="452" t="s">
        <v>257</v>
      </c>
      <c r="C23" s="506" t="s">
        <v>254</v>
      </c>
      <c r="D23" s="456">
        <v>765</v>
      </c>
      <c r="E23" s="456">
        <v>824</v>
      </c>
      <c r="F23" s="456">
        <v>890</v>
      </c>
      <c r="G23" s="456">
        <v>970</v>
      </c>
      <c r="H23" s="456">
        <v>1174</v>
      </c>
      <c r="I23" s="456">
        <v>1318</v>
      </c>
      <c r="J23" s="456">
        <v>1361</v>
      </c>
      <c r="K23" s="457">
        <v>1455</v>
      </c>
      <c r="L23" s="813">
        <v>1544</v>
      </c>
      <c r="M23" s="813">
        <v>1458</v>
      </c>
      <c r="N23" s="1125">
        <v>1369</v>
      </c>
      <c r="P23" s="265">
        <f t="shared" si="1"/>
        <v>6.1042524005486966E-2</v>
      </c>
      <c r="Q23" s="265">
        <f t="shared" si="2"/>
        <v>5.5699481865284971E-2</v>
      </c>
      <c r="R23" s="265">
        <f t="shared" si="3"/>
        <v>6.1168384879725084E-2</v>
      </c>
    </row>
    <row r="24" spans="1:18" ht="15.6" x14ac:dyDescent="0.3">
      <c r="A24" s="449" t="s">
        <v>50</v>
      </c>
      <c r="B24" s="452" t="s">
        <v>51</v>
      </c>
      <c r="C24" s="506" t="s">
        <v>253</v>
      </c>
      <c r="D24" s="456">
        <v>2244</v>
      </c>
      <c r="E24" s="456">
        <v>2370</v>
      </c>
      <c r="F24" s="456">
        <v>2538</v>
      </c>
      <c r="G24" s="456">
        <v>2585</v>
      </c>
      <c r="H24" s="456">
        <v>2950</v>
      </c>
      <c r="I24" s="456">
        <v>3231</v>
      </c>
      <c r="J24" s="456">
        <v>3392</v>
      </c>
      <c r="K24" s="457">
        <v>3552</v>
      </c>
      <c r="L24" s="813">
        <v>3509</v>
      </c>
      <c r="M24" s="813">
        <v>3211</v>
      </c>
      <c r="N24" s="1125">
        <v>3084</v>
      </c>
      <c r="P24" s="265">
        <f t="shared" si="1"/>
        <v>3.9551541575833071E-2</v>
      </c>
      <c r="Q24" s="265">
        <f t="shared" si="2"/>
        <v>8.492447990880593E-2</v>
      </c>
      <c r="R24" s="265">
        <f t="shared" si="3"/>
        <v>-1.2105855855855855E-2</v>
      </c>
    </row>
    <row r="25" spans="1:18" ht="15.6" x14ac:dyDescent="0.3">
      <c r="A25" s="449" t="s">
        <v>56</v>
      </c>
      <c r="B25" s="452" t="s">
        <v>283</v>
      </c>
      <c r="C25" s="506" t="s">
        <v>254</v>
      </c>
      <c r="D25" s="456">
        <v>21320</v>
      </c>
      <c r="E25" s="456">
        <v>22790</v>
      </c>
      <c r="F25" s="456">
        <v>23749</v>
      </c>
      <c r="G25" s="456">
        <v>26017</v>
      </c>
      <c r="H25" s="456">
        <v>32304</v>
      </c>
      <c r="I25" s="456">
        <v>40766</v>
      </c>
      <c r="J25" s="456">
        <v>45795</v>
      </c>
      <c r="K25" s="457">
        <v>49220</v>
      </c>
      <c r="L25" s="813">
        <v>51844</v>
      </c>
      <c r="M25" s="813">
        <v>50895</v>
      </c>
      <c r="N25" s="1125">
        <v>48169</v>
      </c>
      <c r="P25" s="265">
        <f t="shared" si="1"/>
        <v>5.3561253561253561E-2</v>
      </c>
      <c r="Q25" s="265">
        <f t="shared" si="2"/>
        <v>1.8304914744232698E-2</v>
      </c>
      <c r="R25" s="265">
        <f t="shared" si="3"/>
        <v>5.3311661926046319E-2</v>
      </c>
    </row>
    <row r="26" spans="1:18" ht="15.6" x14ac:dyDescent="0.3">
      <c r="A26" s="449" t="s">
        <v>58</v>
      </c>
      <c r="B26" s="452" t="s">
        <v>59</v>
      </c>
      <c r="C26" s="506" t="s">
        <v>255</v>
      </c>
      <c r="D26" s="456">
        <v>550</v>
      </c>
      <c r="E26" s="456">
        <v>553</v>
      </c>
      <c r="F26" s="456">
        <v>690</v>
      </c>
      <c r="G26" s="456">
        <v>760</v>
      </c>
      <c r="H26" s="456">
        <v>1050</v>
      </c>
      <c r="I26" s="456">
        <v>1190</v>
      </c>
      <c r="J26" s="456">
        <v>1289</v>
      </c>
      <c r="K26" s="457">
        <v>1315</v>
      </c>
      <c r="L26" s="813">
        <v>1310</v>
      </c>
      <c r="M26" s="813">
        <v>1219</v>
      </c>
      <c r="N26" s="1125">
        <v>1008</v>
      </c>
      <c r="P26" s="265">
        <f t="shared" si="1"/>
        <v>0.17309269893355209</v>
      </c>
      <c r="Q26" s="265">
        <f t="shared" si="2"/>
        <v>6.9465648854961828E-2</v>
      </c>
      <c r="R26" s="265">
        <f t="shared" si="3"/>
        <v>-3.8022813688212928E-3</v>
      </c>
    </row>
    <row r="27" spans="1:18" ht="15.6" x14ac:dyDescent="0.3">
      <c r="A27" s="449" t="s">
        <v>60</v>
      </c>
      <c r="B27" s="452" t="s">
        <v>61</v>
      </c>
      <c r="C27" s="506" t="s">
        <v>253</v>
      </c>
      <c r="D27" s="456">
        <v>517</v>
      </c>
      <c r="E27" s="456">
        <v>542</v>
      </c>
      <c r="F27" s="456">
        <v>533</v>
      </c>
      <c r="G27" s="456">
        <v>578</v>
      </c>
      <c r="H27" s="456">
        <v>662</v>
      </c>
      <c r="I27" s="456">
        <v>800</v>
      </c>
      <c r="J27" s="456">
        <v>829</v>
      </c>
      <c r="K27" s="457">
        <v>911</v>
      </c>
      <c r="L27" s="813">
        <v>927</v>
      </c>
      <c r="M27" s="813">
        <v>851</v>
      </c>
      <c r="N27" s="1125">
        <v>853</v>
      </c>
      <c r="P27" s="265">
        <f t="shared" si="1"/>
        <v>-2.3501762632197414E-3</v>
      </c>
      <c r="Q27" s="265">
        <f t="shared" si="2"/>
        <v>8.1984897518878108E-2</v>
      </c>
      <c r="R27" s="265">
        <f t="shared" si="3"/>
        <v>1.756311745334797E-2</v>
      </c>
    </row>
    <row r="28" spans="1:18" ht="15.6" x14ac:dyDescent="0.3">
      <c r="A28" s="449" t="s">
        <v>62</v>
      </c>
      <c r="B28" s="452" t="s">
        <v>63</v>
      </c>
      <c r="C28" s="506" t="s">
        <v>255</v>
      </c>
      <c r="D28" s="456">
        <v>3359</v>
      </c>
      <c r="E28" s="456">
        <v>3705</v>
      </c>
      <c r="F28" s="456">
        <v>3982</v>
      </c>
      <c r="G28" s="456">
        <v>4656</v>
      </c>
      <c r="H28" s="456">
        <v>6257</v>
      </c>
      <c r="I28" s="456">
        <v>7702</v>
      </c>
      <c r="J28" s="456">
        <v>8297</v>
      </c>
      <c r="K28" s="457">
        <v>8619</v>
      </c>
      <c r="L28" s="813">
        <v>9095</v>
      </c>
      <c r="M28" s="813">
        <v>8623</v>
      </c>
      <c r="N28" s="1125">
        <v>8207</v>
      </c>
      <c r="P28" s="265">
        <f t="shared" si="1"/>
        <v>4.8243070857010323E-2</v>
      </c>
      <c r="Q28" s="265">
        <f t="shared" si="2"/>
        <v>5.1896646509070915E-2</v>
      </c>
      <c r="R28" s="265">
        <f t="shared" si="3"/>
        <v>5.5226824457593686E-2</v>
      </c>
    </row>
    <row r="29" spans="1:18" ht="15.6" x14ac:dyDescent="0.3">
      <c r="A29" s="449" t="s">
        <v>64</v>
      </c>
      <c r="B29" s="452" t="s">
        <v>65</v>
      </c>
      <c r="C29" s="506" t="s">
        <v>254</v>
      </c>
      <c r="D29" s="456">
        <v>1905</v>
      </c>
      <c r="E29" s="456">
        <v>1918</v>
      </c>
      <c r="F29" s="456">
        <v>2027</v>
      </c>
      <c r="G29" s="456">
        <v>2146</v>
      </c>
      <c r="H29" s="456">
        <v>2481</v>
      </c>
      <c r="I29" s="456">
        <v>2793</v>
      </c>
      <c r="J29" s="456">
        <v>2986</v>
      </c>
      <c r="K29" s="457">
        <v>3186</v>
      </c>
      <c r="L29" s="813">
        <v>3218</v>
      </c>
      <c r="M29" s="813">
        <v>3142</v>
      </c>
      <c r="N29" s="1125">
        <v>2949</v>
      </c>
      <c r="P29" s="265">
        <f t="shared" si="1"/>
        <v>6.1425843411839591E-2</v>
      </c>
      <c r="Q29" s="265">
        <f t="shared" si="2"/>
        <v>2.3617153511497825E-2</v>
      </c>
      <c r="R29" s="265">
        <f t="shared" si="3"/>
        <v>1.0043942247332079E-2</v>
      </c>
    </row>
    <row r="30" spans="1:18" ht="15.6" x14ac:dyDescent="0.3">
      <c r="A30" s="449" t="s">
        <v>68</v>
      </c>
      <c r="B30" s="452" t="s">
        <v>69</v>
      </c>
      <c r="C30" s="506" t="s">
        <v>256</v>
      </c>
      <c r="D30" s="456">
        <v>3875</v>
      </c>
      <c r="E30" s="456">
        <v>3908</v>
      </c>
      <c r="F30" s="456">
        <v>3822</v>
      </c>
      <c r="G30" s="456">
        <v>3878</v>
      </c>
      <c r="H30" s="456">
        <v>4017</v>
      </c>
      <c r="I30" s="456">
        <v>4315</v>
      </c>
      <c r="J30" s="456">
        <v>4437</v>
      </c>
      <c r="K30" s="457">
        <v>4585</v>
      </c>
      <c r="L30" s="813">
        <v>4838</v>
      </c>
      <c r="M30" s="813">
        <v>4598</v>
      </c>
      <c r="N30" s="1125">
        <v>4372</v>
      </c>
      <c r="P30" s="265">
        <f t="shared" si="1"/>
        <v>4.9151805132666378E-2</v>
      </c>
      <c r="Q30" s="265">
        <f t="shared" si="2"/>
        <v>4.9607275733774284E-2</v>
      </c>
      <c r="R30" s="265">
        <f t="shared" si="3"/>
        <v>5.5179934569247545E-2</v>
      </c>
    </row>
    <row r="31" spans="1:18" ht="15.6" x14ac:dyDescent="0.3">
      <c r="A31" s="449" t="s">
        <v>70</v>
      </c>
      <c r="B31" s="452" t="s">
        <v>71</v>
      </c>
      <c r="C31" s="506" t="s">
        <v>252</v>
      </c>
      <c r="D31" s="456">
        <v>3893</v>
      </c>
      <c r="E31" s="456">
        <v>4152</v>
      </c>
      <c r="F31" s="456">
        <v>4203</v>
      </c>
      <c r="G31" s="456">
        <v>4383</v>
      </c>
      <c r="H31" s="456">
        <v>5090</v>
      </c>
      <c r="I31" s="456">
        <v>6023</v>
      </c>
      <c r="J31" s="456">
        <v>6350</v>
      </c>
      <c r="K31" s="457">
        <v>6753</v>
      </c>
      <c r="L31" s="813">
        <v>6809</v>
      </c>
      <c r="M31" s="813">
        <v>6500</v>
      </c>
      <c r="N31" s="1125">
        <v>6326</v>
      </c>
      <c r="P31" s="265">
        <f t="shared" si="1"/>
        <v>2.6769230769230771E-2</v>
      </c>
      <c r="Q31" s="265">
        <f t="shared" si="2"/>
        <v>4.5381113232486413E-2</v>
      </c>
      <c r="R31" s="265">
        <f t="shared" si="3"/>
        <v>8.2926106915444994E-3</v>
      </c>
    </row>
    <row r="32" spans="1:18" ht="15.6" x14ac:dyDescent="0.3">
      <c r="A32" s="449" t="s">
        <v>72</v>
      </c>
      <c r="B32" s="452" t="s">
        <v>73</v>
      </c>
      <c r="C32" s="506" t="s">
        <v>254</v>
      </c>
      <c r="D32" s="456">
        <v>1985</v>
      </c>
      <c r="E32" s="456">
        <v>2061</v>
      </c>
      <c r="F32" s="456">
        <v>2062</v>
      </c>
      <c r="G32" s="456">
        <v>2206</v>
      </c>
      <c r="H32" s="456">
        <v>2628</v>
      </c>
      <c r="I32" s="456">
        <v>2960</v>
      </c>
      <c r="J32" s="456">
        <v>3207</v>
      </c>
      <c r="K32" s="457">
        <v>3507</v>
      </c>
      <c r="L32" s="813">
        <v>3536</v>
      </c>
      <c r="M32" s="813">
        <v>3358</v>
      </c>
      <c r="N32" s="1125">
        <v>3162</v>
      </c>
      <c r="P32" s="265">
        <f t="shared" si="1"/>
        <v>5.8368076235854674E-2</v>
      </c>
      <c r="Q32" s="265">
        <f t="shared" si="2"/>
        <v>5.0339366515837106E-2</v>
      </c>
      <c r="R32" s="265">
        <f t="shared" si="3"/>
        <v>8.2691759338465922E-3</v>
      </c>
    </row>
    <row r="33" spans="1:18" ht="15.6" x14ac:dyDescent="0.3">
      <c r="A33" s="449" t="s">
        <v>74</v>
      </c>
      <c r="B33" s="452" t="s">
        <v>284</v>
      </c>
      <c r="C33" s="506" t="s">
        <v>255</v>
      </c>
      <c r="D33" s="456">
        <v>30107</v>
      </c>
      <c r="E33" s="456">
        <v>32481</v>
      </c>
      <c r="F33" s="456">
        <v>33617</v>
      </c>
      <c r="G33" s="456">
        <v>36644</v>
      </c>
      <c r="H33" s="456">
        <v>46502</v>
      </c>
      <c r="I33" s="456">
        <v>59952</v>
      </c>
      <c r="J33" s="456">
        <v>70182</v>
      </c>
      <c r="K33" s="457">
        <v>78782</v>
      </c>
      <c r="L33" s="813">
        <v>85543</v>
      </c>
      <c r="M33" s="813">
        <v>85323</v>
      </c>
      <c r="N33" s="1125">
        <v>81349</v>
      </c>
      <c r="P33" s="265">
        <f t="shared" si="1"/>
        <v>4.6575952556754917E-2</v>
      </c>
      <c r="Q33" s="265">
        <f t="shared" si="2"/>
        <v>2.5718059923079623E-3</v>
      </c>
      <c r="R33" s="265">
        <f t="shared" si="3"/>
        <v>8.5819095732527731E-2</v>
      </c>
    </row>
    <row r="34" spans="1:18" ht="15.6" x14ac:dyDescent="0.3">
      <c r="A34" s="449" t="s">
        <v>76</v>
      </c>
      <c r="B34" s="452" t="s">
        <v>77</v>
      </c>
      <c r="C34" s="506" t="s">
        <v>255</v>
      </c>
      <c r="D34" s="456">
        <v>2873</v>
      </c>
      <c r="E34" s="456">
        <v>3091</v>
      </c>
      <c r="F34" s="456">
        <v>3341</v>
      </c>
      <c r="G34" s="456">
        <v>4012</v>
      </c>
      <c r="H34" s="456">
        <v>5197</v>
      </c>
      <c r="I34" s="456">
        <v>6214</v>
      </c>
      <c r="J34" s="456">
        <v>6501</v>
      </c>
      <c r="K34" s="457">
        <v>6922</v>
      </c>
      <c r="L34" s="813">
        <v>7049</v>
      </c>
      <c r="M34" s="813">
        <v>6553</v>
      </c>
      <c r="N34" s="1125">
        <v>5924</v>
      </c>
      <c r="P34" s="265">
        <f t="shared" si="1"/>
        <v>9.5986571036166646E-2</v>
      </c>
      <c r="Q34" s="265">
        <f t="shared" si="2"/>
        <v>7.0364590722088241E-2</v>
      </c>
      <c r="R34" s="265">
        <f t="shared" si="3"/>
        <v>1.8347298468650679E-2</v>
      </c>
    </row>
    <row r="35" spans="1:18" ht="15.6" x14ac:dyDescent="0.3">
      <c r="A35" s="449" t="s">
        <v>78</v>
      </c>
      <c r="B35" s="452" t="s">
        <v>79</v>
      </c>
      <c r="C35" s="506" t="s">
        <v>256</v>
      </c>
      <c r="D35" s="456">
        <v>1729</v>
      </c>
      <c r="E35" s="456">
        <v>1857</v>
      </c>
      <c r="F35" s="456">
        <v>1883</v>
      </c>
      <c r="G35" s="456">
        <v>1981</v>
      </c>
      <c r="H35" s="456">
        <v>2249</v>
      </c>
      <c r="I35" s="456">
        <v>2672</v>
      </c>
      <c r="J35" s="456">
        <v>2937</v>
      </c>
      <c r="K35" s="457">
        <v>3093</v>
      </c>
      <c r="L35" s="813">
        <v>3085</v>
      </c>
      <c r="M35" s="813">
        <v>2879</v>
      </c>
      <c r="N35" s="1125">
        <v>2646</v>
      </c>
      <c r="P35" s="265">
        <f t="shared" si="1"/>
        <v>8.0930878777353249E-2</v>
      </c>
      <c r="Q35" s="265">
        <f t="shared" si="2"/>
        <v>6.6774716369529988E-2</v>
      </c>
      <c r="R35" s="265">
        <f t="shared" si="3"/>
        <v>-2.5864856126737797E-3</v>
      </c>
    </row>
    <row r="36" spans="1:18" ht="15.6" x14ac:dyDescent="0.3">
      <c r="A36" s="449" t="s">
        <v>80</v>
      </c>
      <c r="B36" s="452" t="s">
        <v>81</v>
      </c>
      <c r="C36" s="506" t="s">
        <v>254</v>
      </c>
      <c r="D36" s="456">
        <v>1197</v>
      </c>
      <c r="E36" s="456">
        <v>1281</v>
      </c>
      <c r="F36" s="456">
        <v>1385</v>
      </c>
      <c r="G36" s="456">
        <v>1374</v>
      </c>
      <c r="H36" s="456">
        <v>1805</v>
      </c>
      <c r="I36" s="456">
        <v>2186</v>
      </c>
      <c r="J36" s="456">
        <v>2547</v>
      </c>
      <c r="K36" s="457">
        <v>2908</v>
      </c>
      <c r="L36" s="813">
        <v>2886</v>
      </c>
      <c r="M36" s="813">
        <v>2767</v>
      </c>
      <c r="N36" s="1125">
        <v>2569</v>
      </c>
      <c r="P36" s="265">
        <f t="shared" si="1"/>
        <v>7.1557643657390674E-2</v>
      </c>
      <c r="Q36" s="265">
        <f t="shared" si="2"/>
        <v>4.1233541233541234E-2</v>
      </c>
      <c r="R36" s="265">
        <f t="shared" si="3"/>
        <v>-7.5653370013755161E-3</v>
      </c>
    </row>
    <row r="37" spans="1:18" ht="15.6" x14ac:dyDescent="0.3">
      <c r="A37" s="449" t="s">
        <v>84</v>
      </c>
      <c r="B37" s="452" t="s">
        <v>85</v>
      </c>
      <c r="C37" s="506" t="s">
        <v>253</v>
      </c>
      <c r="D37" s="456">
        <v>6550</v>
      </c>
      <c r="E37" s="456">
        <v>6928</v>
      </c>
      <c r="F37" s="456">
        <v>7163</v>
      </c>
      <c r="G37" s="456">
        <v>8091</v>
      </c>
      <c r="H37" s="456">
        <v>9582</v>
      </c>
      <c r="I37" s="456">
        <v>10818</v>
      </c>
      <c r="J37" s="456">
        <v>11442</v>
      </c>
      <c r="K37" s="457">
        <v>11872</v>
      </c>
      <c r="L37" s="813">
        <v>11963</v>
      </c>
      <c r="M37" s="813">
        <v>11430</v>
      </c>
      <c r="N37" s="1125">
        <v>10616</v>
      </c>
      <c r="P37" s="265">
        <f t="shared" ref="P37:P68" si="4">(M37-N37)/M37</f>
        <v>7.1216097987751525E-2</v>
      </c>
      <c r="Q37" s="265">
        <f t="shared" ref="Q37:Q68" si="5">(L37-M37)/L37</f>
        <v>4.4554041628354094E-2</v>
      </c>
      <c r="R37" s="265">
        <f t="shared" ref="R37:R68" si="6">(L37-K37)/K37</f>
        <v>7.6650943396226415E-3</v>
      </c>
    </row>
    <row r="38" spans="1:18" ht="15.6" x14ac:dyDescent="0.3">
      <c r="A38" s="449" t="s">
        <v>86</v>
      </c>
      <c r="B38" s="452" t="s">
        <v>87</v>
      </c>
      <c r="C38" s="506" t="s">
        <v>255</v>
      </c>
      <c r="D38" s="456">
        <v>3824</v>
      </c>
      <c r="E38" s="456">
        <v>4185</v>
      </c>
      <c r="F38" s="456">
        <v>4735</v>
      </c>
      <c r="G38" s="456">
        <v>5839</v>
      </c>
      <c r="H38" s="456">
        <v>7765</v>
      </c>
      <c r="I38" s="456">
        <v>9789</v>
      </c>
      <c r="J38" s="456">
        <v>11003</v>
      </c>
      <c r="K38" s="457">
        <v>11618</v>
      </c>
      <c r="L38" s="813">
        <v>11979</v>
      </c>
      <c r="M38" s="813">
        <v>10590</v>
      </c>
      <c r="N38" s="1125">
        <v>9714</v>
      </c>
      <c r="P38" s="265">
        <f t="shared" si="4"/>
        <v>8.2719546742209632E-2</v>
      </c>
      <c r="Q38" s="265">
        <f t="shared" si="5"/>
        <v>0.11595291760581017</v>
      </c>
      <c r="R38" s="265">
        <f t="shared" si="6"/>
        <v>3.1072473747632983E-2</v>
      </c>
    </row>
    <row r="39" spans="1:18" ht="15.6" x14ac:dyDescent="0.3">
      <c r="A39" s="449" t="s">
        <v>92</v>
      </c>
      <c r="B39" s="452" t="s">
        <v>93</v>
      </c>
      <c r="C39" s="506" t="s">
        <v>256</v>
      </c>
      <c r="D39" s="456">
        <v>2334</v>
      </c>
      <c r="E39" s="456">
        <v>2397</v>
      </c>
      <c r="F39" s="456">
        <v>2460</v>
      </c>
      <c r="G39" s="456">
        <v>2619</v>
      </c>
      <c r="H39" s="456">
        <v>2961</v>
      </c>
      <c r="I39" s="456">
        <v>3399</v>
      </c>
      <c r="J39" s="456">
        <v>3645</v>
      </c>
      <c r="K39" s="457">
        <v>3547</v>
      </c>
      <c r="L39" s="813">
        <v>3510</v>
      </c>
      <c r="M39" s="813">
        <v>3507</v>
      </c>
      <c r="N39" s="1125">
        <v>3238</v>
      </c>
      <c r="P39" s="265">
        <f t="shared" si="4"/>
        <v>7.6703735386370112E-2</v>
      </c>
      <c r="Q39" s="265">
        <f t="shared" si="5"/>
        <v>8.547008547008547E-4</v>
      </c>
      <c r="R39" s="265">
        <f t="shared" si="6"/>
        <v>-1.0431350436989005E-2</v>
      </c>
    </row>
    <row r="40" spans="1:18" ht="15.6" x14ac:dyDescent="0.3">
      <c r="A40" s="449" t="s">
        <v>94</v>
      </c>
      <c r="B40" s="452" t="s">
        <v>95</v>
      </c>
      <c r="C40" s="506" t="s">
        <v>252</v>
      </c>
      <c r="D40" s="456">
        <v>3167</v>
      </c>
      <c r="E40" s="456">
        <v>3308</v>
      </c>
      <c r="F40" s="456">
        <v>3482</v>
      </c>
      <c r="G40" s="456">
        <v>3519</v>
      </c>
      <c r="H40" s="456">
        <v>4442</v>
      </c>
      <c r="I40" s="456">
        <v>5594</v>
      </c>
      <c r="J40" s="456">
        <v>6079</v>
      </c>
      <c r="K40" s="457">
        <v>6513</v>
      </c>
      <c r="L40" s="813">
        <v>6498</v>
      </c>
      <c r="M40" s="813">
        <v>6251</v>
      </c>
      <c r="N40" s="1125">
        <v>5851</v>
      </c>
      <c r="P40" s="265">
        <f t="shared" si="4"/>
        <v>6.3989761638137896E-2</v>
      </c>
      <c r="Q40" s="265">
        <f t="shared" si="5"/>
        <v>3.8011695906432746E-2</v>
      </c>
      <c r="R40" s="265">
        <f t="shared" si="6"/>
        <v>-2.3030861354214646E-3</v>
      </c>
    </row>
    <row r="41" spans="1:18" ht="15.6" x14ac:dyDescent="0.3">
      <c r="A41" s="449" t="s">
        <v>96</v>
      </c>
      <c r="B41" s="452" t="s">
        <v>97</v>
      </c>
      <c r="C41" s="506" t="s">
        <v>254</v>
      </c>
      <c r="D41" s="456">
        <v>951</v>
      </c>
      <c r="E41" s="456">
        <v>946</v>
      </c>
      <c r="F41" s="456">
        <v>882</v>
      </c>
      <c r="G41" s="456">
        <v>1069</v>
      </c>
      <c r="H41" s="456">
        <v>1359</v>
      </c>
      <c r="I41" s="456">
        <v>1734</v>
      </c>
      <c r="J41" s="456">
        <v>1946</v>
      </c>
      <c r="K41" s="457">
        <v>1931</v>
      </c>
      <c r="L41" s="813">
        <v>1969</v>
      </c>
      <c r="M41" s="813">
        <v>1959</v>
      </c>
      <c r="N41" s="1125">
        <v>1859</v>
      </c>
      <c r="P41" s="265">
        <f t="shared" si="4"/>
        <v>5.1046452271567129E-2</v>
      </c>
      <c r="Q41" s="265">
        <f t="shared" si="5"/>
        <v>5.0787201625190452E-3</v>
      </c>
      <c r="R41" s="265">
        <f t="shared" si="6"/>
        <v>1.9678922837907821E-2</v>
      </c>
    </row>
    <row r="42" spans="1:18" ht="15.6" x14ac:dyDescent="0.3">
      <c r="A42" s="449" t="s">
        <v>98</v>
      </c>
      <c r="B42" s="452" t="s">
        <v>99</v>
      </c>
      <c r="C42" s="506" t="s">
        <v>256</v>
      </c>
      <c r="D42" s="456">
        <v>2860</v>
      </c>
      <c r="E42" s="456">
        <v>3054</v>
      </c>
      <c r="F42" s="456">
        <v>3118</v>
      </c>
      <c r="G42" s="456">
        <v>3173</v>
      </c>
      <c r="H42" s="456">
        <v>3473</v>
      </c>
      <c r="I42" s="456">
        <v>3767</v>
      </c>
      <c r="J42" s="456">
        <v>3953</v>
      </c>
      <c r="K42" s="457">
        <v>4075</v>
      </c>
      <c r="L42" s="813">
        <v>4222</v>
      </c>
      <c r="M42" s="813">
        <v>4027</v>
      </c>
      <c r="N42" s="1125">
        <v>3788</v>
      </c>
      <c r="P42" s="265">
        <f t="shared" si="4"/>
        <v>5.9349391606655082E-2</v>
      </c>
      <c r="Q42" s="265">
        <f t="shared" si="5"/>
        <v>4.6186641402179061E-2</v>
      </c>
      <c r="R42" s="265">
        <f t="shared" si="6"/>
        <v>3.6073619631901838E-2</v>
      </c>
    </row>
    <row r="43" spans="1:18" ht="15.6" x14ac:dyDescent="0.3">
      <c r="A43" s="449" t="s">
        <v>100</v>
      </c>
      <c r="B43" s="452" t="s">
        <v>101</v>
      </c>
      <c r="C43" s="506" t="s">
        <v>255</v>
      </c>
      <c r="D43" s="456">
        <v>1644</v>
      </c>
      <c r="E43" s="456">
        <v>1718</v>
      </c>
      <c r="F43" s="456">
        <v>1673</v>
      </c>
      <c r="G43" s="456">
        <v>1748</v>
      </c>
      <c r="H43" s="456">
        <v>2141</v>
      </c>
      <c r="I43" s="456">
        <v>2648</v>
      </c>
      <c r="J43" s="456">
        <v>2924</v>
      </c>
      <c r="K43" s="457">
        <v>3162</v>
      </c>
      <c r="L43" s="813">
        <v>3242</v>
      </c>
      <c r="M43" s="813">
        <v>3160</v>
      </c>
      <c r="N43" s="1125">
        <v>3085</v>
      </c>
      <c r="P43" s="265">
        <f t="shared" si="4"/>
        <v>2.3734177215189875E-2</v>
      </c>
      <c r="Q43" s="265">
        <f t="shared" si="5"/>
        <v>2.5293028994447873E-2</v>
      </c>
      <c r="R43" s="265">
        <f t="shared" si="6"/>
        <v>2.5300442757748259E-2</v>
      </c>
    </row>
    <row r="44" spans="1:18" ht="15.6" x14ac:dyDescent="0.3">
      <c r="A44" s="449" t="s">
        <v>102</v>
      </c>
      <c r="B44" s="452" t="s">
        <v>270</v>
      </c>
      <c r="C44" s="506" t="s">
        <v>252</v>
      </c>
      <c r="D44" s="456">
        <v>3212</v>
      </c>
      <c r="E44" s="456">
        <v>3626</v>
      </c>
      <c r="F44" s="456">
        <v>3815</v>
      </c>
      <c r="G44" s="456">
        <v>4082</v>
      </c>
      <c r="H44" s="456">
        <v>4638</v>
      </c>
      <c r="I44" s="456">
        <v>5139</v>
      </c>
      <c r="J44" s="456">
        <v>5557</v>
      </c>
      <c r="K44" s="457">
        <v>5787</v>
      </c>
      <c r="L44" s="813">
        <v>6359</v>
      </c>
      <c r="M44" s="813">
        <v>5833</v>
      </c>
      <c r="N44" s="1125">
        <v>5772</v>
      </c>
      <c r="P44" s="265">
        <f t="shared" si="4"/>
        <v>1.045774044231099E-2</v>
      </c>
      <c r="Q44" s="1094">
        <f t="shared" si="5"/>
        <v>8.2717408397546779E-2</v>
      </c>
      <c r="R44" s="1094">
        <f t="shared" si="6"/>
        <v>9.8842232590288584E-2</v>
      </c>
    </row>
    <row r="45" spans="1:18" ht="15.6" x14ac:dyDescent="0.3">
      <c r="A45" s="449" t="s">
        <v>104</v>
      </c>
      <c r="B45" s="452" t="s">
        <v>105</v>
      </c>
      <c r="C45" s="506" t="s">
        <v>253</v>
      </c>
      <c r="D45" s="456">
        <v>6445</v>
      </c>
      <c r="E45" s="456">
        <v>6867</v>
      </c>
      <c r="F45" s="456">
        <v>7252</v>
      </c>
      <c r="G45" s="456">
        <v>7474</v>
      </c>
      <c r="H45" s="456">
        <v>8078</v>
      </c>
      <c r="I45" s="456">
        <v>8899</v>
      </c>
      <c r="J45" s="456">
        <v>9324</v>
      </c>
      <c r="K45" s="457">
        <v>9589</v>
      </c>
      <c r="L45" s="813">
        <v>9559</v>
      </c>
      <c r="M45" s="813">
        <v>9288</v>
      </c>
      <c r="N45" s="1125">
        <v>8959</v>
      </c>
      <c r="P45" s="265">
        <f t="shared" si="4"/>
        <v>3.5422049956933675E-2</v>
      </c>
      <c r="Q45" s="265">
        <f t="shared" si="5"/>
        <v>2.8350245841615232E-2</v>
      </c>
      <c r="R45" s="265">
        <f t="shared" si="6"/>
        <v>-3.1285848367921575E-3</v>
      </c>
    </row>
    <row r="46" spans="1:18" ht="15.6" x14ac:dyDescent="0.3">
      <c r="A46" s="449" t="s">
        <v>108</v>
      </c>
      <c r="B46" s="452" t="s">
        <v>109</v>
      </c>
      <c r="C46" s="506" t="s">
        <v>254</v>
      </c>
      <c r="D46" s="456">
        <v>4065</v>
      </c>
      <c r="E46" s="456">
        <v>4363</v>
      </c>
      <c r="F46" s="456">
        <v>4369</v>
      </c>
      <c r="G46" s="456">
        <v>4871</v>
      </c>
      <c r="H46" s="456">
        <v>5988</v>
      </c>
      <c r="I46" s="456">
        <v>7440</v>
      </c>
      <c r="J46" s="456">
        <v>8354</v>
      </c>
      <c r="K46" s="457">
        <v>8944</v>
      </c>
      <c r="L46" s="813">
        <v>9119</v>
      </c>
      <c r="M46" s="813">
        <v>8763</v>
      </c>
      <c r="N46" s="1125">
        <v>8161</v>
      </c>
      <c r="P46" s="265">
        <f t="shared" si="4"/>
        <v>6.8697934497318272E-2</v>
      </c>
      <c r="Q46" s="265">
        <f t="shared" si="5"/>
        <v>3.9039368351792961E-2</v>
      </c>
      <c r="R46" s="265">
        <f t="shared" si="6"/>
        <v>1.9566189624329159E-2</v>
      </c>
    </row>
    <row r="47" spans="1:18" ht="15.6" x14ac:dyDescent="0.3">
      <c r="A47" s="449" t="s">
        <v>110</v>
      </c>
      <c r="B47" s="452" t="s">
        <v>111</v>
      </c>
      <c r="C47" s="506" t="s">
        <v>254</v>
      </c>
      <c r="D47" s="456">
        <v>21918</v>
      </c>
      <c r="E47" s="456">
        <v>24148</v>
      </c>
      <c r="F47" s="456">
        <v>25085</v>
      </c>
      <c r="G47" s="456">
        <v>25969</v>
      </c>
      <c r="H47" s="456">
        <v>32264</v>
      </c>
      <c r="I47" s="456">
        <v>41200</v>
      </c>
      <c r="J47" s="456">
        <v>46417</v>
      </c>
      <c r="K47" s="457">
        <v>50139</v>
      </c>
      <c r="L47" s="813">
        <v>52765</v>
      </c>
      <c r="M47" s="813">
        <v>50799</v>
      </c>
      <c r="N47" s="1125">
        <v>48369</v>
      </c>
      <c r="P47" s="265">
        <f t="shared" si="4"/>
        <v>4.7835587314710923E-2</v>
      </c>
      <c r="Q47" s="265">
        <f t="shared" si="5"/>
        <v>3.7259547048232727E-2</v>
      </c>
      <c r="R47" s="265">
        <f t="shared" si="6"/>
        <v>5.2374399170306549E-2</v>
      </c>
    </row>
    <row r="48" spans="1:18" ht="15.6" x14ac:dyDescent="0.3">
      <c r="A48" s="449" t="s">
        <v>112</v>
      </c>
      <c r="B48" s="452" t="s">
        <v>288</v>
      </c>
      <c r="C48" s="506" t="s">
        <v>253</v>
      </c>
      <c r="D48" s="456">
        <v>14177</v>
      </c>
      <c r="E48" s="456">
        <v>14929</v>
      </c>
      <c r="F48" s="456">
        <v>15461</v>
      </c>
      <c r="G48" s="456">
        <v>16717</v>
      </c>
      <c r="H48" s="456">
        <v>19301</v>
      </c>
      <c r="I48" s="456">
        <v>21250</v>
      </c>
      <c r="J48" s="456">
        <v>22307</v>
      </c>
      <c r="K48" s="457">
        <v>23602</v>
      </c>
      <c r="L48" s="813">
        <v>24417</v>
      </c>
      <c r="M48" s="813">
        <v>22661</v>
      </c>
      <c r="N48" s="1125">
        <v>21507</v>
      </c>
      <c r="P48" s="265">
        <f t="shared" si="4"/>
        <v>5.0924495829839815E-2</v>
      </c>
      <c r="Q48" s="1094">
        <f t="shared" si="5"/>
        <v>7.1917106933693742E-2</v>
      </c>
      <c r="R48" s="1094">
        <f t="shared" si="6"/>
        <v>3.4530971951529529E-2</v>
      </c>
    </row>
    <row r="49" spans="1:18" ht="15.6" x14ac:dyDescent="0.3">
      <c r="A49" s="449" t="s">
        <v>114</v>
      </c>
      <c r="B49" s="452" t="s">
        <v>115</v>
      </c>
      <c r="C49" s="506" t="s">
        <v>253</v>
      </c>
      <c r="D49" s="456">
        <v>205</v>
      </c>
      <c r="E49" s="456">
        <v>214</v>
      </c>
      <c r="F49" s="456">
        <v>195</v>
      </c>
      <c r="G49" s="456">
        <v>206</v>
      </c>
      <c r="H49" s="456">
        <v>239</v>
      </c>
      <c r="I49" s="456">
        <v>226</v>
      </c>
      <c r="J49" s="456">
        <v>248</v>
      </c>
      <c r="K49" s="457">
        <v>261</v>
      </c>
      <c r="L49" s="813">
        <v>246</v>
      </c>
      <c r="M49" s="813">
        <v>244</v>
      </c>
      <c r="N49" s="1125">
        <v>221</v>
      </c>
      <c r="P49" s="265">
        <f t="shared" si="4"/>
        <v>9.4262295081967207E-2</v>
      </c>
      <c r="Q49" s="265">
        <f t="shared" si="5"/>
        <v>8.130081300813009E-3</v>
      </c>
      <c r="R49" s="265">
        <f t="shared" si="6"/>
        <v>-5.7471264367816091E-2</v>
      </c>
    </row>
    <row r="50" spans="1:18" ht="15.6" x14ac:dyDescent="0.3">
      <c r="A50" s="449" t="s">
        <v>118</v>
      </c>
      <c r="B50" s="452" t="s">
        <v>258</v>
      </c>
      <c r="C50" s="506" t="s">
        <v>252</v>
      </c>
      <c r="D50" s="456">
        <v>3593</v>
      </c>
      <c r="E50" s="456">
        <v>3643</v>
      </c>
      <c r="F50" s="456">
        <v>3663</v>
      </c>
      <c r="G50" s="456">
        <v>3884</v>
      </c>
      <c r="H50" s="456">
        <v>4484</v>
      </c>
      <c r="I50" s="456">
        <v>5248</v>
      </c>
      <c r="J50" s="456">
        <v>5686</v>
      </c>
      <c r="K50" s="457">
        <v>5940</v>
      </c>
      <c r="L50" s="813">
        <v>6119</v>
      </c>
      <c r="M50" s="813">
        <v>5727</v>
      </c>
      <c r="N50" s="1125">
        <v>5598</v>
      </c>
      <c r="P50" s="265">
        <f t="shared" si="4"/>
        <v>2.2524882137244632E-2</v>
      </c>
      <c r="Q50" s="265">
        <f t="shared" si="5"/>
        <v>6.4062755352181727E-2</v>
      </c>
      <c r="R50" s="265">
        <f t="shared" si="6"/>
        <v>3.0134680134680136E-2</v>
      </c>
    </row>
    <row r="51" spans="1:18" ht="15.6" x14ac:dyDescent="0.3">
      <c r="A51" s="449" t="s">
        <v>120</v>
      </c>
      <c r="B51" s="452" t="s">
        <v>121</v>
      </c>
      <c r="C51" s="506" t="s">
        <v>252</v>
      </c>
      <c r="D51" s="456">
        <v>3331</v>
      </c>
      <c r="E51" s="456">
        <v>3645</v>
      </c>
      <c r="F51" s="456">
        <v>3614</v>
      </c>
      <c r="G51" s="456">
        <v>3762</v>
      </c>
      <c r="H51" s="456">
        <v>4927</v>
      </c>
      <c r="I51" s="456">
        <v>5918</v>
      </c>
      <c r="J51" s="456">
        <v>6615</v>
      </c>
      <c r="K51" s="457">
        <v>7233</v>
      </c>
      <c r="L51" s="813">
        <v>7634</v>
      </c>
      <c r="M51" s="813">
        <v>7368</v>
      </c>
      <c r="N51" s="1125">
        <v>7058</v>
      </c>
      <c r="P51" s="265">
        <f t="shared" si="4"/>
        <v>4.2073832790445166E-2</v>
      </c>
      <c r="Q51" s="265">
        <f t="shared" si="5"/>
        <v>3.4844118417605451E-2</v>
      </c>
      <c r="R51" s="265">
        <f t="shared" si="6"/>
        <v>5.544034287294345E-2</v>
      </c>
    </row>
    <row r="52" spans="1:18" ht="15.6" x14ac:dyDescent="0.3">
      <c r="A52" s="449" t="s">
        <v>122</v>
      </c>
      <c r="B52" s="452" t="s">
        <v>275</v>
      </c>
      <c r="C52" s="506" t="s">
        <v>254</v>
      </c>
      <c r="D52" s="456">
        <v>1078</v>
      </c>
      <c r="E52" s="456">
        <v>1110</v>
      </c>
      <c r="F52" s="456">
        <v>1125</v>
      </c>
      <c r="G52" s="456">
        <v>1121</v>
      </c>
      <c r="H52" s="456">
        <v>1267</v>
      </c>
      <c r="I52" s="456">
        <v>1484</v>
      </c>
      <c r="J52" s="456">
        <v>1617</v>
      </c>
      <c r="K52" s="457">
        <v>1696</v>
      </c>
      <c r="L52" s="813">
        <v>1853</v>
      </c>
      <c r="M52" s="813">
        <v>1790</v>
      </c>
      <c r="N52" s="1125">
        <v>1705</v>
      </c>
      <c r="P52" s="265">
        <f t="shared" si="4"/>
        <v>4.7486033519553071E-2</v>
      </c>
      <c r="Q52" s="265">
        <f t="shared" si="5"/>
        <v>3.3998920669185105E-2</v>
      </c>
      <c r="R52" s="265">
        <f t="shared" si="6"/>
        <v>9.2570754716981132E-2</v>
      </c>
    </row>
    <row r="53" spans="1:18" ht="15.6" x14ac:dyDescent="0.3">
      <c r="A53" s="449" t="s">
        <v>124</v>
      </c>
      <c r="B53" s="452" t="s">
        <v>125</v>
      </c>
      <c r="C53" s="506" t="s">
        <v>255</v>
      </c>
      <c r="D53" s="456">
        <v>1828</v>
      </c>
      <c r="E53" s="456">
        <v>1830</v>
      </c>
      <c r="F53" s="456">
        <v>1926</v>
      </c>
      <c r="G53" s="456">
        <v>2242</v>
      </c>
      <c r="H53" s="456">
        <v>2832</v>
      </c>
      <c r="I53" s="456">
        <v>3315</v>
      </c>
      <c r="J53" s="456">
        <v>3822</v>
      </c>
      <c r="K53" s="457">
        <v>4260</v>
      </c>
      <c r="L53" s="813">
        <v>4467</v>
      </c>
      <c r="M53" s="813">
        <v>4417</v>
      </c>
      <c r="N53" s="1125">
        <v>4091</v>
      </c>
      <c r="P53" s="265">
        <f t="shared" si="4"/>
        <v>7.3805750509395515E-2</v>
      </c>
      <c r="Q53" s="265">
        <f t="shared" si="5"/>
        <v>1.1193194537721066E-2</v>
      </c>
      <c r="R53" s="265">
        <f t="shared" si="6"/>
        <v>4.8591549295774646E-2</v>
      </c>
    </row>
    <row r="54" spans="1:18" ht="15.6" x14ac:dyDescent="0.3">
      <c r="A54" s="449" t="s">
        <v>126</v>
      </c>
      <c r="B54" s="452" t="s">
        <v>127</v>
      </c>
      <c r="C54" s="506" t="s">
        <v>254</v>
      </c>
      <c r="D54" s="456">
        <v>1259</v>
      </c>
      <c r="E54" s="456">
        <v>1362</v>
      </c>
      <c r="F54" s="456">
        <v>1392</v>
      </c>
      <c r="G54" s="456">
        <v>1457</v>
      </c>
      <c r="H54" s="456">
        <v>1795</v>
      </c>
      <c r="I54" s="456">
        <v>2337</v>
      </c>
      <c r="J54" s="456">
        <v>2603</v>
      </c>
      <c r="K54" s="457">
        <v>2831</v>
      </c>
      <c r="L54" s="813">
        <v>2847</v>
      </c>
      <c r="M54" s="813">
        <v>2672</v>
      </c>
      <c r="N54" s="1125">
        <v>2497</v>
      </c>
      <c r="P54" s="265">
        <f t="shared" si="4"/>
        <v>6.54940119760479E-2</v>
      </c>
      <c r="Q54" s="265">
        <f t="shared" si="5"/>
        <v>6.1468212153143659E-2</v>
      </c>
      <c r="R54" s="265">
        <f t="shared" si="6"/>
        <v>5.6517131755563403E-3</v>
      </c>
    </row>
    <row r="55" spans="1:18" ht="15.6" x14ac:dyDescent="0.3">
      <c r="A55" s="449" t="s">
        <v>128</v>
      </c>
      <c r="B55" s="452" t="s">
        <v>129</v>
      </c>
      <c r="C55" s="506" t="s">
        <v>254</v>
      </c>
      <c r="D55" s="456">
        <v>1757</v>
      </c>
      <c r="E55" s="456">
        <v>1835</v>
      </c>
      <c r="F55" s="456">
        <v>1717</v>
      </c>
      <c r="G55" s="456">
        <v>1682</v>
      </c>
      <c r="H55" s="456">
        <v>1887</v>
      </c>
      <c r="I55" s="456">
        <v>2164</v>
      </c>
      <c r="J55" s="456">
        <v>2306</v>
      </c>
      <c r="K55" s="457">
        <v>2430</v>
      </c>
      <c r="L55" s="813">
        <v>2500</v>
      </c>
      <c r="M55" s="813">
        <v>2362</v>
      </c>
      <c r="N55" s="1125">
        <v>2233</v>
      </c>
      <c r="P55" s="265">
        <f t="shared" si="4"/>
        <v>5.4614733276883994E-2</v>
      </c>
      <c r="Q55" s="265">
        <f t="shared" si="5"/>
        <v>5.5199999999999999E-2</v>
      </c>
      <c r="R55" s="265">
        <f t="shared" si="6"/>
        <v>2.8806584362139918E-2</v>
      </c>
    </row>
    <row r="56" spans="1:18" ht="15.6" x14ac:dyDescent="0.3">
      <c r="A56" s="449" t="s">
        <v>130</v>
      </c>
      <c r="B56" s="452" t="s">
        <v>131</v>
      </c>
      <c r="C56" s="506" t="s">
        <v>256</v>
      </c>
      <c r="D56" s="456">
        <v>6577</v>
      </c>
      <c r="E56" s="456">
        <v>6638</v>
      </c>
      <c r="F56" s="456">
        <v>6627</v>
      </c>
      <c r="G56" s="456">
        <v>6715</v>
      </c>
      <c r="H56" s="456">
        <v>7032</v>
      </c>
      <c r="I56" s="456">
        <v>7489</v>
      </c>
      <c r="J56" s="456">
        <v>7843</v>
      </c>
      <c r="K56" s="457">
        <v>8103</v>
      </c>
      <c r="L56" s="813">
        <v>8338</v>
      </c>
      <c r="M56" s="813">
        <v>8222</v>
      </c>
      <c r="N56" s="1125">
        <v>7708</v>
      </c>
      <c r="P56" s="265">
        <f t="shared" si="4"/>
        <v>6.2515203113597664E-2</v>
      </c>
      <c r="Q56" s="265">
        <f t="shared" si="5"/>
        <v>1.3912209162868793E-2</v>
      </c>
      <c r="R56" s="265">
        <f t="shared" si="6"/>
        <v>2.9001604344070099E-2</v>
      </c>
    </row>
    <row r="57" spans="1:18" ht="15.6" x14ac:dyDescent="0.3">
      <c r="A57" s="449" t="s">
        <v>132</v>
      </c>
      <c r="B57" s="452" t="s">
        <v>133</v>
      </c>
      <c r="C57" s="506" t="s">
        <v>255</v>
      </c>
      <c r="D57" s="456">
        <v>5415</v>
      </c>
      <c r="E57" s="456">
        <v>5994</v>
      </c>
      <c r="F57" s="456">
        <v>6245</v>
      </c>
      <c r="G57" s="456">
        <v>6936</v>
      </c>
      <c r="H57" s="456">
        <v>9274</v>
      </c>
      <c r="I57" s="456">
        <v>12054</v>
      </c>
      <c r="J57" s="456">
        <v>14047</v>
      </c>
      <c r="K57" s="457">
        <v>15346</v>
      </c>
      <c r="L57" s="813">
        <v>16591</v>
      </c>
      <c r="M57" s="813">
        <v>16628</v>
      </c>
      <c r="N57" s="1125">
        <v>15764</v>
      </c>
      <c r="P57" s="265">
        <f t="shared" si="4"/>
        <v>5.1960548472456097E-2</v>
      </c>
      <c r="Q57" s="265">
        <f t="shared" si="5"/>
        <v>-2.2301247664396361E-3</v>
      </c>
      <c r="R57" s="265">
        <f t="shared" si="6"/>
        <v>8.1128632868499931E-2</v>
      </c>
    </row>
    <row r="58" spans="1:18" ht="15.6" x14ac:dyDescent="0.3">
      <c r="A58" s="449" t="s">
        <v>134</v>
      </c>
      <c r="B58" s="452" t="s">
        <v>135</v>
      </c>
      <c r="C58" s="506" t="s">
        <v>255</v>
      </c>
      <c r="D58" s="456">
        <v>3067</v>
      </c>
      <c r="E58" s="456">
        <v>3288</v>
      </c>
      <c r="F58" s="456">
        <v>3284</v>
      </c>
      <c r="G58" s="456">
        <v>3448</v>
      </c>
      <c r="H58" s="456">
        <v>4394</v>
      </c>
      <c r="I58" s="456">
        <v>5443</v>
      </c>
      <c r="J58" s="456">
        <v>6131</v>
      </c>
      <c r="K58" s="457">
        <v>6446</v>
      </c>
      <c r="L58" s="813">
        <v>6825</v>
      </c>
      <c r="M58" s="813">
        <v>6696</v>
      </c>
      <c r="N58" s="1125">
        <v>6371</v>
      </c>
      <c r="P58" s="265">
        <f t="shared" si="4"/>
        <v>4.8536439665471921E-2</v>
      </c>
      <c r="Q58" s="265">
        <f t="shared" si="5"/>
        <v>1.8901098901098902E-2</v>
      </c>
      <c r="R58" s="265">
        <f t="shared" si="6"/>
        <v>5.8796152652807944E-2</v>
      </c>
    </row>
    <row r="59" spans="1:18" ht="15.6" x14ac:dyDescent="0.3">
      <c r="A59" s="449" t="s">
        <v>136</v>
      </c>
      <c r="B59" s="452" t="s">
        <v>137</v>
      </c>
      <c r="C59" s="506" t="s">
        <v>254</v>
      </c>
      <c r="D59" s="456">
        <v>2340</v>
      </c>
      <c r="E59" s="456">
        <v>2500</v>
      </c>
      <c r="F59" s="456">
        <v>2477</v>
      </c>
      <c r="G59" s="456">
        <v>2636</v>
      </c>
      <c r="H59" s="456">
        <v>2906</v>
      </c>
      <c r="I59" s="456">
        <v>3282</v>
      </c>
      <c r="J59" s="456">
        <v>3460</v>
      </c>
      <c r="K59" s="457">
        <v>3575</v>
      </c>
      <c r="L59" s="813">
        <v>3562</v>
      </c>
      <c r="M59" s="813">
        <v>3523</v>
      </c>
      <c r="N59" s="1125">
        <v>3374</v>
      </c>
      <c r="P59" s="265">
        <f t="shared" si="4"/>
        <v>4.2293499858075505E-2</v>
      </c>
      <c r="Q59" s="265">
        <f t="shared" si="5"/>
        <v>1.0948905109489052E-2</v>
      </c>
      <c r="R59" s="265">
        <f t="shared" si="6"/>
        <v>-3.6363636363636364E-3</v>
      </c>
    </row>
    <row r="60" spans="1:18" ht="15.6" x14ac:dyDescent="0.3">
      <c r="A60" s="449" t="s">
        <v>140</v>
      </c>
      <c r="B60" s="452" t="s">
        <v>141</v>
      </c>
      <c r="C60" s="506" t="s">
        <v>255</v>
      </c>
      <c r="D60" s="456">
        <v>1043</v>
      </c>
      <c r="E60" s="456">
        <v>1023</v>
      </c>
      <c r="F60" s="456">
        <v>1067</v>
      </c>
      <c r="G60" s="456">
        <v>1191</v>
      </c>
      <c r="H60" s="456">
        <v>1572</v>
      </c>
      <c r="I60" s="456">
        <v>1991</v>
      </c>
      <c r="J60" s="456">
        <v>2203</v>
      </c>
      <c r="K60" s="457">
        <v>2360</v>
      </c>
      <c r="L60" s="813">
        <v>2566</v>
      </c>
      <c r="M60" s="813">
        <v>2452</v>
      </c>
      <c r="N60" s="1125">
        <v>2309</v>
      </c>
      <c r="P60" s="265">
        <f t="shared" si="4"/>
        <v>5.8319738988580748E-2</v>
      </c>
      <c r="Q60" s="265">
        <f t="shared" si="5"/>
        <v>4.4427123928293066E-2</v>
      </c>
      <c r="R60" s="265">
        <f t="shared" si="6"/>
        <v>8.7288135593220337E-2</v>
      </c>
    </row>
    <row r="61" spans="1:18" ht="15.6" x14ac:dyDescent="0.3">
      <c r="A61" s="449" t="s">
        <v>146</v>
      </c>
      <c r="B61" s="452" t="s">
        <v>147</v>
      </c>
      <c r="C61" s="506" t="s">
        <v>252</v>
      </c>
      <c r="D61" s="456">
        <v>839</v>
      </c>
      <c r="E61" s="456">
        <v>889</v>
      </c>
      <c r="F61" s="456">
        <v>881</v>
      </c>
      <c r="G61" s="456">
        <v>918</v>
      </c>
      <c r="H61" s="456">
        <v>1057</v>
      </c>
      <c r="I61" s="456">
        <v>1286</v>
      </c>
      <c r="J61" s="456">
        <v>1413</v>
      </c>
      <c r="K61" s="457">
        <v>1458</v>
      </c>
      <c r="L61" s="813">
        <v>1524</v>
      </c>
      <c r="M61" s="813">
        <v>1435</v>
      </c>
      <c r="N61" s="1125">
        <v>1360</v>
      </c>
      <c r="P61" s="265">
        <f t="shared" si="4"/>
        <v>5.2264808362369339E-2</v>
      </c>
      <c r="Q61" s="265">
        <f t="shared" si="5"/>
        <v>5.8398950131233598E-2</v>
      </c>
      <c r="R61" s="265">
        <f t="shared" si="6"/>
        <v>4.5267489711934158E-2</v>
      </c>
    </row>
    <row r="62" spans="1:18" ht="15.6" x14ac:dyDescent="0.3">
      <c r="A62" s="449" t="s">
        <v>148</v>
      </c>
      <c r="B62" s="452" t="s">
        <v>149</v>
      </c>
      <c r="C62" s="506" t="s">
        <v>253</v>
      </c>
      <c r="D62" s="456">
        <v>4961</v>
      </c>
      <c r="E62" s="456">
        <v>5123</v>
      </c>
      <c r="F62" s="456">
        <v>5061</v>
      </c>
      <c r="G62" s="456">
        <v>5189</v>
      </c>
      <c r="H62" s="456">
        <v>5792</v>
      </c>
      <c r="I62" s="456">
        <v>6849</v>
      </c>
      <c r="J62" s="456">
        <v>7227</v>
      </c>
      <c r="K62" s="457">
        <v>7611</v>
      </c>
      <c r="L62" s="813">
        <v>7939</v>
      </c>
      <c r="M62" s="813">
        <v>7635</v>
      </c>
      <c r="N62" s="1125">
        <v>7203</v>
      </c>
      <c r="P62" s="265">
        <f t="shared" si="4"/>
        <v>5.6581532416502947E-2</v>
      </c>
      <c r="Q62" s="265">
        <f t="shared" si="5"/>
        <v>3.8291976319435699E-2</v>
      </c>
      <c r="R62" s="265">
        <f t="shared" si="6"/>
        <v>4.3095519642622523E-2</v>
      </c>
    </row>
    <row r="63" spans="1:18" ht="15.6" x14ac:dyDescent="0.3">
      <c r="A63" s="449" t="s">
        <v>150</v>
      </c>
      <c r="B63" s="452" t="s">
        <v>151</v>
      </c>
      <c r="C63" s="506" t="s">
        <v>254</v>
      </c>
      <c r="D63" s="456">
        <v>1263</v>
      </c>
      <c r="E63" s="456">
        <v>1345</v>
      </c>
      <c r="F63" s="456">
        <v>1301</v>
      </c>
      <c r="G63" s="456">
        <v>1324</v>
      </c>
      <c r="H63" s="456">
        <v>1549</v>
      </c>
      <c r="I63" s="456">
        <v>1867</v>
      </c>
      <c r="J63" s="456">
        <v>2041</v>
      </c>
      <c r="K63" s="457">
        <v>2294</v>
      </c>
      <c r="L63" s="813">
        <v>2363</v>
      </c>
      <c r="M63" s="813">
        <v>2299</v>
      </c>
      <c r="N63" s="1125">
        <v>2204</v>
      </c>
      <c r="P63" s="265">
        <f t="shared" si="4"/>
        <v>4.1322314049586778E-2</v>
      </c>
      <c r="Q63" s="265">
        <f t="shared" si="5"/>
        <v>2.7084214980956412E-2</v>
      </c>
      <c r="R63" s="265">
        <f t="shared" si="6"/>
        <v>3.007846556233653E-2</v>
      </c>
    </row>
    <row r="64" spans="1:18" ht="15.6" x14ac:dyDescent="0.3">
      <c r="A64" s="449" t="s">
        <v>152</v>
      </c>
      <c r="B64" s="452" t="s">
        <v>153</v>
      </c>
      <c r="C64" s="506" t="s">
        <v>256</v>
      </c>
      <c r="D64" s="456">
        <v>7069</v>
      </c>
      <c r="E64" s="456">
        <v>7516</v>
      </c>
      <c r="F64" s="456">
        <v>7813</v>
      </c>
      <c r="G64" s="456">
        <v>8317</v>
      </c>
      <c r="H64" s="456">
        <v>9107</v>
      </c>
      <c r="I64" s="456">
        <v>10238</v>
      </c>
      <c r="J64" s="456">
        <v>10993</v>
      </c>
      <c r="K64" s="457">
        <v>11445</v>
      </c>
      <c r="L64" s="813">
        <v>11861</v>
      </c>
      <c r="M64" s="813">
        <v>11199</v>
      </c>
      <c r="N64" s="1125">
        <v>10381</v>
      </c>
      <c r="P64" s="265">
        <f t="shared" si="4"/>
        <v>7.304223591392088E-2</v>
      </c>
      <c r="Q64" s="265">
        <f t="shared" si="5"/>
        <v>5.5813169210016021E-2</v>
      </c>
      <c r="R64" s="265">
        <f t="shared" si="6"/>
        <v>3.6347750109218001E-2</v>
      </c>
    </row>
    <row r="65" spans="1:18" ht="15.6" x14ac:dyDescent="0.3">
      <c r="A65" s="449" t="s">
        <v>154</v>
      </c>
      <c r="B65" s="452" t="s">
        <v>155</v>
      </c>
      <c r="C65" s="506" t="s">
        <v>253</v>
      </c>
      <c r="D65" s="456">
        <v>1493</v>
      </c>
      <c r="E65" s="456">
        <v>1609</v>
      </c>
      <c r="F65" s="456">
        <v>1895</v>
      </c>
      <c r="G65" s="456">
        <v>2047</v>
      </c>
      <c r="H65" s="456">
        <v>2516</v>
      </c>
      <c r="I65" s="456">
        <v>2912</v>
      </c>
      <c r="J65" s="456">
        <v>3081</v>
      </c>
      <c r="K65" s="457">
        <v>3318</v>
      </c>
      <c r="L65" s="813">
        <v>3409</v>
      </c>
      <c r="M65" s="813">
        <v>3290</v>
      </c>
      <c r="N65" s="1125">
        <v>3046</v>
      </c>
      <c r="P65" s="265">
        <f t="shared" si="4"/>
        <v>7.4164133738601826E-2</v>
      </c>
      <c r="Q65" s="265">
        <f t="shared" si="5"/>
        <v>3.4907597535934289E-2</v>
      </c>
      <c r="R65" s="265">
        <f t="shared" si="6"/>
        <v>2.7426160337552744E-2</v>
      </c>
    </row>
    <row r="66" spans="1:18" ht="15.6" x14ac:dyDescent="0.3">
      <c r="A66" s="449" t="s">
        <v>156</v>
      </c>
      <c r="B66" s="452" t="s">
        <v>157</v>
      </c>
      <c r="C66" s="506" t="s">
        <v>254</v>
      </c>
      <c r="D66" s="456">
        <v>791</v>
      </c>
      <c r="E66" s="456">
        <v>819</v>
      </c>
      <c r="F66" s="456">
        <v>772</v>
      </c>
      <c r="G66" s="456">
        <v>898</v>
      </c>
      <c r="H66" s="456">
        <v>1097</v>
      </c>
      <c r="I66" s="456">
        <v>1427</v>
      </c>
      <c r="J66" s="456">
        <v>1722</v>
      </c>
      <c r="K66" s="457">
        <v>1932</v>
      </c>
      <c r="L66" s="813">
        <v>1969</v>
      </c>
      <c r="M66" s="813">
        <v>1872</v>
      </c>
      <c r="N66" s="1125">
        <v>1936</v>
      </c>
      <c r="P66" s="265">
        <f t="shared" si="4"/>
        <v>-3.4188034188034191E-2</v>
      </c>
      <c r="Q66" s="265">
        <f t="shared" si="5"/>
        <v>4.9263585576434739E-2</v>
      </c>
      <c r="R66" s="265">
        <f t="shared" si="6"/>
        <v>1.9151138716356108E-2</v>
      </c>
    </row>
    <row r="67" spans="1:18" ht="15.6" x14ac:dyDescent="0.3">
      <c r="A67" s="449" t="s">
        <v>162</v>
      </c>
      <c r="B67" s="452" t="s">
        <v>163</v>
      </c>
      <c r="C67" s="506" t="s">
        <v>252</v>
      </c>
      <c r="D67" s="456">
        <v>2991</v>
      </c>
      <c r="E67" s="456">
        <v>3211</v>
      </c>
      <c r="F67" s="456">
        <v>3193</v>
      </c>
      <c r="G67" s="456">
        <v>3131</v>
      </c>
      <c r="H67" s="456">
        <v>3392</v>
      </c>
      <c r="I67" s="456">
        <v>3682</v>
      </c>
      <c r="J67" s="456">
        <v>4028</v>
      </c>
      <c r="K67" s="457">
        <v>4062</v>
      </c>
      <c r="L67" s="813">
        <v>4139</v>
      </c>
      <c r="M67" s="813">
        <v>3992</v>
      </c>
      <c r="N67" s="1125">
        <v>3786</v>
      </c>
      <c r="P67" s="265">
        <f t="shared" si="4"/>
        <v>5.1603206412825654E-2</v>
      </c>
      <c r="Q67" s="265">
        <f t="shared" si="5"/>
        <v>3.5515825078521385E-2</v>
      </c>
      <c r="R67" s="265">
        <f t="shared" si="6"/>
        <v>1.8956179222058101E-2</v>
      </c>
    </row>
    <row r="68" spans="1:18" ht="15.6" x14ac:dyDescent="0.3">
      <c r="A68" s="449" t="s">
        <v>164</v>
      </c>
      <c r="B68" s="452" t="s">
        <v>165</v>
      </c>
      <c r="C68" s="506" t="s">
        <v>254</v>
      </c>
      <c r="D68" s="456">
        <v>1609</v>
      </c>
      <c r="E68" s="456">
        <v>1582</v>
      </c>
      <c r="F68" s="456">
        <v>1580</v>
      </c>
      <c r="G68" s="456">
        <v>1609</v>
      </c>
      <c r="H68" s="456">
        <v>1759</v>
      </c>
      <c r="I68" s="456">
        <v>2043</v>
      </c>
      <c r="J68" s="456">
        <v>2243</v>
      </c>
      <c r="K68" s="457">
        <v>2371</v>
      </c>
      <c r="L68" s="813">
        <v>2611</v>
      </c>
      <c r="M68" s="813">
        <v>2574</v>
      </c>
      <c r="N68" s="1125">
        <v>2461</v>
      </c>
      <c r="P68" s="265">
        <f t="shared" si="4"/>
        <v>4.3900543900543904E-2</v>
      </c>
      <c r="Q68" s="265">
        <f t="shared" si="5"/>
        <v>1.4170815779394868E-2</v>
      </c>
      <c r="R68" s="265">
        <f t="shared" si="6"/>
        <v>0.10122311261071278</v>
      </c>
    </row>
    <row r="69" spans="1:18" ht="15.6" x14ac:dyDescent="0.3">
      <c r="A69" s="449" t="s">
        <v>168</v>
      </c>
      <c r="B69" s="452" t="s">
        <v>169</v>
      </c>
      <c r="C69" s="506" t="s">
        <v>254</v>
      </c>
      <c r="D69" s="456">
        <v>2913</v>
      </c>
      <c r="E69" s="456">
        <v>3042</v>
      </c>
      <c r="F69" s="456">
        <v>3026</v>
      </c>
      <c r="G69" s="456">
        <v>3238</v>
      </c>
      <c r="H69" s="456">
        <v>3771</v>
      </c>
      <c r="I69" s="456">
        <v>4257</v>
      </c>
      <c r="J69" s="456">
        <v>4696</v>
      </c>
      <c r="K69" s="457">
        <v>5003</v>
      </c>
      <c r="L69" s="813">
        <v>5060</v>
      </c>
      <c r="M69" s="813">
        <v>4992</v>
      </c>
      <c r="N69" s="1125">
        <v>4682</v>
      </c>
      <c r="P69" s="265">
        <f t="shared" ref="P69:P100" si="7">(M69-N69)/M69</f>
        <v>6.2099358974358976E-2</v>
      </c>
      <c r="Q69" s="265">
        <f t="shared" ref="Q69:Q100" si="8">(L69-M69)/L69</f>
        <v>1.3438735177865613E-2</v>
      </c>
      <c r="R69" s="265">
        <f t="shared" ref="R69:R100" si="9">(L69-K69)/K69</f>
        <v>1.1393164101539077E-2</v>
      </c>
    </row>
    <row r="70" spans="1:18" ht="15.6" x14ac:dyDescent="0.3">
      <c r="A70" s="449" t="s">
        <v>170</v>
      </c>
      <c r="B70" s="452" t="s">
        <v>171</v>
      </c>
      <c r="C70" s="506" t="s">
        <v>255</v>
      </c>
      <c r="D70" s="456">
        <v>2459</v>
      </c>
      <c r="E70" s="456">
        <v>2480</v>
      </c>
      <c r="F70" s="456">
        <v>2549</v>
      </c>
      <c r="G70" s="456">
        <v>2966</v>
      </c>
      <c r="H70" s="456">
        <v>3782</v>
      </c>
      <c r="I70" s="456">
        <v>4511</v>
      </c>
      <c r="J70" s="456">
        <v>4983</v>
      </c>
      <c r="K70" s="457">
        <v>5279</v>
      </c>
      <c r="L70" s="813">
        <v>5384</v>
      </c>
      <c r="M70" s="813">
        <v>5248</v>
      </c>
      <c r="N70" s="1125">
        <v>4969</v>
      </c>
      <c r="P70" s="265">
        <f t="shared" si="7"/>
        <v>5.316310975609756E-2</v>
      </c>
      <c r="Q70" s="265">
        <f t="shared" si="8"/>
        <v>2.5260029717682021E-2</v>
      </c>
      <c r="R70" s="265">
        <f t="shared" si="9"/>
        <v>1.9890130706573216E-2</v>
      </c>
    </row>
    <row r="71" spans="1:18" ht="15.6" x14ac:dyDescent="0.3">
      <c r="A71" s="449" t="s">
        <v>172</v>
      </c>
      <c r="B71" s="452" t="s">
        <v>173</v>
      </c>
      <c r="C71" s="506" t="s">
        <v>255</v>
      </c>
      <c r="D71" s="456">
        <v>2891</v>
      </c>
      <c r="E71" s="456">
        <v>3166</v>
      </c>
      <c r="F71" s="456">
        <v>3418</v>
      </c>
      <c r="G71" s="456">
        <v>3698</v>
      </c>
      <c r="H71" s="456">
        <v>4426</v>
      </c>
      <c r="I71" s="456">
        <v>5111</v>
      </c>
      <c r="J71" s="456">
        <v>5336</v>
      </c>
      <c r="K71" s="457">
        <v>5652</v>
      </c>
      <c r="L71" s="813">
        <v>5766</v>
      </c>
      <c r="M71" s="813">
        <v>5558</v>
      </c>
      <c r="N71" s="1125">
        <v>5303</v>
      </c>
      <c r="P71" s="265">
        <f t="shared" si="7"/>
        <v>4.5879812882331776E-2</v>
      </c>
      <c r="Q71" s="265">
        <f t="shared" si="8"/>
        <v>3.6073534512660425E-2</v>
      </c>
      <c r="R71" s="265">
        <f t="shared" si="9"/>
        <v>2.0169851380042462E-2</v>
      </c>
    </row>
    <row r="72" spans="1:18" ht="15.6" x14ac:dyDescent="0.3">
      <c r="A72" s="449" t="s">
        <v>174</v>
      </c>
      <c r="B72" s="452" t="s">
        <v>175</v>
      </c>
      <c r="C72" s="506" t="s">
        <v>256</v>
      </c>
      <c r="D72" s="456">
        <v>3537</v>
      </c>
      <c r="E72" s="456">
        <v>3620</v>
      </c>
      <c r="F72" s="456">
        <v>3705</v>
      </c>
      <c r="G72" s="456">
        <v>3966</v>
      </c>
      <c r="H72" s="456">
        <v>4407</v>
      </c>
      <c r="I72" s="456">
        <v>4742</v>
      </c>
      <c r="J72" s="456">
        <v>4999</v>
      </c>
      <c r="K72" s="457">
        <v>5094</v>
      </c>
      <c r="L72" s="813">
        <v>4929</v>
      </c>
      <c r="M72" s="813">
        <v>4566</v>
      </c>
      <c r="N72" s="1125">
        <v>4264</v>
      </c>
      <c r="P72" s="265">
        <f t="shared" si="7"/>
        <v>6.6141042487954452E-2</v>
      </c>
      <c r="Q72" s="265">
        <f t="shared" si="8"/>
        <v>7.3645769933049304E-2</v>
      </c>
      <c r="R72" s="265">
        <f t="shared" si="9"/>
        <v>-3.2391048292108364E-2</v>
      </c>
    </row>
    <row r="73" spans="1:18" ht="15.6" x14ac:dyDescent="0.3">
      <c r="A73" s="449" t="s">
        <v>178</v>
      </c>
      <c r="B73" s="452" t="s">
        <v>179</v>
      </c>
      <c r="C73" s="506" t="s">
        <v>253</v>
      </c>
      <c r="D73" s="456">
        <v>8896</v>
      </c>
      <c r="E73" s="456">
        <v>9645</v>
      </c>
      <c r="F73" s="456">
        <v>10085</v>
      </c>
      <c r="G73" s="456">
        <v>10607</v>
      </c>
      <c r="H73" s="456">
        <v>11901</v>
      </c>
      <c r="I73" s="456">
        <v>13191</v>
      </c>
      <c r="J73" s="456">
        <v>13999</v>
      </c>
      <c r="K73" s="457">
        <v>14314</v>
      </c>
      <c r="L73" s="813">
        <v>14682</v>
      </c>
      <c r="M73" s="813">
        <v>14498</v>
      </c>
      <c r="N73" s="1125">
        <v>13584</v>
      </c>
      <c r="P73" s="265">
        <f t="shared" si="7"/>
        <v>6.3043178369430269E-2</v>
      </c>
      <c r="Q73" s="265">
        <f t="shared" si="8"/>
        <v>1.2532352540525813E-2</v>
      </c>
      <c r="R73" s="265">
        <f t="shared" si="9"/>
        <v>2.5709095989939919E-2</v>
      </c>
    </row>
    <row r="74" spans="1:18" ht="15.6" x14ac:dyDescent="0.3">
      <c r="A74" s="449" t="s">
        <v>182</v>
      </c>
      <c r="B74" s="452" t="s">
        <v>183</v>
      </c>
      <c r="C74" s="506" t="s">
        <v>254</v>
      </c>
      <c r="D74" s="456">
        <v>903</v>
      </c>
      <c r="E74" s="456">
        <v>932</v>
      </c>
      <c r="F74" s="456">
        <v>1049</v>
      </c>
      <c r="G74" s="456">
        <v>1120</v>
      </c>
      <c r="H74" s="456">
        <v>1409</v>
      </c>
      <c r="I74" s="456">
        <v>1829</v>
      </c>
      <c r="J74" s="456">
        <v>2061</v>
      </c>
      <c r="K74" s="457">
        <v>2295</v>
      </c>
      <c r="L74" s="813">
        <v>2354</v>
      </c>
      <c r="M74" s="813">
        <v>2244</v>
      </c>
      <c r="N74" s="1125">
        <v>2036</v>
      </c>
      <c r="P74" s="265">
        <f t="shared" si="7"/>
        <v>9.2691622103386814E-2</v>
      </c>
      <c r="Q74" s="265">
        <f t="shared" si="8"/>
        <v>4.6728971962616821E-2</v>
      </c>
      <c r="R74" s="265">
        <f t="shared" si="9"/>
        <v>2.570806100217865E-2</v>
      </c>
    </row>
    <row r="75" spans="1:18" ht="15.6" x14ac:dyDescent="0.3">
      <c r="A75" s="449" t="s">
        <v>184</v>
      </c>
      <c r="B75" s="452" t="s">
        <v>185</v>
      </c>
      <c r="C75" s="506" t="s">
        <v>254</v>
      </c>
      <c r="D75" s="456">
        <v>3363</v>
      </c>
      <c r="E75" s="456">
        <v>3633</v>
      </c>
      <c r="F75" s="456">
        <v>3631</v>
      </c>
      <c r="G75" s="456">
        <v>3814</v>
      </c>
      <c r="H75" s="456">
        <v>4162</v>
      </c>
      <c r="I75" s="456">
        <v>4684</v>
      </c>
      <c r="J75" s="456">
        <v>5034</v>
      </c>
      <c r="K75" s="457">
        <v>5286</v>
      </c>
      <c r="L75" s="813">
        <v>5421</v>
      </c>
      <c r="M75" s="813">
        <v>5208</v>
      </c>
      <c r="N75" s="1125">
        <v>4869</v>
      </c>
      <c r="P75" s="265">
        <f t="shared" si="7"/>
        <v>6.5092165898617507E-2</v>
      </c>
      <c r="Q75" s="265">
        <f t="shared" si="8"/>
        <v>3.9291643608190374E-2</v>
      </c>
      <c r="R75" s="265">
        <f t="shared" si="9"/>
        <v>2.553916004540295E-2</v>
      </c>
    </row>
    <row r="76" spans="1:18" ht="15.6" x14ac:dyDescent="0.3">
      <c r="A76" s="449" t="s">
        <v>186</v>
      </c>
      <c r="B76" s="452" t="s">
        <v>187</v>
      </c>
      <c r="C76" s="506" t="s">
        <v>252</v>
      </c>
      <c r="D76" s="456">
        <v>2279</v>
      </c>
      <c r="E76" s="456">
        <v>2452</v>
      </c>
      <c r="F76" s="456">
        <v>2648</v>
      </c>
      <c r="G76" s="456">
        <v>2805</v>
      </c>
      <c r="H76" s="456">
        <v>3044</v>
      </c>
      <c r="I76" s="456">
        <v>3637</v>
      </c>
      <c r="J76" s="456">
        <v>4023</v>
      </c>
      <c r="K76" s="457">
        <v>4340</v>
      </c>
      <c r="L76" s="813">
        <v>4688</v>
      </c>
      <c r="M76" s="813">
        <v>4725</v>
      </c>
      <c r="N76" s="1125">
        <v>4685</v>
      </c>
      <c r="P76" s="265">
        <f t="shared" si="7"/>
        <v>8.4656084656084662E-3</v>
      </c>
      <c r="Q76" s="265">
        <f t="shared" si="8"/>
        <v>-7.8924914675767913E-3</v>
      </c>
      <c r="R76" s="265">
        <f t="shared" si="9"/>
        <v>8.0184331797235026E-2</v>
      </c>
    </row>
    <row r="77" spans="1:18" ht="15.6" x14ac:dyDescent="0.3">
      <c r="A77" s="449" t="s">
        <v>188</v>
      </c>
      <c r="B77" s="452" t="s">
        <v>189</v>
      </c>
      <c r="C77" s="506" t="s">
        <v>255</v>
      </c>
      <c r="D77" s="456">
        <v>18234</v>
      </c>
      <c r="E77" s="456">
        <v>20079</v>
      </c>
      <c r="F77" s="456">
        <v>21242</v>
      </c>
      <c r="G77" s="456">
        <v>23240</v>
      </c>
      <c r="H77" s="456">
        <v>29717</v>
      </c>
      <c r="I77" s="456">
        <v>37357</v>
      </c>
      <c r="J77" s="456">
        <v>42476</v>
      </c>
      <c r="K77" s="457">
        <v>46591</v>
      </c>
      <c r="L77" s="813">
        <v>49867</v>
      </c>
      <c r="M77" s="813">
        <v>48721</v>
      </c>
      <c r="N77" s="1125">
        <v>46899</v>
      </c>
      <c r="P77" s="265">
        <f t="shared" si="7"/>
        <v>3.7396605159992609E-2</v>
      </c>
      <c r="Q77" s="265">
        <f t="shared" si="8"/>
        <v>2.2981129805282049E-2</v>
      </c>
      <c r="R77" s="265">
        <f t="shared" si="9"/>
        <v>7.0314009143396791E-2</v>
      </c>
    </row>
    <row r="78" spans="1:18" ht="15.6" x14ac:dyDescent="0.3">
      <c r="A78" s="449" t="s">
        <v>190</v>
      </c>
      <c r="B78" s="452" t="s">
        <v>191</v>
      </c>
      <c r="C78" s="506" t="s">
        <v>256</v>
      </c>
      <c r="D78" s="456">
        <v>5607</v>
      </c>
      <c r="E78" s="456">
        <v>5931</v>
      </c>
      <c r="F78" s="456">
        <v>6074</v>
      </c>
      <c r="G78" s="456">
        <v>6296</v>
      </c>
      <c r="H78" s="456">
        <v>7096</v>
      </c>
      <c r="I78" s="456">
        <v>8075</v>
      </c>
      <c r="J78" s="456">
        <v>8499</v>
      </c>
      <c r="K78" s="457">
        <v>8385</v>
      </c>
      <c r="L78" s="813">
        <v>8521</v>
      </c>
      <c r="M78" s="813">
        <v>8309</v>
      </c>
      <c r="N78" s="1125">
        <v>7764</v>
      </c>
      <c r="P78" s="265">
        <f t="shared" si="7"/>
        <v>6.559152725959802E-2</v>
      </c>
      <c r="Q78" s="265">
        <f t="shared" si="8"/>
        <v>2.487970895434808E-2</v>
      </c>
      <c r="R78" s="265">
        <f t="shared" si="9"/>
        <v>1.6219439475253429E-2</v>
      </c>
    </row>
    <row r="79" spans="1:18" ht="15.6" x14ac:dyDescent="0.3">
      <c r="A79" s="449" t="s">
        <v>194</v>
      </c>
      <c r="B79" s="452" t="s">
        <v>195</v>
      </c>
      <c r="C79" s="506" t="s">
        <v>255</v>
      </c>
      <c r="D79" s="456">
        <v>288</v>
      </c>
      <c r="E79" s="456">
        <v>339</v>
      </c>
      <c r="F79" s="456">
        <v>355</v>
      </c>
      <c r="G79" s="456">
        <v>407</v>
      </c>
      <c r="H79" s="456">
        <v>583</v>
      </c>
      <c r="I79" s="456">
        <v>706</v>
      </c>
      <c r="J79" s="456">
        <v>793</v>
      </c>
      <c r="K79" s="457">
        <v>894</v>
      </c>
      <c r="L79" s="813">
        <v>797</v>
      </c>
      <c r="M79" s="813">
        <v>750</v>
      </c>
      <c r="N79" s="1125">
        <v>648</v>
      </c>
      <c r="P79" s="265">
        <f t="shared" si="7"/>
        <v>0.13600000000000001</v>
      </c>
      <c r="Q79" s="265">
        <f t="shared" si="8"/>
        <v>5.8971141781681308E-2</v>
      </c>
      <c r="R79" s="265">
        <f t="shared" si="9"/>
        <v>-0.10850111856823266</v>
      </c>
    </row>
    <row r="80" spans="1:18" ht="15.6" x14ac:dyDescent="0.3">
      <c r="A80" s="449" t="s">
        <v>198</v>
      </c>
      <c r="B80" s="452" t="s">
        <v>260</v>
      </c>
      <c r="C80" s="506" t="s">
        <v>254</v>
      </c>
      <c r="D80" s="456">
        <v>1300</v>
      </c>
      <c r="E80" s="456">
        <v>1399</v>
      </c>
      <c r="F80" s="456">
        <v>1351</v>
      </c>
      <c r="G80" s="456">
        <v>1395</v>
      </c>
      <c r="H80" s="456">
        <v>1642</v>
      </c>
      <c r="I80" s="456">
        <v>1911</v>
      </c>
      <c r="J80" s="456">
        <v>2044</v>
      </c>
      <c r="K80" s="457">
        <v>2144</v>
      </c>
      <c r="L80" s="813">
        <v>2218</v>
      </c>
      <c r="M80" s="813">
        <v>2195</v>
      </c>
      <c r="N80" s="1125">
        <v>2120</v>
      </c>
      <c r="P80" s="265">
        <f t="shared" si="7"/>
        <v>3.4168564920273349E-2</v>
      </c>
      <c r="Q80" s="265">
        <f t="shared" si="8"/>
        <v>1.0369702434625788E-2</v>
      </c>
      <c r="R80" s="265">
        <f t="shared" si="9"/>
        <v>3.4514925373134331E-2</v>
      </c>
    </row>
    <row r="81" spans="1:18" ht="15.6" x14ac:dyDescent="0.3">
      <c r="A81" s="449" t="s">
        <v>202</v>
      </c>
      <c r="B81" s="452" t="s">
        <v>289</v>
      </c>
      <c r="C81" s="506" t="s">
        <v>253</v>
      </c>
      <c r="D81" s="456">
        <v>6822</v>
      </c>
      <c r="E81" s="456">
        <v>7586</v>
      </c>
      <c r="F81" s="456">
        <v>7840</v>
      </c>
      <c r="G81" s="456">
        <v>7974</v>
      </c>
      <c r="H81" s="456">
        <v>9054</v>
      </c>
      <c r="I81" s="456">
        <v>11142</v>
      </c>
      <c r="J81" s="456">
        <v>12248</v>
      </c>
      <c r="K81" s="457">
        <v>12726</v>
      </c>
      <c r="L81" s="813">
        <v>13189</v>
      </c>
      <c r="M81" s="813">
        <v>12926</v>
      </c>
      <c r="N81" s="1125">
        <v>12436</v>
      </c>
      <c r="P81" s="265">
        <f t="shared" si="7"/>
        <v>3.790809221723658E-2</v>
      </c>
      <c r="Q81" s="265">
        <f t="shared" si="8"/>
        <v>1.9940859807415272E-2</v>
      </c>
      <c r="R81" s="265">
        <f t="shared" si="9"/>
        <v>3.6382209649536382E-2</v>
      </c>
    </row>
    <row r="82" spans="1:18" ht="15.6" x14ac:dyDescent="0.3">
      <c r="A82" s="449" t="s">
        <v>204</v>
      </c>
      <c r="B82" s="452" t="s">
        <v>281</v>
      </c>
      <c r="C82" s="506" t="s">
        <v>253</v>
      </c>
      <c r="D82" s="456">
        <v>3053</v>
      </c>
      <c r="E82" s="456">
        <v>3199</v>
      </c>
      <c r="F82" s="456">
        <v>3305</v>
      </c>
      <c r="G82" s="456">
        <v>3568</v>
      </c>
      <c r="H82" s="456">
        <v>4480</v>
      </c>
      <c r="I82" s="456">
        <v>5243</v>
      </c>
      <c r="J82" s="456">
        <v>5700</v>
      </c>
      <c r="K82" s="457">
        <v>5967</v>
      </c>
      <c r="L82" s="813">
        <v>6522</v>
      </c>
      <c r="M82" s="813">
        <v>6176</v>
      </c>
      <c r="N82" s="1125">
        <v>5764</v>
      </c>
      <c r="P82" s="265">
        <f t="shared" si="7"/>
        <v>6.6709844559585493E-2</v>
      </c>
      <c r="Q82" s="1237">
        <f t="shared" si="8"/>
        <v>5.3051211284881938E-2</v>
      </c>
      <c r="R82" s="1237">
        <f t="shared" si="9"/>
        <v>9.3011563599798897E-2</v>
      </c>
    </row>
    <row r="83" spans="1:18" ht="15.6" x14ac:dyDescent="0.3">
      <c r="A83" s="449" t="s">
        <v>206</v>
      </c>
      <c r="B83" s="452" t="s">
        <v>282</v>
      </c>
      <c r="C83" s="506" t="s">
        <v>255</v>
      </c>
      <c r="D83" s="456">
        <v>10200</v>
      </c>
      <c r="E83" s="456">
        <v>10962</v>
      </c>
      <c r="F83" s="456">
        <v>11116</v>
      </c>
      <c r="G83" s="456">
        <v>11547</v>
      </c>
      <c r="H83" s="456">
        <v>13415</v>
      </c>
      <c r="I83" s="456">
        <v>16262</v>
      </c>
      <c r="J83" s="456">
        <v>18232</v>
      </c>
      <c r="K83" s="457">
        <v>19010</v>
      </c>
      <c r="L83" s="813">
        <v>20329</v>
      </c>
      <c r="M83" s="813">
        <v>18812</v>
      </c>
      <c r="N83" s="1125">
        <v>17316</v>
      </c>
      <c r="P83" s="265">
        <f t="shared" si="7"/>
        <v>7.9523708271316176E-2</v>
      </c>
      <c r="Q83" s="1237">
        <f t="shared" si="8"/>
        <v>7.4622460524374046E-2</v>
      </c>
      <c r="R83" s="1237">
        <f t="shared" si="9"/>
        <v>6.9384534455549707E-2</v>
      </c>
    </row>
    <row r="84" spans="1:18" ht="15.6" x14ac:dyDescent="0.3">
      <c r="A84" s="449" t="s">
        <v>208</v>
      </c>
      <c r="B84" s="452" t="s">
        <v>209</v>
      </c>
      <c r="C84" s="506" t="s">
        <v>256</v>
      </c>
      <c r="D84" s="456">
        <v>6442</v>
      </c>
      <c r="E84" s="456">
        <v>6448</v>
      </c>
      <c r="F84" s="456">
        <v>6597</v>
      </c>
      <c r="G84" s="456">
        <v>6759</v>
      </c>
      <c r="H84" s="456">
        <v>7059</v>
      </c>
      <c r="I84" s="456">
        <v>7694</v>
      </c>
      <c r="J84" s="456">
        <v>7896</v>
      </c>
      <c r="K84" s="457">
        <v>7958</v>
      </c>
      <c r="L84" s="813">
        <v>8237</v>
      </c>
      <c r="M84" s="813">
        <v>8253</v>
      </c>
      <c r="N84" s="1125">
        <v>7934</v>
      </c>
      <c r="P84" s="265">
        <f t="shared" si="7"/>
        <v>3.8652611171695141E-2</v>
      </c>
      <c r="Q84" s="265">
        <f t="shared" si="8"/>
        <v>-1.9424547772247177E-3</v>
      </c>
      <c r="R84" s="265">
        <f t="shared" si="9"/>
        <v>3.5059060065343053E-2</v>
      </c>
    </row>
    <row r="85" spans="1:18" ht="15.6" x14ac:dyDescent="0.3">
      <c r="A85" s="449" t="s">
        <v>210</v>
      </c>
      <c r="B85" s="452" t="s">
        <v>211</v>
      </c>
      <c r="C85" s="506" t="s">
        <v>256</v>
      </c>
      <c r="D85" s="456">
        <v>3591</v>
      </c>
      <c r="E85" s="456">
        <v>3779</v>
      </c>
      <c r="F85" s="456">
        <v>3886</v>
      </c>
      <c r="G85" s="456">
        <v>3856</v>
      </c>
      <c r="H85" s="456">
        <v>4327</v>
      </c>
      <c r="I85" s="456">
        <v>4929</v>
      </c>
      <c r="J85" s="456">
        <v>5312</v>
      </c>
      <c r="K85" s="457">
        <v>5580</v>
      </c>
      <c r="L85" s="813">
        <v>5790</v>
      </c>
      <c r="M85" s="813">
        <v>5664</v>
      </c>
      <c r="N85" s="1125">
        <v>5172</v>
      </c>
      <c r="P85" s="265">
        <f t="shared" si="7"/>
        <v>8.6864406779661021E-2</v>
      </c>
      <c r="Q85" s="265">
        <f t="shared" si="8"/>
        <v>2.1761658031088083E-2</v>
      </c>
      <c r="R85" s="265">
        <f t="shared" si="9"/>
        <v>3.7634408602150539E-2</v>
      </c>
    </row>
    <row r="86" spans="1:18" ht="15.6" x14ac:dyDescent="0.3">
      <c r="A86" s="449" t="s">
        <v>212</v>
      </c>
      <c r="B86" s="452" t="s">
        <v>213</v>
      </c>
      <c r="C86" s="506" t="s">
        <v>255</v>
      </c>
      <c r="D86" s="456">
        <v>3450</v>
      </c>
      <c r="E86" s="456">
        <v>3711</v>
      </c>
      <c r="F86" s="456">
        <v>3919</v>
      </c>
      <c r="G86" s="456">
        <v>4544</v>
      </c>
      <c r="H86" s="456">
        <v>5893</v>
      </c>
      <c r="I86" s="456">
        <v>7133</v>
      </c>
      <c r="J86" s="456">
        <v>7536</v>
      </c>
      <c r="K86" s="457">
        <v>8245</v>
      </c>
      <c r="L86" s="813">
        <v>8511</v>
      </c>
      <c r="M86" s="813">
        <v>8165</v>
      </c>
      <c r="N86" s="1125">
        <v>7606</v>
      </c>
      <c r="P86" s="265">
        <f t="shared" si="7"/>
        <v>6.8462951622780155E-2</v>
      </c>
      <c r="Q86" s="265">
        <f t="shared" si="8"/>
        <v>4.0653272235929974E-2</v>
      </c>
      <c r="R86" s="265">
        <f t="shared" si="9"/>
        <v>3.2261976955730749E-2</v>
      </c>
    </row>
    <row r="87" spans="1:18" ht="15.6" x14ac:dyDescent="0.3">
      <c r="A87" s="449" t="s">
        <v>214</v>
      </c>
      <c r="B87" s="452" t="s">
        <v>215</v>
      </c>
      <c r="C87" s="506" t="s">
        <v>256</v>
      </c>
      <c r="D87" s="456">
        <v>5860</v>
      </c>
      <c r="E87" s="456">
        <v>6278</v>
      </c>
      <c r="F87" s="456">
        <v>6640</v>
      </c>
      <c r="G87" s="456">
        <v>7005</v>
      </c>
      <c r="H87" s="456">
        <v>7745</v>
      </c>
      <c r="I87" s="456">
        <v>8433</v>
      </c>
      <c r="J87" s="456">
        <v>8932</v>
      </c>
      <c r="K87" s="457">
        <v>9201</v>
      </c>
      <c r="L87" s="813">
        <v>9350</v>
      </c>
      <c r="M87" s="813">
        <v>8924</v>
      </c>
      <c r="N87" s="1125">
        <v>8508</v>
      </c>
      <c r="P87" s="265">
        <f t="shared" si="7"/>
        <v>4.6615867324069922E-2</v>
      </c>
      <c r="Q87" s="265">
        <f t="shared" si="8"/>
        <v>4.556149732620321E-2</v>
      </c>
      <c r="R87" s="265">
        <f t="shared" si="9"/>
        <v>1.6193891968264318E-2</v>
      </c>
    </row>
    <row r="88" spans="1:18" ht="15.6" x14ac:dyDescent="0.3">
      <c r="A88" s="449" t="s">
        <v>216</v>
      </c>
      <c r="B88" s="452" t="s">
        <v>217</v>
      </c>
      <c r="C88" s="506" t="s">
        <v>252</v>
      </c>
      <c r="D88" s="456">
        <v>2811</v>
      </c>
      <c r="E88" s="456">
        <v>3041</v>
      </c>
      <c r="F88" s="456">
        <v>3172</v>
      </c>
      <c r="G88" s="456">
        <v>3318</v>
      </c>
      <c r="H88" s="456">
        <v>3549</v>
      </c>
      <c r="I88" s="456">
        <v>3784</v>
      </c>
      <c r="J88" s="456">
        <v>3972</v>
      </c>
      <c r="K88" s="457">
        <v>4294</v>
      </c>
      <c r="L88" s="813">
        <v>4406</v>
      </c>
      <c r="M88" s="813">
        <v>4273</v>
      </c>
      <c r="N88" s="1125">
        <v>4034</v>
      </c>
      <c r="P88" s="265">
        <f t="shared" si="7"/>
        <v>5.5932600046805524E-2</v>
      </c>
      <c r="Q88" s="265">
        <f t="shared" si="8"/>
        <v>3.0186109850204267E-2</v>
      </c>
      <c r="R88" s="265">
        <f t="shared" si="9"/>
        <v>2.6082906380996741E-2</v>
      </c>
    </row>
    <row r="89" spans="1:18" ht="15.6" x14ac:dyDescent="0.3">
      <c r="A89" s="449" t="s">
        <v>218</v>
      </c>
      <c r="B89" s="452" t="s">
        <v>219</v>
      </c>
      <c r="C89" s="506" t="s">
        <v>255</v>
      </c>
      <c r="D89" s="456">
        <v>6868</v>
      </c>
      <c r="E89" s="456">
        <v>7494</v>
      </c>
      <c r="F89" s="456">
        <v>8348</v>
      </c>
      <c r="G89" s="456">
        <v>9931</v>
      </c>
      <c r="H89" s="456">
        <v>12903</v>
      </c>
      <c r="I89" s="456">
        <v>15463</v>
      </c>
      <c r="J89" s="456">
        <v>17402</v>
      </c>
      <c r="K89" s="457">
        <v>18439</v>
      </c>
      <c r="L89" s="813">
        <v>19075</v>
      </c>
      <c r="M89" s="813">
        <v>18892</v>
      </c>
      <c r="N89" s="1125">
        <v>17924</v>
      </c>
      <c r="P89" s="265">
        <f t="shared" si="7"/>
        <v>5.1238619521490579E-2</v>
      </c>
      <c r="Q89" s="265">
        <f t="shared" si="8"/>
        <v>9.5937090432503275E-3</v>
      </c>
      <c r="R89" s="265">
        <f t="shared" si="9"/>
        <v>3.4492109116546453E-2</v>
      </c>
    </row>
    <row r="90" spans="1:18" ht="15.6" x14ac:dyDescent="0.3">
      <c r="A90" s="449" t="s">
        <v>220</v>
      </c>
      <c r="B90" s="452" t="s">
        <v>221</v>
      </c>
      <c r="C90" s="506" t="s">
        <v>255</v>
      </c>
      <c r="D90" s="456">
        <v>6097</v>
      </c>
      <c r="E90" s="456">
        <v>6771</v>
      </c>
      <c r="F90" s="456">
        <v>7609</v>
      </c>
      <c r="G90" s="456">
        <v>8638</v>
      </c>
      <c r="H90" s="456">
        <v>10384</v>
      </c>
      <c r="I90" s="456">
        <v>12571</v>
      </c>
      <c r="J90" s="456">
        <v>13924</v>
      </c>
      <c r="K90" s="457">
        <v>14744</v>
      </c>
      <c r="L90" s="813">
        <v>15696</v>
      </c>
      <c r="M90" s="813">
        <v>15456</v>
      </c>
      <c r="N90" s="1125">
        <v>14707</v>
      </c>
      <c r="P90" s="265">
        <f t="shared" si="7"/>
        <v>4.8460144927536232E-2</v>
      </c>
      <c r="Q90" s="265">
        <f t="shared" si="8"/>
        <v>1.5290519877675841E-2</v>
      </c>
      <c r="R90" s="265">
        <f t="shared" si="9"/>
        <v>6.4568638090070532E-2</v>
      </c>
    </row>
    <row r="91" spans="1:18" ht="15.6" x14ac:dyDescent="0.3">
      <c r="A91" s="449" t="s">
        <v>224</v>
      </c>
      <c r="B91" s="452" t="s">
        <v>225</v>
      </c>
      <c r="C91" s="506" t="s">
        <v>252</v>
      </c>
      <c r="D91" s="456">
        <v>957</v>
      </c>
      <c r="E91" s="456">
        <v>1028</v>
      </c>
      <c r="F91" s="456">
        <v>1009</v>
      </c>
      <c r="G91" s="456">
        <v>952</v>
      </c>
      <c r="H91" s="456">
        <v>1083</v>
      </c>
      <c r="I91" s="456">
        <v>1345</v>
      </c>
      <c r="J91" s="456">
        <v>1412</v>
      </c>
      <c r="K91" s="457">
        <v>1421</v>
      </c>
      <c r="L91" s="813">
        <v>1594</v>
      </c>
      <c r="M91" s="813">
        <v>1518</v>
      </c>
      <c r="N91" s="1125">
        <v>1420</v>
      </c>
      <c r="P91" s="265">
        <f t="shared" si="7"/>
        <v>6.4558629776021087E-2</v>
      </c>
      <c r="Q91" s="265">
        <f t="shared" si="8"/>
        <v>4.7678795483061483E-2</v>
      </c>
      <c r="R91" s="265">
        <f t="shared" si="9"/>
        <v>0.12174524982406756</v>
      </c>
    </row>
    <row r="92" spans="1:18" ht="15.6" x14ac:dyDescent="0.3">
      <c r="A92" s="449" t="s">
        <v>226</v>
      </c>
      <c r="B92" s="452" t="s">
        <v>227</v>
      </c>
      <c r="C92" s="506" t="s">
        <v>252</v>
      </c>
      <c r="D92" s="456">
        <v>1873</v>
      </c>
      <c r="E92" s="456">
        <v>2072</v>
      </c>
      <c r="F92" s="456">
        <v>2049</v>
      </c>
      <c r="G92" s="456">
        <v>2029</v>
      </c>
      <c r="H92" s="456">
        <v>2222</v>
      </c>
      <c r="I92" s="456">
        <v>2521</v>
      </c>
      <c r="J92" s="456">
        <v>2666</v>
      </c>
      <c r="K92" s="457">
        <v>2746</v>
      </c>
      <c r="L92" s="813">
        <v>2854</v>
      </c>
      <c r="M92" s="813">
        <v>2851</v>
      </c>
      <c r="N92" s="1125">
        <v>2777</v>
      </c>
      <c r="P92" s="265">
        <f t="shared" si="7"/>
        <v>2.5955804980708524E-2</v>
      </c>
      <c r="Q92" s="265">
        <f t="shared" si="8"/>
        <v>1.0511562718990891E-3</v>
      </c>
      <c r="R92" s="265">
        <f t="shared" si="9"/>
        <v>3.9329934450109252E-2</v>
      </c>
    </row>
    <row r="93" spans="1:18" ht="15.6" x14ac:dyDescent="0.3">
      <c r="A93" s="449" t="s">
        <v>228</v>
      </c>
      <c r="B93" s="452" t="s">
        <v>229</v>
      </c>
      <c r="C93" s="506" t="s">
        <v>256</v>
      </c>
      <c r="D93" s="456">
        <v>8509</v>
      </c>
      <c r="E93" s="456">
        <v>8628</v>
      </c>
      <c r="F93" s="456">
        <v>8828</v>
      </c>
      <c r="G93" s="456">
        <v>8512</v>
      </c>
      <c r="H93" s="456">
        <v>8652</v>
      </c>
      <c r="I93" s="456">
        <v>9800</v>
      </c>
      <c r="J93" s="456">
        <v>10221</v>
      </c>
      <c r="K93" s="457">
        <v>10664</v>
      </c>
      <c r="L93" s="813">
        <v>11590</v>
      </c>
      <c r="M93" s="813">
        <v>11636</v>
      </c>
      <c r="N93" s="1125">
        <v>11404</v>
      </c>
      <c r="P93" s="265">
        <f t="shared" si="7"/>
        <v>1.9938123066345823E-2</v>
      </c>
      <c r="Q93" s="265">
        <f t="shared" si="8"/>
        <v>-3.9689387402933561E-3</v>
      </c>
      <c r="R93" s="265">
        <f t="shared" si="9"/>
        <v>8.683420855213804E-2</v>
      </c>
    </row>
    <row r="94" spans="1:18" ht="15.6" x14ac:dyDescent="0.3">
      <c r="A94" s="449" t="s">
        <v>232</v>
      </c>
      <c r="B94" s="452" t="s">
        <v>233</v>
      </c>
      <c r="C94" s="506" t="s">
        <v>255</v>
      </c>
      <c r="D94" s="456">
        <v>3306</v>
      </c>
      <c r="E94" s="456">
        <v>3409</v>
      </c>
      <c r="F94" s="456">
        <v>3630</v>
      </c>
      <c r="G94" s="456">
        <v>4186</v>
      </c>
      <c r="H94" s="456">
        <v>5407</v>
      </c>
      <c r="I94" s="456">
        <v>6542</v>
      </c>
      <c r="J94" s="456">
        <v>7176</v>
      </c>
      <c r="K94" s="457">
        <v>7403</v>
      </c>
      <c r="L94" s="813">
        <v>7736</v>
      </c>
      <c r="M94" s="813">
        <v>7323</v>
      </c>
      <c r="N94" s="1125">
        <v>6890</v>
      </c>
      <c r="P94" s="265">
        <f t="shared" si="7"/>
        <v>5.912877236105421E-2</v>
      </c>
      <c r="Q94" s="265">
        <f t="shared" si="8"/>
        <v>5.3386763185108585E-2</v>
      </c>
      <c r="R94" s="265">
        <f t="shared" si="9"/>
        <v>4.4981764149669055E-2</v>
      </c>
    </row>
    <row r="95" spans="1:18" ht="15.6" x14ac:dyDescent="0.3">
      <c r="A95" s="449" t="s">
        <v>234</v>
      </c>
      <c r="B95" s="452" t="s">
        <v>235</v>
      </c>
      <c r="C95" s="506" t="s">
        <v>256</v>
      </c>
      <c r="D95" s="456">
        <v>6606</v>
      </c>
      <c r="E95" s="456">
        <v>7053</v>
      </c>
      <c r="F95" s="456">
        <v>7290</v>
      </c>
      <c r="G95" s="456">
        <v>7722</v>
      </c>
      <c r="H95" s="456">
        <v>8728</v>
      </c>
      <c r="I95" s="456">
        <v>9895</v>
      </c>
      <c r="J95" s="456">
        <v>10532</v>
      </c>
      <c r="K95" s="457">
        <v>10928</v>
      </c>
      <c r="L95" s="813">
        <v>11262</v>
      </c>
      <c r="M95" s="813">
        <v>11084</v>
      </c>
      <c r="N95" s="1125">
        <v>10665</v>
      </c>
      <c r="P95" s="265">
        <f t="shared" si="7"/>
        <v>3.7802237459400936E-2</v>
      </c>
      <c r="Q95" s="265">
        <f t="shared" si="8"/>
        <v>1.5805363168176167E-2</v>
      </c>
      <c r="R95" s="265">
        <f t="shared" si="9"/>
        <v>3.0563689604685213E-2</v>
      </c>
    </row>
    <row r="96" spans="1:18" ht="15.6" x14ac:dyDescent="0.3">
      <c r="A96" s="449" t="s">
        <v>236</v>
      </c>
      <c r="B96" s="452" t="s">
        <v>237</v>
      </c>
      <c r="C96" s="506" t="s">
        <v>254</v>
      </c>
      <c r="D96" s="456">
        <v>2827</v>
      </c>
      <c r="E96" s="456">
        <v>2759</v>
      </c>
      <c r="F96" s="456">
        <v>2667</v>
      </c>
      <c r="G96" s="456">
        <v>2810</v>
      </c>
      <c r="H96" s="456">
        <v>3374</v>
      </c>
      <c r="I96" s="456">
        <v>3969</v>
      </c>
      <c r="J96" s="456">
        <v>4431</v>
      </c>
      <c r="K96" s="457">
        <v>4655</v>
      </c>
      <c r="L96" s="813">
        <v>4874</v>
      </c>
      <c r="M96" s="813">
        <v>4677</v>
      </c>
      <c r="N96" s="1125">
        <v>4648</v>
      </c>
      <c r="P96" s="265">
        <f t="shared" si="7"/>
        <v>6.200555911909344E-3</v>
      </c>
      <c r="Q96" s="265">
        <f t="shared" si="8"/>
        <v>4.0418547394337298E-2</v>
      </c>
      <c r="R96" s="265">
        <f t="shared" si="9"/>
        <v>4.7046186895810957E-2</v>
      </c>
    </row>
    <row r="97" spans="1:18" ht="15.6" x14ac:dyDescent="0.3">
      <c r="A97" s="449" t="s">
        <v>242</v>
      </c>
      <c r="B97" s="452" t="s">
        <v>243</v>
      </c>
      <c r="C97" s="506" t="s">
        <v>256</v>
      </c>
      <c r="D97" s="456">
        <v>10226</v>
      </c>
      <c r="E97" s="456">
        <v>10129</v>
      </c>
      <c r="F97" s="456">
        <v>10211</v>
      </c>
      <c r="G97" s="456">
        <v>10166</v>
      </c>
      <c r="H97" s="456">
        <v>10486</v>
      </c>
      <c r="I97" s="456">
        <v>11048</v>
      </c>
      <c r="J97" s="456">
        <v>11480</v>
      </c>
      <c r="K97" s="457">
        <v>12027</v>
      </c>
      <c r="L97" s="813">
        <v>12550</v>
      </c>
      <c r="M97" s="813">
        <v>12467</v>
      </c>
      <c r="N97" s="1125">
        <v>11428</v>
      </c>
      <c r="P97" s="265">
        <f t="shared" si="7"/>
        <v>8.3340017646586995E-2</v>
      </c>
      <c r="Q97" s="265">
        <f t="shared" si="8"/>
        <v>6.6135458167330676E-3</v>
      </c>
      <c r="R97" s="265">
        <f t="shared" si="9"/>
        <v>4.3485490978631414E-2</v>
      </c>
    </row>
    <row r="98" spans="1:18" ht="15.6" x14ac:dyDescent="0.3">
      <c r="A98" s="449" t="s">
        <v>244</v>
      </c>
      <c r="B98" s="452" t="s">
        <v>245</v>
      </c>
      <c r="C98" s="506" t="s">
        <v>256</v>
      </c>
      <c r="D98" s="456">
        <v>4160</v>
      </c>
      <c r="E98" s="456">
        <v>4403</v>
      </c>
      <c r="F98" s="456">
        <v>4582</v>
      </c>
      <c r="G98" s="456">
        <v>4900</v>
      </c>
      <c r="H98" s="456">
        <v>5560</v>
      </c>
      <c r="I98" s="456">
        <v>6315</v>
      </c>
      <c r="J98" s="456">
        <v>6660</v>
      </c>
      <c r="K98" s="457">
        <v>6687</v>
      </c>
      <c r="L98" s="813">
        <v>6643</v>
      </c>
      <c r="M98" s="813">
        <v>6373</v>
      </c>
      <c r="N98" s="1125">
        <v>5967</v>
      </c>
      <c r="P98" s="265">
        <f t="shared" si="7"/>
        <v>6.3706260787698102E-2</v>
      </c>
      <c r="Q98" s="265">
        <f t="shared" si="8"/>
        <v>4.0644287219629684E-2</v>
      </c>
      <c r="R98" s="265">
        <f t="shared" si="9"/>
        <v>-6.5799312098100788E-3</v>
      </c>
    </row>
    <row r="99" spans="1:18" ht="15.6" x14ac:dyDescent="0.3">
      <c r="A99" s="449" t="s">
        <v>246</v>
      </c>
      <c r="B99" s="532" t="s">
        <v>247</v>
      </c>
      <c r="C99" s="532" t="s">
        <v>252</v>
      </c>
      <c r="D99" s="533">
        <v>2531</v>
      </c>
      <c r="E99" s="533">
        <v>2706</v>
      </c>
      <c r="F99" s="533">
        <v>2733</v>
      </c>
      <c r="G99" s="533">
        <v>2796</v>
      </c>
      <c r="H99" s="533">
        <v>3473</v>
      </c>
      <c r="I99" s="533">
        <v>4195</v>
      </c>
      <c r="J99" s="533">
        <v>4936</v>
      </c>
      <c r="K99" s="457">
        <v>5297</v>
      </c>
      <c r="L99" s="813">
        <v>5494</v>
      </c>
      <c r="M99" s="813">
        <v>5501</v>
      </c>
      <c r="N99" s="1125">
        <v>5213</v>
      </c>
      <c r="P99" s="265">
        <f t="shared" si="7"/>
        <v>5.2354117433193965E-2</v>
      </c>
      <c r="Q99" s="265">
        <f t="shared" si="8"/>
        <v>-1.2741172187841281E-3</v>
      </c>
      <c r="R99" s="265">
        <f t="shared" si="9"/>
        <v>3.7190862752501413E-2</v>
      </c>
    </row>
    <row r="100" spans="1:18" ht="15.6" x14ac:dyDescent="0.3">
      <c r="A100" s="449" t="s">
        <v>14</v>
      </c>
      <c r="B100" s="452" t="s">
        <v>15</v>
      </c>
      <c r="C100" s="506" t="s">
        <v>255</v>
      </c>
      <c r="D100" s="456">
        <v>8617</v>
      </c>
      <c r="E100" s="456">
        <v>8531</v>
      </c>
      <c r="F100" s="456">
        <v>8415</v>
      </c>
      <c r="G100" s="456">
        <v>8784</v>
      </c>
      <c r="H100" s="456">
        <v>10382</v>
      </c>
      <c r="I100" s="456">
        <v>12462</v>
      </c>
      <c r="J100" s="456">
        <v>13844</v>
      </c>
      <c r="K100" s="457">
        <v>14794</v>
      </c>
      <c r="L100" s="813">
        <v>15448</v>
      </c>
      <c r="M100" s="813">
        <v>14854</v>
      </c>
      <c r="N100" s="1125">
        <v>14548</v>
      </c>
      <c r="P100" s="265">
        <f t="shared" si="7"/>
        <v>2.0600511646694492E-2</v>
      </c>
      <c r="Q100" s="265">
        <f t="shared" si="8"/>
        <v>3.8451579492490937E-2</v>
      </c>
      <c r="R100" s="265">
        <f t="shared" si="9"/>
        <v>4.4207110990942274E-2</v>
      </c>
    </row>
    <row r="101" spans="1:18" ht="15.6" x14ac:dyDescent="0.3">
      <c r="A101" s="449" t="s">
        <v>34</v>
      </c>
      <c r="B101" s="452" t="s">
        <v>35</v>
      </c>
      <c r="C101" s="506" t="s">
        <v>256</v>
      </c>
      <c r="D101" s="456">
        <v>4478</v>
      </c>
      <c r="E101" s="456">
        <v>4811</v>
      </c>
      <c r="F101" s="456">
        <v>4980</v>
      </c>
      <c r="G101" s="456">
        <v>5320</v>
      </c>
      <c r="H101" s="456">
        <v>6079</v>
      </c>
      <c r="I101" s="456">
        <v>6477</v>
      </c>
      <c r="J101" s="456">
        <v>6655</v>
      </c>
      <c r="K101" s="457">
        <v>6821</v>
      </c>
      <c r="L101" s="813">
        <v>7127</v>
      </c>
      <c r="M101" s="813">
        <v>6775</v>
      </c>
      <c r="N101" s="1125">
        <v>6307</v>
      </c>
      <c r="P101" s="265">
        <f t="shared" ref="P101:P124" si="10">(M101-N101)/M101</f>
        <v>6.9077490774907754E-2</v>
      </c>
      <c r="Q101" s="265">
        <f t="shared" ref="Q101:Q124" si="11">(L101-M101)/L101</f>
        <v>4.9389645011926477E-2</v>
      </c>
      <c r="R101" s="265">
        <f t="shared" ref="R101:R124" si="12">(L101-K101)/K101</f>
        <v>4.4861457264330745E-2</v>
      </c>
    </row>
    <row r="102" spans="1:18" ht="15.6" x14ac:dyDescent="0.3">
      <c r="A102" s="449" t="s">
        <v>52</v>
      </c>
      <c r="B102" s="452" t="s">
        <v>53</v>
      </c>
      <c r="C102" s="506" t="s">
        <v>253</v>
      </c>
      <c r="D102" s="456">
        <v>6119</v>
      </c>
      <c r="E102" s="456">
        <v>6225</v>
      </c>
      <c r="F102" s="456">
        <v>6016</v>
      </c>
      <c r="G102" s="456">
        <v>6105</v>
      </c>
      <c r="H102" s="456">
        <v>6948</v>
      </c>
      <c r="I102" s="456">
        <v>7945</v>
      </c>
      <c r="J102" s="456">
        <v>8336</v>
      </c>
      <c r="K102" s="457">
        <v>8600</v>
      </c>
      <c r="L102" s="813">
        <v>8645</v>
      </c>
      <c r="M102" s="813">
        <v>7934</v>
      </c>
      <c r="N102" s="1125">
        <v>7480</v>
      </c>
      <c r="P102" s="265">
        <f t="shared" si="10"/>
        <v>5.7222082177968238E-2</v>
      </c>
      <c r="Q102" s="265">
        <f t="shared" si="11"/>
        <v>8.2244071717755926E-2</v>
      </c>
      <c r="R102" s="265">
        <f t="shared" si="12"/>
        <v>5.2325581395348836E-3</v>
      </c>
    </row>
    <row r="103" spans="1:18" ht="15.6" x14ac:dyDescent="0.3">
      <c r="A103" s="449" t="s">
        <v>54</v>
      </c>
      <c r="B103" s="452" t="s">
        <v>55</v>
      </c>
      <c r="C103" s="506" t="s">
        <v>252</v>
      </c>
      <c r="D103" s="456">
        <v>18719</v>
      </c>
      <c r="E103" s="456">
        <v>19669</v>
      </c>
      <c r="F103" s="456">
        <v>19177</v>
      </c>
      <c r="G103" s="456">
        <v>20156</v>
      </c>
      <c r="H103" s="456">
        <v>23810</v>
      </c>
      <c r="I103" s="456">
        <v>28721</v>
      </c>
      <c r="J103" s="456">
        <v>31946</v>
      </c>
      <c r="K103" s="457">
        <v>34474</v>
      </c>
      <c r="L103" s="813">
        <v>36392</v>
      </c>
      <c r="M103" s="813">
        <v>35735</v>
      </c>
      <c r="N103" s="1125">
        <v>33945</v>
      </c>
      <c r="P103" s="265">
        <f t="shared" si="10"/>
        <v>5.0090947250594653E-2</v>
      </c>
      <c r="Q103" s="265">
        <f t="shared" si="11"/>
        <v>1.8053418333699715E-2</v>
      </c>
      <c r="R103" s="265">
        <f t="shared" si="12"/>
        <v>5.5636131577420665E-2</v>
      </c>
    </row>
    <row r="104" spans="1:18" ht="15.6" x14ac:dyDescent="0.3">
      <c r="A104" s="449" t="s">
        <v>66</v>
      </c>
      <c r="B104" s="452" t="s">
        <v>67</v>
      </c>
      <c r="C104" s="506" t="s">
        <v>253</v>
      </c>
      <c r="D104" s="456">
        <v>12334</v>
      </c>
      <c r="E104" s="456">
        <v>13141</v>
      </c>
      <c r="F104" s="456">
        <v>13765</v>
      </c>
      <c r="G104" s="456">
        <v>14215</v>
      </c>
      <c r="H104" s="456">
        <v>15223</v>
      </c>
      <c r="I104" s="456">
        <v>16775</v>
      </c>
      <c r="J104" s="456">
        <v>17556</v>
      </c>
      <c r="K104" s="457">
        <v>18260</v>
      </c>
      <c r="L104" s="813">
        <v>18517</v>
      </c>
      <c r="M104" s="813">
        <v>18039</v>
      </c>
      <c r="N104" s="1125">
        <v>17323</v>
      </c>
      <c r="P104" s="265">
        <f t="shared" si="10"/>
        <v>3.9691778923443652E-2</v>
      </c>
      <c r="Q104" s="265">
        <f t="shared" si="11"/>
        <v>2.581411675757412E-2</v>
      </c>
      <c r="R104" s="265">
        <f t="shared" si="12"/>
        <v>1.407447973713034E-2</v>
      </c>
    </row>
    <row r="105" spans="1:18" ht="15.6" x14ac:dyDescent="0.3">
      <c r="A105" s="449" t="s">
        <v>82</v>
      </c>
      <c r="B105" s="452" t="s">
        <v>83</v>
      </c>
      <c r="C105" s="506" t="s">
        <v>252</v>
      </c>
      <c r="D105" s="456">
        <v>2389</v>
      </c>
      <c r="E105" s="456">
        <v>2571</v>
      </c>
      <c r="F105" s="456">
        <v>2429</v>
      </c>
      <c r="G105" s="456">
        <v>2414</v>
      </c>
      <c r="H105" s="456">
        <v>2663</v>
      </c>
      <c r="I105" s="456">
        <v>3097</v>
      </c>
      <c r="J105" s="456">
        <v>3422</v>
      </c>
      <c r="K105" s="457">
        <v>3686</v>
      </c>
      <c r="L105" s="813">
        <v>3792</v>
      </c>
      <c r="M105" s="813">
        <v>3557</v>
      </c>
      <c r="N105" s="1125">
        <v>3448</v>
      </c>
      <c r="P105" s="265">
        <f t="shared" si="10"/>
        <v>3.064380095586168E-2</v>
      </c>
      <c r="Q105" s="265">
        <f t="shared" si="11"/>
        <v>6.1972573839662447E-2</v>
      </c>
      <c r="R105" s="265">
        <f t="shared" si="12"/>
        <v>2.875746066196419E-2</v>
      </c>
    </row>
    <row r="106" spans="1:18" ht="15.6" x14ac:dyDescent="0.3">
      <c r="A106" s="449" t="s">
        <v>88</v>
      </c>
      <c r="B106" s="452" t="s">
        <v>89</v>
      </c>
      <c r="C106" s="506" t="s">
        <v>255</v>
      </c>
      <c r="D106" s="456">
        <v>3824</v>
      </c>
      <c r="E106" s="456">
        <v>4088</v>
      </c>
      <c r="F106" s="456">
        <v>4156</v>
      </c>
      <c r="G106" s="456">
        <v>4570</v>
      </c>
      <c r="H106" s="456">
        <v>5232</v>
      </c>
      <c r="I106" s="456">
        <v>6129</v>
      </c>
      <c r="J106" s="456">
        <v>6956</v>
      </c>
      <c r="K106" s="457">
        <v>7545</v>
      </c>
      <c r="L106" s="813">
        <v>7664</v>
      </c>
      <c r="M106" s="813">
        <v>7338</v>
      </c>
      <c r="N106" s="1125">
        <v>6982</v>
      </c>
      <c r="P106" s="265">
        <f t="shared" si="10"/>
        <v>4.8514581629871899E-2</v>
      </c>
      <c r="Q106" s="265">
        <f t="shared" si="11"/>
        <v>4.2536534446764092E-2</v>
      </c>
      <c r="R106" s="265">
        <f t="shared" si="12"/>
        <v>1.5772034459907224E-2</v>
      </c>
    </row>
    <row r="107" spans="1:18" ht="15.6" x14ac:dyDescent="0.3">
      <c r="A107" s="449" t="s">
        <v>90</v>
      </c>
      <c r="B107" s="452" t="s">
        <v>91</v>
      </c>
      <c r="C107" s="506" t="s">
        <v>256</v>
      </c>
      <c r="D107" s="456">
        <v>1984</v>
      </c>
      <c r="E107" s="456">
        <v>2105</v>
      </c>
      <c r="F107" s="456">
        <v>2157</v>
      </c>
      <c r="G107" s="456">
        <v>2353</v>
      </c>
      <c r="H107" s="456">
        <v>2567</v>
      </c>
      <c r="I107" s="456">
        <v>2723</v>
      </c>
      <c r="J107" s="456">
        <v>2793</v>
      </c>
      <c r="K107" s="457">
        <v>2935</v>
      </c>
      <c r="L107" s="813">
        <v>2975</v>
      </c>
      <c r="M107" s="813">
        <v>2964</v>
      </c>
      <c r="N107" s="1125">
        <v>2735</v>
      </c>
      <c r="P107" s="265">
        <f t="shared" si="10"/>
        <v>7.7260458839406201E-2</v>
      </c>
      <c r="Q107" s="265">
        <f t="shared" si="11"/>
        <v>3.6974789915966387E-3</v>
      </c>
      <c r="R107" s="265">
        <f t="shared" si="12"/>
        <v>1.3628620102214651E-2</v>
      </c>
    </row>
    <row r="108" spans="1:18" ht="15.6" x14ac:dyDescent="0.3">
      <c r="A108" s="449" t="s">
        <v>106</v>
      </c>
      <c r="B108" s="452" t="s">
        <v>107</v>
      </c>
      <c r="C108" s="506" t="s">
        <v>252</v>
      </c>
      <c r="D108" s="456">
        <v>20801</v>
      </c>
      <c r="E108" s="456">
        <v>21510</v>
      </c>
      <c r="F108" s="456">
        <v>20751</v>
      </c>
      <c r="G108" s="456">
        <v>20617</v>
      </c>
      <c r="H108" s="456">
        <v>22561</v>
      </c>
      <c r="I108" s="456">
        <v>25894</v>
      </c>
      <c r="J108" s="456">
        <v>29642</v>
      </c>
      <c r="K108" s="457">
        <v>32577</v>
      </c>
      <c r="L108" s="813">
        <v>34257</v>
      </c>
      <c r="M108" s="813">
        <v>33529</v>
      </c>
      <c r="N108" s="1125">
        <v>31534</v>
      </c>
      <c r="P108" s="265">
        <f t="shared" si="10"/>
        <v>5.9500730710728027E-2</v>
      </c>
      <c r="Q108" s="265">
        <f t="shared" si="11"/>
        <v>2.1251131155676211E-2</v>
      </c>
      <c r="R108" s="265">
        <f t="shared" si="12"/>
        <v>5.1570126162630077E-2</v>
      </c>
    </row>
    <row r="109" spans="1:18" ht="15.6" x14ac:dyDescent="0.3">
      <c r="A109" s="449" t="s">
        <v>116</v>
      </c>
      <c r="B109" s="452" t="s">
        <v>117</v>
      </c>
      <c r="C109" s="506" t="s">
        <v>254</v>
      </c>
      <c r="D109" s="456">
        <v>6080</v>
      </c>
      <c r="E109" s="456">
        <v>6473</v>
      </c>
      <c r="F109" s="456">
        <v>6519</v>
      </c>
      <c r="G109" s="456">
        <v>6980</v>
      </c>
      <c r="H109" s="456">
        <v>7634</v>
      </c>
      <c r="I109" s="456">
        <v>8487</v>
      </c>
      <c r="J109" s="456">
        <v>9238</v>
      </c>
      <c r="K109" s="457">
        <v>9773</v>
      </c>
      <c r="L109" s="813">
        <v>10047</v>
      </c>
      <c r="M109" s="813">
        <v>9954</v>
      </c>
      <c r="N109" s="1125">
        <v>9803</v>
      </c>
      <c r="P109" s="265">
        <f t="shared" si="10"/>
        <v>1.5169780992565803E-2</v>
      </c>
      <c r="Q109" s="265">
        <f t="shared" si="11"/>
        <v>9.2564944759629744E-3</v>
      </c>
      <c r="R109" s="265">
        <f t="shared" si="12"/>
        <v>2.8036426890412362E-2</v>
      </c>
    </row>
    <row r="110" spans="1:18" ht="15.6" x14ac:dyDescent="0.3">
      <c r="A110" s="449" t="s">
        <v>138</v>
      </c>
      <c r="B110" s="452" t="s">
        <v>139</v>
      </c>
      <c r="C110" s="506" t="s">
        <v>253</v>
      </c>
      <c r="D110" s="456">
        <v>11871</v>
      </c>
      <c r="E110" s="456">
        <v>12443</v>
      </c>
      <c r="F110" s="456">
        <v>12733</v>
      </c>
      <c r="G110" s="456">
        <v>12854</v>
      </c>
      <c r="H110" s="456">
        <v>14308</v>
      </c>
      <c r="I110" s="456">
        <v>16187</v>
      </c>
      <c r="J110" s="456">
        <v>17521</v>
      </c>
      <c r="K110" s="457">
        <v>18989</v>
      </c>
      <c r="L110" s="813">
        <v>19833</v>
      </c>
      <c r="M110" s="813">
        <v>19438</v>
      </c>
      <c r="N110" s="1125">
        <v>18329</v>
      </c>
      <c r="P110" s="265">
        <f t="shared" si="10"/>
        <v>5.7053194773124809E-2</v>
      </c>
      <c r="Q110" s="265">
        <f t="shared" si="11"/>
        <v>1.9916301114304442E-2</v>
      </c>
      <c r="R110" s="265">
        <f t="shared" si="12"/>
        <v>4.4446784980778344E-2</v>
      </c>
    </row>
    <row r="111" spans="1:18" ht="15.6" x14ac:dyDescent="0.3">
      <c r="A111" s="449" t="s">
        <v>142</v>
      </c>
      <c r="B111" s="452" t="s">
        <v>143</v>
      </c>
      <c r="C111" s="506" t="s">
        <v>255</v>
      </c>
      <c r="D111" s="456">
        <v>2747</v>
      </c>
      <c r="E111" s="456">
        <v>2921</v>
      </c>
      <c r="F111" s="456">
        <v>3291</v>
      </c>
      <c r="G111" s="456">
        <v>3873</v>
      </c>
      <c r="H111" s="456">
        <v>5113</v>
      </c>
      <c r="I111" s="456">
        <v>6487</v>
      </c>
      <c r="J111" s="456">
        <v>7188</v>
      </c>
      <c r="K111" s="457">
        <v>7479</v>
      </c>
      <c r="L111" s="813">
        <v>7916</v>
      </c>
      <c r="M111" s="813">
        <v>7794</v>
      </c>
      <c r="N111" s="1125">
        <v>7520</v>
      </c>
      <c r="P111" s="265">
        <f t="shared" si="10"/>
        <v>3.5155247626379268E-2</v>
      </c>
      <c r="Q111" s="265">
        <f t="shared" si="11"/>
        <v>1.5411824153612936E-2</v>
      </c>
      <c r="R111" s="265">
        <f t="shared" si="12"/>
        <v>5.8430271426661316E-2</v>
      </c>
    </row>
    <row r="112" spans="1:18" ht="15.6" x14ac:dyDescent="0.3">
      <c r="A112" s="449" t="s">
        <v>144</v>
      </c>
      <c r="B112" s="452" t="s">
        <v>145</v>
      </c>
      <c r="C112" s="506" t="s">
        <v>255</v>
      </c>
      <c r="D112" s="456">
        <v>764</v>
      </c>
      <c r="E112" s="456">
        <v>1055</v>
      </c>
      <c r="F112" s="456">
        <v>1218</v>
      </c>
      <c r="G112" s="456">
        <v>1456</v>
      </c>
      <c r="H112" s="456">
        <v>1865</v>
      </c>
      <c r="I112" s="456">
        <v>2197</v>
      </c>
      <c r="J112" s="456">
        <v>2241</v>
      </c>
      <c r="K112" s="457">
        <v>2221</v>
      </c>
      <c r="L112" s="813">
        <v>2342</v>
      </c>
      <c r="M112" s="813">
        <v>2223</v>
      </c>
      <c r="N112" s="1125">
        <v>2188</v>
      </c>
      <c r="P112" s="265">
        <f t="shared" si="10"/>
        <v>1.5744489428699954E-2</v>
      </c>
      <c r="Q112" s="265">
        <f t="shared" si="11"/>
        <v>5.0811272416737829E-2</v>
      </c>
      <c r="R112" s="265">
        <f t="shared" si="12"/>
        <v>5.4479963980189103E-2</v>
      </c>
    </row>
    <row r="113" spans="1:18" ht="15.6" x14ac:dyDescent="0.3">
      <c r="A113" s="449" t="s">
        <v>158</v>
      </c>
      <c r="B113" s="452" t="s">
        <v>159</v>
      </c>
      <c r="C113" s="506" t="s">
        <v>252</v>
      </c>
      <c r="D113" s="456">
        <v>31185</v>
      </c>
      <c r="E113" s="456">
        <v>32205</v>
      </c>
      <c r="F113" s="456">
        <v>31668</v>
      </c>
      <c r="G113" s="456">
        <v>32874</v>
      </c>
      <c r="H113" s="456">
        <v>37456</v>
      </c>
      <c r="I113" s="456">
        <v>43763</v>
      </c>
      <c r="J113" s="456">
        <v>48328</v>
      </c>
      <c r="K113" s="457">
        <v>50910</v>
      </c>
      <c r="L113" s="813">
        <v>53108</v>
      </c>
      <c r="M113" s="813">
        <v>51766</v>
      </c>
      <c r="N113" s="1125">
        <v>49407</v>
      </c>
      <c r="P113" s="265">
        <f t="shared" si="10"/>
        <v>4.5570451647799715E-2</v>
      </c>
      <c r="Q113" s="265">
        <f t="shared" si="11"/>
        <v>2.5269262634631317E-2</v>
      </c>
      <c r="R113" s="265">
        <f t="shared" si="12"/>
        <v>4.3174229031624434E-2</v>
      </c>
    </row>
    <row r="114" spans="1:18" ht="15.6" x14ac:dyDescent="0.3">
      <c r="A114" s="449" t="s">
        <v>160</v>
      </c>
      <c r="B114" s="452" t="s">
        <v>161</v>
      </c>
      <c r="C114" s="506" t="s">
        <v>252</v>
      </c>
      <c r="D114" s="456">
        <v>46884</v>
      </c>
      <c r="E114" s="456">
        <v>47455</v>
      </c>
      <c r="F114" s="456">
        <v>46778</v>
      </c>
      <c r="G114" s="456">
        <v>47861</v>
      </c>
      <c r="H114" s="456">
        <v>52022</v>
      </c>
      <c r="I114" s="456">
        <v>59459</v>
      </c>
      <c r="J114" s="456">
        <v>64233</v>
      </c>
      <c r="K114" s="457">
        <v>68281</v>
      </c>
      <c r="L114" s="813">
        <v>70790</v>
      </c>
      <c r="M114" s="813">
        <v>68640</v>
      </c>
      <c r="N114" s="1125">
        <v>64601</v>
      </c>
      <c r="P114" s="265">
        <f t="shared" si="10"/>
        <v>5.8843240093240094E-2</v>
      </c>
      <c r="Q114" s="265">
        <f t="shared" si="11"/>
        <v>3.0371521401327872E-2</v>
      </c>
      <c r="R114" s="265">
        <f t="shared" si="12"/>
        <v>3.6745214627788111E-2</v>
      </c>
    </row>
    <row r="115" spans="1:18" ht="15.6" x14ac:dyDescent="0.3">
      <c r="A115" s="449" t="s">
        <v>166</v>
      </c>
      <c r="B115" s="452" t="s">
        <v>167</v>
      </c>
      <c r="C115" s="506" t="s">
        <v>256</v>
      </c>
      <c r="D115" s="456">
        <v>1214</v>
      </c>
      <c r="E115" s="456">
        <v>1273</v>
      </c>
      <c r="F115" s="456">
        <v>1341</v>
      </c>
      <c r="G115" s="456">
        <v>1371</v>
      </c>
      <c r="H115" s="456">
        <v>1414</v>
      </c>
      <c r="I115" s="456">
        <v>1412</v>
      </c>
      <c r="J115" s="456">
        <v>1477</v>
      </c>
      <c r="K115" s="457">
        <v>1593</v>
      </c>
      <c r="L115" s="813">
        <v>1594</v>
      </c>
      <c r="M115" s="813">
        <v>1533</v>
      </c>
      <c r="N115" s="1125">
        <v>1448</v>
      </c>
      <c r="P115" s="265">
        <f t="shared" si="10"/>
        <v>5.5446836268754074E-2</v>
      </c>
      <c r="Q115" s="265">
        <f t="shared" si="11"/>
        <v>3.8268506900878296E-2</v>
      </c>
      <c r="R115" s="265">
        <f t="shared" si="12"/>
        <v>6.2774639045825491E-4</v>
      </c>
    </row>
    <row r="116" spans="1:18" ht="15.6" x14ac:dyDescent="0.3">
      <c r="A116" s="449" t="s">
        <v>176</v>
      </c>
      <c r="B116" s="452" t="s">
        <v>177</v>
      </c>
      <c r="C116" s="506" t="s">
        <v>254</v>
      </c>
      <c r="D116" s="456">
        <v>9981</v>
      </c>
      <c r="E116" s="456">
        <v>10336</v>
      </c>
      <c r="F116" s="456">
        <v>10560</v>
      </c>
      <c r="G116" s="456">
        <v>10768</v>
      </c>
      <c r="H116" s="456">
        <v>11898</v>
      </c>
      <c r="I116" s="456">
        <v>13458</v>
      </c>
      <c r="J116" s="456">
        <v>14705</v>
      </c>
      <c r="K116" s="457">
        <v>15321</v>
      </c>
      <c r="L116" s="813">
        <v>15672</v>
      </c>
      <c r="M116" s="813">
        <v>15347</v>
      </c>
      <c r="N116" s="1125">
        <v>14696</v>
      </c>
      <c r="P116" s="265">
        <f t="shared" si="10"/>
        <v>4.2418713755131295E-2</v>
      </c>
      <c r="Q116" s="265">
        <f t="shared" si="11"/>
        <v>2.0737621235324143E-2</v>
      </c>
      <c r="R116" s="265">
        <f t="shared" si="12"/>
        <v>2.2909731740747993E-2</v>
      </c>
    </row>
    <row r="117" spans="1:18" ht="15.6" x14ac:dyDescent="0.3">
      <c r="A117" s="449" t="s">
        <v>180</v>
      </c>
      <c r="B117" s="452" t="s">
        <v>181</v>
      </c>
      <c r="C117" s="506" t="s">
        <v>252</v>
      </c>
      <c r="D117" s="456">
        <v>20721</v>
      </c>
      <c r="E117" s="456">
        <v>21598</v>
      </c>
      <c r="F117" s="456">
        <v>21494</v>
      </c>
      <c r="G117" s="456">
        <v>21648</v>
      </c>
      <c r="H117" s="456">
        <v>23784</v>
      </c>
      <c r="I117" s="456">
        <v>27393</v>
      </c>
      <c r="J117" s="456">
        <v>29895</v>
      </c>
      <c r="K117" s="457">
        <v>32370</v>
      </c>
      <c r="L117" s="813">
        <v>33997</v>
      </c>
      <c r="M117" s="813">
        <v>32765</v>
      </c>
      <c r="N117" s="1125">
        <v>31226</v>
      </c>
      <c r="P117" s="265">
        <f t="shared" si="10"/>
        <v>4.6970853044407145E-2</v>
      </c>
      <c r="Q117" s="265">
        <f t="shared" si="11"/>
        <v>3.6238491631614557E-2</v>
      </c>
      <c r="R117" s="265">
        <f t="shared" si="12"/>
        <v>5.0262588816805683E-2</v>
      </c>
    </row>
    <row r="118" spans="1:18" ht="15.6" x14ac:dyDescent="0.3">
      <c r="A118" s="449" t="s">
        <v>192</v>
      </c>
      <c r="B118" s="452" t="s">
        <v>193</v>
      </c>
      <c r="C118" s="506" t="s">
        <v>256</v>
      </c>
      <c r="D118" s="456">
        <v>1823</v>
      </c>
      <c r="E118" s="456">
        <v>1952</v>
      </c>
      <c r="F118" s="456">
        <v>1993</v>
      </c>
      <c r="G118" s="456">
        <v>2066</v>
      </c>
      <c r="H118" s="456">
        <v>2353</v>
      </c>
      <c r="I118" s="456">
        <v>2553</v>
      </c>
      <c r="J118" s="456">
        <v>2647</v>
      </c>
      <c r="K118" s="457">
        <v>2701</v>
      </c>
      <c r="L118" s="813">
        <v>2788</v>
      </c>
      <c r="M118" s="813">
        <v>2756</v>
      </c>
      <c r="N118" s="1125">
        <v>2609</v>
      </c>
      <c r="P118" s="265">
        <f t="shared" si="10"/>
        <v>5.3338171262699567E-2</v>
      </c>
      <c r="Q118" s="265">
        <f t="shared" si="11"/>
        <v>1.1477761836441894E-2</v>
      </c>
      <c r="R118" s="265">
        <f t="shared" si="12"/>
        <v>3.2210292484265088E-2</v>
      </c>
    </row>
    <row r="119" spans="1:18" ht="15.6" x14ac:dyDescent="0.3">
      <c r="A119" s="449" t="s">
        <v>196</v>
      </c>
      <c r="B119" s="452" t="s">
        <v>197</v>
      </c>
      <c r="C119" s="506" t="s">
        <v>254</v>
      </c>
      <c r="D119" s="456">
        <v>49423</v>
      </c>
      <c r="E119" s="456">
        <v>50881</v>
      </c>
      <c r="F119" s="456">
        <v>51055</v>
      </c>
      <c r="G119" s="456">
        <v>51410</v>
      </c>
      <c r="H119" s="456">
        <v>54502</v>
      </c>
      <c r="I119" s="456">
        <v>62670</v>
      </c>
      <c r="J119" s="456">
        <v>67983</v>
      </c>
      <c r="K119" s="457">
        <v>72851</v>
      </c>
      <c r="L119" s="813">
        <v>75700</v>
      </c>
      <c r="M119" s="813">
        <v>72640</v>
      </c>
      <c r="N119" s="1125">
        <v>68448</v>
      </c>
      <c r="P119" s="265">
        <f t="shared" si="10"/>
        <v>5.7709251101321586E-2</v>
      </c>
      <c r="Q119" s="265">
        <f t="shared" si="11"/>
        <v>4.0422721268163805E-2</v>
      </c>
      <c r="R119" s="265">
        <f t="shared" si="12"/>
        <v>3.9107218843941742E-2</v>
      </c>
    </row>
    <row r="120" spans="1:18" ht="15.6" x14ac:dyDescent="0.3">
      <c r="A120" s="449" t="s">
        <v>200</v>
      </c>
      <c r="B120" s="452" t="s">
        <v>201</v>
      </c>
      <c r="C120" s="506" t="s">
        <v>253</v>
      </c>
      <c r="D120" s="456">
        <v>19436</v>
      </c>
      <c r="E120" s="456">
        <v>20626</v>
      </c>
      <c r="F120" s="456">
        <v>21476</v>
      </c>
      <c r="G120" s="456">
        <v>22766</v>
      </c>
      <c r="H120" s="456">
        <v>25844</v>
      </c>
      <c r="I120" s="456">
        <v>29554</v>
      </c>
      <c r="J120" s="456">
        <v>31980</v>
      </c>
      <c r="K120" s="457">
        <v>34163</v>
      </c>
      <c r="L120" s="813">
        <v>36216</v>
      </c>
      <c r="M120" s="813">
        <v>35249</v>
      </c>
      <c r="N120" s="1125">
        <v>33600</v>
      </c>
      <c r="P120" s="265">
        <f t="shared" si="10"/>
        <v>4.6781468977843341E-2</v>
      </c>
      <c r="Q120" s="265">
        <f t="shared" si="11"/>
        <v>2.6700905677048817E-2</v>
      </c>
      <c r="R120" s="265">
        <f t="shared" si="12"/>
        <v>6.0094254017504317E-2</v>
      </c>
    </row>
    <row r="121" spans="1:18" ht="15.6" x14ac:dyDescent="0.3">
      <c r="A121" s="449" t="s">
        <v>222</v>
      </c>
      <c r="B121" s="532" t="s">
        <v>223</v>
      </c>
      <c r="C121" s="532" t="s">
        <v>252</v>
      </c>
      <c r="D121" s="533">
        <v>11261</v>
      </c>
      <c r="E121" s="533">
        <v>11423</v>
      </c>
      <c r="F121" s="533">
        <v>11272</v>
      </c>
      <c r="G121" s="533">
        <v>11546</v>
      </c>
      <c r="H121" s="533">
        <v>12901</v>
      </c>
      <c r="I121" s="533">
        <v>14825</v>
      </c>
      <c r="J121" s="533">
        <v>16549</v>
      </c>
      <c r="K121" s="813">
        <v>17699</v>
      </c>
      <c r="L121" s="813">
        <v>18547</v>
      </c>
      <c r="M121" s="813">
        <v>18249</v>
      </c>
      <c r="N121" s="1125">
        <v>17471</v>
      </c>
      <c r="P121" s="265">
        <f t="shared" si="10"/>
        <v>4.2632473012219847E-2</v>
      </c>
      <c r="Q121" s="265">
        <f t="shared" si="11"/>
        <v>1.6067288510271203E-2</v>
      </c>
      <c r="R121" s="265">
        <f t="shared" si="12"/>
        <v>4.7912311430024293E-2</v>
      </c>
    </row>
    <row r="122" spans="1:18" ht="15.6" x14ac:dyDescent="0.3">
      <c r="A122" s="449" t="s">
        <v>230</v>
      </c>
      <c r="B122" s="452" t="s">
        <v>231</v>
      </c>
      <c r="C122" s="506" t="s">
        <v>252</v>
      </c>
      <c r="D122" s="456">
        <v>28215</v>
      </c>
      <c r="E122" s="456">
        <v>28835</v>
      </c>
      <c r="F122" s="456">
        <v>27798</v>
      </c>
      <c r="G122" s="456">
        <v>29065</v>
      </c>
      <c r="H122" s="456">
        <v>34362</v>
      </c>
      <c r="I122" s="456">
        <v>43390</v>
      </c>
      <c r="J122" s="456">
        <v>48823</v>
      </c>
      <c r="K122" s="457">
        <v>53010</v>
      </c>
      <c r="L122" s="813">
        <v>54998</v>
      </c>
      <c r="M122" s="813">
        <v>54484</v>
      </c>
      <c r="N122" s="1125">
        <v>52144</v>
      </c>
      <c r="P122" s="265">
        <f t="shared" si="10"/>
        <v>4.2948388517729974E-2</v>
      </c>
      <c r="Q122" s="265">
        <f t="shared" si="11"/>
        <v>9.3457943925233638E-3</v>
      </c>
      <c r="R122" s="265">
        <f t="shared" si="12"/>
        <v>3.7502358045651767E-2</v>
      </c>
    </row>
    <row r="123" spans="1:18" ht="15.6" x14ac:dyDescent="0.3">
      <c r="A123" s="449" t="s">
        <v>238</v>
      </c>
      <c r="B123" s="452" t="s">
        <v>239</v>
      </c>
      <c r="C123" s="506" t="s">
        <v>252</v>
      </c>
      <c r="D123" s="456">
        <v>857</v>
      </c>
      <c r="E123" s="456">
        <v>991</v>
      </c>
      <c r="F123" s="456">
        <v>953</v>
      </c>
      <c r="G123" s="456">
        <v>1015</v>
      </c>
      <c r="H123" s="456">
        <v>1223</v>
      </c>
      <c r="I123" s="456">
        <v>1515</v>
      </c>
      <c r="J123" s="456">
        <v>1885</v>
      </c>
      <c r="K123" s="457">
        <v>1929</v>
      </c>
      <c r="L123" s="813">
        <v>2096</v>
      </c>
      <c r="M123" s="813">
        <v>2072</v>
      </c>
      <c r="N123" s="1125">
        <v>2012</v>
      </c>
      <c r="P123" s="265">
        <f t="shared" si="10"/>
        <v>2.8957528957528959E-2</v>
      </c>
      <c r="Q123" s="265">
        <f t="shared" si="11"/>
        <v>1.1450381679389313E-2</v>
      </c>
      <c r="R123" s="265">
        <f t="shared" si="12"/>
        <v>8.6573354069466049E-2</v>
      </c>
    </row>
    <row r="124" spans="1:18" ht="15.6" x14ac:dyDescent="0.3">
      <c r="A124" s="450" t="s">
        <v>240</v>
      </c>
      <c r="B124" s="453" t="s">
        <v>241</v>
      </c>
      <c r="C124" s="453" t="s">
        <v>255</v>
      </c>
      <c r="D124" s="458">
        <v>3348</v>
      </c>
      <c r="E124" s="458">
        <v>3421</v>
      </c>
      <c r="F124" s="458">
        <v>3674</v>
      </c>
      <c r="G124" s="458">
        <v>4204</v>
      </c>
      <c r="H124" s="458">
        <v>5542</v>
      </c>
      <c r="I124" s="458">
        <v>6778</v>
      </c>
      <c r="J124" s="458">
        <v>7510</v>
      </c>
      <c r="K124" s="814">
        <v>7681</v>
      </c>
      <c r="L124" s="814">
        <v>7964</v>
      </c>
      <c r="M124" s="814">
        <v>7441</v>
      </c>
      <c r="N124" s="1125">
        <v>6819</v>
      </c>
      <c r="P124" s="265">
        <f t="shared" si="10"/>
        <v>8.3590915199569946E-2</v>
      </c>
      <c r="Q124" s="265">
        <f t="shared" si="11"/>
        <v>6.5670517327975894E-2</v>
      </c>
      <c r="R124" s="265">
        <f t="shared" si="12"/>
        <v>3.6844160916547325E-2</v>
      </c>
    </row>
    <row r="126" spans="1:18" ht="34.5" customHeight="1" x14ac:dyDescent="0.3">
      <c r="A126" s="2737" t="s">
        <v>802</v>
      </c>
      <c r="B126" s="2737"/>
      <c r="C126" s="2737"/>
      <c r="D126" s="2737"/>
      <c r="E126" s="2737"/>
      <c r="F126" s="2737"/>
      <c r="G126" s="2737"/>
      <c r="H126" s="2737"/>
      <c r="I126" s="2737"/>
      <c r="J126" s="2737"/>
      <c r="K126" s="2737"/>
      <c r="L126" s="2737"/>
      <c r="M126" s="894"/>
      <c r="N126" s="1117"/>
    </row>
    <row r="128" spans="1:18" s="359" customFormat="1" ht="15.6" x14ac:dyDescent="0.3">
      <c r="A128" s="359" t="s">
        <v>248</v>
      </c>
    </row>
    <row r="129" spans="1:3" s="359" customFormat="1" ht="15.6" x14ac:dyDescent="0.3">
      <c r="A129" s="360" t="s">
        <v>249</v>
      </c>
      <c r="B129" s="361" t="s">
        <v>250</v>
      </c>
      <c r="C129" s="361"/>
    </row>
  </sheetData>
  <autoFilter ref="A3:C3"/>
  <sortState ref="A5:U124">
    <sortCondition ref="A5:A124"/>
  </sortState>
  <mergeCells count="1">
    <mergeCell ref="A126:L126"/>
  </mergeCells>
  <hyperlinks>
    <hyperlink ref="B129" r:id="rId1"/>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ColWidth="9" defaultRowHeight="15.6" x14ac:dyDescent="0.3"/>
  <cols>
    <col min="1" max="1" width="9" style="441"/>
    <col min="2" max="2" width="33.296875" style="441" customWidth="1"/>
    <col min="3" max="3" width="16.69921875" style="441" customWidth="1"/>
    <col min="4" max="4" width="7.19921875" style="441" customWidth="1"/>
    <col min="5" max="6" width="9.09765625" style="441" bestFit="1" customWidth="1"/>
    <col min="7" max="7" width="9.796875" style="441" bestFit="1" customWidth="1"/>
    <col min="8" max="15" width="10.09765625" style="441" bestFit="1" customWidth="1"/>
    <col min="16" max="16" width="11.09765625" style="441" bestFit="1" customWidth="1"/>
    <col min="17" max="16384" width="9" style="441"/>
  </cols>
  <sheetData>
    <row r="1" spans="1:16" ht="12.75" customHeight="1" x14ac:dyDescent="0.3">
      <c r="A1" s="253" t="s">
        <v>1058</v>
      </c>
    </row>
    <row r="3" spans="1:16" ht="53.25" customHeight="1" x14ac:dyDescent="0.3">
      <c r="A3" s="446" t="s">
        <v>4</v>
      </c>
      <c r="B3" s="503" t="s">
        <v>5</v>
      </c>
      <c r="C3" s="503" t="s">
        <v>251</v>
      </c>
      <c r="D3" s="1376">
        <v>43282</v>
      </c>
      <c r="E3" s="1376">
        <v>43313</v>
      </c>
      <c r="F3" s="1376">
        <v>43344</v>
      </c>
      <c r="G3" s="1376">
        <v>43374</v>
      </c>
      <c r="H3" s="1376">
        <v>43405</v>
      </c>
      <c r="I3" s="1376">
        <v>43435</v>
      </c>
      <c r="J3" s="1376">
        <v>43466</v>
      </c>
      <c r="K3" s="1376">
        <v>43497</v>
      </c>
      <c r="L3" s="1376">
        <v>43525</v>
      </c>
      <c r="M3" s="1376">
        <v>43556</v>
      </c>
      <c r="N3" s="1376">
        <v>43586</v>
      </c>
      <c r="O3" s="1376">
        <v>43617</v>
      </c>
      <c r="P3" s="1377" t="s">
        <v>1059</v>
      </c>
    </row>
    <row r="4" spans="1:16" x14ac:dyDescent="0.3">
      <c r="A4" s="528">
        <v>999</v>
      </c>
      <c r="B4" s="529" t="s">
        <v>9</v>
      </c>
      <c r="C4" s="529"/>
      <c r="D4" s="1378">
        <f>SUM(D5:D124)</f>
        <v>23180</v>
      </c>
      <c r="E4" s="1379">
        <f t="shared" ref="E4:P4" si="0">SUM(E5:E124)</f>
        <v>24803</v>
      </c>
      <c r="F4" s="1379">
        <f t="shared" si="0"/>
        <v>19983</v>
      </c>
      <c r="G4" s="1379">
        <f t="shared" si="0"/>
        <v>24457</v>
      </c>
      <c r="H4" s="1380">
        <f t="shared" si="0"/>
        <v>22941</v>
      </c>
      <c r="I4" s="1380">
        <f t="shared" si="0"/>
        <v>20153</v>
      </c>
      <c r="J4" s="1380">
        <f t="shared" si="0"/>
        <v>26955</v>
      </c>
      <c r="K4" s="1380">
        <f t="shared" si="0"/>
        <v>20162</v>
      </c>
      <c r="L4" s="1380">
        <f t="shared" si="0"/>
        <v>20958</v>
      </c>
      <c r="M4" s="1380">
        <f t="shared" si="0"/>
        <v>22267</v>
      </c>
      <c r="N4" s="1380">
        <f t="shared" si="0"/>
        <v>23535</v>
      </c>
      <c r="O4" s="1380">
        <f t="shared" si="0"/>
        <v>22848</v>
      </c>
      <c r="P4" s="1380">
        <f t="shared" si="0"/>
        <v>272242</v>
      </c>
    </row>
    <row r="5" spans="1:16" x14ac:dyDescent="0.3">
      <c r="A5" s="448" t="s">
        <v>10</v>
      </c>
      <c r="B5" s="505" t="s">
        <v>11</v>
      </c>
      <c r="C5" s="505" t="s">
        <v>252</v>
      </c>
      <c r="D5" s="266">
        <v>148</v>
      </c>
      <c r="E5" s="266">
        <v>142</v>
      </c>
      <c r="F5" s="266">
        <v>158</v>
      </c>
      <c r="G5" s="266">
        <v>161</v>
      </c>
      <c r="H5" s="266">
        <v>150</v>
      </c>
      <c r="I5" s="266">
        <v>110</v>
      </c>
      <c r="J5" s="266">
        <v>170</v>
      </c>
      <c r="K5" s="266">
        <v>112</v>
      </c>
      <c r="L5" s="266">
        <v>110</v>
      </c>
      <c r="M5" s="266">
        <v>111</v>
      </c>
      <c r="N5" s="266">
        <v>98</v>
      </c>
      <c r="O5" s="266">
        <v>103</v>
      </c>
      <c r="P5" s="266">
        <f t="shared" ref="P5:P36" si="1">SUM(D5:O5)</f>
        <v>1573</v>
      </c>
    </row>
    <row r="6" spans="1:16" x14ac:dyDescent="0.3">
      <c r="A6" s="449" t="s">
        <v>12</v>
      </c>
      <c r="B6" s="532" t="s">
        <v>13</v>
      </c>
      <c r="C6" s="532" t="s">
        <v>253</v>
      </c>
      <c r="D6" s="266">
        <v>159</v>
      </c>
      <c r="E6" s="266">
        <v>193</v>
      </c>
      <c r="F6" s="266">
        <v>134</v>
      </c>
      <c r="G6" s="266">
        <v>168</v>
      </c>
      <c r="H6" s="266">
        <v>176</v>
      </c>
      <c r="I6" s="266">
        <v>172</v>
      </c>
      <c r="J6" s="266">
        <v>194</v>
      </c>
      <c r="K6" s="266">
        <v>153</v>
      </c>
      <c r="L6" s="266">
        <v>178</v>
      </c>
      <c r="M6" s="266">
        <v>164</v>
      </c>
      <c r="N6" s="266">
        <v>169</v>
      </c>
      <c r="O6" s="266">
        <v>183</v>
      </c>
      <c r="P6" s="266">
        <f t="shared" si="1"/>
        <v>2043</v>
      </c>
    </row>
    <row r="7" spans="1:16" x14ac:dyDescent="0.3">
      <c r="A7" s="449" t="s">
        <v>16</v>
      </c>
      <c r="B7" s="532" t="s">
        <v>285</v>
      </c>
      <c r="C7" s="532" t="s">
        <v>253</v>
      </c>
      <c r="D7" s="266">
        <v>87</v>
      </c>
      <c r="E7" s="266">
        <v>68</v>
      </c>
      <c r="F7" s="266">
        <v>64</v>
      </c>
      <c r="G7" s="266">
        <v>62</v>
      </c>
      <c r="H7" s="266">
        <v>79</v>
      </c>
      <c r="I7" s="266">
        <v>64</v>
      </c>
      <c r="J7" s="266">
        <v>96</v>
      </c>
      <c r="K7" s="266">
        <v>66</v>
      </c>
      <c r="L7" s="266">
        <v>51</v>
      </c>
      <c r="M7" s="266">
        <v>65</v>
      </c>
      <c r="N7" s="266">
        <v>71</v>
      </c>
      <c r="O7" s="266">
        <v>55</v>
      </c>
      <c r="P7" s="266">
        <f t="shared" si="1"/>
        <v>828</v>
      </c>
    </row>
    <row r="8" spans="1:16" x14ac:dyDescent="0.3">
      <c r="A8" s="449" t="s">
        <v>18</v>
      </c>
      <c r="B8" s="532" t="s">
        <v>19</v>
      </c>
      <c r="C8" s="532" t="s">
        <v>254</v>
      </c>
      <c r="D8" s="266">
        <v>28</v>
      </c>
      <c r="E8" s="266">
        <v>30</v>
      </c>
      <c r="F8" s="266">
        <v>37</v>
      </c>
      <c r="G8" s="266">
        <v>52</v>
      </c>
      <c r="H8" s="266">
        <v>36</v>
      </c>
      <c r="I8" s="266">
        <v>32</v>
      </c>
      <c r="J8" s="266">
        <v>43</v>
      </c>
      <c r="K8" s="266">
        <v>23</v>
      </c>
      <c r="L8" s="266">
        <v>29</v>
      </c>
      <c r="M8" s="266">
        <v>38</v>
      </c>
      <c r="N8" s="266">
        <v>40</v>
      </c>
      <c r="O8" s="266">
        <v>29</v>
      </c>
      <c r="P8" s="266">
        <f t="shared" si="1"/>
        <v>417</v>
      </c>
    </row>
    <row r="9" spans="1:16" x14ac:dyDescent="0.3">
      <c r="A9" s="449" t="s">
        <v>20</v>
      </c>
      <c r="B9" s="532" t="s">
        <v>21</v>
      </c>
      <c r="C9" s="532" t="s">
        <v>253</v>
      </c>
      <c r="D9" s="266">
        <v>95</v>
      </c>
      <c r="E9" s="266">
        <v>81</v>
      </c>
      <c r="F9" s="266">
        <v>79</v>
      </c>
      <c r="G9" s="266">
        <v>104</v>
      </c>
      <c r="H9" s="266">
        <v>106</v>
      </c>
      <c r="I9" s="266">
        <v>86</v>
      </c>
      <c r="J9" s="266">
        <v>108</v>
      </c>
      <c r="K9" s="266">
        <v>86</v>
      </c>
      <c r="L9" s="266">
        <v>72</v>
      </c>
      <c r="M9" s="266">
        <v>73</v>
      </c>
      <c r="N9" s="266">
        <v>99</v>
      </c>
      <c r="O9" s="266">
        <v>83</v>
      </c>
      <c r="P9" s="266">
        <f t="shared" si="1"/>
        <v>1072</v>
      </c>
    </row>
    <row r="10" spans="1:16" x14ac:dyDescent="0.3">
      <c r="A10" s="449" t="s">
        <v>22</v>
      </c>
      <c r="B10" s="532" t="s">
        <v>23</v>
      </c>
      <c r="C10" s="532" t="s">
        <v>253</v>
      </c>
      <c r="D10" s="266">
        <v>47</v>
      </c>
      <c r="E10" s="266">
        <v>48</v>
      </c>
      <c r="F10" s="266">
        <v>48</v>
      </c>
      <c r="G10" s="266">
        <v>56</v>
      </c>
      <c r="H10" s="266">
        <v>56</v>
      </c>
      <c r="I10" s="266">
        <v>45</v>
      </c>
      <c r="J10" s="266">
        <v>72</v>
      </c>
      <c r="K10" s="266">
        <v>48</v>
      </c>
      <c r="L10" s="266">
        <v>64</v>
      </c>
      <c r="M10" s="266">
        <v>40</v>
      </c>
      <c r="N10" s="266">
        <v>53</v>
      </c>
      <c r="O10" s="266">
        <v>66</v>
      </c>
      <c r="P10" s="266">
        <f t="shared" si="1"/>
        <v>643</v>
      </c>
    </row>
    <row r="11" spans="1:16" x14ac:dyDescent="0.3">
      <c r="A11" s="449" t="s">
        <v>24</v>
      </c>
      <c r="B11" s="532" t="s">
        <v>25</v>
      </c>
      <c r="C11" s="532" t="s">
        <v>255</v>
      </c>
      <c r="D11" s="266">
        <v>241</v>
      </c>
      <c r="E11" s="266">
        <v>211</v>
      </c>
      <c r="F11" s="266">
        <v>185</v>
      </c>
      <c r="G11" s="266">
        <v>183</v>
      </c>
      <c r="H11" s="266">
        <v>188</v>
      </c>
      <c r="I11" s="266">
        <v>197</v>
      </c>
      <c r="J11" s="266">
        <v>218</v>
      </c>
      <c r="K11" s="266">
        <v>189</v>
      </c>
      <c r="L11" s="266">
        <v>164</v>
      </c>
      <c r="M11" s="266">
        <v>189</v>
      </c>
      <c r="N11" s="266">
        <v>169</v>
      </c>
      <c r="O11" s="266">
        <v>196</v>
      </c>
      <c r="P11" s="266">
        <f t="shared" si="1"/>
        <v>2330</v>
      </c>
    </row>
    <row r="12" spans="1:16" x14ac:dyDescent="0.3">
      <c r="A12" s="449" t="s">
        <v>26</v>
      </c>
      <c r="B12" s="532" t="s">
        <v>547</v>
      </c>
      <c r="C12" s="532" t="s">
        <v>253</v>
      </c>
      <c r="D12" s="266">
        <v>388</v>
      </c>
      <c r="E12" s="266">
        <v>429</v>
      </c>
      <c r="F12" s="266">
        <v>274</v>
      </c>
      <c r="G12" s="266">
        <v>361</v>
      </c>
      <c r="H12" s="266">
        <v>422</v>
      </c>
      <c r="I12" s="266">
        <v>318</v>
      </c>
      <c r="J12" s="266">
        <v>362</v>
      </c>
      <c r="K12" s="266">
        <v>285</v>
      </c>
      <c r="L12" s="266">
        <v>283</v>
      </c>
      <c r="M12" s="266">
        <v>322</v>
      </c>
      <c r="N12" s="266">
        <v>362</v>
      </c>
      <c r="O12" s="266">
        <v>371</v>
      </c>
      <c r="P12" s="266">
        <f t="shared" si="1"/>
        <v>4177</v>
      </c>
    </row>
    <row r="13" spans="1:16" x14ac:dyDescent="0.3">
      <c r="A13" s="449" t="s">
        <v>27</v>
      </c>
      <c r="B13" s="532" t="s">
        <v>28</v>
      </c>
      <c r="C13" s="532" t="s">
        <v>253</v>
      </c>
      <c r="D13" s="266">
        <v>9</v>
      </c>
      <c r="E13" s="266">
        <v>9</v>
      </c>
      <c r="F13" s="266">
        <v>2</v>
      </c>
      <c r="G13" s="266">
        <v>11</v>
      </c>
      <c r="H13" s="266">
        <v>12</v>
      </c>
      <c r="I13" s="266">
        <v>9</v>
      </c>
      <c r="J13" s="266">
        <v>12</v>
      </c>
      <c r="K13" s="266">
        <v>12</v>
      </c>
      <c r="L13" s="266">
        <v>10</v>
      </c>
      <c r="M13" s="266">
        <v>12</v>
      </c>
      <c r="N13" s="266">
        <v>9</v>
      </c>
      <c r="O13" s="266">
        <v>9</v>
      </c>
      <c r="P13" s="266">
        <f t="shared" si="1"/>
        <v>116</v>
      </c>
    </row>
    <row r="14" spans="1:16" x14ac:dyDescent="0.3">
      <c r="A14" s="449" t="s">
        <v>29</v>
      </c>
      <c r="B14" s="532" t="s">
        <v>736</v>
      </c>
      <c r="C14" s="532" t="s">
        <v>253</v>
      </c>
      <c r="D14" s="266">
        <v>178</v>
      </c>
      <c r="E14" s="266">
        <v>189</v>
      </c>
      <c r="F14" s="266">
        <v>160</v>
      </c>
      <c r="G14" s="266">
        <v>180</v>
      </c>
      <c r="H14" s="266">
        <v>193</v>
      </c>
      <c r="I14" s="266">
        <v>145</v>
      </c>
      <c r="J14" s="266">
        <v>193</v>
      </c>
      <c r="K14" s="266">
        <v>160</v>
      </c>
      <c r="L14" s="266">
        <v>167</v>
      </c>
      <c r="M14" s="266">
        <v>148</v>
      </c>
      <c r="N14" s="266">
        <v>175</v>
      </c>
      <c r="O14" s="266">
        <v>170</v>
      </c>
      <c r="P14" s="266">
        <f t="shared" si="1"/>
        <v>2058</v>
      </c>
    </row>
    <row r="15" spans="1:16" x14ac:dyDescent="0.3">
      <c r="A15" s="449" t="s">
        <v>30</v>
      </c>
      <c r="B15" s="532" t="s">
        <v>31</v>
      </c>
      <c r="C15" s="532" t="s">
        <v>256</v>
      </c>
      <c r="D15" s="266">
        <v>14</v>
      </c>
      <c r="E15" s="266">
        <v>10</v>
      </c>
      <c r="F15" s="266">
        <v>11</v>
      </c>
      <c r="G15" s="266">
        <v>11</v>
      </c>
      <c r="H15" s="266">
        <v>11</v>
      </c>
      <c r="I15" s="266">
        <v>7</v>
      </c>
      <c r="J15" s="266">
        <v>11</v>
      </c>
      <c r="K15" s="266">
        <v>9</v>
      </c>
      <c r="L15" s="266">
        <v>15</v>
      </c>
      <c r="M15" s="266">
        <v>10</v>
      </c>
      <c r="N15" s="266">
        <v>15</v>
      </c>
      <c r="O15" s="266">
        <v>9</v>
      </c>
      <c r="P15" s="266">
        <f t="shared" si="1"/>
        <v>133</v>
      </c>
    </row>
    <row r="16" spans="1:16" x14ac:dyDescent="0.3">
      <c r="A16" s="449" t="s">
        <v>32</v>
      </c>
      <c r="B16" s="532" t="s">
        <v>33</v>
      </c>
      <c r="C16" s="532" t="s">
        <v>253</v>
      </c>
      <c r="D16" s="266">
        <v>49</v>
      </c>
      <c r="E16" s="266">
        <v>56</v>
      </c>
      <c r="F16" s="266">
        <v>37</v>
      </c>
      <c r="G16" s="266">
        <v>63</v>
      </c>
      <c r="H16" s="266">
        <v>51</v>
      </c>
      <c r="I16" s="266">
        <v>28</v>
      </c>
      <c r="J16" s="266">
        <v>47</v>
      </c>
      <c r="K16" s="266">
        <v>38</v>
      </c>
      <c r="L16" s="266">
        <v>43</v>
      </c>
      <c r="M16" s="266">
        <v>48</v>
      </c>
      <c r="N16" s="266">
        <v>51</v>
      </c>
      <c r="O16" s="266">
        <v>59</v>
      </c>
      <c r="P16" s="266">
        <f t="shared" si="1"/>
        <v>570</v>
      </c>
    </row>
    <row r="17" spans="1:16" x14ac:dyDescent="0.3">
      <c r="A17" s="449" t="s">
        <v>36</v>
      </c>
      <c r="B17" s="532" t="s">
        <v>37</v>
      </c>
      <c r="C17" s="532" t="s">
        <v>252</v>
      </c>
      <c r="D17" s="266">
        <v>88</v>
      </c>
      <c r="E17" s="266">
        <v>81</v>
      </c>
      <c r="F17" s="266">
        <v>65</v>
      </c>
      <c r="G17" s="266">
        <v>77</v>
      </c>
      <c r="H17" s="266">
        <v>76</v>
      </c>
      <c r="I17" s="266">
        <v>58</v>
      </c>
      <c r="J17" s="266">
        <v>89</v>
      </c>
      <c r="K17" s="266">
        <v>69</v>
      </c>
      <c r="L17" s="266">
        <v>77</v>
      </c>
      <c r="M17" s="266">
        <v>70</v>
      </c>
      <c r="N17" s="266">
        <v>89</v>
      </c>
      <c r="O17" s="266">
        <v>90</v>
      </c>
      <c r="P17" s="266">
        <f t="shared" si="1"/>
        <v>929</v>
      </c>
    </row>
    <row r="18" spans="1:16" x14ac:dyDescent="0.3">
      <c r="A18" s="449" t="s">
        <v>38</v>
      </c>
      <c r="B18" s="532" t="s">
        <v>39</v>
      </c>
      <c r="C18" s="532" t="s">
        <v>256</v>
      </c>
      <c r="D18" s="266">
        <v>83</v>
      </c>
      <c r="E18" s="266">
        <v>76</v>
      </c>
      <c r="F18" s="266">
        <v>61</v>
      </c>
      <c r="G18" s="266">
        <v>79</v>
      </c>
      <c r="H18" s="266">
        <v>71</v>
      </c>
      <c r="I18" s="266">
        <v>73</v>
      </c>
      <c r="J18" s="266">
        <v>104</v>
      </c>
      <c r="K18" s="266">
        <v>90</v>
      </c>
      <c r="L18" s="266">
        <v>75</v>
      </c>
      <c r="M18" s="266">
        <v>63</v>
      </c>
      <c r="N18" s="266">
        <v>63</v>
      </c>
      <c r="O18" s="266">
        <v>79</v>
      </c>
      <c r="P18" s="266">
        <f t="shared" si="1"/>
        <v>917</v>
      </c>
    </row>
    <row r="19" spans="1:16" x14ac:dyDescent="0.3">
      <c r="A19" s="449" t="s">
        <v>40</v>
      </c>
      <c r="B19" s="532" t="s">
        <v>41</v>
      </c>
      <c r="C19" s="532" t="s">
        <v>254</v>
      </c>
      <c r="D19" s="266">
        <v>61</v>
      </c>
      <c r="E19" s="266">
        <v>57</v>
      </c>
      <c r="F19" s="266">
        <v>54</v>
      </c>
      <c r="G19" s="266">
        <v>67</v>
      </c>
      <c r="H19" s="266">
        <v>75</v>
      </c>
      <c r="I19" s="266">
        <v>49</v>
      </c>
      <c r="J19" s="266">
        <v>62</v>
      </c>
      <c r="K19" s="266">
        <v>36</v>
      </c>
      <c r="L19" s="266">
        <v>47</v>
      </c>
      <c r="M19" s="266">
        <v>56</v>
      </c>
      <c r="N19" s="266">
        <v>46</v>
      </c>
      <c r="O19" s="266">
        <v>66</v>
      </c>
      <c r="P19" s="266">
        <f t="shared" si="1"/>
        <v>676</v>
      </c>
    </row>
    <row r="20" spans="1:16" x14ac:dyDescent="0.3">
      <c r="A20" s="449" t="s">
        <v>42</v>
      </c>
      <c r="B20" s="532" t="s">
        <v>43</v>
      </c>
      <c r="C20" s="532" t="s">
        <v>253</v>
      </c>
      <c r="D20" s="266">
        <v>139</v>
      </c>
      <c r="E20" s="266">
        <v>173</v>
      </c>
      <c r="F20" s="266">
        <v>139</v>
      </c>
      <c r="G20" s="266">
        <v>160</v>
      </c>
      <c r="H20" s="266">
        <v>149</v>
      </c>
      <c r="I20" s="266">
        <v>124</v>
      </c>
      <c r="J20" s="266">
        <v>186</v>
      </c>
      <c r="K20" s="266">
        <v>156</v>
      </c>
      <c r="L20" s="266">
        <v>151</v>
      </c>
      <c r="M20" s="266">
        <v>156</v>
      </c>
      <c r="N20" s="266">
        <v>143</v>
      </c>
      <c r="O20" s="266">
        <v>179</v>
      </c>
      <c r="P20" s="266">
        <f t="shared" si="1"/>
        <v>1855</v>
      </c>
    </row>
    <row r="21" spans="1:16" x14ac:dyDescent="0.3">
      <c r="A21" s="449" t="s">
        <v>44</v>
      </c>
      <c r="B21" s="532" t="s">
        <v>45</v>
      </c>
      <c r="C21" s="532" t="s">
        <v>254</v>
      </c>
      <c r="D21" s="266">
        <v>98</v>
      </c>
      <c r="E21" s="266">
        <v>119</v>
      </c>
      <c r="F21" s="266">
        <v>79</v>
      </c>
      <c r="G21" s="266">
        <v>129</v>
      </c>
      <c r="H21" s="266">
        <v>123</v>
      </c>
      <c r="I21" s="266">
        <v>95</v>
      </c>
      <c r="J21" s="266">
        <v>120</v>
      </c>
      <c r="K21" s="266">
        <v>87</v>
      </c>
      <c r="L21" s="266">
        <v>89</v>
      </c>
      <c r="M21" s="266">
        <v>97</v>
      </c>
      <c r="N21" s="266">
        <v>114</v>
      </c>
      <c r="O21" s="266">
        <v>110</v>
      </c>
      <c r="P21" s="266">
        <f t="shared" si="1"/>
        <v>1260</v>
      </c>
    </row>
    <row r="22" spans="1:16" x14ac:dyDescent="0.3">
      <c r="A22" s="449" t="s">
        <v>46</v>
      </c>
      <c r="B22" s="532" t="s">
        <v>47</v>
      </c>
      <c r="C22" s="532" t="s">
        <v>256</v>
      </c>
      <c r="D22" s="266">
        <v>97</v>
      </c>
      <c r="E22" s="266">
        <v>104</v>
      </c>
      <c r="F22" s="266">
        <v>91</v>
      </c>
      <c r="G22" s="266">
        <v>111</v>
      </c>
      <c r="H22" s="266">
        <v>116</v>
      </c>
      <c r="I22" s="266">
        <v>90</v>
      </c>
      <c r="J22" s="266">
        <v>121</v>
      </c>
      <c r="K22" s="266">
        <v>81</v>
      </c>
      <c r="L22" s="266">
        <v>104</v>
      </c>
      <c r="M22" s="266">
        <v>81</v>
      </c>
      <c r="N22" s="266">
        <v>90</v>
      </c>
      <c r="O22" s="266">
        <v>90</v>
      </c>
      <c r="P22" s="266">
        <f t="shared" si="1"/>
        <v>1176</v>
      </c>
    </row>
    <row r="23" spans="1:16" x14ac:dyDescent="0.3">
      <c r="A23" s="449" t="s">
        <v>48</v>
      </c>
      <c r="B23" s="532" t="s">
        <v>257</v>
      </c>
      <c r="C23" s="532" t="s">
        <v>254</v>
      </c>
      <c r="D23" s="266">
        <v>17</v>
      </c>
      <c r="E23" s="266">
        <v>23</v>
      </c>
      <c r="F23" s="266">
        <v>16</v>
      </c>
      <c r="G23" s="266">
        <v>22</v>
      </c>
      <c r="H23" s="266">
        <v>20</v>
      </c>
      <c r="I23" s="266">
        <v>16</v>
      </c>
      <c r="J23" s="266">
        <v>25</v>
      </c>
      <c r="K23" s="266">
        <v>14</v>
      </c>
      <c r="L23" s="266">
        <v>10</v>
      </c>
      <c r="M23" s="266">
        <v>14</v>
      </c>
      <c r="N23" s="266">
        <v>20</v>
      </c>
      <c r="O23" s="266">
        <v>22</v>
      </c>
      <c r="P23" s="266">
        <f t="shared" si="1"/>
        <v>219</v>
      </c>
    </row>
    <row r="24" spans="1:16" x14ac:dyDescent="0.3">
      <c r="A24" s="449" t="s">
        <v>50</v>
      </c>
      <c r="B24" s="532" t="s">
        <v>51</v>
      </c>
      <c r="C24" s="532" t="s">
        <v>253</v>
      </c>
      <c r="D24" s="266">
        <v>40</v>
      </c>
      <c r="E24" s="266">
        <v>52</v>
      </c>
      <c r="F24" s="266">
        <v>43</v>
      </c>
      <c r="G24" s="266">
        <v>32</v>
      </c>
      <c r="H24" s="266">
        <v>43</v>
      </c>
      <c r="I24" s="266">
        <v>25</v>
      </c>
      <c r="J24" s="266">
        <v>42</v>
      </c>
      <c r="K24" s="266">
        <v>37</v>
      </c>
      <c r="L24" s="266">
        <v>35</v>
      </c>
      <c r="M24" s="266">
        <v>27</v>
      </c>
      <c r="N24" s="266">
        <v>30</v>
      </c>
      <c r="O24" s="266">
        <v>38</v>
      </c>
      <c r="P24" s="266">
        <f t="shared" si="1"/>
        <v>444</v>
      </c>
    </row>
    <row r="25" spans="1:16" x14ac:dyDescent="0.3">
      <c r="A25" s="449" t="s">
        <v>56</v>
      </c>
      <c r="B25" s="532" t="s">
        <v>283</v>
      </c>
      <c r="C25" s="532" t="s">
        <v>254</v>
      </c>
      <c r="D25" s="266">
        <v>894</v>
      </c>
      <c r="E25" s="266">
        <v>957</v>
      </c>
      <c r="F25" s="266">
        <v>792</v>
      </c>
      <c r="G25" s="266">
        <v>903</v>
      </c>
      <c r="H25" s="266">
        <v>897</v>
      </c>
      <c r="I25" s="266">
        <v>712</v>
      </c>
      <c r="J25" s="266">
        <v>993</v>
      </c>
      <c r="K25" s="266">
        <v>776</v>
      </c>
      <c r="L25" s="266">
        <v>803</v>
      </c>
      <c r="M25" s="266">
        <v>858</v>
      </c>
      <c r="N25" s="266">
        <v>940</v>
      </c>
      <c r="O25" s="266">
        <v>914</v>
      </c>
      <c r="P25" s="266">
        <f t="shared" si="1"/>
        <v>10439</v>
      </c>
    </row>
    <row r="26" spans="1:16" x14ac:dyDescent="0.3">
      <c r="A26" s="449" t="s">
        <v>58</v>
      </c>
      <c r="B26" s="532" t="s">
        <v>59</v>
      </c>
      <c r="C26" s="532" t="s">
        <v>255</v>
      </c>
      <c r="D26" s="266">
        <v>8</v>
      </c>
      <c r="E26" s="266">
        <v>24</v>
      </c>
      <c r="F26" s="266">
        <v>17</v>
      </c>
      <c r="G26" s="266">
        <v>10</v>
      </c>
      <c r="H26" s="266">
        <v>12</v>
      </c>
      <c r="I26" s="266">
        <v>8</v>
      </c>
      <c r="J26" s="266">
        <v>25</v>
      </c>
      <c r="K26" s="266">
        <v>24</v>
      </c>
      <c r="L26" s="266">
        <v>12</v>
      </c>
      <c r="M26" s="266">
        <v>12</v>
      </c>
      <c r="N26" s="266">
        <v>17</v>
      </c>
      <c r="O26" s="266">
        <v>16</v>
      </c>
      <c r="P26" s="266">
        <f t="shared" si="1"/>
        <v>185</v>
      </c>
    </row>
    <row r="27" spans="1:16" x14ac:dyDescent="0.3">
      <c r="A27" s="449" t="s">
        <v>60</v>
      </c>
      <c r="B27" s="532" t="s">
        <v>61</v>
      </c>
      <c r="C27" s="532" t="s">
        <v>253</v>
      </c>
      <c r="D27" s="266">
        <v>9</v>
      </c>
      <c r="E27" s="266">
        <v>18</v>
      </c>
      <c r="F27" s="266">
        <v>13</v>
      </c>
      <c r="G27" s="266">
        <v>11</v>
      </c>
      <c r="H27" s="266">
        <v>18</v>
      </c>
      <c r="I27" s="266">
        <v>10</v>
      </c>
      <c r="J27" s="266">
        <v>24</v>
      </c>
      <c r="K27" s="266">
        <v>12</v>
      </c>
      <c r="L27" s="266">
        <v>18</v>
      </c>
      <c r="M27" s="266">
        <v>15</v>
      </c>
      <c r="N27" s="266">
        <v>9</v>
      </c>
      <c r="O27" s="266">
        <v>12</v>
      </c>
      <c r="P27" s="266">
        <f t="shared" si="1"/>
        <v>169</v>
      </c>
    </row>
    <row r="28" spans="1:16" x14ac:dyDescent="0.3">
      <c r="A28" s="449" t="s">
        <v>62</v>
      </c>
      <c r="B28" s="532" t="s">
        <v>63</v>
      </c>
      <c r="C28" s="532" t="s">
        <v>255</v>
      </c>
      <c r="D28" s="266">
        <v>126</v>
      </c>
      <c r="E28" s="266">
        <v>137</v>
      </c>
      <c r="F28" s="266">
        <v>105</v>
      </c>
      <c r="G28" s="266">
        <v>130</v>
      </c>
      <c r="H28" s="266">
        <v>125</v>
      </c>
      <c r="I28" s="266">
        <v>115</v>
      </c>
      <c r="J28" s="266">
        <v>127</v>
      </c>
      <c r="K28" s="266">
        <v>106</v>
      </c>
      <c r="L28" s="266">
        <v>128</v>
      </c>
      <c r="M28" s="266">
        <v>102</v>
      </c>
      <c r="N28" s="266">
        <v>102</v>
      </c>
      <c r="O28" s="266">
        <v>113</v>
      </c>
      <c r="P28" s="266">
        <f t="shared" si="1"/>
        <v>1416</v>
      </c>
    </row>
    <row r="29" spans="1:16" x14ac:dyDescent="0.3">
      <c r="A29" s="449" t="s">
        <v>64</v>
      </c>
      <c r="B29" s="532" t="s">
        <v>65</v>
      </c>
      <c r="C29" s="532" t="s">
        <v>254</v>
      </c>
      <c r="D29" s="266">
        <v>34</v>
      </c>
      <c r="E29" s="266">
        <v>52</v>
      </c>
      <c r="F29" s="266">
        <v>16</v>
      </c>
      <c r="G29" s="266">
        <v>51</v>
      </c>
      <c r="H29" s="266">
        <v>25</v>
      </c>
      <c r="I29" s="266">
        <v>43</v>
      </c>
      <c r="J29" s="266">
        <v>45</v>
      </c>
      <c r="K29" s="266">
        <v>33</v>
      </c>
      <c r="L29" s="266">
        <v>33</v>
      </c>
      <c r="M29" s="266">
        <v>44</v>
      </c>
      <c r="N29" s="266">
        <v>41</v>
      </c>
      <c r="O29" s="266">
        <v>37</v>
      </c>
      <c r="P29" s="266">
        <f t="shared" si="1"/>
        <v>454</v>
      </c>
    </row>
    <row r="30" spans="1:16" x14ac:dyDescent="0.3">
      <c r="A30" s="449" t="s">
        <v>68</v>
      </c>
      <c r="B30" s="532" t="s">
        <v>69</v>
      </c>
      <c r="C30" s="532" t="s">
        <v>256</v>
      </c>
      <c r="D30" s="266">
        <v>53</v>
      </c>
      <c r="E30" s="266">
        <v>59</v>
      </c>
      <c r="F30" s="266">
        <v>58</v>
      </c>
      <c r="G30" s="266">
        <v>65</v>
      </c>
      <c r="H30" s="266">
        <v>65</v>
      </c>
      <c r="I30" s="266">
        <v>47</v>
      </c>
      <c r="J30" s="266">
        <v>68</v>
      </c>
      <c r="K30" s="266">
        <v>54</v>
      </c>
      <c r="L30" s="266">
        <v>48</v>
      </c>
      <c r="M30" s="266">
        <v>57</v>
      </c>
      <c r="N30" s="266">
        <v>53</v>
      </c>
      <c r="O30" s="266">
        <v>58</v>
      </c>
      <c r="P30" s="266">
        <f t="shared" si="1"/>
        <v>685</v>
      </c>
    </row>
    <row r="31" spans="1:16" x14ac:dyDescent="0.3">
      <c r="A31" s="449" t="s">
        <v>70</v>
      </c>
      <c r="B31" s="532" t="s">
        <v>71</v>
      </c>
      <c r="C31" s="532" t="s">
        <v>252</v>
      </c>
      <c r="D31" s="266">
        <v>92</v>
      </c>
      <c r="E31" s="266">
        <v>105</v>
      </c>
      <c r="F31" s="266">
        <v>101</v>
      </c>
      <c r="G31" s="266">
        <v>106</v>
      </c>
      <c r="H31" s="266">
        <v>122</v>
      </c>
      <c r="I31" s="266">
        <v>74</v>
      </c>
      <c r="J31" s="266">
        <v>125</v>
      </c>
      <c r="K31" s="266">
        <v>100</v>
      </c>
      <c r="L31" s="266">
        <v>97</v>
      </c>
      <c r="M31" s="266">
        <v>113</v>
      </c>
      <c r="N31" s="266">
        <v>107</v>
      </c>
      <c r="O31" s="266">
        <v>92</v>
      </c>
      <c r="P31" s="266">
        <f t="shared" si="1"/>
        <v>1234</v>
      </c>
    </row>
    <row r="32" spans="1:16" x14ac:dyDescent="0.3">
      <c r="A32" s="449" t="s">
        <v>72</v>
      </c>
      <c r="B32" s="532" t="s">
        <v>73</v>
      </c>
      <c r="C32" s="532" t="s">
        <v>254</v>
      </c>
      <c r="D32" s="266">
        <v>44</v>
      </c>
      <c r="E32" s="266">
        <v>45</v>
      </c>
      <c r="F32" s="266">
        <v>35</v>
      </c>
      <c r="G32" s="266">
        <v>43</v>
      </c>
      <c r="H32" s="266">
        <v>50</v>
      </c>
      <c r="I32" s="266">
        <v>42</v>
      </c>
      <c r="J32" s="266">
        <v>44</v>
      </c>
      <c r="K32" s="266">
        <v>38</v>
      </c>
      <c r="L32" s="266">
        <v>44</v>
      </c>
      <c r="M32" s="266">
        <v>51</v>
      </c>
      <c r="N32" s="266">
        <v>43</v>
      </c>
      <c r="O32" s="266">
        <v>43</v>
      </c>
      <c r="P32" s="266">
        <f t="shared" si="1"/>
        <v>522</v>
      </c>
    </row>
    <row r="33" spans="1:16" x14ac:dyDescent="0.3">
      <c r="A33" s="449" t="s">
        <v>74</v>
      </c>
      <c r="B33" s="532" t="s">
        <v>284</v>
      </c>
      <c r="C33" s="532" t="s">
        <v>255</v>
      </c>
      <c r="D33" s="266">
        <v>1580</v>
      </c>
      <c r="E33" s="266">
        <v>1685</v>
      </c>
      <c r="F33" s="266">
        <v>1465</v>
      </c>
      <c r="G33" s="266">
        <v>1542</v>
      </c>
      <c r="H33" s="266">
        <v>1424</v>
      </c>
      <c r="I33" s="266">
        <v>1509</v>
      </c>
      <c r="J33" s="266">
        <v>1766</v>
      </c>
      <c r="K33" s="266">
        <v>1503</v>
      </c>
      <c r="L33" s="266">
        <v>1433</v>
      </c>
      <c r="M33" s="266">
        <v>1447</v>
      </c>
      <c r="N33" s="266">
        <v>1398</v>
      </c>
      <c r="O33" s="266">
        <v>1342</v>
      </c>
      <c r="P33" s="266">
        <f t="shared" si="1"/>
        <v>18094</v>
      </c>
    </row>
    <row r="34" spans="1:16" x14ac:dyDescent="0.3">
      <c r="A34" s="449" t="s">
        <v>76</v>
      </c>
      <c r="B34" s="532" t="s">
        <v>77</v>
      </c>
      <c r="C34" s="532" t="s">
        <v>255</v>
      </c>
      <c r="D34" s="266">
        <v>119</v>
      </c>
      <c r="E34" s="266">
        <v>118</v>
      </c>
      <c r="F34" s="266">
        <v>80</v>
      </c>
      <c r="G34" s="266">
        <v>105</v>
      </c>
      <c r="H34" s="266">
        <v>113</v>
      </c>
      <c r="I34" s="266">
        <v>88</v>
      </c>
      <c r="J34" s="266">
        <v>131</v>
      </c>
      <c r="K34" s="266">
        <v>93</v>
      </c>
      <c r="L34" s="266">
        <v>90</v>
      </c>
      <c r="M34" s="266">
        <v>109</v>
      </c>
      <c r="N34" s="266">
        <v>84</v>
      </c>
      <c r="O34" s="266">
        <v>109</v>
      </c>
      <c r="P34" s="266">
        <f t="shared" si="1"/>
        <v>1239</v>
      </c>
    </row>
    <row r="35" spans="1:16" x14ac:dyDescent="0.3">
      <c r="A35" s="449" t="s">
        <v>78</v>
      </c>
      <c r="B35" s="532" t="s">
        <v>79</v>
      </c>
      <c r="C35" s="532" t="s">
        <v>256</v>
      </c>
      <c r="D35" s="266">
        <v>41</v>
      </c>
      <c r="E35" s="266">
        <v>52</v>
      </c>
      <c r="F35" s="266">
        <v>45</v>
      </c>
      <c r="G35" s="266">
        <v>43</v>
      </c>
      <c r="H35" s="266">
        <v>50</v>
      </c>
      <c r="I35" s="266">
        <v>39</v>
      </c>
      <c r="J35" s="266">
        <v>44</v>
      </c>
      <c r="K35" s="266">
        <v>37</v>
      </c>
      <c r="L35" s="266">
        <v>47</v>
      </c>
      <c r="M35" s="266">
        <v>41</v>
      </c>
      <c r="N35" s="266">
        <v>30</v>
      </c>
      <c r="O35" s="266">
        <v>37</v>
      </c>
      <c r="P35" s="266">
        <f t="shared" si="1"/>
        <v>506</v>
      </c>
    </row>
    <row r="36" spans="1:16" x14ac:dyDescent="0.3">
      <c r="A36" s="449" t="s">
        <v>80</v>
      </c>
      <c r="B36" s="532" t="s">
        <v>81</v>
      </c>
      <c r="C36" s="532" t="s">
        <v>254</v>
      </c>
      <c r="D36" s="266">
        <v>36</v>
      </c>
      <c r="E36" s="266">
        <v>52</v>
      </c>
      <c r="F36" s="266">
        <v>41</v>
      </c>
      <c r="G36" s="266">
        <v>38</v>
      </c>
      <c r="H36" s="266">
        <v>54</v>
      </c>
      <c r="I36" s="266">
        <v>54</v>
      </c>
      <c r="J36" s="266">
        <v>51</v>
      </c>
      <c r="K36" s="266">
        <v>42</v>
      </c>
      <c r="L36" s="266">
        <v>40</v>
      </c>
      <c r="M36" s="266">
        <v>35</v>
      </c>
      <c r="N36" s="266">
        <v>36</v>
      </c>
      <c r="O36" s="266">
        <v>54</v>
      </c>
      <c r="P36" s="266">
        <f t="shared" si="1"/>
        <v>533</v>
      </c>
    </row>
    <row r="37" spans="1:16" x14ac:dyDescent="0.3">
      <c r="A37" s="449" t="s">
        <v>84</v>
      </c>
      <c r="B37" s="532" t="s">
        <v>85</v>
      </c>
      <c r="C37" s="532" t="s">
        <v>253</v>
      </c>
      <c r="D37" s="266">
        <v>176</v>
      </c>
      <c r="E37" s="266">
        <v>166</v>
      </c>
      <c r="F37" s="266">
        <v>144</v>
      </c>
      <c r="G37" s="266">
        <v>149</v>
      </c>
      <c r="H37" s="266">
        <v>169</v>
      </c>
      <c r="I37" s="266">
        <v>140</v>
      </c>
      <c r="J37" s="266">
        <v>174</v>
      </c>
      <c r="K37" s="266">
        <v>143</v>
      </c>
      <c r="L37" s="266">
        <v>149</v>
      </c>
      <c r="M37" s="266">
        <v>140</v>
      </c>
      <c r="N37" s="266">
        <v>158</v>
      </c>
      <c r="O37" s="266">
        <v>146</v>
      </c>
      <c r="P37" s="266">
        <f t="shared" ref="P37:P68" si="2">SUM(D37:O37)</f>
        <v>1854</v>
      </c>
    </row>
    <row r="38" spans="1:16" x14ac:dyDescent="0.3">
      <c r="A38" s="449" t="s">
        <v>86</v>
      </c>
      <c r="B38" s="532" t="s">
        <v>87</v>
      </c>
      <c r="C38" s="532" t="s">
        <v>255</v>
      </c>
      <c r="D38" s="266">
        <v>153</v>
      </c>
      <c r="E38" s="266">
        <v>222</v>
      </c>
      <c r="F38" s="266">
        <v>146</v>
      </c>
      <c r="G38" s="266">
        <v>191</v>
      </c>
      <c r="H38" s="266">
        <v>182</v>
      </c>
      <c r="I38" s="266">
        <v>154</v>
      </c>
      <c r="J38" s="266">
        <v>238</v>
      </c>
      <c r="K38" s="266">
        <v>178</v>
      </c>
      <c r="L38" s="266">
        <v>134</v>
      </c>
      <c r="M38" s="266">
        <v>165</v>
      </c>
      <c r="N38" s="266">
        <v>178</v>
      </c>
      <c r="O38" s="266">
        <v>143</v>
      </c>
      <c r="P38" s="266">
        <f t="shared" si="2"/>
        <v>2084</v>
      </c>
    </row>
    <row r="39" spans="1:16" x14ac:dyDescent="0.3">
      <c r="A39" s="449" t="s">
        <v>92</v>
      </c>
      <c r="B39" s="532" t="s">
        <v>93</v>
      </c>
      <c r="C39" s="532" t="s">
        <v>256</v>
      </c>
      <c r="D39" s="266">
        <v>50</v>
      </c>
      <c r="E39" s="266">
        <v>53</v>
      </c>
      <c r="F39" s="266">
        <v>54</v>
      </c>
      <c r="G39" s="266">
        <v>58</v>
      </c>
      <c r="H39" s="266">
        <v>47</v>
      </c>
      <c r="I39" s="266">
        <v>39</v>
      </c>
      <c r="J39" s="266">
        <v>55</v>
      </c>
      <c r="K39" s="266">
        <v>54</v>
      </c>
      <c r="L39" s="266">
        <v>39</v>
      </c>
      <c r="M39" s="266">
        <v>37</v>
      </c>
      <c r="N39" s="266">
        <v>51</v>
      </c>
      <c r="O39" s="266">
        <v>46</v>
      </c>
      <c r="P39" s="266">
        <f t="shared" si="2"/>
        <v>583</v>
      </c>
    </row>
    <row r="40" spans="1:16" x14ac:dyDescent="0.3">
      <c r="A40" s="449" t="s">
        <v>94</v>
      </c>
      <c r="B40" s="532" t="s">
        <v>95</v>
      </c>
      <c r="C40" s="532" t="s">
        <v>252</v>
      </c>
      <c r="D40" s="266">
        <v>96</v>
      </c>
      <c r="E40" s="266">
        <v>120</v>
      </c>
      <c r="F40" s="266">
        <v>85</v>
      </c>
      <c r="G40" s="266">
        <v>105</v>
      </c>
      <c r="H40" s="266">
        <v>95</v>
      </c>
      <c r="I40" s="266">
        <v>94</v>
      </c>
      <c r="J40" s="266">
        <v>122</v>
      </c>
      <c r="K40" s="266">
        <v>96</v>
      </c>
      <c r="L40" s="266">
        <v>116</v>
      </c>
      <c r="M40" s="266">
        <v>92</v>
      </c>
      <c r="N40" s="266">
        <v>103</v>
      </c>
      <c r="O40" s="266">
        <v>90</v>
      </c>
      <c r="P40" s="266">
        <f t="shared" si="2"/>
        <v>1214</v>
      </c>
    </row>
    <row r="41" spans="1:16" x14ac:dyDescent="0.3">
      <c r="A41" s="449" t="s">
        <v>96</v>
      </c>
      <c r="B41" s="532" t="s">
        <v>97</v>
      </c>
      <c r="C41" s="532" t="s">
        <v>254</v>
      </c>
      <c r="D41" s="266">
        <v>32</v>
      </c>
      <c r="E41" s="266">
        <v>26</v>
      </c>
      <c r="F41" s="266">
        <v>32</v>
      </c>
      <c r="G41" s="266">
        <v>26</v>
      </c>
      <c r="H41" s="266">
        <v>36</v>
      </c>
      <c r="I41" s="266">
        <v>22</v>
      </c>
      <c r="J41" s="266">
        <v>25</v>
      </c>
      <c r="K41" s="266">
        <v>25</v>
      </c>
      <c r="L41" s="266">
        <v>19</v>
      </c>
      <c r="M41" s="266">
        <v>32</v>
      </c>
      <c r="N41" s="266">
        <v>19</v>
      </c>
      <c r="O41" s="266">
        <v>40</v>
      </c>
      <c r="P41" s="266">
        <f t="shared" si="2"/>
        <v>334</v>
      </c>
    </row>
    <row r="42" spans="1:16" x14ac:dyDescent="0.3">
      <c r="A42" s="449" t="s">
        <v>98</v>
      </c>
      <c r="B42" s="532" t="s">
        <v>99</v>
      </c>
      <c r="C42" s="532" t="s">
        <v>256</v>
      </c>
      <c r="D42" s="266">
        <v>47</v>
      </c>
      <c r="E42" s="266">
        <v>38</v>
      </c>
      <c r="F42" s="266">
        <v>38</v>
      </c>
      <c r="G42" s="266">
        <v>54</v>
      </c>
      <c r="H42" s="266">
        <v>38</v>
      </c>
      <c r="I42" s="266">
        <v>53</v>
      </c>
      <c r="J42" s="266">
        <v>50</v>
      </c>
      <c r="K42" s="266">
        <v>46</v>
      </c>
      <c r="L42" s="266">
        <v>47</v>
      </c>
      <c r="M42" s="266">
        <v>42</v>
      </c>
      <c r="N42" s="266">
        <v>50</v>
      </c>
      <c r="O42" s="266">
        <v>34</v>
      </c>
      <c r="P42" s="266">
        <f t="shared" si="2"/>
        <v>537</v>
      </c>
    </row>
    <row r="43" spans="1:16" x14ac:dyDescent="0.3">
      <c r="A43" s="449" t="s">
        <v>100</v>
      </c>
      <c r="B43" s="532" t="s">
        <v>101</v>
      </c>
      <c r="C43" s="532" t="s">
        <v>255</v>
      </c>
      <c r="D43" s="266">
        <v>33</v>
      </c>
      <c r="E43" s="266">
        <v>42</v>
      </c>
      <c r="F43" s="266">
        <v>28</v>
      </c>
      <c r="G43" s="266">
        <v>49</v>
      </c>
      <c r="H43" s="266">
        <v>39</v>
      </c>
      <c r="I43" s="266">
        <v>59</v>
      </c>
      <c r="J43" s="266">
        <v>45</v>
      </c>
      <c r="K43" s="266">
        <v>26</v>
      </c>
      <c r="L43" s="266">
        <v>42</v>
      </c>
      <c r="M43" s="266">
        <v>36</v>
      </c>
      <c r="N43" s="266">
        <v>56</v>
      </c>
      <c r="O43" s="266">
        <v>29</v>
      </c>
      <c r="P43" s="266">
        <f t="shared" si="2"/>
        <v>484</v>
      </c>
    </row>
    <row r="44" spans="1:16" x14ac:dyDescent="0.3">
      <c r="A44" s="449" t="s">
        <v>102</v>
      </c>
      <c r="B44" s="532" t="s">
        <v>270</v>
      </c>
      <c r="C44" s="532" t="s">
        <v>252</v>
      </c>
      <c r="D44" s="266">
        <v>78</v>
      </c>
      <c r="E44" s="266">
        <v>78</v>
      </c>
      <c r="F44" s="266">
        <v>66</v>
      </c>
      <c r="G44" s="266">
        <v>84</v>
      </c>
      <c r="H44" s="266">
        <v>97</v>
      </c>
      <c r="I44" s="266">
        <v>64</v>
      </c>
      <c r="J44" s="266">
        <v>91</v>
      </c>
      <c r="K44" s="266">
        <v>70</v>
      </c>
      <c r="L44" s="266">
        <v>70</v>
      </c>
      <c r="M44" s="266">
        <v>95</v>
      </c>
      <c r="N44" s="266">
        <v>94</v>
      </c>
      <c r="O44" s="266">
        <v>72</v>
      </c>
      <c r="P44" s="266">
        <f t="shared" si="2"/>
        <v>959</v>
      </c>
    </row>
    <row r="45" spans="1:16" x14ac:dyDescent="0.3">
      <c r="A45" s="449" t="s">
        <v>104</v>
      </c>
      <c r="B45" s="532" t="s">
        <v>105</v>
      </c>
      <c r="C45" s="532" t="s">
        <v>253</v>
      </c>
      <c r="D45" s="266">
        <v>124</v>
      </c>
      <c r="E45" s="266">
        <v>149</v>
      </c>
      <c r="F45" s="266">
        <v>108</v>
      </c>
      <c r="G45" s="266">
        <v>135</v>
      </c>
      <c r="H45" s="266">
        <v>138</v>
      </c>
      <c r="I45" s="266">
        <v>107</v>
      </c>
      <c r="J45" s="266">
        <v>141</v>
      </c>
      <c r="K45" s="266">
        <v>102</v>
      </c>
      <c r="L45" s="266">
        <v>131</v>
      </c>
      <c r="M45" s="266">
        <v>130</v>
      </c>
      <c r="N45" s="266">
        <v>143</v>
      </c>
      <c r="O45" s="266">
        <v>154</v>
      </c>
      <c r="P45" s="266">
        <f t="shared" si="2"/>
        <v>1562</v>
      </c>
    </row>
    <row r="46" spans="1:16" x14ac:dyDescent="0.3">
      <c r="A46" s="449" t="s">
        <v>108</v>
      </c>
      <c r="B46" s="532" t="s">
        <v>109</v>
      </c>
      <c r="C46" s="532" t="s">
        <v>254</v>
      </c>
      <c r="D46" s="266">
        <v>151</v>
      </c>
      <c r="E46" s="266">
        <v>164</v>
      </c>
      <c r="F46" s="266">
        <v>134</v>
      </c>
      <c r="G46" s="266">
        <v>163</v>
      </c>
      <c r="H46" s="266">
        <v>162</v>
      </c>
      <c r="I46" s="266">
        <v>141</v>
      </c>
      <c r="J46" s="266">
        <v>177</v>
      </c>
      <c r="K46" s="266">
        <v>155</v>
      </c>
      <c r="L46" s="266">
        <v>140</v>
      </c>
      <c r="M46" s="266">
        <v>133</v>
      </c>
      <c r="N46" s="266">
        <v>137</v>
      </c>
      <c r="O46" s="266">
        <v>132</v>
      </c>
      <c r="P46" s="266">
        <f t="shared" si="2"/>
        <v>1789</v>
      </c>
    </row>
    <row r="47" spans="1:16" x14ac:dyDescent="0.3">
      <c r="A47" s="449" t="s">
        <v>110</v>
      </c>
      <c r="B47" s="532" t="s">
        <v>111</v>
      </c>
      <c r="C47" s="532" t="s">
        <v>254</v>
      </c>
      <c r="D47" s="266">
        <v>999</v>
      </c>
      <c r="E47" s="266">
        <v>1071</v>
      </c>
      <c r="F47" s="266">
        <v>900</v>
      </c>
      <c r="G47" s="266">
        <v>1047</v>
      </c>
      <c r="H47" s="266">
        <v>974</v>
      </c>
      <c r="I47" s="266">
        <v>813</v>
      </c>
      <c r="J47" s="266">
        <v>1130</v>
      </c>
      <c r="K47" s="266">
        <v>833</v>
      </c>
      <c r="L47" s="266">
        <v>908</v>
      </c>
      <c r="M47" s="266">
        <v>976</v>
      </c>
      <c r="N47" s="266">
        <v>1026</v>
      </c>
      <c r="O47" s="266">
        <v>1082</v>
      </c>
      <c r="P47" s="266">
        <f t="shared" si="2"/>
        <v>11759</v>
      </c>
    </row>
    <row r="48" spans="1:16" x14ac:dyDescent="0.3">
      <c r="A48" s="449" t="s">
        <v>112</v>
      </c>
      <c r="B48" s="532" t="s">
        <v>288</v>
      </c>
      <c r="C48" s="532" t="s">
        <v>253</v>
      </c>
      <c r="D48" s="266">
        <v>336</v>
      </c>
      <c r="E48" s="266">
        <v>311</v>
      </c>
      <c r="F48" s="266">
        <v>237</v>
      </c>
      <c r="G48" s="266">
        <v>317</v>
      </c>
      <c r="H48" s="266">
        <v>310</v>
      </c>
      <c r="I48" s="266">
        <v>264</v>
      </c>
      <c r="J48" s="266">
        <v>385</v>
      </c>
      <c r="K48" s="266">
        <v>257</v>
      </c>
      <c r="L48" s="266">
        <v>326</v>
      </c>
      <c r="M48" s="266">
        <v>387</v>
      </c>
      <c r="N48" s="266">
        <v>356</v>
      </c>
      <c r="O48" s="266">
        <v>291</v>
      </c>
      <c r="P48" s="266">
        <f t="shared" si="2"/>
        <v>3777</v>
      </c>
    </row>
    <row r="49" spans="1:16" x14ac:dyDescent="0.3">
      <c r="A49" s="449" t="s">
        <v>114</v>
      </c>
      <c r="B49" s="532" t="s">
        <v>115</v>
      </c>
      <c r="C49" s="532" t="s">
        <v>253</v>
      </c>
      <c r="D49" s="266">
        <v>1</v>
      </c>
      <c r="E49" s="266">
        <v>2</v>
      </c>
      <c r="F49" s="266">
        <v>2</v>
      </c>
      <c r="G49" s="266">
        <v>2</v>
      </c>
      <c r="H49" s="266">
        <v>3</v>
      </c>
      <c r="I49" s="266">
        <v>5</v>
      </c>
      <c r="J49" s="266">
        <v>5</v>
      </c>
      <c r="K49" s="266">
        <v>6</v>
      </c>
      <c r="L49" s="266">
        <v>3</v>
      </c>
      <c r="M49" s="266">
        <v>6</v>
      </c>
      <c r="N49" s="266">
        <v>2</v>
      </c>
      <c r="O49" s="266">
        <v>5</v>
      </c>
      <c r="P49" s="266">
        <f t="shared" si="2"/>
        <v>42</v>
      </c>
    </row>
    <row r="50" spans="1:16" x14ac:dyDescent="0.3">
      <c r="A50" s="449" t="s">
        <v>118</v>
      </c>
      <c r="B50" s="532" t="s">
        <v>258</v>
      </c>
      <c r="C50" s="532" t="s">
        <v>252</v>
      </c>
      <c r="D50" s="266">
        <v>93</v>
      </c>
      <c r="E50" s="266">
        <v>91</v>
      </c>
      <c r="F50" s="266">
        <v>80</v>
      </c>
      <c r="G50" s="266">
        <v>98</v>
      </c>
      <c r="H50" s="266">
        <v>87</v>
      </c>
      <c r="I50" s="266">
        <v>76</v>
      </c>
      <c r="J50" s="266">
        <v>102</v>
      </c>
      <c r="K50" s="266">
        <v>78</v>
      </c>
      <c r="L50" s="266">
        <v>91</v>
      </c>
      <c r="M50" s="266">
        <v>96</v>
      </c>
      <c r="N50" s="266">
        <v>82</v>
      </c>
      <c r="O50" s="266">
        <v>97</v>
      </c>
      <c r="P50" s="266">
        <f t="shared" si="2"/>
        <v>1071</v>
      </c>
    </row>
    <row r="51" spans="1:16" x14ac:dyDescent="0.3">
      <c r="A51" s="449" t="s">
        <v>120</v>
      </c>
      <c r="B51" s="532" t="s">
        <v>121</v>
      </c>
      <c r="C51" s="532" t="s">
        <v>252</v>
      </c>
      <c r="D51" s="266">
        <v>123</v>
      </c>
      <c r="E51" s="266">
        <v>116</v>
      </c>
      <c r="F51" s="266">
        <v>124</v>
      </c>
      <c r="G51" s="266">
        <v>161</v>
      </c>
      <c r="H51" s="266">
        <v>144</v>
      </c>
      <c r="I51" s="266">
        <v>113</v>
      </c>
      <c r="J51" s="266">
        <v>160</v>
      </c>
      <c r="K51" s="266">
        <v>105</v>
      </c>
      <c r="L51" s="266">
        <v>118</v>
      </c>
      <c r="M51" s="266">
        <v>134</v>
      </c>
      <c r="N51" s="266">
        <v>141</v>
      </c>
      <c r="O51" s="266">
        <v>137</v>
      </c>
      <c r="P51" s="266">
        <f t="shared" si="2"/>
        <v>1576</v>
      </c>
    </row>
    <row r="52" spans="1:16" x14ac:dyDescent="0.3">
      <c r="A52" s="449" t="s">
        <v>122</v>
      </c>
      <c r="B52" s="532" t="s">
        <v>275</v>
      </c>
      <c r="C52" s="532" t="s">
        <v>254</v>
      </c>
      <c r="D52" s="266">
        <v>23</v>
      </c>
      <c r="E52" s="266">
        <v>15</v>
      </c>
      <c r="F52" s="266">
        <v>17</v>
      </c>
      <c r="G52" s="266">
        <v>33</v>
      </c>
      <c r="H52" s="266">
        <v>22</v>
      </c>
      <c r="I52" s="266">
        <v>22</v>
      </c>
      <c r="J52" s="266">
        <v>22</v>
      </c>
      <c r="K52" s="266">
        <v>17</v>
      </c>
      <c r="L52" s="266">
        <v>22</v>
      </c>
      <c r="M52" s="266">
        <v>22</v>
      </c>
      <c r="N52" s="266">
        <v>21</v>
      </c>
      <c r="O52" s="266">
        <v>17</v>
      </c>
      <c r="P52" s="266">
        <f t="shared" si="2"/>
        <v>253</v>
      </c>
    </row>
    <row r="53" spans="1:16" x14ac:dyDescent="0.3">
      <c r="A53" s="449" t="s">
        <v>124</v>
      </c>
      <c r="B53" s="532" t="s">
        <v>125</v>
      </c>
      <c r="C53" s="532" t="s">
        <v>255</v>
      </c>
      <c r="D53" s="266">
        <v>55</v>
      </c>
      <c r="E53" s="266">
        <v>57</v>
      </c>
      <c r="F53" s="266">
        <v>45</v>
      </c>
      <c r="G53" s="266">
        <v>64</v>
      </c>
      <c r="H53" s="266">
        <v>72</v>
      </c>
      <c r="I53" s="266">
        <v>53</v>
      </c>
      <c r="J53" s="266">
        <v>80</v>
      </c>
      <c r="K53" s="266">
        <v>45</v>
      </c>
      <c r="L53" s="266">
        <v>55</v>
      </c>
      <c r="M53" s="266">
        <v>50</v>
      </c>
      <c r="N53" s="266">
        <v>75</v>
      </c>
      <c r="O53" s="266">
        <v>63</v>
      </c>
      <c r="P53" s="266">
        <f t="shared" si="2"/>
        <v>714</v>
      </c>
    </row>
    <row r="54" spans="1:16" x14ac:dyDescent="0.3">
      <c r="A54" s="449" t="s">
        <v>126</v>
      </c>
      <c r="B54" s="532" t="s">
        <v>127</v>
      </c>
      <c r="C54" s="532" t="s">
        <v>254</v>
      </c>
      <c r="D54" s="266">
        <v>51</v>
      </c>
      <c r="E54" s="266">
        <v>37</v>
      </c>
      <c r="F54" s="266">
        <v>40</v>
      </c>
      <c r="G54" s="266">
        <v>45</v>
      </c>
      <c r="H54" s="266">
        <v>40</v>
      </c>
      <c r="I54" s="266">
        <v>45</v>
      </c>
      <c r="J54" s="266">
        <v>56</v>
      </c>
      <c r="K54" s="266">
        <v>34</v>
      </c>
      <c r="L54" s="266">
        <v>35</v>
      </c>
      <c r="M54" s="266">
        <v>39</v>
      </c>
      <c r="N54" s="266">
        <v>39</v>
      </c>
      <c r="O54" s="266">
        <v>47</v>
      </c>
      <c r="P54" s="266">
        <f t="shared" si="2"/>
        <v>508</v>
      </c>
    </row>
    <row r="55" spans="1:16" x14ac:dyDescent="0.3">
      <c r="A55" s="449" t="s">
        <v>128</v>
      </c>
      <c r="B55" s="532" t="s">
        <v>129</v>
      </c>
      <c r="C55" s="532" t="s">
        <v>254</v>
      </c>
      <c r="D55" s="266">
        <v>21</v>
      </c>
      <c r="E55" s="266">
        <v>37</v>
      </c>
      <c r="F55" s="266">
        <v>25</v>
      </c>
      <c r="G55" s="266">
        <v>41</v>
      </c>
      <c r="H55" s="266">
        <v>24</v>
      </c>
      <c r="I55" s="266">
        <v>18</v>
      </c>
      <c r="J55" s="266">
        <v>47</v>
      </c>
      <c r="K55" s="266">
        <v>27</v>
      </c>
      <c r="L55" s="266">
        <v>20</v>
      </c>
      <c r="M55" s="266">
        <v>24</v>
      </c>
      <c r="N55" s="266">
        <v>23</v>
      </c>
      <c r="O55" s="266">
        <v>20</v>
      </c>
      <c r="P55" s="266">
        <f t="shared" si="2"/>
        <v>327</v>
      </c>
    </row>
    <row r="56" spans="1:16" x14ac:dyDescent="0.3">
      <c r="A56" s="449" t="s">
        <v>130</v>
      </c>
      <c r="B56" s="532" t="s">
        <v>131</v>
      </c>
      <c r="C56" s="532" t="s">
        <v>256</v>
      </c>
      <c r="D56" s="266">
        <v>87</v>
      </c>
      <c r="E56" s="266">
        <v>88</v>
      </c>
      <c r="F56" s="266">
        <v>77</v>
      </c>
      <c r="G56" s="266">
        <v>83</v>
      </c>
      <c r="H56" s="266">
        <v>87</v>
      </c>
      <c r="I56" s="266">
        <v>74</v>
      </c>
      <c r="J56" s="266">
        <v>150</v>
      </c>
      <c r="K56" s="266">
        <v>76</v>
      </c>
      <c r="L56" s="266">
        <v>98</v>
      </c>
      <c r="M56" s="266">
        <v>87</v>
      </c>
      <c r="N56" s="266">
        <v>93</v>
      </c>
      <c r="O56" s="266">
        <v>101</v>
      </c>
      <c r="P56" s="266">
        <f t="shared" si="2"/>
        <v>1101</v>
      </c>
    </row>
    <row r="57" spans="1:16" x14ac:dyDescent="0.3">
      <c r="A57" s="449" t="s">
        <v>132</v>
      </c>
      <c r="B57" s="532" t="s">
        <v>133</v>
      </c>
      <c r="C57" s="532" t="s">
        <v>255</v>
      </c>
      <c r="D57" s="266">
        <v>302</v>
      </c>
      <c r="E57" s="266">
        <v>345</v>
      </c>
      <c r="F57" s="266">
        <v>246</v>
      </c>
      <c r="G57" s="266">
        <v>300</v>
      </c>
      <c r="H57" s="266">
        <v>307</v>
      </c>
      <c r="I57" s="266">
        <v>270</v>
      </c>
      <c r="J57" s="266">
        <v>387</v>
      </c>
      <c r="K57" s="266">
        <v>305</v>
      </c>
      <c r="L57" s="266">
        <v>328</v>
      </c>
      <c r="M57" s="266">
        <v>292</v>
      </c>
      <c r="N57" s="266">
        <v>312</v>
      </c>
      <c r="O57" s="266">
        <v>311</v>
      </c>
      <c r="P57" s="266">
        <f t="shared" si="2"/>
        <v>3705</v>
      </c>
    </row>
    <row r="58" spans="1:16" x14ac:dyDescent="0.3">
      <c r="A58" s="449" t="s">
        <v>134</v>
      </c>
      <c r="B58" s="532" t="s">
        <v>135</v>
      </c>
      <c r="C58" s="532" t="s">
        <v>255</v>
      </c>
      <c r="D58" s="266">
        <v>83</v>
      </c>
      <c r="E58" s="266">
        <v>98</v>
      </c>
      <c r="F58" s="266">
        <v>85</v>
      </c>
      <c r="G58" s="266">
        <v>112</v>
      </c>
      <c r="H58" s="266">
        <v>102</v>
      </c>
      <c r="I58" s="266">
        <v>89</v>
      </c>
      <c r="J58" s="266">
        <v>122</v>
      </c>
      <c r="K58" s="266">
        <v>103</v>
      </c>
      <c r="L58" s="266">
        <v>105</v>
      </c>
      <c r="M58" s="266">
        <v>103</v>
      </c>
      <c r="N58" s="266">
        <v>102</v>
      </c>
      <c r="O58" s="266">
        <v>117</v>
      </c>
      <c r="P58" s="266">
        <f t="shared" si="2"/>
        <v>1221</v>
      </c>
    </row>
    <row r="59" spans="1:16" x14ac:dyDescent="0.3">
      <c r="A59" s="449" t="s">
        <v>136</v>
      </c>
      <c r="B59" s="532" t="s">
        <v>137</v>
      </c>
      <c r="C59" s="532" t="s">
        <v>254</v>
      </c>
      <c r="D59" s="266">
        <v>46</v>
      </c>
      <c r="E59" s="266">
        <v>55</v>
      </c>
      <c r="F59" s="266">
        <v>39</v>
      </c>
      <c r="G59" s="266">
        <v>62</v>
      </c>
      <c r="H59" s="266">
        <v>31</v>
      </c>
      <c r="I59" s="266">
        <v>30</v>
      </c>
      <c r="J59" s="266">
        <v>47</v>
      </c>
      <c r="K59" s="266">
        <v>36</v>
      </c>
      <c r="L59" s="266">
        <v>35</v>
      </c>
      <c r="M59" s="266">
        <v>40</v>
      </c>
      <c r="N59" s="266">
        <v>36</v>
      </c>
      <c r="O59" s="266">
        <v>61</v>
      </c>
      <c r="P59" s="266">
        <f t="shared" si="2"/>
        <v>518</v>
      </c>
    </row>
    <row r="60" spans="1:16" x14ac:dyDescent="0.3">
      <c r="A60" s="449" t="s">
        <v>140</v>
      </c>
      <c r="B60" s="532" t="s">
        <v>141</v>
      </c>
      <c r="C60" s="532" t="s">
        <v>255</v>
      </c>
      <c r="D60" s="266">
        <v>42</v>
      </c>
      <c r="E60" s="266">
        <v>38</v>
      </c>
      <c r="F60" s="266">
        <v>21</v>
      </c>
      <c r="G60" s="266">
        <v>32</v>
      </c>
      <c r="H60" s="266">
        <v>28</v>
      </c>
      <c r="I60" s="266">
        <v>18</v>
      </c>
      <c r="J60" s="266">
        <v>29</v>
      </c>
      <c r="K60" s="266">
        <v>22</v>
      </c>
      <c r="L60" s="266">
        <v>24</v>
      </c>
      <c r="M60" s="266">
        <v>26</v>
      </c>
      <c r="N60" s="266">
        <v>22</v>
      </c>
      <c r="O60" s="266">
        <v>22</v>
      </c>
      <c r="P60" s="266">
        <f t="shared" si="2"/>
        <v>324</v>
      </c>
    </row>
    <row r="61" spans="1:16" x14ac:dyDescent="0.3">
      <c r="A61" s="449" t="s">
        <v>146</v>
      </c>
      <c r="B61" s="532" t="s">
        <v>147</v>
      </c>
      <c r="C61" s="532" t="s">
        <v>252</v>
      </c>
      <c r="D61" s="266">
        <v>16</v>
      </c>
      <c r="E61" s="266">
        <v>26</v>
      </c>
      <c r="F61" s="266">
        <v>26</v>
      </c>
      <c r="G61" s="266">
        <v>23</v>
      </c>
      <c r="H61" s="266">
        <v>28</v>
      </c>
      <c r="I61" s="266">
        <v>16</v>
      </c>
      <c r="J61" s="266">
        <v>28</v>
      </c>
      <c r="K61" s="266">
        <v>28</v>
      </c>
      <c r="L61" s="266">
        <v>16</v>
      </c>
      <c r="M61" s="266">
        <v>23</v>
      </c>
      <c r="N61" s="266">
        <v>24</v>
      </c>
      <c r="O61" s="266">
        <v>30</v>
      </c>
      <c r="P61" s="266">
        <f t="shared" si="2"/>
        <v>284</v>
      </c>
    </row>
    <row r="62" spans="1:16" x14ac:dyDescent="0.3">
      <c r="A62" s="449" t="s">
        <v>148</v>
      </c>
      <c r="B62" s="532" t="s">
        <v>149</v>
      </c>
      <c r="C62" s="532" t="s">
        <v>253</v>
      </c>
      <c r="D62" s="266">
        <v>103</v>
      </c>
      <c r="E62" s="266">
        <v>110</v>
      </c>
      <c r="F62" s="266">
        <v>80</v>
      </c>
      <c r="G62" s="266">
        <v>132</v>
      </c>
      <c r="H62" s="266">
        <v>119</v>
      </c>
      <c r="I62" s="266">
        <v>86</v>
      </c>
      <c r="J62" s="266">
        <v>140</v>
      </c>
      <c r="K62" s="266">
        <v>91</v>
      </c>
      <c r="L62" s="266">
        <v>91</v>
      </c>
      <c r="M62" s="266">
        <v>126</v>
      </c>
      <c r="N62" s="266">
        <v>98</v>
      </c>
      <c r="O62" s="266">
        <v>111</v>
      </c>
      <c r="P62" s="266">
        <f t="shared" si="2"/>
        <v>1287</v>
      </c>
    </row>
    <row r="63" spans="1:16" x14ac:dyDescent="0.3">
      <c r="A63" s="449" t="s">
        <v>150</v>
      </c>
      <c r="B63" s="532" t="s">
        <v>151</v>
      </c>
      <c r="C63" s="532" t="s">
        <v>254</v>
      </c>
      <c r="D63" s="266">
        <v>36</v>
      </c>
      <c r="E63" s="266">
        <v>49</v>
      </c>
      <c r="F63" s="266">
        <v>32</v>
      </c>
      <c r="G63" s="266">
        <v>44</v>
      </c>
      <c r="H63" s="266">
        <v>42</v>
      </c>
      <c r="I63" s="266">
        <v>29</v>
      </c>
      <c r="J63" s="266">
        <v>33</v>
      </c>
      <c r="K63" s="266">
        <v>36</v>
      </c>
      <c r="L63" s="266">
        <v>36</v>
      </c>
      <c r="M63" s="266">
        <v>35</v>
      </c>
      <c r="N63" s="266">
        <v>29</v>
      </c>
      <c r="O63" s="266">
        <v>35</v>
      </c>
      <c r="P63" s="266">
        <f t="shared" si="2"/>
        <v>436</v>
      </c>
    </row>
    <row r="64" spans="1:16" x14ac:dyDescent="0.3">
      <c r="A64" s="449" t="s">
        <v>152</v>
      </c>
      <c r="B64" s="532" t="s">
        <v>153</v>
      </c>
      <c r="C64" s="532" t="s">
        <v>256</v>
      </c>
      <c r="D64" s="266">
        <v>188</v>
      </c>
      <c r="E64" s="266">
        <v>178</v>
      </c>
      <c r="F64" s="266">
        <v>161</v>
      </c>
      <c r="G64" s="266">
        <v>173</v>
      </c>
      <c r="H64" s="266">
        <v>193</v>
      </c>
      <c r="I64" s="266">
        <v>151</v>
      </c>
      <c r="J64" s="266">
        <v>234</v>
      </c>
      <c r="K64" s="266">
        <v>133</v>
      </c>
      <c r="L64" s="266">
        <v>175</v>
      </c>
      <c r="M64" s="266">
        <v>179</v>
      </c>
      <c r="N64" s="266">
        <v>184</v>
      </c>
      <c r="O64" s="266">
        <v>164</v>
      </c>
      <c r="P64" s="266">
        <f t="shared" si="2"/>
        <v>2113</v>
      </c>
    </row>
    <row r="65" spans="1:16" x14ac:dyDescent="0.3">
      <c r="A65" s="449" t="s">
        <v>154</v>
      </c>
      <c r="B65" s="532" t="s">
        <v>155</v>
      </c>
      <c r="C65" s="532" t="s">
        <v>253</v>
      </c>
      <c r="D65" s="266">
        <v>28</v>
      </c>
      <c r="E65" s="266">
        <v>46</v>
      </c>
      <c r="F65" s="266">
        <v>27</v>
      </c>
      <c r="G65" s="266">
        <v>35</v>
      </c>
      <c r="H65" s="266">
        <v>37</v>
      </c>
      <c r="I65" s="266">
        <v>24</v>
      </c>
      <c r="J65" s="266">
        <v>39</v>
      </c>
      <c r="K65" s="266">
        <v>26</v>
      </c>
      <c r="L65" s="266">
        <v>31</v>
      </c>
      <c r="M65" s="266">
        <v>36</v>
      </c>
      <c r="N65" s="266">
        <v>30</v>
      </c>
      <c r="O65" s="266">
        <v>31</v>
      </c>
      <c r="P65" s="266">
        <f t="shared" si="2"/>
        <v>390</v>
      </c>
    </row>
    <row r="66" spans="1:16" x14ac:dyDescent="0.3">
      <c r="A66" s="449" t="s">
        <v>156</v>
      </c>
      <c r="B66" s="532" t="s">
        <v>157</v>
      </c>
      <c r="C66" s="532" t="s">
        <v>254</v>
      </c>
      <c r="D66" s="266">
        <v>27</v>
      </c>
      <c r="E66" s="266">
        <v>28</v>
      </c>
      <c r="F66" s="266">
        <v>23</v>
      </c>
      <c r="G66" s="266">
        <v>44</v>
      </c>
      <c r="H66" s="266">
        <v>38</v>
      </c>
      <c r="I66" s="266">
        <v>28</v>
      </c>
      <c r="J66" s="266">
        <v>38</v>
      </c>
      <c r="K66" s="266">
        <v>34</v>
      </c>
      <c r="L66" s="266">
        <v>23</v>
      </c>
      <c r="M66" s="266">
        <v>29</v>
      </c>
      <c r="N66" s="266">
        <v>31</v>
      </c>
      <c r="O66" s="266">
        <v>27</v>
      </c>
      <c r="P66" s="266">
        <f t="shared" si="2"/>
        <v>370</v>
      </c>
    </row>
    <row r="67" spans="1:16" x14ac:dyDescent="0.3">
      <c r="A67" s="449" t="s">
        <v>162</v>
      </c>
      <c r="B67" s="532" t="s">
        <v>163</v>
      </c>
      <c r="C67" s="532" t="s">
        <v>252</v>
      </c>
      <c r="D67" s="266">
        <v>49</v>
      </c>
      <c r="E67" s="266">
        <v>52</v>
      </c>
      <c r="F67" s="266">
        <v>45</v>
      </c>
      <c r="G67" s="266">
        <v>82</v>
      </c>
      <c r="H67" s="266">
        <v>64</v>
      </c>
      <c r="I67" s="266">
        <v>46</v>
      </c>
      <c r="J67" s="266">
        <v>84</v>
      </c>
      <c r="K67" s="266">
        <v>55</v>
      </c>
      <c r="L67" s="266">
        <v>48</v>
      </c>
      <c r="M67" s="266">
        <v>59</v>
      </c>
      <c r="N67" s="266">
        <v>57</v>
      </c>
      <c r="O67" s="266">
        <v>48</v>
      </c>
      <c r="P67" s="266">
        <f t="shared" si="2"/>
        <v>689</v>
      </c>
    </row>
    <row r="68" spans="1:16" x14ac:dyDescent="0.3">
      <c r="A68" s="449" t="s">
        <v>164</v>
      </c>
      <c r="B68" s="532" t="s">
        <v>165</v>
      </c>
      <c r="C68" s="532" t="s">
        <v>254</v>
      </c>
      <c r="D68" s="266">
        <v>36</v>
      </c>
      <c r="E68" s="266">
        <v>38</v>
      </c>
      <c r="F68" s="266">
        <v>34</v>
      </c>
      <c r="G68" s="266">
        <v>39</v>
      </c>
      <c r="H68" s="266">
        <v>45</v>
      </c>
      <c r="I68" s="266">
        <v>31</v>
      </c>
      <c r="J68" s="266">
        <v>39</v>
      </c>
      <c r="K68" s="266">
        <v>30</v>
      </c>
      <c r="L68" s="266">
        <v>30</v>
      </c>
      <c r="M68" s="266">
        <v>24</v>
      </c>
      <c r="N68" s="266">
        <v>26</v>
      </c>
      <c r="O68" s="266">
        <v>29</v>
      </c>
      <c r="P68" s="266">
        <f t="shared" si="2"/>
        <v>401</v>
      </c>
    </row>
    <row r="69" spans="1:16" x14ac:dyDescent="0.3">
      <c r="A69" s="449" t="s">
        <v>168</v>
      </c>
      <c r="B69" s="532" t="s">
        <v>169</v>
      </c>
      <c r="C69" s="532" t="s">
        <v>254</v>
      </c>
      <c r="D69" s="266">
        <v>60</v>
      </c>
      <c r="E69" s="266">
        <v>56</v>
      </c>
      <c r="F69" s="266">
        <v>41</v>
      </c>
      <c r="G69" s="266">
        <v>64</v>
      </c>
      <c r="H69" s="266">
        <v>54</v>
      </c>
      <c r="I69" s="266">
        <v>36</v>
      </c>
      <c r="J69" s="266">
        <v>62</v>
      </c>
      <c r="K69" s="266">
        <v>48</v>
      </c>
      <c r="L69" s="266">
        <v>42</v>
      </c>
      <c r="M69" s="266">
        <v>57</v>
      </c>
      <c r="N69" s="266">
        <v>52</v>
      </c>
      <c r="O69" s="266">
        <v>63</v>
      </c>
      <c r="P69" s="266">
        <f t="shared" ref="P69:P100" si="3">SUM(D69:O69)</f>
        <v>635</v>
      </c>
    </row>
    <row r="70" spans="1:16" x14ac:dyDescent="0.3">
      <c r="A70" s="449" t="s">
        <v>170</v>
      </c>
      <c r="B70" s="532" t="s">
        <v>171</v>
      </c>
      <c r="C70" s="532" t="s">
        <v>255</v>
      </c>
      <c r="D70" s="266">
        <v>88</v>
      </c>
      <c r="E70" s="266">
        <v>87</v>
      </c>
      <c r="F70" s="266">
        <v>69</v>
      </c>
      <c r="G70" s="266">
        <v>99</v>
      </c>
      <c r="H70" s="266">
        <v>103</v>
      </c>
      <c r="I70" s="266">
        <v>70</v>
      </c>
      <c r="J70" s="266">
        <v>115</v>
      </c>
      <c r="K70" s="266">
        <v>83</v>
      </c>
      <c r="L70" s="266">
        <v>81</v>
      </c>
      <c r="M70" s="266">
        <v>74</v>
      </c>
      <c r="N70" s="266">
        <v>83</v>
      </c>
      <c r="O70" s="266">
        <v>71</v>
      </c>
      <c r="P70" s="266">
        <f t="shared" si="3"/>
        <v>1023</v>
      </c>
    </row>
    <row r="71" spans="1:16" x14ac:dyDescent="0.3">
      <c r="A71" s="449" t="s">
        <v>172</v>
      </c>
      <c r="B71" s="532" t="s">
        <v>173</v>
      </c>
      <c r="C71" s="532" t="s">
        <v>255</v>
      </c>
      <c r="D71" s="266">
        <v>96</v>
      </c>
      <c r="E71" s="266">
        <v>104</v>
      </c>
      <c r="F71" s="266">
        <v>93</v>
      </c>
      <c r="G71" s="266">
        <v>113</v>
      </c>
      <c r="H71" s="266">
        <v>85</v>
      </c>
      <c r="I71" s="266">
        <v>98</v>
      </c>
      <c r="J71" s="266">
        <v>108</v>
      </c>
      <c r="K71" s="266">
        <v>76</v>
      </c>
      <c r="L71" s="266">
        <v>80</v>
      </c>
      <c r="M71" s="266">
        <v>75</v>
      </c>
      <c r="N71" s="266">
        <v>89</v>
      </c>
      <c r="O71" s="266">
        <v>93</v>
      </c>
      <c r="P71" s="266">
        <f t="shared" si="3"/>
        <v>1110</v>
      </c>
    </row>
    <row r="72" spans="1:16" x14ac:dyDescent="0.3">
      <c r="A72" s="449" t="s">
        <v>174</v>
      </c>
      <c r="B72" s="532" t="s">
        <v>175</v>
      </c>
      <c r="C72" s="532" t="s">
        <v>256</v>
      </c>
      <c r="D72" s="266">
        <v>72</v>
      </c>
      <c r="E72" s="266">
        <v>79</v>
      </c>
      <c r="F72" s="266">
        <v>53</v>
      </c>
      <c r="G72" s="266">
        <v>67</v>
      </c>
      <c r="H72" s="266">
        <v>56</v>
      </c>
      <c r="I72" s="266">
        <v>70</v>
      </c>
      <c r="J72" s="266">
        <v>90</v>
      </c>
      <c r="K72" s="266">
        <v>54</v>
      </c>
      <c r="L72" s="266">
        <v>52</v>
      </c>
      <c r="M72" s="266">
        <v>43</v>
      </c>
      <c r="N72" s="266">
        <v>66</v>
      </c>
      <c r="O72" s="266">
        <v>63</v>
      </c>
      <c r="P72" s="266">
        <f t="shared" si="3"/>
        <v>765</v>
      </c>
    </row>
    <row r="73" spans="1:16" x14ac:dyDescent="0.3">
      <c r="A73" s="449" t="s">
        <v>178</v>
      </c>
      <c r="B73" s="532" t="s">
        <v>179</v>
      </c>
      <c r="C73" s="532" t="s">
        <v>253</v>
      </c>
      <c r="D73" s="266">
        <v>197</v>
      </c>
      <c r="E73" s="266">
        <v>212</v>
      </c>
      <c r="F73" s="266">
        <v>192</v>
      </c>
      <c r="G73" s="266">
        <v>201</v>
      </c>
      <c r="H73" s="266">
        <v>211</v>
      </c>
      <c r="I73" s="266">
        <v>146</v>
      </c>
      <c r="J73" s="266">
        <v>229</v>
      </c>
      <c r="K73" s="266">
        <v>183</v>
      </c>
      <c r="L73" s="266">
        <v>189</v>
      </c>
      <c r="M73" s="266">
        <v>170</v>
      </c>
      <c r="N73" s="266">
        <v>177</v>
      </c>
      <c r="O73" s="266">
        <v>212</v>
      </c>
      <c r="P73" s="266">
        <f t="shared" si="3"/>
        <v>2319</v>
      </c>
    </row>
    <row r="74" spans="1:16" x14ac:dyDescent="0.3">
      <c r="A74" s="449" t="s">
        <v>182</v>
      </c>
      <c r="B74" s="532" t="s">
        <v>183</v>
      </c>
      <c r="C74" s="532" t="s">
        <v>254</v>
      </c>
      <c r="D74" s="266">
        <v>43</v>
      </c>
      <c r="E74" s="266">
        <v>33</v>
      </c>
      <c r="F74" s="266">
        <v>30</v>
      </c>
      <c r="G74" s="266">
        <v>42</v>
      </c>
      <c r="H74" s="266">
        <v>47</v>
      </c>
      <c r="I74" s="266">
        <v>25</v>
      </c>
      <c r="J74" s="266">
        <v>54</v>
      </c>
      <c r="K74" s="266">
        <v>30</v>
      </c>
      <c r="L74" s="266">
        <v>31</v>
      </c>
      <c r="M74" s="266">
        <v>34</v>
      </c>
      <c r="N74" s="266">
        <v>33</v>
      </c>
      <c r="O74" s="266">
        <v>42</v>
      </c>
      <c r="P74" s="266">
        <f t="shared" si="3"/>
        <v>444</v>
      </c>
    </row>
    <row r="75" spans="1:16" x14ac:dyDescent="0.3">
      <c r="A75" s="449" t="s">
        <v>184</v>
      </c>
      <c r="B75" s="532" t="s">
        <v>185</v>
      </c>
      <c r="C75" s="532" t="s">
        <v>254</v>
      </c>
      <c r="D75" s="266">
        <v>67</v>
      </c>
      <c r="E75" s="266">
        <v>72</v>
      </c>
      <c r="F75" s="266">
        <v>64</v>
      </c>
      <c r="G75" s="266">
        <v>73</v>
      </c>
      <c r="H75" s="266">
        <v>62</v>
      </c>
      <c r="I75" s="266">
        <v>63</v>
      </c>
      <c r="J75" s="266">
        <v>86</v>
      </c>
      <c r="K75" s="266">
        <v>66</v>
      </c>
      <c r="L75" s="266">
        <v>46</v>
      </c>
      <c r="M75" s="266">
        <v>71</v>
      </c>
      <c r="N75" s="266">
        <v>80</v>
      </c>
      <c r="O75" s="266">
        <v>88</v>
      </c>
      <c r="P75" s="266">
        <f t="shared" si="3"/>
        <v>838</v>
      </c>
    </row>
    <row r="76" spans="1:16" x14ac:dyDescent="0.3">
      <c r="A76" s="449" t="s">
        <v>186</v>
      </c>
      <c r="B76" s="532" t="s">
        <v>187</v>
      </c>
      <c r="C76" s="532" t="s">
        <v>252</v>
      </c>
      <c r="D76" s="266">
        <v>91</v>
      </c>
      <c r="E76" s="266">
        <v>101</v>
      </c>
      <c r="F76" s="266">
        <v>76</v>
      </c>
      <c r="G76" s="266">
        <v>119</v>
      </c>
      <c r="H76" s="266">
        <v>80</v>
      </c>
      <c r="I76" s="266">
        <v>80</v>
      </c>
      <c r="J76" s="266">
        <v>129</v>
      </c>
      <c r="K76" s="266">
        <v>87</v>
      </c>
      <c r="L76" s="266">
        <v>82</v>
      </c>
      <c r="M76" s="266">
        <v>94</v>
      </c>
      <c r="N76" s="266">
        <v>102</v>
      </c>
      <c r="O76" s="266">
        <v>109</v>
      </c>
      <c r="P76" s="266">
        <f t="shared" si="3"/>
        <v>1150</v>
      </c>
    </row>
    <row r="77" spans="1:16" x14ac:dyDescent="0.3">
      <c r="A77" s="449" t="s">
        <v>188</v>
      </c>
      <c r="B77" s="532" t="s">
        <v>189</v>
      </c>
      <c r="C77" s="532" t="s">
        <v>255</v>
      </c>
      <c r="D77" s="266">
        <v>840</v>
      </c>
      <c r="E77" s="266">
        <v>920</v>
      </c>
      <c r="F77" s="266">
        <v>816</v>
      </c>
      <c r="G77" s="266">
        <v>880</v>
      </c>
      <c r="H77" s="266">
        <v>784</v>
      </c>
      <c r="I77" s="266">
        <v>774</v>
      </c>
      <c r="J77" s="266">
        <v>1030</v>
      </c>
      <c r="K77" s="266">
        <v>771</v>
      </c>
      <c r="L77" s="266">
        <v>825</v>
      </c>
      <c r="M77" s="266">
        <v>798</v>
      </c>
      <c r="N77" s="266">
        <v>910</v>
      </c>
      <c r="O77" s="266">
        <v>788</v>
      </c>
      <c r="P77" s="266">
        <f t="shared" si="3"/>
        <v>10136</v>
      </c>
    </row>
    <row r="78" spans="1:16" x14ac:dyDescent="0.3">
      <c r="A78" s="449" t="s">
        <v>190</v>
      </c>
      <c r="B78" s="532" t="s">
        <v>191</v>
      </c>
      <c r="C78" s="532" t="s">
        <v>256</v>
      </c>
      <c r="D78" s="266">
        <v>142</v>
      </c>
      <c r="E78" s="266">
        <v>131</v>
      </c>
      <c r="F78" s="266">
        <v>126</v>
      </c>
      <c r="G78" s="266">
        <v>150</v>
      </c>
      <c r="H78" s="266">
        <v>129</v>
      </c>
      <c r="I78" s="266">
        <v>96</v>
      </c>
      <c r="J78" s="266">
        <v>135</v>
      </c>
      <c r="K78" s="266">
        <v>126</v>
      </c>
      <c r="L78" s="266">
        <v>125</v>
      </c>
      <c r="M78" s="266">
        <v>121</v>
      </c>
      <c r="N78" s="266">
        <v>157</v>
      </c>
      <c r="O78" s="266">
        <v>127</v>
      </c>
      <c r="P78" s="266">
        <f t="shared" si="3"/>
        <v>1565</v>
      </c>
    </row>
    <row r="79" spans="1:16" x14ac:dyDescent="0.3">
      <c r="A79" s="449" t="s">
        <v>194</v>
      </c>
      <c r="B79" s="532" t="s">
        <v>195</v>
      </c>
      <c r="C79" s="532" t="s">
        <v>255</v>
      </c>
      <c r="D79" s="266">
        <v>14</v>
      </c>
      <c r="E79" s="266">
        <v>13</v>
      </c>
      <c r="F79" s="266">
        <v>6</v>
      </c>
      <c r="G79" s="266">
        <v>14</v>
      </c>
      <c r="H79" s="266">
        <v>12</v>
      </c>
      <c r="I79" s="266">
        <v>12</v>
      </c>
      <c r="J79" s="266">
        <v>12</v>
      </c>
      <c r="K79" s="266">
        <v>13</v>
      </c>
      <c r="L79" s="266">
        <v>21</v>
      </c>
      <c r="M79" s="266">
        <v>19</v>
      </c>
      <c r="N79" s="266">
        <v>8</v>
      </c>
      <c r="O79" s="266">
        <v>10</v>
      </c>
      <c r="P79" s="266">
        <f t="shared" si="3"/>
        <v>154</v>
      </c>
    </row>
    <row r="80" spans="1:16" x14ac:dyDescent="0.3">
      <c r="A80" s="449" t="s">
        <v>198</v>
      </c>
      <c r="B80" s="532" t="s">
        <v>260</v>
      </c>
      <c r="C80" s="532" t="s">
        <v>254</v>
      </c>
      <c r="D80" s="266">
        <v>24</v>
      </c>
      <c r="E80" s="266">
        <v>31</v>
      </c>
      <c r="F80" s="266">
        <v>28</v>
      </c>
      <c r="G80" s="266">
        <v>33</v>
      </c>
      <c r="H80" s="266">
        <v>31</v>
      </c>
      <c r="I80" s="266">
        <v>18</v>
      </c>
      <c r="J80" s="266">
        <v>40</v>
      </c>
      <c r="K80" s="266">
        <v>10</v>
      </c>
      <c r="L80" s="266">
        <v>19</v>
      </c>
      <c r="M80" s="266">
        <v>33</v>
      </c>
      <c r="N80" s="266">
        <v>14</v>
      </c>
      <c r="O80" s="266">
        <v>19</v>
      </c>
      <c r="P80" s="266">
        <f t="shared" si="3"/>
        <v>300</v>
      </c>
    </row>
    <row r="81" spans="1:16" x14ac:dyDescent="0.3">
      <c r="A81" s="449" t="s">
        <v>202</v>
      </c>
      <c r="B81" s="532" t="s">
        <v>289</v>
      </c>
      <c r="C81" s="532" t="s">
        <v>253</v>
      </c>
      <c r="D81" s="266">
        <v>206</v>
      </c>
      <c r="E81" s="266">
        <v>247</v>
      </c>
      <c r="F81" s="266">
        <v>178</v>
      </c>
      <c r="G81" s="266">
        <v>276</v>
      </c>
      <c r="H81" s="266">
        <v>259</v>
      </c>
      <c r="I81" s="266">
        <v>205</v>
      </c>
      <c r="J81" s="266">
        <v>302</v>
      </c>
      <c r="K81" s="266">
        <v>216</v>
      </c>
      <c r="L81" s="266">
        <v>208</v>
      </c>
      <c r="M81" s="266">
        <v>270</v>
      </c>
      <c r="N81" s="266">
        <v>229</v>
      </c>
      <c r="O81" s="266">
        <v>250</v>
      </c>
      <c r="P81" s="266">
        <f t="shared" si="3"/>
        <v>2846</v>
      </c>
    </row>
    <row r="82" spans="1:16" x14ac:dyDescent="0.3">
      <c r="A82" s="449" t="s">
        <v>204</v>
      </c>
      <c r="B82" s="532" t="s">
        <v>281</v>
      </c>
      <c r="C82" s="532" t="s">
        <v>253</v>
      </c>
      <c r="D82" s="266">
        <v>101</v>
      </c>
      <c r="E82" s="266">
        <v>99</v>
      </c>
      <c r="F82" s="266">
        <v>82</v>
      </c>
      <c r="G82" s="266">
        <v>102</v>
      </c>
      <c r="H82" s="266">
        <v>92</v>
      </c>
      <c r="I82" s="266">
        <v>73</v>
      </c>
      <c r="J82" s="266">
        <v>86</v>
      </c>
      <c r="K82" s="266">
        <v>81</v>
      </c>
      <c r="L82" s="266">
        <v>78</v>
      </c>
      <c r="M82" s="266">
        <v>70</v>
      </c>
      <c r="N82" s="266">
        <v>80</v>
      </c>
      <c r="O82" s="266">
        <v>83</v>
      </c>
      <c r="P82" s="266">
        <f t="shared" si="3"/>
        <v>1027</v>
      </c>
    </row>
    <row r="83" spans="1:16" x14ac:dyDescent="0.3">
      <c r="A83" s="449" t="s">
        <v>206</v>
      </c>
      <c r="B83" s="532" t="s">
        <v>282</v>
      </c>
      <c r="C83" s="532" t="s">
        <v>255</v>
      </c>
      <c r="D83" s="266">
        <v>300</v>
      </c>
      <c r="E83" s="266">
        <v>320</v>
      </c>
      <c r="F83" s="266">
        <v>268</v>
      </c>
      <c r="G83" s="266">
        <v>328</v>
      </c>
      <c r="H83" s="266">
        <v>286</v>
      </c>
      <c r="I83" s="266">
        <v>281</v>
      </c>
      <c r="J83" s="266">
        <v>372</v>
      </c>
      <c r="K83" s="266">
        <v>247</v>
      </c>
      <c r="L83" s="266">
        <v>290</v>
      </c>
      <c r="M83" s="266">
        <v>253</v>
      </c>
      <c r="N83" s="266">
        <v>303</v>
      </c>
      <c r="O83" s="266">
        <v>305</v>
      </c>
      <c r="P83" s="266">
        <f t="shared" si="3"/>
        <v>3553</v>
      </c>
    </row>
    <row r="84" spans="1:16" x14ac:dyDescent="0.3">
      <c r="A84" s="449" t="s">
        <v>208</v>
      </c>
      <c r="B84" s="532" t="s">
        <v>209</v>
      </c>
      <c r="C84" s="532" t="s">
        <v>256</v>
      </c>
      <c r="D84" s="266">
        <v>96</v>
      </c>
      <c r="E84" s="266">
        <v>124</v>
      </c>
      <c r="F84" s="266">
        <v>105</v>
      </c>
      <c r="G84" s="266">
        <v>112</v>
      </c>
      <c r="H84" s="266">
        <v>113</v>
      </c>
      <c r="I84" s="266">
        <v>89</v>
      </c>
      <c r="J84" s="266">
        <v>136</v>
      </c>
      <c r="K84" s="266">
        <v>84</v>
      </c>
      <c r="L84" s="266">
        <v>77</v>
      </c>
      <c r="M84" s="266">
        <v>76</v>
      </c>
      <c r="N84" s="266">
        <v>86</v>
      </c>
      <c r="O84" s="266">
        <v>103</v>
      </c>
      <c r="P84" s="266">
        <f t="shared" si="3"/>
        <v>1201</v>
      </c>
    </row>
    <row r="85" spans="1:16" x14ac:dyDescent="0.3">
      <c r="A85" s="449" t="s">
        <v>210</v>
      </c>
      <c r="B85" s="532" t="s">
        <v>211</v>
      </c>
      <c r="C85" s="532" t="s">
        <v>256</v>
      </c>
      <c r="D85" s="266">
        <v>87</v>
      </c>
      <c r="E85" s="266">
        <v>81</v>
      </c>
      <c r="F85" s="266">
        <v>60</v>
      </c>
      <c r="G85" s="266">
        <v>67</v>
      </c>
      <c r="H85" s="266">
        <v>93</v>
      </c>
      <c r="I85" s="266">
        <v>52</v>
      </c>
      <c r="J85" s="266">
        <v>86</v>
      </c>
      <c r="K85" s="266">
        <v>67</v>
      </c>
      <c r="L85" s="266">
        <v>54</v>
      </c>
      <c r="M85" s="266">
        <v>88</v>
      </c>
      <c r="N85" s="266">
        <v>87</v>
      </c>
      <c r="O85" s="266">
        <v>89</v>
      </c>
      <c r="P85" s="266">
        <f t="shared" si="3"/>
        <v>911</v>
      </c>
    </row>
    <row r="86" spans="1:16" x14ac:dyDescent="0.3">
      <c r="A86" s="449" t="s">
        <v>212</v>
      </c>
      <c r="B86" s="532" t="s">
        <v>213</v>
      </c>
      <c r="C86" s="532" t="s">
        <v>255</v>
      </c>
      <c r="D86" s="266">
        <v>135</v>
      </c>
      <c r="E86" s="266">
        <v>142</v>
      </c>
      <c r="F86" s="266">
        <v>126</v>
      </c>
      <c r="G86" s="266">
        <v>151</v>
      </c>
      <c r="H86" s="266">
        <v>128</v>
      </c>
      <c r="I86" s="266">
        <v>119</v>
      </c>
      <c r="J86" s="266">
        <v>156</v>
      </c>
      <c r="K86" s="266">
        <v>132</v>
      </c>
      <c r="L86" s="266">
        <v>123</v>
      </c>
      <c r="M86" s="266">
        <v>126</v>
      </c>
      <c r="N86" s="266">
        <v>124</v>
      </c>
      <c r="O86" s="266">
        <v>122</v>
      </c>
      <c r="P86" s="266">
        <f t="shared" si="3"/>
        <v>1584</v>
      </c>
    </row>
    <row r="87" spans="1:16" x14ac:dyDescent="0.3">
      <c r="A87" s="449" t="s">
        <v>214</v>
      </c>
      <c r="B87" s="532" t="s">
        <v>215</v>
      </c>
      <c r="C87" s="532" t="s">
        <v>256</v>
      </c>
      <c r="D87" s="266">
        <v>124</v>
      </c>
      <c r="E87" s="266">
        <v>164</v>
      </c>
      <c r="F87" s="266">
        <v>106</v>
      </c>
      <c r="G87" s="266">
        <v>140</v>
      </c>
      <c r="H87" s="266">
        <v>147</v>
      </c>
      <c r="I87" s="266">
        <v>115</v>
      </c>
      <c r="J87" s="266">
        <v>159</v>
      </c>
      <c r="K87" s="266">
        <v>134</v>
      </c>
      <c r="L87" s="266">
        <v>125</v>
      </c>
      <c r="M87" s="266">
        <v>106</v>
      </c>
      <c r="N87" s="266">
        <v>145</v>
      </c>
      <c r="O87" s="266">
        <v>153</v>
      </c>
      <c r="P87" s="266">
        <f t="shared" si="3"/>
        <v>1618</v>
      </c>
    </row>
    <row r="88" spans="1:16" x14ac:dyDescent="0.3">
      <c r="A88" s="449" t="s">
        <v>216</v>
      </c>
      <c r="B88" s="532" t="s">
        <v>217</v>
      </c>
      <c r="C88" s="532" t="s">
        <v>252</v>
      </c>
      <c r="D88" s="266">
        <v>84</v>
      </c>
      <c r="E88" s="266">
        <v>68</v>
      </c>
      <c r="F88" s="266">
        <v>44</v>
      </c>
      <c r="G88" s="266">
        <v>54</v>
      </c>
      <c r="H88" s="266">
        <v>63</v>
      </c>
      <c r="I88" s="266">
        <v>45</v>
      </c>
      <c r="J88" s="266">
        <v>60</v>
      </c>
      <c r="K88" s="266">
        <v>64</v>
      </c>
      <c r="L88" s="266">
        <v>62</v>
      </c>
      <c r="M88" s="266">
        <v>53</v>
      </c>
      <c r="N88" s="266">
        <v>66</v>
      </c>
      <c r="O88" s="266">
        <v>63</v>
      </c>
      <c r="P88" s="266">
        <f t="shared" si="3"/>
        <v>726</v>
      </c>
    </row>
    <row r="89" spans="1:16" x14ac:dyDescent="0.3">
      <c r="A89" s="449" t="s">
        <v>218</v>
      </c>
      <c r="B89" s="532" t="s">
        <v>219</v>
      </c>
      <c r="C89" s="532" t="s">
        <v>255</v>
      </c>
      <c r="D89" s="266">
        <v>348</v>
      </c>
      <c r="E89" s="266">
        <v>408</v>
      </c>
      <c r="F89" s="266">
        <v>324</v>
      </c>
      <c r="G89" s="266">
        <v>408</v>
      </c>
      <c r="H89" s="266">
        <v>339</v>
      </c>
      <c r="I89" s="266">
        <v>322</v>
      </c>
      <c r="J89" s="266">
        <v>446</v>
      </c>
      <c r="K89" s="266">
        <v>320</v>
      </c>
      <c r="L89" s="266">
        <v>320</v>
      </c>
      <c r="M89" s="266">
        <v>331</v>
      </c>
      <c r="N89" s="266">
        <v>352</v>
      </c>
      <c r="O89" s="266">
        <v>329</v>
      </c>
      <c r="P89" s="266">
        <f t="shared" si="3"/>
        <v>4247</v>
      </c>
    </row>
    <row r="90" spans="1:16" x14ac:dyDescent="0.3">
      <c r="A90" s="449" t="s">
        <v>220</v>
      </c>
      <c r="B90" s="532" t="s">
        <v>221</v>
      </c>
      <c r="C90" s="532" t="s">
        <v>255</v>
      </c>
      <c r="D90" s="266">
        <v>286</v>
      </c>
      <c r="E90" s="266">
        <v>329</v>
      </c>
      <c r="F90" s="266">
        <v>270</v>
      </c>
      <c r="G90" s="266">
        <v>292</v>
      </c>
      <c r="H90" s="266">
        <v>293</v>
      </c>
      <c r="I90" s="266">
        <v>243</v>
      </c>
      <c r="J90" s="266">
        <v>354</v>
      </c>
      <c r="K90" s="266">
        <v>273</v>
      </c>
      <c r="L90" s="266">
        <v>247</v>
      </c>
      <c r="M90" s="266">
        <v>242</v>
      </c>
      <c r="N90" s="266">
        <v>273</v>
      </c>
      <c r="O90" s="266">
        <v>260</v>
      </c>
      <c r="P90" s="266">
        <f t="shared" si="3"/>
        <v>3362</v>
      </c>
    </row>
    <row r="91" spans="1:16" x14ac:dyDescent="0.3">
      <c r="A91" s="449" t="s">
        <v>224</v>
      </c>
      <c r="B91" s="532" t="s">
        <v>225</v>
      </c>
      <c r="C91" s="532" t="s">
        <v>252</v>
      </c>
      <c r="D91" s="266">
        <v>23</v>
      </c>
      <c r="E91" s="266">
        <v>26</v>
      </c>
      <c r="F91" s="266">
        <v>18</v>
      </c>
      <c r="G91" s="266">
        <v>15</v>
      </c>
      <c r="H91" s="266">
        <v>20</v>
      </c>
      <c r="I91" s="266">
        <v>28</v>
      </c>
      <c r="J91" s="266">
        <v>37</v>
      </c>
      <c r="K91" s="266">
        <v>15</v>
      </c>
      <c r="L91" s="266">
        <v>18</v>
      </c>
      <c r="M91" s="266">
        <v>24</v>
      </c>
      <c r="N91" s="266">
        <v>28</v>
      </c>
      <c r="O91" s="266">
        <v>20</v>
      </c>
      <c r="P91" s="266">
        <f t="shared" si="3"/>
        <v>272</v>
      </c>
    </row>
    <row r="92" spans="1:16" x14ac:dyDescent="0.3">
      <c r="A92" s="449" t="s">
        <v>226</v>
      </c>
      <c r="B92" s="532" t="s">
        <v>227</v>
      </c>
      <c r="C92" s="532" t="s">
        <v>252</v>
      </c>
      <c r="D92" s="266">
        <v>56</v>
      </c>
      <c r="E92" s="266">
        <v>47</v>
      </c>
      <c r="F92" s="266">
        <v>44</v>
      </c>
      <c r="G92" s="266">
        <v>49</v>
      </c>
      <c r="H92" s="266">
        <v>35</v>
      </c>
      <c r="I92" s="266">
        <v>35</v>
      </c>
      <c r="J92" s="266">
        <v>68</v>
      </c>
      <c r="K92" s="266">
        <v>40</v>
      </c>
      <c r="L92" s="266">
        <v>58</v>
      </c>
      <c r="M92" s="266">
        <v>45</v>
      </c>
      <c r="N92" s="266">
        <v>57</v>
      </c>
      <c r="O92" s="266">
        <v>39</v>
      </c>
      <c r="P92" s="266">
        <f t="shared" si="3"/>
        <v>573</v>
      </c>
    </row>
    <row r="93" spans="1:16" x14ac:dyDescent="0.3">
      <c r="A93" s="449" t="s">
        <v>228</v>
      </c>
      <c r="B93" s="532" t="s">
        <v>229</v>
      </c>
      <c r="C93" s="532" t="s">
        <v>256</v>
      </c>
      <c r="D93" s="266">
        <v>180</v>
      </c>
      <c r="E93" s="266">
        <v>176</v>
      </c>
      <c r="F93" s="266">
        <v>174</v>
      </c>
      <c r="G93" s="266">
        <v>177</v>
      </c>
      <c r="H93" s="266">
        <v>157</v>
      </c>
      <c r="I93" s="266">
        <v>143</v>
      </c>
      <c r="J93" s="266">
        <v>199</v>
      </c>
      <c r="K93" s="266">
        <v>142</v>
      </c>
      <c r="L93" s="266">
        <v>155</v>
      </c>
      <c r="M93" s="266">
        <v>151</v>
      </c>
      <c r="N93" s="266">
        <v>173</v>
      </c>
      <c r="O93" s="266">
        <v>165</v>
      </c>
      <c r="P93" s="266">
        <f t="shared" si="3"/>
        <v>1992</v>
      </c>
    </row>
    <row r="94" spans="1:16" x14ac:dyDescent="0.3">
      <c r="A94" s="449" t="s">
        <v>232</v>
      </c>
      <c r="B94" s="532" t="s">
        <v>233</v>
      </c>
      <c r="C94" s="532" t="s">
        <v>255</v>
      </c>
      <c r="D94" s="266">
        <v>91</v>
      </c>
      <c r="E94" s="266">
        <v>118</v>
      </c>
      <c r="F94" s="266">
        <v>105</v>
      </c>
      <c r="G94" s="266">
        <v>90</v>
      </c>
      <c r="H94" s="266">
        <v>103</v>
      </c>
      <c r="I94" s="266">
        <v>90</v>
      </c>
      <c r="J94" s="266">
        <v>138</v>
      </c>
      <c r="K94" s="266">
        <v>91</v>
      </c>
      <c r="L94" s="266">
        <v>125</v>
      </c>
      <c r="M94" s="266">
        <v>115</v>
      </c>
      <c r="N94" s="266">
        <v>103</v>
      </c>
      <c r="O94" s="266">
        <v>101</v>
      </c>
      <c r="P94" s="266">
        <f t="shared" si="3"/>
        <v>1270</v>
      </c>
    </row>
    <row r="95" spans="1:16" x14ac:dyDescent="0.3">
      <c r="A95" s="449" t="s">
        <v>234</v>
      </c>
      <c r="B95" s="532" t="s">
        <v>235</v>
      </c>
      <c r="C95" s="532" t="s">
        <v>256</v>
      </c>
      <c r="D95" s="266">
        <v>162</v>
      </c>
      <c r="E95" s="266">
        <v>208</v>
      </c>
      <c r="F95" s="266">
        <v>135</v>
      </c>
      <c r="G95" s="266">
        <v>204</v>
      </c>
      <c r="H95" s="266">
        <v>209</v>
      </c>
      <c r="I95" s="266">
        <v>151</v>
      </c>
      <c r="J95" s="266">
        <v>221</v>
      </c>
      <c r="K95" s="266">
        <v>161</v>
      </c>
      <c r="L95" s="266">
        <v>155</v>
      </c>
      <c r="M95" s="266">
        <v>201</v>
      </c>
      <c r="N95" s="266">
        <v>207</v>
      </c>
      <c r="O95" s="266">
        <v>174</v>
      </c>
      <c r="P95" s="266">
        <f t="shared" si="3"/>
        <v>2188</v>
      </c>
    </row>
    <row r="96" spans="1:16" x14ac:dyDescent="0.3">
      <c r="A96" s="449" t="s">
        <v>236</v>
      </c>
      <c r="B96" s="532" t="s">
        <v>237</v>
      </c>
      <c r="C96" s="532" t="s">
        <v>254</v>
      </c>
      <c r="D96" s="266">
        <v>67</v>
      </c>
      <c r="E96" s="266">
        <v>60</v>
      </c>
      <c r="F96" s="266">
        <v>51</v>
      </c>
      <c r="G96" s="266">
        <v>67</v>
      </c>
      <c r="H96" s="266">
        <v>82</v>
      </c>
      <c r="I96" s="266">
        <v>55</v>
      </c>
      <c r="J96" s="266">
        <v>82</v>
      </c>
      <c r="K96" s="266">
        <v>64</v>
      </c>
      <c r="L96" s="266">
        <v>56</v>
      </c>
      <c r="M96" s="266">
        <v>70</v>
      </c>
      <c r="N96" s="266">
        <v>59</v>
      </c>
      <c r="O96" s="266">
        <v>60</v>
      </c>
      <c r="P96" s="266">
        <f t="shared" si="3"/>
        <v>773</v>
      </c>
    </row>
    <row r="97" spans="1:16" x14ac:dyDescent="0.3">
      <c r="A97" s="449" t="s">
        <v>242</v>
      </c>
      <c r="B97" s="532" t="s">
        <v>243</v>
      </c>
      <c r="C97" s="532" t="s">
        <v>256</v>
      </c>
      <c r="D97" s="266">
        <v>153</v>
      </c>
      <c r="E97" s="266">
        <v>164</v>
      </c>
      <c r="F97" s="266">
        <v>113</v>
      </c>
      <c r="G97" s="266">
        <v>166</v>
      </c>
      <c r="H97" s="266">
        <v>170</v>
      </c>
      <c r="I97" s="266">
        <v>140</v>
      </c>
      <c r="J97" s="266">
        <v>219</v>
      </c>
      <c r="K97" s="266">
        <v>154</v>
      </c>
      <c r="L97" s="266">
        <v>143</v>
      </c>
      <c r="M97" s="266">
        <v>153</v>
      </c>
      <c r="N97" s="266">
        <v>163</v>
      </c>
      <c r="O97" s="266">
        <v>174</v>
      </c>
      <c r="P97" s="266">
        <f t="shared" si="3"/>
        <v>1912</v>
      </c>
    </row>
    <row r="98" spans="1:16" x14ac:dyDescent="0.3">
      <c r="A98" s="449" t="s">
        <v>244</v>
      </c>
      <c r="B98" s="532" t="s">
        <v>245</v>
      </c>
      <c r="C98" s="532" t="s">
        <v>256</v>
      </c>
      <c r="D98" s="266">
        <v>103</v>
      </c>
      <c r="E98" s="266">
        <v>110</v>
      </c>
      <c r="F98" s="266">
        <v>99</v>
      </c>
      <c r="G98" s="266">
        <v>128</v>
      </c>
      <c r="H98" s="266">
        <v>104</v>
      </c>
      <c r="I98" s="266">
        <v>92</v>
      </c>
      <c r="J98" s="266">
        <v>127</v>
      </c>
      <c r="K98" s="266">
        <v>102</v>
      </c>
      <c r="L98" s="266">
        <v>89</v>
      </c>
      <c r="M98" s="266">
        <v>89</v>
      </c>
      <c r="N98" s="266">
        <v>120</v>
      </c>
      <c r="O98" s="266">
        <v>86</v>
      </c>
      <c r="P98" s="266">
        <f t="shared" si="3"/>
        <v>1249</v>
      </c>
    </row>
    <row r="99" spans="1:16" x14ac:dyDescent="0.3">
      <c r="A99" s="449" t="s">
        <v>246</v>
      </c>
      <c r="B99" s="532" t="s">
        <v>247</v>
      </c>
      <c r="C99" s="532" t="s">
        <v>252</v>
      </c>
      <c r="D99" s="266">
        <v>98</v>
      </c>
      <c r="E99" s="266">
        <v>117</v>
      </c>
      <c r="F99" s="266">
        <v>114</v>
      </c>
      <c r="G99" s="266">
        <v>124</v>
      </c>
      <c r="H99" s="266">
        <v>92</v>
      </c>
      <c r="I99" s="266">
        <v>95</v>
      </c>
      <c r="J99" s="266">
        <v>148</v>
      </c>
      <c r="K99" s="266">
        <v>109</v>
      </c>
      <c r="L99" s="266">
        <v>81</v>
      </c>
      <c r="M99" s="266">
        <v>82</v>
      </c>
      <c r="N99" s="266">
        <v>99</v>
      </c>
      <c r="O99" s="266">
        <v>106</v>
      </c>
      <c r="P99" s="266">
        <f t="shared" si="3"/>
        <v>1265</v>
      </c>
    </row>
    <row r="100" spans="1:16" x14ac:dyDescent="0.3">
      <c r="A100" s="449" t="s">
        <v>14</v>
      </c>
      <c r="B100" s="532" t="s">
        <v>15</v>
      </c>
      <c r="C100" s="532" t="s">
        <v>255</v>
      </c>
      <c r="D100" s="266">
        <v>307</v>
      </c>
      <c r="E100" s="266">
        <v>294</v>
      </c>
      <c r="F100" s="266">
        <v>253</v>
      </c>
      <c r="G100" s="266">
        <v>258</v>
      </c>
      <c r="H100" s="266">
        <v>230</v>
      </c>
      <c r="I100" s="266">
        <v>240</v>
      </c>
      <c r="J100" s="266">
        <v>362</v>
      </c>
      <c r="K100" s="266">
        <v>289</v>
      </c>
      <c r="L100" s="266">
        <v>243</v>
      </c>
      <c r="M100" s="266">
        <v>304</v>
      </c>
      <c r="N100" s="266">
        <v>265</v>
      </c>
      <c r="O100" s="266">
        <v>241</v>
      </c>
      <c r="P100" s="266">
        <f t="shared" si="3"/>
        <v>3286</v>
      </c>
    </row>
    <row r="101" spans="1:16" x14ac:dyDescent="0.3">
      <c r="A101" s="449" t="s">
        <v>34</v>
      </c>
      <c r="B101" s="532" t="s">
        <v>35</v>
      </c>
      <c r="C101" s="532" t="s">
        <v>256</v>
      </c>
      <c r="D101" s="266">
        <v>120</v>
      </c>
      <c r="E101" s="266">
        <v>138</v>
      </c>
      <c r="F101" s="266">
        <v>100</v>
      </c>
      <c r="G101" s="266">
        <v>133</v>
      </c>
      <c r="H101" s="266">
        <v>129</v>
      </c>
      <c r="I101" s="266">
        <v>94</v>
      </c>
      <c r="J101" s="266">
        <v>108</v>
      </c>
      <c r="K101" s="266">
        <v>88</v>
      </c>
      <c r="L101" s="266">
        <v>105</v>
      </c>
      <c r="M101" s="266">
        <v>123</v>
      </c>
      <c r="N101" s="266">
        <v>139</v>
      </c>
      <c r="O101" s="266">
        <v>111</v>
      </c>
      <c r="P101" s="266">
        <f t="shared" ref="P101:P124" si="4">SUM(D101:O101)</f>
        <v>1388</v>
      </c>
    </row>
    <row r="102" spans="1:16" x14ac:dyDescent="0.3">
      <c r="A102" s="449" t="s">
        <v>52</v>
      </c>
      <c r="B102" s="532" t="s">
        <v>53</v>
      </c>
      <c r="C102" s="532" t="s">
        <v>253</v>
      </c>
      <c r="D102" s="266">
        <v>138</v>
      </c>
      <c r="E102" s="266">
        <v>130</v>
      </c>
      <c r="F102" s="266">
        <v>114</v>
      </c>
      <c r="G102" s="266">
        <v>144</v>
      </c>
      <c r="H102" s="266">
        <v>123</v>
      </c>
      <c r="I102" s="266">
        <v>106</v>
      </c>
      <c r="J102" s="266">
        <v>148</v>
      </c>
      <c r="K102" s="266">
        <v>117</v>
      </c>
      <c r="L102" s="266">
        <v>119</v>
      </c>
      <c r="M102" s="266">
        <v>118</v>
      </c>
      <c r="N102" s="266">
        <v>161</v>
      </c>
      <c r="O102" s="266">
        <v>133</v>
      </c>
      <c r="P102" s="266">
        <f t="shared" si="4"/>
        <v>1551</v>
      </c>
    </row>
    <row r="103" spans="1:16" x14ac:dyDescent="0.3">
      <c r="A103" s="449" t="s">
        <v>54</v>
      </c>
      <c r="B103" s="532" t="s">
        <v>55</v>
      </c>
      <c r="C103" s="532" t="s">
        <v>252</v>
      </c>
      <c r="D103" s="266">
        <v>716</v>
      </c>
      <c r="E103" s="266">
        <v>712</v>
      </c>
      <c r="F103" s="266">
        <v>578</v>
      </c>
      <c r="G103" s="266">
        <v>736</v>
      </c>
      <c r="H103" s="266">
        <v>696</v>
      </c>
      <c r="I103" s="266">
        <v>618</v>
      </c>
      <c r="J103" s="266">
        <v>779</v>
      </c>
      <c r="K103" s="266">
        <v>618</v>
      </c>
      <c r="L103" s="266">
        <v>597</v>
      </c>
      <c r="M103" s="266">
        <v>654</v>
      </c>
      <c r="N103" s="266">
        <v>727</v>
      </c>
      <c r="O103" s="266">
        <v>661</v>
      </c>
      <c r="P103" s="266">
        <f t="shared" si="4"/>
        <v>8092</v>
      </c>
    </row>
    <row r="104" spans="1:16" x14ac:dyDescent="0.3">
      <c r="A104" s="449" t="s">
        <v>66</v>
      </c>
      <c r="B104" s="532" t="s">
        <v>67</v>
      </c>
      <c r="C104" s="532" t="s">
        <v>253</v>
      </c>
      <c r="D104" s="266">
        <v>238</v>
      </c>
      <c r="E104" s="266">
        <v>265</v>
      </c>
      <c r="F104" s="266">
        <v>198</v>
      </c>
      <c r="G104" s="266">
        <v>275</v>
      </c>
      <c r="H104" s="266">
        <v>233</v>
      </c>
      <c r="I104" s="266">
        <v>226</v>
      </c>
      <c r="J104" s="266">
        <v>266</v>
      </c>
      <c r="K104" s="266">
        <v>234</v>
      </c>
      <c r="L104" s="266">
        <v>278</v>
      </c>
      <c r="M104" s="266">
        <v>261</v>
      </c>
      <c r="N104" s="266">
        <v>320</v>
      </c>
      <c r="O104" s="266">
        <v>266</v>
      </c>
      <c r="P104" s="266">
        <f t="shared" si="4"/>
        <v>3060</v>
      </c>
    </row>
    <row r="105" spans="1:16" x14ac:dyDescent="0.3">
      <c r="A105" s="449" t="s">
        <v>82</v>
      </c>
      <c r="B105" s="532" t="s">
        <v>83</v>
      </c>
      <c r="C105" s="532" t="s">
        <v>252</v>
      </c>
      <c r="D105" s="266">
        <v>51</v>
      </c>
      <c r="E105" s="266">
        <v>56</v>
      </c>
      <c r="F105" s="266">
        <v>24</v>
      </c>
      <c r="G105" s="266">
        <v>66</v>
      </c>
      <c r="H105" s="266">
        <v>44</v>
      </c>
      <c r="I105" s="266">
        <v>41</v>
      </c>
      <c r="J105" s="266">
        <v>62</v>
      </c>
      <c r="K105" s="266">
        <v>35</v>
      </c>
      <c r="L105" s="266">
        <v>33</v>
      </c>
      <c r="M105" s="266">
        <v>62</v>
      </c>
      <c r="N105" s="266">
        <v>42</v>
      </c>
      <c r="O105" s="266">
        <v>49</v>
      </c>
      <c r="P105" s="266">
        <f t="shared" si="4"/>
        <v>565</v>
      </c>
    </row>
    <row r="106" spans="1:16" x14ac:dyDescent="0.3">
      <c r="A106" s="449" t="s">
        <v>88</v>
      </c>
      <c r="B106" s="532" t="s">
        <v>89</v>
      </c>
      <c r="C106" s="532" t="s">
        <v>255</v>
      </c>
      <c r="D106" s="266">
        <v>142</v>
      </c>
      <c r="E106" s="266">
        <v>185</v>
      </c>
      <c r="F106" s="266">
        <v>140</v>
      </c>
      <c r="G106" s="266">
        <v>164</v>
      </c>
      <c r="H106" s="266">
        <v>165</v>
      </c>
      <c r="I106" s="266">
        <v>151</v>
      </c>
      <c r="J106" s="266">
        <v>223</v>
      </c>
      <c r="K106" s="266">
        <v>150</v>
      </c>
      <c r="L106" s="266">
        <v>147</v>
      </c>
      <c r="M106" s="266">
        <v>156</v>
      </c>
      <c r="N106" s="266">
        <v>150</v>
      </c>
      <c r="O106" s="266">
        <v>136</v>
      </c>
      <c r="P106" s="266">
        <f t="shared" si="4"/>
        <v>1909</v>
      </c>
    </row>
    <row r="107" spans="1:16" x14ac:dyDescent="0.3">
      <c r="A107" s="449" t="s">
        <v>90</v>
      </c>
      <c r="B107" s="532" t="s">
        <v>91</v>
      </c>
      <c r="C107" s="532" t="s">
        <v>256</v>
      </c>
      <c r="D107" s="266">
        <v>41</v>
      </c>
      <c r="E107" s="266">
        <v>45</v>
      </c>
      <c r="F107" s="266">
        <v>35</v>
      </c>
      <c r="G107" s="266">
        <v>45</v>
      </c>
      <c r="H107" s="266">
        <v>28</v>
      </c>
      <c r="I107" s="266">
        <v>31</v>
      </c>
      <c r="J107" s="266">
        <v>39</v>
      </c>
      <c r="K107" s="266">
        <v>31</v>
      </c>
      <c r="L107" s="266">
        <v>34</v>
      </c>
      <c r="M107" s="266">
        <v>33</v>
      </c>
      <c r="N107" s="266">
        <v>37</v>
      </c>
      <c r="O107" s="266">
        <v>33</v>
      </c>
      <c r="P107" s="266">
        <f t="shared" si="4"/>
        <v>432</v>
      </c>
    </row>
    <row r="108" spans="1:16" x14ac:dyDescent="0.3">
      <c r="A108" s="449" t="s">
        <v>106</v>
      </c>
      <c r="B108" s="532" t="s">
        <v>107</v>
      </c>
      <c r="C108" s="532" t="s">
        <v>252</v>
      </c>
      <c r="D108" s="266">
        <v>649</v>
      </c>
      <c r="E108" s="266">
        <v>735</v>
      </c>
      <c r="F108" s="266">
        <v>559</v>
      </c>
      <c r="G108" s="266">
        <v>720</v>
      </c>
      <c r="H108" s="266">
        <v>641</v>
      </c>
      <c r="I108" s="266">
        <v>551</v>
      </c>
      <c r="J108" s="266">
        <v>782</v>
      </c>
      <c r="K108" s="266">
        <v>529</v>
      </c>
      <c r="L108" s="266">
        <v>521</v>
      </c>
      <c r="M108" s="266">
        <v>651</v>
      </c>
      <c r="N108" s="266">
        <v>678</v>
      </c>
      <c r="O108" s="266">
        <v>667</v>
      </c>
      <c r="P108" s="266">
        <f t="shared" si="4"/>
        <v>7683</v>
      </c>
    </row>
    <row r="109" spans="1:16" x14ac:dyDescent="0.3">
      <c r="A109" s="449" t="s">
        <v>116</v>
      </c>
      <c r="B109" s="532" t="s">
        <v>117</v>
      </c>
      <c r="C109" s="532" t="s">
        <v>254</v>
      </c>
      <c r="D109" s="266">
        <v>192</v>
      </c>
      <c r="E109" s="266">
        <v>180</v>
      </c>
      <c r="F109" s="266">
        <v>144</v>
      </c>
      <c r="G109" s="266">
        <v>194</v>
      </c>
      <c r="H109" s="266">
        <v>151</v>
      </c>
      <c r="I109" s="266">
        <v>162</v>
      </c>
      <c r="J109" s="266">
        <v>226</v>
      </c>
      <c r="K109" s="266">
        <v>157</v>
      </c>
      <c r="L109" s="266">
        <v>157</v>
      </c>
      <c r="M109" s="266">
        <v>161</v>
      </c>
      <c r="N109" s="266">
        <v>224</v>
      </c>
      <c r="O109" s="266">
        <v>207</v>
      </c>
      <c r="P109" s="266">
        <f t="shared" si="4"/>
        <v>2155</v>
      </c>
    </row>
    <row r="110" spans="1:16" x14ac:dyDescent="0.3">
      <c r="A110" s="449" t="s">
        <v>138</v>
      </c>
      <c r="B110" s="532" t="s">
        <v>139</v>
      </c>
      <c r="C110" s="532" t="s">
        <v>253</v>
      </c>
      <c r="D110" s="266">
        <v>351</v>
      </c>
      <c r="E110" s="266">
        <v>362</v>
      </c>
      <c r="F110" s="266">
        <v>234</v>
      </c>
      <c r="G110" s="266">
        <v>345</v>
      </c>
      <c r="H110" s="266">
        <v>299</v>
      </c>
      <c r="I110" s="266">
        <v>256</v>
      </c>
      <c r="J110" s="266">
        <v>308</v>
      </c>
      <c r="K110" s="266">
        <v>261</v>
      </c>
      <c r="L110" s="266">
        <v>308</v>
      </c>
      <c r="M110" s="266">
        <v>311</v>
      </c>
      <c r="N110" s="266">
        <v>388</v>
      </c>
      <c r="O110" s="266">
        <v>330</v>
      </c>
      <c r="P110" s="266">
        <f t="shared" si="4"/>
        <v>3753</v>
      </c>
    </row>
    <row r="111" spans="1:16" x14ac:dyDescent="0.3">
      <c r="A111" s="449" t="s">
        <v>142</v>
      </c>
      <c r="B111" s="532" t="s">
        <v>143</v>
      </c>
      <c r="C111" s="532" t="s">
        <v>255</v>
      </c>
      <c r="D111" s="266">
        <v>81</v>
      </c>
      <c r="E111" s="266">
        <v>100</v>
      </c>
      <c r="F111" s="266">
        <v>92</v>
      </c>
      <c r="G111" s="266">
        <v>97</v>
      </c>
      <c r="H111" s="266">
        <v>68</v>
      </c>
      <c r="I111" s="266">
        <v>84</v>
      </c>
      <c r="J111" s="266">
        <v>98</v>
      </c>
      <c r="K111" s="266">
        <v>94</v>
      </c>
      <c r="L111" s="266">
        <v>90</v>
      </c>
      <c r="M111" s="266">
        <v>85</v>
      </c>
      <c r="N111" s="266">
        <v>79</v>
      </c>
      <c r="O111" s="266">
        <v>96</v>
      </c>
      <c r="P111" s="266">
        <f t="shared" si="4"/>
        <v>1064</v>
      </c>
    </row>
    <row r="112" spans="1:16" x14ac:dyDescent="0.3">
      <c r="A112" s="449" t="s">
        <v>144</v>
      </c>
      <c r="B112" s="532" t="s">
        <v>145</v>
      </c>
      <c r="C112" s="532" t="s">
        <v>255</v>
      </c>
      <c r="D112" s="266">
        <v>27</v>
      </c>
      <c r="E112" s="266">
        <v>32</v>
      </c>
      <c r="F112" s="266">
        <v>36</v>
      </c>
      <c r="G112" s="266">
        <v>22</v>
      </c>
      <c r="H112" s="266">
        <v>46</v>
      </c>
      <c r="I112" s="266">
        <v>29</v>
      </c>
      <c r="J112" s="266">
        <v>42</v>
      </c>
      <c r="K112" s="266">
        <v>25</v>
      </c>
      <c r="L112" s="266">
        <v>33</v>
      </c>
      <c r="M112" s="266">
        <v>36</v>
      </c>
      <c r="N112" s="266">
        <v>27</v>
      </c>
      <c r="O112" s="266">
        <v>29</v>
      </c>
      <c r="P112" s="266">
        <f t="shared" si="4"/>
        <v>384</v>
      </c>
    </row>
    <row r="113" spans="1:16" x14ac:dyDescent="0.3">
      <c r="A113" s="449" t="s">
        <v>158</v>
      </c>
      <c r="B113" s="532" t="s">
        <v>159</v>
      </c>
      <c r="C113" s="532" t="s">
        <v>252</v>
      </c>
      <c r="D113" s="266">
        <v>1042</v>
      </c>
      <c r="E113" s="266">
        <v>1123</v>
      </c>
      <c r="F113" s="266">
        <v>819</v>
      </c>
      <c r="G113" s="266">
        <v>1183</v>
      </c>
      <c r="H113" s="266">
        <v>997</v>
      </c>
      <c r="I113" s="266">
        <v>906</v>
      </c>
      <c r="J113" s="266">
        <v>1206</v>
      </c>
      <c r="K113" s="266">
        <v>812</v>
      </c>
      <c r="L113" s="266">
        <v>866</v>
      </c>
      <c r="M113" s="266">
        <v>1049</v>
      </c>
      <c r="N113" s="266">
        <v>1109</v>
      </c>
      <c r="O113" s="266">
        <v>1104</v>
      </c>
      <c r="P113" s="266">
        <f t="shared" si="4"/>
        <v>12216</v>
      </c>
    </row>
    <row r="114" spans="1:16" x14ac:dyDescent="0.3">
      <c r="A114" s="449" t="s">
        <v>160</v>
      </c>
      <c r="B114" s="532" t="s">
        <v>161</v>
      </c>
      <c r="C114" s="532" t="s">
        <v>252</v>
      </c>
      <c r="D114" s="266">
        <v>1358</v>
      </c>
      <c r="E114" s="266">
        <v>1477</v>
      </c>
      <c r="F114" s="266">
        <v>1110</v>
      </c>
      <c r="G114" s="266">
        <v>1385</v>
      </c>
      <c r="H114" s="266">
        <v>1224</v>
      </c>
      <c r="I114" s="266">
        <v>1157</v>
      </c>
      <c r="J114" s="266">
        <v>1495</v>
      </c>
      <c r="K114" s="266">
        <v>981</v>
      </c>
      <c r="L114" s="266">
        <v>1060</v>
      </c>
      <c r="M114" s="266">
        <v>1203</v>
      </c>
      <c r="N114" s="266">
        <v>1335</v>
      </c>
      <c r="O114" s="266">
        <v>1274</v>
      </c>
      <c r="P114" s="266">
        <f t="shared" si="4"/>
        <v>15059</v>
      </c>
    </row>
    <row r="115" spans="1:16" x14ac:dyDescent="0.3">
      <c r="A115" s="449" t="s">
        <v>166</v>
      </c>
      <c r="B115" s="532" t="s">
        <v>167</v>
      </c>
      <c r="C115" s="532" t="s">
        <v>256</v>
      </c>
      <c r="D115" s="266">
        <v>20</v>
      </c>
      <c r="E115" s="266">
        <v>19</v>
      </c>
      <c r="F115" s="266">
        <v>15</v>
      </c>
      <c r="G115" s="266">
        <v>28</v>
      </c>
      <c r="H115" s="266">
        <v>23</v>
      </c>
      <c r="I115" s="266">
        <v>22</v>
      </c>
      <c r="J115" s="266">
        <v>21</v>
      </c>
      <c r="K115" s="266">
        <v>24</v>
      </c>
      <c r="L115" s="266">
        <v>20</v>
      </c>
      <c r="M115" s="266">
        <v>21</v>
      </c>
      <c r="N115" s="266">
        <v>18</v>
      </c>
      <c r="O115" s="266">
        <v>14</v>
      </c>
      <c r="P115" s="266">
        <f t="shared" si="4"/>
        <v>245</v>
      </c>
    </row>
    <row r="116" spans="1:16" x14ac:dyDescent="0.3">
      <c r="A116" s="449" t="s">
        <v>176</v>
      </c>
      <c r="B116" s="532" t="s">
        <v>177</v>
      </c>
      <c r="C116" s="532" t="s">
        <v>254</v>
      </c>
      <c r="D116" s="266">
        <v>377</v>
      </c>
      <c r="E116" s="266">
        <v>398</v>
      </c>
      <c r="F116" s="266">
        <v>279</v>
      </c>
      <c r="G116" s="266">
        <v>368</v>
      </c>
      <c r="H116" s="266">
        <v>334</v>
      </c>
      <c r="I116" s="266">
        <v>261</v>
      </c>
      <c r="J116" s="266">
        <v>374</v>
      </c>
      <c r="K116" s="266">
        <v>277</v>
      </c>
      <c r="L116" s="266">
        <v>311</v>
      </c>
      <c r="M116" s="266">
        <v>325</v>
      </c>
      <c r="N116" s="266">
        <v>397</v>
      </c>
      <c r="O116" s="266">
        <v>352</v>
      </c>
      <c r="P116" s="266">
        <f t="shared" si="4"/>
        <v>4053</v>
      </c>
    </row>
    <row r="117" spans="1:16" x14ac:dyDescent="0.3">
      <c r="A117" s="449" t="s">
        <v>180</v>
      </c>
      <c r="B117" s="532" t="s">
        <v>181</v>
      </c>
      <c r="C117" s="532" t="s">
        <v>252</v>
      </c>
      <c r="D117" s="266">
        <v>610</v>
      </c>
      <c r="E117" s="266">
        <v>629</v>
      </c>
      <c r="F117" s="266">
        <v>448</v>
      </c>
      <c r="G117" s="266">
        <v>588</v>
      </c>
      <c r="H117" s="266">
        <v>568</v>
      </c>
      <c r="I117" s="266">
        <v>475</v>
      </c>
      <c r="J117" s="266">
        <v>686</v>
      </c>
      <c r="K117" s="266">
        <v>520</v>
      </c>
      <c r="L117" s="266">
        <v>547</v>
      </c>
      <c r="M117" s="266">
        <v>561</v>
      </c>
      <c r="N117" s="266">
        <v>561</v>
      </c>
      <c r="O117" s="266">
        <v>570</v>
      </c>
      <c r="P117" s="266">
        <f t="shared" si="4"/>
        <v>6763</v>
      </c>
    </row>
    <row r="118" spans="1:16" x14ac:dyDescent="0.3">
      <c r="A118" s="449" t="s">
        <v>192</v>
      </c>
      <c r="B118" s="532" t="s">
        <v>193</v>
      </c>
      <c r="C118" s="532" t="s">
        <v>256</v>
      </c>
      <c r="D118" s="266">
        <v>28</v>
      </c>
      <c r="E118" s="266">
        <v>49</v>
      </c>
      <c r="F118" s="266">
        <v>50</v>
      </c>
      <c r="G118" s="266">
        <v>42</v>
      </c>
      <c r="H118" s="266">
        <v>37</v>
      </c>
      <c r="I118" s="266">
        <v>44</v>
      </c>
      <c r="J118" s="266">
        <v>42</v>
      </c>
      <c r="K118" s="266">
        <v>46</v>
      </c>
      <c r="L118" s="266">
        <v>31</v>
      </c>
      <c r="M118" s="266">
        <v>54</v>
      </c>
      <c r="N118" s="266">
        <v>37</v>
      </c>
      <c r="O118" s="266">
        <v>51</v>
      </c>
      <c r="P118" s="266">
        <f t="shared" si="4"/>
        <v>511</v>
      </c>
    </row>
    <row r="119" spans="1:16" x14ac:dyDescent="0.3">
      <c r="A119" s="449" t="s">
        <v>196</v>
      </c>
      <c r="B119" s="532" t="s">
        <v>197</v>
      </c>
      <c r="C119" s="532" t="s">
        <v>254</v>
      </c>
      <c r="D119" s="266">
        <v>1301</v>
      </c>
      <c r="E119" s="266">
        <v>1412</v>
      </c>
      <c r="F119" s="266">
        <v>1232</v>
      </c>
      <c r="G119" s="266">
        <v>1367</v>
      </c>
      <c r="H119" s="266">
        <v>1344</v>
      </c>
      <c r="I119" s="266">
        <v>1208</v>
      </c>
      <c r="J119" s="266">
        <v>1501</v>
      </c>
      <c r="K119" s="266">
        <v>1134</v>
      </c>
      <c r="L119" s="266">
        <v>1279</v>
      </c>
      <c r="M119" s="266">
        <v>1384</v>
      </c>
      <c r="N119" s="266">
        <v>1468</v>
      </c>
      <c r="O119" s="266">
        <v>1383</v>
      </c>
      <c r="P119" s="266">
        <f t="shared" si="4"/>
        <v>16013</v>
      </c>
    </row>
    <row r="120" spans="1:16" x14ac:dyDescent="0.3">
      <c r="A120" s="449" t="s">
        <v>200</v>
      </c>
      <c r="B120" s="532" t="s">
        <v>201</v>
      </c>
      <c r="C120" s="532" t="s">
        <v>253</v>
      </c>
      <c r="D120" s="266">
        <v>618</v>
      </c>
      <c r="E120" s="266">
        <v>604</v>
      </c>
      <c r="F120" s="266">
        <v>511</v>
      </c>
      <c r="G120" s="266">
        <v>596</v>
      </c>
      <c r="H120" s="266">
        <v>589</v>
      </c>
      <c r="I120" s="266">
        <v>528</v>
      </c>
      <c r="J120" s="266">
        <v>675</v>
      </c>
      <c r="K120" s="266">
        <v>516</v>
      </c>
      <c r="L120" s="266">
        <v>602</v>
      </c>
      <c r="M120" s="266">
        <v>576</v>
      </c>
      <c r="N120" s="266">
        <v>673</v>
      </c>
      <c r="O120" s="266">
        <v>636</v>
      </c>
      <c r="P120" s="266">
        <f t="shared" si="4"/>
        <v>7124</v>
      </c>
    </row>
    <row r="121" spans="1:16" x14ac:dyDescent="0.3">
      <c r="A121" s="449" t="s">
        <v>222</v>
      </c>
      <c r="B121" s="532" t="s">
        <v>223</v>
      </c>
      <c r="C121" s="532" t="s">
        <v>252</v>
      </c>
      <c r="D121" s="266">
        <v>301</v>
      </c>
      <c r="E121" s="266">
        <v>281</v>
      </c>
      <c r="F121" s="266">
        <v>228</v>
      </c>
      <c r="G121" s="266">
        <v>354</v>
      </c>
      <c r="H121" s="266">
        <v>303</v>
      </c>
      <c r="I121" s="266">
        <v>250</v>
      </c>
      <c r="J121" s="266">
        <v>370</v>
      </c>
      <c r="K121" s="266">
        <v>253</v>
      </c>
      <c r="L121" s="266">
        <v>271</v>
      </c>
      <c r="M121" s="266">
        <v>306</v>
      </c>
      <c r="N121" s="266">
        <v>301</v>
      </c>
      <c r="O121" s="266">
        <v>297</v>
      </c>
      <c r="P121" s="266">
        <f t="shared" si="4"/>
        <v>3515</v>
      </c>
    </row>
    <row r="122" spans="1:16" x14ac:dyDescent="0.3">
      <c r="A122" s="449" t="s">
        <v>230</v>
      </c>
      <c r="B122" s="532" t="s">
        <v>231</v>
      </c>
      <c r="C122" s="532" t="s">
        <v>252</v>
      </c>
      <c r="D122" s="266">
        <v>1107</v>
      </c>
      <c r="E122" s="266">
        <v>1153</v>
      </c>
      <c r="F122" s="266">
        <v>925</v>
      </c>
      <c r="G122" s="266">
        <v>1245</v>
      </c>
      <c r="H122" s="266">
        <v>1175</v>
      </c>
      <c r="I122" s="266">
        <v>1049</v>
      </c>
      <c r="J122" s="266">
        <v>1258</v>
      </c>
      <c r="K122" s="266">
        <v>943</v>
      </c>
      <c r="L122" s="266">
        <v>1023</v>
      </c>
      <c r="M122" s="266">
        <v>1170</v>
      </c>
      <c r="N122" s="266">
        <v>1153</v>
      </c>
      <c r="O122" s="266">
        <v>1119</v>
      </c>
      <c r="P122" s="266">
        <f t="shared" si="4"/>
        <v>13320</v>
      </c>
    </row>
    <row r="123" spans="1:16" x14ac:dyDescent="0.3">
      <c r="A123" s="449" t="s">
        <v>238</v>
      </c>
      <c r="B123" s="532" t="s">
        <v>239</v>
      </c>
      <c r="C123" s="532" t="s">
        <v>252</v>
      </c>
      <c r="D123" s="266">
        <v>42</v>
      </c>
      <c r="E123" s="266">
        <v>37</v>
      </c>
      <c r="F123" s="266">
        <v>37</v>
      </c>
      <c r="G123" s="266">
        <v>38</v>
      </c>
      <c r="H123" s="266">
        <v>38</v>
      </c>
      <c r="I123" s="266">
        <v>36</v>
      </c>
      <c r="J123" s="266">
        <v>59</v>
      </c>
      <c r="K123" s="266">
        <v>39</v>
      </c>
      <c r="L123" s="266">
        <v>36</v>
      </c>
      <c r="M123" s="266">
        <v>44</v>
      </c>
      <c r="N123" s="266">
        <v>48</v>
      </c>
      <c r="O123" s="266">
        <v>41</v>
      </c>
      <c r="P123" s="266">
        <f t="shared" si="4"/>
        <v>495</v>
      </c>
    </row>
    <row r="124" spans="1:16" x14ac:dyDescent="0.3">
      <c r="A124" s="450" t="s">
        <v>240</v>
      </c>
      <c r="B124" s="453" t="s">
        <v>241</v>
      </c>
      <c r="C124" s="453" t="s">
        <v>255</v>
      </c>
      <c r="D124" s="266">
        <v>102</v>
      </c>
      <c r="E124" s="266">
        <v>139</v>
      </c>
      <c r="F124" s="266">
        <v>106</v>
      </c>
      <c r="G124" s="266">
        <v>140</v>
      </c>
      <c r="H124" s="266">
        <v>109</v>
      </c>
      <c r="I124" s="266">
        <v>109</v>
      </c>
      <c r="J124" s="266">
        <v>146</v>
      </c>
      <c r="K124" s="266">
        <v>105</v>
      </c>
      <c r="L124" s="266">
        <v>118</v>
      </c>
      <c r="M124" s="266">
        <v>122</v>
      </c>
      <c r="N124" s="266">
        <v>109</v>
      </c>
      <c r="O124" s="266">
        <v>115</v>
      </c>
      <c r="P124" s="266">
        <f t="shared" si="4"/>
        <v>1420</v>
      </c>
    </row>
    <row r="126" spans="1:16" ht="65.25" customHeight="1" x14ac:dyDescent="0.3">
      <c r="A126" s="2737" t="s">
        <v>1060</v>
      </c>
      <c r="B126" s="2737"/>
      <c r="C126" s="2737"/>
    </row>
    <row r="128" spans="1:16" s="359" customFormat="1" x14ac:dyDescent="0.3">
      <c r="A128" s="359" t="s">
        <v>248</v>
      </c>
    </row>
    <row r="129" spans="1:3" s="359" customFormat="1" x14ac:dyDescent="0.3">
      <c r="A129" s="360" t="s">
        <v>249</v>
      </c>
      <c r="B129" s="361" t="s">
        <v>250</v>
      </c>
      <c r="C129" s="361"/>
    </row>
  </sheetData>
  <sortState ref="A5:P124">
    <sortCondition ref="A5:A124"/>
  </sortState>
  <mergeCells count="1">
    <mergeCell ref="A126:C126"/>
  </mergeCells>
  <hyperlinks>
    <hyperlink ref="B129"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zoomScaleNormal="100" workbookViewId="0">
      <selection activeCell="H29" sqref="H29"/>
    </sheetView>
  </sheetViews>
  <sheetFormatPr defaultRowHeight="15.6" x14ac:dyDescent="0.3"/>
  <cols>
    <col min="1" max="1" width="9.796875" bestFit="1" customWidth="1"/>
    <col min="4" max="7" width="11.59765625" customWidth="1"/>
    <col min="8" max="8" width="12.5" customWidth="1"/>
    <col min="17" max="17" width="13.59765625" bestFit="1" customWidth="1"/>
    <col min="18" max="18" width="12.5" bestFit="1" customWidth="1"/>
    <col min="19" max="20" width="14.5" bestFit="1" customWidth="1"/>
  </cols>
  <sheetData>
    <row r="1" spans="1:20" s="66" customFormat="1" ht="15.75" customHeight="1" x14ac:dyDescent="0.25">
      <c r="A1" s="2655" t="s">
        <v>798</v>
      </c>
      <c r="B1" s="2656"/>
      <c r="C1" s="2653" t="s">
        <v>9</v>
      </c>
      <c r="D1" s="2654"/>
      <c r="E1" s="2125"/>
      <c r="F1" s="2125"/>
      <c r="G1" s="2125"/>
      <c r="H1" s="1104"/>
      <c r="I1" s="161"/>
      <c r="J1" s="161"/>
      <c r="M1" s="71"/>
      <c r="N1" s="71"/>
      <c r="O1" s="71"/>
    </row>
    <row r="2" spans="1:20" s="66" customFormat="1" ht="15.75" customHeight="1" x14ac:dyDescent="0.25">
      <c r="A2" s="2126"/>
      <c r="B2" s="1101"/>
      <c r="C2" s="1102"/>
      <c r="D2" s="1101"/>
      <c r="E2" s="1103"/>
      <c r="F2" s="161"/>
      <c r="G2" s="161"/>
      <c r="H2" s="161"/>
      <c r="I2" s="161"/>
      <c r="J2" s="161"/>
      <c r="M2" s="71"/>
      <c r="N2" s="71"/>
      <c r="O2" s="71"/>
    </row>
    <row r="3" spans="1:20" s="66" customFormat="1" ht="13.5" customHeight="1" x14ac:dyDescent="0.25">
      <c r="A3" s="2668" t="s">
        <v>1134</v>
      </c>
      <c r="B3" s="2669"/>
      <c r="C3" s="2670"/>
      <c r="D3" s="2665" t="s">
        <v>302</v>
      </c>
      <c r="E3" s="2666" t="s">
        <v>303</v>
      </c>
      <c r="F3" s="2667" t="s">
        <v>304</v>
      </c>
      <c r="G3" s="2657" t="s">
        <v>292</v>
      </c>
      <c r="H3" s="2658" t="s">
        <v>775</v>
      </c>
      <c r="I3" s="78"/>
      <c r="J3" s="83"/>
      <c r="O3" s="82"/>
      <c r="P3" s="92"/>
      <c r="Q3" s="127"/>
      <c r="R3" s="80"/>
      <c r="S3" s="80"/>
      <c r="T3" s="87"/>
    </row>
    <row r="4" spans="1:20" s="66" customFormat="1" ht="13.5" customHeight="1" x14ac:dyDescent="0.25">
      <c r="A4" s="2648" t="str">
        <f>C1</f>
        <v>Statewide</v>
      </c>
      <c r="B4" s="2620"/>
      <c r="C4" s="2621"/>
      <c r="D4" s="2637"/>
      <c r="E4" s="2639"/>
      <c r="F4" s="2641"/>
      <c r="G4" s="2641"/>
      <c r="H4" s="2659"/>
      <c r="I4" s="78"/>
      <c r="J4" s="83"/>
      <c r="O4" s="82"/>
      <c r="P4" s="92"/>
      <c r="Q4" s="127"/>
      <c r="R4" s="80"/>
      <c r="S4" s="80"/>
      <c r="T4" s="87"/>
    </row>
    <row r="5" spans="1:20" s="66" customFormat="1" ht="13.5" customHeight="1" x14ac:dyDescent="0.2">
      <c r="A5" s="2664" t="s">
        <v>305</v>
      </c>
      <c r="B5" s="2618"/>
      <c r="C5" s="2618"/>
      <c r="D5" s="2151">
        <f>D6+D7</f>
        <v>341173709.11590004</v>
      </c>
      <c r="E5" s="2151">
        <f t="shared" ref="E5:H5" si="0">E6+E7</f>
        <v>124318479.13409998</v>
      </c>
      <c r="F5" s="2151">
        <f t="shared" si="0"/>
        <v>217085149.17999998</v>
      </c>
      <c r="G5" s="2152">
        <f t="shared" si="0"/>
        <v>40271036.829999998</v>
      </c>
      <c r="H5" s="2153">
        <f t="shared" si="0"/>
        <v>722848374.25999999</v>
      </c>
      <c r="I5" s="78"/>
      <c r="J5" s="83"/>
      <c r="O5" s="82"/>
      <c r="Q5" s="87"/>
      <c r="R5" s="87"/>
      <c r="S5" s="87"/>
      <c r="T5" s="87"/>
    </row>
    <row r="6" spans="1:20" s="66" customFormat="1" ht="13.5" customHeight="1" x14ac:dyDescent="0.2">
      <c r="A6" s="2647" t="s">
        <v>738</v>
      </c>
      <c r="B6" s="2577"/>
      <c r="C6" s="2577"/>
      <c r="D6" s="1199">
        <f>VLOOKUP($C$1,Admin_Costs_LASER,4,FALSE)</f>
        <v>319522161.70590001</v>
      </c>
      <c r="E6" s="1200">
        <f>VLOOKUP($C$1,Admin_Costs_LASER,5,FALSE)</f>
        <v>124318479.13409998</v>
      </c>
      <c r="F6" s="1200">
        <f>VLOOKUP($C$1,Admin_Costs_LASER,6,FALSE)</f>
        <v>195433601.76999998</v>
      </c>
      <c r="G6" s="2127">
        <f>VLOOKUP($C$1,Admin_Costs_LASER,10,FALSE)</f>
        <v>10701982.120000001</v>
      </c>
      <c r="H6" s="1201">
        <f>VLOOKUP(C1,Admin_Costs_LASER,9,FALSE)</f>
        <v>649976224.73000002</v>
      </c>
      <c r="I6" s="78"/>
      <c r="J6" s="83"/>
      <c r="O6" s="82"/>
      <c r="Q6" s="128"/>
      <c r="R6" s="80"/>
      <c r="S6" s="80"/>
      <c r="T6" s="87"/>
    </row>
    <row r="7" spans="1:20" s="66" customFormat="1" ht="13.5" customHeight="1" x14ac:dyDescent="0.2">
      <c r="A7" s="2647" t="s">
        <v>743</v>
      </c>
      <c r="B7" s="2577"/>
      <c r="C7" s="2577"/>
      <c r="D7" s="1199">
        <f>VLOOKUP($C$1,Other_Oper_Exp_LASER,4,FALSE)</f>
        <v>21651547.41</v>
      </c>
      <c r="E7" s="1200">
        <f>VLOOKUP($C$1,Other_Oper_Exp_LASER,5,FALSE)</f>
        <v>0</v>
      </c>
      <c r="F7" s="1200">
        <f>VLOOKUP($C$1,Other_Oper_Exp_LASER,6,FALSE)</f>
        <v>21651547.41</v>
      </c>
      <c r="G7" s="2127">
        <f>VLOOKUP($C$1,Other_Oper_Exp_LASER,10,FALSE)</f>
        <v>29569054.710000001</v>
      </c>
      <c r="H7" s="1201">
        <f>VLOOKUP(C1,Other_Oper_Exp_LASER,9,FALSE)</f>
        <v>72872149.530000001</v>
      </c>
      <c r="K7" s="300"/>
      <c r="L7" s="300"/>
      <c r="M7" s="290"/>
      <c r="N7" s="289"/>
      <c r="O7" s="82"/>
      <c r="P7" s="81"/>
      <c r="Q7" s="81"/>
      <c r="R7" s="81"/>
      <c r="S7" s="81"/>
    </row>
    <row r="8" spans="1:20" s="66" customFormat="1" ht="13.5" customHeight="1" x14ac:dyDescent="0.2">
      <c r="A8" s="2649" t="s">
        <v>769</v>
      </c>
      <c r="B8" s="2650"/>
      <c r="C8" s="2650"/>
      <c r="D8" s="2137">
        <f>D5/H5</f>
        <v>0.47198516489045034</v>
      </c>
      <c r="E8" s="2137">
        <f>E5/H5</f>
        <v>0.17198417200753652</v>
      </c>
      <c r="F8" s="2137">
        <f>F5/$H$5</f>
        <v>0.3003190667783352</v>
      </c>
      <c r="G8" s="2137">
        <f>G5/$H$5</f>
        <v>5.5711596323677948E-2</v>
      </c>
      <c r="H8" s="2138">
        <f>H5/H5</f>
        <v>1</v>
      </c>
      <c r="K8" s="300"/>
      <c r="L8" s="300"/>
      <c r="M8" s="290"/>
      <c r="N8" s="289"/>
      <c r="O8" s="82"/>
    </row>
    <row r="9" spans="1:20" s="66" customFormat="1" ht="13.5" customHeight="1" x14ac:dyDescent="0.2">
      <c r="A9" s="2651" t="s">
        <v>766</v>
      </c>
      <c r="B9" s="2652"/>
      <c r="C9" s="2652"/>
      <c r="D9" s="2139">
        <f>D5/D24</f>
        <v>4.951650873156796E-2</v>
      </c>
      <c r="E9" s="2139">
        <f>E5/E24</f>
        <v>2.2581588877222128E-2</v>
      </c>
      <c r="F9" s="2139">
        <f>F5/F24</f>
        <v>0.56586387314517206</v>
      </c>
      <c r="G9" s="2139">
        <f>G5/G24</f>
        <v>0.8785850170571875</v>
      </c>
      <c r="H9" s="2140">
        <f>H5/H24</f>
        <v>5.6363000127117625E-2</v>
      </c>
      <c r="K9" s="300"/>
      <c r="L9" s="300"/>
      <c r="M9" s="291"/>
      <c r="N9" s="289"/>
      <c r="O9" s="82"/>
    </row>
    <row r="10" spans="1:20" s="66" customFormat="1" ht="13.5" customHeight="1" x14ac:dyDescent="0.2">
      <c r="A10" s="2660" t="s">
        <v>744</v>
      </c>
      <c r="B10" s="2661"/>
      <c r="C10" s="2661"/>
      <c r="D10" s="2154">
        <f>VLOOKUP(C1,Client_Svcs_LASER,4,FALSE)</f>
        <v>12276416.750000002</v>
      </c>
      <c r="E10" s="2155">
        <f>VLOOKUP(C1,Client_Svcs_LASER,5,FALSE)</f>
        <v>8133023.4599999981</v>
      </c>
      <c r="F10" s="2155">
        <f>VLOOKUP($C$1,Client_Svcs_LASER,6,FALSE)</f>
        <v>4138339.3400000008</v>
      </c>
      <c r="G10" s="2155">
        <f>VLOOKUP($C$1,Client_Svcs_LASER,10,FALSE)</f>
        <v>4489742.1499999994</v>
      </c>
      <c r="H10" s="2156">
        <f>VLOOKUP(C1,Client_Svcs_LASER,9, FALSE)</f>
        <v>29037521.700000003</v>
      </c>
      <c r="K10" s="300"/>
      <c r="L10" s="300"/>
      <c r="M10" s="291"/>
      <c r="N10" s="289"/>
      <c r="O10" s="82"/>
      <c r="P10" s="81"/>
    </row>
    <row r="11" spans="1:20" s="66" customFormat="1" ht="13.5" customHeight="1" x14ac:dyDescent="0.2">
      <c r="A11" s="2143" t="s">
        <v>770</v>
      </c>
      <c r="B11" s="2144"/>
      <c r="C11" s="2144"/>
      <c r="D11" s="2137">
        <f>D10/H10</f>
        <v>0.42277770385618002</v>
      </c>
      <c r="E11" s="2145">
        <f>E10/H10</f>
        <v>0.28008669417541915</v>
      </c>
      <c r="F11" s="2145">
        <f>F10/H10</f>
        <v>0.14251696073635653</v>
      </c>
      <c r="G11" s="2145">
        <f>G10/H10</f>
        <v>0.15461864123204422</v>
      </c>
      <c r="H11" s="2146">
        <f>H10/H10</f>
        <v>1</v>
      </c>
      <c r="K11" s="300"/>
      <c r="L11" s="300"/>
      <c r="M11" s="291"/>
      <c r="N11" s="289"/>
      <c r="O11" s="82"/>
    </row>
    <row r="12" spans="1:20" s="66" customFormat="1" ht="13.5" customHeight="1" x14ac:dyDescent="0.2">
      <c r="A12" s="2662" t="s">
        <v>767</v>
      </c>
      <c r="B12" s="2663"/>
      <c r="C12" s="2663"/>
      <c r="D12" s="2147">
        <f>D10/D24</f>
        <v>1.7817471890462628E-3</v>
      </c>
      <c r="E12" s="2148">
        <f>E10/E24</f>
        <v>1.4773072626187433E-3</v>
      </c>
      <c r="F12" s="2149">
        <f>F10/F24</f>
        <v>1.0787180680792416E-2</v>
      </c>
      <c r="G12" s="2149">
        <f>G10/G24</f>
        <v>9.7951791012779926E-2</v>
      </c>
      <c r="H12" s="2150">
        <f>H10/H24</f>
        <v>2.2641564919389312E-3</v>
      </c>
      <c r="K12" s="299"/>
      <c r="L12" s="299"/>
      <c r="O12" s="82"/>
    </row>
    <row r="13" spans="1:20" s="66" customFormat="1" ht="13.5" customHeight="1" x14ac:dyDescent="0.2">
      <c r="A13" s="2646" t="s">
        <v>502</v>
      </c>
      <c r="B13" s="2568"/>
      <c r="C13" s="2568"/>
      <c r="D13" s="2151">
        <f>SUM(D14:D21)</f>
        <v>6536650122.6274605</v>
      </c>
      <c r="E13" s="2151">
        <f>SUM(E14:E21)</f>
        <v>5372851060.9247608</v>
      </c>
      <c r="F13" s="2151">
        <f>SUM(F14:F21)</f>
        <v>162411444.69</v>
      </c>
      <c r="G13" s="2151">
        <f>SUM(G14:G21)</f>
        <v>1075464.58</v>
      </c>
      <c r="H13" s="2153">
        <f>SUM(H14:H21)</f>
        <v>12072988092.822222</v>
      </c>
      <c r="K13" s="299"/>
      <c r="L13" s="299"/>
      <c r="O13" s="82"/>
    </row>
    <row r="14" spans="1:20" s="66" customFormat="1" ht="13.5" customHeight="1" x14ac:dyDescent="0.2">
      <c r="A14" s="2647" t="s">
        <v>745</v>
      </c>
      <c r="B14" s="2577"/>
      <c r="C14" s="2577"/>
      <c r="D14" s="1199">
        <f>VLOOKUP(C1,Medicaid_FAMIS_LASER,5,FALSE)</f>
        <v>5218493263.20683</v>
      </c>
      <c r="E14" s="2131">
        <f>VLOOKUP(C1,Medicaid_FAMIS_LASER,6,FALSE)</f>
        <v>4908069420.6753912</v>
      </c>
      <c r="F14" s="2131">
        <f>VLOOKUP($C$1,Medicaid_FAMIS_LASER,7,FALSE)</f>
        <v>15599104</v>
      </c>
      <c r="G14" s="2130" t="s">
        <v>831</v>
      </c>
      <c r="H14" s="1201">
        <f>VLOOKUP(C1,Medicaid_FAMIS_LASER,4,FALSE)</f>
        <v>10142161787.882223</v>
      </c>
      <c r="K14" s="299"/>
      <c r="L14" s="299"/>
      <c r="O14" s="82"/>
    </row>
    <row r="15" spans="1:20" s="66" customFormat="1" ht="13.5" customHeight="1" x14ac:dyDescent="0.2">
      <c r="A15" s="2647" t="s">
        <v>778</v>
      </c>
      <c r="B15" s="2577"/>
      <c r="C15" s="2577"/>
      <c r="D15" s="1199">
        <f>VLOOKUP(C1,SNAP_LASER,5,FALSE)</f>
        <v>1018304921.42</v>
      </c>
      <c r="E15" s="2131" t="s">
        <v>831</v>
      </c>
      <c r="F15" s="2131" t="s">
        <v>831</v>
      </c>
      <c r="G15" s="2130" t="s">
        <v>831</v>
      </c>
      <c r="H15" s="1201">
        <f>VLOOKUP(C1,SNAP_LASER,4,FALSE)</f>
        <v>1018304921.42</v>
      </c>
      <c r="I15" s="78"/>
      <c r="J15" s="83"/>
      <c r="K15" s="83"/>
      <c r="L15" s="83"/>
      <c r="O15" s="82"/>
    </row>
    <row r="16" spans="1:20" s="66" customFormat="1" ht="13.5" customHeight="1" x14ac:dyDescent="0.2">
      <c r="A16" s="2647" t="s">
        <v>751</v>
      </c>
      <c r="B16" s="2577"/>
      <c r="C16" s="2577"/>
      <c r="D16" s="1199">
        <f>VLOOKUP(C1,TANF_LASER,4,FALSE)</f>
        <v>25789360.871718001</v>
      </c>
      <c r="E16" s="1199">
        <f>VLOOKUP(C1,TANF_LASER,5,FALSE)</f>
        <v>39264863.178282008</v>
      </c>
      <c r="F16" s="1199">
        <f>VLOOKUP($C$1,TANF_LASER,6,FALSE)</f>
        <v>0</v>
      </c>
      <c r="G16" s="1199">
        <f>VLOOKUP($C$1,TANF_LASER,6,FALSE)</f>
        <v>0</v>
      </c>
      <c r="H16" s="1202">
        <f>VLOOKUP(C1,TANF_LASER,8,FALSE)</f>
        <v>65054224.050000012</v>
      </c>
      <c r="I16" s="78"/>
      <c r="J16" s="83"/>
      <c r="K16" s="83"/>
      <c r="L16" s="83"/>
      <c r="O16" s="82"/>
    </row>
    <row r="17" spans="1:19" s="66" customFormat="1" ht="13.5" customHeight="1" x14ac:dyDescent="0.2">
      <c r="A17" s="2647" t="s">
        <v>779</v>
      </c>
      <c r="B17" s="2577"/>
      <c r="C17" s="2577"/>
      <c r="D17" s="1199">
        <f>VLOOKUP(C1,EA_LASER,5,FALSE)</f>
        <v>71596908.719999999</v>
      </c>
      <c r="E17" s="2131" t="s">
        <v>831</v>
      </c>
      <c r="F17" s="2131" t="s">
        <v>831</v>
      </c>
      <c r="G17" s="2130" t="s">
        <v>831</v>
      </c>
      <c r="H17" s="1201">
        <f>VLOOKUP(C1,EA_LASER,4,FALSE)</f>
        <v>71596908.719999999</v>
      </c>
      <c r="I17" s="78"/>
      <c r="J17" s="83"/>
      <c r="K17" s="83"/>
      <c r="L17" s="83"/>
      <c r="O17" s="82"/>
    </row>
    <row r="18" spans="1:19" s="66" customFormat="1" ht="13.5" customHeight="1" x14ac:dyDescent="0.2">
      <c r="A18" s="2647" t="s">
        <v>757</v>
      </c>
      <c r="B18" s="2577"/>
      <c r="C18" s="2577"/>
      <c r="D18" s="1199">
        <f>VLOOKUP(C1,FC_Adop_LASER,4,FALSE)</f>
        <v>89022523.079999998</v>
      </c>
      <c r="E18" s="1199">
        <f>VLOOKUP(C1,FC_Adop_LASER,5,FALSE)</f>
        <v>104250168.09999998</v>
      </c>
      <c r="F18" s="1199">
        <f>VLOOKUP($C$1,FC_Adop_LASER,6,FALSE)</f>
        <v>0</v>
      </c>
      <c r="G18" s="1199">
        <f>VLOOKUP($C$1,FC_Adop_LASER,10,FALSE)</f>
        <v>254139.99</v>
      </c>
      <c r="H18" s="1202">
        <f>VLOOKUP(C1,FC_Adop_LASER,9,FALSE)</f>
        <v>193526831.16999996</v>
      </c>
      <c r="I18" s="78"/>
      <c r="J18" s="83"/>
      <c r="K18" s="83"/>
      <c r="L18" s="83"/>
      <c r="O18" s="82"/>
      <c r="P18" s="81"/>
      <c r="Q18" s="81"/>
      <c r="R18" s="81"/>
      <c r="S18" s="81"/>
    </row>
    <row r="19" spans="1:19" s="66" customFormat="1" ht="13.5" customHeight="1" x14ac:dyDescent="0.2">
      <c r="A19" s="2647" t="s">
        <v>912</v>
      </c>
      <c r="B19" s="2577"/>
      <c r="C19" s="2577"/>
      <c r="D19" s="1199">
        <f>VLOOKUP(C1,CSA_LASER,4,FALSE)</f>
        <v>0</v>
      </c>
      <c r="E19" s="1199">
        <f>VLOOKUP(C1,CSA_LASER,5,FALSE)</f>
        <v>276123576.77999997</v>
      </c>
      <c r="F19" s="1199">
        <f>VLOOKUP($C$1,CSA_LASER,6,FALSE)</f>
        <v>142084685.44</v>
      </c>
      <c r="G19" s="1199">
        <f>VLOOKUP($C$1,CSA_LASER,7,FALSE)</f>
        <v>0</v>
      </c>
      <c r="H19" s="1202">
        <f>VLOOKUP(C1,CSA_LASER,8,FALSE)</f>
        <v>418208262.21999997</v>
      </c>
      <c r="I19" s="78"/>
      <c r="J19" s="83"/>
      <c r="K19" s="83"/>
      <c r="L19" s="83"/>
      <c r="O19" s="82"/>
      <c r="P19" s="81"/>
      <c r="Q19" s="81"/>
      <c r="R19" s="81"/>
      <c r="S19" s="81"/>
    </row>
    <row r="20" spans="1:19" s="66" customFormat="1" ht="13.5" customHeight="1" x14ac:dyDescent="0.2">
      <c r="A20" s="1096" t="s">
        <v>764</v>
      </c>
      <c r="B20" s="1097"/>
      <c r="C20" s="1097"/>
      <c r="D20" s="1199">
        <f>VLOOKUP(C1,ChildCareLASER,9,FALSE)</f>
        <v>111124004.58891241</v>
      </c>
      <c r="E20" s="1199">
        <f>VLOOKUP(C1,ChildCareLASER,10,FALSE)</f>
        <v>26770421.411087591</v>
      </c>
      <c r="F20" s="2131" t="s">
        <v>831</v>
      </c>
      <c r="G20" s="2130" t="s">
        <v>831</v>
      </c>
      <c r="H20" s="1201">
        <f>VLOOKUP(C1,ChildCareLASER,8,FALSE)</f>
        <v>137894426</v>
      </c>
      <c r="I20" s="78"/>
      <c r="J20" s="2565"/>
      <c r="K20" s="2565"/>
      <c r="L20" s="83"/>
      <c r="O20" s="82"/>
      <c r="P20" s="81"/>
      <c r="Q20" s="81"/>
      <c r="R20" s="81"/>
      <c r="S20" s="81"/>
    </row>
    <row r="21" spans="1:19" s="66" customFormat="1" ht="13.5" customHeight="1" x14ac:dyDescent="0.2">
      <c r="A21" s="2647" t="s">
        <v>765</v>
      </c>
      <c r="B21" s="2577"/>
      <c r="C21" s="2577"/>
      <c r="D21" s="1199">
        <f>VLOOKUP(C1,OT_BENE_LASER,4,FALSE)</f>
        <v>2319140.7399999993</v>
      </c>
      <c r="E21" s="1199">
        <f>VLOOKUP(C1,OT_BENE_LASER,5,FALSE)</f>
        <v>18372610.780000001</v>
      </c>
      <c r="F21" s="1199">
        <f>VLOOKUP($C$1,OT_BENE_LASER,6,FALSE)</f>
        <v>4727655.2500000009</v>
      </c>
      <c r="G21" s="1199">
        <f>VLOOKUP($C$1,OT_BENE_LASER,10,FALSE)</f>
        <v>821324.59</v>
      </c>
      <c r="H21" s="1202">
        <f>VLOOKUP(C1,OT_BENE_LASER,9,FALSE)</f>
        <v>26240731.359999999</v>
      </c>
      <c r="I21" s="78"/>
      <c r="J21" s="2565"/>
      <c r="K21" s="2565"/>
      <c r="L21" s="83"/>
      <c r="O21" s="82"/>
      <c r="P21" s="81"/>
      <c r="Q21" s="81"/>
      <c r="R21" s="81"/>
      <c r="S21" s="81"/>
    </row>
    <row r="22" spans="1:19" s="66" customFormat="1" ht="13.5" customHeight="1" x14ac:dyDescent="0.2">
      <c r="A22" s="2649" t="s">
        <v>771</v>
      </c>
      <c r="B22" s="2650"/>
      <c r="C22" s="2650"/>
      <c r="D22" s="2137">
        <f>D13/$H$13</f>
        <v>0.54142769564344295</v>
      </c>
      <c r="E22" s="2137">
        <f>E13/$H$13</f>
        <v>0.44503075954486304</v>
      </c>
      <c r="F22" s="2137">
        <f>F13/$H$13</f>
        <v>1.3452464579714015E-2</v>
      </c>
      <c r="G22" s="2137">
        <f>G13/$H$13</f>
        <v>8.9080231979968418E-5</v>
      </c>
      <c r="H22" s="2138">
        <f>H13/H13</f>
        <v>1</v>
      </c>
      <c r="I22" s="78"/>
      <c r="J22" s="2565"/>
      <c r="K22" s="2565"/>
      <c r="L22" s="83"/>
      <c r="O22" s="82"/>
      <c r="P22" s="81"/>
      <c r="Q22" s="81"/>
      <c r="R22" s="81"/>
      <c r="S22" s="81"/>
    </row>
    <row r="23" spans="1:19" s="66" customFormat="1" ht="13.5" customHeight="1" x14ac:dyDescent="0.2">
      <c r="A23" s="2651" t="s">
        <v>768</v>
      </c>
      <c r="B23" s="2652"/>
      <c r="C23" s="2652"/>
      <c r="D23" s="2141">
        <f>D13/D24</f>
        <v>0.94870174407938579</v>
      </c>
      <c r="E23" s="2141">
        <f>E13/E24</f>
        <v>0.97594110386015909</v>
      </c>
      <c r="F23" s="2141">
        <f>F13/F24</f>
        <v>0.42334894617403551</v>
      </c>
      <c r="G23" s="2141">
        <f>G13/G24</f>
        <v>2.3463191930032587E-2</v>
      </c>
      <c r="H23" s="2142">
        <f>H13/H24</f>
        <v>0.9413728433809434</v>
      </c>
      <c r="I23" s="78"/>
      <c r="J23" s="2565"/>
      <c r="K23" s="2565"/>
      <c r="L23" s="83"/>
      <c r="O23" s="82"/>
      <c r="P23" s="81"/>
      <c r="Q23" s="81"/>
      <c r="R23" s="81"/>
      <c r="S23" s="81"/>
    </row>
    <row r="24" spans="1:19" s="66" customFormat="1" ht="13.5" customHeight="1" x14ac:dyDescent="0.2">
      <c r="A24" s="2642" t="s">
        <v>776</v>
      </c>
      <c r="B24" s="2643"/>
      <c r="C24" s="2643"/>
      <c r="D24" s="2135">
        <f>D5+D10+D13</f>
        <v>6890100248.4933605</v>
      </c>
      <c r="E24" s="2135">
        <f>E5+E10+E13</f>
        <v>5505302563.5188608</v>
      </c>
      <c r="F24" s="2135">
        <f>F5+F10+F13</f>
        <v>383634933.20999998</v>
      </c>
      <c r="G24" s="2135">
        <f>G5+G10+G13</f>
        <v>45836243.559999995</v>
      </c>
      <c r="H24" s="2136">
        <f>H5+H10+H13</f>
        <v>12824873988.782223</v>
      </c>
      <c r="I24" s="92"/>
      <c r="J24" s="92"/>
      <c r="K24" s="83"/>
      <c r="L24" s="83"/>
      <c r="O24" s="82"/>
      <c r="P24" s="81"/>
      <c r="Q24" s="81"/>
      <c r="R24" s="81"/>
      <c r="S24" s="81"/>
    </row>
    <row r="25" spans="1:19" s="66" customFormat="1" ht="13.5" customHeight="1" x14ac:dyDescent="0.2">
      <c r="A25" s="1075" t="s">
        <v>772</v>
      </c>
      <c r="B25" s="1076"/>
      <c r="C25" s="1077"/>
      <c r="D25" s="1078">
        <f>D24/$H24</f>
        <v>0.53724506412461093</v>
      </c>
      <c r="E25" s="337">
        <f>E24/$H24</f>
        <v>0.42926757552037459</v>
      </c>
      <c r="F25" s="337">
        <f>F24/$H24</f>
        <v>2.9913349132752592E-2</v>
      </c>
      <c r="G25" s="337">
        <f>G24/$H24</f>
        <v>3.5740112222617123E-3</v>
      </c>
      <c r="H25" s="338">
        <f>SUM(D25:F25)</f>
        <v>0.99642598877773803</v>
      </c>
      <c r="I25" s="92"/>
      <c r="J25" s="92"/>
      <c r="L25" s="83"/>
      <c r="O25" s="82"/>
      <c r="P25" s="81"/>
      <c r="Q25" s="81"/>
      <c r="R25" s="81"/>
      <c r="S25" s="81"/>
    </row>
    <row r="26" spans="1:19" s="66" customFormat="1" ht="13.5" customHeight="1" x14ac:dyDescent="0.2">
      <c r="A26" s="2644" t="s">
        <v>783</v>
      </c>
      <c r="B26" s="2644"/>
      <c r="C26" s="2644"/>
      <c r="D26" s="2644"/>
      <c r="E26" s="2644"/>
      <c r="F26" s="2644"/>
      <c r="G26" s="2645"/>
      <c r="H26" s="2644"/>
      <c r="I26" s="92"/>
      <c r="J26" s="92"/>
      <c r="K26" s="83"/>
      <c r="L26" s="83"/>
      <c r="O26" s="82"/>
      <c r="P26" s="81"/>
      <c r="Q26" s="81"/>
      <c r="R26" s="81"/>
      <c r="S26" s="81"/>
    </row>
    <row r="27" spans="1:19" s="66" customFormat="1" ht="13.5" customHeight="1" x14ac:dyDescent="0.2">
      <c r="A27" s="2128"/>
      <c r="B27" s="2128"/>
      <c r="C27" s="2091"/>
      <c r="D27" s="2129"/>
      <c r="E27" s="2129"/>
      <c r="I27" s="92"/>
      <c r="J27" s="92"/>
      <c r="K27" s="83"/>
      <c r="L27" s="83"/>
      <c r="O27" s="82"/>
      <c r="P27" s="81"/>
      <c r="Q27" s="81"/>
      <c r="R27" s="81"/>
      <c r="S27" s="81"/>
    </row>
    <row r="28" spans="1:19" s="66" customFormat="1" ht="13.5" customHeight="1" x14ac:dyDescent="0.2">
      <c r="A28" s="2128"/>
      <c r="B28" s="2128"/>
      <c r="C28" s="2129"/>
      <c r="D28" s="2129"/>
      <c r="E28" s="2129"/>
      <c r="I28" s="92"/>
      <c r="J28" s="92"/>
      <c r="K28" s="83"/>
      <c r="L28" s="83"/>
      <c r="O28" s="82"/>
      <c r="P28" s="81"/>
      <c r="Q28" s="81"/>
      <c r="R28" s="81"/>
      <c r="S28" s="81"/>
    </row>
    <row r="29" spans="1:19" s="66" customFormat="1" ht="13.5" customHeight="1" x14ac:dyDescent="0.2">
      <c r="A29" s="2128"/>
      <c r="B29" s="2128"/>
      <c r="C29" s="2129"/>
      <c r="D29" s="2129"/>
      <c r="E29" s="2129"/>
      <c r="I29" s="92"/>
      <c r="J29" s="92"/>
      <c r="K29" s="83"/>
      <c r="L29" s="83"/>
      <c r="O29" s="82"/>
      <c r="P29" s="81"/>
      <c r="Q29" s="81"/>
      <c r="R29" s="81"/>
      <c r="S29" s="81"/>
    </row>
    <row r="30" spans="1:19" s="66" customFormat="1" ht="13.5" customHeight="1" x14ac:dyDescent="0.2">
      <c r="A30" s="2128"/>
      <c r="B30" s="2128"/>
      <c r="C30" s="2129"/>
      <c r="D30" s="2129"/>
      <c r="E30" s="2129"/>
      <c r="I30" s="92"/>
      <c r="J30" s="92"/>
      <c r="K30" s="83"/>
      <c r="L30" s="83"/>
      <c r="O30" s="82"/>
      <c r="P30" s="81"/>
      <c r="Q30" s="81"/>
      <c r="R30" s="81"/>
      <c r="S30" s="81"/>
    </row>
    <row r="31" spans="1:19" s="66" customFormat="1" ht="13.5" customHeight="1" x14ac:dyDescent="0.2">
      <c r="A31" s="91"/>
      <c r="B31" s="133"/>
      <c r="I31" s="92"/>
      <c r="J31" s="92"/>
      <c r="K31" s="83"/>
      <c r="L31" s="83"/>
      <c r="O31" s="82"/>
      <c r="P31" s="81"/>
      <c r="Q31" s="81"/>
      <c r="R31" s="81"/>
      <c r="S31" s="81"/>
    </row>
  </sheetData>
  <mergeCells count="29">
    <mergeCell ref="C1:D1"/>
    <mergeCell ref="A1:B1"/>
    <mergeCell ref="G3:G4"/>
    <mergeCell ref="H3:H4"/>
    <mergeCell ref="A18:C18"/>
    <mergeCell ref="A6:C6"/>
    <mergeCell ref="A7:C7"/>
    <mergeCell ref="A8:C8"/>
    <mergeCell ref="A9:C9"/>
    <mergeCell ref="A10:C10"/>
    <mergeCell ref="A12:C12"/>
    <mergeCell ref="A5:C5"/>
    <mergeCell ref="D3:D4"/>
    <mergeCell ref="E3:E4"/>
    <mergeCell ref="F3:F4"/>
    <mergeCell ref="A3:C3"/>
    <mergeCell ref="A4:C4"/>
    <mergeCell ref="J20:K23"/>
    <mergeCell ref="A19:C19"/>
    <mergeCell ref="A21:C21"/>
    <mergeCell ref="A22:C22"/>
    <mergeCell ref="A23:C23"/>
    <mergeCell ref="A24:C24"/>
    <mergeCell ref="A26:H26"/>
    <mergeCell ref="A13:C13"/>
    <mergeCell ref="A14:C14"/>
    <mergeCell ref="A15:C15"/>
    <mergeCell ref="A16:C16"/>
    <mergeCell ref="A17:C17"/>
  </mergeCells>
  <dataValidations count="1">
    <dataValidation type="list" allowBlank="1" showInputMessage="1" showErrorMessage="1" sqref="C1">
      <formula1>Region</formula1>
    </dataValidation>
  </dataValidations>
  <pageMargins left="0.45" right="0.45" top="0.75" bottom="0.75" header="0.3" footer="0.3"/>
  <pageSetup orientation="portrait" r:id="rId1"/>
  <headerFooter>
    <oddHeader>&amp;CSocial Services Spending Summary by Region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ColWidth="9" defaultRowHeight="15.6" x14ac:dyDescent="0.3"/>
  <cols>
    <col min="1" max="1" width="9" style="441"/>
    <col min="2" max="2" width="33.296875" style="441" customWidth="1"/>
    <col min="3" max="3" width="16.69921875" style="441" customWidth="1"/>
    <col min="4" max="4" width="7.19921875" style="441" customWidth="1"/>
    <col min="5" max="6" width="9.09765625" style="441" bestFit="1" customWidth="1"/>
    <col min="7" max="7" width="9.796875" style="441" bestFit="1" customWidth="1"/>
    <col min="8" max="15" width="10.09765625" style="441" bestFit="1" customWidth="1"/>
    <col min="16" max="16" width="11.09765625" style="441" bestFit="1" customWidth="1"/>
    <col min="17" max="16384" width="9" style="441"/>
  </cols>
  <sheetData>
    <row r="1" spans="1:16" ht="12.75" customHeight="1" x14ac:dyDescent="0.3">
      <c r="A1" s="253" t="s">
        <v>1061</v>
      </c>
    </row>
    <row r="3" spans="1:16" ht="53.25" customHeight="1" x14ac:dyDescent="0.3">
      <c r="A3" s="446" t="s">
        <v>4</v>
      </c>
      <c r="B3" s="503" t="s">
        <v>5</v>
      </c>
      <c r="C3" s="503" t="s">
        <v>251</v>
      </c>
      <c r="D3" s="1376">
        <v>43282</v>
      </c>
      <c r="E3" s="1376">
        <v>43313</v>
      </c>
      <c r="F3" s="1376">
        <v>43344</v>
      </c>
      <c r="G3" s="1376">
        <v>43374</v>
      </c>
      <c r="H3" s="1376">
        <v>43405</v>
      </c>
      <c r="I3" s="1376">
        <v>43435</v>
      </c>
      <c r="J3" s="1376">
        <v>43466</v>
      </c>
      <c r="K3" s="1376">
        <v>43497</v>
      </c>
      <c r="L3" s="1376">
        <v>43525</v>
      </c>
      <c r="M3" s="1376">
        <v>43556</v>
      </c>
      <c r="N3" s="1376">
        <v>43586</v>
      </c>
      <c r="O3" s="1376">
        <v>43617</v>
      </c>
      <c r="P3" s="1377" t="s">
        <v>1059</v>
      </c>
    </row>
    <row r="4" spans="1:16" x14ac:dyDescent="0.3">
      <c r="A4" s="528">
        <v>999</v>
      </c>
      <c r="B4" s="529" t="s">
        <v>9</v>
      </c>
      <c r="C4" s="529"/>
      <c r="D4" s="1378">
        <f>SUM(D5:D124)</f>
        <v>21885</v>
      </c>
      <c r="E4" s="1379">
        <f t="shared" ref="E4:P4" si="0">SUM(E5:E124)</f>
        <v>24790</v>
      </c>
      <c r="F4" s="1379">
        <f t="shared" si="0"/>
        <v>20486</v>
      </c>
      <c r="G4" s="1379">
        <f t="shared" si="0"/>
        <v>23380</v>
      </c>
      <c r="H4" s="1380">
        <f t="shared" si="0"/>
        <v>23140</v>
      </c>
      <c r="I4" s="1380">
        <f t="shared" si="0"/>
        <v>21480</v>
      </c>
      <c r="J4" s="1380">
        <f t="shared" si="0"/>
        <v>26051</v>
      </c>
      <c r="K4" s="1380">
        <f t="shared" si="0"/>
        <v>21049</v>
      </c>
      <c r="L4" s="1380">
        <f t="shared" si="0"/>
        <v>21989</v>
      </c>
      <c r="M4" s="1380">
        <f t="shared" si="0"/>
        <v>21733</v>
      </c>
      <c r="N4" s="1380">
        <f t="shared" si="0"/>
        <v>22740</v>
      </c>
      <c r="O4" s="1380">
        <f t="shared" si="0"/>
        <v>22188</v>
      </c>
      <c r="P4" s="1380">
        <f t="shared" si="0"/>
        <v>270911</v>
      </c>
    </row>
    <row r="5" spans="1:16" x14ac:dyDescent="0.3">
      <c r="A5" s="448" t="s">
        <v>10</v>
      </c>
      <c r="B5" s="505" t="s">
        <v>11</v>
      </c>
      <c r="C5" s="505" t="s">
        <v>252</v>
      </c>
      <c r="D5" s="266">
        <v>141</v>
      </c>
      <c r="E5" s="266">
        <v>145</v>
      </c>
      <c r="F5" s="266">
        <v>132</v>
      </c>
      <c r="G5" s="266">
        <v>163</v>
      </c>
      <c r="H5" s="266">
        <v>157</v>
      </c>
      <c r="I5" s="266">
        <v>133</v>
      </c>
      <c r="J5" s="266">
        <v>165</v>
      </c>
      <c r="K5" s="266">
        <v>124</v>
      </c>
      <c r="L5" s="266">
        <v>101</v>
      </c>
      <c r="M5" s="266">
        <v>118</v>
      </c>
      <c r="N5" s="266">
        <v>104</v>
      </c>
      <c r="O5" s="266">
        <v>91</v>
      </c>
      <c r="P5" s="266">
        <f t="shared" ref="P5:P36" si="1">SUM(D5:O5)</f>
        <v>1574</v>
      </c>
    </row>
    <row r="6" spans="1:16" x14ac:dyDescent="0.3">
      <c r="A6" s="449" t="s">
        <v>12</v>
      </c>
      <c r="B6" s="532" t="s">
        <v>13</v>
      </c>
      <c r="C6" s="532" t="s">
        <v>253</v>
      </c>
      <c r="D6" s="266">
        <v>164</v>
      </c>
      <c r="E6" s="266">
        <v>173</v>
      </c>
      <c r="F6" s="266">
        <v>150</v>
      </c>
      <c r="G6" s="266">
        <v>173</v>
      </c>
      <c r="H6" s="266">
        <v>153</v>
      </c>
      <c r="I6" s="266">
        <v>166</v>
      </c>
      <c r="J6" s="266">
        <v>193</v>
      </c>
      <c r="K6" s="266">
        <v>169</v>
      </c>
      <c r="L6" s="266">
        <v>171</v>
      </c>
      <c r="M6" s="266">
        <v>186</v>
      </c>
      <c r="N6" s="266">
        <v>160</v>
      </c>
      <c r="O6" s="266">
        <v>171</v>
      </c>
      <c r="P6" s="266">
        <f t="shared" si="1"/>
        <v>2029</v>
      </c>
    </row>
    <row r="7" spans="1:16" x14ac:dyDescent="0.3">
      <c r="A7" s="449" t="s">
        <v>16</v>
      </c>
      <c r="B7" s="532" t="s">
        <v>285</v>
      </c>
      <c r="C7" s="532" t="s">
        <v>253</v>
      </c>
      <c r="D7" s="266">
        <v>69</v>
      </c>
      <c r="E7" s="266">
        <v>87</v>
      </c>
      <c r="F7" s="266">
        <v>68</v>
      </c>
      <c r="G7" s="266">
        <v>59</v>
      </c>
      <c r="H7" s="266">
        <v>70</v>
      </c>
      <c r="I7" s="266">
        <v>69</v>
      </c>
      <c r="J7" s="266">
        <v>84</v>
      </c>
      <c r="K7" s="266">
        <v>72</v>
      </c>
      <c r="L7" s="266">
        <v>69</v>
      </c>
      <c r="M7" s="266">
        <v>55</v>
      </c>
      <c r="N7" s="266">
        <v>70</v>
      </c>
      <c r="O7" s="266">
        <v>46</v>
      </c>
      <c r="P7" s="266">
        <f t="shared" si="1"/>
        <v>818</v>
      </c>
    </row>
    <row r="8" spans="1:16" x14ac:dyDescent="0.3">
      <c r="A8" s="449" t="s">
        <v>18</v>
      </c>
      <c r="B8" s="532" t="s">
        <v>19</v>
      </c>
      <c r="C8" s="532" t="s">
        <v>254</v>
      </c>
      <c r="D8" s="266">
        <v>33</v>
      </c>
      <c r="E8" s="266">
        <v>29</v>
      </c>
      <c r="F8" s="266">
        <v>28</v>
      </c>
      <c r="G8" s="266">
        <v>50</v>
      </c>
      <c r="H8" s="266">
        <v>45</v>
      </c>
      <c r="I8" s="266">
        <v>36</v>
      </c>
      <c r="J8" s="266">
        <v>39</v>
      </c>
      <c r="K8" s="266">
        <v>25</v>
      </c>
      <c r="L8" s="266">
        <v>29</v>
      </c>
      <c r="M8" s="266">
        <v>38</v>
      </c>
      <c r="N8" s="266">
        <v>38</v>
      </c>
      <c r="O8" s="266">
        <v>33</v>
      </c>
      <c r="P8" s="266">
        <f t="shared" si="1"/>
        <v>423</v>
      </c>
    </row>
    <row r="9" spans="1:16" x14ac:dyDescent="0.3">
      <c r="A9" s="449" t="s">
        <v>20</v>
      </c>
      <c r="B9" s="532" t="s">
        <v>21</v>
      </c>
      <c r="C9" s="532" t="s">
        <v>253</v>
      </c>
      <c r="D9" s="266">
        <v>76</v>
      </c>
      <c r="E9" s="266">
        <v>95</v>
      </c>
      <c r="F9" s="266">
        <v>77</v>
      </c>
      <c r="G9" s="266">
        <v>93</v>
      </c>
      <c r="H9" s="266">
        <v>98</v>
      </c>
      <c r="I9" s="266">
        <v>89</v>
      </c>
      <c r="J9" s="266">
        <v>111</v>
      </c>
      <c r="K9" s="266">
        <v>89</v>
      </c>
      <c r="L9" s="266">
        <v>95</v>
      </c>
      <c r="M9" s="266">
        <v>73</v>
      </c>
      <c r="N9" s="266">
        <v>71</v>
      </c>
      <c r="O9" s="266">
        <v>93</v>
      </c>
      <c r="P9" s="266">
        <f t="shared" si="1"/>
        <v>1060</v>
      </c>
    </row>
    <row r="10" spans="1:16" x14ac:dyDescent="0.3">
      <c r="A10" s="449" t="s">
        <v>22</v>
      </c>
      <c r="B10" s="532" t="s">
        <v>23</v>
      </c>
      <c r="C10" s="532" t="s">
        <v>253</v>
      </c>
      <c r="D10" s="266">
        <v>60</v>
      </c>
      <c r="E10" s="266">
        <v>55</v>
      </c>
      <c r="F10" s="266">
        <v>50</v>
      </c>
      <c r="G10" s="266">
        <v>49</v>
      </c>
      <c r="H10" s="266">
        <v>56</v>
      </c>
      <c r="I10" s="266">
        <v>38</v>
      </c>
      <c r="J10" s="266">
        <v>81</v>
      </c>
      <c r="K10" s="266">
        <v>44</v>
      </c>
      <c r="L10" s="266">
        <v>58</v>
      </c>
      <c r="M10" s="266">
        <v>50</v>
      </c>
      <c r="N10" s="266">
        <v>51</v>
      </c>
      <c r="O10" s="266">
        <v>59</v>
      </c>
      <c r="P10" s="266">
        <f t="shared" si="1"/>
        <v>651</v>
      </c>
    </row>
    <row r="11" spans="1:16" x14ac:dyDescent="0.3">
      <c r="A11" s="449" t="s">
        <v>24</v>
      </c>
      <c r="B11" s="532" t="s">
        <v>25</v>
      </c>
      <c r="C11" s="532" t="s">
        <v>255</v>
      </c>
      <c r="D11" s="266">
        <v>224</v>
      </c>
      <c r="E11" s="266">
        <v>229</v>
      </c>
      <c r="F11" s="266">
        <v>199</v>
      </c>
      <c r="G11" s="266">
        <v>188</v>
      </c>
      <c r="H11" s="266">
        <v>178</v>
      </c>
      <c r="I11" s="266">
        <v>171</v>
      </c>
      <c r="J11" s="266">
        <v>235</v>
      </c>
      <c r="K11" s="266">
        <v>179</v>
      </c>
      <c r="L11" s="266">
        <v>194</v>
      </c>
      <c r="M11" s="266">
        <v>178</v>
      </c>
      <c r="N11" s="266">
        <v>194</v>
      </c>
      <c r="O11" s="266">
        <v>170</v>
      </c>
      <c r="P11" s="266">
        <f t="shared" si="1"/>
        <v>2339</v>
      </c>
    </row>
    <row r="12" spans="1:16" x14ac:dyDescent="0.3">
      <c r="A12" s="449" t="s">
        <v>26</v>
      </c>
      <c r="B12" s="532" t="s">
        <v>547</v>
      </c>
      <c r="C12" s="532" t="s">
        <v>253</v>
      </c>
      <c r="D12" s="266">
        <v>353</v>
      </c>
      <c r="E12" s="266">
        <v>422</v>
      </c>
      <c r="F12" s="266">
        <v>304</v>
      </c>
      <c r="G12" s="266">
        <v>335</v>
      </c>
      <c r="H12" s="266">
        <v>392</v>
      </c>
      <c r="I12" s="266">
        <v>371</v>
      </c>
      <c r="J12" s="266">
        <v>394</v>
      </c>
      <c r="K12" s="266">
        <v>273</v>
      </c>
      <c r="L12" s="266">
        <v>296</v>
      </c>
      <c r="M12" s="266">
        <v>315</v>
      </c>
      <c r="N12" s="266">
        <v>369</v>
      </c>
      <c r="O12" s="266">
        <v>319</v>
      </c>
      <c r="P12" s="266">
        <f t="shared" si="1"/>
        <v>4143</v>
      </c>
    </row>
    <row r="13" spans="1:16" x14ac:dyDescent="0.3">
      <c r="A13" s="449" t="s">
        <v>27</v>
      </c>
      <c r="B13" s="532" t="s">
        <v>28</v>
      </c>
      <c r="C13" s="532" t="s">
        <v>253</v>
      </c>
      <c r="D13" s="266">
        <v>9</v>
      </c>
      <c r="E13" s="266">
        <v>10</v>
      </c>
      <c r="F13" s="266">
        <v>2</v>
      </c>
      <c r="G13" s="266">
        <v>11</v>
      </c>
      <c r="H13" s="266">
        <v>9</v>
      </c>
      <c r="I13" s="266">
        <v>9</v>
      </c>
      <c r="J13" s="266">
        <v>13</v>
      </c>
      <c r="K13" s="266">
        <v>9</v>
      </c>
      <c r="L13" s="266">
        <v>9</v>
      </c>
      <c r="M13" s="266">
        <v>16</v>
      </c>
      <c r="N13" s="266">
        <v>9</v>
      </c>
      <c r="O13" s="266">
        <v>8</v>
      </c>
      <c r="P13" s="266">
        <f t="shared" si="1"/>
        <v>114</v>
      </c>
    </row>
    <row r="14" spans="1:16" x14ac:dyDescent="0.3">
      <c r="A14" s="449" t="s">
        <v>29</v>
      </c>
      <c r="B14" s="532" t="s">
        <v>736</v>
      </c>
      <c r="C14" s="532" t="s">
        <v>253</v>
      </c>
      <c r="D14" s="266">
        <v>155</v>
      </c>
      <c r="E14" s="266">
        <v>205</v>
      </c>
      <c r="F14" s="266">
        <v>160</v>
      </c>
      <c r="G14" s="266">
        <v>175</v>
      </c>
      <c r="H14" s="266">
        <v>194</v>
      </c>
      <c r="I14" s="266">
        <v>165</v>
      </c>
      <c r="J14" s="266">
        <v>187</v>
      </c>
      <c r="K14" s="266">
        <v>147</v>
      </c>
      <c r="L14" s="266">
        <v>183</v>
      </c>
      <c r="M14" s="266">
        <v>164</v>
      </c>
      <c r="N14" s="266">
        <v>176</v>
      </c>
      <c r="O14" s="266">
        <v>156</v>
      </c>
      <c r="P14" s="266">
        <f t="shared" si="1"/>
        <v>2067</v>
      </c>
    </row>
    <row r="15" spans="1:16" x14ac:dyDescent="0.3">
      <c r="A15" s="449" t="s">
        <v>30</v>
      </c>
      <c r="B15" s="532" t="s">
        <v>31</v>
      </c>
      <c r="C15" s="532" t="s">
        <v>256</v>
      </c>
      <c r="D15" s="266">
        <v>15</v>
      </c>
      <c r="E15" s="266">
        <v>12</v>
      </c>
      <c r="F15" s="266">
        <v>12</v>
      </c>
      <c r="G15" s="266">
        <v>9</v>
      </c>
      <c r="H15" s="266">
        <v>12</v>
      </c>
      <c r="I15" s="266">
        <v>6</v>
      </c>
      <c r="J15" s="266">
        <v>11</v>
      </c>
      <c r="K15" s="266">
        <v>10</v>
      </c>
      <c r="L15" s="266">
        <v>17</v>
      </c>
      <c r="M15" s="266">
        <v>11</v>
      </c>
      <c r="N15" s="266">
        <v>12</v>
      </c>
      <c r="O15" s="266">
        <v>8</v>
      </c>
      <c r="P15" s="266">
        <f t="shared" si="1"/>
        <v>135</v>
      </c>
    </row>
    <row r="16" spans="1:16" x14ac:dyDescent="0.3">
      <c r="A16" s="449" t="s">
        <v>32</v>
      </c>
      <c r="B16" s="532" t="s">
        <v>33</v>
      </c>
      <c r="C16" s="532" t="s">
        <v>253</v>
      </c>
      <c r="D16" s="266">
        <v>37</v>
      </c>
      <c r="E16" s="266">
        <v>51</v>
      </c>
      <c r="F16" s="266">
        <v>52</v>
      </c>
      <c r="G16" s="266">
        <v>47</v>
      </c>
      <c r="H16" s="266">
        <v>59</v>
      </c>
      <c r="I16" s="266">
        <v>29</v>
      </c>
      <c r="J16" s="266">
        <v>62</v>
      </c>
      <c r="K16" s="266">
        <v>37</v>
      </c>
      <c r="L16" s="266">
        <v>33</v>
      </c>
      <c r="M16" s="266">
        <v>56</v>
      </c>
      <c r="N16" s="266">
        <v>47</v>
      </c>
      <c r="O16" s="266">
        <v>60</v>
      </c>
      <c r="P16" s="266">
        <f t="shared" si="1"/>
        <v>570</v>
      </c>
    </row>
    <row r="17" spans="1:16" x14ac:dyDescent="0.3">
      <c r="A17" s="449" t="s">
        <v>36</v>
      </c>
      <c r="B17" s="532" t="s">
        <v>37</v>
      </c>
      <c r="C17" s="532" t="s">
        <v>252</v>
      </c>
      <c r="D17" s="266">
        <v>89</v>
      </c>
      <c r="E17" s="266">
        <v>84</v>
      </c>
      <c r="F17" s="266">
        <v>63</v>
      </c>
      <c r="G17" s="266">
        <v>63</v>
      </c>
      <c r="H17" s="266">
        <v>84</v>
      </c>
      <c r="I17" s="266">
        <v>55</v>
      </c>
      <c r="J17" s="266">
        <v>96</v>
      </c>
      <c r="K17" s="266">
        <v>66</v>
      </c>
      <c r="L17" s="266">
        <v>75</v>
      </c>
      <c r="M17" s="266">
        <v>77</v>
      </c>
      <c r="N17" s="266">
        <v>85</v>
      </c>
      <c r="O17" s="266">
        <v>94</v>
      </c>
      <c r="P17" s="266">
        <f t="shared" si="1"/>
        <v>931</v>
      </c>
    </row>
    <row r="18" spans="1:16" x14ac:dyDescent="0.3">
      <c r="A18" s="449" t="s">
        <v>38</v>
      </c>
      <c r="B18" s="532" t="s">
        <v>39</v>
      </c>
      <c r="C18" s="532" t="s">
        <v>256</v>
      </c>
      <c r="D18" s="266">
        <v>77</v>
      </c>
      <c r="E18" s="266">
        <v>77</v>
      </c>
      <c r="F18" s="266">
        <v>68</v>
      </c>
      <c r="G18" s="266">
        <v>67</v>
      </c>
      <c r="H18" s="266">
        <v>70</v>
      </c>
      <c r="I18" s="266">
        <v>73</v>
      </c>
      <c r="J18" s="266">
        <v>102</v>
      </c>
      <c r="K18" s="266">
        <v>90</v>
      </c>
      <c r="L18" s="266">
        <v>85</v>
      </c>
      <c r="M18" s="266">
        <v>63</v>
      </c>
      <c r="N18" s="266">
        <v>63</v>
      </c>
      <c r="O18" s="266">
        <v>84</v>
      </c>
      <c r="P18" s="266">
        <f t="shared" si="1"/>
        <v>919</v>
      </c>
    </row>
    <row r="19" spans="1:16" x14ac:dyDescent="0.3">
      <c r="A19" s="449" t="s">
        <v>40</v>
      </c>
      <c r="B19" s="532" t="s">
        <v>41</v>
      </c>
      <c r="C19" s="532" t="s">
        <v>254</v>
      </c>
      <c r="D19" s="266">
        <v>50</v>
      </c>
      <c r="E19" s="266">
        <v>72</v>
      </c>
      <c r="F19" s="266">
        <v>58</v>
      </c>
      <c r="G19" s="266">
        <v>44</v>
      </c>
      <c r="H19" s="266">
        <v>83</v>
      </c>
      <c r="I19" s="266">
        <v>57</v>
      </c>
      <c r="J19" s="266">
        <v>63</v>
      </c>
      <c r="K19" s="266">
        <v>43</v>
      </c>
      <c r="L19" s="266">
        <v>45</v>
      </c>
      <c r="M19" s="266">
        <v>51</v>
      </c>
      <c r="N19" s="266">
        <v>47</v>
      </c>
      <c r="O19" s="266">
        <v>66</v>
      </c>
      <c r="P19" s="266">
        <f t="shared" si="1"/>
        <v>679</v>
      </c>
    </row>
    <row r="20" spans="1:16" x14ac:dyDescent="0.3">
      <c r="A20" s="449" t="s">
        <v>42</v>
      </c>
      <c r="B20" s="532" t="s">
        <v>43</v>
      </c>
      <c r="C20" s="532" t="s">
        <v>253</v>
      </c>
      <c r="D20" s="266">
        <v>130</v>
      </c>
      <c r="E20" s="266">
        <v>170</v>
      </c>
      <c r="F20" s="266">
        <v>139</v>
      </c>
      <c r="G20" s="266">
        <v>150</v>
      </c>
      <c r="H20" s="266">
        <v>171</v>
      </c>
      <c r="I20" s="266">
        <v>127</v>
      </c>
      <c r="J20" s="266">
        <v>154</v>
      </c>
      <c r="K20" s="266">
        <v>175</v>
      </c>
      <c r="L20" s="266">
        <v>175</v>
      </c>
      <c r="M20" s="266">
        <v>136</v>
      </c>
      <c r="N20" s="266">
        <v>158</v>
      </c>
      <c r="O20" s="266">
        <v>175</v>
      </c>
      <c r="P20" s="266">
        <f t="shared" si="1"/>
        <v>1860</v>
      </c>
    </row>
    <row r="21" spans="1:16" x14ac:dyDescent="0.3">
      <c r="A21" s="449" t="s">
        <v>44</v>
      </c>
      <c r="B21" s="532" t="s">
        <v>45</v>
      </c>
      <c r="C21" s="532" t="s">
        <v>254</v>
      </c>
      <c r="D21" s="266">
        <v>94</v>
      </c>
      <c r="E21" s="266">
        <v>116</v>
      </c>
      <c r="F21" s="266">
        <v>86</v>
      </c>
      <c r="G21" s="266">
        <v>95</v>
      </c>
      <c r="H21" s="266">
        <v>140</v>
      </c>
      <c r="I21" s="266">
        <v>109</v>
      </c>
      <c r="J21" s="266">
        <v>127</v>
      </c>
      <c r="K21" s="266">
        <v>96</v>
      </c>
      <c r="L21" s="266">
        <v>82</v>
      </c>
      <c r="M21" s="266">
        <v>91</v>
      </c>
      <c r="N21" s="266">
        <v>109</v>
      </c>
      <c r="O21" s="266">
        <v>109</v>
      </c>
      <c r="P21" s="266">
        <f t="shared" si="1"/>
        <v>1254</v>
      </c>
    </row>
    <row r="22" spans="1:16" x14ac:dyDescent="0.3">
      <c r="A22" s="449" t="s">
        <v>46</v>
      </c>
      <c r="B22" s="532" t="s">
        <v>47</v>
      </c>
      <c r="C22" s="532" t="s">
        <v>256</v>
      </c>
      <c r="D22" s="266">
        <v>110</v>
      </c>
      <c r="E22" s="266">
        <v>84</v>
      </c>
      <c r="F22" s="266">
        <v>87</v>
      </c>
      <c r="G22" s="266">
        <v>115</v>
      </c>
      <c r="H22" s="266">
        <v>115</v>
      </c>
      <c r="I22" s="266">
        <v>106</v>
      </c>
      <c r="J22" s="266">
        <v>114</v>
      </c>
      <c r="K22" s="266">
        <v>92</v>
      </c>
      <c r="L22" s="266">
        <v>105</v>
      </c>
      <c r="M22" s="266">
        <v>71</v>
      </c>
      <c r="N22" s="266">
        <v>97</v>
      </c>
      <c r="O22" s="266">
        <v>92</v>
      </c>
      <c r="P22" s="266">
        <f t="shared" si="1"/>
        <v>1188</v>
      </c>
    </row>
    <row r="23" spans="1:16" x14ac:dyDescent="0.3">
      <c r="A23" s="449" t="s">
        <v>48</v>
      </c>
      <c r="B23" s="532" t="s">
        <v>257</v>
      </c>
      <c r="C23" s="532" t="s">
        <v>254</v>
      </c>
      <c r="D23" s="266">
        <v>15</v>
      </c>
      <c r="E23" s="266">
        <v>25</v>
      </c>
      <c r="F23" s="266">
        <v>17</v>
      </c>
      <c r="G23" s="266">
        <v>16</v>
      </c>
      <c r="H23" s="266">
        <v>24</v>
      </c>
      <c r="I23" s="266">
        <v>18</v>
      </c>
      <c r="J23" s="266">
        <v>22</v>
      </c>
      <c r="K23" s="266">
        <v>15</v>
      </c>
      <c r="L23" s="266">
        <v>11</v>
      </c>
      <c r="M23" s="266">
        <v>13</v>
      </c>
      <c r="N23" s="266">
        <v>18</v>
      </c>
      <c r="O23" s="266">
        <v>21</v>
      </c>
      <c r="P23" s="266">
        <f t="shared" si="1"/>
        <v>215</v>
      </c>
    </row>
    <row r="24" spans="1:16" x14ac:dyDescent="0.3">
      <c r="A24" s="449" t="s">
        <v>50</v>
      </c>
      <c r="B24" s="532" t="s">
        <v>51</v>
      </c>
      <c r="C24" s="532" t="s">
        <v>253</v>
      </c>
      <c r="D24" s="266">
        <v>35</v>
      </c>
      <c r="E24" s="266">
        <v>55</v>
      </c>
      <c r="F24" s="266">
        <v>35</v>
      </c>
      <c r="G24" s="266">
        <v>38</v>
      </c>
      <c r="H24" s="266">
        <v>36</v>
      </c>
      <c r="I24" s="266">
        <v>35</v>
      </c>
      <c r="J24" s="266">
        <v>39</v>
      </c>
      <c r="K24" s="266">
        <v>40</v>
      </c>
      <c r="L24" s="266">
        <v>36</v>
      </c>
      <c r="M24" s="266">
        <v>32</v>
      </c>
      <c r="N24" s="266">
        <v>26</v>
      </c>
      <c r="O24" s="266">
        <v>36</v>
      </c>
      <c r="P24" s="266">
        <f t="shared" si="1"/>
        <v>443</v>
      </c>
    </row>
    <row r="25" spans="1:16" x14ac:dyDescent="0.3">
      <c r="A25" s="449" t="s">
        <v>56</v>
      </c>
      <c r="B25" s="532" t="s">
        <v>283</v>
      </c>
      <c r="C25" s="532" t="s">
        <v>254</v>
      </c>
      <c r="D25" s="266">
        <v>870</v>
      </c>
      <c r="E25" s="266">
        <v>950</v>
      </c>
      <c r="F25" s="266">
        <v>825</v>
      </c>
      <c r="G25" s="266">
        <v>885</v>
      </c>
      <c r="H25" s="266">
        <v>901</v>
      </c>
      <c r="I25" s="266">
        <v>833</v>
      </c>
      <c r="J25" s="266">
        <v>883</v>
      </c>
      <c r="K25" s="266">
        <v>755</v>
      </c>
      <c r="L25" s="266">
        <v>863</v>
      </c>
      <c r="M25" s="266">
        <v>812</v>
      </c>
      <c r="N25" s="266">
        <v>1013</v>
      </c>
      <c r="O25" s="266">
        <v>937</v>
      </c>
      <c r="P25" s="266">
        <f t="shared" si="1"/>
        <v>10527</v>
      </c>
    </row>
    <row r="26" spans="1:16" x14ac:dyDescent="0.3">
      <c r="A26" s="449" t="s">
        <v>58</v>
      </c>
      <c r="B26" s="532" t="s">
        <v>59</v>
      </c>
      <c r="C26" s="532" t="s">
        <v>255</v>
      </c>
      <c r="D26" s="266">
        <v>11</v>
      </c>
      <c r="E26" s="266">
        <v>15</v>
      </c>
      <c r="F26" s="266">
        <v>22</v>
      </c>
      <c r="G26" s="266">
        <v>17</v>
      </c>
      <c r="H26" s="266">
        <v>8</v>
      </c>
      <c r="I26" s="266">
        <v>11</v>
      </c>
      <c r="J26" s="266">
        <v>22</v>
      </c>
      <c r="K26" s="266">
        <v>20</v>
      </c>
      <c r="L26" s="266">
        <v>15</v>
      </c>
      <c r="M26" s="266">
        <v>15</v>
      </c>
      <c r="N26" s="266">
        <v>10</v>
      </c>
      <c r="O26" s="266">
        <v>19</v>
      </c>
      <c r="P26" s="266">
        <f t="shared" si="1"/>
        <v>185</v>
      </c>
    </row>
    <row r="27" spans="1:16" x14ac:dyDescent="0.3">
      <c r="A27" s="449" t="s">
        <v>60</v>
      </c>
      <c r="B27" s="532" t="s">
        <v>61</v>
      </c>
      <c r="C27" s="532" t="s">
        <v>253</v>
      </c>
      <c r="D27" s="266">
        <v>18</v>
      </c>
      <c r="E27" s="266">
        <v>12</v>
      </c>
      <c r="F27" s="266">
        <v>21</v>
      </c>
      <c r="G27" s="266">
        <v>11</v>
      </c>
      <c r="H27" s="266">
        <v>15</v>
      </c>
      <c r="I27" s="266">
        <v>8</v>
      </c>
      <c r="J27" s="266">
        <v>22</v>
      </c>
      <c r="K27" s="266">
        <v>10</v>
      </c>
      <c r="L27" s="266">
        <v>17</v>
      </c>
      <c r="M27" s="266">
        <v>23</v>
      </c>
      <c r="N27" s="266">
        <v>11</v>
      </c>
      <c r="O27" s="266">
        <v>6</v>
      </c>
      <c r="P27" s="266">
        <f t="shared" si="1"/>
        <v>174</v>
      </c>
    </row>
    <row r="28" spans="1:16" x14ac:dyDescent="0.3">
      <c r="A28" s="449" t="s">
        <v>62</v>
      </c>
      <c r="B28" s="532" t="s">
        <v>63</v>
      </c>
      <c r="C28" s="532" t="s">
        <v>255</v>
      </c>
      <c r="D28" s="266">
        <v>127</v>
      </c>
      <c r="E28" s="266">
        <v>137</v>
      </c>
      <c r="F28" s="266">
        <v>103</v>
      </c>
      <c r="G28" s="266">
        <v>120</v>
      </c>
      <c r="H28" s="266">
        <v>126</v>
      </c>
      <c r="I28" s="266">
        <v>113</v>
      </c>
      <c r="J28" s="266">
        <v>140</v>
      </c>
      <c r="K28" s="266">
        <v>113</v>
      </c>
      <c r="L28" s="266">
        <v>128</v>
      </c>
      <c r="M28" s="266">
        <v>103</v>
      </c>
      <c r="N28" s="266">
        <v>105</v>
      </c>
      <c r="O28" s="266">
        <v>115</v>
      </c>
      <c r="P28" s="266">
        <f t="shared" si="1"/>
        <v>1430</v>
      </c>
    </row>
    <row r="29" spans="1:16" x14ac:dyDescent="0.3">
      <c r="A29" s="449" t="s">
        <v>64</v>
      </c>
      <c r="B29" s="532" t="s">
        <v>65</v>
      </c>
      <c r="C29" s="532" t="s">
        <v>254</v>
      </c>
      <c r="D29" s="266">
        <v>39</v>
      </c>
      <c r="E29" s="266">
        <v>46</v>
      </c>
      <c r="F29" s="266">
        <v>31</v>
      </c>
      <c r="G29" s="266">
        <v>37</v>
      </c>
      <c r="H29" s="266">
        <v>29</v>
      </c>
      <c r="I29" s="266">
        <v>40</v>
      </c>
      <c r="J29" s="266">
        <v>56</v>
      </c>
      <c r="K29" s="266">
        <v>23</v>
      </c>
      <c r="L29" s="266">
        <v>44</v>
      </c>
      <c r="M29" s="266">
        <v>41</v>
      </c>
      <c r="N29" s="266">
        <v>31</v>
      </c>
      <c r="O29" s="266">
        <v>40</v>
      </c>
      <c r="P29" s="266">
        <f t="shared" si="1"/>
        <v>457</v>
      </c>
    </row>
    <row r="30" spans="1:16" x14ac:dyDescent="0.3">
      <c r="A30" s="449" t="s">
        <v>68</v>
      </c>
      <c r="B30" s="532" t="s">
        <v>69</v>
      </c>
      <c r="C30" s="532" t="s">
        <v>256</v>
      </c>
      <c r="D30" s="266">
        <v>61</v>
      </c>
      <c r="E30" s="266">
        <v>64</v>
      </c>
      <c r="F30" s="266">
        <v>55</v>
      </c>
      <c r="G30" s="266">
        <v>55</v>
      </c>
      <c r="H30" s="266">
        <v>66</v>
      </c>
      <c r="I30" s="266">
        <v>52</v>
      </c>
      <c r="J30" s="266">
        <v>73</v>
      </c>
      <c r="K30" s="266">
        <v>51</v>
      </c>
      <c r="L30" s="266">
        <v>50</v>
      </c>
      <c r="M30" s="266">
        <v>57</v>
      </c>
      <c r="N30" s="266">
        <v>44</v>
      </c>
      <c r="O30" s="266">
        <v>60</v>
      </c>
      <c r="P30" s="266">
        <f t="shared" si="1"/>
        <v>688</v>
      </c>
    </row>
    <row r="31" spans="1:16" x14ac:dyDescent="0.3">
      <c r="A31" s="449" t="s">
        <v>70</v>
      </c>
      <c r="B31" s="532" t="s">
        <v>71</v>
      </c>
      <c r="C31" s="532" t="s">
        <v>252</v>
      </c>
      <c r="D31" s="266">
        <v>104</v>
      </c>
      <c r="E31" s="266">
        <v>96</v>
      </c>
      <c r="F31" s="266">
        <v>83</v>
      </c>
      <c r="G31" s="266">
        <v>117</v>
      </c>
      <c r="H31" s="266">
        <v>129</v>
      </c>
      <c r="I31" s="266">
        <v>79</v>
      </c>
      <c r="J31" s="266">
        <v>124</v>
      </c>
      <c r="K31" s="266">
        <v>88</v>
      </c>
      <c r="L31" s="266">
        <v>113</v>
      </c>
      <c r="M31" s="266">
        <v>92</v>
      </c>
      <c r="N31" s="266">
        <v>111</v>
      </c>
      <c r="O31" s="266">
        <v>104</v>
      </c>
      <c r="P31" s="266">
        <f t="shared" si="1"/>
        <v>1240</v>
      </c>
    </row>
    <row r="32" spans="1:16" x14ac:dyDescent="0.3">
      <c r="A32" s="449" t="s">
        <v>72</v>
      </c>
      <c r="B32" s="532" t="s">
        <v>73</v>
      </c>
      <c r="C32" s="532" t="s">
        <v>254</v>
      </c>
      <c r="D32" s="266">
        <v>46</v>
      </c>
      <c r="E32" s="266">
        <v>44</v>
      </c>
      <c r="F32" s="266">
        <v>36</v>
      </c>
      <c r="G32" s="266">
        <v>35</v>
      </c>
      <c r="H32" s="266">
        <v>52</v>
      </c>
      <c r="I32" s="266">
        <v>45</v>
      </c>
      <c r="J32" s="266">
        <v>44</v>
      </c>
      <c r="K32" s="266">
        <v>41</v>
      </c>
      <c r="L32" s="266">
        <v>42</v>
      </c>
      <c r="M32" s="266">
        <v>51</v>
      </c>
      <c r="N32" s="266">
        <v>47</v>
      </c>
      <c r="O32" s="266">
        <v>39</v>
      </c>
      <c r="P32" s="266">
        <f t="shared" si="1"/>
        <v>522</v>
      </c>
    </row>
    <row r="33" spans="1:16" x14ac:dyDescent="0.3">
      <c r="A33" s="449" t="s">
        <v>74</v>
      </c>
      <c r="B33" s="532" t="s">
        <v>284</v>
      </c>
      <c r="C33" s="532" t="s">
        <v>255</v>
      </c>
      <c r="D33" s="266">
        <v>1434</v>
      </c>
      <c r="E33" s="266">
        <v>1665</v>
      </c>
      <c r="F33" s="266">
        <v>1430</v>
      </c>
      <c r="G33" s="266">
        <v>1656</v>
      </c>
      <c r="H33" s="266">
        <v>1363</v>
      </c>
      <c r="I33" s="266">
        <v>1478</v>
      </c>
      <c r="J33" s="266">
        <v>1652</v>
      </c>
      <c r="K33" s="266">
        <v>1508</v>
      </c>
      <c r="L33" s="266">
        <v>1576</v>
      </c>
      <c r="M33" s="266">
        <v>1447</v>
      </c>
      <c r="N33" s="266">
        <v>1426</v>
      </c>
      <c r="O33" s="266">
        <v>1332</v>
      </c>
      <c r="P33" s="266">
        <f t="shared" si="1"/>
        <v>17967</v>
      </c>
    </row>
    <row r="34" spans="1:16" x14ac:dyDescent="0.3">
      <c r="A34" s="449" t="s">
        <v>76</v>
      </c>
      <c r="B34" s="532" t="s">
        <v>77</v>
      </c>
      <c r="C34" s="532" t="s">
        <v>255</v>
      </c>
      <c r="D34" s="266">
        <v>107</v>
      </c>
      <c r="E34" s="266">
        <v>119</v>
      </c>
      <c r="F34" s="266">
        <v>96</v>
      </c>
      <c r="G34" s="266">
        <v>94</v>
      </c>
      <c r="H34" s="266">
        <v>96</v>
      </c>
      <c r="I34" s="266">
        <v>110</v>
      </c>
      <c r="J34" s="266">
        <v>122</v>
      </c>
      <c r="K34" s="266">
        <v>95</v>
      </c>
      <c r="L34" s="266">
        <v>99</v>
      </c>
      <c r="M34" s="266">
        <v>110</v>
      </c>
      <c r="N34" s="266">
        <v>88</v>
      </c>
      <c r="O34" s="266">
        <v>91</v>
      </c>
      <c r="P34" s="266">
        <f t="shared" si="1"/>
        <v>1227</v>
      </c>
    </row>
    <row r="35" spans="1:16" x14ac:dyDescent="0.3">
      <c r="A35" s="449" t="s">
        <v>78</v>
      </c>
      <c r="B35" s="532" t="s">
        <v>79</v>
      </c>
      <c r="C35" s="532" t="s">
        <v>256</v>
      </c>
      <c r="D35" s="266">
        <v>45</v>
      </c>
      <c r="E35" s="266">
        <v>56</v>
      </c>
      <c r="F35" s="266">
        <v>40</v>
      </c>
      <c r="G35" s="266">
        <v>46</v>
      </c>
      <c r="H35" s="266">
        <v>50</v>
      </c>
      <c r="I35" s="266">
        <v>37</v>
      </c>
      <c r="J35" s="266">
        <v>46</v>
      </c>
      <c r="K35" s="266">
        <v>31</v>
      </c>
      <c r="L35" s="266">
        <v>53</v>
      </c>
      <c r="M35" s="266">
        <v>38</v>
      </c>
      <c r="N35" s="266">
        <v>36</v>
      </c>
      <c r="O35" s="266">
        <v>33</v>
      </c>
      <c r="P35" s="266">
        <f t="shared" si="1"/>
        <v>511</v>
      </c>
    </row>
    <row r="36" spans="1:16" x14ac:dyDescent="0.3">
      <c r="A36" s="449" t="s">
        <v>80</v>
      </c>
      <c r="B36" s="532" t="s">
        <v>81</v>
      </c>
      <c r="C36" s="532" t="s">
        <v>254</v>
      </c>
      <c r="D36" s="266">
        <v>38</v>
      </c>
      <c r="E36" s="266">
        <v>57</v>
      </c>
      <c r="F36" s="266">
        <v>39</v>
      </c>
      <c r="G36" s="266">
        <v>43</v>
      </c>
      <c r="H36" s="266">
        <v>42</v>
      </c>
      <c r="I36" s="266">
        <v>59</v>
      </c>
      <c r="J36" s="266">
        <v>50</v>
      </c>
      <c r="K36" s="266">
        <v>43</v>
      </c>
      <c r="L36" s="266">
        <v>42</v>
      </c>
      <c r="M36" s="266">
        <v>44</v>
      </c>
      <c r="N36" s="266">
        <v>28</v>
      </c>
      <c r="O36" s="266">
        <v>45</v>
      </c>
      <c r="P36" s="266">
        <f t="shared" si="1"/>
        <v>530</v>
      </c>
    </row>
    <row r="37" spans="1:16" x14ac:dyDescent="0.3">
      <c r="A37" s="449" t="s">
        <v>84</v>
      </c>
      <c r="B37" s="532" t="s">
        <v>85</v>
      </c>
      <c r="C37" s="532" t="s">
        <v>253</v>
      </c>
      <c r="D37" s="266">
        <v>187</v>
      </c>
      <c r="E37" s="266">
        <v>167</v>
      </c>
      <c r="F37" s="266">
        <v>138</v>
      </c>
      <c r="G37" s="266">
        <v>156</v>
      </c>
      <c r="H37" s="266">
        <v>151</v>
      </c>
      <c r="I37" s="266">
        <v>154</v>
      </c>
      <c r="J37" s="266">
        <v>170</v>
      </c>
      <c r="K37" s="266">
        <v>151</v>
      </c>
      <c r="L37" s="266">
        <v>147</v>
      </c>
      <c r="M37" s="266">
        <v>134</v>
      </c>
      <c r="N37" s="266">
        <v>172</v>
      </c>
      <c r="O37" s="266">
        <v>143</v>
      </c>
      <c r="P37" s="266">
        <f t="shared" ref="P37:P68" si="2">SUM(D37:O37)</f>
        <v>1870</v>
      </c>
    </row>
    <row r="38" spans="1:16" x14ac:dyDescent="0.3">
      <c r="A38" s="449" t="s">
        <v>86</v>
      </c>
      <c r="B38" s="532" t="s">
        <v>87</v>
      </c>
      <c r="C38" s="532" t="s">
        <v>255</v>
      </c>
      <c r="D38" s="266">
        <v>147</v>
      </c>
      <c r="E38" s="266">
        <v>185</v>
      </c>
      <c r="F38" s="266">
        <v>169</v>
      </c>
      <c r="G38" s="266">
        <v>194</v>
      </c>
      <c r="H38" s="266">
        <v>156</v>
      </c>
      <c r="I38" s="266">
        <v>201</v>
      </c>
      <c r="J38" s="266">
        <v>196</v>
      </c>
      <c r="K38" s="266">
        <v>187</v>
      </c>
      <c r="L38" s="266">
        <v>166</v>
      </c>
      <c r="M38" s="266">
        <v>154</v>
      </c>
      <c r="N38" s="266">
        <v>181</v>
      </c>
      <c r="O38" s="266">
        <v>161</v>
      </c>
      <c r="P38" s="266">
        <f t="shared" si="2"/>
        <v>2097</v>
      </c>
    </row>
    <row r="39" spans="1:16" x14ac:dyDescent="0.3">
      <c r="A39" s="449" t="s">
        <v>92</v>
      </c>
      <c r="B39" s="532" t="s">
        <v>93</v>
      </c>
      <c r="C39" s="532" t="s">
        <v>256</v>
      </c>
      <c r="D39" s="266">
        <v>59</v>
      </c>
      <c r="E39" s="266">
        <v>44</v>
      </c>
      <c r="F39" s="266">
        <v>63</v>
      </c>
      <c r="G39" s="266">
        <v>44</v>
      </c>
      <c r="H39" s="266">
        <v>60</v>
      </c>
      <c r="I39" s="266">
        <v>44</v>
      </c>
      <c r="J39" s="266">
        <v>47</v>
      </c>
      <c r="K39" s="266">
        <v>61</v>
      </c>
      <c r="L39" s="266">
        <v>43</v>
      </c>
      <c r="M39" s="266">
        <v>39</v>
      </c>
      <c r="N39" s="266">
        <v>42</v>
      </c>
      <c r="O39" s="266">
        <v>45</v>
      </c>
      <c r="P39" s="266">
        <f t="shared" si="2"/>
        <v>591</v>
      </c>
    </row>
    <row r="40" spans="1:16" x14ac:dyDescent="0.3">
      <c r="A40" s="449" t="s">
        <v>94</v>
      </c>
      <c r="B40" s="532" t="s">
        <v>95</v>
      </c>
      <c r="C40" s="532" t="s">
        <v>252</v>
      </c>
      <c r="D40" s="266">
        <v>88</v>
      </c>
      <c r="E40" s="266">
        <v>114</v>
      </c>
      <c r="F40" s="266">
        <v>104</v>
      </c>
      <c r="G40" s="266">
        <v>95</v>
      </c>
      <c r="H40" s="266">
        <v>103</v>
      </c>
      <c r="I40" s="266">
        <v>90</v>
      </c>
      <c r="J40" s="266">
        <v>132</v>
      </c>
      <c r="K40" s="266">
        <v>80</v>
      </c>
      <c r="L40" s="266">
        <v>102</v>
      </c>
      <c r="M40" s="266">
        <v>101</v>
      </c>
      <c r="N40" s="266">
        <v>108</v>
      </c>
      <c r="O40" s="266">
        <v>86</v>
      </c>
      <c r="P40" s="266">
        <f t="shared" si="2"/>
        <v>1203</v>
      </c>
    </row>
    <row r="41" spans="1:16" x14ac:dyDescent="0.3">
      <c r="A41" s="449" t="s">
        <v>96</v>
      </c>
      <c r="B41" s="532" t="s">
        <v>97</v>
      </c>
      <c r="C41" s="532" t="s">
        <v>254</v>
      </c>
      <c r="D41" s="266">
        <v>22</v>
      </c>
      <c r="E41" s="266">
        <v>28</v>
      </c>
      <c r="F41" s="266">
        <v>34</v>
      </c>
      <c r="G41" s="266">
        <v>30</v>
      </c>
      <c r="H41" s="266">
        <v>27</v>
      </c>
      <c r="I41" s="266">
        <v>32</v>
      </c>
      <c r="J41" s="266">
        <v>26</v>
      </c>
      <c r="K41" s="266">
        <v>25</v>
      </c>
      <c r="L41" s="266">
        <v>21</v>
      </c>
      <c r="M41" s="266">
        <v>32</v>
      </c>
      <c r="N41" s="266">
        <v>17</v>
      </c>
      <c r="O41" s="266">
        <v>30</v>
      </c>
      <c r="P41" s="266">
        <f t="shared" si="2"/>
        <v>324</v>
      </c>
    </row>
    <row r="42" spans="1:16" x14ac:dyDescent="0.3">
      <c r="A42" s="449" t="s">
        <v>98</v>
      </c>
      <c r="B42" s="532" t="s">
        <v>99</v>
      </c>
      <c r="C42" s="532" t="s">
        <v>256</v>
      </c>
      <c r="D42" s="266">
        <v>44</v>
      </c>
      <c r="E42" s="266">
        <v>41</v>
      </c>
      <c r="F42" s="266">
        <v>27</v>
      </c>
      <c r="G42" s="266">
        <v>52</v>
      </c>
      <c r="H42" s="266">
        <v>44</v>
      </c>
      <c r="I42" s="266">
        <v>46</v>
      </c>
      <c r="J42" s="266">
        <v>53</v>
      </c>
      <c r="K42" s="266">
        <v>46</v>
      </c>
      <c r="L42" s="266">
        <v>47</v>
      </c>
      <c r="M42" s="266">
        <v>42</v>
      </c>
      <c r="N42" s="266">
        <v>50</v>
      </c>
      <c r="O42" s="266">
        <v>38</v>
      </c>
      <c r="P42" s="266">
        <f t="shared" si="2"/>
        <v>530</v>
      </c>
    </row>
    <row r="43" spans="1:16" x14ac:dyDescent="0.3">
      <c r="A43" s="449" t="s">
        <v>100</v>
      </c>
      <c r="B43" s="532" t="s">
        <v>101</v>
      </c>
      <c r="C43" s="532" t="s">
        <v>255</v>
      </c>
      <c r="D43" s="266">
        <v>30</v>
      </c>
      <c r="E43" s="266">
        <v>43</v>
      </c>
      <c r="F43" s="266">
        <v>33</v>
      </c>
      <c r="G43" s="266">
        <v>37</v>
      </c>
      <c r="H43" s="266">
        <v>41</v>
      </c>
      <c r="I43" s="266">
        <v>53</v>
      </c>
      <c r="J43" s="266">
        <v>53</v>
      </c>
      <c r="K43" s="266">
        <v>42</v>
      </c>
      <c r="L43" s="266">
        <v>30</v>
      </c>
      <c r="M43" s="266">
        <v>36</v>
      </c>
      <c r="N43" s="266">
        <v>49</v>
      </c>
      <c r="O43" s="266">
        <v>40</v>
      </c>
      <c r="P43" s="266">
        <f t="shared" si="2"/>
        <v>487</v>
      </c>
    </row>
    <row r="44" spans="1:16" x14ac:dyDescent="0.3">
      <c r="A44" s="449" t="s">
        <v>102</v>
      </c>
      <c r="B44" s="532" t="s">
        <v>270</v>
      </c>
      <c r="C44" s="532" t="s">
        <v>252</v>
      </c>
      <c r="D44" s="266">
        <v>65</v>
      </c>
      <c r="E44" s="266">
        <v>79</v>
      </c>
      <c r="F44" s="266">
        <v>60</v>
      </c>
      <c r="G44" s="266">
        <v>88</v>
      </c>
      <c r="H44" s="266">
        <v>78</v>
      </c>
      <c r="I44" s="266">
        <v>69</v>
      </c>
      <c r="J44" s="266">
        <v>98</v>
      </c>
      <c r="K44" s="266">
        <v>78</v>
      </c>
      <c r="L44" s="266">
        <v>67</v>
      </c>
      <c r="M44" s="266">
        <v>88</v>
      </c>
      <c r="N44" s="266">
        <v>83</v>
      </c>
      <c r="O44" s="266">
        <v>92</v>
      </c>
      <c r="P44" s="266">
        <f t="shared" si="2"/>
        <v>945</v>
      </c>
    </row>
    <row r="45" spans="1:16" x14ac:dyDescent="0.3">
      <c r="A45" s="449" t="s">
        <v>104</v>
      </c>
      <c r="B45" s="532" t="s">
        <v>105</v>
      </c>
      <c r="C45" s="532" t="s">
        <v>253</v>
      </c>
      <c r="D45" s="266">
        <v>131</v>
      </c>
      <c r="E45" s="266">
        <v>119</v>
      </c>
      <c r="F45" s="266">
        <v>126</v>
      </c>
      <c r="G45" s="266">
        <v>121</v>
      </c>
      <c r="H45" s="266">
        <v>147</v>
      </c>
      <c r="I45" s="266">
        <v>125</v>
      </c>
      <c r="J45" s="266">
        <v>145</v>
      </c>
      <c r="K45" s="266">
        <v>94</v>
      </c>
      <c r="L45" s="266">
        <v>121</v>
      </c>
      <c r="M45" s="266">
        <v>135</v>
      </c>
      <c r="N45" s="266">
        <v>137</v>
      </c>
      <c r="O45" s="266">
        <v>149</v>
      </c>
      <c r="P45" s="266">
        <f t="shared" si="2"/>
        <v>1550</v>
      </c>
    </row>
    <row r="46" spans="1:16" x14ac:dyDescent="0.3">
      <c r="A46" s="449" t="s">
        <v>108</v>
      </c>
      <c r="B46" s="532" t="s">
        <v>109</v>
      </c>
      <c r="C46" s="532" t="s">
        <v>254</v>
      </c>
      <c r="D46" s="266">
        <v>129</v>
      </c>
      <c r="E46" s="266">
        <v>172</v>
      </c>
      <c r="F46" s="266">
        <v>152</v>
      </c>
      <c r="G46" s="266">
        <v>148</v>
      </c>
      <c r="H46" s="266">
        <v>151</v>
      </c>
      <c r="I46" s="266">
        <v>148</v>
      </c>
      <c r="J46" s="266">
        <v>173</v>
      </c>
      <c r="K46" s="266">
        <v>160</v>
      </c>
      <c r="L46" s="266">
        <v>145</v>
      </c>
      <c r="M46" s="266">
        <v>136</v>
      </c>
      <c r="N46" s="266">
        <v>140</v>
      </c>
      <c r="O46" s="266">
        <v>132</v>
      </c>
      <c r="P46" s="266">
        <f t="shared" si="2"/>
        <v>1786</v>
      </c>
    </row>
    <row r="47" spans="1:16" x14ac:dyDescent="0.3">
      <c r="A47" s="449" t="s">
        <v>110</v>
      </c>
      <c r="B47" s="532" t="s">
        <v>111</v>
      </c>
      <c r="C47" s="532" t="s">
        <v>254</v>
      </c>
      <c r="D47" s="266">
        <v>1002</v>
      </c>
      <c r="E47" s="266">
        <v>1070</v>
      </c>
      <c r="F47" s="266">
        <v>881</v>
      </c>
      <c r="G47" s="266">
        <v>972</v>
      </c>
      <c r="H47" s="266">
        <v>1058</v>
      </c>
      <c r="I47" s="266">
        <v>869</v>
      </c>
      <c r="J47" s="266">
        <v>1076</v>
      </c>
      <c r="K47" s="266">
        <v>891</v>
      </c>
      <c r="L47" s="266">
        <v>938</v>
      </c>
      <c r="M47" s="266">
        <v>1007</v>
      </c>
      <c r="N47" s="266">
        <v>937</v>
      </c>
      <c r="O47" s="266">
        <v>947</v>
      </c>
      <c r="P47" s="266">
        <f t="shared" si="2"/>
        <v>11648</v>
      </c>
    </row>
    <row r="48" spans="1:16" x14ac:dyDescent="0.3">
      <c r="A48" s="449" t="s">
        <v>112</v>
      </c>
      <c r="B48" s="532" t="s">
        <v>288</v>
      </c>
      <c r="C48" s="532" t="s">
        <v>253</v>
      </c>
      <c r="D48" s="266">
        <v>313</v>
      </c>
      <c r="E48" s="266">
        <v>345</v>
      </c>
      <c r="F48" s="266">
        <v>248</v>
      </c>
      <c r="G48" s="266">
        <v>298</v>
      </c>
      <c r="H48" s="266">
        <v>290</v>
      </c>
      <c r="I48" s="266">
        <v>298</v>
      </c>
      <c r="J48" s="266">
        <v>387</v>
      </c>
      <c r="K48" s="266">
        <v>254</v>
      </c>
      <c r="L48" s="266">
        <v>327</v>
      </c>
      <c r="M48" s="266">
        <v>357</v>
      </c>
      <c r="N48" s="266">
        <v>356</v>
      </c>
      <c r="O48" s="266">
        <v>322</v>
      </c>
      <c r="P48" s="266">
        <f t="shared" si="2"/>
        <v>3795</v>
      </c>
    </row>
    <row r="49" spans="1:16" x14ac:dyDescent="0.3">
      <c r="A49" s="449" t="s">
        <v>114</v>
      </c>
      <c r="B49" s="532" t="s">
        <v>115</v>
      </c>
      <c r="C49" s="532" t="s">
        <v>253</v>
      </c>
      <c r="D49" s="266">
        <v>2</v>
      </c>
      <c r="E49" s="266">
        <v>1</v>
      </c>
      <c r="F49" s="266">
        <v>3</v>
      </c>
      <c r="G49" s="266">
        <v>2</v>
      </c>
      <c r="H49" s="266">
        <v>3</v>
      </c>
      <c r="I49" s="266">
        <v>3</v>
      </c>
      <c r="J49" s="266">
        <v>4</v>
      </c>
      <c r="K49" s="266">
        <v>8</v>
      </c>
      <c r="L49" s="266">
        <v>2</v>
      </c>
      <c r="M49" s="266">
        <v>4</v>
      </c>
      <c r="N49" s="266">
        <v>4</v>
      </c>
      <c r="O49" s="266">
        <v>7</v>
      </c>
      <c r="P49" s="266">
        <f t="shared" si="2"/>
        <v>43</v>
      </c>
    </row>
    <row r="50" spans="1:16" x14ac:dyDescent="0.3">
      <c r="A50" s="449" t="s">
        <v>118</v>
      </c>
      <c r="B50" s="532" t="s">
        <v>258</v>
      </c>
      <c r="C50" s="532" t="s">
        <v>252</v>
      </c>
      <c r="D50" s="266">
        <v>91</v>
      </c>
      <c r="E50" s="266">
        <v>90</v>
      </c>
      <c r="F50" s="266">
        <v>81</v>
      </c>
      <c r="G50" s="266">
        <v>93</v>
      </c>
      <c r="H50" s="266">
        <v>81</v>
      </c>
      <c r="I50" s="266">
        <v>86</v>
      </c>
      <c r="J50" s="266">
        <v>101</v>
      </c>
      <c r="K50" s="266">
        <v>84</v>
      </c>
      <c r="L50" s="266">
        <v>82</v>
      </c>
      <c r="M50" s="266">
        <v>87</v>
      </c>
      <c r="N50" s="266">
        <v>95</v>
      </c>
      <c r="O50" s="266">
        <v>93</v>
      </c>
      <c r="P50" s="266">
        <f t="shared" si="2"/>
        <v>1064</v>
      </c>
    </row>
    <row r="51" spans="1:16" x14ac:dyDescent="0.3">
      <c r="A51" s="449" t="s">
        <v>120</v>
      </c>
      <c r="B51" s="532" t="s">
        <v>121</v>
      </c>
      <c r="C51" s="532" t="s">
        <v>252</v>
      </c>
      <c r="D51" s="266">
        <v>102</v>
      </c>
      <c r="E51" s="266">
        <v>122</v>
      </c>
      <c r="F51" s="266">
        <v>112</v>
      </c>
      <c r="G51" s="266">
        <v>158</v>
      </c>
      <c r="H51" s="266">
        <v>143</v>
      </c>
      <c r="I51" s="266">
        <v>121</v>
      </c>
      <c r="J51" s="266">
        <v>168</v>
      </c>
      <c r="K51" s="266">
        <v>114</v>
      </c>
      <c r="L51" s="266">
        <v>130</v>
      </c>
      <c r="M51" s="266">
        <v>112</v>
      </c>
      <c r="N51" s="266">
        <v>133</v>
      </c>
      <c r="O51" s="266">
        <v>126</v>
      </c>
      <c r="P51" s="266">
        <f t="shared" si="2"/>
        <v>1541</v>
      </c>
    </row>
    <row r="52" spans="1:16" x14ac:dyDescent="0.3">
      <c r="A52" s="449" t="s">
        <v>122</v>
      </c>
      <c r="B52" s="532" t="s">
        <v>275</v>
      </c>
      <c r="C52" s="532" t="s">
        <v>254</v>
      </c>
      <c r="D52" s="266">
        <v>25</v>
      </c>
      <c r="E52" s="266">
        <v>17</v>
      </c>
      <c r="F52" s="266">
        <v>15</v>
      </c>
      <c r="G52" s="266">
        <v>30</v>
      </c>
      <c r="H52" s="266">
        <v>25</v>
      </c>
      <c r="I52" s="266">
        <v>15</v>
      </c>
      <c r="J52" s="266">
        <v>29</v>
      </c>
      <c r="K52" s="266">
        <v>15</v>
      </c>
      <c r="L52" s="266">
        <v>27</v>
      </c>
      <c r="M52" s="266">
        <v>21</v>
      </c>
      <c r="N52" s="266">
        <v>15</v>
      </c>
      <c r="O52" s="266">
        <v>25</v>
      </c>
      <c r="P52" s="266">
        <f t="shared" si="2"/>
        <v>259</v>
      </c>
    </row>
    <row r="53" spans="1:16" x14ac:dyDescent="0.3">
      <c r="A53" s="449" t="s">
        <v>124</v>
      </c>
      <c r="B53" s="532" t="s">
        <v>125</v>
      </c>
      <c r="C53" s="532" t="s">
        <v>255</v>
      </c>
      <c r="D53" s="266">
        <v>63</v>
      </c>
      <c r="E53" s="266">
        <v>46</v>
      </c>
      <c r="F53" s="266">
        <v>47</v>
      </c>
      <c r="G53" s="266">
        <v>56</v>
      </c>
      <c r="H53" s="266">
        <v>63</v>
      </c>
      <c r="I53" s="266">
        <v>65</v>
      </c>
      <c r="J53" s="266">
        <v>79</v>
      </c>
      <c r="K53" s="266">
        <v>44</v>
      </c>
      <c r="L53" s="266">
        <v>62</v>
      </c>
      <c r="M53" s="266">
        <v>47</v>
      </c>
      <c r="N53" s="266">
        <v>69</v>
      </c>
      <c r="O53" s="266">
        <v>65</v>
      </c>
      <c r="P53" s="266">
        <f t="shared" si="2"/>
        <v>706</v>
      </c>
    </row>
    <row r="54" spans="1:16" x14ac:dyDescent="0.3">
      <c r="A54" s="449" t="s">
        <v>126</v>
      </c>
      <c r="B54" s="532" t="s">
        <v>127</v>
      </c>
      <c r="C54" s="532" t="s">
        <v>254</v>
      </c>
      <c r="D54" s="266">
        <v>48</v>
      </c>
      <c r="E54" s="266">
        <v>47</v>
      </c>
      <c r="F54" s="266">
        <v>38</v>
      </c>
      <c r="G54" s="266">
        <v>34</v>
      </c>
      <c r="H54" s="266">
        <v>50</v>
      </c>
      <c r="I54" s="266">
        <v>54</v>
      </c>
      <c r="J54" s="266">
        <v>49</v>
      </c>
      <c r="K54" s="266">
        <v>31</v>
      </c>
      <c r="L54" s="266">
        <v>37</v>
      </c>
      <c r="M54" s="266">
        <v>45</v>
      </c>
      <c r="N54" s="266">
        <v>40</v>
      </c>
      <c r="O54" s="266">
        <v>44</v>
      </c>
      <c r="P54" s="266">
        <f t="shared" si="2"/>
        <v>517</v>
      </c>
    </row>
    <row r="55" spans="1:16" x14ac:dyDescent="0.3">
      <c r="A55" s="449" t="s">
        <v>128</v>
      </c>
      <c r="B55" s="532" t="s">
        <v>129</v>
      </c>
      <c r="C55" s="532" t="s">
        <v>254</v>
      </c>
      <c r="D55" s="266">
        <v>23</v>
      </c>
      <c r="E55" s="266">
        <v>37</v>
      </c>
      <c r="F55" s="266">
        <v>22</v>
      </c>
      <c r="G55" s="266">
        <v>39</v>
      </c>
      <c r="H55" s="266">
        <v>27</v>
      </c>
      <c r="I55" s="266">
        <v>19</v>
      </c>
      <c r="J55" s="266">
        <v>42</v>
      </c>
      <c r="K55" s="266">
        <v>34</v>
      </c>
      <c r="L55" s="266">
        <v>20</v>
      </c>
      <c r="M55" s="266">
        <v>18</v>
      </c>
      <c r="N55" s="266">
        <v>30</v>
      </c>
      <c r="O55" s="266">
        <v>18</v>
      </c>
      <c r="P55" s="266">
        <f t="shared" si="2"/>
        <v>329</v>
      </c>
    </row>
    <row r="56" spans="1:16" x14ac:dyDescent="0.3">
      <c r="A56" s="449" t="s">
        <v>130</v>
      </c>
      <c r="B56" s="532" t="s">
        <v>131</v>
      </c>
      <c r="C56" s="532" t="s">
        <v>256</v>
      </c>
      <c r="D56" s="266">
        <v>79</v>
      </c>
      <c r="E56" s="266">
        <v>96</v>
      </c>
      <c r="F56" s="266">
        <v>81</v>
      </c>
      <c r="G56" s="266">
        <v>81</v>
      </c>
      <c r="H56" s="266">
        <v>78</v>
      </c>
      <c r="I56" s="266">
        <v>82</v>
      </c>
      <c r="J56" s="266">
        <v>139</v>
      </c>
      <c r="K56" s="266">
        <v>82</v>
      </c>
      <c r="L56" s="266">
        <v>93</v>
      </c>
      <c r="M56" s="266">
        <v>94</v>
      </c>
      <c r="N56" s="266">
        <v>92</v>
      </c>
      <c r="O56" s="266">
        <v>96</v>
      </c>
      <c r="P56" s="266">
        <f t="shared" si="2"/>
        <v>1093</v>
      </c>
    </row>
    <row r="57" spans="1:16" x14ac:dyDescent="0.3">
      <c r="A57" s="449" t="s">
        <v>132</v>
      </c>
      <c r="B57" s="532" t="s">
        <v>133</v>
      </c>
      <c r="C57" s="532" t="s">
        <v>255</v>
      </c>
      <c r="D57" s="266">
        <v>288</v>
      </c>
      <c r="E57" s="266">
        <v>354</v>
      </c>
      <c r="F57" s="266">
        <v>260</v>
      </c>
      <c r="G57" s="266">
        <v>284</v>
      </c>
      <c r="H57" s="266">
        <v>289</v>
      </c>
      <c r="I57" s="266">
        <v>276</v>
      </c>
      <c r="J57" s="266">
        <v>347</v>
      </c>
      <c r="K57" s="266">
        <v>309</v>
      </c>
      <c r="L57" s="266">
        <v>330</v>
      </c>
      <c r="M57" s="266">
        <v>344</v>
      </c>
      <c r="N57" s="266">
        <v>333</v>
      </c>
      <c r="O57" s="266">
        <v>285</v>
      </c>
      <c r="P57" s="266">
        <f t="shared" si="2"/>
        <v>3699</v>
      </c>
    </row>
    <row r="58" spans="1:16" x14ac:dyDescent="0.3">
      <c r="A58" s="449" t="s">
        <v>134</v>
      </c>
      <c r="B58" s="532" t="s">
        <v>135</v>
      </c>
      <c r="C58" s="532" t="s">
        <v>255</v>
      </c>
      <c r="D58" s="266">
        <v>79</v>
      </c>
      <c r="E58" s="266">
        <v>109</v>
      </c>
      <c r="F58" s="266">
        <v>90</v>
      </c>
      <c r="G58" s="266">
        <v>89</v>
      </c>
      <c r="H58" s="266">
        <v>99</v>
      </c>
      <c r="I58" s="266">
        <v>115</v>
      </c>
      <c r="J58" s="266">
        <v>104</v>
      </c>
      <c r="K58" s="266">
        <v>103</v>
      </c>
      <c r="L58" s="266">
        <v>118</v>
      </c>
      <c r="M58" s="266">
        <v>108</v>
      </c>
      <c r="N58" s="266">
        <v>96</v>
      </c>
      <c r="O58" s="266">
        <v>102</v>
      </c>
      <c r="P58" s="266">
        <f t="shared" si="2"/>
        <v>1212</v>
      </c>
    </row>
    <row r="59" spans="1:16" x14ac:dyDescent="0.3">
      <c r="A59" s="449" t="s">
        <v>136</v>
      </c>
      <c r="B59" s="532" t="s">
        <v>137</v>
      </c>
      <c r="C59" s="532" t="s">
        <v>254</v>
      </c>
      <c r="D59" s="266">
        <v>49</v>
      </c>
      <c r="E59" s="266">
        <v>58</v>
      </c>
      <c r="F59" s="266">
        <v>48</v>
      </c>
      <c r="G59" s="266">
        <v>54</v>
      </c>
      <c r="H59" s="266">
        <v>44</v>
      </c>
      <c r="I59" s="266">
        <v>29</v>
      </c>
      <c r="J59" s="266">
        <v>48</v>
      </c>
      <c r="K59" s="266">
        <v>38</v>
      </c>
      <c r="L59" s="266">
        <v>40</v>
      </c>
      <c r="M59" s="266">
        <v>36</v>
      </c>
      <c r="N59" s="266">
        <v>37</v>
      </c>
      <c r="O59" s="266">
        <v>41</v>
      </c>
      <c r="P59" s="266">
        <f t="shared" si="2"/>
        <v>522</v>
      </c>
    </row>
    <row r="60" spans="1:16" x14ac:dyDescent="0.3">
      <c r="A60" s="449" t="s">
        <v>140</v>
      </c>
      <c r="B60" s="532" t="s">
        <v>141</v>
      </c>
      <c r="C60" s="532" t="s">
        <v>255</v>
      </c>
      <c r="D60" s="266">
        <v>30</v>
      </c>
      <c r="E60" s="266">
        <v>36</v>
      </c>
      <c r="F60" s="266">
        <v>29</v>
      </c>
      <c r="G60" s="266">
        <v>31</v>
      </c>
      <c r="H60" s="266">
        <v>27</v>
      </c>
      <c r="I60" s="266">
        <v>25</v>
      </c>
      <c r="J60" s="266">
        <v>26</v>
      </c>
      <c r="K60" s="266">
        <v>22</v>
      </c>
      <c r="L60" s="266">
        <v>24</v>
      </c>
      <c r="M60" s="266">
        <v>26</v>
      </c>
      <c r="N60" s="266">
        <v>23</v>
      </c>
      <c r="O60" s="266">
        <v>18</v>
      </c>
      <c r="P60" s="266">
        <f t="shared" si="2"/>
        <v>317</v>
      </c>
    </row>
    <row r="61" spans="1:16" x14ac:dyDescent="0.3">
      <c r="A61" s="449" t="s">
        <v>146</v>
      </c>
      <c r="B61" s="532" t="s">
        <v>147</v>
      </c>
      <c r="C61" s="532" t="s">
        <v>252</v>
      </c>
      <c r="D61" s="266">
        <v>13</v>
      </c>
      <c r="E61" s="266">
        <v>20</v>
      </c>
      <c r="F61" s="266">
        <v>21</v>
      </c>
      <c r="G61" s="266">
        <v>28</v>
      </c>
      <c r="H61" s="266">
        <v>25</v>
      </c>
      <c r="I61" s="266">
        <v>25</v>
      </c>
      <c r="J61" s="266">
        <v>29</v>
      </c>
      <c r="K61" s="266">
        <v>19</v>
      </c>
      <c r="L61" s="266">
        <v>22</v>
      </c>
      <c r="M61" s="266">
        <v>25</v>
      </c>
      <c r="N61" s="266">
        <v>19</v>
      </c>
      <c r="O61" s="266">
        <v>23</v>
      </c>
      <c r="P61" s="266">
        <f t="shared" si="2"/>
        <v>269</v>
      </c>
    </row>
    <row r="62" spans="1:16" x14ac:dyDescent="0.3">
      <c r="A62" s="449" t="s">
        <v>148</v>
      </c>
      <c r="B62" s="532" t="s">
        <v>149</v>
      </c>
      <c r="C62" s="532" t="s">
        <v>253</v>
      </c>
      <c r="D62" s="266">
        <v>101</v>
      </c>
      <c r="E62" s="266">
        <v>112</v>
      </c>
      <c r="F62" s="266">
        <v>79</v>
      </c>
      <c r="G62" s="266">
        <v>91</v>
      </c>
      <c r="H62" s="266">
        <v>143</v>
      </c>
      <c r="I62" s="266">
        <v>103</v>
      </c>
      <c r="J62" s="266">
        <v>118</v>
      </c>
      <c r="K62" s="266">
        <v>109</v>
      </c>
      <c r="L62" s="266">
        <v>92</v>
      </c>
      <c r="M62" s="266">
        <v>107</v>
      </c>
      <c r="N62" s="266">
        <v>125</v>
      </c>
      <c r="O62" s="266">
        <v>88</v>
      </c>
      <c r="P62" s="266">
        <f t="shared" si="2"/>
        <v>1268</v>
      </c>
    </row>
    <row r="63" spans="1:16" x14ac:dyDescent="0.3">
      <c r="A63" s="449" t="s">
        <v>150</v>
      </c>
      <c r="B63" s="532" t="s">
        <v>151</v>
      </c>
      <c r="C63" s="532" t="s">
        <v>254</v>
      </c>
      <c r="D63" s="266">
        <v>41</v>
      </c>
      <c r="E63" s="266">
        <v>43</v>
      </c>
      <c r="F63" s="266">
        <v>32</v>
      </c>
      <c r="G63" s="266">
        <v>46</v>
      </c>
      <c r="H63" s="266">
        <v>44</v>
      </c>
      <c r="I63" s="266">
        <v>32</v>
      </c>
      <c r="J63" s="266">
        <v>32</v>
      </c>
      <c r="K63" s="266">
        <v>34</v>
      </c>
      <c r="L63" s="266">
        <v>34</v>
      </c>
      <c r="M63" s="266">
        <v>42</v>
      </c>
      <c r="N63" s="266">
        <v>27</v>
      </c>
      <c r="O63" s="266">
        <v>36</v>
      </c>
      <c r="P63" s="266">
        <f t="shared" si="2"/>
        <v>443</v>
      </c>
    </row>
    <row r="64" spans="1:16" x14ac:dyDescent="0.3">
      <c r="A64" s="449" t="s">
        <v>152</v>
      </c>
      <c r="B64" s="532" t="s">
        <v>153</v>
      </c>
      <c r="C64" s="532" t="s">
        <v>256</v>
      </c>
      <c r="D64" s="266">
        <v>179</v>
      </c>
      <c r="E64" s="266">
        <v>187</v>
      </c>
      <c r="F64" s="266">
        <v>172</v>
      </c>
      <c r="G64" s="266">
        <v>167</v>
      </c>
      <c r="H64" s="266">
        <v>188</v>
      </c>
      <c r="I64" s="266">
        <v>153</v>
      </c>
      <c r="J64" s="266">
        <v>201</v>
      </c>
      <c r="K64" s="266">
        <v>154</v>
      </c>
      <c r="L64" s="266">
        <v>185</v>
      </c>
      <c r="M64" s="266">
        <v>173</v>
      </c>
      <c r="N64" s="266">
        <v>196</v>
      </c>
      <c r="O64" s="266">
        <v>144</v>
      </c>
      <c r="P64" s="266">
        <f t="shared" si="2"/>
        <v>2099</v>
      </c>
    </row>
    <row r="65" spans="1:16" x14ac:dyDescent="0.3">
      <c r="A65" s="449" t="s">
        <v>154</v>
      </c>
      <c r="B65" s="532" t="s">
        <v>155</v>
      </c>
      <c r="C65" s="532" t="s">
        <v>253</v>
      </c>
      <c r="D65" s="266">
        <v>28</v>
      </c>
      <c r="E65" s="266">
        <v>48</v>
      </c>
      <c r="F65" s="266">
        <v>26</v>
      </c>
      <c r="G65" s="266">
        <v>37</v>
      </c>
      <c r="H65" s="266">
        <v>36</v>
      </c>
      <c r="I65" s="266">
        <v>23</v>
      </c>
      <c r="J65" s="266">
        <v>37</v>
      </c>
      <c r="K65" s="266">
        <v>24</v>
      </c>
      <c r="L65" s="266">
        <v>40</v>
      </c>
      <c r="M65" s="266">
        <v>28</v>
      </c>
      <c r="N65" s="266">
        <v>31</v>
      </c>
      <c r="O65" s="266">
        <v>31</v>
      </c>
      <c r="P65" s="266">
        <f t="shared" si="2"/>
        <v>389</v>
      </c>
    </row>
    <row r="66" spans="1:16" x14ac:dyDescent="0.3">
      <c r="A66" s="449" t="s">
        <v>156</v>
      </c>
      <c r="B66" s="532" t="s">
        <v>157</v>
      </c>
      <c r="C66" s="532" t="s">
        <v>254</v>
      </c>
      <c r="D66" s="266">
        <v>24</v>
      </c>
      <c r="E66" s="266">
        <v>28</v>
      </c>
      <c r="F66" s="266">
        <v>24</v>
      </c>
      <c r="G66" s="266">
        <v>24</v>
      </c>
      <c r="H66" s="266">
        <v>44</v>
      </c>
      <c r="I66" s="266">
        <v>36</v>
      </c>
      <c r="J66" s="266">
        <v>30</v>
      </c>
      <c r="K66" s="266">
        <v>43</v>
      </c>
      <c r="L66" s="266">
        <v>28</v>
      </c>
      <c r="M66" s="266">
        <v>20</v>
      </c>
      <c r="N66" s="266">
        <v>26</v>
      </c>
      <c r="O66" s="266">
        <v>28</v>
      </c>
      <c r="P66" s="266">
        <f t="shared" si="2"/>
        <v>355</v>
      </c>
    </row>
    <row r="67" spans="1:16" x14ac:dyDescent="0.3">
      <c r="A67" s="449" t="s">
        <v>162</v>
      </c>
      <c r="B67" s="532" t="s">
        <v>163</v>
      </c>
      <c r="C67" s="532" t="s">
        <v>252</v>
      </c>
      <c r="D67" s="266">
        <v>52</v>
      </c>
      <c r="E67" s="266">
        <v>49</v>
      </c>
      <c r="F67" s="266">
        <v>51</v>
      </c>
      <c r="G67" s="266">
        <v>55</v>
      </c>
      <c r="H67" s="266">
        <v>67</v>
      </c>
      <c r="I67" s="266">
        <v>65</v>
      </c>
      <c r="J67" s="266">
        <v>73</v>
      </c>
      <c r="K67" s="266">
        <v>62</v>
      </c>
      <c r="L67" s="266">
        <v>60</v>
      </c>
      <c r="M67" s="266">
        <v>48</v>
      </c>
      <c r="N67" s="266">
        <v>47</v>
      </c>
      <c r="O67" s="266">
        <v>60</v>
      </c>
      <c r="P67" s="266">
        <f t="shared" si="2"/>
        <v>689</v>
      </c>
    </row>
    <row r="68" spans="1:16" x14ac:dyDescent="0.3">
      <c r="A68" s="449" t="s">
        <v>164</v>
      </c>
      <c r="B68" s="532" t="s">
        <v>165</v>
      </c>
      <c r="C68" s="532" t="s">
        <v>254</v>
      </c>
      <c r="D68" s="266">
        <v>32</v>
      </c>
      <c r="E68" s="266">
        <v>39</v>
      </c>
      <c r="F68" s="266">
        <v>32</v>
      </c>
      <c r="G68" s="266">
        <v>33</v>
      </c>
      <c r="H68" s="266">
        <v>49</v>
      </c>
      <c r="I68" s="266">
        <v>29</v>
      </c>
      <c r="J68" s="266">
        <v>38</v>
      </c>
      <c r="K68" s="266">
        <v>38</v>
      </c>
      <c r="L68" s="266">
        <v>32</v>
      </c>
      <c r="M68" s="266">
        <v>29</v>
      </c>
      <c r="N68" s="266">
        <v>25</v>
      </c>
      <c r="O68" s="266">
        <v>26</v>
      </c>
      <c r="P68" s="266">
        <f t="shared" si="2"/>
        <v>402</v>
      </c>
    </row>
    <row r="69" spans="1:16" x14ac:dyDescent="0.3">
      <c r="A69" s="449" t="s">
        <v>168</v>
      </c>
      <c r="B69" s="532" t="s">
        <v>169</v>
      </c>
      <c r="C69" s="532" t="s">
        <v>254</v>
      </c>
      <c r="D69" s="266">
        <v>54</v>
      </c>
      <c r="E69" s="266">
        <v>58</v>
      </c>
      <c r="F69" s="266">
        <v>43</v>
      </c>
      <c r="G69" s="266">
        <v>52</v>
      </c>
      <c r="H69" s="266">
        <v>69</v>
      </c>
      <c r="I69" s="266">
        <v>39</v>
      </c>
      <c r="J69" s="266">
        <v>60</v>
      </c>
      <c r="K69" s="266">
        <v>42</v>
      </c>
      <c r="L69" s="266">
        <v>49</v>
      </c>
      <c r="M69" s="266">
        <v>56</v>
      </c>
      <c r="N69" s="266">
        <v>43</v>
      </c>
      <c r="O69" s="266">
        <v>46</v>
      </c>
      <c r="P69" s="266">
        <f t="shared" ref="P69:P100" si="3">SUM(D69:O69)</f>
        <v>611</v>
      </c>
    </row>
    <row r="70" spans="1:16" x14ac:dyDescent="0.3">
      <c r="A70" s="449" t="s">
        <v>170</v>
      </c>
      <c r="B70" s="532" t="s">
        <v>171</v>
      </c>
      <c r="C70" s="532" t="s">
        <v>255</v>
      </c>
      <c r="D70" s="266">
        <v>75</v>
      </c>
      <c r="E70" s="266">
        <v>86</v>
      </c>
      <c r="F70" s="266">
        <v>73</v>
      </c>
      <c r="G70" s="266">
        <v>86</v>
      </c>
      <c r="H70" s="266">
        <v>97</v>
      </c>
      <c r="I70" s="266">
        <v>92</v>
      </c>
      <c r="J70" s="266">
        <v>99</v>
      </c>
      <c r="K70" s="266">
        <v>89</v>
      </c>
      <c r="L70" s="266">
        <v>79</v>
      </c>
      <c r="M70" s="266">
        <v>82</v>
      </c>
      <c r="N70" s="266">
        <v>77</v>
      </c>
      <c r="O70" s="266">
        <v>80</v>
      </c>
      <c r="P70" s="266">
        <f t="shared" si="3"/>
        <v>1015</v>
      </c>
    </row>
    <row r="71" spans="1:16" x14ac:dyDescent="0.3">
      <c r="A71" s="449" t="s">
        <v>172</v>
      </c>
      <c r="B71" s="532" t="s">
        <v>173</v>
      </c>
      <c r="C71" s="532" t="s">
        <v>255</v>
      </c>
      <c r="D71" s="266">
        <v>86</v>
      </c>
      <c r="E71" s="266">
        <v>99</v>
      </c>
      <c r="F71" s="266">
        <v>102</v>
      </c>
      <c r="G71" s="266">
        <v>107</v>
      </c>
      <c r="H71" s="266">
        <v>86</v>
      </c>
      <c r="I71" s="266">
        <v>108</v>
      </c>
      <c r="J71" s="266">
        <v>106</v>
      </c>
      <c r="K71" s="266">
        <v>83</v>
      </c>
      <c r="L71" s="266">
        <v>83</v>
      </c>
      <c r="M71" s="266">
        <v>81</v>
      </c>
      <c r="N71" s="266">
        <v>76</v>
      </c>
      <c r="O71" s="266">
        <v>83</v>
      </c>
      <c r="P71" s="266">
        <f t="shared" si="3"/>
        <v>1100</v>
      </c>
    </row>
    <row r="72" spans="1:16" x14ac:dyDescent="0.3">
      <c r="A72" s="449" t="s">
        <v>174</v>
      </c>
      <c r="B72" s="532" t="s">
        <v>175</v>
      </c>
      <c r="C72" s="532" t="s">
        <v>256</v>
      </c>
      <c r="D72" s="266">
        <v>68</v>
      </c>
      <c r="E72" s="266">
        <v>79</v>
      </c>
      <c r="F72" s="266">
        <v>58</v>
      </c>
      <c r="G72" s="266">
        <v>68</v>
      </c>
      <c r="H72" s="266">
        <v>57</v>
      </c>
      <c r="I72" s="266">
        <v>64</v>
      </c>
      <c r="J72" s="266">
        <v>82</v>
      </c>
      <c r="K72" s="266">
        <v>61</v>
      </c>
      <c r="L72" s="266">
        <v>63</v>
      </c>
      <c r="M72" s="266">
        <v>45</v>
      </c>
      <c r="N72" s="266">
        <v>58</v>
      </c>
      <c r="O72" s="266">
        <v>62</v>
      </c>
      <c r="P72" s="266">
        <f t="shared" si="3"/>
        <v>765</v>
      </c>
    </row>
    <row r="73" spans="1:16" x14ac:dyDescent="0.3">
      <c r="A73" s="449" t="s">
        <v>178</v>
      </c>
      <c r="B73" s="532" t="s">
        <v>179</v>
      </c>
      <c r="C73" s="532" t="s">
        <v>253</v>
      </c>
      <c r="D73" s="266">
        <v>190</v>
      </c>
      <c r="E73" s="266">
        <v>196</v>
      </c>
      <c r="F73" s="266">
        <v>204</v>
      </c>
      <c r="G73" s="266">
        <v>202</v>
      </c>
      <c r="H73" s="266">
        <v>208</v>
      </c>
      <c r="I73" s="266">
        <v>168</v>
      </c>
      <c r="J73" s="266">
        <v>190</v>
      </c>
      <c r="K73" s="266">
        <v>176</v>
      </c>
      <c r="L73" s="266">
        <v>231</v>
      </c>
      <c r="M73" s="266">
        <v>187</v>
      </c>
      <c r="N73" s="266">
        <v>165</v>
      </c>
      <c r="O73" s="266">
        <v>194</v>
      </c>
      <c r="P73" s="266">
        <f t="shared" si="3"/>
        <v>2311</v>
      </c>
    </row>
    <row r="74" spans="1:16" x14ac:dyDescent="0.3">
      <c r="A74" s="449" t="s">
        <v>182</v>
      </c>
      <c r="B74" s="532" t="s">
        <v>183</v>
      </c>
      <c r="C74" s="532" t="s">
        <v>254</v>
      </c>
      <c r="D74" s="266">
        <v>32</v>
      </c>
      <c r="E74" s="266">
        <v>36</v>
      </c>
      <c r="F74" s="266">
        <v>29</v>
      </c>
      <c r="G74" s="266">
        <v>44</v>
      </c>
      <c r="H74" s="266">
        <v>48</v>
      </c>
      <c r="I74" s="266">
        <v>24</v>
      </c>
      <c r="J74" s="266">
        <v>51</v>
      </c>
      <c r="K74" s="266">
        <v>35</v>
      </c>
      <c r="L74" s="266">
        <v>25</v>
      </c>
      <c r="M74" s="266">
        <v>37</v>
      </c>
      <c r="N74" s="266">
        <v>27</v>
      </c>
      <c r="O74" s="266">
        <v>35</v>
      </c>
      <c r="P74" s="266">
        <f t="shared" si="3"/>
        <v>423</v>
      </c>
    </row>
    <row r="75" spans="1:16" x14ac:dyDescent="0.3">
      <c r="A75" s="449" t="s">
        <v>184</v>
      </c>
      <c r="B75" s="532" t="s">
        <v>185</v>
      </c>
      <c r="C75" s="532" t="s">
        <v>254</v>
      </c>
      <c r="D75" s="266">
        <v>67</v>
      </c>
      <c r="E75" s="266">
        <v>71</v>
      </c>
      <c r="F75" s="266">
        <v>65</v>
      </c>
      <c r="G75" s="266">
        <v>76</v>
      </c>
      <c r="H75" s="266">
        <v>62</v>
      </c>
      <c r="I75" s="266">
        <v>52</v>
      </c>
      <c r="J75" s="266">
        <v>107</v>
      </c>
      <c r="K75" s="266">
        <v>60</v>
      </c>
      <c r="L75" s="266">
        <v>55</v>
      </c>
      <c r="M75" s="266">
        <v>54</v>
      </c>
      <c r="N75" s="266">
        <v>80</v>
      </c>
      <c r="O75" s="266">
        <v>73</v>
      </c>
      <c r="P75" s="266">
        <f t="shared" si="3"/>
        <v>822</v>
      </c>
    </row>
    <row r="76" spans="1:16" x14ac:dyDescent="0.3">
      <c r="A76" s="449" t="s">
        <v>186</v>
      </c>
      <c r="B76" s="532" t="s">
        <v>187</v>
      </c>
      <c r="C76" s="532" t="s">
        <v>252</v>
      </c>
      <c r="D76" s="266">
        <v>107</v>
      </c>
      <c r="E76" s="266">
        <v>107</v>
      </c>
      <c r="F76" s="266">
        <v>62</v>
      </c>
      <c r="G76" s="266">
        <v>114</v>
      </c>
      <c r="H76" s="266">
        <v>90</v>
      </c>
      <c r="I76" s="266">
        <v>70</v>
      </c>
      <c r="J76" s="266">
        <v>130</v>
      </c>
      <c r="K76" s="266">
        <v>84</v>
      </c>
      <c r="L76" s="266">
        <v>110</v>
      </c>
      <c r="M76" s="266">
        <v>80</v>
      </c>
      <c r="N76" s="266">
        <v>91</v>
      </c>
      <c r="O76" s="266">
        <v>97</v>
      </c>
      <c r="P76" s="266">
        <f t="shared" si="3"/>
        <v>1142</v>
      </c>
    </row>
    <row r="77" spans="1:16" x14ac:dyDescent="0.3">
      <c r="A77" s="449" t="s">
        <v>188</v>
      </c>
      <c r="B77" s="532" t="s">
        <v>189</v>
      </c>
      <c r="C77" s="532" t="s">
        <v>255</v>
      </c>
      <c r="D77" s="266">
        <v>765</v>
      </c>
      <c r="E77" s="266">
        <v>905</v>
      </c>
      <c r="F77" s="266">
        <v>829</v>
      </c>
      <c r="G77" s="266">
        <v>841</v>
      </c>
      <c r="H77" s="266">
        <v>810</v>
      </c>
      <c r="I77" s="266">
        <v>785</v>
      </c>
      <c r="J77" s="266">
        <v>989</v>
      </c>
      <c r="K77" s="266">
        <v>847</v>
      </c>
      <c r="L77" s="266">
        <v>882</v>
      </c>
      <c r="M77" s="266">
        <v>778</v>
      </c>
      <c r="N77" s="266">
        <v>893</v>
      </c>
      <c r="O77" s="266">
        <v>750</v>
      </c>
      <c r="P77" s="266">
        <f t="shared" si="3"/>
        <v>10074</v>
      </c>
    </row>
    <row r="78" spans="1:16" x14ac:dyDescent="0.3">
      <c r="A78" s="449" t="s">
        <v>190</v>
      </c>
      <c r="B78" s="532" t="s">
        <v>191</v>
      </c>
      <c r="C78" s="532" t="s">
        <v>256</v>
      </c>
      <c r="D78" s="266">
        <v>136</v>
      </c>
      <c r="E78" s="266">
        <v>142</v>
      </c>
      <c r="F78" s="266">
        <v>113</v>
      </c>
      <c r="G78" s="266">
        <v>141</v>
      </c>
      <c r="H78" s="266">
        <v>134</v>
      </c>
      <c r="I78" s="266">
        <v>117</v>
      </c>
      <c r="J78" s="266">
        <v>116</v>
      </c>
      <c r="K78" s="266">
        <v>129</v>
      </c>
      <c r="L78" s="266">
        <v>129</v>
      </c>
      <c r="M78" s="266">
        <v>125</v>
      </c>
      <c r="N78" s="266">
        <v>131</v>
      </c>
      <c r="O78" s="266">
        <v>142</v>
      </c>
      <c r="P78" s="266">
        <f t="shared" si="3"/>
        <v>1555</v>
      </c>
    </row>
    <row r="79" spans="1:16" x14ac:dyDescent="0.3">
      <c r="A79" s="449" t="s">
        <v>194</v>
      </c>
      <c r="B79" s="532" t="s">
        <v>195</v>
      </c>
      <c r="C79" s="532" t="s">
        <v>255</v>
      </c>
      <c r="D79" s="266">
        <v>12</v>
      </c>
      <c r="E79" s="266">
        <v>14</v>
      </c>
      <c r="F79" s="266">
        <v>8</v>
      </c>
      <c r="G79" s="266">
        <v>10</v>
      </c>
      <c r="H79" s="266">
        <v>11</v>
      </c>
      <c r="I79" s="266">
        <v>10</v>
      </c>
      <c r="J79" s="266">
        <v>17</v>
      </c>
      <c r="K79" s="266">
        <v>12</v>
      </c>
      <c r="L79" s="266">
        <v>18</v>
      </c>
      <c r="M79" s="266">
        <v>21</v>
      </c>
      <c r="N79" s="266">
        <v>11</v>
      </c>
      <c r="O79" s="266">
        <v>8</v>
      </c>
      <c r="P79" s="266">
        <f t="shared" si="3"/>
        <v>152</v>
      </c>
    </row>
    <row r="80" spans="1:16" x14ac:dyDescent="0.3">
      <c r="A80" s="449" t="s">
        <v>198</v>
      </c>
      <c r="B80" s="532" t="s">
        <v>260</v>
      </c>
      <c r="C80" s="532" t="s">
        <v>254</v>
      </c>
      <c r="D80" s="266">
        <v>23</v>
      </c>
      <c r="E80" s="266">
        <v>23</v>
      </c>
      <c r="F80" s="266">
        <v>33</v>
      </c>
      <c r="G80" s="266">
        <v>38</v>
      </c>
      <c r="H80" s="266">
        <v>28</v>
      </c>
      <c r="I80" s="266">
        <v>17</v>
      </c>
      <c r="J80" s="266">
        <v>41</v>
      </c>
      <c r="K80" s="266">
        <v>13</v>
      </c>
      <c r="L80" s="266">
        <v>17</v>
      </c>
      <c r="M80" s="266">
        <v>34</v>
      </c>
      <c r="N80" s="266">
        <v>17</v>
      </c>
      <c r="O80" s="266">
        <v>16</v>
      </c>
      <c r="P80" s="266">
        <f t="shared" si="3"/>
        <v>300</v>
      </c>
    </row>
    <row r="81" spans="1:16" x14ac:dyDescent="0.3">
      <c r="A81" s="449" t="s">
        <v>202</v>
      </c>
      <c r="B81" s="532" t="s">
        <v>289</v>
      </c>
      <c r="C81" s="532" t="s">
        <v>253</v>
      </c>
      <c r="D81" s="266">
        <v>216</v>
      </c>
      <c r="E81" s="266">
        <v>246</v>
      </c>
      <c r="F81" s="266">
        <v>180</v>
      </c>
      <c r="G81" s="266">
        <v>256</v>
      </c>
      <c r="H81" s="266">
        <v>242</v>
      </c>
      <c r="I81" s="266">
        <v>227</v>
      </c>
      <c r="J81" s="266">
        <v>295</v>
      </c>
      <c r="K81" s="266">
        <v>221</v>
      </c>
      <c r="L81" s="266">
        <v>212</v>
      </c>
      <c r="M81" s="266">
        <v>264</v>
      </c>
      <c r="N81" s="266">
        <v>242</v>
      </c>
      <c r="O81" s="266">
        <v>231</v>
      </c>
      <c r="P81" s="266">
        <f t="shared" si="3"/>
        <v>2832</v>
      </c>
    </row>
    <row r="82" spans="1:16" x14ac:dyDescent="0.3">
      <c r="A82" s="449" t="s">
        <v>204</v>
      </c>
      <c r="B82" s="532" t="s">
        <v>281</v>
      </c>
      <c r="C82" s="532" t="s">
        <v>253</v>
      </c>
      <c r="D82" s="266">
        <v>88</v>
      </c>
      <c r="E82" s="266">
        <v>98</v>
      </c>
      <c r="F82" s="266">
        <v>91</v>
      </c>
      <c r="G82" s="266">
        <v>98</v>
      </c>
      <c r="H82" s="266">
        <v>105</v>
      </c>
      <c r="I82" s="266">
        <v>71</v>
      </c>
      <c r="J82" s="266">
        <v>95</v>
      </c>
      <c r="K82" s="266">
        <v>71</v>
      </c>
      <c r="L82" s="266">
        <v>96</v>
      </c>
      <c r="M82" s="266">
        <v>66</v>
      </c>
      <c r="N82" s="266">
        <v>71</v>
      </c>
      <c r="O82" s="266">
        <v>76</v>
      </c>
      <c r="P82" s="266">
        <f t="shared" si="3"/>
        <v>1026</v>
      </c>
    </row>
    <row r="83" spans="1:16" x14ac:dyDescent="0.3">
      <c r="A83" s="449" t="s">
        <v>206</v>
      </c>
      <c r="B83" s="532" t="s">
        <v>282</v>
      </c>
      <c r="C83" s="532" t="s">
        <v>255</v>
      </c>
      <c r="D83" s="266">
        <v>263</v>
      </c>
      <c r="E83" s="266">
        <v>342</v>
      </c>
      <c r="F83" s="266">
        <v>278</v>
      </c>
      <c r="G83" s="266">
        <v>298</v>
      </c>
      <c r="H83" s="266">
        <v>297</v>
      </c>
      <c r="I83" s="266">
        <v>294</v>
      </c>
      <c r="J83" s="266">
        <v>361</v>
      </c>
      <c r="K83" s="266">
        <v>277</v>
      </c>
      <c r="L83" s="266">
        <v>280</v>
      </c>
      <c r="M83" s="266">
        <v>281</v>
      </c>
      <c r="N83" s="266">
        <v>275</v>
      </c>
      <c r="O83" s="266">
        <v>309</v>
      </c>
      <c r="P83" s="266">
        <f t="shared" si="3"/>
        <v>3555</v>
      </c>
    </row>
    <row r="84" spans="1:16" x14ac:dyDescent="0.3">
      <c r="A84" s="449" t="s">
        <v>208</v>
      </c>
      <c r="B84" s="532" t="s">
        <v>209</v>
      </c>
      <c r="C84" s="532" t="s">
        <v>256</v>
      </c>
      <c r="D84" s="266">
        <v>100</v>
      </c>
      <c r="E84" s="266">
        <v>115</v>
      </c>
      <c r="F84" s="266">
        <v>100</v>
      </c>
      <c r="G84" s="266">
        <v>125</v>
      </c>
      <c r="H84" s="266">
        <v>95</v>
      </c>
      <c r="I84" s="266">
        <v>94</v>
      </c>
      <c r="J84" s="266">
        <v>145</v>
      </c>
      <c r="K84" s="266">
        <v>82</v>
      </c>
      <c r="L84" s="266">
        <v>86</v>
      </c>
      <c r="M84" s="266">
        <v>67</v>
      </c>
      <c r="N84" s="266">
        <v>89</v>
      </c>
      <c r="O84" s="266">
        <v>95</v>
      </c>
      <c r="P84" s="266">
        <f t="shared" si="3"/>
        <v>1193</v>
      </c>
    </row>
    <row r="85" spans="1:16" x14ac:dyDescent="0.3">
      <c r="A85" s="449" t="s">
        <v>210</v>
      </c>
      <c r="B85" s="532" t="s">
        <v>211</v>
      </c>
      <c r="C85" s="532" t="s">
        <v>256</v>
      </c>
      <c r="D85" s="266">
        <v>81</v>
      </c>
      <c r="E85" s="266">
        <v>87</v>
      </c>
      <c r="F85" s="266">
        <v>64</v>
      </c>
      <c r="G85" s="266">
        <v>70</v>
      </c>
      <c r="H85" s="266">
        <v>73</v>
      </c>
      <c r="I85" s="266">
        <v>78</v>
      </c>
      <c r="J85" s="266">
        <v>83</v>
      </c>
      <c r="K85" s="266">
        <v>56</v>
      </c>
      <c r="L85" s="266">
        <v>66</v>
      </c>
      <c r="M85" s="266">
        <v>82</v>
      </c>
      <c r="N85" s="266">
        <v>76</v>
      </c>
      <c r="O85" s="266">
        <v>90</v>
      </c>
      <c r="P85" s="266">
        <f t="shared" si="3"/>
        <v>906</v>
      </c>
    </row>
    <row r="86" spans="1:16" x14ac:dyDescent="0.3">
      <c r="A86" s="449" t="s">
        <v>212</v>
      </c>
      <c r="B86" s="532" t="s">
        <v>213</v>
      </c>
      <c r="C86" s="532" t="s">
        <v>255</v>
      </c>
      <c r="D86" s="266">
        <v>116</v>
      </c>
      <c r="E86" s="266">
        <v>152</v>
      </c>
      <c r="F86" s="266">
        <v>115</v>
      </c>
      <c r="G86" s="266">
        <v>154</v>
      </c>
      <c r="H86" s="266">
        <v>139</v>
      </c>
      <c r="I86" s="266">
        <v>120</v>
      </c>
      <c r="J86" s="266">
        <v>148</v>
      </c>
      <c r="K86" s="266">
        <v>133</v>
      </c>
      <c r="L86" s="266">
        <v>133</v>
      </c>
      <c r="M86" s="266">
        <v>118</v>
      </c>
      <c r="N86" s="266">
        <v>142</v>
      </c>
      <c r="O86" s="266">
        <v>112</v>
      </c>
      <c r="P86" s="266">
        <f t="shared" si="3"/>
        <v>1582</v>
      </c>
    </row>
    <row r="87" spans="1:16" x14ac:dyDescent="0.3">
      <c r="A87" s="449" t="s">
        <v>214</v>
      </c>
      <c r="B87" s="532" t="s">
        <v>215</v>
      </c>
      <c r="C87" s="532" t="s">
        <v>256</v>
      </c>
      <c r="D87" s="266">
        <v>130</v>
      </c>
      <c r="E87" s="266">
        <v>155</v>
      </c>
      <c r="F87" s="266">
        <v>115</v>
      </c>
      <c r="G87" s="266">
        <v>129</v>
      </c>
      <c r="H87" s="266">
        <v>149</v>
      </c>
      <c r="I87" s="266">
        <v>124</v>
      </c>
      <c r="J87" s="266">
        <v>146</v>
      </c>
      <c r="K87" s="266">
        <v>141</v>
      </c>
      <c r="L87" s="266">
        <v>141</v>
      </c>
      <c r="M87" s="266">
        <v>110</v>
      </c>
      <c r="N87" s="266">
        <v>126</v>
      </c>
      <c r="O87" s="266">
        <v>147</v>
      </c>
      <c r="P87" s="266">
        <f t="shared" si="3"/>
        <v>1613</v>
      </c>
    </row>
    <row r="88" spans="1:16" x14ac:dyDescent="0.3">
      <c r="A88" s="449" t="s">
        <v>216</v>
      </c>
      <c r="B88" s="532" t="s">
        <v>217</v>
      </c>
      <c r="C88" s="532" t="s">
        <v>252</v>
      </c>
      <c r="D88" s="266">
        <v>69</v>
      </c>
      <c r="E88" s="266">
        <v>78</v>
      </c>
      <c r="F88" s="266">
        <v>49</v>
      </c>
      <c r="G88" s="266">
        <v>59</v>
      </c>
      <c r="H88" s="266">
        <v>53</v>
      </c>
      <c r="I88" s="266">
        <v>46</v>
      </c>
      <c r="J88" s="266">
        <v>63</v>
      </c>
      <c r="K88" s="266">
        <v>48</v>
      </c>
      <c r="L88" s="266">
        <v>65</v>
      </c>
      <c r="M88" s="266">
        <v>63</v>
      </c>
      <c r="N88" s="266">
        <v>64</v>
      </c>
      <c r="O88" s="266">
        <v>55</v>
      </c>
      <c r="P88" s="266">
        <f t="shared" si="3"/>
        <v>712</v>
      </c>
    </row>
    <row r="89" spans="1:16" x14ac:dyDescent="0.3">
      <c r="A89" s="449" t="s">
        <v>218</v>
      </c>
      <c r="B89" s="532" t="s">
        <v>219</v>
      </c>
      <c r="C89" s="532" t="s">
        <v>255</v>
      </c>
      <c r="D89" s="266">
        <v>325</v>
      </c>
      <c r="E89" s="266">
        <v>361</v>
      </c>
      <c r="F89" s="266">
        <v>338</v>
      </c>
      <c r="G89" s="266">
        <v>370</v>
      </c>
      <c r="H89" s="266">
        <v>414</v>
      </c>
      <c r="I89" s="266">
        <v>335</v>
      </c>
      <c r="J89" s="266">
        <v>387</v>
      </c>
      <c r="K89" s="266">
        <v>339</v>
      </c>
      <c r="L89" s="266">
        <v>347</v>
      </c>
      <c r="M89" s="266">
        <v>345</v>
      </c>
      <c r="N89" s="266">
        <v>339</v>
      </c>
      <c r="O89" s="266">
        <v>340</v>
      </c>
      <c r="P89" s="266">
        <f t="shared" si="3"/>
        <v>4240</v>
      </c>
    </row>
    <row r="90" spans="1:16" x14ac:dyDescent="0.3">
      <c r="A90" s="449" t="s">
        <v>220</v>
      </c>
      <c r="B90" s="532" t="s">
        <v>221</v>
      </c>
      <c r="C90" s="532" t="s">
        <v>255</v>
      </c>
      <c r="D90" s="266">
        <v>208</v>
      </c>
      <c r="E90" s="266">
        <v>298</v>
      </c>
      <c r="F90" s="266">
        <v>305</v>
      </c>
      <c r="G90" s="266">
        <v>276</v>
      </c>
      <c r="H90" s="266">
        <v>306</v>
      </c>
      <c r="I90" s="266">
        <v>281</v>
      </c>
      <c r="J90" s="266">
        <v>358</v>
      </c>
      <c r="K90" s="266">
        <v>300</v>
      </c>
      <c r="L90" s="266">
        <v>276</v>
      </c>
      <c r="M90" s="266">
        <v>271</v>
      </c>
      <c r="N90" s="266">
        <v>230</v>
      </c>
      <c r="O90" s="266">
        <v>268</v>
      </c>
      <c r="P90" s="266">
        <f t="shared" si="3"/>
        <v>3377</v>
      </c>
    </row>
    <row r="91" spans="1:16" x14ac:dyDescent="0.3">
      <c r="A91" s="449" t="s">
        <v>224</v>
      </c>
      <c r="B91" s="532" t="s">
        <v>225</v>
      </c>
      <c r="C91" s="532" t="s">
        <v>252</v>
      </c>
      <c r="D91" s="266">
        <v>27</v>
      </c>
      <c r="E91" s="266">
        <v>26</v>
      </c>
      <c r="F91" s="266">
        <v>22</v>
      </c>
      <c r="G91" s="266">
        <v>17</v>
      </c>
      <c r="H91" s="266">
        <v>21</v>
      </c>
      <c r="I91" s="266">
        <v>11</v>
      </c>
      <c r="J91" s="266">
        <v>47</v>
      </c>
      <c r="K91" s="266">
        <v>20</v>
      </c>
      <c r="L91" s="266">
        <v>18</v>
      </c>
      <c r="M91" s="266">
        <v>22</v>
      </c>
      <c r="N91" s="266">
        <v>26</v>
      </c>
      <c r="O91" s="266">
        <v>21</v>
      </c>
      <c r="P91" s="266">
        <f t="shared" si="3"/>
        <v>278</v>
      </c>
    </row>
    <row r="92" spans="1:16" x14ac:dyDescent="0.3">
      <c r="A92" s="449" t="s">
        <v>226</v>
      </c>
      <c r="B92" s="532" t="s">
        <v>227</v>
      </c>
      <c r="C92" s="532" t="s">
        <v>252</v>
      </c>
      <c r="D92" s="266">
        <v>55</v>
      </c>
      <c r="E92" s="266">
        <v>62</v>
      </c>
      <c r="F92" s="266">
        <v>48</v>
      </c>
      <c r="G92" s="266">
        <v>40</v>
      </c>
      <c r="H92" s="266">
        <v>36</v>
      </c>
      <c r="I92" s="266">
        <v>35</v>
      </c>
      <c r="J92" s="266">
        <v>48</v>
      </c>
      <c r="K92" s="266">
        <v>57</v>
      </c>
      <c r="L92" s="266">
        <v>57</v>
      </c>
      <c r="M92" s="266">
        <v>41</v>
      </c>
      <c r="N92" s="266">
        <v>46</v>
      </c>
      <c r="O92" s="266">
        <v>52</v>
      </c>
      <c r="P92" s="266">
        <f t="shared" si="3"/>
        <v>577</v>
      </c>
    </row>
    <row r="93" spans="1:16" x14ac:dyDescent="0.3">
      <c r="A93" s="449" t="s">
        <v>228</v>
      </c>
      <c r="B93" s="532" t="s">
        <v>229</v>
      </c>
      <c r="C93" s="532" t="s">
        <v>256</v>
      </c>
      <c r="D93" s="266">
        <v>178</v>
      </c>
      <c r="E93" s="266">
        <v>173</v>
      </c>
      <c r="F93" s="266">
        <v>189</v>
      </c>
      <c r="G93" s="266">
        <v>167</v>
      </c>
      <c r="H93" s="266">
        <v>177</v>
      </c>
      <c r="I93" s="266">
        <v>135</v>
      </c>
      <c r="J93" s="266">
        <v>205</v>
      </c>
      <c r="K93" s="266">
        <v>131</v>
      </c>
      <c r="L93" s="266">
        <v>169</v>
      </c>
      <c r="M93" s="266">
        <v>144</v>
      </c>
      <c r="N93" s="266">
        <v>165</v>
      </c>
      <c r="O93" s="266">
        <v>156</v>
      </c>
      <c r="P93" s="266">
        <f t="shared" si="3"/>
        <v>1989</v>
      </c>
    </row>
    <row r="94" spans="1:16" x14ac:dyDescent="0.3">
      <c r="A94" s="449" t="s">
        <v>232</v>
      </c>
      <c r="B94" s="532" t="s">
        <v>233</v>
      </c>
      <c r="C94" s="532" t="s">
        <v>255</v>
      </c>
      <c r="D94" s="266">
        <v>77</v>
      </c>
      <c r="E94" s="266">
        <v>100</v>
      </c>
      <c r="F94" s="266">
        <v>100</v>
      </c>
      <c r="G94" s="266">
        <v>106</v>
      </c>
      <c r="H94" s="266">
        <v>98</v>
      </c>
      <c r="I94" s="266">
        <v>109</v>
      </c>
      <c r="J94" s="266">
        <v>123</v>
      </c>
      <c r="K94" s="266">
        <v>101</v>
      </c>
      <c r="L94" s="266">
        <v>118</v>
      </c>
      <c r="M94" s="266">
        <v>118</v>
      </c>
      <c r="N94" s="266">
        <v>102</v>
      </c>
      <c r="O94" s="266">
        <v>115</v>
      </c>
      <c r="P94" s="266">
        <f t="shared" si="3"/>
        <v>1267</v>
      </c>
    </row>
    <row r="95" spans="1:16" x14ac:dyDescent="0.3">
      <c r="A95" s="449" t="s">
        <v>234</v>
      </c>
      <c r="B95" s="532" t="s">
        <v>235</v>
      </c>
      <c r="C95" s="532" t="s">
        <v>256</v>
      </c>
      <c r="D95" s="266">
        <v>144</v>
      </c>
      <c r="E95" s="266">
        <v>210</v>
      </c>
      <c r="F95" s="266">
        <v>141</v>
      </c>
      <c r="G95" s="266">
        <v>181</v>
      </c>
      <c r="H95" s="266">
        <v>190</v>
      </c>
      <c r="I95" s="266">
        <v>196</v>
      </c>
      <c r="J95" s="266">
        <v>213</v>
      </c>
      <c r="K95" s="266">
        <v>179</v>
      </c>
      <c r="L95" s="266">
        <v>173</v>
      </c>
      <c r="M95" s="266">
        <v>190</v>
      </c>
      <c r="N95" s="266">
        <v>210</v>
      </c>
      <c r="O95" s="266">
        <v>175</v>
      </c>
      <c r="P95" s="266">
        <f t="shared" si="3"/>
        <v>2202</v>
      </c>
    </row>
    <row r="96" spans="1:16" x14ac:dyDescent="0.3">
      <c r="A96" s="449" t="s">
        <v>236</v>
      </c>
      <c r="B96" s="532" t="s">
        <v>237</v>
      </c>
      <c r="C96" s="532" t="s">
        <v>254</v>
      </c>
      <c r="D96" s="266">
        <v>54</v>
      </c>
      <c r="E96" s="266">
        <v>70</v>
      </c>
      <c r="F96" s="266">
        <v>54</v>
      </c>
      <c r="G96" s="266">
        <v>65</v>
      </c>
      <c r="H96" s="266">
        <v>73</v>
      </c>
      <c r="I96" s="266">
        <v>57</v>
      </c>
      <c r="J96" s="266">
        <v>79</v>
      </c>
      <c r="K96" s="266">
        <v>66</v>
      </c>
      <c r="L96" s="266">
        <v>57</v>
      </c>
      <c r="M96" s="266">
        <v>64</v>
      </c>
      <c r="N96" s="266">
        <v>71</v>
      </c>
      <c r="O96" s="266">
        <v>55</v>
      </c>
      <c r="P96" s="266">
        <f t="shared" si="3"/>
        <v>765</v>
      </c>
    </row>
    <row r="97" spans="1:16" x14ac:dyDescent="0.3">
      <c r="A97" s="449" t="s">
        <v>242</v>
      </c>
      <c r="B97" s="532" t="s">
        <v>243</v>
      </c>
      <c r="C97" s="532" t="s">
        <v>256</v>
      </c>
      <c r="D97" s="266">
        <v>145</v>
      </c>
      <c r="E97" s="266">
        <v>164</v>
      </c>
      <c r="F97" s="266">
        <v>116</v>
      </c>
      <c r="G97" s="266">
        <v>156</v>
      </c>
      <c r="H97" s="266">
        <v>158</v>
      </c>
      <c r="I97" s="266">
        <v>137</v>
      </c>
      <c r="J97" s="266">
        <v>205</v>
      </c>
      <c r="K97" s="266">
        <v>171</v>
      </c>
      <c r="L97" s="266">
        <v>156</v>
      </c>
      <c r="M97" s="266">
        <v>153</v>
      </c>
      <c r="N97" s="266">
        <v>148</v>
      </c>
      <c r="O97" s="266">
        <v>162</v>
      </c>
      <c r="P97" s="266">
        <f t="shared" si="3"/>
        <v>1871</v>
      </c>
    </row>
    <row r="98" spans="1:16" x14ac:dyDescent="0.3">
      <c r="A98" s="449" t="s">
        <v>244</v>
      </c>
      <c r="B98" s="532" t="s">
        <v>245</v>
      </c>
      <c r="C98" s="532" t="s">
        <v>256</v>
      </c>
      <c r="D98" s="266">
        <v>103</v>
      </c>
      <c r="E98" s="266">
        <v>117</v>
      </c>
      <c r="F98" s="266">
        <v>107</v>
      </c>
      <c r="G98" s="266">
        <v>112</v>
      </c>
      <c r="H98" s="266">
        <v>115</v>
      </c>
      <c r="I98" s="266">
        <v>87</v>
      </c>
      <c r="J98" s="266">
        <v>121</v>
      </c>
      <c r="K98" s="266">
        <v>111</v>
      </c>
      <c r="L98" s="266">
        <v>96</v>
      </c>
      <c r="M98" s="266">
        <v>91</v>
      </c>
      <c r="N98" s="266">
        <v>103</v>
      </c>
      <c r="O98" s="266">
        <v>93</v>
      </c>
      <c r="P98" s="266">
        <f t="shared" si="3"/>
        <v>1256</v>
      </c>
    </row>
    <row r="99" spans="1:16" x14ac:dyDescent="0.3">
      <c r="A99" s="449" t="s">
        <v>246</v>
      </c>
      <c r="B99" s="532" t="s">
        <v>247</v>
      </c>
      <c r="C99" s="532" t="s">
        <v>252</v>
      </c>
      <c r="D99" s="266">
        <v>82</v>
      </c>
      <c r="E99" s="266">
        <v>117</v>
      </c>
      <c r="F99" s="266">
        <v>100</v>
      </c>
      <c r="G99" s="266">
        <v>110</v>
      </c>
      <c r="H99" s="266">
        <v>113</v>
      </c>
      <c r="I99" s="266">
        <v>101</v>
      </c>
      <c r="J99" s="266">
        <v>143</v>
      </c>
      <c r="K99" s="266">
        <v>93</v>
      </c>
      <c r="L99" s="266">
        <v>106</v>
      </c>
      <c r="M99" s="266">
        <v>93</v>
      </c>
      <c r="N99" s="266">
        <v>84</v>
      </c>
      <c r="O99" s="266">
        <v>90</v>
      </c>
      <c r="P99" s="266">
        <f t="shared" si="3"/>
        <v>1232</v>
      </c>
    </row>
    <row r="100" spans="1:16" x14ac:dyDescent="0.3">
      <c r="A100" s="449" t="s">
        <v>14</v>
      </c>
      <c r="B100" s="532" t="s">
        <v>15</v>
      </c>
      <c r="C100" s="532" t="s">
        <v>255</v>
      </c>
      <c r="D100" s="266">
        <v>246</v>
      </c>
      <c r="E100" s="266">
        <v>311</v>
      </c>
      <c r="F100" s="266">
        <v>267</v>
      </c>
      <c r="G100" s="266">
        <v>266</v>
      </c>
      <c r="H100" s="266">
        <v>235</v>
      </c>
      <c r="I100" s="266">
        <v>250</v>
      </c>
      <c r="J100" s="266">
        <v>318</v>
      </c>
      <c r="K100" s="266">
        <v>272</v>
      </c>
      <c r="L100" s="266">
        <v>288</v>
      </c>
      <c r="M100" s="266">
        <v>298</v>
      </c>
      <c r="N100" s="266">
        <v>254</v>
      </c>
      <c r="O100" s="266">
        <v>269</v>
      </c>
      <c r="P100" s="266">
        <f t="shared" si="3"/>
        <v>3274</v>
      </c>
    </row>
    <row r="101" spans="1:16" x14ac:dyDescent="0.3">
      <c r="A101" s="449" t="s">
        <v>34</v>
      </c>
      <c r="B101" s="532" t="s">
        <v>35</v>
      </c>
      <c r="C101" s="532" t="s">
        <v>256</v>
      </c>
      <c r="D101" s="266">
        <v>111</v>
      </c>
      <c r="E101" s="266">
        <v>114</v>
      </c>
      <c r="F101" s="266">
        <v>120</v>
      </c>
      <c r="G101" s="266">
        <v>132</v>
      </c>
      <c r="H101" s="266">
        <v>115</v>
      </c>
      <c r="I101" s="266">
        <v>127</v>
      </c>
      <c r="J101" s="266">
        <v>106</v>
      </c>
      <c r="K101" s="266">
        <v>88</v>
      </c>
      <c r="L101" s="266">
        <v>97</v>
      </c>
      <c r="M101" s="266">
        <v>112</v>
      </c>
      <c r="N101" s="266">
        <v>142</v>
      </c>
      <c r="O101" s="266">
        <v>110</v>
      </c>
      <c r="P101" s="266">
        <f t="shared" ref="P101:P124" si="4">SUM(D101:O101)</f>
        <v>1374</v>
      </c>
    </row>
    <row r="102" spans="1:16" x14ac:dyDescent="0.3">
      <c r="A102" s="449" t="s">
        <v>52</v>
      </c>
      <c r="B102" s="532" t="s">
        <v>53</v>
      </c>
      <c r="C102" s="532" t="s">
        <v>253</v>
      </c>
      <c r="D102" s="266">
        <v>134</v>
      </c>
      <c r="E102" s="266">
        <v>135</v>
      </c>
      <c r="F102" s="266">
        <v>105</v>
      </c>
      <c r="G102" s="266">
        <v>143</v>
      </c>
      <c r="H102" s="266">
        <v>119</v>
      </c>
      <c r="I102" s="266">
        <v>123</v>
      </c>
      <c r="J102" s="266">
        <v>121</v>
      </c>
      <c r="K102" s="266">
        <v>114</v>
      </c>
      <c r="L102" s="266">
        <v>138</v>
      </c>
      <c r="M102" s="266">
        <v>137</v>
      </c>
      <c r="N102" s="266">
        <v>129</v>
      </c>
      <c r="O102" s="266">
        <v>118</v>
      </c>
      <c r="P102" s="266">
        <f t="shared" si="4"/>
        <v>1516</v>
      </c>
    </row>
    <row r="103" spans="1:16" x14ac:dyDescent="0.3">
      <c r="A103" s="449" t="s">
        <v>54</v>
      </c>
      <c r="B103" s="532" t="s">
        <v>55</v>
      </c>
      <c r="C103" s="532" t="s">
        <v>252</v>
      </c>
      <c r="D103" s="266">
        <v>679</v>
      </c>
      <c r="E103" s="266">
        <v>730</v>
      </c>
      <c r="F103" s="266">
        <v>566</v>
      </c>
      <c r="G103" s="266">
        <v>691</v>
      </c>
      <c r="H103" s="266">
        <v>686</v>
      </c>
      <c r="I103" s="266">
        <v>637</v>
      </c>
      <c r="J103" s="266">
        <v>782</v>
      </c>
      <c r="K103" s="266">
        <v>642</v>
      </c>
      <c r="L103" s="266">
        <v>662</v>
      </c>
      <c r="M103" s="266">
        <v>623</v>
      </c>
      <c r="N103" s="266">
        <v>676</v>
      </c>
      <c r="O103" s="266">
        <v>659</v>
      </c>
      <c r="P103" s="266">
        <f t="shared" si="4"/>
        <v>8033</v>
      </c>
    </row>
    <row r="104" spans="1:16" x14ac:dyDescent="0.3">
      <c r="A104" s="449" t="s">
        <v>66</v>
      </c>
      <c r="B104" s="532" t="s">
        <v>67</v>
      </c>
      <c r="C104" s="532" t="s">
        <v>253</v>
      </c>
      <c r="D104" s="266">
        <v>221</v>
      </c>
      <c r="E104" s="266">
        <v>287</v>
      </c>
      <c r="F104" s="266">
        <v>189</v>
      </c>
      <c r="G104" s="266">
        <v>248</v>
      </c>
      <c r="H104" s="266">
        <v>253</v>
      </c>
      <c r="I104" s="266">
        <v>219</v>
      </c>
      <c r="J104" s="266">
        <v>286</v>
      </c>
      <c r="K104" s="266">
        <v>206</v>
      </c>
      <c r="L104" s="266">
        <v>307</v>
      </c>
      <c r="M104" s="266">
        <v>244</v>
      </c>
      <c r="N104" s="266">
        <v>313</v>
      </c>
      <c r="O104" s="266">
        <v>263</v>
      </c>
      <c r="P104" s="266">
        <f t="shared" si="4"/>
        <v>3036</v>
      </c>
    </row>
    <row r="105" spans="1:16" x14ac:dyDescent="0.3">
      <c r="A105" s="449" t="s">
        <v>82</v>
      </c>
      <c r="B105" s="532" t="s">
        <v>83</v>
      </c>
      <c r="C105" s="532" t="s">
        <v>252</v>
      </c>
      <c r="D105" s="266">
        <v>59</v>
      </c>
      <c r="E105" s="266">
        <v>57</v>
      </c>
      <c r="F105" s="266">
        <v>29</v>
      </c>
      <c r="G105" s="266">
        <v>62</v>
      </c>
      <c r="H105" s="266">
        <v>47</v>
      </c>
      <c r="I105" s="266">
        <v>42</v>
      </c>
      <c r="J105" s="266">
        <v>66</v>
      </c>
      <c r="K105" s="266">
        <v>35</v>
      </c>
      <c r="L105" s="266">
        <v>39</v>
      </c>
      <c r="M105" s="266">
        <v>44</v>
      </c>
      <c r="N105" s="266">
        <v>51</v>
      </c>
      <c r="O105" s="266">
        <v>43</v>
      </c>
      <c r="P105" s="266">
        <f t="shared" si="4"/>
        <v>574</v>
      </c>
    </row>
    <row r="106" spans="1:16" x14ac:dyDescent="0.3">
      <c r="A106" s="449" t="s">
        <v>88</v>
      </c>
      <c r="B106" s="532" t="s">
        <v>89</v>
      </c>
      <c r="C106" s="532" t="s">
        <v>255</v>
      </c>
      <c r="D106" s="266">
        <v>141</v>
      </c>
      <c r="E106" s="266">
        <v>178</v>
      </c>
      <c r="F106" s="266">
        <v>158</v>
      </c>
      <c r="G106" s="266">
        <v>152</v>
      </c>
      <c r="H106" s="266">
        <v>166</v>
      </c>
      <c r="I106" s="266">
        <v>161</v>
      </c>
      <c r="J106" s="266">
        <v>208</v>
      </c>
      <c r="K106" s="266">
        <v>154</v>
      </c>
      <c r="L106" s="266">
        <v>163</v>
      </c>
      <c r="M106" s="266">
        <v>141</v>
      </c>
      <c r="N106" s="266">
        <v>157</v>
      </c>
      <c r="O106" s="266">
        <v>139</v>
      </c>
      <c r="P106" s="266">
        <f t="shared" si="4"/>
        <v>1918</v>
      </c>
    </row>
    <row r="107" spans="1:16" x14ac:dyDescent="0.3">
      <c r="A107" s="449" t="s">
        <v>90</v>
      </c>
      <c r="B107" s="532" t="s">
        <v>91</v>
      </c>
      <c r="C107" s="532" t="s">
        <v>256</v>
      </c>
      <c r="D107" s="266">
        <v>40</v>
      </c>
      <c r="E107" s="266">
        <v>49</v>
      </c>
      <c r="F107" s="266">
        <v>40</v>
      </c>
      <c r="G107" s="266">
        <v>40</v>
      </c>
      <c r="H107" s="266">
        <v>32</v>
      </c>
      <c r="I107" s="266">
        <v>28</v>
      </c>
      <c r="J107" s="266">
        <v>37</v>
      </c>
      <c r="K107" s="266">
        <v>33</v>
      </c>
      <c r="L107" s="266">
        <v>32</v>
      </c>
      <c r="M107" s="266">
        <v>33</v>
      </c>
      <c r="N107" s="266">
        <v>37</v>
      </c>
      <c r="O107" s="266">
        <v>31</v>
      </c>
      <c r="P107" s="266">
        <f t="shared" si="4"/>
        <v>432</v>
      </c>
    </row>
    <row r="108" spans="1:16" x14ac:dyDescent="0.3">
      <c r="A108" s="449" t="s">
        <v>106</v>
      </c>
      <c r="B108" s="532" t="s">
        <v>107</v>
      </c>
      <c r="C108" s="532" t="s">
        <v>252</v>
      </c>
      <c r="D108" s="266">
        <v>650</v>
      </c>
      <c r="E108" s="266">
        <v>651</v>
      </c>
      <c r="F108" s="266">
        <v>552</v>
      </c>
      <c r="G108" s="266">
        <v>724</v>
      </c>
      <c r="H108" s="266">
        <v>708</v>
      </c>
      <c r="I108" s="266">
        <v>614</v>
      </c>
      <c r="J108" s="266">
        <v>742</v>
      </c>
      <c r="K108" s="266">
        <v>567</v>
      </c>
      <c r="L108" s="266">
        <v>547</v>
      </c>
      <c r="M108" s="266">
        <v>582</v>
      </c>
      <c r="N108" s="266">
        <v>657</v>
      </c>
      <c r="O108" s="266">
        <v>649</v>
      </c>
      <c r="P108" s="266">
        <f t="shared" si="4"/>
        <v>7643</v>
      </c>
    </row>
    <row r="109" spans="1:16" x14ac:dyDescent="0.3">
      <c r="A109" s="449" t="s">
        <v>116</v>
      </c>
      <c r="B109" s="532" t="s">
        <v>117</v>
      </c>
      <c r="C109" s="532" t="s">
        <v>254</v>
      </c>
      <c r="D109" s="266">
        <v>183</v>
      </c>
      <c r="E109" s="266">
        <v>192</v>
      </c>
      <c r="F109" s="266">
        <v>153</v>
      </c>
      <c r="G109" s="266">
        <v>187</v>
      </c>
      <c r="H109" s="266">
        <v>165</v>
      </c>
      <c r="I109" s="266">
        <v>147</v>
      </c>
      <c r="J109" s="266">
        <v>210</v>
      </c>
      <c r="K109" s="266">
        <v>167</v>
      </c>
      <c r="L109" s="266">
        <v>171</v>
      </c>
      <c r="M109" s="266">
        <v>152</v>
      </c>
      <c r="N109" s="266">
        <v>225</v>
      </c>
      <c r="O109" s="266">
        <v>200</v>
      </c>
      <c r="P109" s="266">
        <f t="shared" si="4"/>
        <v>2152</v>
      </c>
    </row>
    <row r="110" spans="1:16" x14ac:dyDescent="0.3">
      <c r="A110" s="449" t="s">
        <v>138</v>
      </c>
      <c r="B110" s="532" t="s">
        <v>139</v>
      </c>
      <c r="C110" s="532" t="s">
        <v>253</v>
      </c>
      <c r="D110" s="266">
        <v>330</v>
      </c>
      <c r="E110" s="266">
        <v>346</v>
      </c>
      <c r="F110" s="266">
        <v>282</v>
      </c>
      <c r="G110" s="266">
        <v>315</v>
      </c>
      <c r="H110" s="266">
        <v>308</v>
      </c>
      <c r="I110" s="266">
        <v>295</v>
      </c>
      <c r="J110" s="266">
        <v>302</v>
      </c>
      <c r="K110" s="266">
        <v>272</v>
      </c>
      <c r="L110" s="266">
        <v>259</v>
      </c>
      <c r="M110" s="266">
        <v>351</v>
      </c>
      <c r="N110" s="266">
        <v>346</v>
      </c>
      <c r="O110" s="266">
        <v>369</v>
      </c>
      <c r="P110" s="266">
        <f t="shared" si="4"/>
        <v>3775</v>
      </c>
    </row>
    <row r="111" spans="1:16" x14ac:dyDescent="0.3">
      <c r="A111" s="449" t="s">
        <v>142</v>
      </c>
      <c r="B111" s="532" t="s">
        <v>143</v>
      </c>
      <c r="C111" s="532" t="s">
        <v>255</v>
      </c>
      <c r="D111" s="266">
        <v>64</v>
      </c>
      <c r="E111" s="266">
        <v>97</v>
      </c>
      <c r="F111" s="266">
        <v>99</v>
      </c>
      <c r="G111" s="266">
        <v>100</v>
      </c>
      <c r="H111" s="266">
        <v>76</v>
      </c>
      <c r="I111" s="266">
        <v>69</v>
      </c>
      <c r="J111" s="266">
        <v>107</v>
      </c>
      <c r="K111" s="266">
        <v>83</v>
      </c>
      <c r="L111" s="266">
        <v>108</v>
      </c>
      <c r="M111" s="266">
        <v>97</v>
      </c>
      <c r="N111" s="266">
        <v>63</v>
      </c>
      <c r="O111" s="266">
        <v>97</v>
      </c>
      <c r="P111" s="266">
        <f t="shared" si="4"/>
        <v>1060</v>
      </c>
    </row>
    <row r="112" spans="1:16" x14ac:dyDescent="0.3">
      <c r="A112" s="449" t="s">
        <v>144</v>
      </c>
      <c r="B112" s="532" t="s">
        <v>145</v>
      </c>
      <c r="C112" s="532" t="s">
        <v>255</v>
      </c>
      <c r="D112" s="266">
        <v>26</v>
      </c>
      <c r="E112" s="266">
        <v>36</v>
      </c>
      <c r="F112" s="266">
        <v>25</v>
      </c>
      <c r="G112" s="266">
        <v>31</v>
      </c>
      <c r="H112" s="266">
        <v>38</v>
      </c>
      <c r="I112" s="266">
        <v>26</v>
      </c>
      <c r="J112" s="266">
        <v>46</v>
      </c>
      <c r="K112" s="266">
        <v>32</v>
      </c>
      <c r="L112" s="266">
        <v>32</v>
      </c>
      <c r="M112" s="266">
        <v>36</v>
      </c>
      <c r="N112" s="266">
        <v>27</v>
      </c>
      <c r="O112" s="266">
        <v>29</v>
      </c>
      <c r="P112" s="266">
        <f t="shared" si="4"/>
        <v>384</v>
      </c>
    </row>
    <row r="113" spans="1:16" x14ac:dyDescent="0.3">
      <c r="A113" s="449" t="s">
        <v>158</v>
      </c>
      <c r="B113" s="532" t="s">
        <v>159</v>
      </c>
      <c r="C113" s="532" t="s">
        <v>252</v>
      </c>
      <c r="D113" s="266">
        <v>962</v>
      </c>
      <c r="E113" s="266">
        <v>1144</v>
      </c>
      <c r="F113" s="266">
        <v>885</v>
      </c>
      <c r="G113" s="266">
        <v>1052</v>
      </c>
      <c r="H113" s="266">
        <v>1050</v>
      </c>
      <c r="I113" s="266">
        <v>980</v>
      </c>
      <c r="J113" s="266">
        <v>1144</v>
      </c>
      <c r="K113" s="266">
        <v>929</v>
      </c>
      <c r="L113" s="266">
        <v>874</v>
      </c>
      <c r="M113" s="266">
        <v>986</v>
      </c>
      <c r="N113" s="266">
        <v>1063</v>
      </c>
      <c r="O113" s="266">
        <v>1025</v>
      </c>
      <c r="P113" s="266">
        <f t="shared" si="4"/>
        <v>12094</v>
      </c>
    </row>
    <row r="114" spans="1:16" x14ac:dyDescent="0.3">
      <c r="A114" s="449" t="s">
        <v>160</v>
      </c>
      <c r="B114" s="532" t="s">
        <v>161</v>
      </c>
      <c r="C114" s="532" t="s">
        <v>252</v>
      </c>
      <c r="D114" s="266">
        <v>1307</v>
      </c>
      <c r="E114" s="266">
        <v>1397</v>
      </c>
      <c r="F114" s="266">
        <v>1200</v>
      </c>
      <c r="G114" s="266">
        <v>1401</v>
      </c>
      <c r="H114" s="266">
        <v>1255</v>
      </c>
      <c r="I114" s="266">
        <v>1172</v>
      </c>
      <c r="J114" s="266">
        <v>1506</v>
      </c>
      <c r="K114" s="266">
        <v>1149</v>
      </c>
      <c r="L114" s="266">
        <v>1083</v>
      </c>
      <c r="M114" s="266">
        <v>1111</v>
      </c>
      <c r="N114" s="266">
        <v>1243</v>
      </c>
      <c r="O114" s="266">
        <v>1233</v>
      </c>
      <c r="P114" s="266">
        <f t="shared" si="4"/>
        <v>15057</v>
      </c>
    </row>
    <row r="115" spans="1:16" x14ac:dyDescent="0.3">
      <c r="A115" s="449" t="s">
        <v>166</v>
      </c>
      <c r="B115" s="532" t="s">
        <v>167</v>
      </c>
      <c r="C115" s="532" t="s">
        <v>256</v>
      </c>
      <c r="D115" s="266">
        <v>19</v>
      </c>
      <c r="E115" s="266">
        <v>20</v>
      </c>
      <c r="F115" s="266">
        <v>14</v>
      </c>
      <c r="G115" s="266">
        <v>22</v>
      </c>
      <c r="H115" s="266">
        <v>27</v>
      </c>
      <c r="I115" s="266">
        <v>15</v>
      </c>
      <c r="J115" s="266">
        <v>29</v>
      </c>
      <c r="K115" s="266">
        <v>24</v>
      </c>
      <c r="L115" s="266">
        <v>22</v>
      </c>
      <c r="M115" s="266">
        <v>15</v>
      </c>
      <c r="N115" s="266">
        <v>21</v>
      </c>
      <c r="O115" s="266">
        <v>17</v>
      </c>
      <c r="P115" s="266">
        <f t="shared" si="4"/>
        <v>245</v>
      </c>
    </row>
    <row r="116" spans="1:16" x14ac:dyDescent="0.3">
      <c r="A116" s="449" t="s">
        <v>176</v>
      </c>
      <c r="B116" s="532" t="s">
        <v>177</v>
      </c>
      <c r="C116" s="532" t="s">
        <v>254</v>
      </c>
      <c r="D116" s="266">
        <v>351</v>
      </c>
      <c r="E116" s="266">
        <v>413</v>
      </c>
      <c r="F116" s="266">
        <v>300</v>
      </c>
      <c r="G116" s="266">
        <v>335</v>
      </c>
      <c r="H116" s="266">
        <v>327</v>
      </c>
      <c r="I116" s="266">
        <v>324</v>
      </c>
      <c r="J116" s="266">
        <v>363</v>
      </c>
      <c r="K116" s="266">
        <v>268</v>
      </c>
      <c r="L116" s="266">
        <v>310</v>
      </c>
      <c r="M116" s="266">
        <v>284</v>
      </c>
      <c r="N116" s="266">
        <v>351</v>
      </c>
      <c r="O116" s="266">
        <v>327</v>
      </c>
      <c r="P116" s="266">
        <f t="shared" si="4"/>
        <v>3953</v>
      </c>
    </row>
    <row r="117" spans="1:16" x14ac:dyDescent="0.3">
      <c r="A117" s="449" t="s">
        <v>180</v>
      </c>
      <c r="B117" s="532" t="s">
        <v>181</v>
      </c>
      <c r="C117" s="532" t="s">
        <v>252</v>
      </c>
      <c r="D117" s="266">
        <v>547</v>
      </c>
      <c r="E117" s="266">
        <v>647</v>
      </c>
      <c r="F117" s="266">
        <v>511</v>
      </c>
      <c r="G117" s="266">
        <v>553</v>
      </c>
      <c r="H117" s="266">
        <v>604</v>
      </c>
      <c r="I117" s="266">
        <v>500</v>
      </c>
      <c r="J117" s="266">
        <v>670</v>
      </c>
      <c r="K117" s="266">
        <v>533</v>
      </c>
      <c r="L117" s="266">
        <v>542</v>
      </c>
      <c r="M117" s="266">
        <v>543</v>
      </c>
      <c r="N117" s="266">
        <v>559</v>
      </c>
      <c r="O117" s="266">
        <v>566</v>
      </c>
      <c r="P117" s="266">
        <f t="shared" si="4"/>
        <v>6775</v>
      </c>
    </row>
    <row r="118" spans="1:16" x14ac:dyDescent="0.3">
      <c r="A118" s="449" t="s">
        <v>192</v>
      </c>
      <c r="B118" s="532" t="s">
        <v>193</v>
      </c>
      <c r="C118" s="532" t="s">
        <v>256</v>
      </c>
      <c r="D118" s="266">
        <v>31</v>
      </c>
      <c r="E118" s="266">
        <v>39</v>
      </c>
      <c r="F118" s="266">
        <v>40</v>
      </c>
      <c r="G118" s="266">
        <v>55</v>
      </c>
      <c r="H118" s="266">
        <v>44</v>
      </c>
      <c r="I118" s="266">
        <v>30</v>
      </c>
      <c r="J118" s="266">
        <v>48</v>
      </c>
      <c r="K118" s="266">
        <v>43</v>
      </c>
      <c r="L118" s="266">
        <v>44</v>
      </c>
      <c r="M118" s="266">
        <v>38</v>
      </c>
      <c r="N118" s="266">
        <v>50</v>
      </c>
      <c r="O118" s="266">
        <v>48</v>
      </c>
      <c r="P118" s="266">
        <f t="shared" si="4"/>
        <v>510</v>
      </c>
    </row>
    <row r="119" spans="1:16" x14ac:dyDescent="0.3">
      <c r="A119" s="449" t="s">
        <v>196</v>
      </c>
      <c r="B119" s="532" t="s">
        <v>197</v>
      </c>
      <c r="C119" s="532" t="s">
        <v>254</v>
      </c>
      <c r="D119" s="266">
        <v>1286</v>
      </c>
      <c r="E119" s="266">
        <v>1503</v>
      </c>
      <c r="F119" s="266">
        <v>1144</v>
      </c>
      <c r="G119" s="266">
        <v>1392</v>
      </c>
      <c r="H119" s="266">
        <v>1303</v>
      </c>
      <c r="I119" s="266">
        <v>1206</v>
      </c>
      <c r="J119" s="266">
        <v>1490</v>
      </c>
      <c r="K119" s="266">
        <v>1201</v>
      </c>
      <c r="L119" s="266">
        <v>1269</v>
      </c>
      <c r="M119" s="266">
        <v>1288</v>
      </c>
      <c r="N119" s="266">
        <v>1337</v>
      </c>
      <c r="O119" s="266">
        <v>1345</v>
      </c>
      <c r="P119" s="266">
        <f t="shared" si="4"/>
        <v>15764</v>
      </c>
    </row>
    <row r="120" spans="1:16" x14ac:dyDescent="0.3">
      <c r="A120" s="449" t="s">
        <v>200</v>
      </c>
      <c r="B120" s="532" t="s">
        <v>201</v>
      </c>
      <c r="C120" s="532" t="s">
        <v>253</v>
      </c>
      <c r="D120" s="266">
        <v>594</v>
      </c>
      <c r="E120" s="266">
        <v>638</v>
      </c>
      <c r="F120" s="266">
        <v>513</v>
      </c>
      <c r="G120" s="266">
        <v>550</v>
      </c>
      <c r="H120" s="266">
        <v>586</v>
      </c>
      <c r="I120" s="266">
        <v>567</v>
      </c>
      <c r="J120" s="266">
        <v>665</v>
      </c>
      <c r="K120" s="266">
        <v>518</v>
      </c>
      <c r="L120" s="266">
        <v>597</v>
      </c>
      <c r="M120" s="266">
        <v>626</v>
      </c>
      <c r="N120" s="266">
        <v>613</v>
      </c>
      <c r="O120" s="266">
        <v>629</v>
      </c>
      <c r="P120" s="266">
        <f t="shared" si="4"/>
        <v>7096</v>
      </c>
    </row>
    <row r="121" spans="1:16" x14ac:dyDescent="0.3">
      <c r="A121" s="449" t="s">
        <v>222</v>
      </c>
      <c r="B121" s="532" t="s">
        <v>223</v>
      </c>
      <c r="C121" s="532" t="s">
        <v>252</v>
      </c>
      <c r="D121" s="266">
        <v>274</v>
      </c>
      <c r="E121" s="266">
        <v>327</v>
      </c>
      <c r="F121" s="266">
        <v>213</v>
      </c>
      <c r="G121" s="266">
        <v>334</v>
      </c>
      <c r="H121" s="266">
        <v>285</v>
      </c>
      <c r="I121" s="266">
        <v>306</v>
      </c>
      <c r="J121" s="266">
        <v>340</v>
      </c>
      <c r="K121" s="266">
        <v>273</v>
      </c>
      <c r="L121" s="266">
        <v>290</v>
      </c>
      <c r="M121" s="266">
        <v>291</v>
      </c>
      <c r="N121" s="266">
        <v>293</v>
      </c>
      <c r="O121" s="266">
        <v>281</v>
      </c>
      <c r="P121" s="266">
        <f t="shared" si="4"/>
        <v>3507</v>
      </c>
    </row>
    <row r="122" spans="1:16" x14ac:dyDescent="0.3">
      <c r="A122" s="449" t="s">
        <v>230</v>
      </c>
      <c r="B122" s="532" t="s">
        <v>231</v>
      </c>
      <c r="C122" s="532" t="s">
        <v>252</v>
      </c>
      <c r="D122" s="266">
        <v>1024</v>
      </c>
      <c r="E122" s="266">
        <v>1133</v>
      </c>
      <c r="F122" s="266">
        <v>947</v>
      </c>
      <c r="G122" s="266">
        <v>1117</v>
      </c>
      <c r="H122" s="266">
        <v>1135</v>
      </c>
      <c r="I122" s="266">
        <v>1190</v>
      </c>
      <c r="J122" s="266">
        <v>1255</v>
      </c>
      <c r="K122" s="266">
        <v>1048</v>
      </c>
      <c r="L122" s="266">
        <v>1044</v>
      </c>
      <c r="M122" s="266">
        <v>1076</v>
      </c>
      <c r="N122" s="266">
        <v>1117</v>
      </c>
      <c r="O122" s="266">
        <v>1093</v>
      </c>
      <c r="P122" s="266">
        <f t="shared" si="4"/>
        <v>13179</v>
      </c>
    </row>
    <row r="123" spans="1:16" x14ac:dyDescent="0.3">
      <c r="A123" s="449" t="s">
        <v>238</v>
      </c>
      <c r="B123" s="532" t="s">
        <v>239</v>
      </c>
      <c r="C123" s="532" t="s">
        <v>252</v>
      </c>
      <c r="D123" s="266">
        <v>38</v>
      </c>
      <c r="E123" s="266">
        <v>34</v>
      </c>
      <c r="F123" s="266">
        <v>31</v>
      </c>
      <c r="G123" s="266">
        <v>43</v>
      </c>
      <c r="H123" s="266">
        <v>42</v>
      </c>
      <c r="I123" s="266">
        <v>39</v>
      </c>
      <c r="J123" s="266">
        <v>42</v>
      </c>
      <c r="K123" s="266">
        <v>53</v>
      </c>
      <c r="L123" s="266">
        <v>38</v>
      </c>
      <c r="M123" s="266">
        <v>31</v>
      </c>
      <c r="N123" s="266">
        <v>48</v>
      </c>
      <c r="O123" s="266">
        <v>52</v>
      </c>
      <c r="P123" s="266">
        <f t="shared" si="4"/>
        <v>491</v>
      </c>
    </row>
    <row r="124" spans="1:16" x14ac:dyDescent="0.3">
      <c r="A124" s="450" t="s">
        <v>240</v>
      </c>
      <c r="B124" s="453" t="s">
        <v>241</v>
      </c>
      <c r="C124" s="453" t="s">
        <v>255</v>
      </c>
      <c r="D124" s="266">
        <v>90</v>
      </c>
      <c r="E124" s="266">
        <v>122</v>
      </c>
      <c r="F124" s="266">
        <v>106</v>
      </c>
      <c r="G124" s="266">
        <v>144</v>
      </c>
      <c r="H124" s="266">
        <v>126</v>
      </c>
      <c r="I124" s="266">
        <v>117</v>
      </c>
      <c r="J124" s="266">
        <v>139</v>
      </c>
      <c r="K124" s="266">
        <v>108</v>
      </c>
      <c r="L124" s="266">
        <v>117</v>
      </c>
      <c r="M124" s="266">
        <v>129</v>
      </c>
      <c r="N124" s="266">
        <v>101</v>
      </c>
      <c r="O124" s="266">
        <v>115</v>
      </c>
      <c r="P124" s="266">
        <f t="shared" si="4"/>
        <v>1414</v>
      </c>
    </row>
    <row r="126" spans="1:16" ht="65.25" customHeight="1" x14ac:dyDescent="0.3">
      <c r="A126" s="2737" t="s">
        <v>1015</v>
      </c>
      <c r="B126" s="2737"/>
      <c r="C126" s="2737"/>
    </row>
    <row r="128" spans="1:16" s="359" customFormat="1" x14ac:dyDescent="0.3">
      <c r="A128" s="359" t="s">
        <v>248</v>
      </c>
    </row>
    <row r="129" spans="1:3" s="359" customFormat="1" x14ac:dyDescent="0.3">
      <c r="A129" s="360" t="s">
        <v>249</v>
      </c>
      <c r="B129" s="361" t="s">
        <v>250</v>
      </c>
      <c r="C129" s="361"/>
    </row>
  </sheetData>
  <sortState ref="A5:P124">
    <sortCondition ref="A5:A124"/>
  </sortState>
  <mergeCells count="1">
    <mergeCell ref="A126:C126"/>
  </mergeCells>
  <hyperlinks>
    <hyperlink ref="B129" r:id="rId1"/>
  </hyperlink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zoomScale="87" zoomScaleNormal="87" workbookViewId="0">
      <pane xSplit="3" ySplit="4" topLeftCell="D5" activePane="bottomRight" state="frozen"/>
      <selection pane="topRight" activeCell="D1" sqref="D1"/>
      <selection pane="bottomLeft" activeCell="A5" sqref="A5"/>
      <selection pane="bottomRight" activeCell="A127" sqref="A127"/>
    </sheetView>
  </sheetViews>
  <sheetFormatPr defaultColWidth="9" defaultRowHeight="15.6" x14ac:dyDescent="0.3"/>
  <cols>
    <col min="1" max="1" width="9" style="441"/>
    <col min="2" max="2" width="33.296875" style="441" customWidth="1"/>
    <col min="3" max="3" width="16.69921875" style="441" customWidth="1"/>
    <col min="4" max="4" width="7.19921875" style="441" customWidth="1"/>
    <col min="5" max="6" width="9.09765625" style="441" bestFit="1" customWidth="1"/>
    <col min="7" max="7" width="9.796875" style="441" bestFit="1" customWidth="1"/>
    <col min="8" max="15" width="10.09765625" style="441" bestFit="1" customWidth="1"/>
    <col min="16" max="16" width="11.09765625" style="441" bestFit="1" customWidth="1"/>
    <col min="17" max="16384" width="9" style="441"/>
  </cols>
  <sheetData>
    <row r="1" spans="1:16" ht="12.75" customHeight="1" x14ac:dyDescent="0.3">
      <c r="A1" s="253" t="s">
        <v>1062</v>
      </c>
    </row>
    <row r="3" spans="1:16" ht="53.25" customHeight="1" x14ac:dyDescent="0.3">
      <c r="A3" s="446" t="s">
        <v>4</v>
      </c>
      <c r="B3" s="503" t="s">
        <v>5</v>
      </c>
      <c r="C3" s="503" t="s">
        <v>251</v>
      </c>
      <c r="D3" s="1376">
        <v>43282</v>
      </c>
      <c r="E3" s="1376">
        <v>43313</v>
      </c>
      <c r="F3" s="1376">
        <v>43344</v>
      </c>
      <c r="G3" s="1376">
        <v>43374</v>
      </c>
      <c r="H3" s="1376">
        <v>43405</v>
      </c>
      <c r="I3" s="1376">
        <v>43435</v>
      </c>
      <c r="J3" s="1376">
        <v>43466</v>
      </c>
      <c r="K3" s="1376">
        <v>43497</v>
      </c>
      <c r="L3" s="1376">
        <v>43525</v>
      </c>
      <c r="M3" s="1376">
        <v>43556</v>
      </c>
      <c r="N3" s="1376">
        <v>43586</v>
      </c>
      <c r="O3" s="1376">
        <v>43617</v>
      </c>
      <c r="P3" s="1377" t="s">
        <v>1059</v>
      </c>
    </row>
    <row r="4" spans="1:16" x14ac:dyDescent="0.3">
      <c r="A4" s="528">
        <v>999</v>
      </c>
      <c r="B4" s="529" t="s">
        <v>9</v>
      </c>
      <c r="C4" s="529"/>
      <c r="D4" s="1378">
        <f>SUM(D5:D124)</f>
        <v>5078</v>
      </c>
      <c r="E4" s="1379">
        <f t="shared" ref="E4:P4" si="0">SUM(E5:E124)</f>
        <v>5269</v>
      </c>
      <c r="F4" s="1379">
        <f t="shared" si="0"/>
        <v>4469</v>
      </c>
      <c r="G4" s="1379">
        <f t="shared" si="0"/>
        <v>4957</v>
      </c>
      <c r="H4" s="1380">
        <f t="shared" si="0"/>
        <v>4537</v>
      </c>
      <c r="I4" s="1380">
        <f t="shared" si="0"/>
        <v>3702</v>
      </c>
      <c r="J4" s="1380">
        <f t="shared" si="0"/>
        <v>4807</v>
      </c>
      <c r="K4" s="1380">
        <f t="shared" si="0"/>
        <v>3500</v>
      </c>
      <c r="L4" s="1380">
        <f t="shared" si="0"/>
        <v>3587</v>
      </c>
      <c r="M4" s="1380">
        <f t="shared" si="0"/>
        <v>4079</v>
      </c>
      <c r="N4" s="1380">
        <f t="shared" si="0"/>
        <v>4500</v>
      </c>
      <c r="O4" s="1380">
        <f t="shared" si="0"/>
        <v>4442</v>
      </c>
      <c r="P4" s="1380">
        <f t="shared" si="0"/>
        <v>52927</v>
      </c>
    </row>
    <row r="5" spans="1:16" x14ac:dyDescent="0.3">
      <c r="A5" s="448" t="s">
        <v>10</v>
      </c>
      <c r="B5" s="505" t="s">
        <v>11</v>
      </c>
      <c r="C5" s="505" t="s">
        <v>252</v>
      </c>
      <c r="D5" s="266">
        <v>26</v>
      </c>
      <c r="E5" s="266">
        <v>30</v>
      </c>
      <c r="F5" s="266">
        <v>12</v>
      </c>
      <c r="G5" s="266">
        <v>27</v>
      </c>
      <c r="H5" s="266">
        <v>22</v>
      </c>
      <c r="I5" s="266">
        <v>12</v>
      </c>
      <c r="J5" s="266">
        <v>12</v>
      </c>
      <c r="K5" s="266">
        <v>16</v>
      </c>
      <c r="L5" s="266">
        <v>13</v>
      </c>
      <c r="M5" s="266">
        <v>14</v>
      </c>
      <c r="N5" s="266">
        <v>16</v>
      </c>
      <c r="O5" s="266">
        <v>18</v>
      </c>
      <c r="P5" s="266">
        <f t="shared" ref="P5:P36" si="1">SUM(D5:O5)</f>
        <v>218</v>
      </c>
    </row>
    <row r="6" spans="1:16" x14ac:dyDescent="0.3">
      <c r="A6" s="449" t="s">
        <v>12</v>
      </c>
      <c r="B6" s="532" t="s">
        <v>13</v>
      </c>
      <c r="C6" s="532" t="s">
        <v>253</v>
      </c>
      <c r="D6" s="266">
        <v>45</v>
      </c>
      <c r="E6" s="266">
        <v>37</v>
      </c>
      <c r="F6" s="266">
        <v>39</v>
      </c>
      <c r="G6" s="266">
        <v>45</v>
      </c>
      <c r="H6" s="266">
        <v>42</v>
      </c>
      <c r="I6" s="266">
        <v>30</v>
      </c>
      <c r="J6" s="266">
        <v>35</v>
      </c>
      <c r="K6" s="266">
        <v>32</v>
      </c>
      <c r="L6" s="266">
        <v>27</v>
      </c>
      <c r="M6" s="266">
        <v>25</v>
      </c>
      <c r="N6" s="266">
        <v>45</v>
      </c>
      <c r="O6" s="266">
        <v>36</v>
      </c>
      <c r="P6" s="266">
        <f t="shared" si="1"/>
        <v>438</v>
      </c>
    </row>
    <row r="7" spans="1:16" x14ac:dyDescent="0.3">
      <c r="A7" s="449" t="s">
        <v>16</v>
      </c>
      <c r="B7" s="532" t="s">
        <v>285</v>
      </c>
      <c r="C7" s="532" t="s">
        <v>253</v>
      </c>
      <c r="D7" s="266">
        <v>20</v>
      </c>
      <c r="E7" s="266">
        <v>18</v>
      </c>
      <c r="F7" s="266">
        <v>12</v>
      </c>
      <c r="G7" s="266">
        <v>12</v>
      </c>
      <c r="H7" s="266">
        <v>17</v>
      </c>
      <c r="I7" s="266">
        <v>7</v>
      </c>
      <c r="J7" s="266">
        <v>11</v>
      </c>
      <c r="K7" s="266">
        <v>15</v>
      </c>
      <c r="L7" s="266">
        <v>10</v>
      </c>
      <c r="M7" s="266">
        <v>11</v>
      </c>
      <c r="N7" s="266">
        <v>16</v>
      </c>
      <c r="O7" s="266">
        <v>13</v>
      </c>
      <c r="P7" s="266">
        <f t="shared" si="1"/>
        <v>162</v>
      </c>
    </row>
    <row r="8" spans="1:16" x14ac:dyDescent="0.3">
      <c r="A8" s="449" t="s">
        <v>18</v>
      </c>
      <c r="B8" s="532" t="s">
        <v>19</v>
      </c>
      <c r="C8" s="532" t="s">
        <v>254</v>
      </c>
      <c r="D8" s="266">
        <v>6</v>
      </c>
      <c r="E8" s="266">
        <v>8</v>
      </c>
      <c r="F8" s="266">
        <v>12</v>
      </c>
      <c r="G8" s="266">
        <v>7</v>
      </c>
      <c r="H8" s="266">
        <v>2</v>
      </c>
      <c r="I8" s="266">
        <v>12</v>
      </c>
      <c r="J8" s="266">
        <v>7</v>
      </c>
      <c r="K8" s="266">
        <v>5</v>
      </c>
      <c r="L8" s="266">
        <v>3</v>
      </c>
      <c r="M8" s="266">
        <v>6</v>
      </c>
      <c r="N8" s="266">
        <v>4</v>
      </c>
      <c r="O8" s="266">
        <v>7</v>
      </c>
      <c r="P8" s="266">
        <f t="shared" si="1"/>
        <v>79</v>
      </c>
    </row>
    <row r="9" spans="1:16" x14ac:dyDescent="0.3">
      <c r="A9" s="449" t="s">
        <v>20</v>
      </c>
      <c r="B9" s="532" t="s">
        <v>21</v>
      </c>
      <c r="C9" s="532" t="s">
        <v>253</v>
      </c>
      <c r="D9" s="266">
        <v>18</v>
      </c>
      <c r="E9" s="266">
        <v>14</v>
      </c>
      <c r="F9" s="266">
        <v>6</v>
      </c>
      <c r="G9" s="266">
        <v>16</v>
      </c>
      <c r="H9" s="266">
        <v>14</v>
      </c>
      <c r="I9" s="266">
        <v>11</v>
      </c>
      <c r="J9" s="266">
        <v>8</v>
      </c>
      <c r="K9" s="266">
        <v>5</v>
      </c>
      <c r="L9" s="266">
        <v>10</v>
      </c>
      <c r="M9" s="266">
        <v>13</v>
      </c>
      <c r="N9" s="266">
        <v>13</v>
      </c>
      <c r="O9" s="266">
        <v>16</v>
      </c>
      <c r="P9" s="266">
        <f t="shared" si="1"/>
        <v>144</v>
      </c>
    </row>
    <row r="10" spans="1:16" x14ac:dyDescent="0.3">
      <c r="A10" s="449" t="s">
        <v>22</v>
      </c>
      <c r="B10" s="532" t="s">
        <v>23</v>
      </c>
      <c r="C10" s="532" t="s">
        <v>253</v>
      </c>
      <c r="D10" s="266">
        <v>8</v>
      </c>
      <c r="E10" s="266">
        <v>10</v>
      </c>
      <c r="F10" s="266">
        <v>6</v>
      </c>
      <c r="G10" s="266">
        <v>7</v>
      </c>
      <c r="H10" s="266">
        <v>7</v>
      </c>
      <c r="I10" s="266">
        <v>5</v>
      </c>
      <c r="J10" s="266">
        <v>5</v>
      </c>
      <c r="K10" s="266">
        <v>3</v>
      </c>
      <c r="L10" s="266">
        <v>8</v>
      </c>
      <c r="M10" s="266">
        <v>8</v>
      </c>
      <c r="N10" s="266">
        <v>8</v>
      </c>
      <c r="O10" s="266">
        <v>8</v>
      </c>
      <c r="P10" s="266">
        <f t="shared" si="1"/>
        <v>83</v>
      </c>
    </row>
    <row r="11" spans="1:16" x14ac:dyDescent="0.3">
      <c r="A11" s="449" t="s">
        <v>24</v>
      </c>
      <c r="B11" s="532" t="s">
        <v>25</v>
      </c>
      <c r="C11" s="532" t="s">
        <v>255</v>
      </c>
      <c r="D11" s="266">
        <v>29</v>
      </c>
      <c r="E11" s="266">
        <v>53</v>
      </c>
      <c r="F11" s="266">
        <v>29</v>
      </c>
      <c r="G11" s="266">
        <v>37</v>
      </c>
      <c r="H11" s="266">
        <v>24</v>
      </c>
      <c r="I11" s="266">
        <v>18</v>
      </c>
      <c r="J11" s="266">
        <v>30</v>
      </c>
      <c r="K11" s="266">
        <v>19</v>
      </c>
      <c r="L11" s="266">
        <v>9</v>
      </c>
      <c r="M11" s="266">
        <v>24</v>
      </c>
      <c r="N11" s="266">
        <v>29</v>
      </c>
      <c r="O11" s="266">
        <v>24</v>
      </c>
      <c r="P11" s="266">
        <f t="shared" si="1"/>
        <v>325</v>
      </c>
    </row>
    <row r="12" spans="1:16" x14ac:dyDescent="0.3">
      <c r="A12" s="449" t="s">
        <v>26</v>
      </c>
      <c r="B12" s="532" t="s">
        <v>547</v>
      </c>
      <c r="C12" s="532" t="s">
        <v>253</v>
      </c>
      <c r="D12" s="266">
        <v>85</v>
      </c>
      <c r="E12" s="266">
        <v>94</v>
      </c>
      <c r="F12" s="266">
        <v>63</v>
      </c>
      <c r="G12" s="266">
        <v>85</v>
      </c>
      <c r="H12" s="266">
        <v>96</v>
      </c>
      <c r="I12" s="266">
        <v>70</v>
      </c>
      <c r="J12" s="266">
        <v>60</v>
      </c>
      <c r="K12" s="266">
        <v>58</v>
      </c>
      <c r="L12" s="266">
        <v>60</v>
      </c>
      <c r="M12" s="266">
        <v>74</v>
      </c>
      <c r="N12" s="266">
        <v>92</v>
      </c>
      <c r="O12" s="266">
        <v>78</v>
      </c>
      <c r="P12" s="266">
        <f t="shared" si="1"/>
        <v>915</v>
      </c>
    </row>
    <row r="13" spans="1:16" x14ac:dyDescent="0.3">
      <c r="A13" s="449" t="s">
        <v>27</v>
      </c>
      <c r="B13" s="532" t="s">
        <v>28</v>
      </c>
      <c r="C13" s="532" t="s">
        <v>253</v>
      </c>
      <c r="D13" s="266"/>
      <c r="E13" s="266">
        <v>2</v>
      </c>
      <c r="F13" s="266"/>
      <c r="G13" s="266">
        <v>3</v>
      </c>
      <c r="H13" s="266">
        <v>1</v>
      </c>
      <c r="I13" s="266">
        <v>2</v>
      </c>
      <c r="J13" s="266">
        <v>1</v>
      </c>
      <c r="K13" s="266"/>
      <c r="L13" s="266"/>
      <c r="M13" s="266">
        <v>3</v>
      </c>
      <c r="N13" s="266">
        <v>2</v>
      </c>
      <c r="O13" s="266">
        <v>4</v>
      </c>
      <c r="P13" s="266">
        <f t="shared" si="1"/>
        <v>18</v>
      </c>
    </row>
    <row r="14" spans="1:16" x14ac:dyDescent="0.3">
      <c r="A14" s="449" t="s">
        <v>29</v>
      </c>
      <c r="B14" s="532" t="s">
        <v>736</v>
      </c>
      <c r="C14" s="532" t="s">
        <v>253</v>
      </c>
      <c r="D14" s="266">
        <v>36</v>
      </c>
      <c r="E14" s="266">
        <v>49</v>
      </c>
      <c r="F14" s="266">
        <v>50</v>
      </c>
      <c r="G14" s="266">
        <v>37</v>
      </c>
      <c r="H14" s="266">
        <v>46</v>
      </c>
      <c r="I14" s="266">
        <v>16</v>
      </c>
      <c r="J14" s="266">
        <v>38</v>
      </c>
      <c r="K14" s="266">
        <v>25</v>
      </c>
      <c r="L14" s="266">
        <v>23</v>
      </c>
      <c r="M14" s="266">
        <v>30</v>
      </c>
      <c r="N14" s="266">
        <v>27</v>
      </c>
      <c r="O14" s="266">
        <v>38</v>
      </c>
      <c r="P14" s="266">
        <f t="shared" si="1"/>
        <v>415</v>
      </c>
    </row>
    <row r="15" spans="1:16" x14ac:dyDescent="0.3">
      <c r="A15" s="449" t="s">
        <v>30</v>
      </c>
      <c r="B15" s="532" t="s">
        <v>31</v>
      </c>
      <c r="C15" s="532" t="s">
        <v>256</v>
      </c>
      <c r="D15" s="266">
        <v>2</v>
      </c>
      <c r="E15" s="266">
        <v>2</v>
      </c>
      <c r="F15" s="266"/>
      <c r="G15" s="266">
        <v>3</v>
      </c>
      <c r="H15" s="266">
        <v>1</v>
      </c>
      <c r="I15" s="266">
        <v>1</v>
      </c>
      <c r="J15" s="266">
        <v>1</v>
      </c>
      <c r="K15" s="266"/>
      <c r="L15" s="266">
        <v>1</v>
      </c>
      <c r="M15" s="266">
        <v>1</v>
      </c>
      <c r="N15" s="266">
        <v>2</v>
      </c>
      <c r="O15" s="266"/>
      <c r="P15" s="266">
        <f t="shared" si="1"/>
        <v>14</v>
      </c>
    </row>
    <row r="16" spans="1:16" x14ac:dyDescent="0.3">
      <c r="A16" s="449" t="s">
        <v>32</v>
      </c>
      <c r="B16" s="532" t="s">
        <v>33</v>
      </c>
      <c r="C16" s="532" t="s">
        <v>253</v>
      </c>
      <c r="D16" s="266">
        <v>14</v>
      </c>
      <c r="E16" s="266">
        <v>8</v>
      </c>
      <c r="F16" s="266">
        <v>7</v>
      </c>
      <c r="G16" s="266">
        <v>12</v>
      </c>
      <c r="H16" s="266">
        <v>8</v>
      </c>
      <c r="I16" s="266">
        <v>6</v>
      </c>
      <c r="J16" s="266">
        <v>15</v>
      </c>
      <c r="K16" s="266">
        <v>5</v>
      </c>
      <c r="L16" s="266">
        <v>7</v>
      </c>
      <c r="M16" s="266">
        <v>8</v>
      </c>
      <c r="N16" s="266">
        <v>7</v>
      </c>
      <c r="O16" s="266">
        <v>11</v>
      </c>
      <c r="P16" s="266">
        <f t="shared" si="1"/>
        <v>108</v>
      </c>
    </row>
    <row r="17" spans="1:16" x14ac:dyDescent="0.3">
      <c r="A17" s="449" t="s">
        <v>36</v>
      </c>
      <c r="B17" s="532" t="s">
        <v>37</v>
      </c>
      <c r="C17" s="532" t="s">
        <v>252</v>
      </c>
      <c r="D17" s="266">
        <v>24</v>
      </c>
      <c r="E17" s="266">
        <v>17</v>
      </c>
      <c r="F17" s="266">
        <v>19</v>
      </c>
      <c r="G17" s="266">
        <v>11</v>
      </c>
      <c r="H17" s="266">
        <v>3</v>
      </c>
      <c r="I17" s="266">
        <v>9</v>
      </c>
      <c r="J17" s="266">
        <v>12</v>
      </c>
      <c r="K17" s="266">
        <v>13</v>
      </c>
      <c r="L17" s="266">
        <v>6</v>
      </c>
      <c r="M17" s="266">
        <v>8</v>
      </c>
      <c r="N17" s="266">
        <v>10</v>
      </c>
      <c r="O17" s="266">
        <v>12</v>
      </c>
      <c r="P17" s="266">
        <f t="shared" si="1"/>
        <v>144</v>
      </c>
    </row>
    <row r="18" spans="1:16" x14ac:dyDescent="0.3">
      <c r="A18" s="449" t="s">
        <v>38</v>
      </c>
      <c r="B18" s="532" t="s">
        <v>39</v>
      </c>
      <c r="C18" s="532" t="s">
        <v>256</v>
      </c>
      <c r="D18" s="266">
        <v>14</v>
      </c>
      <c r="E18" s="266">
        <v>9</v>
      </c>
      <c r="F18" s="266">
        <v>9</v>
      </c>
      <c r="G18" s="266">
        <v>4</v>
      </c>
      <c r="H18" s="266">
        <v>12</v>
      </c>
      <c r="I18" s="266">
        <v>5</v>
      </c>
      <c r="J18" s="266">
        <v>7</v>
      </c>
      <c r="K18" s="266">
        <v>8</v>
      </c>
      <c r="L18" s="266">
        <v>5</v>
      </c>
      <c r="M18" s="266">
        <v>9</v>
      </c>
      <c r="N18" s="266">
        <v>8</v>
      </c>
      <c r="O18" s="266">
        <v>7</v>
      </c>
      <c r="P18" s="266">
        <f t="shared" si="1"/>
        <v>97</v>
      </c>
    </row>
    <row r="19" spans="1:16" x14ac:dyDescent="0.3">
      <c r="A19" s="449" t="s">
        <v>40</v>
      </c>
      <c r="B19" s="532" t="s">
        <v>41</v>
      </c>
      <c r="C19" s="532" t="s">
        <v>254</v>
      </c>
      <c r="D19" s="266">
        <v>14</v>
      </c>
      <c r="E19" s="266">
        <v>9</v>
      </c>
      <c r="F19" s="266">
        <v>11</v>
      </c>
      <c r="G19" s="266">
        <v>4</v>
      </c>
      <c r="H19" s="266">
        <v>7</v>
      </c>
      <c r="I19" s="266">
        <v>6</v>
      </c>
      <c r="J19" s="266">
        <v>9</v>
      </c>
      <c r="K19" s="266">
        <v>4</v>
      </c>
      <c r="L19" s="266">
        <v>4</v>
      </c>
      <c r="M19" s="266">
        <v>7</v>
      </c>
      <c r="N19" s="266">
        <v>2</v>
      </c>
      <c r="O19" s="266">
        <v>8</v>
      </c>
      <c r="P19" s="266">
        <f t="shared" si="1"/>
        <v>85</v>
      </c>
    </row>
    <row r="20" spans="1:16" x14ac:dyDescent="0.3">
      <c r="A20" s="449" t="s">
        <v>42</v>
      </c>
      <c r="B20" s="532" t="s">
        <v>43</v>
      </c>
      <c r="C20" s="532" t="s">
        <v>253</v>
      </c>
      <c r="D20" s="266">
        <v>35</v>
      </c>
      <c r="E20" s="266">
        <v>28</v>
      </c>
      <c r="F20" s="266">
        <v>17</v>
      </c>
      <c r="G20" s="266">
        <v>26</v>
      </c>
      <c r="H20" s="266">
        <v>26</v>
      </c>
      <c r="I20" s="266">
        <v>14</v>
      </c>
      <c r="J20" s="266">
        <v>28</v>
      </c>
      <c r="K20" s="266">
        <v>23</v>
      </c>
      <c r="L20" s="266">
        <v>19</v>
      </c>
      <c r="M20" s="266">
        <v>29</v>
      </c>
      <c r="N20" s="266">
        <v>28</v>
      </c>
      <c r="O20" s="266">
        <v>30</v>
      </c>
      <c r="P20" s="266">
        <f t="shared" si="1"/>
        <v>303</v>
      </c>
    </row>
    <row r="21" spans="1:16" x14ac:dyDescent="0.3">
      <c r="A21" s="449" t="s">
        <v>44</v>
      </c>
      <c r="B21" s="532" t="s">
        <v>45</v>
      </c>
      <c r="C21" s="532" t="s">
        <v>254</v>
      </c>
      <c r="D21" s="266">
        <v>26</v>
      </c>
      <c r="E21" s="266">
        <v>20</v>
      </c>
      <c r="F21" s="266">
        <v>14</v>
      </c>
      <c r="G21" s="266">
        <v>24</v>
      </c>
      <c r="H21" s="266">
        <v>15</v>
      </c>
      <c r="I21" s="266">
        <v>20</v>
      </c>
      <c r="J21" s="266">
        <v>22</v>
      </c>
      <c r="K21" s="266">
        <v>10</v>
      </c>
      <c r="L21" s="266">
        <v>16</v>
      </c>
      <c r="M21" s="266">
        <v>17</v>
      </c>
      <c r="N21" s="266">
        <v>19</v>
      </c>
      <c r="O21" s="266">
        <v>17</v>
      </c>
      <c r="P21" s="266">
        <f t="shared" si="1"/>
        <v>220</v>
      </c>
    </row>
    <row r="22" spans="1:16" x14ac:dyDescent="0.3">
      <c r="A22" s="449" t="s">
        <v>46</v>
      </c>
      <c r="B22" s="532" t="s">
        <v>47</v>
      </c>
      <c r="C22" s="532" t="s">
        <v>256</v>
      </c>
      <c r="D22" s="266">
        <v>5</v>
      </c>
      <c r="E22" s="266">
        <v>16</v>
      </c>
      <c r="F22" s="266">
        <v>14</v>
      </c>
      <c r="G22" s="266">
        <v>7</v>
      </c>
      <c r="H22" s="266">
        <v>16</v>
      </c>
      <c r="I22" s="266">
        <v>9</v>
      </c>
      <c r="J22" s="266">
        <v>15</v>
      </c>
      <c r="K22" s="266">
        <v>11</v>
      </c>
      <c r="L22" s="266">
        <v>14</v>
      </c>
      <c r="M22" s="266">
        <v>20</v>
      </c>
      <c r="N22" s="266">
        <v>18</v>
      </c>
      <c r="O22" s="266">
        <v>13</v>
      </c>
      <c r="P22" s="266">
        <f t="shared" si="1"/>
        <v>158</v>
      </c>
    </row>
    <row r="23" spans="1:16" x14ac:dyDescent="0.3">
      <c r="A23" s="449" t="s">
        <v>48</v>
      </c>
      <c r="B23" s="532" t="s">
        <v>257</v>
      </c>
      <c r="C23" s="532" t="s">
        <v>254</v>
      </c>
      <c r="D23" s="266">
        <v>2</v>
      </c>
      <c r="E23" s="266">
        <v>1</v>
      </c>
      <c r="F23" s="266">
        <v>1</v>
      </c>
      <c r="G23" s="266">
        <v>1</v>
      </c>
      <c r="H23" s="266">
        <v>1</v>
      </c>
      <c r="I23" s="266">
        <v>1</v>
      </c>
      <c r="J23" s="266">
        <v>3</v>
      </c>
      <c r="K23" s="266">
        <v>2</v>
      </c>
      <c r="L23" s="266"/>
      <c r="M23" s="266">
        <v>1</v>
      </c>
      <c r="N23" s="266">
        <v>3</v>
      </c>
      <c r="O23" s="266">
        <v>2</v>
      </c>
      <c r="P23" s="266">
        <f t="shared" si="1"/>
        <v>18</v>
      </c>
    </row>
    <row r="24" spans="1:16" x14ac:dyDescent="0.3">
      <c r="A24" s="449" t="s">
        <v>50</v>
      </c>
      <c r="B24" s="532" t="s">
        <v>51</v>
      </c>
      <c r="C24" s="532" t="s">
        <v>253</v>
      </c>
      <c r="D24" s="266">
        <v>6</v>
      </c>
      <c r="E24" s="266">
        <v>7</v>
      </c>
      <c r="F24" s="266">
        <v>8</v>
      </c>
      <c r="G24" s="266">
        <v>6</v>
      </c>
      <c r="H24" s="266">
        <v>8</v>
      </c>
      <c r="I24" s="266">
        <v>3</v>
      </c>
      <c r="J24" s="266">
        <v>3</v>
      </c>
      <c r="K24" s="266">
        <v>5</v>
      </c>
      <c r="L24" s="266">
        <v>4</v>
      </c>
      <c r="M24" s="266">
        <v>4</v>
      </c>
      <c r="N24" s="266">
        <v>4</v>
      </c>
      <c r="O24" s="266">
        <v>6</v>
      </c>
      <c r="P24" s="266">
        <f t="shared" si="1"/>
        <v>64</v>
      </c>
    </row>
    <row r="25" spans="1:16" x14ac:dyDescent="0.3">
      <c r="A25" s="449" t="s">
        <v>56</v>
      </c>
      <c r="B25" s="532" t="s">
        <v>283</v>
      </c>
      <c r="C25" s="532" t="s">
        <v>254</v>
      </c>
      <c r="D25" s="266">
        <v>199</v>
      </c>
      <c r="E25" s="266">
        <v>214</v>
      </c>
      <c r="F25" s="266">
        <v>176</v>
      </c>
      <c r="G25" s="266">
        <v>209</v>
      </c>
      <c r="H25" s="266">
        <v>170</v>
      </c>
      <c r="I25" s="266">
        <v>128</v>
      </c>
      <c r="J25" s="266">
        <v>211</v>
      </c>
      <c r="K25" s="266">
        <v>152</v>
      </c>
      <c r="L25" s="266">
        <v>154</v>
      </c>
      <c r="M25" s="266">
        <v>178</v>
      </c>
      <c r="N25" s="266">
        <v>191</v>
      </c>
      <c r="O25" s="266">
        <v>180</v>
      </c>
      <c r="P25" s="266">
        <f t="shared" si="1"/>
        <v>2162</v>
      </c>
    </row>
    <row r="26" spans="1:16" x14ac:dyDescent="0.3">
      <c r="A26" s="449" t="s">
        <v>58</v>
      </c>
      <c r="B26" s="532" t="s">
        <v>59</v>
      </c>
      <c r="C26" s="532" t="s">
        <v>255</v>
      </c>
      <c r="D26" s="266">
        <v>2</v>
      </c>
      <c r="E26" s="266">
        <v>5</v>
      </c>
      <c r="F26" s="266">
        <v>4</v>
      </c>
      <c r="G26" s="266">
        <v>2</v>
      </c>
      <c r="H26" s="266">
        <v>2</v>
      </c>
      <c r="I26" s="266">
        <v>3</v>
      </c>
      <c r="J26" s="266">
        <v>8</v>
      </c>
      <c r="K26" s="266">
        <v>8</v>
      </c>
      <c r="L26" s="266">
        <v>4</v>
      </c>
      <c r="M26" s="266">
        <v>2</v>
      </c>
      <c r="N26" s="266">
        <v>1</v>
      </c>
      <c r="O26" s="266">
        <v>2</v>
      </c>
      <c r="P26" s="266">
        <f t="shared" si="1"/>
        <v>43</v>
      </c>
    </row>
    <row r="27" spans="1:16" x14ac:dyDescent="0.3">
      <c r="A27" s="449" t="s">
        <v>60</v>
      </c>
      <c r="B27" s="532" t="s">
        <v>61</v>
      </c>
      <c r="C27" s="532" t="s">
        <v>253</v>
      </c>
      <c r="D27" s="266">
        <v>1</v>
      </c>
      <c r="E27" s="266">
        <v>1</v>
      </c>
      <c r="F27" s="266">
        <v>1</v>
      </c>
      <c r="G27" s="266"/>
      <c r="H27" s="266">
        <v>5</v>
      </c>
      <c r="I27" s="266">
        <v>3</v>
      </c>
      <c r="J27" s="266">
        <v>4</v>
      </c>
      <c r="K27" s="266">
        <v>1</v>
      </c>
      <c r="L27" s="266">
        <v>3</v>
      </c>
      <c r="M27" s="266">
        <v>5</v>
      </c>
      <c r="N27" s="266">
        <v>1</v>
      </c>
      <c r="O27" s="266">
        <v>1</v>
      </c>
      <c r="P27" s="266">
        <f t="shared" si="1"/>
        <v>26</v>
      </c>
    </row>
    <row r="28" spans="1:16" x14ac:dyDescent="0.3">
      <c r="A28" s="449" t="s">
        <v>62</v>
      </c>
      <c r="B28" s="532" t="s">
        <v>63</v>
      </c>
      <c r="C28" s="532" t="s">
        <v>255</v>
      </c>
      <c r="D28" s="266">
        <v>27</v>
      </c>
      <c r="E28" s="266">
        <v>34</v>
      </c>
      <c r="F28" s="266">
        <v>28</v>
      </c>
      <c r="G28" s="266">
        <v>22</v>
      </c>
      <c r="H28" s="266">
        <v>25</v>
      </c>
      <c r="I28" s="266">
        <v>19</v>
      </c>
      <c r="J28" s="266">
        <v>29</v>
      </c>
      <c r="K28" s="266">
        <v>23</v>
      </c>
      <c r="L28" s="266">
        <v>24</v>
      </c>
      <c r="M28" s="266">
        <v>19</v>
      </c>
      <c r="N28" s="266">
        <v>26</v>
      </c>
      <c r="O28" s="266">
        <v>24</v>
      </c>
      <c r="P28" s="266">
        <f t="shared" si="1"/>
        <v>300</v>
      </c>
    </row>
    <row r="29" spans="1:16" x14ac:dyDescent="0.3">
      <c r="A29" s="449" t="s">
        <v>64</v>
      </c>
      <c r="B29" s="532" t="s">
        <v>65</v>
      </c>
      <c r="C29" s="532" t="s">
        <v>254</v>
      </c>
      <c r="D29" s="266">
        <v>4</v>
      </c>
      <c r="E29" s="266">
        <v>4</v>
      </c>
      <c r="F29" s="266">
        <v>4</v>
      </c>
      <c r="G29" s="266">
        <v>6</v>
      </c>
      <c r="H29" s="266">
        <v>8</v>
      </c>
      <c r="I29" s="266">
        <v>6</v>
      </c>
      <c r="J29" s="266">
        <v>6</v>
      </c>
      <c r="K29" s="266">
        <v>7</v>
      </c>
      <c r="L29" s="266">
        <v>2</v>
      </c>
      <c r="M29" s="266">
        <v>4</v>
      </c>
      <c r="N29" s="266">
        <v>12</v>
      </c>
      <c r="O29" s="266">
        <v>12</v>
      </c>
      <c r="P29" s="266">
        <f t="shared" si="1"/>
        <v>75</v>
      </c>
    </row>
    <row r="30" spans="1:16" x14ac:dyDescent="0.3">
      <c r="A30" s="449" t="s">
        <v>68</v>
      </c>
      <c r="B30" s="532" t="s">
        <v>69</v>
      </c>
      <c r="C30" s="532" t="s">
        <v>256</v>
      </c>
      <c r="D30" s="266">
        <v>8</v>
      </c>
      <c r="E30" s="266">
        <v>9</v>
      </c>
      <c r="F30" s="266">
        <v>7</v>
      </c>
      <c r="G30" s="266">
        <v>1</v>
      </c>
      <c r="H30" s="266">
        <v>6</v>
      </c>
      <c r="I30" s="266">
        <v>5</v>
      </c>
      <c r="J30" s="266"/>
      <c r="K30" s="266">
        <v>4</v>
      </c>
      <c r="L30" s="266">
        <v>3</v>
      </c>
      <c r="M30" s="266">
        <v>3</v>
      </c>
      <c r="N30" s="266">
        <v>6</v>
      </c>
      <c r="O30" s="266">
        <v>9</v>
      </c>
      <c r="P30" s="266">
        <f t="shared" si="1"/>
        <v>61</v>
      </c>
    </row>
    <row r="31" spans="1:16" x14ac:dyDescent="0.3">
      <c r="A31" s="449" t="s">
        <v>70</v>
      </c>
      <c r="B31" s="532" t="s">
        <v>71</v>
      </c>
      <c r="C31" s="532" t="s">
        <v>252</v>
      </c>
      <c r="D31" s="266">
        <v>13</v>
      </c>
      <c r="E31" s="266">
        <v>16</v>
      </c>
      <c r="F31" s="266">
        <v>21</v>
      </c>
      <c r="G31" s="266">
        <v>15</v>
      </c>
      <c r="H31" s="266">
        <v>16</v>
      </c>
      <c r="I31" s="266">
        <v>9</v>
      </c>
      <c r="J31" s="266">
        <v>20</v>
      </c>
      <c r="K31" s="266">
        <v>18</v>
      </c>
      <c r="L31" s="266">
        <v>13</v>
      </c>
      <c r="M31" s="266">
        <v>15</v>
      </c>
      <c r="N31" s="266">
        <v>21</v>
      </c>
      <c r="O31" s="266">
        <v>15</v>
      </c>
      <c r="P31" s="266">
        <f t="shared" si="1"/>
        <v>192</v>
      </c>
    </row>
    <row r="32" spans="1:16" x14ac:dyDescent="0.3">
      <c r="A32" s="449" t="s">
        <v>72</v>
      </c>
      <c r="B32" s="532" t="s">
        <v>73</v>
      </c>
      <c r="C32" s="532" t="s">
        <v>254</v>
      </c>
      <c r="D32" s="266">
        <v>18</v>
      </c>
      <c r="E32" s="266">
        <v>16</v>
      </c>
      <c r="F32" s="266">
        <v>7</v>
      </c>
      <c r="G32" s="266">
        <v>7</v>
      </c>
      <c r="H32" s="266">
        <v>8</v>
      </c>
      <c r="I32" s="266">
        <v>3</v>
      </c>
      <c r="J32" s="266">
        <v>9</v>
      </c>
      <c r="K32" s="266">
        <v>1</v>
      </c>
      <c r="L32" s="266">
        <v>12</v>
      </c>
      <c r="M32" s="266">
        <v>13</v>
      </c>
      <c r="N32" s="266">
        <v>8</v>
      </c>
      <c r="O32" s="266">
        <v>10</v>
      </c>
      <c r="P32" s="266">
        <f t="shared" si="1"/>
        <v>112</v>
      </c>
    </row>
    <row r="33" spans="1:16" x14ac:dyDescent="0.3">
      <c r="A33" s="449" t="s">
        <v>74</v>
      </c>
      <c r="B33" s="532" t="s">
        <v>284</v>
      </c>
      <c r="C33" s="532" t="s">
        <v>255</v>
      </c>
      <c r="D33" s="266">
        <v>346</v>
      </c>
      <c r="E33" s="266">
        <v>351</v>
      </c>
      <c r="F33" s="266">
        <v>354</v>
      </c>
      <c r="G33" s="266">
        <v>362</v>
      </c>
      <c r="H33" s="266">
        <v>350</v>
      </c>
      <c r="I33" s="266">
        <v>332</v>
      </c>
      <c r="J33" s="266">
        <v>365</v>
      </c>
      <c r="K33" s="266">
        <v>292</v>
      </c>
      <c r="L33" s="266">
        <v>282</v>
      </c>
      <c r="M33" s="266">
        <v>272</v>
      </c>
      <c r="N33" s="266">
        <v>294</v>
      </c>
      <c r="O33" s="266">
        <v>285</v>
      </c>
      <c r="P33" s="266">
        <f t="shared" si="1"/>
        <v>3885</v>
      </c>
    </row>
    <row r="34" spans="1:16" x14ac:dyDescent="0.3">
      <c r="A34" s="449" t="s">
        <v>76</v>
      </c>
      <c r="B34" s="532" t="s">
        <v>77</v>
      </c>
      <c r="C34" s="532" t="s">
        <v>255</v>
      </c>
      <c r="D34" s="266">
        <v>29</v>
      </c>
      <c r="E34" s="266">
        <v>28</v>
      </c>
      <c r="F34" s="266">
        <v>21</v>
      </c>
      <c r="G34" s="266">
        <v>20</v>
      </c>
      <c r="H34" s="266">
        <v>22</v>
      </c>
      <c r="I34" s="266">
        <v>12</v>
      </c>
      <c r="J34" s="266">
        <v>30</v>
      </c>
      <c r="K34" s="266">
        <v>22</v>
      </c>
      <c r="L34" s="266">
        <v>16</v>
      </c>
      <c r="M34" s="266">
        <v>14</v>
      </c>
      <c r="N34" s="266">
        <v>13</v>
      </c>
      <c r="O34" s="266">
        <v>16</v>
      </c>
      <c r="P34" s="266">
        <f t="shared" si="1"/>
        <v>243</v>
      </c>
    </row>
    <row r="35" spans="1:16" x14ac:dyDescent="0.3">
      <c r="A35" s="449" t="s">
        <v>78</v>
      </c>
      <c r="B35" s="532" t="s">
        <v>79</v>
      </c>
      <c r="C35" s="532" t="s">
        <v>256</v>
      </c>
      <c r="D35" s="266">
        <v>9</v>
      </c>
      <c r="E35" s="266">
        <v>11</v>
      </c>
      <c r="F35" s="266">
        <v>10</v>
      </c>
      <c r="G35" s="266">
        <v>8</v>
      </c>
      <c r="H35" s="266">
        <v>4</v>
      </c>
      <c r="I35" s="266">
        <v>11</v>
      </c>
      <c r="J35" s="266">
        <v>3</v>
      </c>
      <c r="K35" s="266">
        <v>3</v>
      </c>
      <c r="L35" s="266">
        <v>2</v>
      </c>
      <c r="M35" s="266">
        <v>8</v>
      </c>
      <c r="N35" s="266">
        <v>8</v>
      </c>
      <c r="O35" s="266">
        <v>5</v>
      </c>
      <c r="P35" s="266">
        <f t="shared" si="1"/>
        <v>82</v>
      </c>
    </row>
    <row r="36" spans="1:16" x14ac:dyDescent="0.3">
      <c r="A36" s="449" t="s">
        <v>80</v>
      </c>
      <c r="B36" s="532" t="s">
        <v>81</v>
      </c>
      <c r="C36" s="532" t="s">
        <v>254</v>
      </c>
      <c r="D36" s="266">
        <v>4</v>
      </c>
      <c r="E36" s="266">
        <v>8</v>
      </c>
      <c r="F36" s="266">
        <v>7</v>
      </c>
      <c r="G36" s="266">
        <v>7</v>
      </c>
      <c r="H36" s="266">
        <v>18</v>
      </c>
      <c r="I36" s="266">
        <v>9</v>
      </c>
      <c r="J36" s="266">
        <v>10</v>
      </c>
      <c r="K36" s="266">
        <v>11</v>
      </c>
      <c r="L36" s="266">
        <v>6</v>
      </c>
      <c r="M36" s="266">
        <v>4</v>
      </c>
      <c r="N36" s="266">
        <v>8</v>
      </c>
      <c r="O36" s="266">
        <v>6</v>
      </c>
      <c r="P36" s="266">
        <f t="shared" si="1"/>
        <v>98</v>
      </c>
    </row>
    <row r="37" spans="1:16" x14ac:dyDescent="0.3">
      <c r="A37" s="449" t="s">
        <v>84</v>
      </c>
      <c r="B37" s="532" t="s">
        <v>85</v>
      </c>
      <c r="C37" s="532" t="s">
        <v>253</v>
      </c>
      <c r="D37" s="266">
        <v>35</v>
      </c>
      <c r="E37" s="266">
        <v>20</v>
      </c>
      <c r="F37" s="266">
        <v>39</v>
      </c>
      <c r="G37" s="266">
        <v>24</v>
      </c>
      <c r="H37" s="266">
        <v>23</v>
      </c>
      <c r="I37" s="266">
        <v>19</v>
      </c>
      <c r="J37" s="266">
        <v>34</v>
      </c>
      <c r="K37" s="266">
        <v>26</v>
      </c>
      <c r="L37" s="266">
        <v>34</v>
      </c>
      <c r="M37" s="266">
        <v>31</v>
      </c>
      <c r="N37" s="266">
        <v>28</v>
      </c>
      <c r="O37" s="266">
        <v>21</v>
      </c>
      <c r="P37" s="266">
        <f t="shared" ref="P37:P68" si="2">SUM(D37:O37)</f>
        <v>334</v>
      </c>
    </row>
    <row r="38" spans="1:16" x14ac:dyDescent="0.3">
      <c r="A38" s="449" t="s">
        <v>86</v>
      </c>
      <c r="B38" s="532" t="s">
        <v>87</v>
      </c>
      <c r="C38" s="532" t="s">
        <v>255</v>
      </c>
      <c r="D38" s="266">
        <v>43</v>
      </c>
      <c r="E38" s="266">
        <v>46</v>
      </c>
      <c r="F38" s="266">
        <v>46</v>
      </c>
      <c r="G38" s="266">
        <v>37</v>
      </c>
      <c r="H38" s="266">
        <v>35</v>
      </c>
      <c r="I38" s="266">
        <v>34</v>
      </c>
      <c r="J38" s="266">
        <v>44</v>
      </c>
      <c r="K38" s="266">
        <v>33</v>
      </c>
      <c r="L38" s="266">
        <v>34</v>
      </c>
      <c r="M38" s="266">
        <v>27</v>
      </c>
      <c r="N38" s="266">
        <v>31</v>
      </c>
      <c r="O38" s="266">
        <v>27</v>
      </c>
      <c r="P38" s="266">
        <f t="shared" si="2"/>
        <v>437</v>
      </c>
    </row>
    <row r="39" spans="1:16" x14ac:dyDescent="0.3">
      <c r="A39" s="449" t="s">
        <v>92</v>
      </c>
      <c r="B39" s="532" t="s">
        <v>93</v>
      </c>
      <c r="C39" s="532" t="s">
        <v>256</v>
      </c>
      <c r="D39" s="266">
        <v>14</v>
      </c>
      <c r="E39" s="266">
        <v>19</v>
      </c>
      <c r="F39" s="266">
        <v>13</v>
      </c>
      <c r="G39" s="266">
        <v>17</v>
      </c>
      <c r="H39" s="266">
        <v>7</v>
      </c>
      <c r="I39" s="266">
        <v>6</v>
      </c>
      <c r="J39" s="266">
        <v>14</v>
      </c>
      <c r="K39" s="266">
        <v>4</v>
      </c>
      <c r="L39" s="266">
        <v>10</v>
      </c>
      <c r="M39" s="266">
        <v>5</v>
      </c>
      <c r="N39" s="266">
        <v>9</v>
      </c>
      <c r="O39" s="266">
        <v>10</v>
      </c>
      <c r="P39" s="266">
        <f t="shared" si="2"/>
        <v>128</v>
      </c>
    </row>
    <row r="40" spans="1:16" x14ac:dyDescent="0.3">
      <c r="A40" s="449" t="s">
        <v>94</v>
      </c>
      <c r="B40" s="532" t="s">
        <v>95</v>
      </c>
      <c r="C40" s="532" t="s">
        <v>252</v>
      </c>
      <c r="D40" s="266">
        <v>18</v>
      </c>
      <c r="E40" s="266">
        <v>20</v>
      </c>
      <c r="F40" s="266">
        <v>15</v>
      </c>
      <c r="G40" s="266">
        <v>22</v>
      </c>
      <c r="H40" s="266">
        <v>18</v>
      </c>
      <c r="I40" s="266">
        <v>12</v>
      </c>
      <c r="J40" s="266">
        <v>23</v>
      </c>
      <c r="K40" s="266">
        <v>15</v>
      </c>
      <c r="L40" s="266">
        <v>16</v>
      </c>
      <c r="M40" s="266">
        <v>15</v>
      </c>
      <c r="N40" s="266">
        <v>20</v>
      </c>
      <c r="O40" s="266">
        <v>7</v>
      </c>
      <c r="P40" s="266">
        <f t="shared" si="2"/>
        <v>201</v>
      </c>
    </row>
    <row r="41" spans="1:16" x14ac:dyDescent="0.3">
      <c r="A41" s="449" t="s">
        <v>96</v>
      </c>
      <c r="B41" s="532" t="s">
        <v>97</v>
      </c>
      <c r="C41" s="532" t="s">
        <v>254</v>
      </c>
      <c r="D41" s="266">
        <v>6</v>
      </c>
      <c r="E41" s="266">
        <v>5</v>
      </c>
      <c r="F41" s="266">
        <v>5</v>
      </c>
      <c r="G41" s="266">
        <v>3</v>
      </c>
      <c r="H41" s="266"/>
      <c r="I41" s="266">
        <v>5</v>
      </c>
      <c r="J41" s="266">
        <v>1</v>
      </c>
      <c r="K41" s="266">
        <v>4</v>
      </c>
      <c r="L41" s="266">
        <v>6</v>
      </c>
      <c r="M41" s="266">
        <v>5</v>
      </c>
      <c r="N41" s="266">
        <v>4</v>
      </c>
      <c r="O41" s="266">
        <v>5</v>
      </c>
      <c r="P41" s="266">
        <f t="shared" si="2"/>
        <v>49</v>
      </c>
    </row>
    <row r="42" spans="1:16" x14ac:dyDescent="0.3">
      <c r="A42" s="449" t="s">
        <v>98</v>
      </c>
      <c r="B42" s="532" t="s">
        <v>99</v>
      </c>
      <c r="C42" s="532" t="s">
        <v>256</v>
      </c>
      <c r="D42" s="266">
        <v>5</v>
      </c>
      <c r="E42" s="266">
        <v>5</v>
      </c>
      <c r="F42" s="266">
        <v>3</v>
      </c>
      <c r="G42" s="266">
        <v>13</v>
      </c>
      <c r="H42" s="266">
        <v>8</v>
      </c>
      <c r="I42" s="266">
        <v>6</v>
      </c>
      <c r="J42" s="266">
        <v>4</v>
      </c>
      <c r="K42" s="266">
        <v>6</v>
      </c>
      <c r="L42" s="266">
        <v>7</v>
      </c>
      <c r="M42" s="266">
        <v>3</v>
      </c>
      <c r="N42" s="266">
        <v>3</v>
      </c>
      <c r="O42" s="266">
        <v>3</v>
      </c>
      <c r="P42" s="266">
        <f t="shared" si="2"/>
        <v>66</v>
      </c>
    </row>
    <row r="43" spans="1:16" x14ac:dyDescent="0.3">
      <c r="A43" s="449" t="s">
        <v>100</v>
      </c>
      <c r="B43" s="532" t="s">
        <v>101</v>
      </c>
      <c r="C43" s="532" t="s">
        <v>255</v>
      </c>
      <c r="D43" s="266">
        <v>12</v>
      </c>
      <c r="E43" s="266">
        <v>21</v>
      </c>
      <c r="F43" s="266">
        <v>6</v>
      </c>
      <c r="G43" s="266">
        <v>15</v>
      </c>
      <c r="H43" s="266">
        <v>8</v>
      </c>
      <c r="I43" s="266">
        <v>5</v>
      </c>
      <c r="J43" s="266">
        <v>8</v>
      </c>
      <c r="K43" s="266">
        <v>5</v>
      </c>
      <c r="L43" s="266">
        <v>6</v>
      </c>
      <c r="M43" s="266">
        <v>6</v>
      </c>
      <c r="N43" s="266">
        <v>9</v>
      </c>
      <c r="O43" s="266">
        <v>4</v>
      </c>
      <c r="P43" s="266">
        <f t="shared" si="2"/>
        <v>105</v>
      </c>
    </row>
    <row r="44" spans="1:16" x14ac:dyDescent="0.3">
      <c r="A44" s="449" t="s">
        <v>102</v>
      </c>
      <c r="B44" s="532" t="s">
        <v>270</v>
      </c>
      <c r="C44" s="532" t="s">
        <v>252</v>
      </c>
      <c r="D44" s="266">
        <v>18</v>
      </c>
      <c r="E44" s="266">
        <v>18</v>
      </c>
      <c r="F44" s="266">
        <v>15</v>
      </c>
      <c r="G44" s="266">
        <v>20</v>
      </c>
      <c r="H44" s="266">
        <v>20</v>
      </c>
      <c r="I44" s="266">
        <v>18</v>
      </c>
      <c r="J44" s="266">
        <v>16</v>
      </c>
      <c r="K44" s="266">
        <v>11</v>
      </c>
      <c r="L44" s="266">
        <v>9</v>
      </c>
      <c r="M44" s="266">
        <v>23</v>
      </c>
      <c r="N44" s="266">
        <v>11</v>
      </c>
      <c r="O44" s="266">
        <v>14</v>
      </c>
      <c r="P44" s="266">
        <f t="shared" si="2"/>
        <v>193</v>
      </c>
    </row>
    <row r="45" spans="1:16" x14ac:dyDescent="0.3">
      <c r="A45" s="449" t="s">
        <v>104</v>
      </c>
      <c r="B45" s="532" t="s">
        <v>105</v>
      </c>
      <c r="C45" s="532" t="s">
        <v>253</v>
      </c>
      <c r="D45" s="266">
        <v>18</v>
      </c>
      <c r="E45" s="266">
        <v>22</v>
      </c>
      <c r="F45" s="266">
        <v>15</v>
      </c>
      <c r="G45" s="266">
        <v>27</v>
      </c>
      <c r="H45" s="266">
        <v>30</v>
      </c>
      <c r="I45" s="266">
        <v>12</v>
      </c>
      <c r="J45" s="266">
        <v>13</v>
      </c>
      <c r="K45" s="266">
        <v>18</v>
      </c>
      <c r="L45" s="266">
        <v>15</v>
      </c>
      <c r="M45" s="266">
        <v>23</v>
      </c>
      <c r="N45" s="266">
        <v>24</v>
      </c>
      <c r="O45" s="266">
        <v>26</v>
      </c>
      <c r="P45" s="266">
        <f t="shared" si="2"/>
        <v>243</v>
      </c>
    </row>
    <row r="46" spans="1:16" x14ac:dyDescent="0.3">
      <c r="A46" s="449" t="s">
        <v>108</v>
      </c>
      <c r="B46" s="532" t="s">
        <v>109</v>
      </c>
      <c r="C46" s="532" t="s">
        <v>254</v>
      </c>
      <c r="D46" s="266">
        <v>27</v>
      </c>
      <c r="E46" s="266">
        <v>36</v>
      </c>
      <c r="F46" s="266">
        <v>35</v>
      </c>
      <c r="G46" s="266">
        <v>34</v>
      </c>
      <c r="H46" s="266">
        <v>27</v>
      </c>
      <c r="I46" s="266">
        <v>26</v>
      </c>
      <c r="J46" s="266">
        <v>20</v>
      </c>
      <c r="K46" s="266">
        <v>30</v>
      </c>
      <c r="L46" s="266">
        <v>30</v>
      </c>
      <c r="M46" s="266">
        <v>27</v>
      </c>
      <c r="N46" s="266">
        <v>27</v>
      </c>
      <c r="O46" s="266">
        <v>37</v>
      </c>
      <c r="P46" s="266">
        <f t="shared" si="2"/>
        <v>356</v>
      </c>
    </row>
    <row r="47" spans="1:16" x14ac:dyDescent="0.3">
      <c r="A47" s="449" t="s">
        <v>110</v>
      </c>
      <c r="B47" s="532" t="s">
        <v>111</v>
      </c>
      <c r="C47" s="532" t="s">
        <v>254</v>
      </c>
      <c r="D47" s="266">
        <v>229</v>
      </c>
      <c r="E47" s="266">
        <v>236</v>
      </c>
      <c r="F47" s="266">
        <v>248</v>
      </c>
      <c r="G47" s="266">
        <v>196</v>
      </c>
      <c r="H47" s="266">
        <v>188</v>
      </c>
      <c r="I47" s="266">
        <v>155</v>
      </c>
      <c r="J47" s="266">
        <v>188</v>
      </c>
      <c r="K47" s="266">
        <v>166</v>
      </c>
      <c r="L47" s="266">
        <v>161</v>
      </c>
      <c r="M47" s="266">
        <v>187</v>
      </c>
      <c r="N47" s="266">
        <v>206</v>
      </c>
      <c r="O47" s="266">
        <v>229</v>
      </c>
      <c r="P47" s="266">
        <f t="shared" si="2"/>
        <v>2389</v>
      </c>
    </row>
    <row r="48" spans="1:16" x14ac:dyDescent="0.3">
      <c r="A48" s="449" t="s">
        <v>112</v>
      </c>
      <c r="B48" s="532" t="s">
        <v>288</v>
      </c>
      <c r="C48" s="532" t="s">
        <v>253</v>
      </c>
      <c r="D48" s="266">
        <v>60</v>
      </c>
      <c r="E48" s="266">
        <v>57</v>
      </c>
      <c r="F48" s="266">
        <v>43</v>
      </c>
      <c r="G48" s="266">
        <v>31</v>
      </c>
      <c r="H48" s="266">
        <v>54</v>
      </c>
      <c r="I48" s="266">
        <v>32</v>
      </c>
      <c r="J48" s="266">
        <v>44</v>
      </c>
      <c r="K48" s="266">
        <v>33</v>
      </c>
      <c r="L48" s="266">
        <v>34</v>
      </c>
      <c r="M48" s="266">
        <v>54</v>
      </c>
      <c r="N48" s="266">
        <v>55</v>
      </c>
      <c r="O48" s="266">
        <v>45</v>
      </c>
      <c r="P48" s="266">
        <f t="shared" si="2"/>
        <v>542</v>
      </c>
    </row>
    <row r="49" spans="1:16" x14ac:dyDescent="0.3">
      <c r="A49" s="449" t="s">
        <v>114</v>
      </c>
      <c r="B49" s="532" t="s">
        <v>115</v>
      </c>
      <c r="C49" s="532" t="s">
        <v>253</v>
      </c>
      <c r="D49" s="266"/>
      <c r="E49" s="266"/>
      <c r="F49" s="266"/>
      <c r="G49" s="266">
        <v>1</v>
      </c>
      <c r="H49" s="266"/>
      <c r="I49" s="266"/>
      <c r="J49" s="266"/>
      <c r="K49" s="266"/>
      <c r="L49" s="266"/>
      <c r="M49" s="266">
        <v>1</v>
      </c>
      <c r="N49" s="266">
        <v>1</v>
      </c>
      <c r="O49" s="266"/>
      <c r="P49" s="266">
        <f t="shared" si="2"/>
        <v>3</v>
      </c>
    </row>
    <row r="50" spans="1:16" x14ac:dyDescent="0.3">
      <c r="A50" s="449" t="s">
        <v>118</v>
      </c>
      <c r="B50" s="532" t="s">
        <v>258</v>
      </c>
      <c r="C50" s="532" t="s">
        <v>252</v>
      </c>
      <c r="D50" s="266">
        <v>11</v>
      </c>
      <c r="E50" s="266">
        <v>16</v>
      </c>
      <c r="F50" s="266">
        <v>11</v>
      </c>
      <c r="G50" s="266">
        <v>21</v>
      </c>
      <c r="H50" s="266">
        <v>17</v>
      </c>
      <c r="I50" s="266">
        <v>12</v>
      </c>
      <c r="J50" s="266">
        <v>15</v>
      </c>
      <c r="K50" s="266">
        <v>5</v>
      </c>
      <c r="L50" s="266">
        <v>19</v>
      </c>
      <c r="M50" s="266">
        <v>15</v>
      </c>
      <c r="N50" s="266">
        <v>9</v>
      </c>
      <c r="O50" s="266">
        <v>18</v>
      </c>
      <c r="P50" s="266">
        <f t="shared" si="2"/>
        <v>169</v>
      </c>
    </row>
    <row r="51" spans="1:16" x14ac:dyDescent="0.3">
      <c r="A51" s="449" t="s">
        <v>120</v>
      </c>
      <c r="B51" s="532" t="s">
        <v>121</v>
      </c>
      <c r="C51" s="532" t="s">
        <v>252</v>
      </c>
      <c r="D51" s="266">
        <v>28</v>
      </c>
      <c r="E51" s="266">
        <v>26</v>
      </c>
      <c r="F51" s="266">
        <v>25</v>
      </c>
      <c r="G51" s="266">
        <v>34</v>
      </c>
      <c r="H51" s="266">
        <v>20</v>
      </c>
      <c r="I51" s="266">
        <v>29</v>
      </c>
      <c r="J51" s="266">
        <v>42</v>
      </c>
      <c r="K51" s="266">
        <v>20</v>
      </c>
      <c r="L51" s="266">
        <v>22</v>
      </c>
      <c r="M51" s="266">
        <v>35</v>
      </c>
      <c r="N51" s="266">
        <v>30</v>
      </c>
      <c r="O51" s="266">
        <v>25</v>
      </c>
      <c r="P51" s="266">
        <f t="shared" si="2"/>
        <v>336</v>
      </c>
    </row>
    <row r="52" spans="1:16" x14ac:dyDescent="0.3">
      <c r="A52" s="449" t="s">
        <v>122</v>
      </c>
      <c r="B52" s="532" t="s">
        <v>275</v>
      </c>
      <c r="C52" s="532" t="s">
        <v>254</v>
      </c>
      <c r="D52" s="266">
        <v>6</v>
      </c>
      <c r="E52" s="266">
        <v>5</v>
      </c>
      <c r="F52" s="266">
        <v>1</v>
      </c>
      <c r="G52" s="266">
        <v>6</v>
      </c>
      <c r="H52" s="266">
        <v>3</v>
      </c>
      <c r="I52" s="266">
        <v>2</v>
      </c>
      <c r="J52" s="266">
        <v>5</v>
      </c>
      <c r="K52" s="266">
        <v>1</v>
      </c>
      <c r="L52" s="266">
        <v>3</v>
      </c>
      <c r="M52" s="266">
        <v>1</v>
      </c>
      <c r="N52" s="266">
        <v>6</v>
      </c>
      <c r="O52" s="266">
        <v>2</v>
      </c>
      <c r="P52" s="266">
        <f t="shared" si="2"/>
        <v>41</v>
      </c>
    </row>
    <row r="53" spans="1:16" x14ac:dyDescent="0.3">
      <c r="A53" s="449" t="s">
        <v>124</v>
      </c>
      <c r="B53" s="532" t="s">
        <v>125</v>
      </c>
      <c r="C53" s="532" t="s">
        <v>255</v>
      </c>
      <c r="D53" s="266">
        <v>14</v>
      </c>
      <c r="E53" s="266">
        <v>14</v>
      </c>
      <c r="F53" s="266">
        <v>8</v>
      </c>
      <c r="G53" s="266">
        <v>2</v>
      </c>
      <c r="H53" s="266">
        <v>8</v>
      </c>
      <c r="I53" s="266">
        <v>14</v>
      </c>
      <c r="J53" s="266">
        <v>10</v>
      </c>
      <c r="K53" s="266">
        <v>4</v>
      </c>
      <c r="L53" s="266">
        <v>8</v>
      </c>
      <c r="M53" s="266">
        <v>9</v>
      </c>
      <c r="N53" s="266">
        <v>12</v>
      </c>
      <c r="O53" s="266">
        <v>9</v>
      </c>
      <c r="P53" s="266">
        <f t="shared" si="2"/>
        <v>112</v>
      </c>
    </row>
    <row r="54" spans="1:16" x14ac:dyDescent="0.3">
      <c r="A54" s="449" t="s">
        <v>126</v>
      </c>
      <c r="B54" s="532" t="s">
        <v>127</v>
      </c>
      <c r="C54" s="532" t="s">
        <v>254</v>
      </c>
      <c r="D54" s="266">
        <v>3</v>
      </c>
      <c r="E54" s="266">
        <v>6</v>
      </c>
      <c r="F54" s="266">
        <v>9</v>
      </c>
      <c r="G54" s="266">
        <v>3</v>
      </c>
      <c r="H54" s="266">
        <v>10</v>
      </c>
      <c r="I54" s="266">
        <v>8</v>
      </c>
      <c r="J54" s="266">
        <v>7</v>
      </c>
      <c r="K54" s="266">
        <v>2</v>
      </c>
      <c r="L54" s="266">
        <v>6</v>
      </c>
      <c r="M54" s="266">
        <v>2</v>
      </c>
      <c r="N54" s="266">
        <v>6</v>
      </c>
      <c r="O54" s="266">
        <v>10</v>
      </c>
      <c r="P54" s="266">
        <f t="shared" si="2"/>
        <v>72</v>
      </c>
    </row>
    <row r="55" spans="1:16" x14ac:dyDescent="0.3">
      <c r="A55" s="449" t="s">
        <v>128</v>
      </c>
      <c r="B55" s="532" t="s">
        <v>129</v>
      </c>
      <c r="C55" s="532" t="s">
        <v>254</v>
      </c>
      <c r="D55" s="266">
        <v>5</v>
      </c>
      <c r="E55" s="266">
        <v>7</v>
      </c>
      <c r="F55" s="266">
        <v>5</v>
      </c>
      <c r="G55" s="266">
        <v>5</v>
      </c>
      <c r="H55" s="266">
        <v>4</v>
      </c>
      <c r="I55" s="266">
        <v>2</v>
      </c>
      <c r="J55" s="266">
        <v>5</v>
      </c>
      <c r="K55" s="266">
        <v>2</v>
      </c>
      <c r="L55" s="266">
        <v>5</v>
      </c>
      <c r="M55" s="266">
        <v>6</v>
      </c>
      <c r="N55" s="266">
        <v>2</v>
      </c>
      <c r="O55" s="266">
        <v>6</v>
      </c>
      <c r="P55" s="266">
        <f t="shared" si="2"/>
        <v>54</v>
      </c>
    </row>
    <row r="56" spans="1:16" x14ac:dyDescent="0.3">
      <c r="A56" s="449" t="s">
        <v>130</v>
      </c>
      <c r="B56" s="532" t="s">
        <v>131</v>
      </c>
      <c r="C56" s="532" t="s">
        <v>256</v>
      </c>
      <c r="D56" s="266">
        <v>12</v>
      </c>
      <c r="E56" s="266">
        <v>15</v>
      </c>
      <c r="F56" s="266">
        <v>14</v>
      </c>
      <c r="G56" s="266">
        <v>19</v>
      </c>
      <c r="H56" s="266">
        <v>3</v>
      </c>
      <c r="I56" s="266">
        <v>9</v>
      </c>
      <c r="J56" s="266">
        <v>19</v>
      </c>
      <c r="K56" s="266">
        <v>10</v>
      </c>
      <c r="L56" s="266">
        <v>10</v>
      </c>
      <c r="M56" s="266">
        <v>8</v>
      </c>
      <c r="N56" s="266">
        <v>12</v>
      </c>
      <c r="O56" s="266">
        <v>16</v>
      </c>
      <c r="P56" s="266">
        <f t="shared" si="2"/>
        <v>147</v>
      </c>
    </row>
    <row r="57" spans="1:16" x14ac:dyDescent="0.3">
      <c r="A57" s="449" t="s">
        <v>132</v>
      </c>
      <c r="B57" s="532" t="s">
        <v>133</v>
      </c>
      <c r="C57" s="532" t="s">
        <v>255</v>
      </c>
      <c r="D57" s="266">
        <v>89</v>
      </c>
      <c r="E57" s="266">
        <v>107</v>
      </c>
      <c r="F57" s="266">
        <v>89</v>
      </c>
      <c r="G57" s="266">
        <v>76</v>
      </c>
      <c r="H57" s="266">
        <v>80</v>
      </c>
      <c r="I57" s="266">
        <v>78</v>
      </c>
      <c r="J57" s="266">
        <v>99</v>
      </c>
      <c r="K57" s="266">
        <v>75</v>
      </c>
      <c r="L57" s="266">
        <v>97</v>
      </c>
      <c r="M57" s="266">
        <v>57</v>
      </c>
      <c r="N57" s="266">
        <v>80</v>
      </c>
      <c r="O57" s="266">
        <v>91</v>
      </c>
      <c r="P57" s="266">
        <f t="shared" si="2"/>
        <v>1018</v>
      </c>
    </row>
    <row r="58" spans="1:16" x14ac:dyDescent="0.3">
      <c r="A58" s="449" t="s">
        <v>134</v>
      </c>
      <c r="B58" s="532" t="s">
        <v>135</v>
      </c>
      <c r="C58" s="532" t="s">
        <v>255</v>
      </c>
      <c r="D58" s="266">
        <v>25</v>
      </c>
      <c r="E58" s="266">
        <v>14</v>
      </c>
      <c r="F58" s="266">
        <v>20</v>
      </c>
      <c r="G58" s="266">
        <v>25</v>
      </c>
      <c r="H58" s="266">
        <v>17</v>
      </c>
      <c r="I58" s="266">
        <v>12</v>
      </c>
      <c r="J58" s="266">
        <v>8</v>
      </c>
      <c r="K58" s="266">
        <v>12</v>
      </c>
      <c r="L58" s="266">
        <v>16</v>
      </c>
      <c r="M58" s="266">
        <v>14</v>
      </c>
      <c r="N58" s="266">
        <v>15</v>
      </c>
      <c r="O58" s="266">
        <v>21</v>
      </c>
      <c r="P58" s="266">
        <f t="shared" si="2"/>
        <v>199</v>
      </c>
    </row>
    <row r="59" spans="1:16" x14ac:dyDescent="0.3">
      <c r="A59" s="449" t="s">
        <v>136</v>
      </c>
      <c r="B59" s="532" t="s">
        <v>137</v>
      </c>
      <c r="C59" s="532" t="s">
        <v>254</v>
      </c>
      <c r="D59" s="266">
        <v>4</v>
      </c>
      <c r="E59" s="266">
        <v>9</v>
      </c>
      <c r="F59" s="266">
        <v>9</v>
      </c>
      <c r="G59" s="266">
        <v>10</v>
      </c>
      <c r="H59" s="266">
        <v>15</v>
      </c>
      <c r="I59" s="266">
        <v>7</v>
      </c>
      <c r="J59" s="266">
        <v>12</v>
      </c>
      <c r="K59" s="266">
        <v>8</v>
      </c>
      <c r="L59" s="266">
        <v>6</v>
      </c>
      <c r="M59" s="266">
        <v>7</v>
      </c>
      <c r="N59" s="266">
        <v>4</v>
      </c>
      <c r="O59" s="266">
        <v>8</v>
      </c>
      <c r="P59" s="266">
        <f t="shared" si="2"/>
        <v>99</v>
      </c>
    </row>
    <row r="60" spans="1:16" x14ac:dyDescent="0.3">
      <c r="A60" s="449" t="s">
        <v>140</v>
      </c>
      <c r="B60" s="532" t="s">
        <v>141</v>
      </c>
      <c r="C60" s="532" t="s">
        <v>255</v>
      </c>
      <c r="D60" s="266">
        <v>3</v>
      </c>
      <c r="E60" s="266">
        <v>7</v>
      </c>
      <c r="F60" s="266">
        <v>3</v>
      </c>
      <c r="G60" s="266">
        <v>4</v>
      </c>
      <c r="H60" s="266">
        <v>8</v>
      </c>
      <c r="I60" s="266">
        <v>3</v>
      </c>
      <c r="J60" s="266">
        <v>5</v>
      </c>
      <c r="K60" s="266">
        <v>4</v>
      </c>
      <c r="L60" s="266">
        <v>2</v>
      </c>
      <c r="M60" s="266">
        <v>3</v>
      </c>
      <c r="N60" s="266">
        <v>4</v>
      </c>
      <c r="O60" s="266">
        <v>7</v>
      </c>
      <c r="P60" s="266">
        <f t="shared" si="2"/>
        <v>53</v>
      </c>
    </row>
    <row r="61" spans="1:16" x14ac:dyDescent="0.3">
      <c r="A61" s="449" t="s">
        <v>146</v>
      </c>
      <c r="B61" s="532" t="s">
        <v>147</v>
      </c>
      <c r="C61" s="532" t="s">
        <v>252</v>
      </c>
      <c r="D61" s="266"/>
      <c r="E61" s="266">
        <v>3</v>
      </c>
      <c r="F61" s="266">
        <v>8</v>
      </c>
      <c r="G61" s="266">
        <v>6</v>
      </c>
      <c r="H61" s="266"/>
      <c r="I61" s="266">
        <v>3</v>
      </c>
      <c r="J61" s="266">
        <v>2</v>
      </c>
      <c r="K61" s="266">
        <v>4</v>
      </c>
      <c r="L61" s="266">
        <v>1</v>
      </c>
      <c r="M61" s="266">
        <v>5</v>
      </c>
      <c r="N61" s="266">
        <v>5</v>
      </c>
      <c r="O61" s="266">
        <v>2</v>
      </c>
      <c r="P61" s="266">
        <f t="shared" si="2"/>
        <v>39</v>
      </c>
    </row>
    <row r="62" spans="1:16" x14ac:dyDescent="0.3">
      <c r="A62" s="449" t="s">
        <v>148</v>
      </c>
      <c r="B62" s="532" t="s">
        <v>149</v>
      </c>
      <c r="C62" s="532" t="s">
        <v>253</v>
      </c>
      <c r="D62" s="266">
        <v>18</v>
      </c>
      <c r="E62" s="266">
        <v>15</v>
      </c>
      <c r="F62" s="266">
        <v>14</v>
      </c>
      <c r="G62" s="266">
        <v>18</v>
      </c>
      <c r="H62" s="266">
        <v>15</v>
      </c>
      <c r="I62" s="266">
        <v>9</v>
      </c>
      <c r="J62" s="266">
        <v>24</v>
      </c>
      <c r="K62" s="266">
        <v>15</v>
      </c>
      <c r="L62" s="266">
        <v>11</v>
      </c>
      <c r="M62" s="266">
        <v>20</v>
      </c>
      <c r="N62" s="266">
        <v>11</v>
      </c>
      <c r="O62" s="266">
        <v>16</v>
      </c>
      <c r="P62" s="266">
        <f t="shared" si="2"/>
        <v>186</v>
      </c>
    </row>
    <row r="63" spans="1:16" x14ac:dyDescent="0.3">
      <c r="A63" s="449" t="s">
        <v>150</v>
      </c>
      <c r="B63" s="532" t="s">
        <v>151</v>
      </c>
      <c r="C63" s="532" t="s">
        <v>254</v>
      </c>
      <c r="D63" s="266">
        <v>4</v>
      </c>
      <c r="E63" s="266">
        <v>9</v>
      </c>
      <c r="F63" s="266">
        <v>7</v>
      </c>
      <c r="G63" s="266">
        <v>7</v>
      </c>
      <c r="H63" s="266">
        <v>8</v>
      </c>
      <c r="I63" s="266">
        <v>5</v>
      </c>
      <c r="J63" s="266">
        <v>8</v>
      </c>
      <c r="K63" s="266">
        <v>8</v>
      </c>
      <c r="L63" s="266">
        <v>5</v>
      </c>
      <c r="M63" s="266">
        <v>10</v>
      </c>
      <c r="N63" s="266">
        <v>3</v>
      </c>
      <c r="O63" s="266">
        <v>10</v>
      </c>
      <c r="P63" s="266">
        <f t="shared" si="2"/>
        <v>84</v>
      </c>
    </row>
    <row r="64" spans="1:16" x14ac:dyDescent="0.3">
      <c r="A64" s="449" t="s">
        <v>152</v>
      </c>
      <c r="B64" s="532" t="s">
        <v>153</v>
      </c>
      <c r="C64" s="532" t="s">
        <v>256</v>
      </c>
      <c r="D64" s="266">
        <v>38</v>
      </c>
      <c r="E64" s="266">
        <v>39</v>
      </c>
      <c r="F64" s="266">
        <v>39</v>
      </c>
      <c r="G64" s="266">
        <v>42</v>
      </c>
      <c r="H64" s="266">
        <v>45</v>
      </c>
      <c r="I64" s="266">
        <v>19</v>
      </c>
      <c r="J64" s="266">
        <v>41</v>
      </c>
      <c r="K64" s="266">
        <v>30</v>
      </c>
      <c r="L64" s="266">
        <v>43</v>
      </c>
      <c r="M64" s="266">
        <v>34</v>
      </c>
      <c r="N64" s="266">
        <v>42</v>
      </c>
      <c r="O64" s="266">
        <v>49</v>
      </c>
      <c r="P64" s="266">
        <f t="shared" si="2"/>
        <v>461</v>
      </c>
    </row>
    <row r="65" spans="1:16" x14ac:dyDescent="0.3">
      <c r="A65" s="449" t="s">
        <v>154</v>
      </c>
      <c r="B65" s="532" t="s">
        <v>155</v>
      </c>
      <c r="C65" s="532" t="s">
        <v>253</v>
      </c>
      <c r="D65" s="266">
        <v>2</v>
      </c>
      <c r="E65" s="266">
        <v>3</v>
      </c>
      <c r="F65" s="266">
        <v>5</v>
      </c>
      <c r="G65" s="266">
        <v>4</v>
      </c>
      <c r="H65" s="266">
        <v>4</v>
      </c>
      <c r="I65" s="266">
        <v>2</v>
      </c>
      <c r="J65" s="266">
        <v>6</v>
      </c>
      <c r="K65" s="266">
        <v>1</v>
      </c>
      <c r="L65" s="266">
        <v>2</v>
      </c>
      <c r="M65" s="266">
        <v>3</v>
      </c>
      <c r="N65" s="266">
        <v>1</v>
      </c>
      <c r="O65" s="266">
        <v>3</v>
      </c>
      <c r="P65" s="266">
        <f t="shared" si="2"/>
        <v>36</v>
      </c>
    </row>
    <row r="66" spans="1:16" x14ac:dyDescent="0.3">
      <c r="A66" s="449" t="s">
        <v>156</v>
      </c>
      <c r="B66" s="532" t="s">
        <v>157</v>
      </c>
      <c r="C66" s="532" t="s">
        <v>254</v>
      </c>
      <c r="D66" s="266">
        <v>7</v>
      </c>
      <c r="E66" s="266">
        <v>5</v>
      </c>
      <c r="F66" s="266">
        <v>7</v>
      </c>
      <c r="G66" s="266">
        <v>7</v>
      </c>
      <c r="H66" s="266">
        <v>8</v>
      </c>
      <c r="I66" s="266">
        <v>7</v>
      </c>
      <c r="J66" s="266">
        <v>5</v>
      </c>
      <c r="K66" s="266">
        <v>9</v>
      </c>
      <c r="L66" s="266">
        <v>3</v>
      </c>
      <c r="M66" s="266">
        <v>2</v>
      </c>
      <c r="N66" s="266">
        <v>4</v>
      </c>
      <c r="O66" s="266">
        <v>7</v>
      </c>
      <c r="P66" s="266">
        <f t="shared" si="2"/>
        <v>71</v>
      </c>
    </row>
    <row r="67" spans="1:16" x14ac:dyDescent="0.3">
      <c r="A67" s="449" t="s">
        <v>162</v>
      </c>
      <c r="B67" s="532" t="s">
        <v>163</v>
      </c>
      <c r="C67" s="532" t="s">
        <v>252</v>
      </c>
      <c r="D67" s="266">
        <v>5</v>
      </c>
      <c r="E67" s="266">
        <v>5</v>
      </c>
      <c r="F67" s="266">
        <v>12</v>
      </c>
      <c r="G67" s="266">
        <v>12</v>
      </c>
      <c r="H67" s="266">
        <v>13</v>
      </c>
      <c r="I67" s="266">
        <v>7</v>
      </c>
      <c r="J67" s="266">
        <v>14</v>
      </c>
      <c r="K67" s="266">
        <v>10</v>
      </c>
      <c r="L67" s="266">
        <v>6</v>
      </c>
      <c r="M67" s="266">
        <v>8</v>
      </c>
      <c r="N67" s="266">
        <v>11</v>
      </c>
      <c r="O67" s="266">
        <v>14</v>
      </c>
      <c r="P67" s="266">
        <f t="shared" si="2"/>
        <v>117</v>
      </c>
    </row>
    <row r="68" spans="1:16" x14ac:dyDescent="0.3">
      <c r="A68" s="449" t="s">
        <v>164</v>
      </c>
      <c r="B68" s="532" t="s">
        <v>165</v>
      </c>
      <c r="C68" s="532" t="s">
        <v>254</v>
      </c>
      <c r="D68" s="266">
        <v>7</v>
      </c>
      <c r="E68" s="266">
        <v>3</v>
      </c>
      <c r="F68" s="266"/>
      <c r="G68" s="266">
        <v>2</v>
      </c>
      <c r="H68" s="266">
        <v>6</v>
      </c>
      <c r="I68" s="266">
        <v>2</v>
      </c>
      <c r="J68" s="266">
        <v>12</v>
      </c>
      <c r="K68" s="266">
        <v>1</v>
      </c>
      <c r="L68" s="266">
        <v>2</v>
      </c>
      <c r="M68" s="266">
        <v>3</v>
      </c>
      <c r="N68" s="266">
        <v>1</v>
      </c>
      <c r="O68" s="266">
        <v>3</v>
      </c>
      <c r="P68" s="266">
        <f t="shared" si="2"/>
        <v>42</v>
      </c>
    </row>
    <row r="69" spans="1:16" x14ac:dyDescent="0.3">
      <c r="A69" s="449" t="s">
        <v>168</v>
      </c>
      <c r="B69" s="532" t="s">
        <v>169</v>
      </c>
      <c r="C69" s="532" t="s">
        <v>254</v>
      </c>
      <c r="D69" s="266">
        <v>18</v>
      </c>
      <c r="E69" s="266">
        <v>10</v>
      </c>
      <c r="F69" s="266">
        <v>12</v>
      </c>
      <c r="G69" s="266">
        <v>10</v>
      </c>
      <c r="H69" s="266">
        <v>14</v>
      </c>
      <c r="I69" s="266">
        <v>7</v>
      </c>
      <c r="J69" s="266">
        <v>7</v>
      </c>
      <c r="K69" s="266">
        <v>5</v>
      </c>
      <c r="L69" s="266">
        <v>7</v>
      </c>
      <c r="M69" s="266">
        <v>11</v>
      </c>
      <c r="N69" s="266">
        <v>9</v>
      </c>
      <c r="O69" s="266">
        <v>9</v>
      </c>
      <c r="P69" s="266">
        <f t="shared" ref="P69:P100" si="3">SUM(D69:O69)</f>
        <v>119</v>
      </c>
    </row>
    <row r="70" spans="1:16" x14ac:dyDescent="0.3">
      <c r="A70" s="449" t="s">
        <v>170</v>
      </c>
      <c r="B70" s="532" t="s">
        <v>171</v>
      </c>
      <c r="C70" s="532" t="s">
        <v>255</v>
      </c>
      <c r="D70" s="266">
        <v>23</v>
      </c>
      <c r="E70" s="266">
        <v>15</v>
      </c>
      <c r="F70" s="266">
        <v>15</v>
      </c>
      <c r="G70" s="266">
        <v>17</v>
      </c>
      <c r="H70" s="266">
        <v>13</v>
      </c>
      <c r="I70" s="266">
        <v>13</v>
      </c>
      <c r="J70" s="266">
        <v>16</v>
      </c>
      <c r="K70" s="266">
        <v>13</v>
      </c>
      <c r="L70" s="266">
        <v>10</v>
      </c>
      <c r="M70" s="266">
        <v>11</v>
      </c>
      <c r="N70" s="266">
        <v>14</v>
      </c>
      <c r="O70" s="266">
        <v>11</v>
      </c>
      <c r="P70" s="266">
        <f t="shared" si="3"/>
        <v>171</v>
      </c>
    </row>
    <row r="71" spans="1:16" x14ac:dyDescent="0.3">
      <c r="A71" s="449" t="s">
        <v>172</v>
      </c>
      <c r="B71" s="532" t="s">
        <v>173</v>
      </c>
      <c r="C71" s="532" t="s">
        <v>255</v>
      </c>
      <c r="D71" s="266">
        <v>22</v>
      </c>
      <c r="E71" s="266">
        <v>20</v>
      </c>
      <c r="F71" s="266">
        <v>9</v>
      </c>
      <c r="G71" s="266">
        <v>8</v>
      </c>
      <c r="H71" s="266">
        <v>13</v>
      </c>
      <c r="I71" s="266">
        <v>11</v>
      </c>
      <c r="J71" s="266">
        <v>12</v>
      </c>
      <c r="K71" s="266">
        <v>5</v>
      </c>
      <c r="L71" s="266">
        <v>12</v>
      </c>
      <c r="M71" s="266">
        <v>6</v>
      </c>
      <c r="N71" s="266">
        <v>15</v>
      </c>
      <c r="O71" s="266">
        <v>12</v>
      </c>
      <c r="P71" s="266">
        <f t="shared" si="3"/>
        <v>145</v>
      </c>
    </row>
    <row r="72" spans="1:16" x14ac:dyDescent="0.3">
      <c r="A72" s="449" t="s">
        <v>174</v>
      </c>
      <c r="B72" s="532" t="s">
        <v>175</v>
      </c>
      <c r="C72" s="532" t="s">
        <v>256</v>
      </c>
      <c r="D72" s="266">
        <v>14</v>
      </c>
      <c r="E72" s="266">
        <v>16</v>
      </c>
      <c r="F72" s="266">
        <v>8</v>
      </c>
      <c r="G72" s="266">
        <v>9</v>
      </c>
      <c r="H72" s="266">
        <v>11</v>
      </c>
      <c r="I72" s="266">
        <v>7</v>
      </c>
      <c r="J72" s="266">
        <v>14</v>
      </c>
      <c r="K72" s="266">
        <v>5</v>
      </c>
      <c r="L72" s="266">
        <v>16</v>
      </c>
      <c r="M72" s="266">
        <v>8</v>
      </c>
      <c r="N72" s="266">
        <v>10</v>
      </c>
      <c r="O72" s="266">
        <v>11</v>
      </c>
      <c r="P72" s="266">
        <f t="shared" si="3"/>
        <v>129</v>
      </c>
    </row>
    <row r="73" spans="1:16" x14ac:dyDescent="0.3">
      <c r="A73" s="449" t="s">
        <v>178</v>
      </c>
      <c r="B73" s="532" t="s">
        <v>179</v>
      </c>
      <c r="C73" s="532" t="s">
        <v>253</v>
      </c>
      <c r="D73" s="266">
        <v>40</v>
      </c>
      <c r="E73" s="266">
        <v>35</v>
      </c>
      <c r="F73" s="266">
        <v>31</v>
      </c>
      <c r="G73" s="266">
        <v>28</v>
      </c>
      <c r="H73" s="266">
        <v>25</v>
      </c>
      <c r="I73" s="266">
        <v>15</v>
      </c>
      <c r="J73" s="266">
        <v>33</v>
      </c>
      <c r="K73" s="266">
        <v>24</v>
      </c>
      <c r="L73" s="266">
        <v>19</v>
      </c>
      <c r="M73" s="266">
        <v>32</v>
      </c>
      <c r="N73" s="266">
        <v>24</v>
      </c>
      <c r="O73" s="266">
        <v>34</v>
      </c>
      <c r="P73" s="266">
        <f t="shared" si="3"/>
        <v>340</v>
      </c>
    </row>
    <row r="74" spans="1:16" x14ac:dyDescent="0.3">
      <c r="A74" s="449" t="s">
        <v>182</v>
      </c>
      <c r="B74" s="532" t="s">
        <v>183</v>
      </c>
      <c r="C74" s="532" t="s">
        <v>254</v>
      </c>
      <c r="D74" s="266">
        <v>9</v>
      </c>
      <c r="E74" s="266">
        <v>7</v>
      </c>
      <c r="F74" s="266">
        <v>5</v>
      </c>
      <c r="G74" s="266">
        <v>13</v>
      </c>
      <c r="H74" s="266">
        <v>15</v>
      </c>
      <c r="I74" s="266">
        <v>2</v>
      </c>
      <c r="J74" s="266">
        <v>9</v>
      </c>
      <c r="K74" s="266">
        <v>6</v>
      </c>
      <c r="L74" s="266">
        <v>5</v>
      </c>
      <c r="M74" s="266">
        <v>8</v>
      </c>
      <c r="N74" s="266">
        <v>8</v>
      </c>
      <c r="O74" s="266">
        <v>9</v>
      </c>
      <c r="P74" s="266">
        <f t="shared" si="3"/>
        <v>96</v>
      </c>
    </row>
    <row r="75" spans="1:16" x14ac:dyDescent="0.3">
      <c r="A75" s="449" t="s">
        <v>184</v>
      </c>
      <c r="B75" s="532" t="s">
        <v>185</v>
      </c>
      <c r="C75" s="532" t="s">
        <v>254</v>
      </c>
      <c r="D75" s="266">
        <v>12</v>
      </c>
      <c r="E75" s="266">
        <v>16</v>
      </c>
      <c r="F75" s="266">
        <v>6</v>
      </c>
      <c r="G75" s="266">
        <v>11</v>
      </c>
      <c r="H75" s="266">
        <v>8</v>
      </c>
      <c r="I75" s="266">
        <v>20</v>
      </c>
      <c r="J75" s="266">
        <v>15</v>
      </c>
      <c r="K75" s="266">
        <v>14</v>
      </c>
      <c r="L75" s="266">
        <v>4</v>
      </c>
      <c r="M75" s="266">
        <v>15</v>
      </c>
      <c r="N75" s="266">
        <v>17</v>
      </c>
      <c r="O75" s="266">
        <v>14</v>
      </c>
      <c r="P75" s="266">
        <f t="shared" si="3"/>
        <v>152</v>
      </c>
    </row>
    <row r="76" spans="1:16" x14ac:dyDescent="0.3">
      <c r="A76" s="449" t="s">
        <v>186</v>
      </c>
      <c r="B76" s="532" t="s">
        <v>187</v>
      </c>
      <c r="C76" s="532" t="s">
        <v>252</v>
      </c>
      <c r="D76" s="266">
        <v>28</v>
      </c>
      <c r="E76" s="266">
        <v>24</v>
      </c>
      <c r="F76" s="266">
        <v>25</v>
      </c>
      <c r="G76" s="266">
        <v>37</v>
      </c>
      <c r="H76" s="266">
        <v>15</v>
      </c>
      <c r="I76" s="266">
        <v>18</v>
      </c>
      <c r="J76" s="266">
        <v>20</v>
      </c>
      <c r="K76" s="266">
        <v>18</v>
      </c>
      <c r="L76" s="266">
        <v>21</v>
      </c>
      <c r="M76" s="266">
        <v>17</v>
      </c>
      <c r="N76" s="266">
        <v>10</v>
      </c>
      <c r="O76" s="266">
        <v>14</v>
      </c>
      <c r="P76" s="266">
        <f t="shared" si="3"/>
        <v>247</v>
      </c>
    </row>
    <row r="77" spans="1:16" x14ac:dyDescent="0.3">
      <c r="A77" s="449" t="s">
        <v>188</v>
      </c>
      <c r="B77" s="532" t="s">
        <v>189</v>
      </c>
      <c r="C77" s="532" t="s">
        <v>255</v>
      </c>
      <c r="D77" s="266">
        <v>253</v>
      </c>
      <c r="E77" s="266">
        <v>262</v>
      </c>
      <c r="F77" s="266">
        <v>210</v>
      </c>
      <c r="G77" s="266">
        <v>232</v>
      </c>
      <c r="H77" s="266">
        <v>194</v>
      </c>
      <c r="I77" s="266">
        <v>182</v>
      </c>
      <c r="J77" s="266">
        <v>246</v>
      </c>
      <c r="K77" s="266">
        <v>177</v>
      </c>
      <c r="L77" s="266">
        <v>160</v>
      </c>
      <c r="M77" s="266">
        <v>176</v>
      </c>
      <c r="N77" s="266">
        <v>221</v>
      </c>
      <c r="O77" s="266">
        <v>210</v>
      </c>
      <c r="P77" s="266">
        <f t="shared" si="3"/>
        <v>2523</v>
      </c>
    </row>
    <row r="78" spans="1:16" x14ac:dyDescent="0.3">
      <c r="A78" s="449" t="s">
        <v>190</v>
      </c>
      <c r="B78" s="532" t="s">
        <v>191</v>
      </c>
      <c r="C78" s="532" t="s">
        <v>256</v>
      </c>
      <c r="D78" s="266">
        <v>19</v>
      </c>
      <c r="E78" s="266">
        <v>22</v>
      </c>
      <c r="F78" s="266">
        <v>19</v>
      </c>
      <c r="G78" s="266">
        <v>19</v>
      </c>
      <c r="H78" s="266">
        <v>25</v>
      </c>
      <c r="I78" s="266">
        <v>8</v>
      </c>
      <c r="J78" s="266">
        <v>16</v>
      </c>
      <c r="K78" s="266">
        <v>21</v>
      </c>
      <c r="L78" s="266">
        <v>23</v>
      </c>
      <c r="M78" s="266">
        <v>12</v>
      </c>
      <c r="N78" s="266">
        <v>16</v>
      </c>
      <c r="O78" s="266">
        <v>14</v>
      </c>
      <c r="P78" s="266">
        <f t="shared" si="3"/>
        <v>214</v>
      </c>
    </row>
    <row r="79" spans="1:16" x14ac:dyDescent="0.3">
      <c r="A79" s="449" t="s">
        <v>194</v>
      </c>
      <c r="B79" s="532" t="s">
        <v>195</v>
      </c>
      <c r="C79" s="532" t="s">
        <v>255</v>
      </c>
      <c r="D79" s="266"/>
      <c r="E79" s="266">
        <v>1</v>
      </c>
      <c r="F79" s="266">
        <v>1</v>
      </c>
      <c r="G79" s="266">
        <v>2</v>
      </c>
      <c r="H79" s="266">
        <v>2</v>
      </c>
      <c r="I79" s="266">
        <v>2</v>
      </c>
      <c r="J79" s="266">
        <v>4</v>
      </c>
      <c r="K79" s="266">
        <v>1</v>
      </c>
      <c r="L79" s="266">
        <v>1</v>
      </c>
      <c r="M79" s="266">
        <v>7</v>
      </c>
      <c r="N79" s="266">
        <v>1</v>
      </c>
      <c r="O79" s="266"/>
      <c r="P79" s="266">
        <f t="shared" si="3"/>
        <v>22</v>
      </c>
    </row>
    <row r="80" spans="1:16" x14ac:dyDescent="0.3">
      <c r="A80" s="449" t="s">
        <v>198</v>
      </c>
      <c r="B80" s="532" t="s">
        <v>260</v>
      </c>
      <c r="C80" s="532" t="s">
        <v>254</v>
      </c>
      <c r="D80" s="266">
        <v>5</v>
      </c>
      <c r="E80" s="266">
        <v>7</v>
      </c>
      <c r="F80" s="266">
        <v>8</v>
      </c>
      <c r="G80" s="266">
        <v>5</v>
      </c>
      <c r="H80" s="266">
        <v>2</v>
      </c>
      <c r="I80" s="266">
        <v>2</v>
      </c>
      <c r="J80" s="266">
        <v>4</v>
      </c>
      <c r="K80" s="266"/>
      <c r="L80" s="266">
        <v>3</v>
      </c>
      <c r="M80" s="266">
        <v>2</v>
      </c>
      <c r="N80" s="266">
        <v>4</v>
      </c>
      <c r="O80" s="266">
        <v>2</v>
      </c>
      <c r="P80" s="266">
        <f t="shared" si="3"/>
        <v>44</v>
      </c>
    </row>
    <row r="81" spans="1:16" x14ac:dyDescent="0.3">
      <c r="A81" s="449" t="s">
        <v>202</v>
      </c>
      <c r="B81" s="532" t="s">
        <v>289</v>
      </c>
      <c r="C81" s="532" t="s">
        <v>253</v>
      </c>
      <c r="D81" s="266">
        <v>50</v>
      </c>
      <c r="E81" s="266">
        <v>53</v>
      </c>
      <c r="F81" s="266">
        <v>42</v>
      </c>
      <c r="G81" s="266">
        <v>68</v>
      </c>
      <c r="H81" s="266">
        <v>46</v>
      </c>
      <c r="I81" s="266">
        <v>40</v>
      </c>
      <c r="J81" s="266">
        <v>63</v>
      </c>
      <c r="K81" s="266">
        <v>44</v>
      </c>
      <c r="L81" s="266">
        <v>33</v>
      </c>
      <c r="M81" s="266">
        <v>49</v>
      </c>
      <c r="N81" s="266">
        <v>58</v>
      </c>
      <c r="O81" s="266">
        <v>63</v>
      </c>
      <c r="P81" s="266">
        <f t="shared" si="3"/>
        <v>609</v>
      </c>
    </row>
    <row r="82" spans="1:16" x14ac:dyDescent="0.3">
      <c r="A82" s="449" t="s">
        <v>204</v>
      </c>
      <c r="B82" s="532" t="s">
        <v>281</v>
      </c>
      <c r="C82" s="532" t="s">
        <v>253</v>
      </c>
      <c r="D82" s="266">
        <v>17</v>
      </c>
      <c r="E82" s="266">
        <v>24</v>
      </c>
      <c r="F82" s="266">
        <v>13</v>
      </c>
      <c r="G82" s="266">
        <v>18</v>
      </c>
      <c r="H82" s="266">
        <v>22</v>
      </c>
      <c r="I82" s="266">
        <v>19</v>
      </c>
      <c r="J82" s="266">
        <v>13</v>
      </c>
      <c r="K82" s="266">
        <v>14</v>
      </c>
      <c r="L82" s="266">
        <v>15</v>
      </c>
      <c r="M82" s="266">
        <v>10</v>
      </c>
      <c r="N82" s="266">
        <v>12</v>
      </c>
      <c r="O82" s="266">
        <v>18</v>
      </c>
      <c r="P82" s="266">
        <f t="shared" si="3"/>
        <v>195</v>
      </c>
    </row>
    <row r="83" spans="1:16" x14ac:dyDescent="0.3">
      <c r="A83" s="449" t="s">
        <v>206</v>
      </c>
      <c r="B83" s="532" t="s">
        <v>282</v>
      </c>
      <c r="C83" s="532" t="s">
        <v>255</v>
      </c>
      <c r="D83" s="266">
        <v>69</v>
      </c>
      <c r="E83" s="266">
        <v>74</v>
      </c>
      <c r="F83" s="266">
        <v>57</v>
      </c>
      <c r="G83" s="266">
        <v>67</v>
      </c>
      <c r="H83" s="266">
        <v>57</v>
      </c>
      <c r="I83" s="266">
        <v>55</v>
      </c>
      <c r="J83" s="266">
        <v>68</v>
      </c>
      <c r="K83" s="266">
        <v>49</v>
      </c>
      <c r="L83" s="266">
        <v>72</v>
      </c>
      <c r="M83" s="266">
        <v>59</v>
      </c>
      <c r="N83" s="266">
        <v>62</v>
      </c>
      <c r="O83" s="266">
        <v>49</v>
      </c>
      <c r="P83" s="266">
        <f t="shared" si="3"/>
        <v>738</v>
      </c>
    </row>
    <row r="84" spans="1:16" x14ac:dyDescent="0.3">
      <c r="A84" s="449" t="s">
        <v>208</v>
      </c>
      <c r="B84" s="532" t="s">
        <v>209</v>
      </c>
      <c r="C84" s="532" t="s">
        <v>256</v>
      </c>
      <c r="D84" s="266">
        <v>14</v>
      </c>
      <c r="E84" s="266">
        <v>9</v>
      </c>
      <c r="F84" s="266">
        <v>11</v>
      </c>
      <c r="G84" s="266">
        <v>7</v>
      </c>
      <c r="H84" s="266">
        <v>20</v>
      </c>
      <c r="I84" s="266">
        <v>16</v>
      </c>
      <c r="J84" s="266">
        <v>14</v>
      </c>
      <c r="K84" s="266">
        <v>6</v>
      </c>
      <c r="L84" s="266">
        <v>11</v>
      </c>
      <c r="M84" s="266">
        <v>8</v>
      </c>
      <c r="N84" s="266">
        <v>11</v>
      </c>
      <c r="O84" s="266">
        <v>10</v>
      </c>
      <c r="P84" s="266">
        <f t="shared" si="3"/>
        <v>137</v>
      </c>
    </row>
    <row r="85" spans="1:16" x14ac:dyDescent="0.3">
      <c r="A85" s="449" t="s">
        <v>210</v>
      </c>
      <c r="B85" s="532" t="s">
        <v>211</v>
      </c>
      <c r="C85" s="532" t="s">
        <v>256</v>
      </c>
      <c r="D85" s="266">
        <v>12</v>
      </c>
      <c r="E85" s="266">
        <v>15</v>
      </c>
      <c r="F85" s="266">
        <v>8</v>
      </c>
      <c r="G85" s="266">
        <v>9</v>
      </c>
      <c r="H85" s="266">
        <v>17</v>
      </c>
      <c r="I85" s="266">
        <v>3</v>
      </c>
      <c r="J85" s="266">
        <v>14</v>
      </c>
      <c r="K85" s="266">
        <v>8</v>
      </c>
      <c r="L85" s="266">
        <v>2</v>
      </c>
      <c r="M85" s="266">
        <v>8</v>
      </c>
      <c r="N85" s="266">
        <v>9</v>
      </c>
      <c r="O85" s="266">
        <v>9</v>
      </c>
      <c r="P85" s="266">
        <f t="shared" si="3"/>
        <v>114</v>
      </c>
    </row>
    <row r="86" spans="1:16" x14ac:dyDescent="0.3">
      <c r="A86" s="449" t="s">
        <v>212</v>
      </c>
      <c r="B86" s="532" t="s">
        <v>213</v>
      </c>
      <c r="C86" s="532" t="s">
        <v>255</v>
      </c>
      <c r="D86" s="266">
        <v>35</v>
      </c>
      <c r="E86" s="266">
        <v>37</v>
      </c>
      <c r="F86" s="266">
        <v>34</v>
      </c>
      <c r="G86" s="266">
        <v>34</v>
      </c>
      <c r="H86" s="266">
        <v>31</v>
      </c>
      <c r="I86" s="266">
        <v>30</v>
      </c>
      <c r="J86" s="266">
        <v>46</v>
      </c>
      <c r="K86" s="266">
        <v>41</v>
      </c>
      <c r="L86" s="266">
        <v>27</v>
      </c>
      <c r="M86" s="266">
        <v>32</v>
      </c>
      <c r="N86" s="266">
        <v>19</v>
      </c>
      <c r="O86" s="266">
        <v>24</v>
      </c>
      <c r="P86" s="266">
        <f t="shared" si="3"/>
        <v>390</v>
      </c>
    </row>
    <row r="87" spans="1:16" x14ac:dyDescent="0.3">
      <c r="A87" s="449" t="s">
        <v>214</v>
      </c>
      <c r="B87" s="532" t="s">
        <v>215</v>
      </c>
      <c r="C87" s="532" t="s">
        <v>256</v>
      </c>
      <c r="D87" s="266">
        <v>19</v>
      </c>
      <c r="E87" s="266">
        <v>41</v>
      </c>
      <c r="F87" s="266">
        <v>15</v>
      </c>
      <c r="G87" s="266">
        <v>17</v>
      </c>
      <c r="H87" s="266">
        <v>27</v>
      </c>
      <c r="I87" s="266">
        <v>14</v>
      </c>
      <c r="J87" s="266">
        <v>27</v>
      </c>
      <c r="K87" s="266">
        <v>17</v>
      </c>
      <c r="L87" s="266">
        <v>23</v>
      </c>
      <c r="M87" s="266">
        <v>20</v>
      </c>
      <c r="N87" s="266">
        <v>24</v>
      </c>
      <c r="O87" s="266">
        <v>21</v>
      </c>
      <c r="P87" s="266">
        <f t="shared" si="3"/>
        <v>265</v>
      </c>
    </row>
    <row r="88" spans="1:16" x14ac:dyDescent="0.3">
      <c r="A88" s="449" t="s">
        <v>216</v>
      </c>
      <c r="B88" s="532" t="s">
        <v>217</v>
      </c>
      <c r="C88" s="532" t="s">
        <v>252</v>
      </c>
      <c r="D88" s="266">
        <v>12</v>
      </c>
      <c r="E88" s="266">
        <v>17</v>
      </c>
      <c r="F88" s="266">
        <v>9</v>
      </c>
      <c r="G88" s="266">
        <v>4</v>
      </c>
      <c r="H88" s="266">
        <v>13</v>
      </c>
      <c r="I88" s="266">
        <v>10</v>
      </c>
      <c r="J88" s="266">
        <v>14</v>
      </c>
      <c r="K88" s="266">
        <v>11</v>
      </c>
      <c r="L88" s="266">
        <v>5</v>
      </c>
      <c r="M88" s="266">
        <v>10</v>
      </c>
      <c r="N88" s="266">
        <v>17</v>
      </c>
      <c r="O88" s="266">
        <v>9</v>
      </c>
      <c r="P88" s="266">
        <f t="shared" si="3"/>
        <v>131</v>
      </c>
    </row>
    <row r="89" spans="1:16" x14ac:dyDescent="0.3">
      <c r="A89" s="449" t="s">
        <v>218</v>
      </c>
      <c r="B89" s="532" t="s">
        <v>219</v>
      </c>
      <c r="C89" s="532" t="s">
        <v>255</v>
      </c>
      <c r="D89" s="266">
        <v>85</v>
      </c>
      <c r="E89" s="266">
        <v>93</v>
      </c>
      <c r="F89" s="266">
        <v>73</v>
      </c>
      <c r="G89" s="266">
        <v>104</v>
      </c>
      <c r="H89" s="266">
        <v>77</v>
      </c>
      <c r="I89" s="266">
        <v>73</v>
      </c>
      <c r="J89" s="266">
        <v>101</v>
      </c>
      <c r="K89" s="266">
        <v>68</v>
      </c>
      <c r="L89" s="266">
        <v>58</v>
      </c>
      <c r="M89" s="266">
        <v>72</v>
      </c>
      <c r="N89" s="266">
        <v>77</v>
      </c>
      <c r="O89" s="266">
        <v>65</v>
      </c>
      <c r="P89" s="266">
        <f t="shared" si="3"/>
        <v>946</v>
      </c>
    </row>
    <row r="90" spans="1:16" x14ac:dyDescent="0.3">
      <c r="A90" s="449" t="s">
        <v>220</v>
      </c>
      <c r="B90" s="532" t="s">
        <v>221</v>
      </c>
      <c r="C90" s="532" t="s">
        <v>255</v>
      </c>
      <c r="D90" s="266">
        <v>75</v>
      </c>
      <c r="E90" s="266">
        <v>97</v>
      </c>
      <c r="F90" s="266">
        <v>77</v>
      </c>
      <c r="G90" s="266">
        <v>92</v>
      </c>
      <c r="H90" s="266">
        <v>74</v>
      </c>
      <c r="I90" s="266">
        <v>64</v>
      </c>
      <c r="J90" s="266">
        <v>77</v>
      </c>
      <c r="K90" s="266">
        <v>87</v>
      </c>
      <c r="L90" s="266">
        <v>68</v>
      </c>
      <c r="M90" s="266">
        <v>75</v>
      </c>
      <c r="N90" s="266">
        <v>50</v>
      </c>
      <c r="O90" s="266">
        <v>62</v>
      </c>
      <c r="P90" s="266">
        <f t="shared" si="3"/>
        <v>898</v>
      </c>
    </row>
    <row r="91" spans="1:16" x14ac:dyDescent="0.3">
      <c r="A91" s="449" t="s">
        <v>224</v>
      </c>
      <c r="B91" s="532" t="s">
        <v>225</v>
      </c>
      <c r="C91" s="532" t="s">
        <v>252</v>
      </c>
      <c r="D91" s="266">
        <v>6</v>
      </c>
      <c r="E91" s="266">
        <v>5</v>
      </c>
      <c r="F91" s="266">
        <v>4</v>
      </c>
      <c r="G91" s="266">
        <v>5</v>
      </c>
      <c r="H91" s="266">
        <v>3</v>
      </c>
      <c r="I91" s="266">
        <v>3</v>
      </c>
      <c r="J91" s="266">
        <v>5</v>
      </c>
      <c r="K91" s="266"/>
      <c r="L91" s="266">
        <v>2</v>
      </c>
      <c r="M91" s="266">
        <v>4</v>
      </c>
      <c r="N91" s="266">
        <v>3</v>
      </c>
      <c r="O91" s="266">
        <v>2</v>
      </c>
      <c r="P91" s="266">
        <f t="shared" si="3"/>
        <v>42</v>
      </c>
    </row>
    <row r="92" spans="1:16" x14ac:dyDescent="0.3">
      <c r="A92" s="449" t="s">
        <v>226</v>
      </c>
      <c r="B92" s="532" t="s">
        <v>227</v>
      </c>
      <c r="C92" s="532" t="s">
        <v>252</v>
      </c>
      <c r="D92" s="266">
        <v>10</v>
      </c>
      <c r="E92" s="266">
        <v>14</v>
      </c>
      <c r="F92" s="266">
        <v>14</v>
      </c>
      <c r="G92" s="266">
        <v>14</v>
      </c>
      <c r="H92" s="266">
        <v>12</v>
      </c>
      <c r="I92" s="266">
        <v>8</v>
      </c>
      <c r="J92" s="266">
        <v>8</v>
      </c>
      <c r="K92" s="266">
        <v>7</v>
      </c>
      <c r="L92" s="266">
        <v>15</v>
      </c>
      <c r="M92" s="266">
        <v>13</v>
      </c>
      <c r="N92" s="266">
        <v>21</v>
      </c>
      <c r="O92" s="266">
        <v>11</v>
      </c>
      <c r="P92" s="266">
        <f t="shared" si="3"/>
        <v>147</v>
      </c>
    </row>
    <row r="93" spans="1:16" x14ac:dyDescent="0.3">
      <c r="A93" s="449" t="s">
        <v>228</v>
      </c>
      <c r="B93" s="532" t="s">
        <v>229</v>
      </c>
      <c r="C93" s="532" t="s">
        <v>256</v>
      </c>
      <c r="D93" s="266">
        <v>41</v>
      </c>
      <c r="E93" s="266">
        <v>26</v>
      </c>
      <c r="F93" s="266">
        <v>26</v>
      </c>
      <c r="G93" s="266">
        <v>28</v>
      </c>
      <c r="H93" s="266">
        <v>26</v>
      </c>
      <c r="I93" s="266">
        <v>20</v>
      </c>
      <c r="J93" s="266">
        <v>14</v>
      </c>
      <c r="K93" s="266">
        <v>18</v>
      </c>
      <c r="L93" s="266">
        <v>17</v>
      </c>
      <c r="M93" s="266">
        <v>29</v>
      </c>
      <c r="N93" s="266">
        <v>26</v>
      </c>
      <c r="O93" s="266">
        <v>29</v>
      </c>
      <c r="P93" s="266">
        <f t="shared" si="3"/>
        <v>300</v>
      </c>
    </row>
    <row r="94" spans="1:16" x14ac:dyDescent="0.3">
      <c r="A94" s="449" t="s">
        <v>232</v>
      </c>
      <c r="B94" s="532" t="s">
        <v>233</v>
      </c>
      <c r="C94" s="532" t="s">
        <v>255</v>
      </c>
      <c r="D94" s="266">
        <v>22</v>
      </c>
      <c r="E94" s="266">
        <v>32</v>
      </c>
      <c r="F94" s="266">
        <v>27</v>
      </c>
      <c r="G94" s="266">
        <v>21</v>
      </c>
      <c r="H94" s="266">
        <v>25</v>
      </c>
      <c r="I94" s="266">
        <v>13</v>
      </c>
      <c r="J94" s="266">
        <v>24</v>
      </c>
      <c r="K94" s="266">
        <v>20</v>
      </c>
      <c r="L94" s="266">
        <v>19</v>
      </c>
      <c r="M94" s="266">
        <v>20</v>
      </c>
      <c r="N94" s="266">
        <v>20</v>
      </c>
      <c r="O94" s="266">
        <v>19</v>
      </c>
      <c r="P94" s="266">
        <f t="shared" si="3"/>
        <v>262</v>
      </c>
    </row>
    <row r="95" spans="1:16" x14ac:dyDescent="0.3">
      <c r="A95" s="449" t="s">
        <v>234</v>
      </c>
      <c r="B95" s="532" t="s">
        <v>235</v>
      </c>
      <c r="C95" s="532" t="s">
        <v>256</v>
      </c>
      <c r="D95" s="266">
        <v>33</v>
      </c>
      <c r="E95" s="266">
        <v>39</v>
      </c>
      <c r="F95" s="266">
        <v>26</v>
      </c>
      <c r="G95" s="266">
        <v>38</v>
      </c>
      <c r="H95" s="266">
        <v>37</v>
      </c>
      <c r="I95" s="266">
        <v>33</v>
      </c>
      <c r="J95" s="266">
        <v>25</v>
      </c>
      <c r="K95" s="266">
        <v>25</v>
      </c>
      <c r="L95" s="266">
        <v>26</v>
      </c>
      <c r="M95" s="266">
        <v>31</v>
      </c>
      <c r="N95" s="266">
        <v>34</v>
      </c>
      <c r="O95" s="266">
        <v>32</v>
      </c>
      <c r="P95" s="266">
        <f t="shared" si="3"/>
        <v>379</v>
      </c>
    </row>
    <row r="96" spans="1:16" x14ac:dyDescent="0.3">
      <c r="A96" s="449" t="s">
        <v>236</v>
      </c>
      <c r="B96" s="532" t="s">
        <v>237</v>
      </c>
      <c r="C96" s="532" t="s">
        <v>254</v>
      </c>
      <c r="D96" s="266">
        <v>18</v>
      </c>
      <c r="E96" s="266">
        <v>13</v>
      </c>
      <c r="F96" s="266">
        <v>11</v>
      </c>
      <c r="G96" s="266">
        <v>16</v>
      </c>
      <c r="H96" s="266">
        <v>21</v>
      </c>
      <c r="I96" s="266">
        <v>12</v>
      </c>
      <c r="J96" s="266">
        <v>16</v>
      </c>
      <c r="K96" s="266">
        <v>14</v>
      </c>
      <c r="L96" s="266">
        <v>6</v>
      </c>
      <c r="M96" s="266">
        <v>7</v>
      </c>
      <c r="N96" s="266">
        <v>14</v>
      </c>
      <c r="O96" s="266">
        <v>18</v>
      </c>
      <c r="P96" s="266">
        <f t="shared" si="3"/>
        <v>166</v>
      </c>
    </row>
    <row r="97" spans="1:16" x14ac:dyDescent="0.3">
      <c r="A97" s="449" t="s">
        <v>242</v>
      </c>
      <c r="B97" s="532" t="s">
        <v>243</v>
      </c>
      <c r="C97" s="532" t="s">
        <v>256</v>
      </c>
      <c r="D97" s="266">
        <v>31</v>
      </c>
      <c r="E97" s="266">
        <v>30</v>
      </c>
      <c r="F97" s="266">
        <v>28</v>
      </c>
      <c r="G97" s="266">
        <v>32</v>
      </c>
      <c r="H97" s="266">
        <v>28</v>
      </c>
      <c r="I97" s="266">
        <v>22</v>
      </c>
      <c r="J97" s="266">
        <v>38</v>
      </c>
      <c r="K97" s="266">
        <v>21</v>
      </c>
      <c r="L97" s="266">
        <v>28</v>
      </c>
      <c r="M97" s="266">
        <v>33</v>
      </c>
      <c r="N97" s="266">
        <v>28</v>
      </c>
      <c r="O97" s="266">
        <v>33</v>
      </c>
      <c r="P97" s="266">
        <f t="shared" si="3"/>
        <v>352</v>
      </c>
    </row>
    <row r="98" spans="1:16" x14ac:dyDescent="0.3">
      <c r="A98" s="449" t="s">
        <v>244</v>
      </c>
      <c r="B98" s="532" t="s">
        <v>245</v>
      </c>
      <c r="C98" s="532" t="s">
        <v>256</v>
      </c>
      <c r="D98" s="266">
        <v>21</v>
      </c>
      <c r="E98" s="266">
        <v>21</v>
      </c>
      <c r="F98" s="266">
        <v>16</v>
      </c>
      <c r="G98" s="266">
        <v>23</v>
      </c>
      <c r="H98" s="266">
        <v>23</v>
      </c>
      <c r="I98" s="266">
        <v>10</v>
      </c>
      <c r="J98" s="266">
        <v>11</v>
      </c>
      <c r="K98" s="266">
        <v>10</v>
      </c>
      <c r="L98" s="266">
        <v>12</v>
      </c>
      <c r="M98" s="266">
        <v>14</v>
      </c>
      <c r="N98" s="266">
        <v>8</v>
      </c>
      <c r="O98" s="266">
        <v>10</v>
      </c>
      <c r="P98" s="266">
        <f t="shared" si="3"/>
        <v>179</v>
      </c>
    </row>
    <row r="99" spans="1:16" x14ac:dyDescent="0.3">
      <c r="A99" s="449" t="s">
        <v>246</v>
      </c>
      <c r="B99" s="532" t="s">
        <v>247</v>
      </c>
      <c r="C99" s="532" t="s">
        <v>252</v>
      </c>
      <c r="D99" s="266">
        <v>23</v>
      </c>
      <c r="E99" s="266">
        <v>30</v>
      </c>
      <c r="F99" s="266">
        <v>25</v>
      </c>
      <c r="G99" s="266">
        <v>24</v>
      </c>
      <c r="H99" s="266">
        <v>17</v>
      </c>
      <c r="I99" s="266">
        <v>18</v>
      </c>
      <c r="J99" s="266">
        <v>32</v>
      </c>
      <c r="K99" s="266">
        <v>28</v>
      </c>
      <c r="L99" s="266">
        <v>17</v>
      </c>
      <c r="M99" s="266">
        <v>14</v>
      </c>
      <c r="N99" s="266">
        <v>23</v>
      </c>
      <c r="O99" s="266">
        <v>14</v>
      </c>
      <c r="P99" s="266">
        <f t="shared" si="3"/>
        <v>265</v>
      </c>
    </row>
    <row r="100" spans="1:16" x14ac:dyDescent="0.3">
      <c r="A100" s="449" t="s">
        <v>14</v>
      </c>
      <c r="B100" s="532" t="s">
        <v>15</v>
      </c>
      <c r="C100" s="532" t="s">
        <v>255</v>
      </c>
      <c r="D100" s="266">
        <v>86</v>
      </c>
      <c r="E100" s="266">
        <v>66</v>
      </c>
      <c r="F100" s="266">
        <v>88</v>
      </c>
      <c r="G100" s="266">
        <v>80</v>
      </c>
      <c r="H100" s="266">
        <v>66</v>
      </c>
      <c r="I100" s="266">
        <v>47</v>
      </c>
      <c r="J100" s="266">
        <v>68</v>
      </c>
      <c r="K100" s="266">
        <v>63</v>
      </c>
      <c r="L100" s="266">
        <v>66</v>
      </c>
      <c r="M100" s="266">
        <v>84</v>
      </c>
      <c r="N100" s="266">
        <v>67</v>
      </c>
      <c r="O100" s="266">
        <v>65</v>
      </c>
      <c r="P100" s="266">
        <f t="shared" si="3"/>
        <v>846</v>
      </c>
    </row>
    <row r="101" spans="1:16" x14ac:dyDescent="0.3">
      <c r="A101" s="449" t="s">
        <v>34</v>
      </c>
      <c r="B101" s="532" t="s">
        <v>35</v>
      </c>
      <c r="C101" s="532" t="s">
        <v>256</v>
      </c>
      <c r="D101" s="266">
        <v>27</v>
      </c>
      <c r="E101" s="266">
        <v>29</v>
      </c>
      <c r="F101" s="266">
        <v>29</v>
      </c>
      <c r="G101" s="266">
        <v>22</v>
      </c>
      <c r="H101" s="266">
        <v>29</v>
      </c>
      <c r="I101" s="266">
        <v>20</v>
      </c>
      <c r="J101" s="266">
        <v>18</v>
      </c>
      <c r="K101" s="266">
        <v>21</v>
      </c>
      <c r="L101" s="266">
        <v>20</v>
      </c>
      <c r="M101" s="266">
        <v>27</v>
      </c>
      <c r="N101" s="266">
        <v>17</v>
      </c>
      <c r="O101" s="266">
        <v>29</v>
      </c>
      <c r="P101" s="266">
        <f t="shared" ref="P101:P124" si="4">SUM(D101:O101)</f>
        <v>288</v>
      </c>
    </row>
    <row r="102" spans="1:16" x14ac:dyDescent="0.3">
      <c r="A102" s="449" t="s">
        <v>52</v>
      </c>
      <c r="B102" s="532" t="s">
        <v>53</v>
      </c>
      <c r="C102" s="532" t="s">
        <v>253</v>
      </c>
      <c r="D102" s="266">
        <v>30</v>
      </c>
      <c r="E102" s="266">
        <v>38</v>
      </c>
      <c r="F102" s="266">
        <v>34</v>
      </c>
      <c r="G102" s="266">
        <v>26</v>
      </c>
      <c r="H102" s="266">
        <v>34</v>
      </c>
      <c r="I102" s="266">
        <v>13</v>
      </c>
      <c r="J102" s="266">
        <v>27</v>
      </c>
      <c r="K102" s="266">
        <v>18</v>
      </c>
      <c r="L102" s="266">
        <v>18</v>
      </c>
      <c r="M102" s="266">
        <v>19</v>
      </c>
      <c r="N102" s="266">
        <v>17</v>
      </c>
      <c r="O102" s="266">
        <v>31</v>
      </c>
      <c r="P102" s="266">
        <f t="shared" si="4"/>
        <v>305</v>
      </c>
    </row>
    <row r="103" spans="1:16" x14ac:dyDescent="0.3">
      <c r="A103" s="449" t="s">
        <v>54</v>
      </c>
      <c r="B103" s="532" t="s">
        <v>55</v>
      </c>
      <c r="C103" s="532" t="s">
        <v>252</v>
      </c>
      <c r="D103" s="266">
        <v>138</v>
      </c>
      <c r="E103" s="266">
        <v>147</v>
      </c>
      <c r="F103" s="266">
        <v>138</v>
      </c>
      <c r="G103" s="266">
        <v>155</v>
      </c>
      <c r="H103" s="266">
        <v>148</v>
      </c>
      <c r="I103" s="266">
        <v>133</v>
      </c>
      <c r="J103" s="266">
        <v>161</v>
      </c>
      <c r="K103" s="266">
        <v>105</v>
      </c>
      <c r="L103" s="266">
        <v>128</v>
      </c>
      <c r="M103" s="266">
        <v>119</v>
      </c>
      <c r="N103" s="266">
        <v>148</v>
      </c>
      <c r="O103" s="266">
        <v>138</v>
      </c>
      <c r="P103" s="266">
        <f t="shared" si="4"/>
        <v>1658</v>
      </c>
    </row>
    <row r="104" spans="1:16" x14ac:dyDescent="0.3">
      <c r="A104" s="449" t="s">
        <v>66</v>
      </c>
      <c r="B104" s="532" t="s">
        <v>67</v>
      </c>
      <c r="C104" s="532" t="s">
        <v>253</v>
      </c>
      <c r="D104" s="266">
        <v>47</v>
      </c>
      <c r="E104" s="266">
        <v>55</v>
      </c>
      <c r="F104" s="266">
        <v>34</v>
      </c>
      <c r="G104" s="266">
        <v>35</v>
      </c>
      <c r="H104" s="266">
        <v>26</v>
      </c>
      <c r="I104" s="266">
        <v>19</v>
      </c>
      <c r="J104" s="266">
        <v>30</v>
      </c>
      <c r="K104" s="266">
        <v>21</v>
      </c>
      <c r="L104" s="266">
        <v>44</v>
      </c>
      <c r="M104" s="266">
        <v>27</v>
      </c>
      <c r="N104" s="266">
        <v>42</v>
      </c>
      <c r="O104" s="266">
        <v>52</v>
      </c>
      <c r="P104" s="266">
        <f t="shared" si="4"/>
        <v>432</v>
      </c>
    </row>
    <row r="105" spans="1:16" x14ac:dyDescent="0.3">
      <c r="A105" s="449" t="s">
        <v>82</v>
      </c>
      <c r="B105" s="532" t="s">
        <v>83</v>
      </c>
      <c r="C105" s="532" t="s">
        <v>252</v>
      </c>
      <c r="D105" s="266">
        <v>22</v>
      </c>
      <c r="E105" s="266">
        <v>16</v>
      </c>
      <c r="F105" s="266">
        <v>10</v>
      </c>
      <c r="G105" s="266">
        <v>16</v>
      </c>
      <c r="H105" s="266">
        <v>19</v>
      </c>
      <c r="I105" s="266">
        <v>6</v>
      </c>
      <c r="J105" s="266">
        <v>18</v>
      </c>
      <c r="K105" s="266">
        <v>6</v>
      </c>
      <c r="L105" s="266">
        <v>6</v>
      </c>
      <c r="M105" s="266">
        <v>12</v>
      </c>
      <c r="N105" s="266">
        <v>9</v>
      </c>
      <c r="O105" s="266">
        <v>9</v>
      </c>
      <c r="P105" s="266">
        <f t="shared" si="4"/>
        <v>149</v>
      </c>
    </row>
    <row r="106" spans="1:16" x14ac:dyDescent="0.3">
      <c r="A106" s="449" t="s">
        <v>88</v>
      </c>
      <c r="B106" s="532" t="s">
        <v>89</v>
      </c>
      <c r="C106" s="532" t="s">
        <v>255</v>
      </c>
      <c r="D106" s="266">
        <v>34</v>
      </c>
      <c r="E106" s="266">
        <v>32</v>
      </c>
      <c r="F106" s="266">
        <v>30</v>
      </c>
      <c r="G106" s="266">
        <v>35</v>
      </c>
      <c r="H106" s="266">
        <v>27</v>
      </c>
      <c r="I106" s="266">
        <v>29</v>
      </c>
      <c r="J106" s="266">
        <v>40</v>
      </c>
      <c r="K106" s="266">
        <v>21</v>
      </c>
      <c r="L106" s="266">
        <v>16</v>
      </c>
      <c r="M106" s="266">
        <v>27</v>
      </c>
      <c r="N106" s="266">
        <v>24</v>
      </c>
      <c r="O106" s="266">
        <v>34</v>
      </c>
      <c r="P106" s="266">
        <f t="shared" si="4"/>
        <v>349</v>
      </c>
    </row>
    <row r="107" spans="1:16" x14ac:dyDescent="0.3">
      <c r="A107" s="449" t="s">
        <v>90</v>
      </c>
      <c r="B107" s="532" t="s">
        <v>91</v>
      </c>
      <c r="C107" s="532" t="s">
        <v>256</v>
      </c>
      <c r="D107" s="266"/>
      <c r="E107" s="266">
        <v>4</v>
      </c>
      <c r="F107" s="266">
        <v>1</v>
      </c>
      <c r="G107" s="266">
        <v>2</v>
      </c>
      <c r="H107" s="266"/>
      <c r="I107" s="266"/>
      <c r="J107" s="266">
        <v>3</v>
      </c>
      <c r="K107" s="266"/>
      <c r="L107" s="266">
        <v>3</v>
      </c>
      <c r="M107" s="266">
        <v>2</v>
      </c>
      <c r="N107" s="266">
        <v>5</v>
      </c>
      <c r="O107" s="266">
        <v>2</v>
      </c>
      <c r="P107" s="266">
        <f t="shared" si="4"/>
        <v>22</v>
      </c>
    </row>
    <row r="108" spans="1:16" x14ac:dyDescent="0.3">
      <c r="A108" s="449" t="s">
        <v>106</v>
      </c>
      <c r="B108" s="532" t="s">
        <v>107</v>
      </c>
      <c r="C108" s="532" t="s">
        <v>252</v>
      </c>
      <c r="D108" s="266">
        <v>143</v>
      </c>
      <c r="E108" s="266">
        <v>147</v>
      </c>
      <c r="F108" s="266">
        <v>121</v>
      </c>
      <c r="G108" s="266">
        <v>158</v>
      </c>
      <c r="H108" s="266">
        <v>125</v>
      </c>
      <c r="I108" s="266">
        <v>115</v>
      </c>
      <c r="J108" s="266">
        <v>112</v>
      </c>
      <c r="K108" s="266">
        <v>69</v>
      </c>
      <c r="L108" s="266">
        <v>99</v>
      </c>
      <c r="M108" s="266">
        <v>121</v>
      </c>
      <c r="N108" s="266">
        <v>153</v>
      </c>
      <c r="O108" s="266">
        <v>124</v>
      </c>
      <c r="P108" s="266">
        <f t="shared" si="4"/>
        <v>1487</v>
      </c>
    </row>
    <row r="109" spans="1:16" x14ac:dyDescent="0.3">
      <c r="A109" s="449" t="s">
        <v>116</v>
      </c>
      <c r="B109" s="532" t="s">
        <v>117</v>
      </c>
      <c r="C109" s="532" t="s">
        <v>254</v>
      </c>
      <c r="D109" s="266">
        <v>49</v>
      </c>
      <c r="E109" s="266">
        <v>30</v>
      </c>
      <c r="F109" s="266">
        <v>29</v>
      </c>
      <c r="G109" s="266">
        <v>35</v>
      </c>
      <c r="H109" s="266">
        <v>22</v>
      </c>
      <c r="I109" s="266">
        <v>25</v>
      </c>
      <c r="J109" s="266">
        <v>40</v>
      </c>
      <c r="K109" s="266">
        <v>33</v>
      </c>
      <c r="L109" s="266">
        <v>26</v>
      </c>
      <c r="M109" s="266">
        <v>30</v>
      </c>
      <c r="N109" s="266">
        <v>48</v>
      </c>
      <c r="O109" s="266">
        <v>38</v>
      </c>
      <c r="P109" s="266">
        <f t="shared" si="4"/>
        <v>405</v>
      </c>
    </row>
    <row r="110" spans="1:16" x14ac:dyDescent="0.3">
      <c r="A110" s="449" t="s">
        <v>138</v>
      </c>
      <c r="B110" s="532" t="s">
        <v>139</v>
      </c>
      <c r="C110" s="532" t="s">
        <v>253</v>
      </c>
      <c r="D110" s="266">
        <v>67</v>
      </c>
      <c r="E110" s="266">
        <v>58</v>
      </c>
      <c r="F110" s="266">
        <v>57</v>
      </c>
      <c r="G110" s="266">
        <v>60</v>
      </c>
      <c r="H110" s="266">
        <v>67</v>
      </c>
      <c r="I110" s="266">
        <v>55</v>
      </c>
      <c r="J110" s="266">
        <v>58</v>
      </c>
      <c r="K110" s="266">
        <v>50</v>
      </c>
      <c r="L110" s="266">
        <v>50</v>
      </c>
      <c r="M110" s="266">
        <v>58</v>
      </c>
      <c r="N110" s="266">
        <v>74</v>
      </c>
      <c r="O110" s="266">
        <v>69</v>
      </c>
      <c r="P110" s="266">
        <f t="shared" si="4"/>
        <v>723</v>
      </c>
    </row>
    <row r="111" spans="1:16" x14ac:dyDescent="0.3">
      <c r="A111" s="449" t="s">
        <v>142</v>
      </c>
      <c r="B111" s="532" t="s">
        <v>143</v>
      </c>
      <c r="C111" s="532" t="s">
        <v>255</v>
      </c>
      <c r="D111" s="266">
        <v>23</v>
      </c>
      <c r="E111" s="266">
        <v>27</v>
      </c>
      <c r="F111" s="266">
        <v>26</v>
      </c>
      <c r="G111" s="266">
        <v>28</v>
      </c>
      <c r="H111" s="266">
        <v>22</v>
      </c>
      <c r="I111" s="266">
        <v>22</v>
      </c>
      <c r="J111" s="266">
        <v>26</v>
      </c>
      <c r="K111" s="266">
        <v>21</v>
      </c>
      <c r="L111" s="266">
        <v>24</v>
      </c>
      <c r="M111" s="266">
        <v>20</v>
      </c>
      <c r="N111" s="266">
        <v>18</v>
      </c>
      <c r="O111" s="266">
        <v>23</v>
      </c>
      <c r="P111" s="266">
        <f t="shared" si="4"/>
        <v>280</v>
      </c>
    </row>
    <row r="112" spans="1:16" x14ac:dyDescent="0.3">
      <c r="A112" s="449" t="s">
        <v>144</v>
      </c>
      <c r="B112" s="532" t="s">
        <v>145</v>
      </c>
      <c r="C112" s="532" t="s">
        <v>255</v>
      </c>
      <c r="D112" s="266">
        <v>5</v>
      </c>
      <c r="E112" s="266">
        <v>8</v>
      </c>
      <c r="F112" s="266">
        <v>6</v>
      </c>
      <c r="G112" s="266">
        <v>2</v>
      </c>
      <c r="H112" s="266">
        <v>6</v>
      </c>
      <c r="I112" s="266">
        <v>4</v>
      </c>
      <c r="J112" s="266">
        <v>7</v>
      </c>
      <c r="K112" s="266">
        <v>3</v>
      </c>
      <c r="L112" s="266">
        <v>5</v>
      </c>
      <c r="M112" s="266">
        <v>7</v>
      </c>
      <c r="N112" s="266">
        <v>6</v>
      </c>
      <c r="O112" s="266">
        <v>7</v>
      </c>
      <c r="P112" s="266">
        <f t="shared" si="4"/>
        <v>66</v>
      </c>
    </row>
    <row r="113" spans="1:16" x14ac:dyDescent="0.3">
      <c r="A113" s="449" t="s">
        <v>158</v>
      </c>
      <c r="B113" s="532" t="s">
        <v>159</v>
      </c>
      <c r="C113" s="532" t="s">
        <v>252</v>
      </c>
      <c r="D113" s="266">
        <v>309</v>
      </c>
      <c r="E113" s="266">
        <v>341</v>
      </c>
      <c r="F113" s="266">
        <v>244</v>
      </c>
      <c r="G113" s="266">
        <v>304</v>
      </c>
      <c r="H113" s="266">
        <v>258</v>
      </c>
      <c r="I113" s="266">
        <v>210</v>
      </c>
      <c r="J113" s="266">
        <v>276</v>
      </c>
      <c r="K113" s="266">
        <v>148</v>
      </c>
      <c r="L113" s="266">
        <v>187</v>
      </c>
      <c r="M113" s="266">
        <v>209</v>
      </c>
      <c r="N113" s="266">
        <v>244</v>
      </c>
      <c r="O113" s="266">
        <v>258</v>
      </c>
      <c r="P113" s="266">
        <f t="shared" si="4"/>
        <v>2988</v>
      </c>
    </row>
    <row r="114" spans="1:16" x14ac:dyDescent="0.3">
      <c r="A114" s="449" t="s">
        <v>160</v>
      </c>
      <c r="B114" s="532" t="s">
        <v>161</v>
      </c>
      <c r="C114" s="532" t="s">
        <v>252</v>
      </c>
      <c r="D114" s="266">
        <v>256</v>
      </c>
      <c r="E114" s="266">
        <v>267</v>
      </c>
      <c r="F114" s="266">
        <v>219</v>
      </c>
      <c r="G114" s="266">
        <v>305</v>
      </c>
      <c r="H114" s="266">
        <v>259</v>
      </c>
      <c r="I114" s="266">
        <v>182</v>
      </c>
      <c r="J114" s="266">
        <v>241</v>
      </c>
      <c r="K114" s="266">
        <v>164</v>
      </c>
      <c r="L114" s="266">
        <v>177</v>
      </c>
      <c r="M114" s="266">
        <v>227</v>
      </c>
      <c r="N114" s="266">
        <v>242</v>
      </c>
      <c r="O114" s="266">
        <v>239</v>
      </c>
      <c r="P114" s="266">
        <f t="shared" si="4"/>
        <v>2778</v>
      </c>
    </row>
    <row r="115" spans="1:16" x14ac:dyDescent="0.3">
      <c r="A115" s="449" t="s">
        <v>166</v>
      </c>
      <c r="B115" s="532" t="s">
        <v>167</v>
      </c>
      <c r="C115" s="532" t="s">
        <v>256</v>
      </c>
      <c r="D115" s="266">
        <v>2</v>
      </c>
      <c r="E115" s="266">
        <v>4</v>
      </c>
      <c r="F115" s="266">
        <v>6</v>
      </c>
      <c r="G115" s="266">
        <v>6</v>
      </c>
      <c r="H115" s="266">
        <v>2</v>
      </c>
      <c r="I115" s="266">
        <v>3</v>
      </c>
      <c r="J115" s="266">
        <v>6</v>
      </c>
      <c r="K115" s="266">
        <v>3</v>
      </c>
      <c r="L115" s="266">
        <v>4</v>
      </c>
      <c r="M115" s="266">
        <v>2</v>
      </c>
      <c r="N115" s="266">
        <v>5</v>
      </c>
      <c r="O115" s="266">
        <v>5</v>
      </c>
      <c r="P115" s="266">
        <f t="shared" si="4"/>
        <v>48</v>
      </c>
    </row>
    <row r="116" spans="1:16" x14ac:dyDescent="0.3">
      <c r="A116" s="449" t="s">
        <v>176</v>
      </c>
      <c r="B116" s="532" t="s">
        <v>177</v>
      </c>
      <c r="C116" s="532" t="s">
        <v>254</v>
      </c>
      <c r="D116" s="266">
        <v>81</v>
      </c>
      <c r="E116" s="266">
        <v>97</v>
      </c>
      <c r="F116" s="266">
        <v>67</v>
      </c>
      <c r="G116" s="266">
        <v>62</v>
      </c>
      <c r="H116" s="266">
        <v>49</v>
      </c>
      <c r="I116" s="266">
        <v>49</v>
      </c>
      <c r="J116" s="266">
        <v>84</v>
      </c>
      <c r="K116" s="266">
        <v>29</v>
      </c>
      <c r="L116" s="266">
        <v>53</v>
      </c>
      <c r="M116" s="266">
        <v>66</v>
      </c>
      <c r="N116" s="266">
        <v>65</v>
      </c>
      <c r="O116" s="266">
        <v>59</v>
      </c>
      <c r="P116" s="266">
        <f t="shared" si="4"/>
        <v>761</v>
      </c>
    </row>
    <row r="117" spans="1:16" x14ac:dyDescent="0.3">
      <c r="A117" s="449" t="s">
        <v>180</v>
      </c>
      <c r="B117" s="532" t="s">
        <v>181</v>
      </c>
      <c r="C117" s="532" t="s">
        <v>252</v>
      </c>
      <c r="D117" s="266">
        <v>148</v>
      </c>
      <c r="E117" s="266">
        <v>136</v>
      </c>
      <c r="F117" s="266">
        <v>92</v>
      </c>
      <c r="G117" s="266">
        <v>131</v>
      </c>
      <c r="H117" s="266">
        <v>125</v>
      </c>
      <c r="I117" s="266">
        <v>96</v>
      </c>
      <c r="J117" s="266">
        <v>116</v>
      </c>
      <c r="K117" s="266">
        <v>97</v>
      </c>
      <c r="L117" s="266">
        <v>82</v>
      </c>
      <c r="M117" s="266">
        <v>94</v>
      </c>
      <c r="N117" s="266">
        <v>111</v>
      </c>
      <c r="O117" s="266">
        <v>99</v>
      </c>
      <c r="P117" s="266">
        <f t="shared" si="4"/>
        <v>1327</v>
      </c>
    </row>
    <row r="118" spans="1:16" x14ac:dyDescent="0.3">
      <c r="A118" s="449" t="s">
        <v>192</v>
      </c>
      <c r="B118" s="532" t="s">
        <v>193</v>
      </c>
      <c r="C118" s="532" t="s">
        <v>256</v>
      </c>
      <c r="D118" s="266">
        <v>3</v>
      </c>
      <c r="E118" s="266">
        <v>9</v>
      </c>
      <c r="F118" s="266">
        <v>9</v>
      </c>
      <c r="G118" s="266">
        <v>5</v>
      </c>
      <c r="H118" s="266">
        <v>8</v>
      </c>
      <c r="I118" s="266">
        <v>3</v>
      </c>
      <c r="J118" s="266">
        <v>4</v>
      </c>
      <c r="K118" s="266">
        <v>7</v>
      </c>
      <c r="L118" s="266">
        <v>6</v>
      </c>
      <c r="M118" s="266">
        <v>2</v>
      </c>
      <c r="N118" s="266">
        <v>4</v>
      </c>
      <c r="O118" s="266">
        <v>7</v>
      </c>
      <c r="P118" s="266">
        <f t="shared" si="4"/>
        <v>67</v>
      </c>
    </row>
    <row r="119" spans="1:16" x14ac:dyDescent="0.3">
      <c r="A119" s="449" t="s">
        <v>196</v>
      </c>
      <c r="B119" s="532" t="s">
        <v>197</v>
      </c>
      <c r="C119" s="532" t="s">
        <v>254</v>
      </c>
      <c r="D119" s="266">
        <v>250</v>
      </c>
      <c r="E119" s="266">
        <v>253</v>
      </c>
      <c r="F119" s="266">
        <v>210</v>
      </c>
      <c r="G119" s="266">
        <v>252</v>
      </c>
      <c r="H119" s="266">
        <v>193</v>
      </c>
      <c r="I119" s="266">
        <v>214</v>
      </c>
      <c r="J119" s="266">
        <v>260</v>
      </c>
      <c r="K119" s="266">
        <v>160</v>
      </c>
      <c r="L119" s="266">
        <v>147</v>
      </c>
      <c r="M119" s="266">
        <v>195</v>
      </c>
      <c r="N119" s="266">
        <v>251</v>
      </c>
      <c r="O119" s="266">
        <v>250</v>
      </c>
      <c r="P119" s="266">
        <f t="shared" si="4"/>
        <v>2635</v>
      </c>
    </row>
    <row r="120" spans="1:16" x14ac:dyDescent="0.3">
      <c r="A120" s="449" t="s">
        <v>200</v>
      </c>
      <c r="B120" s="532" t="s">
        <v>201</v>
      </c>
      <c r="C120" s="532" t="s">
        <v>253</v>
      </c>
      <c r="D120" s="266">
        <v>123</v>
      </c>
      <c r="E120" s="266">
        <v>131</v>
      </c>
      <c r="F120" s="266">
        <v>115</v>
      </c>
      <c r="G120" s="266">
        <v>96</v>
      </c>
      <c r="H120" s="266">
        <v>121</v>
      </c>
      <c r="I120" s="266">
        <v>95</v>
      </c>
      <c r="J120" s="266">
        <v>120</v>
      </c>
      <c r="K120" s="266">
        <v>86</v>
      </c>
      <c r="L120" s="266">
        <v>96</v>
      </c>
      <c r="M120" s="266">
        <v>112</v>
      </c>
      <c r="N120" s="266">
        <v>123</v>
      </c>
      <c r="O120" s="266">
        <v>110</v>
      </c>
      <c r="P120" s="266">
        <f t="shared" si="4"/>
        <v>1328</v>
      </c>
    </row>
    <row r="121" spans="1:16" x14ac:dyDescent="0.3">
      <c r="A121" s="449" t="s">
        <v>222</v>
      </c>
      <c r="B121" s="532" t="s">
        <v>223</v>
      </c>
      <c r="C121" s="532" t="s">
        <v>252</v>
      </c>
      <c r="D121" s="266">
        <v>57</v>
      </c>
      <c r="E121" s="266">
        <v>64</v>
      </c>
      <c r="F121" s="266">
        <v>49</v>
      </c>
      <c r="G121" s="266">
        <v>69</v>
      </c>
      <c r="H121" s="266">
        <v>62</v>
      </c>
      <c r="I121" s="266">
        <v>48</v>
      </c>
      <c r="J121" s="266">
        <v>59</v>
      </c>
      <c r="K121" s="266">
        <v>42</v>
      </c>
      <c r="L121" s="266">
        <v>29</v>
      </c>
      <c r="M121" s="266">
        <v>62</v>
      </c>
      <c r="N121" s="266">
        <v>61</v>
      </c>
      <c r="O121" s="266">
        <v>68</v>
      </c>
      <c r="P121" s="266">
        <f t="shared" si="4"/>
        <v>670</v>
      </c>
    </row>
    <row r="122" spans="1:16" x14ac:dyDescent="0.3">
      <c r="A122" s="449" t="s">
        <v>230</v>
      </c>
      <c r="B122" s="532" t="s">
        <v>231</v>
      </c>
      <c r="C122" s="532" t="s">
        <v>252</v>
      </c>
      <c r="D122" s="266">
        <v>256</v>
      </c>
      <c r="E122" s="266">
        <v>228</v>
      </c>
      <c r="F122" s="266">
        <v>222</v>
      </c>
      <c r="G122" s="266">
        <v>242</v>
      </c>
      <c r="H122" s="266">
        <v>228</v>
      </c>
      <c r="I122" s="266">
        <v>178</v>
      </c>
      <c r="J122" s="266">
        <v>225</v>
      </c>
      <c r="K122" s="266">
        <v>166</v>
      </c>
      <c r="L122" s="266">
        <v>148</v>
      </c>
      <c r="M122" s="266">
        <v>222</v>
      </c>
      <c r="N122" s="266">
        <v>236</v>
      </c>
      <c r="O122" s="266">
        <v>212</v>
      </c>
      <c r="P122" s="266">
        <f t="shared" si="4"/>
        <v>2563</v>
      </c>
    </row>
    <row r="123" spans="1:16" x14ac:dyDescent="0.3">
      <c r="A123" s="449" t="s">
        <v>238</v>
      </c>
      <c r="B123" s="532" t="s">
        <v>239</v>
      </c>
      <c r="C123" s="532" t="s">
        <v>252</v>
      </c>
      <c r="D123" s="266">
        <v>9</v>
      </c>
      <c r="E123" s="266">
        <v>5</v>
      </c>
      <c r="F123" s="266">
        <v>4</v>
      </c>
      <c r="G123" s="266">
        <v>9</v>
      </c>
      <c r="H123" s="266">
        <v>5</v>
      </c>
      <c r="I123" s="266">
        <v>6</v>
      </c>
      <c r="J123" s="266">
        <v>10</v>
      </c>
      <c r="K123" s="266">
        <v>3</v>
      </c>
      <c r="L123" s="266">
        <v>5</v>
      </c>
      <c r="M123" s="266">
        <v>1</v>
      </c>
      <c r="N123" s="266">
        <v>6</v>
      </c>
      <c r="O123" s="266">
        <v>2</v>
      </c>
      <c r="P123" s="266">
        <f t="shared" si="4"/>
        <v>65</v>
      </c>
    </row>
    <row r="124" spans="1:16" x14ac:dyDescent="0.3">
      <c r="A124" s="450" t="s">
        <v>240</v>
      </c>
      <c r="B124" s="453" t="s">
        <v>241</v>
      </c>
      <c r="C124" s="453" t="s">
        <v>255</v>
      </c>
      <c r="D124" s="266">
        <v>36</v>
      </c>
      <c r="E124" s="266">
        <v>30</v>
      </c>
      <c r="F124" s="266">
        <v>26</v>
      </c>
      <c r="G124" s="266">
        <v>34</v>
      </c>
      <c r="H124" s="266">
        <v>19</v>
      </c>
      <c r="I124" s="266">
        <v>23</v>
      </c>
      <c r="J124" s="266">
        <v>27</v>
      </c>
      <c r="K124" s="266">
        <v>14</v>
      </c>
      <c r="L124" s="266">
        <v>22</v>
      </c>
      <c r="M124" s="266">
        <v>23</v>
      </c>
      <c r="N124" s="266">
        <v>31</v>
      </c>
      <c r="O124" s="266">
        <v>16</v>
      </c>
      <c r="P124" s="266">
        <f t="shared" si="4"/>
        <v>301</v>
      </c>
    </row>
    <row r="126" spans="1:16" ht="65.25" customHeight="1" x14ac:dyDescent="0.3">
      <c r="A126" s="2737" t="s">
        <v>1060</v>
      </c>
      <c r="B126" s="2737"/>
      <c r="C126" s="2737"/>
    </row>
    <row r="128" spans="1:16" s="359" customFormat="1" x14ac:dyDescent="0.3">
      <c r="A128" s="359" t="s">
        <v>248</v>
      </c>
    </row>
    <row r="129" spans="1:3" s="359" customFormat="1" x14ac:dyDescent="0.3">
      <c r="A129" s="360" t="s">
        <v>249</v>
      </c>
      <c r="B129" s="361" t="s">
        <v>250</v>
      </c>
      <c r="C129" s="361"/>
    </row>
  </sheetData>
  <sortState ref="A5:P124">
    <sortCondition ref="A5:A124"/>
  </sortState>
  <mergeCells count="1">
    <mergeCell ref="A126:C126"/>
  </mergeCells>
  <hyperlinks>
    <hyperlink ref="B129"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zoomScale="86" zoomScaleNormal="86"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9" style="441"/>
    <col min="2" max="2" width="33.296875" style="441" customWidth="1"/>
    <col min="3" max="3" width="16.69921875" style="441" customWidth="1"/>
    <col min="4" max="4" width="7.19921875" style="441" customWidth="1"/>
    <col min="5" max="6" width="9.09765625" style="441" bestFit="1" customWidth="1"/>
    <col min="7" max="7" width="9.796875" style="441" bestFit="1" customWidth="1"/>
    <col min="8" max="15" width="10.09765625" style="441" bestFit="1" customWidth="1"/>
    <col min="16" max="16" width="11.09765625" style="441" bestFit="1" customWidth="1"/>
    <col min="17" max="16384" width="9" style="441"/>
  </cols>
  <sheetData>
    <row r="1" spans="1:16" ht="12.75" customHeight="1" x14ac:dyDescent="0.3">
      <c r="A1" s="253" t="s">
        <v>1063</v>
      </c>
    </row>
    <row r="3" spans="1:16" ht="53.25" customHeight="1" x14ac:dyDescent="0.3">
      <c r="A3" s="446" t="s">
        <v>4</v>
      </c>
      <c r="B3" s="503" t="s">
        <v>5</v>
      </c>
      <c r="C3" s="503" t="s">
        <v>251</v>
      </c>
      <c r="D3" s="1376">
        <v>43282</v>
      </c>
      <c r="E3" s="1376">
        <v>43313</v>
      </c>
      <c r="F3" s="1376">
        <v>43344</v>
      </c>
      <c r="G3" s="1376">
        <v>43374</v>
      </c>
      <c r="H3" s="1376">
        <v>43405</v>
      </c>
      <c r="I3" s="1376">
        <v>43435</v>
      </c>
      <c r="J3" s="1376">
        <v>43466</v>
      </c>
      <c r="K3" s="1376">
        <v>43497</v>
      </c>
      <c r="L3" s="1376">
        <v>43525</v>
      </c>
      <c r="M3" s="1376">
        <v>43556</v>
      </c>
      <c r="N3" s="1376">
        <v>43586</v>
      </c>
      <c r="O3" s="1376">
        <v>43617</v>
      </c>
      <c r="P3" s="1377" t="s">
        <v>1059</v>
      </c>
    </row>
    <row r="4" spans="1:16" x14ac:dyDescent="0.3">
      <c r="A4" s="528">
        <v>999</v>
      </c>
      <c r="B4" s="529" t="s">
        <v>9</v>
      </c>
      <c r="C4" s="529"/>
      <c r="D4" s="1378">
        <f>SUM(D5:D124)</f>
        <v>4568</v>
      </c>
      <c r="E4" s="1379">
        <f t="shared" ref="E4:P4" si="0">SUM(E5:E124)</f>
        <v>5483</v>
      </c>
      <c r="F4" s="1379">
        <f t="shared" si="0"/>
        <v>4487</v>
      </c>
      <c r="G4" s="1379">
        <f t="shared" si="0"/>
        <v>4838</v>
      </c>
      <c r="H4" s="1380">
        <f t="shared" si="0"/>
        <v>4726</v>
      </c>
      <c r="I4" s="1380">
        <f t="shared" si="0"/>
        <v>4133</v>
      </c>
      <c r="J4" s="1380">
        <f t="shared" si="0"/>
        <v>4533</v>
      </c>
      <c r="K4" s="1380">
        <f t="shared" si="0"/>
        <v>3919</v>
      </c>
      <c r="L4" s="1380">
        <f t="shared" si="0"/>
        <v>3759</v>
      </c>
      <c r="M4" s="1380">
        <f t="shared" si="0"/>
        <v>3752</v>
      </c>
      <c r="N4" s="1380">
        <f t="shared" si="0"/>
        <v>4369</v>
      </c>
      <c r="O4" s="1380">
        <f t="shared" si="0"/>
        <v>4160</v>
      </c>
      <c r="P4" s="1380">
        <f t="shared" si="0"/>
        <v>52727</v>
      </c>
    </row>
    <row r="5" spans="1:16" x14ac:dyDescent="0.3">
      <c r="A5" s="448" t="s">
        <v>10</v>
      </c>
      <c r="B5" s="505" t="s">
        <v>11</v>
      </c>
      <c r="C5" s="505" t="s">
        <v>252</v>
      </c>
      <c r="D5" s="266">
        <v>29</v>
      </c>
      <c r="E5" s="266">
        <v>24</v>
      </c>
      <c r="F5" s="266">
        <v>21</v>
      </c>
      <c r="G5" s="266">
        <v>14</v>
      </c>
      <c r="H5" s="266">
        <v>27</v>
      </c>
      <c r="I5" s="266">
        <v>20</v>
      </c>
      <c r="J5" s="266">
        <v>13</v>
      </c>
      <c r="K5" s="266">
        <v>13</v>
      </c>
      <c r="L5" s="266">
        <v>13</v>
      </c>
      <c r="M5" s="266">
        <v>15</v>
      </c>
      <c r="N5" s="266">
        <v>15</v>
      </c>
      <c r="O5" s="266">
        <v>15</v>
      </c>
      <c r="P5" s="266">
        <f t="shared" ref="P5:P36" si="1">SUM(D5:O5)</f>
        <v>219</v>
      </c>
    </row>
    <row r="6" spans="1:16" x14ac:dyDescent="0.3">
      <c r="A6" s="449" t="s">
        <v>12</v>
      </c>
      <c r="B6" s="532" t="s">
        <v>13</v>
      </c>
      <c r="C6" s="532" t="s">
        <v>253</v>
      </c>
      <c r="D6" s="266">
        <v>45</v>
      </c>
      <c r="E6" s="266">
        <v>38</v>
      </c>
      <c r="F6" s="266">
        <v>37</v>
      </c>
      <c r="G6" s="266">
        <v>44</v>
      </c>
      <c r="H6" s="266">
        <v>41</v>
      </c>
      <c r="I6" s="266">
        <v>36</v>
      </c>
      <c r="J6" s="266">
        <v>40</v>
      </c>
      <c r="K6" s="266">
        <v>24</v>
      </c>
      <c r="L6" s="266">
        <v>34</v>
      </c>
      <c r="M6" s="266">
        <v>27</v>
      </c>
      <c r="N6" s="266">
        <v>33</v>
      </c>
      <c r="O6" s="266">
        <v>41</v>
      </c>
      <c r="P6" s="266">
        <f t="shared" si="1"/>
        <v>440</v>
      </c>
    </row>
    <row r="7" spans="1:16" x14ac:dyDescent="0.3">
      <c r="A7" s="449" t="s">
        <v>16</v>
      </c>
      <c r="B7" s="532" t="s">
        <v>285</v>
      </c>
      <c r="C7" s="532" t="s">
        <v>253</v>
      </c>
      <c r="D7" s="266">
        <v>10</v>
      </c>
      <c r="E7" s="266">
        <v>24</v>
      </c>
      <c r="F7" s="266">
        <v>10</v>
      </c>
      <c r="G7" s="266">
        <v>14</v>
      </c>
      <c r="H7" s="266">
        <v>12</v>
      </c>
      <c r="I7" s="266">
        <v>16</v>
      </c>
      <c r="J7" s="266">
        <v>8</v>
      </c>
      <c r="K7" s="266">
        <v>11</v>
      </c>
      <c r="L7" s="266">
        <v>17</v>
      </c>
      <c r="M7" s="266">
        <v>12</v>
      </c>
      <c r="N7" s="266">
        <v>10</v>
      </c>
      <c r="O7" s="266">
        <v>9</v>
      </c>
      <c r="P7" s="266">
        <f t="shared" si="1"/>
        <v>153</v>
      </c>
    </row>
    <row r="8" spans="1:16" x14ac:dyDescent="0.3">
      <c r="A8" s="449" t="s">
        <v>18</v>
      </c>
      <c r="B8" s="532" t="s">
        <v>19</v>
      </c>
      <c r="C8" s="532" t="s">
        <v>254</v>
      </c>
      <c r="D8" s="266">
        <v>8</v>
      </c>
      <c r="E8" s="266">
        <v>8</v>
      </c>
      <c r="F8" s="266">
        <v>6</v>
      </c>
      <c r="G8" s="266">
        <v>11</v>
      </c>
      <c r="H8" s="266">
        <v>6</v>
      </c>
      <c r="I8" s="266">
        <v>5</v>
      </c>
      <c r="J8" s="266">
        <v>11</v>
      </c>
      <c r="K8" s="266">
        <v>6</v>
      </c>
      <c r="L8" s="266">
        <v>5</v>
      </c>
      <c r="M8" s="266">
        <v>4</v>
      </c>
      <c r="N8" s="266">
        <v>6</v>
      </c>
      <c r="O8" s="266">
        <v>6</v>
      </c>
      <c r="P8" s="266">
        <f t="shared" si="1"/>
        <v>82</v>
      </c>
    </row>
    <row r="9" spans="1:16" x14ac:dyDescent="0.3">
      <c r="A9" s="449" t="s">
        <v>20</v>
      </c>
      <c r="B9" s="532" t="s">
        <v>21</v>
      </c>
      <c r="C9" s="532" t="s">
        <v>253</v>
      </c>
      <c r="D9" s="266">
        <v>18</v>
      </c>
      <c r="E9" s="266">
        <v>14</v>
      </c>
      <c r="F9" s="266">
        <v>14</v>
      </c>
      <c r="G9" s="266">
        <v>9</v>
      </c>
      <c r="H9" s="266">
        <v>15</v>
      </c>
      <c r="I9" s="266">
        <v>15</v>
      </c>
      <c r="J9" s="266">
        <v>7</v>
      </c>
      <c r="K9" s="266">
        <v>6</v>
      </c>
      <c r="L9" s="266">
        <v>5</v>
      </c>
      <c r="M9" s="266">
        <v>15</v>
      </c>
      <c r="N9" s="266">
        <v>9</v>
      </c>
      <c r="O9" s="266">
        <v>16</v>
      </c>
      <c r="P9" s="266">
        <f t="shared" si="1"/>
        <v>143</v>
      </c>
    </row>
    <row r="10" spans="1:16" x14ac:dyDescent="0.3">
      <c r="A10" s="449" t="s">
        <v>22</v>
      </c>
      <c r="B10" s="532" t="s">
        <v>23</v>
      </c>
      <c r="C10" s="532" t="s">
        <v>253</v>
      </c>
      <c r="D10" s="266">
        <v>10</v>
      </c>
      <c r="E10" s="266">
        <v>11</v>
      </c>
      <c r="F10" s="266">
        <v>7</v>
      </c>
      <c r="G10" s="266">
        <v>6</v>
      </c>
      <c r="H10" s="266">
        <v>7</v>
      </c>
      <c r="I10" s="266">
        <v>5</v>
      </c>
      <c r="J10" s="266">
        <v>7</v>
      </c>
      <c r="K10" s="266">
        <v>2</v>
      </c>
      <c r="L10" s="266">
        <v>8</v>
      </c>
      <c r="M10" s="266">
        <v>7</v>
      </c>
      <c r="N10" s="266">
        <v>7</v>
      </c>
      <c r="O10" s="266">
        <v>9</v>
      </c>
      <c r="P10" s="266">
        <f t="shared" si="1"/>
        <v>86</v>
      </c>
    </row>
    <row r="11" spans="1:16" x14ac:dyDescent="0.3">
      <c r="A11" s="449" t="s">
        <v>24</v>
      </c>
      <c r="B11" s="532" t="s">
        <v>25</v>
      </c>
      <c r="C11" s="532" t="s">
        <v>255</v>
      </c>
      <c r="D11" s="266">
        <v>27</v>
      </c>
      <c r="E11" s="266">
        <v>45</v>
      </c>
      <c r="F11" s="266">
        <v>35</v>
      </c>
      <c r="G11" s="266">
        <v>30</v>
      </c>
      <c r="H11" s="266">
        <v>30</v>
      </c>
      <c r="I11" s="266">
        <v>21</v>
      </c>
      <c r="J11" s="266">
        <v>28</v>
      </c>
      <c r="K11" s="266">
        <v>23</v>
      </c>
      <c r="L11" s="266">
        <v>17</v>
      </c>
      <c r="M11" s="266">
        <v>17</v>
      </c>
      <c r="N11" s="266">
        <v>26</v>
      </c>
      <c r="O11" s="266">
        <v>25</v>
      </c>
      <c r="P11" s="266">
        <f t="shared" si="1"/>
        <v>324</v>
      </c>
    </row>
    <row r="12" spans="1:16" x14ac:dyDescent="0.3">
      <c r="A12" s="449" t="s">
        <v>26</v>
      </c>
      <c r="B12" s="532" t="s">
        <v>547</v>
      </c>
      <c r="C12" s="532" t="s">
        <v>253</v>
      </c>
      <c r="D12" s="266">
        <v>72</v>
      </c>
      <c r="E12" s="266">
        <v>104</v>
      </c>
      <c r="F12" s="266">
        <v>66</v>
      </c>
      <c r="G12" s="266">
        <v>68</v>
      </c>
      <c r="H12" s="266">
        <v>86</v>
      </c>
      <c r="I12" s="266">
        <v>84</v>
      </c>
      <c r="J12" s="266">
        <v>87</v>
      </c>
      <c r="K12" s="266">
        <v>44</v>
      </c>
      <c r="L12" s="266">
        <v>62</v>
      </c>
      <c r="M12" s="266">
        <v>65</v>
      </c>
      <c r="N12" s="266">
        <v>87</v>
      </c>
      <c r="O12" s="266">
        <v>74</v>
      </c>
      <c r="P12" s="266">
        <f t="shared" si="1"/>
        <v>899</v>
      </c>
    </row>
    <row r="13" spans="1:16" x14ac:dyDescent="0.3">
      <c r="A13" s="449" t="s">
        <v>27</v>
      </c>
      <c r="B13" s="532" t="s">
        <v>28</v>
      </c>
      <c r="C13" s="532" t="s">
        <v>253</v>
      </c>
      <c r="D13" s="266">
        <v>1</v>
      </c>
      <c r="E13" s="266">
        <v>2</v>
      </c>
      <c r="F13" s="266"/>
      <c r="G13" s="266">
        <v>2</v>
      </c>
      <c r="H13" s="266">
        <v>2</v>
      </c>
      <c r="I13" s="266">
        <v>1</v>
      </c>
      <c r="J13" s="266">
        <v>1</v>
      </c>
      <c r="K13" s="266">
        <v>1</v>
      </c>
      <c r="L13" s="266"/>
      <c r="M13" s="266">
        <v>2</v>
      </c>
      <c r="N13" s="266">
        <v>2</v>
      </c>
      <c r="O13" s="266">
        <v>3</v>
      </c>
      <c r="P13" s="266">
        <f t="shared" si="1"/>
        <v>17</v>
      </c>
    </row>
    <row r="14" spans="1:16" x14ac:dyDescent="0.3">
      <c r="A14" s="449" t="s">
        <v>29</v>
      </c>
      <c r="B14" s="532" t="s">
        <v>736</v>
      </c>
      <c r="C14" s="532" t="s">
        <v>253</v>
      </c>
      <c r="D14" s="266">
        <v>44</v>
      </c>
      <c r="E14" s="266">
        <v>35</v>
      </c>
      <c r="F14" s="266">
        <v>53</v>
      </c>
      <c r="G14" s="266">
        <v>38</v>
      </c>
      <c r="H14" s="266">
        <v>39</v>
      </c>
      <c r="I14" s="266">
        <v>37</v>
      </c>
      <c r="J14" s="266">
        <v>27</v>
      </c>
      <c r="K14" s="266">
        <v>26</v>
      </c>
      <c r="L14" s="266">
        <v>29</v>
      </c>
      <c r="M14" s="266">
        <v>27</v>
      </c>
      <c r="N14" s="266">
        <v>30</v>
      </c>
      <c r="O14" s="266">
        <v>31</v>
      </c>
      <c r="P14" s="266">
        <f t="shared" si="1"/>
        <v>416</v>
      </c>
    </row>
    <row r="15" spans="1:16" x14ac:dyDescent="0.3">
      <c r="A15" s="449" t="s">
        <v>30</v>
      </c>
      <c r="B15" s="532" t="s">
        <v>31</v>
      </c>
      <c r="C15" s="532" t="s">
        <v>256</v>
      </c>
      <c r="D15" s="266"/>
      <c r="E15" s="266">
        <v>3</v>
      </c>
      <c r="F15" s="266">
        <v>1</v>
      </c>
      <c r="G15" s="266">
        <v>2</v>
      </c>
      <c r="H15" s="266">
        <v>2</v>
      </c>
      <c r="I15" s="266">
        <v>1</v>
      </c>
      <c r="J15" s="266"/>
      <c r="K15" s="266">
        <v>1</v>
      </c>
      <c r="L15" s="266"/>
      <c r="M15" s="266">
        <v>1</v>
      </c>
      <c r="N15" s="266">
        <v>2</v>
      </c>
      <c r="O15" s="266">
        <v>1</v>
      </c>
      <c r="P15" s="266">
        <f t="shared" si="1"/>
        <v>14</v>
      </c>
    </row>
    <row r="16" spans="1:16" x14ac:dyDescent="0.3">
      <c r="A16" s="449" t="s">
        <v>32</v>
      </c>
      <c r="B16" s="532" t="s">
        <v>33</v>
      </c>
      <c r="C16" s="532" t="s">
        <v>253</v>
      </c>
      <c r="D16" s="266">
        <v>11</v>
      </c>
      <c r="E16" s="266">
        <v>10</v>
      </c>
      <c r="F16" s="266">
        <v>7</v>
      </c>
      <c r="G16" s="266">
        <v>11</v>
      </c>
      <c r="H16" s="266">
        <v>9</v>
      </c>
      <c r="I16" s="266">
        <v>7</v>
      </c>
      <c r="J16" s="266">
        <v>12</v>
      </c>
      <c r="K16" s="266">
        <v>8</v>
      </c>
      <c r="L16" s="266">
        <v>6</v>
      </c>
      <c r="M16" s="266">
        <v>9</v>
      </c>
      <c r="N16" s="266">
        <v>8</v>
      </c>
      <c r="O16" s="266">
        <v>10</v>
      </c>
      <c r="P16" s="266">
        <f t="shared" si="1"/>
        <v>108</v>
      </c>
    </row>
    <row r="17" spans="1:16" x14ac:dyDescent="0.3">
      <c r="A17" s="449" t="s">
        <v>36</v>
      </c>
      <c r="B17" s="532" t="s">
        <v>37</v>
      </c>
      <c r="C17" s="532" t="s">
        <v>252</v>
      </c>
      <c r="D17" s="266">
        <v>22</v>
      </c>
      <c r="E17" s="266">
        <v>16</v>
      </c>
      <c r="F17" s="266">
        <v>16</v>
      </c>
      <c r="G17" s="266">
        <v>18</v>
      </c>
      <c r="H17" s="266">
        <v>10</v>
      </c>
      <c r="I17" s="266">
        <v>7</v>
      </c>
      <c r="J17" s="266">
        <v>13</v>
      </c>
      <c r="K17" s="266">
        <v>9</v>
      </c>
      <c r="L17" s="266">
        <v>10</v>
      </c>
      <c r="M17" s="266">
        <v>9</v>
      </c>
      <c r="N17" s="266">
        <v>10</v>
      </c>
      <c r="O17" s="266">
        <v>9</v>
      </c>
      <c r="P17" s="266">
        <f t="shared" si="1"/>
        <v>149</v>
      </c>
    </row>
    <row r="18" spans="1:16" x14ac:dyDescent="0.3">
      <c r="A18" s="449" t="s">
        <v>38</v>
      </c>
      <c r="B18" s="532" t="s">
        <v>39</v>
      </c>
      <c r="C18" s="532" t="s">
        <v>256</v>
      </c>
      <c r="D18" s="266">
        <v>11</v>
      </c>
      <c r="E18" s="266">
        <v>12</v>
      </c>
      <c r="F18" s="266">
        <v>10</v>
      </c>
      <c r="G18" s="266">
        <v>4</v>
      </c>
      <c r="H18" s="266">
        <v>10</v>
      </c>
      <c r="I18" s="266">
        <v>5</v>
      </c>
      <c r="J18" s="266">
        <v>8</v>
      </c>
      <c r="K18" s="266">
        <v>6</v>
      </c>
      <c r="L18" s="266">
        <v>7</v>
      </c>
      <c r="M18" s="266">
        <v>8</v>
      </c>
      <c r="N18" s="266">
        <v>8</v>
      </c>
      <c r="O18" s="266">
        <v>9</v>
      </c>
      <c r="P18" s="266">
        <f t="shared" si="1"/>
        <v>98</v>
      </c>
    </row>
    <row r="19" spans="1:16" x14ac:dyDescent="0.3">
      <c r="A19" s="449" t="s">
        <v>40</v>
      </c>
      <c r="B19" s="532" t="s">
        <v>41</v>
      </c>
      <c r="C19" s="532" t="s">
        <v>254</v>
      </c>
      <c r="D19" s="266">
        <v>3</v>
      </c>
      <c r="E19" s="266">
        <v>16</v>
      </c>
      <c r="F19" s="266">
        <v>9</v>
      </c>
      <c r="G19" s="266">
        <v>10</v>
      </c>
      <c r="H19" s="266">
        <v>5</v>
      </c>
      <c r="I19" s="266">
        <v>4</v>
      </c>
      <c r="J19" s="266">
        <v>13</v>
      </c>
      <c r="K19" s="266">
        <v>3</v>
      </c>
      <c r="L19" s="266">
        <v>5</v>
      </c>
      <c r="M19" s="266">
        <v>7</v>
      </c>
      <c r="N19" s="266">
        <v>4</v>
      </c>
      <c r="O19" s="266">
        <v>5</v>
      </c>
      <c r="P19" s="266">
        <f t="shared" si="1"/>
        <v>84</v>
      </c>
    </row>
    <row r="20" spans="1:16" x14ac:dyDescent="0.3">
      <c r="A20" s="449" t="s">
        <v>42</v>
      </c>
      <c r="B20" s="532" t="s">
        <v>43</v>
      </c>
      <c r="C20" s="532" t="s">
        <v>253</v>
      </c>
      <c r="D20" s="266">
        <v>24</v>
      </c>
      <c r="E20" s="266">
        <v>35</v>
      </c>
      <c r="F20" s="266">
        <v>26</v>
      </c>
      <c r="G20" s="266">
        <v>19</v>
      </c>
      <c r="H20" s="266">
        <v>27</v>
      </c>
      <c r="I20" s="266">
        <v>24</v>
      </c>
      <c r="J20" s="266">
        <v>19</v>
      </c>
      <c r="K20" s="266">
        <v>26</v>
      </c>
      <c r="L20" s="266">
        <v>24</v>
      </c>
      <c r="M20" s="266">
        <v>20</v>
      </c>
      <c r="N20" s="266">
        <v>30</v>
      </c>
      <c r="O20" s="266">
        <v>25</v>
      </c>
      <c r="P20" s="266">
        <f t="shared" si="1"/>
        <v>299</v>
      </c>
    </row>
    <row r="21" spans="1:16" x14ac:dyDescent="0.3">
      <c r="A21" s="449" t="s">
        <v>44</v>
      </c>
      <c r="B21" s="532" t="s">
        <v>45</v>
      </c>
      <c r="C21" s="532" t="s">
        <v>254</v>
      </c>
      <c r="D21" s="266">
        <v>27</v>
      </c>
      <c r="E21" s="266">
        <v>24</v>
      </c>
      <c r="F21" s="266">
        <v>17</v>
      </c>
      <c r="G21" s="266">
        <v>19</v>
      </c>
      <c r="H21" s="266">
        <v>22</v>
      </c>
      <c r="I21" s="266">
        <v>17</v>
      </c>
      <c r="J21" s="266">
        <v>23</v>
      </c>
      <c r="K21" s="266">
        <v>14</v>
      </c>
      <c r="L21" s="266">
        <v>9</v>
      </c>
      <c r="M21" s="266">
        <v>21</v>
      </c>
      <c r="N21" s="266">
        <v>14</v>
      </c>
      <c r="O21" s="266">
        <v>19</v>
      </c>
      <c r="P21" s="266">
        <f t="shared" si="1"/>
        <v>226</v>
      </c>
    </row>
    <row r="22" spans="1:16" x14ac:dyDescent="0.3">
      <c r="A22" s="449" t="s">
        <v>46</v>
      </c>
      <c r="B22" s="532" t="s">
        <v>47</v>
      </c>
      <c r="C22" s="532" t="s">
        <v>256</v>
      </c>
      <c r="D22" s="266">
        <v>8</v>
      </c>
      <c r="E22" s="266">
        <v>10</v>
      </c>
      <c r="F22" s="266">
        <v>17</v>
      </c>
      <c r="G22" s="266">
        <v>8</v>
      </c>
      <c r="H22" s="266">
        <v>14</v>
      </c>
      <c r="I22" s="266">
        <v>13</v>
      </c>
      <c r="J22" s="266">
        <v>13</v>
      </c>
      <c r="K22" s="266">
        <v>9</v>
      </c>
      <c r="L22" s="266">
        <v>14</v>
      </c>
      <c r="M22" s="266">
        <v>15</v>
      </c>
      <c r="N22" s="266">
        <v>20</v>
      </c>
      <c r="O22" s="266">
        <v>17</v>
      </c>
      <c r="P22" s="266">
        <f t="shared" si="1"/>
        <v>158</v>
      </c>
    </row>
    <row r="23" spans="1:16" x14ac:dyDescent="0.3">
      <c r="A23" s="449" t="s">
        <v>48</v>
      </c>
      <c r="B23" s="532" t="s">
        <v>257</v>
      </c>
      <c r="C23" s="532" t="s">
        <v>254</v>
      </c>
      <c r="D23" s="266">
        <v>1</v>
      </c>
      <c r="E23" s="266">
        <v>3</v>
      </c>
      <c r="F23" s="266"/>
      <c r="G23" s="266">
        <v>1</v>
      </c>
      <c r="H23" s="266">
        <v>1</v>
      </c>
      <c r="I23" s="266">
        <v>2</v>
      </c>
      <c r="J23" s="266">
        <v>1</v>
      </c>
      <c r="K23" s="266">
        <v>3</v>
      </c>
      <c r="L23" s="266">
        <v>1</v>
      </c>
      <c r="M23" s="266">
        <v>1</v>
      </c>
      <c r="N23" s="266">
        <v>1</v>
      </c>
      <c r="O23" s="266">
        <v>3</v>
      </c>
      <c r="P23" s="266">
        <f t="shared" si="1"/>
        <v>18</v>
      </c>
    </row>
    <row r="24" spans="1:16" x14ac:dyDescent="0.3">
      <c r="A24" s="449" t="s">
        <v>50</v>
      </c>
      <c r="B24" s="532" t="s">
        <v>51</v>
      </c>
      <c r="C24" s="532" t="s">
        <v>253</v>
      </c>
      <c r="D24" s="266">
        <v>2</v>
      </c>
      <c r="E24" s="266">
        <v>9</v>
      </c>
      <c r="F24" s="266">
        <v>7</v>
      </c>
      <c r="G24" s="266">
        <v>5</v>
      </c>
      <c r="H24" s="266">
        <v>8</v>
      </c>
      <c r="I24" s="266">
        <v>7</v>
      </c>
      <c r="J24" s="266">
        <v>4</v>
      </c>
      <c r="K24" s="266">
        <v>3</v>
      </c>
      <c r="L24" s="266">
        <v>5</v>
      </c>
      <c r="M24" s="266">
        <v>4</v>
      </c>
      <c r="N24" s="266">
        <v>3</v>
      </c>
      <c r="O24" s="266">
        <v>7</v>
      </c>
      <c r="P24" s="266">
        <f t="shared" si="1"/>
        <v>64</v>
      </c>
    </row>
    <row r="25" spans="1:16" x14ac:dyDescent="0.3">
      <c r="A25" s="449" t="s">
        <v>56</v>
      </c>
      <c r="B25" s="532" t="s">
        <v>283</v>
      </c>
      <c r="C25" s="532" t="s">
        <v>254</v>
      </c>
      <c r="D25" s="266">
        <v>191</v>
      </c>
      <c r="E25" s="266">
        <v>224</v>
      </c>
      <c r="F25" s="266">
        <v>185</v>
      </c>
      <c r="G25" s="266">
        <v>206</v>
      </c>
      <c r="H25" s="266">
        <v>199</v>
      </c>
      <c r="I25" s="266">
        <v>142</v>
      </c>
      <c r="J25" s="266">
        <v>167</v>
      </c>
      <c r="K25" s="266">
        <v>165</v>
      </c>
      <c r="L25" s="266">
        <v>168</v>
      </c>
      <c r="M25" s="266">
        <v>152</v>
      </c>
      <c r="N25" s="266">
        <v>199</v>
      </c>
      <c r="O25" s="266">
        <v>184</v>
      </c>
      <c r="P25" s="266">
        <f t="shared" si="1"/>
        <v>2182</v>
      </c>
    </row>
    <row r="26" spans="1:16" x14ac:dyDescent="0.3">
      <c r="A26" s="449" t="s">
        <v>58</v>
      </c>
      <c r="B26" s="532" t="s">
        <v>59</v>
      </c>
      <c r="C26" s="532" t="s">
        <v>255</v>
      </c>
      <c r="D26" s="266">
        <v>2</v>
      </c>
      <c r="E26" s="266">
        <v>2</v>
      </c>
      <c r="F26" s="266">
        <v>4</v>
      </c>
      <c r="G26" s="266">
        <v>6</v>
      </c>
      <c r="H26" s="266">
        <v>2</v>
      </c>
      <c r="I26" s="266">
        <v>2</v>
      </c>
      <c r="J26" s="266">
        <v>7</v>
      </c>
      <c r="K26" s="266">
        <v>10</v>
      </c>
      <c r="L26" s="266"/>
      <c r="M26" s="266">
        <v>5</v>
      </c>
      <c r="N26" s="266">
        <v>2</v>
      </c>
      <c r="O26" s="266"/>
      <c r="P26" s="266">
        <f t="shared" si="1"/>
        <v>42</v>
      </c>
    </row>
    <row r="27" spans="1:16" x14ac:dyDescent="0.3">
      <c r="A27" s="449" t="s">
        <v>60</v>
      </c>
      <c r="B27" s="532" t="s">
        <v>61</v>
      </c>
      <c r="C27" s="532" t="s">
        <v>253</v>
      </c>
      <c r="D27" s="266">
        <v>1</v>
      </c>
      <c r="E27" s="266">
        <v>2</v>
      </c>
      <c r="F27" s="266">
        <v>1</v>
      </c>
      <c r="G27" s="266"/>
      <c r="H27" s="266">
        <v>2</v>
      </c>
      <c r="I27" s="266">
        <v>3</v>
      </c>
      <c r="J27" s="266">
        <v>6</v>
      </c>
      <c r="K27" s="266">
        <v>2</v>
      </c>
      <c r="L27" s="266">
        <v>2</v>
      </c>
      <c r="M27" s="266">
        <v>4</v>
      </c>
      <c r="N27" s="266">
        <v>2</v>
      </c>
      <c r="O27" s="266">
        <v>2</v>
      </c>
      <c r="P27" s="266">
        <f t="shared" si="1"/>
        <v>27</v>
      </c>
    </row>
    <row r="28" spans="1:16" x14ac:dyDescent="0.3">
      <c r="A28" s="449" t="s">
        <v>62</v>
      </c>
      <c r="B28" s="532" t="s">
        <v>63</v>
      </c>
      <c r="C28" s="532" t="s">
        <v>255</v>
      </c>
      <c r="D28" s="266">
        <v>27</v>
      </c>
      <c r="E28" s="266">
        <v>35</v>
      </c>
      <c r="F28" s="266">
        <v>24</v>
      </c>
      <c r="G28" s="266">
        <v>30</v>
      </c>
      <c r="H28" s="266">
        <v>14</v>
      </c>
      <c r="I28" s="266">
        <v>28</v>
      </c>
      <c r="J28" s="266">
        <v>26</v>
      </c>
      <c r="K28" s="266">
        <v>25</v>
      </c>
      <c r="L28" s="266">
        <v>26</v>
      </c>
      <c r="M28" s="266">
        <v>23</v>
      </c>
      <c r="N28" s="266">
        <v>17</v>
      </c>
      <c r="O28" s="266">
        <v>25</v>
      </c>
      <c r="P28" s="266">
        <f t="shared" si="1"/>
        <v>300</v>
      </c>
    </row>
    <row r="29" spans="1:16" x14ac:dyDescent="0.3">
      <c r="A29" s="449" t="s">
        <v>64</v>
      </c>
      <c r="B29" s="532" t="s">
        <v>65</v>
      </c>
      <c r="C29" s="532" t="s">
        <v>254</v>
      </c>
      <c r="D29" s="266">
        <v>9</v>
      </c>
      <c r="E29" s="266">
        <v>3</v>
      </c>
      <c r="F29" s="266">
        <v>2</v>
      </c>
      <c r="G29" s="266">
        <v>7</v>
      </c>
      <c r="H29" s="266">
        <v>9</v>
      </c>
      <c r="I29" s="266">
        <v>5</v>
      </c>
      <c r="J29" s="266">
        <v>8</v>
      </c>
      <c r="K29" s="266">
        <v>3</v>
      </c>
      <c r="L29" s="266">
        <v>6</v>
      </c>
      <c r="M29" s="266">
        <v>4</v>
      </c>
      <c r="N29" s="266">
        <v>11</v>
      </c>
      <c r="O29" s="266">
        <v>9</v>
      </c>
      <c r="P29" s="266">
        <f t="shared" si="1"/>
        <v>76</v>
      </c>
    </row>
    <row r="30" spans="1:16" x14ac:dyDescent="0.3">
      <c r="A30" s="449" t="s">
        <v>68</v>
      </c>
      <c r="B30" s="532" t="s">
        <v>69</v>
      </c>
      <c r="C30" s="532" t="s">
        <v>256</v>
      </c>
      <c r="D30" s="266">
        <v>8</v>
      </c>
      <c r="E30" s="266">
        <v>9</v>
      </c>
      <c r="F30" s="266">
        <v>6</v>
      </c>
      <c r="G30" s="266">
        <v>5</v>
      </c>
      <c r="H30" s="266">
        <v>4</v>
      </c>
      <c r="I30" s="266">
        <v>7</v>
      </c>
      <c r="J30" s="266">
        <v>1</v>
      </c>
      <c r="K30" s="266">
        <v>2</v>
      </c>
      <c r="L30" s="266">
        <v>3</v>
      </c>
      <c r="M30" s="266">
        <v>3</v>
      </c>
      <c r="N30" s="266">
        <v>6</v>
      </c>
      <c r="O30" s="266">
        <v>5</v>
      </c>
      <c r="P30" s="266">
        <f t="shared" si="1"/>
        <v>59</v>
      </c>
    </row>
    <row r="31" spans="1:16" x14ac:dyDescent="0.3">
      <c r="A31" s="449" t="s">
        <v>70</v>
      </c>
      <c r="B31" s="532" t="s">
        <v>71</v>
      </c>
      <c r="C31" s="532" t="s">
        <v>252</v>
      </c>
      <c r="D31" s="266">
        <v>20</v>
      </c>
      <c r="E31" s="266">
        <v>12</v>
      </c>
      <c r="F31" s="266">
        <v>13</v>
      </c>
      <c r="G31" s="266">
        <v>20</v>
      </c>
      <c r="H31" s="266">
        <v>16</v>
      </c>
      <c r="I31" s="266">
        <v>14</v>
      </c>
      <c r="J31" s="266">
        <v>15</v>
      </c>
      <c r="K31" s="266">
        <v>22</v>
      </c>
      <c r="L31" s="266">
        <v>15</v>
      </c>
      <c r="M31" s="266">
        <v>9</v>
      </c>
      <c r="N31" s="266">
        <v>21</v>
      </c>
      <c r="O31" s="266">
        <v>15</v>
      </c>
      <c r="P31" s="266">
        <f t="shared" si="1"/>
        <v>192</v>
      </c>
    </row>
    <row r="32" spans="1:16" x14ac:dyDescent="0.3">
      <c r="A32" s="449" t="s">
        <v>72</v>
      </c>
      <c r="B32" s="532" t="s">
        <v>73</v>
      </c>
      <c r="C32" s="532" t="s">
        <v>254</v>
      </c>
      <c r="D32" s="266">
        <v>13</v>
      </c>
      <c r="E32" s="266">
        <v>19</v>
      </c>
      <c r="F32" s="266">
        <v>10</v>
      </c>
      <c r="G32" s="266">
        <v>8</v>
      </c>
      <c r="H32" s="266">
        <v>5</v>
      </c>
      <c r="I32" s="266">
        <v>10</v>
      </c>
      <c r="J32" s="266">
        <v>3</v>
      </c>
      <c r="K32" s="266">
        <v>7</v>
      </c>
      <c r="L32" s="266">
        <v>7</v>
      </c>
      <c r="M32" s="266">
        <v>13</v>
      </c>
      <c r="N32" s="266">
        <v>9</v>
      </c>
      <c r="O32" s="266">
        <v>11</v>
      </c>
      <c r="P32" s="266">
        <f t="shared" si="1"/>
        <v>115</v>
      </c>
    </row>
    <row r="33" spans="1:16" x14ac:dyDescent="0.3">
      <c r="A33" s="449" t="s">
        <v>74</v>
      </c>
      <c r="B33" s="532" t="s">
        <v>284</v>
      </c>
      <c r="C33" s="532" t="s">
        <v>255</v>
      </c>
      <c r="D33" s="266">
        <v>299</v>
      </c>
      <c r="E33" s="266">
        <v>359</v>
      </c>
      <c r="F33" s="266">
        <v>335</v>
      </c>
      <c r="G33" s="266">
        <v>377</v>
      </c>
      <c r="H33" s="266">
        <v>357</v>
      </c>
      <c r="I33" s="266">
        <v>321</v>
      </c>
      <c r="J33" s="266">
        <v>352</v>
      </c>
      <c r="K33" s="266">
        <v>307</v>
      </c>
      <c r="L33" s="266">
        <v>307</v>
      </c>
      <c r="M33" s="266">
        <v>268</v>
      </c>
      <c r="N33" s="266">
        <v>288</v>
      </c>
      <c r="O33" s="266">
        <v>266</v>
      </c>
      <c r="P33" s="266">
        <f t="shared" si="1"/>
        <v>3836</v>
      </c>
    </row>
    <row r="34" spans="1:16" x14ac:dyDescent="0.3">
      <c r="A34" s="449" t="s">
        <v>76</v>
      </c>
      <c r="B34" s="532" t="s">
        <v>77</v>
      </c>
      <c r="C34" s="532" t="s">
        <v>255</v>
      </c>
      <c r="D34" s="266">
        <v>20</v>
      </c>
      <c r="E34" s="266">
        <v>31</v>
      </c>
      <c r="F34" s="266">
        <v>22</v>
      </c>
      <c r="G34" s="266">
        <v>21</v>
      </c>
      <c r="H34" s="266">
        <v>19</v>
      </c>
      <c r="I34" s="266">
        <v>16</v>
      </c>
      <c r="J34" s="266">
        <v>27</v>
      </c>
      <c r="K34" s="266">
        <v>23</v>
      </c>
      <c r="L34" s="266">
        <v>17</v>
      </c>
      <c r="M34" s="266">
        <v>15</v>
      </c>
      <c r="N34" s="266">
        <v>17</v>
      </c>
      <c r="O34" s="266">
        <v>11</v>
      </c>
      <c r="P34" s="266">
        <f t="shared" si="1"/>
        <v>239</v>
      </c>
    </row>
    <row r="35" spans="1:16" x14ac:dyDescent="0.3">
      <c r="A35" s="449" t="s">
        <v>78</v>
      </c>
      <c r="B35" s="532" t="s">
        <v>79</v>
      </c>
      <c r="C35" s="532" t="s">
        <v>256</v>
      </c>
      <c r="D35" s="266">
        <v>11</v>
      </c>
      <c r="E35" s="266">
        <v>8</v>
      </c>
      <c r="F35" s="266">
        <v>11</v>
      </c>
      <c r="G35" s="266">
        <v>6</v>
      </c>
      <c r="H35" s="266">
        <v>8</v>
      </c>
      <c r="I35" s="266">
        <v>9</v>
      </c>
      <c r="J35" s="266">
        <v>6</v>
      </c>
      <c r="K35" s="266">
        <v>3</v>
      </c>
      <c r="L35" s="266">
        <v>2</v>
      </c>
      <c r="M35" s="266">
        <v>5</v>
      </c>
      <c r="N35" s="266">
        <v>8</v>
      </c>
      <c r="O35" s="266">
        <v>6</v>
      </c>
      <c r="P35" s="266">
        <f t="shared" si="1"/>
        <v>83</v>
      </c>
    </row>
    <row r="36" spans="1:16" x14ac:dyDescent="0.3">
      <c r="A36" s="449" t="s">
        <v>80</v>
      </c>
      <c r="B36" s="532" t="s">
        <v>81</v>
      </c>
      <c r="C36" s="532" t="s">
        <v>254</v>
      </c>
      <c r="D36" s="266">
        <v>7</v>
      </c>
      <c r="E36" s="266">
        <v>8</v>
      </c>
      <c r="F36" s="266">
        <v>1</v>
      </c>
      <c r="G36" s="266">
        <v>9</v>
      </c>
      <c r="H36" s="266">
        <v>17</v>
      </c>
      <c r="I36" s="266">
        <v>12</v>
      </c>
      <c r="J36" s="266">
        <v>10</v>
      </c>
      <c r="K36" s="266">
        <v>9</v>
      </c>
      <c r="L36" s="266">
        <v>6</v>
      </c>
      <c r="M36" s="266">
        <v>9</v>
      </c>
      <c r="N36" s="266">
        <v>6</v>
      </c>
      <c r="O36" s="266">
        <v>5</v>
      </c>
      <c r="P36" s="266">
        <f t="shared" si="1"/>
        <v>99</v>
      </c>
    </row>
    <row r="37" spans="1:16" x14ac:dyDescent="0.3">
      <c r="A37" s="449" t="s">
        <v>84</v>
      </c>
      <c r="B37" s="532" t="s">
        <v>85</v>
      </c>
      <c r="C37" s="532" t="s">
        <v>253</v>
      </c>
      <c r="D37" s="266">
        <v>32</v>
      </c>
      <c r="E37" s="266">
        <v>31</v>
      </c>
      <c r="F37" s="266">
        <v>30</v>
      </c>
      <c r="G37" s="266">
        <v>30</v>
      </c>
      <c r="H37" s="266">
        <v>20</v>
      </c>
      <c r="I37" s="266">
        <v>21</v>
      </c>
      <c r="J37" s="266">
        <v>34</v>
      </c>
      <c r="K37" s="266">
        <v>21</v>
      </c>
      <c r="L37" s="266">
        <v>32</v>
      </c>
      <c r="M37" s="266">
        <v>36</v>
      </c>
      <c r="N37" s="266">
        <v>27</v>
      </c>
      <c r="O37" s="266">
        <v>19</v>
      </c>
      <c r="P37" s="266">
        <f t="shared" ref="P37:P68" si="2">SUM(D37:O37)</f>
        <v>333</v>
      </c>
    </row>
    <row r="38" spans="1:16" x14ac:dyDescent="0.3">
      <c r="A38" s="449" t="s">
        <v>86</v>
      </c>
      <c r="B38" s="532" t="s">
        <v>87</v>
      </c>
      <c r="C38" s="532" t="s">
        <v>255</v>
      </c>
      <c r="D38" s="266">
        <v>37</v>
      </c>
      <c r="E38" s="266">
        <v>48</v>
      </c>
      <c r="F38" s="266">
        <v>39</v>
      </c>
      <c r="G38" s="266">
        <v>46</v>
      </c>
      <c r="H38" s="266">
        <v>39</v>
      </c>
      <c r="I38" s="266">
        <v>32</v>
      </c>
      <c r="J38" s="266">
        <v>44</v>
      </c>
      <c r="K38" s="266">
        <v>37</v>
      </c>
      <c r="L38" s="266">
        <v>28</v>
      </c>
      <c r="M38" s="266">
        <v>34</v>
      </c>
      <c r="N38" s="266">
        <v>33</v>
      </c>
      <c r="O38" s="266">
        <v>25</v>
      </c>
      <c r="P38" s="266">
        <f t="shared" si="2"/>
        <v>442</v>
      </c>
    </row>
    <row r="39" spans="1:16" x14ac:dyDescent="0.3">
      <c r="A39" s="449" t="s">
        <v>92</v>
      </c>
      <c r="B39" s="532" t="s">
        <v>93</v>
      </c>
      <c r="C39" s="532" t="s">
        <v>256</v>
      </c>
      <c r="D39" s="266">
        <v>9</v>
      </c>
      <c r="E39" s="266">
        <v>19</v>
      </c>
      <c r="F39" s="266">
        <v>13</v>
      </c>
      <c r="G39" s="266">
        <v>17</v>
      </c>
      <c r="H39" s="266">
        <v>11</v>
      </c>
      <c r="I39" s="266">
        <v>9</v>
      </c>
      <c r="J39" s="266">
        <v>7</v>
      </c>
      <c r="K39" s="266">
        <v>12</v>
      </c>
      <c r="L39" s="266">
        <v>6</v>
      </c>
      <c r="M39" s="266">
        <v>8</v>
      </c>
      <c r="N39" s="266">
        <v>5</v>
      </c>
      <c r="O39" s="266">
        <v>10</v>
      </c>
      <c r="P39" s="266">
        <f t="shared" si="2"/>
        <v>126</v>
      </c>
    </row>
    <row r="40" spans="1:16" x14ac:dyDescent="0.3">
      <c r="A40" s="449" t="s">
        <v>94</v>
      </c>
      <c r="B40" s="532" t="s">
        <v>95</v>
      </c>
      <c r="C40" s="532" t="s">
        <v>252</v>
      </c>
      <c r="D40" s="266">
        <v>20</v>
      </c>
      <c r="E40" s="266">
        <v>16</v>
      </c>
      <c r="F40" s="266">
        <v>25</v>
      </c>
      <c r="G40" s="266">
        <v>18</v>
      </c>
      <c r="H40" s="266">
        <v>16</v>
      </c>
      <c r="I40" s="266">
        <v>14</v>
      </c>
      <c r="J40" s="266">
        <v>20</v>
      </c>
      <c r="K40" s="266">
        <v>16</v>
      </c>
      <c r="L40" s="266">
        <v>16</v>
      </c>
      <c r="M40" s="266">
        <v>17</v>
      </c>
      <c r="N40" s="266">
        <v>17</v>
      </c>
      <c r="O40" s="266">
        <v>12</v>
      </c>
      <c r="P40" s="266">
        <f t="shared" si="2"/>
        <v>207</v>
      </c>
    </row>
    <row r="41" spans="1:16" x14ac:dyDescent="0.3">
      <c r="A41" s="449" t="s">
        <v>96</v>
      </c>
      <c r="B41" s="532" t="s">
        <v>97</v>
      </c>
      <c r="C41" s="532" t="s">
        <v>254</v>
      </c>
      <c r="D41" s="266">
        <v>6</v>
      </c>
      <c r="E41" s="266">
        <v>3</v>
      </c>
      <c r="F41" s="266">
        <v>7</v>
      </c>
      <c r="G41" s="266">
        <v>5</v>
      </c>
      <c r="H41" s="266">
        <v>1</v>
      </c>
      <c r="I41" s="266">
        <v>1</v>
      </c>
      <c r="J41" s="266">
        <v>5</v>
      </c>
      <c r="K41" s="266">
        <v>3</v>
      </c>
      <c r="L41" s="266">
        <v>2</v>
      </c>
      <c r="M41" s="266">
        <v>9</v>
      </c>
      <c r="N41" s="266">
        <v>3</v>
      </c>
      <c r="O41" s="266">
        <v>4</v>
      </c>
      <c r="P41" s="266">
        <f t="shared" si="2"/>
        <v>49</v>
      </c>
    </row>
    <row r="42" spans="1:16" x14ac:dyDescent="0.3">
      <c r="A42" s="449" t="s">
        <v>98</v>
      </c>
      <c r="B42" s="532" t="s">
        <v>99</v>
      </c>
      <c r="C42" s="532" t="s">
        <v>256</v>
      </c>
      <c r="D42" s="266">
        <v>7</v>
      </c>
      <c r="E42" s="266">
        <v>5</v>
      </c>
      <c r="F42" s="266">
        <v>2</v>
      </c>
      <c r="G42" s="266">
        <v>10</v>
      </c>
      <c r="H42" s="266">
        <v>13</v>
      </c>
      <c r="I42" s="266">
        <v>5</v>
      </c>
      <c r="J42" s="266">
        <v>3</v>
      </c>
      <c r="K42" s="266">
        <v>6</v>
      </c>
      <c r="L42" s="266">
        <v>7</v>
      </c>
      <c r="M42" s="266">
        <v>5</v>
      </c>
      <c r="N42" s="266">
        <v>2</v>
      </c>
      <c r="O42" s="266">
        <v>4</v>
      </c>
      <c r="P42" s="266">
        <f t="shared" si="2"/>
        <v>69</v>
      </c>
    </row>
    <row r="43" spans="1:16" x14ac:dyDescent="0.3">
      <c r="A43" s="449" t="s">
        <v>100</v>
      </c>
      <c r="B43" s="532" t="s">
        <v>101</v>
      </c>
      <c r="C43" s="532" t="s">
        <v>255</v>
      </c>
      <c r="D43" s="266">
        <v>9</v>
      </c>
      <c r="E43" s="266">
        <v>18</v>
      </c>
      <c r="F43" s="266">
        <v>13</v>
      </c>
      <c r="G43" s="266">
        <v>12</v>
      </c>
      <c r="H43" s="266">
        <v>11</v>
      </c>
      <c r="I43" s="266">
        <v>6</v>
      </c>
      <c r="J43" s="266">
        <v>5</v>
      </c>
      <c r="K43" s="266">
        <v>8</v>
      </c>
      <c r="L43" s="266">
        <v>5</v>
      </c>
      <c r="M43" s="266">
        <v>6</v>
      </c>
      <c r="N43" s="266">
        <v>7</v>
      </c>
      <c r="O43" s="266">
        <v>7</v>
      </c>
      <c r="P43" s="266">
        <f t="shared" si="2"/>
        <v>107</v>
      </c>
    </row>
    <row r="44" spans="1:16" x14ac:dyDescent="0.3">
      <c r="A44" s="449" t="s">
        <v>102</v>
      </c>
      <c r="B44" s="532" t="s">
        <v>270</v>
      </c>
      <c r="C44" s="532" t="s">
        <v>252</v>
      </c>
      <c r="D44" s="266">
        <v>18</v>
      </c>
      <c r="E44" s="266">
        <v>15</v>
      </c>
      <c r="F44" s="266">
        <v>17</v>
      </c>
      <c r="G44" s="266">
        <v>22</v>
      </c>
      <c r="H44" s="266">
        <v>12</v>
      </c>
      <c r="I44" s="266">
        <v>24</v>
      </c>
      <c r="J44" s="266">
        <v>19</v>
      </c>
      <c r="K44" s="266">
        <v>13</v>
      </c>
      <c r="L44" s="266">
        <v>8</v>
      </c>
      <c r="M44" s="266">
        <v>16</v>
      </c>
      <c r="N44" s="266">
        <v>19</v>
      </c>
      <c r="O44" s="266">
        <v>9</v>
      </c>
      <c r="P44" s="266">
        <f t="shared" si="2"/>
        <v>192</v>
      </c>
    </row>
    <row r="45" spans="1:16" x14ac:dyDescent="0.3">
      <c r="A45" s="449" t="s">
        <v>104</v>
      </c>
      <c r="B45" s="532" t="s">
        <v>105</v>
      </c>
      <c r="C45" s="532" t="s">
        <v>253</v>
      </c>
      <c r="D45" s="266">
        <v>27</v>
      </c>
      <c r="E45" s="266">
        <v>16</v>
      </c>
      <c r="F45" s="266">
        <v>18</v>
      </c>
      <c r="G45" s="266">
        <v>21</v>
      </c>
      <c r="H45" s="266">
        <v>34</v>
      </c>
      <c r="I45" s="266">
        <v>15</v>
      </c>
      <c r="J45" s="266">
        <v>14</v>
      </c>
      <c r="K45" s="266">
        <v>17</v>
      </c>
      <c r="L45" s="266">
        <v>16</v>
      </c>
      <c r="M45" s="266">
        <v>17</v>
      </c>
      <c r="N45" s="266">
        <v>21</v>
      </c>
      <c r="O45" s="266">
        <v>27</v>
      </c>
      <c r="P45" s="266">
        <f t="shared" si="2"/>
        <v>243</v>
      </c>
    </row>
    <row r="46" spans="1:16" x14ac:dyDescent="0.3">
      <c r="A46" s="449" t="s">
        <v>108</v>
      </c>
      <c r="B46" s="532" t="s">
        <v>109</v>
      </c>
      <c r="C46" s="532" t="s">
        <v>254</v>
      </c>
      <c r="D46" s="266">
        <v>26</v>
      </c>
      <c r="E46" s="266">
        <v>34</v>
      </c>
      <c r="F46" s="266">
        <v>34</v>
      </c>
      <c r="G46" s="266">
        <v>35</v>
      </c>
      <c r="H46" s="266">
        <v>29</v>
      </c>
      <c r="I46" s="266">
        <v>23</v>
      </c>
      <c r="J46" s="266">
        <v>24</v>
      </c>
      <c r="K46" s="266">
        <v>23</v>
      </c>
      <c r="L46" s="266">
        <v>35</v>
      </c>
      <c r="M46" s="266">
        <v>23</v>
      </c>
      <c r="N46" s="266">
        <v>28</v>
      </c>
      <c r="O46" s="266">
        <v>34</v>
      </c>
      <c r="P46" s="266">
        <f t="shared" si="2"/>
        <v>348</v>
      </c>
    </row>
    <row r="47" spans="1:16" x14ac:dyDescent="0.3">
      <c r="A47" s="449" t="s">
        <v>110</v>
      </c>
      <c r="B47" s="532" t="s">
        <v>111</v>
      </c>
      <c r="C47" s="532" t="s">
        <v>254</v>
      </c>
      <c r="D47" s="266">
        <v>217</v>
      </c>
      <c r="E47" s="266">
        <v>252</v>
      </c>
      <c r="F47" s="266">
        <v>221</v>
      </c>
      <c r="G47" s="266">
        <v>222</v>
      </c>
      <c r="H47" s="266">
        <v>210</v>
      </c>
      <c r="I47" s="266">
        <v>158</v>
      </c>
      <c r="J47" s="266">
        <v>188</v>
      </c>
      <c r="K47" s="266">
        <v>162</v>
      </c>
      <c r="L47" s="266">
        <v>182</v>
      </c>
      <c r="M47" s="266">
        <v>165</v>
      </c>
      <c r="N47" s="266">
        <v>211</v>
      </c>
      <c r="O47" s="266">
        <v>185</v>
      </c>
      <c r="P47" s="266">
        <f t="shared" si="2"/>
        <v>2373</v>
      </c>
    </row>
    <row r="48" spans="1:16" x14ac:dyDescent="0.3">
      <c r="A48" s="449" t="s">
        <v>112</v>
      </c>
      <c r="B48" s="532" t="s">
        <v>288</v>
      </c>
      <c r="C48" s="532" t="s">
        <v>253</v>
      </c>
      <c r="D48" s="266">
        <v>50</v>
      </c>
      <c r="E48" s="266">
        <v>63</v>
      </c>
      <c r="F48" s="266">
        <v>42</v>
      </c>
      <c r="G48" s="266">
        <v>44</v>
      </c>
      <c r="H48" s="266">
        <v>31</v>
      </c>
      <c r="I48" s="266">
        <v>51</v>
      </c>
      <c r="J48" s="266">
        <v>42</v>
      </c>
      <c r="K48" s="266">
        <v>38</v>
      </c>
      <c r="L48" s="266">
        <v>33</v>
      </c>
      <c r="M48" s="266">
        <v>49</v>
      </c>
      <c r="N48" s="266">
        <v>44</v>
      </c>
      <c r="O48" s="266">
        <v>52</v>
      </c>
      <c r="P48" s="266">
        <f t="shared" si="2"/>
        <v>539</v>
      </c>
    </row>
    <row r="49" spans="1:16" x14ac:dyDescent="0.3">
      <c r="A49" s="449" t="s">
        <v>114</v>
      </c>
      <c r="B49" s="532" t="s">
        <v>115</v>
      </c>
      <c r="C49" s="532" t="s">
        <v>253</v>
      </c>
      <c r="D49" s="266">
        <v>1</v>
      </c>
      <c r="E49" s="266"/>
      <c r="F49" s="266"/>
      <c r="G49" s="266">
        <v>1</v>
      </c>
      <c r="H49" s="266"/>
      <c r="I49" s="266"/>
      <c r="J49" s="266"/>
      <c r="K49" s="266"/>
      <c r="L49" s="266"/>
      <c r="M49" s="266">
        <v>1</v>
      </c>
      <c r="N49" s="266">
        <v>1</v>
      </c>
      <c r="O49" s="266"/>
      <c r="P49" s="266">
        <f t="shared" si="2"/>
        <v>4</v>
      </c>
    </row>
    <row r="50" spans="1:16" x14ac:dyDescent="0.3">
      <c r="A50" s="449" t="s">
        <v>118</v>
      </c>
      <c r="B50" s="532" t="s">
        <v>258</v>
      </c>
      <c r="C50" s="532" t="s">
        <v>252</v>
      </c>
      <c r="D50" s="266">
        <v>17</v>
      </c>
      <c r="E50" s="266">
        <v>13</v>
      </c>
      <c r="F50" s="266">
        <v>14</v>
      </c>
      <c r="G50" s="266">
        <v>15</v>
      </c>
      <c r="H50" s="266">
        <v>19</v>
      </c>
      <c r="I50" s="266">
        <v>15</v>
      </c>
      <c r="J50" s="266">
        <v>12</v>
      </c>
      <c r="K50" s="266">
        <v>15</v>
      </c>
      <c r="L50" s="266">
        <v>10</v>
      </c>
      <c r="M50" s="266">
        <v>17</v>
      </c>
      <c r="N50" s="266">
        <v>11</v>
      </c>
      <c r="O50" s="266">
        <v>17</v>
      </c>
      <c r="P50" s="266">
        <f t="shared" si="2"/>
        <v>175</v>
      </c>
    </row>
    <row r="51" spans="1:16" x14ac:dyDescent="0.3">
      <c r="A51" s="449" t="s">
        <v>120</v>
      </c>
      <c r="B51" s="532" t="s">
        <v>121</v>
      </c>
      <c r="C51" s="532" t="s">
        <v>252</v>
      </c>
      <c r="D51" s="266">
        <v>19</v>
      </c>
      <c r="E51" s="266">
        <v>35</v>
      </c>
      <c r="F51" s="266">
        <v>26</v>
      </c>
      <c r="G51" s="266">
        <v>31</v>
      </c>
      <c r="H51" s="266">
        <v>23</v>
      </c>
      <c r="I51" s="266">
        <v>24</v>
      </c>
      <c r="J51" s="266">
        <v>37</v>
      </c>
      <c r="K51" s="266">
        <v>31</v>
      </c>
      <c r="L51" s="266">
        <v>22</v>
      </c>
      <c r="M51" s="266">
        <v>29</v>
      </c>
      <c r="N51" s="266">
        <v>29</v>
      </c>
      <c r="O51" s="266">
        <v>26</v>
      </c>
      <c r="P51" s="266">
        <f t="shared" si="2"/>
        <v>332</v>
      </c>
    </row>
    <row r="52" spans="1:16" x14ac:dyDescent="0.3">
      <c r="A52" s="449" t="s">
        <v>122</v>
      </c>
      <c r="B52" s="532" t="s">
        <v>275</v>
      </c>
      <c r="C52" s="532" t="s">
        <v>254</v>
      </c>
      <c r="D52" s="266">
        <v>10</v>
      </c>
      <c r="E52" s="266">
        <v>5</v>
      </c>
      <c r="F52" s="266">
        <v>3</v>
      </c>
      <c r="G52" s="266">
        <v>1</v>
      </c>
      <c r="H52" s="266">
        <v>5</v>
      </c>
      <c r="I52" s="266">
        <v>3</v>
      </c>
      <c r="J52" s="266">
        <v>2</v>
      </c>
      <c r="K52" s="266">
        <v>6</v>
      </c>
      <c r="L52" s="266">
        <v>1</v>
      </c>
      <c r="M52" s="266">
        <v>2</v>
      </c>
      <c r="N52" s="266">
        <v>6</v>
      </c>
      <c r="O52" s="266">
        <v>2</v>
      </c>
      <c r="P52" s="266">
        <f t="shared" si="2"/>
        <v>46</v>
      </c>
    </row>
    <row r="53" spans="1:16" x14ac:dyDescent="0.3">
      <c r="A53" s="449" t="s">
        <v>124</v>
      </c>
      <c r="B53" s="532" t="s">
        <v>125</v>
      </c>
      <c r="C53" s="532" t="s">
        <v>255</v>
      </c>
      <c r="D53" s="266">
        <v>11</v>
      </c>
      <c r="E53" s="266">
        <v>11</v>
      </c>
      <c r="F53" s="266">
        <v>14</v>
      </c>
      <c r="G53" s="266">
        <v>5</v>
      </c>
      <c r="H53" s="266">
        <v>2</v>
      </c>
      <c r="I53" s="266">
        <v>10</v>
      </c>
      <c r="J53" s="266">
        <v>20</v>
      </c>
      <c r="K53" s="266">
        <v>3</v>
      </c>
      <c r="L53" s="266">
        <v>4</v>
      </c>
      <c r="M53" s="266">
        <v>9</v>
      </c>
      <c r="N53" s="266">
        <v>12</v>
      </c>
      <c r="O53" s="266">
        <v>15</v>
      </c>
      <c r="P53" s="266">
        <f t="shared" si="2"/>
        <v>116</v>
      </c>
    </row>
    <row r="54" spans="1:16" x14ac:dyDescent="0.3">
      <c r="A54" s="449" t="s">
        <v>126</v>
      </c>
      <c r="B54" s="532" t="s">
        <v>127</v>
      </c>
      <c r="C54" s="532" t="s">
        <v>254</v>
      </c>
      <c r="D54" s="266">
        <v>2</v>
      </c>
      <c r="E54" s="266">
        <v>7</v>
      </c>
      <c r="F54" s="266">
        <v>5</v>
      </c>
      <c r="G54" s="266">
        <v>7</v>
      </c>
      <c r="H54" s="266">
        <v>5</v>
      </c>
      <c r="I54" s="266">
        <v>11</v>
      </c>
      <c r="J54" s="266">
        <v>8</v>
      </c>
      <c r="K54" s="266">
        <v>3</v>
      </c>
      <c r="L54" s="266">
        <v>5</v>
      </c>
      <c r="M54" s="266">
        <v>4</v>
      </c>
      <c r="N54" s="266">
        <v>4</v>
      </c>
      <c r="O54" s="266">
        <v>9</v>
      </c>
      <c r="P54" s="266">
        <f t="shared" si="2"/>
        <v>70</v>
      </c>
    </row>
    <row r="55" spans="1:16" x14ac:dyDescent="0.3">
      <c r="A55" s="449" t="s">
        <v>128</v>
      </c>
      <c r="B55" s="532" t="s">
        <v>129</v>
      </c>
      <c r="C55" s="532" t="s">
        <v>254</v>
      </c>
      <c r="D55" s="266">
        <v>7</v>
      </c>
      <c r="E55" s="266">
        <v>6</v>
      </c>
      <c r="F55" s="266">
        <v>4</v>
      </c>
      <c r="G55" s="266">
        <v>7</v>
      </c>
      <c r="H55" s="266">
        <v>2</v>
      </c>
      <c r="I55" s="266">
        <v>2</v>
      </c>
      <c r="J55" s="266">
        <v>4</v>
      </c>
      <c r="K55" s="266">
        <v>5</v>
      </c>
      <c r="L55" s="266">
        <v>4</v>
      </c>
      <c r="M55" s="266">
        <v>5</v>
      </c>
      <c r="N55" s="266">
        <v>2</v>
      </c>
      <c r="O55" s="266">
        <v>5</v>
      </c>
      <c r="P55" s="266">
        <f t="shared" si="2"/>
        <v>53</v>
      </c>
    </row>
    <row r="56" spans="1:16" x14ac:dyDescent="0.3">
      <c r="A56" s="449" t="s">
        <v>130</v>
      </c>
      <c r="B56" s="532" t="s">
        <v>131</v>
      </c>
      <c r="C56" s="532" t="s">
        <v>256</v>
      </c>
      <c r="D56" s="266">
        <v>13</v>
      </c>
      <c r="E56" s="266">
        <v>16</v>
      </c>
      <c r="F56" s="266">
        <v>12</v>
      </c>
      <c r="G56" s="266">
        <v>19</v>
      </c>
      <c r="H56" s="266">
        <v>7</v>
      </c>
      <c r="I56" s="266">
        <v>9</v>
      </c>
      <c r="J56" s="266">
        <v>14</v>
      </c>
      <c r="K56" s="266">
        <v>13</v>
      </c>
      <c r="L56" s="266">
        <v>10</v>
      </c>
      <c r="M56" s="266">
        <v>9</v>
      </c>
      <c r="N56" s="266">
        <v>11</v>
      </c>
      <c r="O56" s="266">
        <v>14</v>
      </c>
      <c r="P56" s="266">
        <f t="shared" si="2"/>
        <v>147</v>
      </c>
    </row>
    <row r="57" spans="1:16" x14ac:dyDescent="0.3">
      <c r="A57" s="449" t="s">
        <v>132</v>
      </c>
      <c r="B57" s="532" t="s">
        <v>133</v>
      </c>
      <c r="C57" s="532" t="s">
        <v>255</v>
      </c>
      <c r="D57" s="266">
        <v>76</v>
      </c>
      <c r="E57" s="266">
        <v>101</v>
      </c>
      <c r="F57" s="266">
        <v>88</v>
      </c>
      <c r="G57" s="266">
        <v>93</v>
      </c>
      <c r="H57" s="266">
        <v>73</v>
      </c>
      <c r="I57" s="266">
        <v>78</v>
      </c>
      <c r="J57" s="266">
        <v>94</v>
      </c>
      <c r="K57" s="266">
        <v>77</v>
      </c>
      <c r="L57" s="266">
        <v>100</v>
      </c>
      <c r="M57" s="266">
        <v>71</v>
      </c>
      <c r="N57" s="266">
        <v>76</v>
      </c>
      <c r="O57" s="266">
        <v>83</v>
      </c>
      <c r="P57" s="266">
        <f t="shared" si="2"/>
        <v>1010</v>
      </c>
    </row>
    <row r="58" spans="1:16" x14ac:dyDescent="0.3">
      <c r="A58" s="449" t="s">
        <v>134</v>
      </c>
      <c r="B58" s="532" t="s">
        <v>135</v>
      </c>
      <c r="C58" s="532" t="s">
        <v>255</v>
      </c>
      <c r="D58" s="266">
        <v>15</v>
      </c>
      <c r="E58" s="266">
        <v>27</v>
      </c>
      <c r="F58" s="266">
        <v>19</v>
      </c>
      <c r="G58" s="266">
        <v>22</v>
      </c>
      <c r="H58" s="266">
        <v>18</v>
      </c>
      <c r="I58" s="266">
        <v>16</v>
      </c>
      <c r="J58" s="266">
        <v>13</v>
      </c>
      <c r="K58" s="266">
        <v>8</v>
      </c>
      <c r="L58" s="266">
        <v>18</v>
      </c>
      <c r="M58" s="266">
        <v>11</v>
      </c>
      <c r="N58" s="266">
        <v>20</v>
      </c>
      <c r="O58" s="266">
        <v>9</v>
      </c>
      <c r="P58" s="266">
        <f t="shared" si="2"/>
        <v>196</v>
      </c>
    </row>
    <row r="59" spans="1:16" x14ac:dyDescent="0.3">
      <c r="A59" s="449" t="s">
        <v>136</v>
      </c>
      <c r="B59" s="532" t="s">
        <v>137</v>
      </c>
      <c r="C59" s="532" t="s">
        <v>254</v>
      </c>
      <c r="D59" s="266">
        <v>7</v>
      </c>
      <c r="E59" s="266">
        <v>8</v>
      </c>
      <c r="F59" s="266">
        <v>7</v>
      </c>
      <c r="G59" s="266">
        <v>12</v>
      </c>
      <c r="H59" s="266">
        <v>11</v>
      </c>
      <c r="I59" s="266">
        <v>10</v>
      </c>
      <c r="J59" s="266">
        <v>12</v>
      </c>
      <c r="K59" s="266">
        <v>9</v>
      </c>
      <c r="L59" s="266">
        <v>6</v>
      </c>
      <c r="M59" s="266">
        <v>10</v>
      </c>
      <c r="N59" s="266">
        <v>4</v>
      </c>
      <c r="O59" s="266">
        <v>3</v>
      </c>
      <c r="P59" s="266">
        <f t="shared" si="2"/>
        <v>99</v>
      </c>
    </row>
    <row r="60" spans="1:16" x14ac:dyDescent="0.3">
      <c r="A60" s="449" t="s">
        <v>140</v>
      </c>
      <c r="B60" s="532" t="s">
        <v>141</v>
      </c>
      <c r="C60" s="532" t="s">
        <v>255</v>
      </c>
      <c r="D60" s="266">
        <v>6</v>
      </c>
      <c r="E60" s="266">
        <v>2</v>
      </c>
      <c r="F60" s="266">
        <v>6</v>
      </c>
      <c r="G60" s="266">
        <v>6</v>
      </c>
      <c r="H60" s="266">
        <v>4</v>
      </c>
      <c r="I60" s="266">
        <v>5</v>
      </c>
      <c r="J60" s="266">
        <v>5</v>
      </c>
      <c r="K60" s="266">
        <v>2</v>
      </c>
      <c r="L60" s="266">
        <v>5</v>
      </c>
      <c r="M60" s="266">
        <v>2</v>
      </c>
      <c r="N60" s="266">
        <v>4</v>
      </c>
      <c r="O60" s="266">
        <v>7</v>
      </c>
      <c r="P60" s="266">
        <f t="shared" si="2"/>
        <v>54</v>
      </c>
    </row>
    <row r="61" spans="1:16" x14ac:dyDescent="0.3">
      <c r="A61" s="449" t="s">
        <v>146</v>
      </c>
      <c r="B61" s="532" t="s">
        <v>147</v>
      </c>
      <c r="C61" s="532" t="s">
        <v>252</v>
      </c>
      <c r="D61" s="266">
        <v>3</v>
      </c>
      <c r="E61" s="266"/>
      <c r="F61" s="266">
        <v>5</v>
      </c>
      <c r="G61" s="266">
        <v>7</v>
      </c>
      <c r="H61" s="266">
        <v>4</v>
      </c>
      <c r="I61" s="266">
        <v>3</v>
      </c>
      <c r="J61" s="266">
        <v>2</v>
      </c>
      <c r="K61" s="266">
        <v>2</v>
      </c>
      <c r="L61" s="266">
        <v>3</v>
      </c>
      <c r="M61" s="266">
        <v>3</v>
      </c>
      <c r="N61" s="266">
        <v>4</v>
      </c>
      <c r="O61" s="266">
        <v>4</v>
      </c>
      <c r="P61" s="266">
        <f t="shared" si="2"/>
        <v>40</v>
      </c>
    </row>
    <row r="62" spans="1:16" x14ac:dyDescent="0.3">
      <c r="A62" s="449" t="s">
        <v>148</v>
      </c>
      <c r="B62" s="532" t="s">
        <v>149</v>
      </c>
      <c r="C62" s="532" t="s">
        <v>253</v>
      </c>
      <c r="D62" s="266">
        <v>22</v>
      </c>
      <c r="E62" s="266">
        <v>19</v>
      </c>
      <c r="F62" s="266">
        <v>11</v>
      </c>
      <c r="G62" s="266">
        <v>16</v>
      </c>
      <c r="H62" s="266">
        <v>19</v>
      </c>
      <c r="I62" s="266">
        <v>12</v>
      </c>
      <c r="J62" s="266">
        <v>18</v>
      </c>
      <c r="K62" s="266">
        <v>17</v>
      </c>
      <c r="L62" s="266">
        <v>14</v>
      </c>
      <c r="M62" s="266">
        <v>18</v>
      </c>
      <c r="N62" s="266">
        <v>13</v>
      </c>
      <c r="O62" s="266">
        <v>13</v>
      </c>
      <c r="P62" s="266">
        <f t="shared" si="2"/>
        <v>192</v>
      </c>
    </row>
    <row r="63" spans="1:16" x14ac:dyDescent="0.3">
      <c r="A63" s="449" t="s">
        <v>150</v>
      </c>
      <c r="B63" s="532" t="s">
        <v>151</v>
      </c>
      <c r="C63" s="532" t="s">
        <v>254</v>
      </c>
      <c r="D63" s="266">
        <v>6</v>
      </c>
      <c r="E63" s="266">
        <v>7</v>
      </c>
      <c r="F63" s="266">
        <v>6</v>
      </c>
      <c r="G63" s="266">
        <v>8</v>
      </c>
      <c r="H63" s="266">
        <v>6</v>
      </c>
      <c r="I63" s="266">
        <v>7</v>
      </c>
      <c r="J63" s="266">
        <v>6</v>
      </c>
      <c r="K63" s="266">
        <v>9</v>
      </c>
      <c r="L63" s="266">
        <v>7</v>
      </c>
      <c r="M63" s="266">
        <v>11</v>
      </c>
      <c r="N63" s="266">
        <v>2</v>
      </c>
      <c r="O63" s="266">
        <v>8</v>
      </c>
      <c r="P63" s="266">
        <f t="shared" si="2"/>
        <v>83</v>
      </c>
    </row>
    <row r="64" spans="1:16" x14ac:dyDescent="0.3">
      <c r="A64" s="449" t="s">
        <v>152</v>
      </c>
      <c r="B64" s="532" t="s">
        <v>153</v>
      </c>
      <c r="C64" s="532" t="s">
        <v>256</v>
      </c>
      <c r="D64" s="266">
        <v>27</v>
      </c>
      <c r="E64" s="266">
        <v>39</v>
      </c>
      <c r="F64" s="266">
        <v>37</v>
      </c>
      <c r="G64" s="266">
        <v>33</v>
      </c>
      <c r="H64" s="266">
        <v>48</v>
      </c>
      <c r="I64" s="266">
        <v>35</v>
      </c>
      <c r="J64" s="266">
        <v>33</v>
      </c>
      <c r="K64" s="266">
        <v>31</v>
      </c>
      <c r="L64" s="266">
        <v>41</v>
      </c>
      <c r="M64" s="266">
        <v>37</v>
      </c>
      <c r="N64" s="266">
        <v>41</v>
      </c>
      <c r="O64" s="266">
        <v>37</v>
      </c>
      <c r="P64" s="266">
        <f t="shared" si="2"/>
        <v>439</v>
      </c>
    </row>
    <row r="65" spans="1:16" x14ac:dyDescent="0.3">
      <c r="A65" s="449" t="s">
        <v>154</v>
      </c>
      <c r="B65" s="532" t="s">
        <v>155</v>
      </c>
      <c r="C65" s="532" t="s">
        <v>253</v>
      </c>
      <c r="D65" s="266">
        <v>4</v>
      </c>
      <c r="E65" s="266">
        <v>3</v>
      </c>
      <c r="F65" s="266">
        <v>3</v>
      </c>
      <c r="G65" s="266">
        <v>6</v>
      </c>
      <c r="H65" s="266">
        <v>4</v>
      </c>
      <c r="I65" s="266">
        <v>2</v>
      </c>
      <c r="J65" s="266">
        <v>7</v>
      </c>
      <c r="K65" s="266"/>
      <c r="L65" s="266">
        <v>2</v>
      </c>
      <c r="M65" s="266">
        <v>3</v>
      </c>
      <c r="N65" s="266">
        <v>2</v>
      </c>
      <c r="O65" s="266">
        <v>3</v>
      </c>
      <c r="P65" s="266">
        <f t="shared" si="2"/>
        <v>39</v>
      </c>
    </row>
    <row r="66" spans="1:16" x14ac:dyDescent="0.3">
      <c r="A66" s="449" t="s">
        <v>156</v>
      </c>
      <c r="B66" s="532" t="s">
        <v>157</v>
      </c>
      <c r="C66" s="532" t="s">
        <v>254</v>
      </c>
      <c r="D66" s="266">
        <v>10</v>
      </c>
      <c r="E66" s="266">
        <v>6</v>
      </c>
      <c r="F66" s="266">
        <v>3</v>
      </c>
      <c r="G66" s="266">
        <v>10</v>
      </c>
      <c r="H66" s="266">
        <v>6</v>
      </c>
      <c r="I66" s="266">
        <v>6</v>
      </c>
      <c r="J66" s="266">
        <v>9</v>
      </c>
      <c r="K66" s="266">
        <v>5</v>
      </c>
      <c r="L66" s="266">
        <v>10</v>
      </c>
      <c r="M66" s="266">
        <v>1</v>
      </c>
      <c r="N66" s="266">
        <v>2</v>
      </c>
      <c r="O66" s="266">
        <v>6</v>
      </c>
      <c r="P66" s="266">
        <f t="shared" si="2"/>
        <v>74</v>
      </c>
    </row>
    <row r="67" spans="1:16" x14ac:dyDescent="0.3">
      <c r="A67" s="449" t="s">
        <v>162</v>
      </c>
      <c r="B67" s="532" t="s">
        <v>163</v>
      </c>
      <c r="C67" s="532" t="s">
        <v>252</v>
      </c>
      <c r="D67" s="266">
        <v>7</v>
      </c>
      <c r="E67" s="266">
        <v>3</v>
      </c>
      <c r="F67" s="266">
        <v>7</v>
      </c>
      <c r="G67" s="266">
        <v>13</v>
      </c>
      <c r="H67" s="266">
        <v>11</v>
      </c>
      <c r="I67" s="266">
        <v>13</v>
      </c>
      <c r="J67" s="266">
        <v>10</v>
      </c>
      <c r="K67" s="266">
        <v>13</v>
      </c>
      <c r="L67" s="266">
        <v>9</v>
      </c>
      <c r="M67" s="266">
        <v>4</v>
      </c>
      <c r="N67" s="266">
        <v>10</v>
      </c>
      <c r="O67" s="266">
        <v>15</v>
      </c>
      <c r="P67" s="266">
        <f t="shared" si="2"/>
        <v>115</v>
      </c>
    </row>
    <row r="68" spans="1:16" x14ac:dyDescent="0.3">
      <c r="A68" s="449" t="s">
        <v>164</v>
      </c>
      <c r="B68" s="532" t="s">
        <v>165</v>
      </c>
      <c r="C68" s="532" t="s">
        <v>254</v>
      </c>
      <c r="D68" s="266">
        <v>2</v>
      </c>
      <c r="E68" s="266">
        <v>8</v>
      </c>
      <c r="F68" s="266">
        <v>2</v>
      </c>
      <c r="G68" s="266"/>
      <c r="H68" s="266">
        <v>5</v>
      </c>
      <c r="I68" s="266">
        <v>4</v>
      </c>
      <c r="J68" s="266">
        <v>7</v>
      </c>
      <c r="K68" s="266">
        <v>6</v>
      </c>
      <c r="L68" s="266">
        <v>2</v>
      </c>
      <c r="M68" s="266">
        <v>3</v>
      </c>
      <c r="N68" s="266">
        <v>2</v>
      </c>
      <c r="O68" s="266">
        <v>2</v>
      </c>
      <c r="P68" s="266">
        <f t="shared" si="2"/>
        <v>43</v>
      </c>
    </row>
    <row r="69" spans="1:16" x14ac:dyDescent="0.3">
      <c r="A69" s="449" t="s">
        <v>168</v>
      </c>
      <c r="B69" s="532" t="s">
        <v>169</v>
      </c>
      <c r="C69" s="532" t="s">
        <v>254</v>
      </c>
      <c r="D69" s="266">
        <v>18</v>
      </c>
      <c r="E69" s="266">
        <v>12</v>
      </c>
      <c r="F69" s="266">
        <v>10</v>
      </c>
      <c r="G69" s="266">
        <v>8</v>
      </c>
      <c r="H69" s="266">
        <v>15</v>
      </c>
      <c r="I69" s="266">
        <v>7</v>
      </c>
      <c r="J69" s="266">
        <v>8</v>
      </c>
      <c r="K69" s="266">
        <v>9</v>
      </c>
      <c r="L69" s="266">
        <v>4</v>
      </c>
      <c r="M69" s="266">
        <v>7</v>
      </c>
      <c r="N69" s="266">
        <v>13</v>
      </c>
      <c r="O69" s="266">
        <v>12</v>
      </c>
      <c r="P69" s="266">
        <f t="shared" ref="P69:P100" si="3">SUM(D69:O69)</f>
        <v>123</v>
      </c>
    </row>
    <row r="70" spans="1:16" x14ac:dyDescent="0.3">
      <c r="A70" s="449" t="s">
        <v>170</v>
      </c>
      <c r="B70" s="532" t="s">
        <v>171</v>
      </c>
      <c r="C70" s="532" t="s">
        <v>255</v>
      </c>
      <c r="D70" s="266">
        <v>25</v>
      </c>
      <c r="E70" s="266">
        <v>21</v>
      </c>
      <c r="F70" s="266">
        <v>10</v>
      </c>
      <c r="G70" s="266">
        <v>15</v>
      </c>
      <c r="H70" s="266">
        <v>16</v>
      </c>
      <c r="I70" s="266">
        <v>16</v>
      </c>
      <c r="J70" s="266">
        <v>16</v>
      </c>
      <c r="K70" s="266">
        <v>11</v>
      </c>
      <c r="L70" s="266">
        <v>11</v>
      </c>
      <c r="M70" s="266">
        <v>15</v>
      </c>
      <c r="N70" s="266">
        <v>14</v>
      </c>
      <c r="O70" s="266">
        <v>10</v>
      </c>
      <c r="P70" s="266">
        <f t="shared" si="3"/>
        <v>180</v>
      </c>
    </row>
    <row r="71" spans="1:16" x14ac:dyDescent="0.3">
      <c r="A71" s="449" t="s">
        <v>172</v>
      </c>
      <c r="B71" s="532" t="s">
        <v>173</v>
      </c>
      <c r="C71" s="532" t="s">
        <v>255</v>
      </c>
      <c r="D71" s="266">
        <v>16</v>
      </c>
      <c r="E71" s="266">
        <v>18</v>
      </c>
      <c r="F71" s="266">
        <v>15</v>
      </c>
      <c r="G71" s="266">
        <v>11</v>
      </c>
      <c r="H71" s="266">
        <v>13</v>
      </c>
      <c r="I71" s="266">
        <v>12</v>
      </c>
      <c r="J71" s="266">
        <v>11</v>
      </c>
      <c r="K71" s="266">
        <v>7</v>
      </c>
      <c r="L71" s="266">
        <v>12</v>
      </c>
      <c r="M71" s="266">
        <v>6</v>
      </c>
      <c r="N71" s="266">
        <v>8</v>
      </c>
      <c r="O71" s="266">
        <v>14</v>
      </c>
      <c r="P71" s="266">
        <f t="shared" si="3"/>
        <v>143</v>
      </c>
    </row>
    <row r="72" spans="1:16" x14ac:dyDescent="0.3">
      <c r="A72" s="449" t="s">
        <v>174</v>
      </c>
      <c r="B72" s="532" t="s">
        <v>175</v>
      </c>
      <c r="C72" s="532" t="s">
        <v>256</v>
      </c>
      <c r="D72" s="266">
        <v>14</v>
      </c>
      <c r="E72" s="266">
        <v>12</v>
      </c>
      <c r="F72" s="266">
        <v>13</v>
      </c>
      <c r="G72" s="266">
        <v>10</v>
      </c>
      <c r="H72" s="266">
        <v>16</v>
      </c>
      <c r="I72" s="266">
        <v>3</v>
      </c>
      <c r="J72" s="266">
        <v>12</v>
      </c>
      <c r="K72" s="266">
        <v>10</v>
      </c>
      <c r="L72" s="266">
        <v>10</v>
      </c>
      <c r="M72" s="266">
        <v>10</v>
      </c>
      <c r="N72" s="266">
        <v>13</v>
      </c>
      <c r="O72" s="266">
        <v>4</v>
      </c>
      <c r="P72" s="266">
        <f t="shared" si="3"/>
        <v>127</v>
      </c>
    </row>
    <row r="73" spans="1:16" x14ac:dyDescent="0.3">
      <c r="A73" s="449" t="s">
        <v>178</v>
      </c>
      <c r="B73" s="532" t="s">
        <v>179</v>
      </c>
      <c r="C73" s="532" t="s">
        <v>253</v>
      </c>
      <c r="D73" s="266">
        <v>33</v>
      </c>
      <c r="E73" s="266">
        <v>35</v>
      </c>
      <c r="F73" s="266">
        <v>39</v>
      </c>
      <c r="G73" s="266">
        <v>26</v>
      </c>
      <c r="H73" s="266">
        <v>28</v>
      </c>
      <c r="I73" s="266">
        <v>16</v>
      </c>
      <c r="J73" s="266">
        <v>21</v>
      </c>
      <c r="K73" s="266">
        <v>32</v>
      </c>
      <c r="L73" s="266">
        <v>19</v>
      </c>
      <c r="M73" s="266">
        <v>32</v>
      </c>
      <c r="N73" s="266">
        <v>25</v>
      </c>
      <c r="O73" s="266">
        <v>20</v>
      </c>
      <c r="P73" s="266">
        <f t="shared" si="3"/>
        <v>326</v>
      </c>
    </row>
    <row r="74" spans="1:16" x14ac:dyDescent="0.3">
      <c r="A74" s="449" t="s">
        <v>182</v>
      </c>
      <c r="B74" s="532" t="s">
        <v>183</v>
      </c>
      <c r="C74" s="532" t="s">
        <v>254</v>
      </c>
      <c r="D74" s="266">
        <v>4</v>
      </c>
      <c r="E74" s="266">
        <v>9</v>
      </c>
      <c r="F74" s="266">
        <v>6</v>
      </c>
      <c r="G74" s="266">
        <v>9</v>
      </c>
      <c r="H74" s="266">
        <v>17</v>
      </c>
      <c r="I74" s="266">
        <v>5</v>
      </c>
      <c r="J74" s="266">
        <v>6</v>
      </c>
      <c r="K74" s="266">
        <v>7</v>
      </c>
      <c r="L74" s="266">
        <v>6</v>
      </c>
      <c r="M74" s="266">
        <v>7</v>
      </c>
      <c r="N74" s="266">
        <v>8</v>
      </c>
      <c r="O74" s="266">
        <v>10</v>
      </c>
      <c r="P74" s="266">
        <f t="shared" si="3"/>
        <v>94</v>
      </c>
    </row>
    <row r="75" spans="1:16" x14ac:dyDescent="0.3">
      <c r="A75" s="449" t="s">
        <v>184</v>
      </c>
      <c r="B75" s="532" t="s">
        <v>185</v>
      </c>
      <c r="C75" s="532" t="s">
        <v>254</v>
      </c>
      <c r="D75" s="266">
        <v>11</v>
      </c>
      <c r="E75" s="266">
        <v>20</v>
      </c>
      <c r="F75" s="266">
        <v>8</v>
      </c>
      <c r="G75" s="266">
        <v>9</v>
      </c>
      <c r="H75" s="266">
        <v>6</v>
      </c>
      <c r="I75" s="266">
        <v>19</v>
      </c>
      <c r="J75" s="266">
        <v>15</v>
      </c>
      <c r="K75" s="266">
        <v>17</v>
      </c>
      <c r="L75" s="266">
        <v>5</v>
      </c>
      <c r="M75" s="266">
        <v>9</v>
      </c>
      <c r="N75" s="266">
        <v>19</v>
      </c>
      <c r="O75" s="266">
        <v>16</v>
      </c>
      <c r="P75" s="266">
        <f t="shared" si="3"/>
        <v>154</v>
      </c>
    </row>
    <row r="76" spans="1:16" x14ac:dyDescent="0.3">
      <c r="A76" s="449" t="s">
        <v>186</v>
      </c>
      <c r="B76" s="532" t="s">
        <v>187</v>
      </c>
      <c r="C76" s="532" t="s">
        <v>252</v>
      </c>
      <c r="D76" s="266">
        <v>20</v>
      </c>
      <c r="E76" s="266">
        <v>24</v>
      </c>
      <c r="F76" s="266">
        <v>19</v>
      </c>
      <c r="G76" s="266">
        <v>36</v>
      </c>
      <c r="H76" s="266">
        <v>26</v>
      </c>
      <c r="I76" s="266">
        <v>20</v>
      </c>
      <c r="J76" s="266">
        <v>18</v>
      </c>
      <c r="K76" s="266">
        <v>18</v>
      </c>
      <c r="L76" s="266">
        <v>20</v>
      </c>
      <c r="M76" s="266">
        <v>16</v>
      </c>
      <c r="N76" s="266">
        <v>18</v>
      </c>
      <c r="O76" s="266">
        <v>7</v>
      </c>
      <c r="P76" s="266">
        <f t="shared" si="3"/>
        <v>242</v>
      </c>
    </row>
    <row r="77" spans="1:16" x14ac:dyDescent="0.3">
      <c r="A77" s="449" t="s">
        <v>188</v>
      </c>
      <c r="B77" s="532" t="s">
        <v>189</v>
      </c>
      <c r="C77" s="532" t="s">
        <v>255</v>
      </c>
      <c r="D77" s="266">
        <v>194</v>
      </c>
      <c r="E77" s="266">
        <v>277</v>
      </c>
      <c r="F77" s="266">
        <v>241</v>
      </c>
      <c r="G77" s="266">
        <v>224</v>
      </c>
      <c r="H77" s="266">
        <v>210</v>
      </c>
      <c r="I77" s="266">
        <v>180</v>
      </c>
      <c r="J77" s="266">
        <v>224</v>
      </c>
      <c r="K77" s="266">
        <v>211</v>
      </c>
      <c r="L77" s="266">
        <v>182</v>
      </c>
      <c r="M77" s="266">
        <v>154</v>
      </c>
      <c r="N77" s="266">
        <v>214</v>
      </c>
      <c r="O77" s="266">
        <v>201</v>
      </c>
      <c r="P77" s="266">
        <f t="shared" si="3"/>
        <v>2512</v>
      </c>
    </row>
    <row r="78" spans="1:16" x14ac:dyDescent="0.3">
      <c r="A78" s="449" t="s">
        <v>190</v>
      </c>
      <c r="B78" s="532" t="s">
        <v>191</v>
      </c>
      <c r="C78" s="532" t="s">
        <v>256</v>
      </c>
      <c r="D78" s="266">
        <v>16</v>
      </c>
      <c r="E78" s="266">
        <v>24</v>
      </c>
      <c r="F78" s="266">
        <v>17</v>
      </c>
      <c r="G78" s="266">
        <v>22</v>
      </c>
      <c r="H78" s="266">
        <v>15</v>
      </c>
      <c r="I78" s="266">
        <v>23</v>
      </c>
      <c r="J78" s="266">
        <v>12</v>
      </c>
      <c r="K78" s="266">
        <v>17</v>
      </c>
      <c r="L78" s="266">
        <v>20</v>
      </c>
      <c r="M78" s="266">
        <v>20</v>
      </c>
      <c r="N78" s="266">
        <v>14</v>
      </c>
      <c r="O78" s="266">
        <v>15</v>
      </c>
      <c r="P78" s="266">
        <f t="shared" si="3"/>
        <v>215</v>
      </c>
    </row>
    <row r="79" spans="1:16" x14ac:dyDescent="0.3">
      <c r="A79" s="449" t="s">
        <v>194</v>
      </c>
      <c r="B79" s="532" t="s">
        <v>195</v>
      </c>
      <c r="C79" s="532" t="s">
        <v>255</v>
      </c>
      <c r="D79" s="266">
        <v>1</v>
      </c>
      <c r="E79" s="266">
        <v>1</v>
      </c>
      <c r="F79" s="266">
        <v>1</v>
      </c>
      <c r="G79" s="266">
        <v>2</v>
      </c>
      <c r="H79" s="266">
        <v>1</v>
      </c>
      <c r="I79" s="266">
        <v>1</v>
      </c>
      <c r="J79" s="266">
        <v>3</v>
      </c>
      <c r="K79" s="266">
        <v>2</v>
      </c>
      <c r="L79" s="266">
        <v>3</v>
      </c>
      <c r="M79" s="266">
        <v>3</v>
      </c>
      <c r="N79" s="266">
        <v>4</v>
      </c>
      <c r="O79" s="266">
        <v>1</v>
      </c>
      <c r="P79" s="266">
        <f t="shared" si="3"/>
        <v>23</v>
      </c>
    </row>
    <row r="80" spans="1:16" x14ac:dyDescent="0.3">
      <c r="A80" s="449" t="s">
        <v>198</v>
      </c>
      <c r="B80" s="532" t="s">
        <v>260</v>
      </c>
      <c r="C80" s="532" t="s">
        <v>254</v>
      </c>
      <c r="D80" s="266">
        <v>5</v>
      </c>
      <c r="E80" s="266">
        <v>4</v>
      </c>
      <c r="F80" s="266">
        <v>9</v>
      </c>
      <c r="G80" s="266">
        <v>6</v>
      </c>
      <c r="H80" s="266">
        <v>2</v>
      </c>
      <c r="I80" s="266">
        <v>3</v>
      </c>
      <c r="J80" s="266">
        <v>2</v>
      </c>
      <c r="K80" s="266">
        <v>3</v>
      </c>
      <c r="L80" s="266">
        <v>1</v>
      </c>
      <c r="M80" s="266">
        <v>4</v>
      </c>
      <c r="N80" s="266">
        <v>4</v>
      </c>
      <c r="O80" s="266">
        <v>1</v>
      </c>
      <c r="P80" s="266">
        <f t="shared" si="3"/>
        <v>44</v>
      </c>
    </row>
    <row r="81" spans="1:16" x14ac:dyDescent="0.3">
      <c r="A81" s="449" t="s">
        <v>202</v>
      </c>
      <c r="B81" s="532" t="s">
        <v>289</v>
      </c>
      <c r="C81" s="532" t="s">
        <v>253</v>
      </c>
      <c r="D81" s="266">
        <v>47</v>
      </c>
      <c r="E81" s="266">
        <v>63</v>
      </c>
      <c r="F81" s="266">
        <v>38</v>
      </c>
      <c r="G81" s="266">
        <v>50</v>
      </c>
      <c r="H81" s="266">
        <v>62</v>
      </c>
      <c r="I81" s="266">
        <v>40</v>
      </c>
      <c r="J81" s="266">
        <v>62</v>
      </c>
      <c r="K81" s="266">
        <v>50</v>
      </c>
      <c r="L81" s="266">
        <v>31</v>
      </c>
      <c r="M81" s="266">
        <v>45</v>
      </c>
      <c r="N81" s="266">
        <v>57</v>
      </c>
      <c r="O81" s="266">
        <v>49</v>
      </c>
      <c r="P81" s="266">
        <f t="shared" si="3"/>
        <v>594</v>
      </c>
    </row>
    <row r="82" spans="1:16" x14ac:dyDescent="0.3">
      <c r="A82" s="449" t="s">
        <v>204</v>
      </c>
      <c r="B82" s="532" t="s">
        <v>281</v>
      </c>
      <c r="C82" s="532" t="s">
        <v>253</v>
      </c>
      <c r="D82" s="266">
        <v>16</v>
      </c>
      <c r="E82" s="266">
        <v>21</v>
      </c>
      <c r="F82" s="266">
        <v>19</v>
      </c>
      <c r="G82" s="266">
        <v>17</v>
      </c>
      <c r="H82" s="266">
        <v>17</v>
      </c>
      <c r="I82" s="266">
        <v>21</v>
      </c>
      <c r="J82" s="266">
        <v>16</v>
      </c>
      <c r="K82" s="266">
        <v>16</v>
      </c>
      <c r="L82" s="266">
        <v>14</v>
      </c>
      <c r="M82" s="266">
        <v>12</v>
      </c>
      <c r="N82" s="266">
        <v>9</v>
      </c>
      <c r="O82" s="266">
        <v>15</v>
      </c>
      <c r="P82" s="266">
        <f t="shared" si="3"/>
        <v>193</v>
      </c>
    </row>
    <row r="83" spans="1:16" x14ac:dyDescent="0.3">
      <c r="A83" s="449" t="s">
        <v>206</v>
      </c>
      <c r="B83" s="532" t="s">
        <v>282</v>
      </c>
      <c r="C83" s="532" t="s">
        <v>255</v>
      </c>
      <c r="D83" s="266">
        <v>66</v>
      </c>
      <c r="E83" s="266">
        <v>72</v>
      </c>
      <c r="F83" s="266">
        <v>59</v>
      </c>
      <c r="G83" s="266">
        <v>69</v>
      </c>
      <c r="H83" s="266">
        <v>54</v>
      </c>
      <c r="I83" s="266">
        <v>64</v>
      </c>
      <c r="J83" s="266">
        <v>65</v>
      </c>
      <c r="K83" s="266">
        <v>62</v>
      </c>
      <c r="L83" s="266">
        <v>53</v>
      </c>
      <c r="M83" s="266">
        <v>69</v>
      </c>
      <c r="N83" s="266">
        <v>64</v>
      </c>
      <c r="O83" s="266">
        <v>56</v>
      </c>
      <c r="P83" s="266">
        <f t="shared" si="3"/>
        <v>753</v>
      </c>
    </row>
    <row r="84" spans="1:16" x14ac:dyDescent="0.3">
      <c r="A84" s="449" t="s">
        <v>208</v>
      </c>
      <c r="B84" s="532" t="s">
        <v>209</v>
      </c>
      <c r="C84" s="532" t="s">
        <v>256</v>
      </c>
      <c r="D84" s="266">
        <v>13</v>
      </c>
      <c r="E84" s="266">
        <v>9</v>
      </c>
      <c r="F84" s="266">
        <v>12</v>
      </c>
      <c r="G84" s="266">
        <v>7</v>
      </c>
      <c r="H84" s="266">
        <v>14</v>
      </c>
      <c r="I84" s="266">
        <v>17</v>
      </c>
      <c r="J84" s="266">
        <v>14</v>
      </c>
      <c r="K84" s="266">
        <v>13</v>
      </c>
      <c r="L84" s="266">
        <v>10</v>
      </c>
      <c r="M84" s="266">
        <v>7</v>
      </c>
      <c r="N84" s="266">
        <v>10</v>
      </c>
      <c r="O84" s="266">
        <v>13</v>
      </c>
      <c r="P84" s="266">
        <f t="shared" si="3"/>
        <v>139</v>
      </c>
    </row>
    <row r="85" spans="1:16" x14ac:dyDescent="0.3">
      <c r="A85" s="449" t="s">
        <v>210</v>
      </c>
      <c r="B85" s="532" t="s">
        <v>211</v>
      </c>
      <c r="C85" s="532" t="s">
        <v>256</v>
      </c>
      <c r="D85" s="266">
        <v>8</v>
      </c>
      <c r="E85" s="266">
        <v>15</v>
      </c>
      <c r="F85" s="266">
        <v>11</v>
      </c>
      <c r="G85" s="266">
        <v>7</v>
      </c>
      <c r="H85" s="266">
        <v>11</v>
      </c>
      <c r="I85" s="266">
        <v>15</v>
      </c>
      <c r="J85" s="266">
        <v>7</v>
      </c>
      <c r="K85" s="266">
        <v>10</v>
      </c>
      <c r="L85" s="266">
        <v>7</v>
      </c>
      <c r="M85" s="266">
        <v>5</v>
      </c>
      <c r="N85" s="266">
        <v>8</v>
      </c>
      <c r="O85" s="266">
        <v>8</v>
      </c>
      <c r="P85" s="266">
        <f t="shared" si="3"/>
        <v>112</v>
      </c>
    </row>
    <row r="86" spans="1:16" x14ac:dyDescent="0.3">
      <c r="A86" s="449" t="s">
        <v>212</v>
      </c>
      <c r="B86" s="532" t="s">
        <v>213</v>
      </c>
      <c r="C86" s="532" t="s">
        <v>255</v>
      </c>
      <c r="D86" s="266">
        <v>23</v>
      </c>
      <c r="E86" s="266">
        <v>44</v>
      </c>
      <c r="F86" s="266">
        <v>34</v>
      </c>
      <c r="G86" s="266">
        <v>34</v>
      </c>
      <c r="H86" s="266">
        <v>34</v>
      </c>
      <c r="I86" s="266">
        <v>26</v>
      </c>
      <c r="J86" s="266">
        <v>41</v>
      </c>
      <c r="K86" s="266">
        <v>40</v>
      </c>
      <c r="L86" s="266">
        <v>35</v>
      </c>
      <c r="M86" s="266">
        <v>26</v>
      </c>
      <c r="N86" s="266">
        <v>28</v>
      </c>
      <c r="O86" s="266">
        <v>24</v>
      </c>
      <c r="P86" s="266">
        <f t="shared" si="3"/>
        <v>389</v>
      </c>
    </row>
    <row r="87" spans="1:16" x14ac:dyDescent="0.3">
      <c r="A87" s="449" t="s">
        <v>214</v>
      </c>
      <c r="B87" s="532" t="s">
        <v>215</v>
      </c>
      <c r="C87" s="532" t="s">
        <v>256</v>
      </c>
      <c r="D87" s="266">
        <v>25</v>
      </c>
      <c r="E87" s="266">
        <v>31</v>
      </c>
      <c r="F87" s="266">
        <v>26</v>
      </c>
      <c r="G87" s="266">
        <v>13</v>
      </c>
      <c r="H87" s="266">
        <v>20</v>
      </c>
      <c r="I87" s="266">
        <v>27</v>
      </c>
      <c r="J87" s="266">
        <v>20</v>
      </c>
      <c r="K87" s="266">
        <v>16</v>
      </c>
      <c r="L87" s="266">
        <v>22</v>
      </c>
      <c r="M87" s="266">
        <v>27</v>
      </c>
      <c r="N87" s="266">
        <v>20</v>
      </c>
      <c r="O87" s="266">
        <v>19</v>
      </c>
      <c r="P87" s="266">
        <f t="shared" si="3"/>
        <v>266</v>
      </c>
    </row>
    <row r="88" spans="1:16" x14ac:dyDescent="0.3">
      <c r="A88" s="449" t="s">
        <v>216</v>
      </c>
      <c r="B88" s="532" t="s">
        <v>217</v>
      </c>
      <c r="C88" s="532" t="s">
        <v>252</v>
      </c>
      <c r="D88" s="266">
        <v>11</v>
      </c>
      <c r="E88" s="266">
        <v>14</v>
      </c>
      <c r="F88" s="266">
        <v>14</v>
      </c>
      <c r="G88" s="266">
        <v>6</v>
      </c>
      <c r="H88" s="266">
        <v>7</v>
      </c>
      <c r="I88" s="266">
        <v>9</v>
      </c>
      <c r="J88" s="266">
        <v>14</v>
      </c>
      <c r="K88" s="266">
        <v>11</v>
      </c>
      <c r="L88" s="266">
        <v>11</v>
      </c>
      <c r="M88" s="266">
        <v>4</v>
      </c>
      <c r="N88" s="266">
        <v>13</v>
      </c>
      <c r="O88" s="266">
        <v>14</v>
      </c>
      <c r="P88" s="266">
        <f t="shared" si="3"/>
        <v>128</v>
      </c>
    </row>
    <row r="89" spans="1:16" x14ac:dyDescent="0.3">
      <c r="A89" s="449" t="s">
        <v>218</v>
      </c>
      <c r="B89" s="532" t="s">
        <v>219</v>
      </c>
      <c r="C89" s="532" t="s">
        <v>255</v>
      </c>
      <c r="D89" s="266">
        <v>81</v>
      </c>
      <c r="E89" s="266">
        <v>92</v>
      </c>
      <c r="F89" s="266">
        <v>69</v>
      </c>
      <c r="G89" s="266">
        <v>86</v>
      </c>
      <c r="H89" s="266">
        <v>99</v>
      </c>
      <c r="I89" s="266">
        <v>65</v>
      </c>
      <c r="J89" s="266">
        <v>85</v>
      </c>
      <c r="K89" s="266">
        <v>88</v>
      </c>
      <c r="L89" s="266">
        <v>63</v>
      </c>
      <c r="M89" s="266">
        <v>74</v>
      </c>
      <c r="N89" s="266">
        <v>68</v>
      </c>
      <c r="O89" s="266">
        <v>76</v>
      </c>
      <c r="P89" s="266">
        <f t="shared" si="3"/>
        <v>946</v>
      </c>
    </row>
    <row r="90" spans="1:16" x14ac:dyDescent="0.3">
      <c r="A90" s="449" t="s">
        <v>220</v>
      </c>
      <c r="B90" s="532" t="s">
        <v>221</v>
      </c>
      <c r="C90" s="532" t="s">
        <v>255</v>
      </c>
      <c r="D90" s="266">
        <v>63</v>
      </c>
      <c r="E90" s="266">
        <v>74</v>
      </c>
      <c r="F90" s="266">
        <v>88</v>
      </c>
      <c r="G90" s="266">
        <v>78</v>
      </c>
      <c r="H90" s="266">
        <v>99</v>
      </c>
      <c r="I90" s="266">
        <v>64</v>
      </c>
      <c r="J90" s="266">
        <v>87</v>
      </c>
      <c r="K90" s="266">
        <v>87</v>
      </c>
      <c r="L90" s="266">
        <v>67</v>
      </c>
      <c r="M90" s="266">
        <v>79</v>
      </c>
      <c r="N90" s="266">
        <v>65</v>
      </c>
      <c r="O90" s="266">
        <v>57</v>
      </c>
      <c r="P90" s="266">
        <f t="shared" si="3"/>
        <v>908</v>
      </c>
    </row>
    <row r="91" spans="1:16" x14ac:dyDescent="0.3">
      <c r="A91" s="449" t="s">
        <v>224</v>
      </c>
      <c r="B91" s="532" t="s">
        <v>225</v>
      </c>
      <c r="C91" s="532" t="s">
        <v>252</v>
      </c>
      <c r="D91" s="266">
        <v>5</v>
      </c>
      <c r="E91" s="266">
        <v>7</v>
      </c>
      <c r="F91" s="266">
        <v>2</v>
      </c>
      <c r="G91" s="266">
        <v>6</v>
      </c>
      <c r="H91" s="266">
        <v>4</v>
      </c>
      <c r="I91" s="266">
        <v>1</v>
      </c>
      <c r="J91" s="266">
        <v>6</v>
      </c>
      <c r="K91" s="266">
        <v>2</v>
      </c>
      <c r="L91" s="266">
        <v>2</v>
      </c>
      <c r="M91" s="266"/>
      <c r="N91" s="266">
        <v>5</v>
      </c>
      <c r="O91" s="266">
        <v>4</v>
      </c>
      <c r="P91" s="266">
        <f t="shared" si="3"/>
        <v>44</v>
      </c>
    </row>
    <row r="92" spans="1:16" x14ac:dyDescent="0.3">
      <c r="A92" s="449" t="s">
        <v>226</v>
      </c>
      <c r="B92" s="532" t="s">
        <v>227</v>
      </c>
      <c r="C92" s="532" t="s">
        <v>252</v>
      </c>
      <c r="D92" s="266">
        <v>6</v>
      </c>
      <c r="E92" s="266">
        <v>15</v>
      </c>
      <c r="F92" s="266">
        <v>11</v>
      </c>
      <c r="G92" s="266">
        <v>13</v>
      </c>
      <c r="H92" s="266">
        <v>13</v>
      </c>
      <c r="I92" s="266">
        <v>10</v>
      </c>
      <c r="J92" s="266">
        <v>10</v>
      </c>
      <c r="K92" s="266">
        <v>9</v>
      </c>
      <c r="L92" s="266">
        <v>6</v>
      </c>
      <c r="M92" s="266">
        <v>15</v>
      </c>
      <c r="N92" s="266">
        <v>15</v>
      </c>
      <c r="O92" s="266">
        <v>16</v>
      </c>
      <c r="P92" s="266">
        <f t="shared" si="3"/>
        <v>139</v>
      </c>
    </row>
    <row r="93" spans="1:16" x14ac:dyDescent="0.3">
      <c r="A93" s="449" t="s">
        <v>228</v>
      </c>
      <c r="B93" s="532" t="s">
        <v>229</v>
      </c>
      <c r="C93" s="532" t="s">
        <v>256</v>
      </c>
      <c r="D93" s="266">
        <v>30</v>
      </c>
      <c r="E93" s="266">
        <v>39</v>
      </c>
      <c r="F93" s="266">
        <v>26</v>
      </c>
      <c r="G93" s="266">
        <v>31</v>
      </c>
      <c r="H93" s="266">
        <v>19</v>
      </c>
      <c r="I93" s="266">
        <v>22</v>
      </c>
      <c r="J93" s="266">
        <v>22</v>
      </c>
      <c r="K93" s="266">
        <v>12</v>
      </c>
      <c r="L93" s="266">
        <v>17</v>
      </c>
      <c r="M93" s="266">
        <v>29</v>
      </c>
      <c r="N93" s="266">
        <v>28</v>
      </c>
      <c r="O93" s="266">
        <v>21</v>
      </c>
      <c r="P93" s="266">
        <f t="shared" si="3"/>
        <v>296</v>
      </c>
    </row>
    <row r="94" spans="1:16" x14ac:dyDescent="0.3">
      <c r="A94" s="449" t="s">
        <v>232</v>
      </c>
      <c r="B94" s="532" t="s">
        <v>233</v>
      </c>
      <c r="C94" s="532" t="s">
        <v>255</v>
      </c>
      <c r="D94" s="266">
        <v>16</v>
      </c>
      <c r="E94" s="266">
        <v>24</v>
      </c>
      <c r="F94" s="266">
        <v>32</v>
      </c>
      <c r="G94" s="266">
        <v>22</v>
      </c>
      <c r="H94" s="266">
        <v>23</v>
      </c>
      <c r="I94" s="266">
        <v>26</v>
      </c>
      <c r="J94" s="266">
        <v>14</v>
      </c>
      <c r="K94" s="266">
        <v>21</v>
      </c>
      <c r="L94" s="266">
        <v>23</v>
      </c>
      <c r="M94" s="266">
        <v>18</v>
      </c>
      <c r="N94" s="266">
        <v>25</v>
      </c>
      <c r="O94" s="266">
        <v>14</v>
      </c>
      <c r="P94" s="266">
        <f t="shared" si="3"/>
        <v>258</v>
      </c>
    </row>
    <row r="95" spans="1:16" x14ac:dyDescent="0.3">
      <c r="A95" s="449" t="s">
        <v>234</v>
      </c>
      <c r="B95" s="532" t="s">
        <v>235</v>
      </c>
      <c r="C95" s="532" t="s">
        <v>256</v>
      </c>
      <c r="D95" s="266">
        <v>40</v>
      </c>
      <c r="E95" s="266">
        <v>44</v>
      </c>
      <c r="F95" s="266">
        <v>28</v>
      </c>
      <c r="G95" s="266">
        <v>28</v>
      </c>
      <c r="H95" s="266">
        <v>27</v>
      </c>
      <c r="I95" s="266">
        <v>43</v>
      </c>
      <c r="J95" s="266">
        <v>35</v>
      </c>
      <c r="K95" s="266">
        <v>24</v>
      </c>
      <c r="L95" s="266">
        <v>32</v>
      </c>
      <c r="M95" s="266">
        <v>22</v>
      </c>
      <c r="N95" s="266">
        <v>40</v>
      </c>
      <c r="O95" s="266">
        <v>34</v>
      </c>
      <c r="P95" s="266">
        <f t="shared" si="3"/>
        <v>397</v>
      </c>
    </row>
    <row r="96" spans="1:16" x14ac:dyDescent="0.3">
      <c r="A96" s="449" t="s">
        <v>236</v>
      </c>
      <c r="B96" s="532" t="s">
        <v>237</v>
      </c>
      <c r="C96" s="532" t="s">
        <v>254</v>
      </c>
      <c r="D96" s="266">
        <v>12</v>
      </c>
      <c r="E96" s="266">
        <v>17</v>
      </c>
      <c r="F96" s="266">
        <v>14</v>
      </c>
      <c r="G96" s="266">
        <v>8</v>
      </c>
      <c r="H96" s="266">
        <v>21</v>
      </c>
      <c r="I96" s="266">
        <v>15</v>
      </c>
      <c r="J96" s="266">
        <v>15</v>
      </c>
      <c r="K96" s="266">
        <v>12</v>
      </c>
      <c r="L96" s="266">
        <v>16</v>
      </c>
      <c r="M96" s="266">
        <v>2</v>
      </c>
      <c r="N96" s="266">
        <v>14</v>
      </c>
      <c r="O96" s="266">
        <v>12</v>
      </c>
      <c r="P96" s="266">
        <f t="shared" si="3"/>
        <v>158</v>
      </c>
    </row>
    <row r="97" spans="1:16" x14ac:dyDescent="0.3">
      <c r="A97" s="449" t="s">
        <v>242</v>
      </c>
      <c r="B97" s="532" t="s">
        <v>243</v>
      </c>
      <c r="C97" s="532" t="s">
        <v>256</v>
      </c>
      <c r="D97" s="266">
        <v>33</v>
      </c>
      <c r="E97" s="266">
        <v>34</v>
      </c>
      <c r="F97" s="266">
        <v>23</v>
      </c>
      <c r="G97" s="266">
        <v>26</v>
      </c>
      <c r="H97" s="266">
        <v>33</v>
      </c>
      <c r="I97" s="266">
        <v>24</v>
      </c>
      <c r="J97" s="266">
        <v>33</v>
      </c>
      <c r="K97" s="266">
        <v>29</v>
      </c>
      <c r="L97" s="266">
        <v>25</v>
      </c>
      <c r="M97" s="266">
        <v>32</v>
      </c>
      <c r="N97" s="266">
        <v>24</v>
      </c>
      <c r="O97" s="266">
        <v>30</v>
      </c>
      <c r="P97" s="266">
        <f t="shared" si="3"/>
        <v>346</v>
      </c>
    </row>
    <row r="98" spans="1:16" x14ac:dyDescent="0.3">
      <c r="A98" s="449" t="s">
        <v>244</v>
      </c>
      <c r="B98" s="532" t="s">
        <v>245</v>
      </c>
      <c r="C98" s="532" t="s">
        <v>256</v>
      </c>
      <c r="D98" s="266">
        <v>31</v>
      </c>
      <c r="E98" s="266">
        <v>14</v>
      </c>
      <c r="F98" s="266">
        <v>19</v>
      </c>
      <c r="G98" s="266">
        <v>18</v>
      </c>
      <c r="H98" s="266">
        <v>28</v>
      </c>
      <c r="I98" s="266">
        <v>16</v>
      </c>
      <c r="J98" s="266">
        <v>14</v>
      </c>
      <c r="K98" s="266">
        <v>7</v>
      </c>
      <c r="L98" s="266">
        <v>9</v>
      </c>
      <c r="M98" s="266">
        <v>17</v>
      </c>
      <c r="N98" s="266">
        <v>12</v>
      </c>
      <c r="O98" s="266">
        <v>6</v>
      </c>
      <c r="P98" s="266">
        <f t="shared" si="3"/>
        <v>191</v>
      </c>
    </row>
    <row r="99" spans="1:16" x14ac:dyDescent="0.3">
      <c r="A99" s="449" t="s">
        <v>246</v>
      </c>
      <c r="B99" s="532" t="s">
        <v>247</v>
      </c>
      <c r="C99" s="532" t="s">
        <v>252</v>
      </c>
      <c r="D99" s="266">
        <v>19</v>
      </c>
      <c r="E99" s="266">
        <v>35</v>
      </c>
      <c r="F99" s="266">
        <v>23</v>
      </c>
      <c r="G99" s="266">
        <v>24</v>
      </c>
      <c r="H99" s="266">
        <v>19</v>
      </c>
      <c r="I99" s="266">
        <v>18</v>
      </c>
      <c r="J99" s="266">
        <v>31</v>
      </c>
      <c r="K99" s="266">
        <v>24</v>
      </c>
      <c r="L99" s="266">
        <v>25</v>
      </c>
      <c r="M99" s="266">
        <v>15</v>
      </c>
      <c r="N99" s="266">
        <v>18</v>
      </c>
      <c r="O99" s="266">
        <v>16</v>
      </c>
      <c r="P99" s="266">
        <f t="shared" si="3"/>
        <v>267</v>
      </c>
    </row>
    <row r="100" spans="1:16" x14ac:dyDescent="0.3">
      <c r="A100" s="449" t="s">
        <v>14</v>
      </c>
      <c r="B100" s="532" t="s">
        <v>15</v>
      </c>
      <c r="C100" s="532" t="s">
        <v>255</v>
      </c>
      <c r="D100" s="266">
        <v>72</v>
      </c>
      <c r="E100" s="266">
        <v>87</v>
      </c>
      <c r="F100" s="266">
        <v>66</v>
      </c>
      <c r="G100" s="266">
        <v>95</v>
      </c>
      <c r="H100" s="266">
        <v>68</v>
      </c>
      <c r="I100" s="266">
        <v>55</v>
      </c>
      <c r="J100" s="266">
        <v>65</v>
      </c>
      <c r="K100" s="266">
        <v>44</v>
      </c>
      <c r="L100" s="266">
        <v>92</v>
      </c>
      <c r="M100" s="266">
        <v>72</v>
      </c>
      <c r="N100" s="266">
        <v>74</v>
      </c>
      <c r="O100" s="266">
        <v>58</v>
      </c>
      <c r="P100" s="266">
        <f t="shared" si="3"/>
        <v>848</v>
      </c>
    </row>
    <row r="101" spans="1:16" x14ac:dyDescent="0.3">
      <c r="A101" s="449" t="s">
        <v>34</v>
      </c>
      <c r="B101" s="532" t="s">
        <v>35</v>
      </c>
      <c r="C101" s="532" t="s">
        <v>256</v>
      </c>
      <c r="D101" s="266">
        <v>28</v>
      </c>
      <c r="E101" s="266">
        <v>21</v>
      </c>
      <c r="F101" s="266">
        <v>29</v>
      </c>
      <c r="G101" s="266">
        <v>30</v>
      </c>
      <c r="H101" s="266">
        <v>28</v>
      </c>
      <c r="I101" s="266">
        <v>20</v>
      </c>
      <c r="J101" s="266">
        <v>21</v>
      </c>
      <c r="K101" s="266">
        <v>16</v>
      </c>
      <c r="L101" s="266">
        <v>26</v>
      </c>
      <c r="M101" s="266">
        <v>23</v>
      </c>
      <c r="N101" s="266">
        <v>20</v>
      </c>
      <c r="O101" s="266">
        <v>23</v>
      </c>
      <c r="P101" s="266">
        <f t="shared" ref="P101:P124" si="4">SUM(D101:O101)</f>
        <v>285</v>
      </c>
    </row>
    <row r="102" spans="1:16" x14ac:dyDescent="0.3">
      <c r="A102" s="449" t="s">
        <v>52</v>
      </c>
      <c r="B102" s="532" t="s">
        <v>53</v>
      </c>
      <c r="C102" s="532" t="s">
        <v>253</v>
      </c>
      <c r="D102" s="266">
        <v>29</v>
      </c>
      <c r="E102" s="266">
        <v>38</v>
      </c>
      <c r="F102" s="266">
        <v>30</v>
      </c>
      <c r="G102" s="266">
        <v>28</v>
      </c>
      <c r="H102" s="266">
        <v>28</v>
      </c>
      <c r="I102" s="266">
        <v>26</v>
      </c>
      <c r="J102" s="266">
        <v>19</v>
      </c>
      <c r="K102" s="266">
        <v>31</v>
      </c>
      <c r="L102" s="266">
        <v>18</v>
      </c>
      <c r="M102" s="266">
        <v>14</v>
      </c>
      <c r="N102" s="266">
        <v>19</v>
      </c>
      <c r="O102" s="266">
        <v>18</v>
      </c>
      <c r="P102" s="266">
        <f t="shared" si="4"/>
        <v>298</v>
      </c>
    </row>
    <row r="103" spans="1:16" x14ac:dyDescent="0.3">
      <c r="A103" s="449" t="s">
        <v>54</v>
      </c>
      <c r="B103" s="532" t="s">
        <v>55</v>
      </c>
      <c r="C103" s="532" t="s">
        <v>252</v>
      </c>
      <c r="D103" s="266">
        <v>136</v>
      </c>
      <c r="E103" s="266">
        <v>148</v>
      </c>
      <c r="F103" s="266">
        <v>120</v>
      </c>
      <c r="G103" s="266">
        <v>149</v>
      </c>
      <c r="H103" s="266">
        <v>164</v>
      </c>
      <c r="I103" s="266">
        <v>115</v>
      </c>
      <c r="J103" s="266">
        <v>161</v>
      </c>
      <c r="K103" s="266">
        <v>143</v>
      </c>
      <c r="L103" s="266">
        <v>117</v>
      </c>
      <c r="M103" s="266">
        <v>128</v>
      </c>
      <c r="N103" s="266">
        <v>134</v>
      </c>
      <c r="O103" s="266">
        <v>136</v>
      </c>
      <c r="P103" s="266">
        <f t="shared" si="4"/>
        <v>1651</v>
      </c>
    </row>
    <row r="104" spans="1:16" x14ac:dyDescent="0.3">
      <c r="A104" s="449" t="s">
        <v>66</v>
      </c>
      <c r="B104" s="532" t="s">
        <v>67</v>
      </c>
      <c r="C104" s="532" t="s">
        <v>253</v>
      </c>
      <c r="D104" s="266">
        <v>52</v>
      </c>
      <c r="E104" s="266">
        <v>58</v>
      </c>
      <c r="F104" s="266">
        <v>32</v>
      </c>
      <c r="G104" s="266">
        <v>40</v>
      </c>
      <c r="H104" s="266">
        <v>31</v>
      </c>
      <c r="I104" s="266">
        <v>19</v>
      </c>
      <c r="J104" s="266">
        <v>31</v>
      </c>
      <c r="K104" s="266">
        <v>22</v>
      </c>
      <c r="L104" s="266">
        <v>30</v>
      </c>
      <c r="M104" s="266">
        <v>37</v>
      </c>
      <c r="N104" s="266">
        <v>34</v>
      </c>
      <c r="O104" s="266">
        <v>50</v>
      </c>
      <c r="P104" s="266">
        <f t="shared" si="4"/>
        <v>436</v>
      </c>
    </row>
    <row r="105" spans="1:16" x14ac:dyDescent="0.3">
      <c r="A105" s="449" t="s">
        <v>82</v>
      </c>
      <c r="B105" s="532" t="s">
        <v>83</v>
      </c>
      <c r="C105" s="532" t="s">
        <v>252</v>
      </c>
      <c r="D105" s="266">
        <v>15</v>
      </c>
      <c r="E105" s="266">
        <v>23</v>
      </c>
      <c r="F105" s="266">
        <v>12</v>
      </c>
      <c r="G105" s="266">
        <v>17</v>
      </c>
      <c r="H105" s="266">
        <v>16</v>
      </c>
      <c r="I105" s="266">
        <v>17</v>
      </c>
      <c r="J105" s="266">
        <v>14</v>
      </c>
      <c r="K105" s="266">
        <v>9</v>
      </c>
      <c r="L105" s="266">
        <v>10</v>
      </c>
      <c r="M105" s="266">
        <v>5</v>
      </c>
      <c r="N105" s="266">
        <v>12</v>
      </c>
      <c r="O105" s="266">
        <v>7</v>
      </c>
      <c r="P105" s="266">
        <f t="shared" si="4"/>
        <v>157</v>
      </c>
    </row>
    <row r="106" spans="1:16" x14ac:dyDescent="0.3">
      <c r="A106" s="449" t="s">
        <v>88</v>
      </c>
      <c r="B106" s="532" t="s">
        <v>89</v>
      </c>
      <c r="C106" s="532" t="s">
        <v>255</v>
      </c>
      <c r="D106" s="266">
        <v>29</v>
      </c>
      <c r="E106" s="266">
        <v>37</v>
      </c>
      <c r="F106" s="266">
        <v>24</v>
      </c>
      <c r="G106" s="266">
        <v>38</v>
      </c>
      <c r="H106" s="266">
        <v>26</v>
      </c>
      <c r="I106" s="266">
        <v>31</v>
      </c>
      <c r="J106" s="266">
        <v>28</v>
      </c>
      <c r="K106" s="266">
        <v>36</v>
      </c>
      <c r="L106" s="266">
        <v>21</v>
      </c>
      <c r="M106" s="266">
        <v>22</v>
      </c>
      <c r="N106" s="266">
        <v>24</v>
      </c>
      <c r="O106" s="266">
        <v>25</v>
      </c>
      <c r="P106" s="266">
        <f t="shared" si="4"/>
        <v>341</v>
      </c>
    </row>
    <row r="107" spans="1:16" x14ac:dyDescent="0.3">
      <c r="A107" s="449" t="s">
        <v>90</v>
      </c>
      <c r="B107" s="532" t="s">
        <v>91</v>
      </c>
      <c r="C107" s="532" t="s">
        <v>256</v>
      </c>
      <c r="D107" s="266"/>
      <c r="E107" s="266">
        <v>4</v>
      </c>
      <c r="F107" s="266">
        <v>1</v>
      </c>
      <c r="G107" s="266">
        <v>1</v>
      </c>
      <c r="H107" s="266">
        <v>1</v>
      </c>
      <c r="I107" s="266"/>
      <c r="J107" s="266">
        <v>1</v>
      </c>
      <c r="K107" s="266">
        <v>1</v>
      </c>
      <c r="L107" s="266">
        <v>2</v>
      </c>
      <c r="M107" s="266">
        <v>4</v>
      </c>
      <c r="N107" s="266">
        <v>2</v>
      </c>
      <c r="O107" s="266">
        <v>4</v>
      </c>
      <c r="P107" s="266">
        <f t="shared" si="4"/>
        <v>21</v>
      </c>
    </row>
    <row r="108" spans="1:16" x14ac:dyDescent="0.3">
      <c r="A108" s="449" t="s">
        <v>106</v>
      </c>
      <c r="B108" s="532" t="s">
        <v>107</v>
      </c>
      <c r="C108" s="532" t="s">
        <v>252</v>
      </c>
      <c r="D108" s="266">
        <v>111</v>
      </c>
      <c r="E108" s="266">
        <v>162</v>
      </c>
      <c r="F108" s="266">
        <v>113</v>
      </c>
      <c r="G108" s="266">
        <v>143</v>
      </c>
      <c r="H108" s="266">
        <v>136</v>
      </c>
      <c r="I108" s="266">
        <v>132</v>
      </c>
      <c r="J108" s="266">
        <v>120</v>
      </c>
      <c r="K108" s="266">
        <v>92</v>
      </c>
      <c r="L108" s="266">
        <v>70</v>
      </c>
      <c r="M108" s="266">
        <v>121</v>
      </c>
      <c r="N108" s="266">
        <v>129</v>
      </c>
      <c r="O108" s="266">
        <v>135</v>
      </c>
      <c r="P108" s="266">
        <f t="shared" si="4"/>
        <v>1464</v>
      </c>
    </row>
    <row r="109" spans="1:16" x14ac:dyDescent="0.3">
      <c r="A109" s="449" t="s">
        <v>116</v>
      </c>
      <c r="B109" s="532" t="s">
        <v>117</v>
      </c>
      <c r="C109" s="532" t="s">
        <v>254</v>
      </c>
      <c r="D109" s="266">
        <v>49</v>
      </c>
      <c r="E109" s="266">
        <v>36</v>
      </c>
      <c r="F109" s="266">
        <v>26</v>
      </c>
      <c r="G109" s="266">
        <v>28</v>
      </c>
      <c r="H109" s="266">
        <v>35</v>
      </c>
      <c r="I109" s="266">
        <v>25</v>
      </c>
      <c r="J109" s="266">
        <v>38</v>
      </c>
      <c r="K109" s="266">
        <v>35</v>
      </c>
      <c r="L109" s="266">
        <v>22</v>
      </c>
      <c r="M109" s="266">
        <v>27</v>
      </c>
      <c r="N109" s="266">
        <v>41</v>
      </c>
      <c r="O109" s="266">
        <v>43</v>
      </c>
      <c r="P109" s="266">
        <f t="shared" si="4"/>
        <v>405</v>
      </c>
    </row>
    <row r="110" spans="1:16" x14ac:dyDescent="0.3">
      <c r="A110" s="449" t="s">
        <v>138</v>
      </c>
      <c r="B110" s="532" t="s">
        <v>139</v>
      </c>
      <c r="C110" s="532" t="s">
        <v>253</v>
      </c>
      <c r="D110" s="266">
        <v>56</v>
      </c>
      <c r="E110" s="266">
        <v>71</v>
      </c>
      <c r="F110" s="266">
        <v>56</v>
      </c>
      <c r="G110" s="266">
        <v>58</v>
      </c>
      <c r="H110" s="266">
        <v>65</v>
      </c>
      <c r="I110" s="266">
        <v>56</v>
      </c>
      <c r="J110" s="266">
        <v>60</v>
      </c>
      <c r="K110" s="266">
        <v>48</v>
      </c>
      <c r="L110" s="266">
        <v>53</v>
      </c>
      <c r="M110" s="266">
        <v>56</v>
      </c>
      <c r="N110" s="266">
        <v>71</v>
      </c>
      <c r="O110" s="266">
        <v>68</v>
      </c>
      <c r="P110" s="266">
        <f t="shared" si="4"/>
        <v>718</v>
      </c>
    </row>
    <row r="111" spans="1:16" x14ac:dyDescent="0.3">
      <c r="A111" s="449" t="s">
        <v>142</v>
      </c>
      <c r="B111" s="532" t="s">
        <v>143</v>
      </c>
      <c r="C111" s="532" t="s">
        <v>255</v>
      </c>
      <c r="D111" s="266">
        <v>20</v>
      </c>
      <c r="E111" s="266">
        <v>28</v>
      </c>
      <c r="F111" s="266">
        <v>28</v>
      </c>
      <c r="G111" s="266">
        <v>26</v>
      </c>
      <c r="H111" s="266">
        <v>23</v>
      </c>
      <c r="I111" s="266">
        <v>22</v>
      </c>
      <c r="J111" s="266">
        <v>25</v>
      </c>
      <c r="K111" s="266">
        <v>18</v>
      </c>
      <c r="L111" s="266">
        <v>32</v>
      </c>
      <c r="M111" s="266">
        <v>22</v>
      </c>
      <c r="N111" s="266">
        <v>15</v>
      </c>
      <c r="O111" s="266">
        <v>21</v>
      </c>
      <c r="P111" s="266">
        <f t="shared" si="4"/>
        <v>280</v>
      </c>
    </row>
    <row r="112" spans="1:16" x14ac:dyDescent="0.3">
      <c r="A112" s="449" t="s">
        <v>144</v>
      </c>
      <c r="B112" s="532" t="s">
        <v>145</v>
      </c>
      <c r="C112" s="532" t="s">
        <v>255</v>
      </c>
      <c r="D112" s="266">
        <v>10</v>
      </c>
      <c r="E112" s="266">
        <v>7</v>
      </c>
      <c r="F112" s="266">
        <v>5</v>
      </c>
      <c r="G112" s="266">
        <v>5</v>
      </c>
      <c r="H112" s="266">
        <v>6</v>
      </c>
      <c r="I112" s="266">
        <v>4</v>
      </c>
      <c r="J112" s="266">
        <v>6</v>
      </c>
      <c r="K112" s="266">
        <v>4</v>
      </c>
      <c r="L112" s="266">
        <v>5</v>
      </c>
      <c r="M112" s="266">
        <v>7</v>
      </c>
      <c r="N112" s="266">
        <v>4</v>
      </c>
      <c r="O112" s="266">
        <v>4</v>
      </c>
      <c r="P112" s="266">
        <f t="shared" si="4"/>
        <v>67</v>
      </c>
    </row>
    <row r="113" spans="1:16" x14ac:dyDescent="0.3">
      <c r="A113" s="449" t="s">
        <v>158</v>
      </c>
      <c r="B113" s="532" t="s">
        <v>159</v>
      </c>
      <c r="C113" s="532" t="s">
        <v>252</v>
      </c>
      <c r="D113" s="266">
        <v>261</v>
      </c>
      <c r="E113" s="266">
        <v>346</v>
      </c>
      <c r="F113" s="266">
        <v>283</v>
      </c>
      <c r="G113" s="266">
        <v>263</v>
      </c>
      <c r="H113" s="266">
        <v>291</v>
      </c>
      <c r="I113" s="266">
        <v>243</v>
      </c>
      <c r="J113" s="266">
        <v>244</v>
      </c>
      <c r="K113" s="266">
        <v>208</v>
      </c>
      <c r="L113" s="266">
        <v>168</v>
      </c>
      <c r="M113" s="266">
        <v>208</v>
      </c>
      <c r="N113" s="266">
        <v>243</v>
      </c>
      <c r="O113" s="266">
        <v>202</v>
      </c>
      <c r="P113" s="266">
        <f t="shared" si="4"/>
        <v>2960</v>
      </c>
    </row>
    <row r="114" spans="1:16" x14ac:dyDescent="0.3">
      <c r="A114" s="449" t="s">
        <v>160</v>
      </c>
      <c r="B114" s="532" t="s">
        <v>161</v>
      </c>
      <c r="C114" s="532" t="s">
        <v>252</v>
      </c>
      <c r="D114" s="266">
        <v>220</v>
      </c>
      <c r="E114" s="266">
        <v>286</v>
      </c>
      <c r="F114" s="266">
        <v>218</v>
      </c>
      <c r="G114" s="266">
        <v>268</v>
      </c>
      <c r="H114" s="266">
        <v>281</v>
      </c>
      <c r="I114" s="266">
        <v>239</v>
      </c>
      <c r="J114" s="266">
        <v>216</v>
      </c>
      <c r="K114" s="266">
        <v>197</v>
      </c>
      <c r="L114" s="266">
        <v>178</v>
      </c>
      <c r="M114" s="266">
        <v>188</v>
      </c>
      <c r="N114" s="266">
        <v>230</v>
      </c>
      <c r="O114" s="266">
        <v>227</v>
      </c>
      <c r="P114" s="266">
        <f t="shared" si="4"/>
        <v>2748</v>
      </c>
    </row>
    <row r="115" spans="1:16" x14ac:dyDescent="0.3">
      <c r="A115" s="449" t="s">
        <v>166</v>
      </c>
      <c r="B115" s="532" t="s">
        <v>167</v>
      </c>
      <c r="C115" s="532" t="s">
        <v>256</v>
      </c>
      <c r="D115" s="266">
        <v>2</v>
      </c>
      <c r="E115" s="266">
        <v>4</v>
      </c>
      <c r="F115" s="266">
        <v>6</v>
      </c>
      <c r="G115" s="266">
        <v>5</v>
      </c>
      <c r="H115" s="266">
        <v>4</v>
      </c>
      <c r="I115" s="266">
        <v>2</v>
      </c>
      <c r="J115" s="266">
        <v>6</v>
      </c>
      <c r="K115" s="266">
        <v>4</v>
      </c>
      <c r="L115" s="266">
        <v>3</v>
      </c>
      <c r="M115" s="266">
        <v>3</v>
      </c>
      <c r="N115" s="266">
        <v>3</v>
      </c>
      <c r="O115" s="266">
        <v>5</v>
      </c>
      <c r="P115" s="266">
        <f t="shared" si="4"/>
        <v>47</v>
      </c>
    </row>
    <row r="116" spans="1:16" x14ac:dyDescent="0.3">
      <c r="A116" s="449" t="s">
        <v>176</v>
      </c>
      <c r="B116" s="532" t="s">
        <v>177</v>
      </c>
      <c r="C116" s="532" t="s">
        <v>254</v>
      </c>
      <c r="D116" s="266">
        <v>88</v>
      </c>
      <c r="E116" s="266">
        <v>91</v>
      </c>
      <c r="F116" s="266">
        <v>69</v>
      </c>
      <c r="G116" s="266">
        <v>76</v>
      </c>
      <c r="H116" s="266">
        <v>50</v>
      </c>
      <c r="I116" s="266">
        <v>47</v>
      </c>
      <c r="J116" s="266">
        <v>105</v>
      </c>
      <c r="K116" s="266">
        <v>36</v>
      </c>
      <c r="L116" s="266">
        <v>35</v>
      </c>
      <c r="M116" s="266">
        <v>52</v>
      </c>
      <c r="N116" s="266">
        <v>62</v>
      </c>
      <c r="O116" s="266">
        <v>44</v>
      </c>
      <c r="P116" s="266">
        <f t="shared" si="4"/>
        <v>755</v>
      </c>
    </row>
    <row r="117" spans="1:16" x14ac:dyDescent="0.3">
      <c r="A117" s="449" t="s">
        <v>180</v>
      </c>
      <c r="B117" s="532" t="s">
        <v>181</v>
      </c>
      <c r="C117" s="532" t="s">
        <v>252</v>
      </c>
      <c r="D117" s="266">
        <v>132</v>
      </c>
      <c r="E117" s="266">
        <v>148</v>
      </c>
      <c r="F117" s="266">
        <v>113</v>
      </c>
      <c r="G117" s="266">
        <v>117</v>
      </c>
      <c r="H117" s="266">
        <v>123</v>
      </c>
      <c r="I117" s="266">
        <v>112</v>
      </c>
      <c r="J117" s="266">
        <v>108</v>
      </c>
      <c r="K117" s="266">
        <v>102</v>
      </c>
      <c r="L117" s="266">
        <v>98</v>
      </c>
      <c r="M117" s="266">
        <v>80</v>
      </c>
      <c r="N117" s="266">
        <v>105</v>
      </c>
      <c r="O117" s="266">
        <v>107</v>
      </c>
      <c r="P117" s="266">
        <f t="shared" si="4"/>
        <v>1345</v>
      </c>
    </row>
    <row r="118" spans="1:16" x14ac:dyDescent="0.3">
      <c r="A118" s="449" t="s">
        <v>192</v>
      </c>
      <c r="B118" s="532" t="s">
        <v>193</v>
      </c>
      <c r="C118" s="532" t="s">
        <v>256</v>
      </c>
      <c r="D118" s="266">
        <v>5</v>
      </c>
      <c r="E118" s="266">
        <v>5</v>
      </c>
      <c r="F118" s="266">
        <v>8</v>
      </c>
      <c r="G118" s="266">
        <v>9</v>
      </c>
      <c r="H118" s="266">
        <v>6</v>
      </c>
      <c r="I118" s="266">
        <v>5</v>
      </c>
      <c r="J118" s="266">
        <v>3</v>
      </c>
      <c r="K118" s="266">
        <v>6</v>
      </c>
      <c r="L118" s="266">
        <v>8</v>
      </c>
      <c r="M118" s="266">
        <v>2</v>
      </c>
      <c r="N118" s="266">
        <v>5</v>
      </c>
      <c r="O118" s="266">
        <v>7</v>
      </c>
      <c r="P118" s="266">
        <f t="shared" si="4"/>
        <v>69</v>
      </c>
    </row>
    <row r="119" spans="1:16" x14ac:dyDescent="0.3">
      <c r="A119" s="449" t="s">
        <v>196</v>
      </c>
      <c r="B119" s="532" t="s">
        <v>197</v>
      </c>
      <c r="C119" s="532" t="s">
        <v>254</v>
      </c>
      <c r="D119" s="266">
        <v>230</v>
      </c>
      <c r="E119" s="266">
        <v>275</v>
      </c>
      <c r="F119" s="266">
        <v>211</v>
      </c>
      <c r="G119" s="266">
        <v>245</v>
      </c>
      <c r="H119" s="266">
        <v>222</v>
      </c>
      <c r="I119" s="266">
        <v>197</v>
      </c>
      <c r="J119" s="266">
        <v>245</v>
      </c>
      <c r="K119" s="266">
        <v>199</v>
      </c>
      <c r="L119" s="266">
        <v>201</v>
      </c>
      <c r="M119" s="266">
        <v>137</v>
      </c>
      <c r="N119" s="266">
        <v>224</v>
      </c>
      <c r="O119" s="266">
        <v>217</v>
      </c>
      <c r="P119" s="266">
        <f t="shared" si="4"/>
        <v>2603</v>
      </c>
    </row>
    <row r="120" spans="1:16" x14ac:dyDescent="0.3">
      <c r="A120" s="449" t="s">
        <v>200</v>
      </c>
      <c r="B120" s="532" t="s">
        <v>201</v>
      </c>
      <c r="C120" s="532" t="s">
        <v>253</v>
      </c>
      <c r="D120" s="266">
        <v>123</v>
      </c>
      <c r="E120" s="266">
        <v>126</v>
      </c>
      <c r="F120" s="266">
        <v>114</v>
      </c>
      <c r="G120" s="266">
        <v>112</v>
      </c>
      <c r="H120" s="266">
        <v>112</v>
      </c>
      <c r="I120" s="266">
        <v>102</v>
      </c>
      <c r="J120" s="266">
        <v>119</v>
      </c>
      <c r="K120" s="266">
        <v>93</v>
      </c>
      <c r="L120" s="266">
        <v>98</v>
      </c>
      <c r="M120" s="266">
        <v>100</v>
      </c>
      <c r="N120" s="266">
        <v>130</v>
      </c>
      <c r="O120" s="266">
        <v>114</v>
      </c>
      <c r="P120" s="266">
        <f t="shared" si="4"/>
        <v>1343</v>
      </c>
    </row>
    <row r="121" spans="1:16" x14ac:dyDescent="0.3">
      <c r="A121" s="449" t="s">
        <v>222</v>
      </c>
      <c r="B121" s="532" t="s">
        <v>223</v>
      </c>
      <c r="C121" s="532" t="s">
        <v>252</v>
      </c>
      <c r="D121" s="266">
        <v>53</v>
      </c>
      <c r="E121" s="266">
        <v>65</v>
      </c>
      <c r="F121" s="266">
        <v>49</v>
      </c>
      <c r="G121" s="266">
        <v>66</v>
      </c>
      <c r="H121" s="266">
        <v>57</v>
      </c>
      <c r="I121" s="266">
        <v>58</v>
      </c>
      <c r="J121" s="266">
        <v>61</v>
      </c>
      <c r="K121" s="266">
        <v>48</v>
      </c>
      <c r="L121" s="266">
        <v>39</v>
      </c>
      <c r="M121" s="266">
        <v>42</v>
      </c>
      <c r="N121" s="266">
        <v>72</v>
      </c>
      <c r="O121" s="266">
        <v>58</v>
      </c>
      <c r="P121" s="266">
        <f t="shared" si="4"/>
        <v>668</v>
      </c>
    </row>
    <row r="122" spans="1:16" x14ac:dyDescent="0.3">
      <c r="A122" s="449" t="s">
        <v>230</v>
      </c>
      <c r="B122" s="532" t="s">
        <v>231</v>
      </c>
      <c r="C122" s="532" t="s">
        <v>252</v>
      </c>
      <c r="D122" s="266">
        <v>211</v>
      </c>
      <c r="E122" s="266">
        <v>256</v>
      </c>
      <c r="F122" s="266">
        <v>199</v>
      </c>
      <c r="G122" s="266">
        <v>242</v>
      </c>
      <c r="H122" s="266">
        <v>230</v>
      </c>
      <c r="I122" s="266">
        <v>226</v>
      </c>
      <c r="J122" s="266">
        <v>190</v>
      </c>
      <c r="K122" s="266">
        <v>194</v>
      </c>
      <c r="L122" s="266">
        <v>176</v>
      </c>
      <c r="M122" s="266">
        <v>165</v>
      </c>
      <c r="N122" s="266">
        <v>223</v>
      </c>
      <c r="O122" s="266">
        <v>227</v>
      </c>
      <c r="P122" s="266">
        <f t="shared" si="4"/>
        <v>2539</v>
      </c>
    </row>
    <row r="123" spans="1:16" x14ac:dyDescent="0.3">
      <c r="A123" s="449" t="s">
        <v>238</v>
      </c>
      <c r="B123" s="532" t="s">
        <v>239</v>
      </c>
      <c r="C123" s="532" t="s">
        <v>252</v>
      </c>
      <c r="D123" s="266">
        <v>5</v>
      </c>
      <c r="E123" s="266">
        <v>7</v>
      </c>
      <c r="F123" s="266">
        <v>6</v>
      </c>
      <c r="G123" s="266">
        <v>5</v>
      </c>
      <c r="H123" s="266">
        <v>9</v>
      </c>
      <c r="I123" s="266">
        <v>6</v>
      </c>
      <c r="J123" s="266">
        <v>4</v>
      </c>
      <c r="K123" s="266">
        <v>10</v>
      </c>
      <c r="L123" s="266">
        <v>4</v>
      </c>
      <c r="M123" s="266">
        <v>2</v>
      </c>
      <c r="N123" s="266">
        <v>3</v>
      </c>
      <c r="O123" s="266">
        <v>5</v>
      </c>
      <c r="P123" s="266">
        <f t="shared" si="4"/>
        <v>66</v>
      </c>
    </row>
    <row r="124" spans="1:16" x14ac:dyDescent="0.3">
      <c r="A124" s="450" t="s">
        <v>240</v>
      </c>
      <c r="B124" s="453" t="s">
        <v>241</v>
      </c>
      <c r="C124" s="453" t="s">
        <v>255</v>
      </c>
      <c r="D124" s="266">
        <v>25</v>
      </c>
      <c r="E124" s="266">
        <v>42</v>
      </c>
      <c r="F124" s="266">
        <v>27</v>
      </c>
      <c r="G124" s="266">
        <v>29</v>
      </c>
      <c r="H124" s="266">
        <v>21</v>
      </c>
      <c r="I124" s="266">
        <v>26</v>
      </c>
      <c r="J124" s="266">
        <v>23</v>
      </c>
      <c r="K124" s="266">
        <v>19</v>
      </c>
      <c r="L124" s="266">
        <v>19</v>
      </c>
      <c r="M124" s="266">
        <v>23</v>
      </c>
      <c r="N124" s="266">
        <v>29</v>
      </c>
      <c r="O124" s="266">
        <v>21</v>
      </c>
      <c r="P124" s="266">
        <f t="shared" si="4"/>
        <v>304</v>
      </c>
    </row>
    <row r="126" spans="1:16" ht="65.25" customHeight="1" x14ac:dyDescent="0.3">
      <c r="A126" s="2737" t="s">
        <v>1060</v>
      </c>
      <c r="B126" s="2737"/>
      <c r="C126" s="2737"/>
    </row>
    <row r="128" spans="1:16" s="359" customFormat="1" x14ac:dyDescent="0.3">
      <c r="A128" s="359" t="s">
        <v>248</v>
      </c>
    </row>
    <row r="129" spans="1:3" s="359" customFormat="1" x14ac:dyDescent="0.3">
      <c r="A129" s="360" t="s">
        <v>249</v>
      </c>
      <c r="B129" s="361" t="s">
        <v>250</v>
      </c>
      <c r="C129" s="361"/>
    </row>
  </sheetData>
  <sortState ref="A5:P124">
    <sortCondition ref="A5:A124"/>
  </sortState>
  <mergeCells count="1">
    <mergeCell ref="A126:C126"/>
  </mergeCells>
  <hyperlinks>
    <hyperlink ref="B129" r:id="rId1"/>
  </hyperlinks>
  <pageMargins left="0.7" right="0.7" top="0.75" bottom="0.75" header="0.3" footer="0.3"/>
  <pageSetup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ColWidth="9" defaultRowHeight="15.6" x14ac:dyDescent="0.3"/>
  <cols>
    <col min="1" max="1" width="9" style="441"/>
    <col min="2" max="2" width="33.296875" style="441" customWidth="1"/>
    <col min="3" max="3" width="16.69921875" style="441" customWidth="1"/>
    <col min="4" max="4" width="7.19921875" style="441" customWidth="1"/>
    <col min="5" max="6" width="9.09765625" style="441" bestFit="1" customWidth="1"/>
    <col min="7" max="7" width="9.796875" style="441" bestFit="1" customWidth="1"/>
    <col min="8" max="15" width="10.09765625" style="441" bestFit="1" customWidth="1"/>
    <col min="16" max="16" width="11.09765625" style="441" bestFit="1" customWidth="1"/>
    <col min="17" max="16384" width="9" style="441"/>
  </cols>
  <sheetData>
    <row r="1" spans="1:16" ht="12.75" customHeight="1" x14ac:dyDescent="0.3">
      <c r="A1" s="253" t="s">
        <v>1064</v>
      </c>
    </row>
    <row r="3" spans="1:16" ht="53.25" customHeight="1" x14ac:dyDescent="0.3">
      <c r="A3" s="446" t="s">
        <v>4</v>
      </c>
      <c r="B3" s="503" t="s">
        <v>5</v>
      </c>
      <c r="C3" s="503" t="s">
        <v>251</v>
      </c>
      <c r="D3" s="1376">
        <v>43282</v>
      </c>
      <c r="E3" s="1376">
        <v>43313</v>
      </c>
      <c r="F3" s="1376">
        <v>43344</v>
      </c>
      <c r="G3" s="1376">
        <v>43374</v>
      </c>
      <c r="H3" s="1376">
        <v>43405</v>
      </c>
      <c r="I3" s="1376">
        <v>43435</v>
      </c>
      <c r="J3" s="1376">
        <v>43466</v>
      </c>
      <c r="K3" s="1376">
        <v>43497</v>
      </c>
      <c r="L3" s="1376">
        <v>43525</v>
      </c>
      <c r="M3" s="1376">
        <v>43556</v>
      </c>
      <c r="N3" s="1376">
        <v>43586</v>
      </c>
      <c r="O3" s="1376">
        <v>43617</v>
      </c>
      <c r="P3" s="1377" t="s">
        <v>1059</v>
      </c>
    </row>
    <row r="4" spans="1:16" x14ac:dyDescent="0.3">
      <c r="A4" s="528">
        <v>999</v>
      </c>
      <c r="B4" s="529" t="s">
        <v>9</v>
      </c>
      <c r="C4" s="529"/>
      <c r="D4" s="1378">
        <f>SUM(D5:D124)</f>
        <v>23032</v>
      </c>
      <c r="E4" s="1379">
        <f t="shared" ref="E4:P4" si="0">SUM(E5:E124)</f>
        <v>25166</v>
      </c>
      <c r="F4" s="1379">
        <f t="shared" si="0"/>
        <v>20812</v>
      </c>
      <c r="G4" s="1379">
        <f t="shared" si="0"/>
        <v>25306</v>
      </c>
      <c r="H4" s="1380">
        <f t="shared" si="0"/>
        <v>74712</v>
      </c>
      <c r="I4" s="1380">
        <f t="shared" si="0"/>
        <v>73158</v>
      </c>
      <c r="J4" s="1380">
        <f t="shared" si="0"/>
        <v>44329</v>
      </c>
      <c r="K4" s="1380">
        <f t="shared" si="0"/>
        <v>34443</v>
      </c>
      <c r="L4" s="1380">
        <f t="shared" si="0"/>
        <v>35979</v>
      </c>
      <c r="M4" s="1380">
        <f t="shared" si="0"/>
        <v>34561</v>
      </c>
      <c r="N4" s="1380">
        <f t="shared" si="0"/>
        <v>34903</v>
      </c>
      <c r="O4" s="1380">
        <f t="shared" si="0"/>
        <v>30968</v>
      </c>
      <c r="P4" s="1380">
        <f t="shared" si="0"/>
        <v>457369</v>
      </c>
    </row>
    <row r="5" spans="1:16" x14ac:dyDescent="0.3">
      <c r="A5" s="448" t="s">
        <v>10</v>
      </c>
      <c r="B5" s="505" t="s">
        <v>11</v>
      </c>
      <c r="C5" s="505" t="s">
        <v>252</v>
      </c>
      <c r="D5" s="266">
        <v>136</v>
      </c>
      <c r="E5" s="266">
        <v>143</v>
      </c>
      <c r="F5" s="266">
        <v>133</v>
      </c>
      <c r="G5" s="266">
        <v>157</v>
      </c>
      <c r="H5" s="266">
        <v>368</v>
      </c>
      <c r="I5" s="266">
        <v>304</v>
      </c>
      <c r="J5" s="266">
        <v>233</v>
      </c>
      <c r="K5" s="266">
        <v>157</v>
      </c>
      <c r="L5" s="266">
        <v>187</v>
      </c>
      <c r="M5" s="266">
        <v>169</v>
      </c>
      <c r="N5" s="266">
        <v>164</v>
      </c>
      <c r="O5" s="266">
        <v>162</v>
      </c>
      <c r="P5" s="266">
        <f t="shared" ref="P5:P36" si="1">SUM(D5:O5)</f>
        <v>2313</v>
      </c>
    </row>
    <row r="6" spans="1:16" x14ac:dyDescent="0.3">
      <c r="A6" s="449" t="s">
        <v>12</v>
      </c>
      <c r="B6" s="532" t="s">
        <v>13</v>
      </c>
      <c r="C6" s="532" t="s">
        <v>253</v>
      </c>
      <c r="D6" s="266">
        <v>199</v>
      </c>
      <c r="E6" s="266">
        <v>217</v>
      </c>
      <c r="F6" s="266">
        <v>171</v>
      </c>
      <c r="G6" s="266">
        <v>232</v>
      </c>
      <c r="H6" s="266">
        <v>701</v>
      </c>
      <c r="I6" s="266">
        <v>665</v>
      </c>
      <c r="J6" s="266">
        <v>380</v>
      </c>
      <c r="K6" s="266">
        <v>294</v>
      </c>
      <c r="L6" s="266">
        <v>353</v>
      </c>
      <c r="M6" s="266">
        <v>307</v>
      </c>
      <c r="N6" s="266">
        <v>303</v>
      </c>
      <c r="O6" s="266">
        <v>273</v>
      </c>
      <c r="P6" s="266">
        <f t="shared" si="1"/>
        <v>4095</v>
      </c>
    </row>
    <row r="7" spans="1:16" x14ac:dyDescent="0.3">
      <c r="A7" s="449" t="s">
        <v>16</v>
      </c>
      <c r="B7" s="532" t="s">
        <v>285</v>
      </c>
      <c r="C7" s="532" t="s">
        <v>253</v>
      </c>
      <c r="D7" s="266">
        <v>75</v>
      </c>
      <c r="E7" s="266">
        <v>99</v>
      </c>
      <c r="F7" s="266">
        <v>66</v>
      </c>
      <c r="G7" s="266">
        <v>63</v>
      </c>
      <c r="H7" s="266">
        <v>220</v>
      </c>
      <c r="I7" s="266">
        <v>162</v>
      </c>
      <c r="J7" s="266">
        <v>145</v>
      </c>
      <c r="K7" s="266">
        <v>116</v>
      </c>
      <c r="L7" s="266">
        <v>114</v>
      </c>
      <c r="M7" s="266">
        <v>105</v>
      </c>
      <c r="N7" s="266">
        <v>129</v>
      </c>
      <c r="O7" s="266">
        <v>100</v>
      </c>
      <c r="P7" s="266">
        <f t="shared" si="1"/>
        <v>1394</v>
      </c>
    </row>
    <row r="8" spans="1:16" x14ac:dyDescent="0.3">
      <c r="A8" s="449" t="s">
        <v>18</v>
      </c>
      <c r="B8" s="532" t="s">
        <v>19</v>
      </c>
      <c r="C8" s="532" t="s">
        <v>254</v>
      </c>
      <c r="D8" s="266">
        <v>31</v>
      </c>
      <c r="E8" s="266">
        <v>36</v>
      </c>
      <c r="F8" s="266">
        <v>39</v>
      </c>
      <c r="G8" s="266">
        <v>45</v>
      </c>
      <c r="H8" s="266">
        <v>117</v>
      </c>
      <c r="I8" s="266">
        <v>103</v>
      </c>
      <c r="J8" s="266">
        <v>68</v>
      </c>
      <c r="K8" s="266">
        <v>48</v>
      </c>
      <c r="L8" s="266">
        <v>55</v>
      </c>
      <c r="M8" s="266">
        <v>42</v>
      </c>
      <c r="N8" s="266">
        <v>51</v>
      </c>
      <c r="O8" s="266">
        <v>38</v>
      </c>
      <c r="P8" s="266">
        <f t="shared" si="1"/>
        <v>673</v>
      </c>
    </row>
    <row r="9" spans="1:16" x14ac:dyDescent="0.3">
      <c r="A9" s="449" t="s">
        <v>20</v>
      </c>
      <c r="B9" s="532" t="s">
        <v>21</v>
      </c>
      <c r="C9" s="532" t="s">
        <v>253</v>
      </c>
      <c r="D9" s="266">
        <v>79</v>
      </c>
      <c r="E9" s="266">
        <v>84</v>
      </c>
      <c r="F9" s="266">
        <v>79</v>
      </c>
      <c r="G9" s="266">
        <v>114</v>
      </c>
      <c r="H9" s="266">
        <v>247</v>
      </c>
      <c r="I9" s="266">
        <v>240</v>
      </c>
      <c r="J9" s="266">
        <v>212</v>
      </c>
      <c r="K9" s="266">
        <v>140</v>
      </c>
      <c r="L9" s="266">
        <v>158</v>
      </c>
      <c r="M9" s="266">
        <v>151</v>
      </c>
      <c r="N9" s="266">
        <v>145</v>
      </c>
      <c r="O9" s="266">
        <v>127</v>
      </c>
      <c r="P9" s="266">
        <f t="shared" si="1"/>
        <v>1776</v>
      </c>
    </row>
    <row r="10" spans="1:16" x14ac:dyDescent="0.3">
      <c r="A10" s="449" t="s">
        <v>22</v>
      </c>
      <c r="B10" s="532" t="s">
        <v>23</v>
      </c>
      <c r="C10" s="532" t="s">
        <v>253</v>
      </c>
      <c r="D10" s="266">
        <v>43</v>
      </c>
      <c r="E10" s="266">
        <v>56</v>
      </c>
      <c r="F10" s="266">
        <v>51</v>
      </c>
      <c r="G10" s="266">
        <v>55</v>
      </c>
      <c r="H10" s="266">
        <v>138</v>
      </c>
      <c r="I10" s="266">
        <v>110</v>
      </c>
      <c r="J10" s="266">
        <v>84</v>
      </c>
      <c r="K10" s="266">
        <v>80</v>
      </c>
      <c r="L10" s="266">
        <v>79</v>
      </c>
      <c r="M10" s="266">
        <v>72</v>
      </c>
      <c r="N10" s="266">
        <v>71</v>
      </c>
      <c r="O10" s="266">
        <v>86</v>
      </c>
      <c r="P10" s="266">
        <f t="shared" si="1"/>
        <v>925</v>
      </c>
    </row>
    <row r="11" spans="1:16" x14ac:dyDescent="0.3">
      <c r="A11" s="449" t="s">
        <v>24</v>
      </c>
      <c r="B11" s="532" t="s">
        <v>25</v>
      </c>
      <c r="C11" s="532" t="s">
        <v>255</v>
      </c>
      <c r="D11" s="266">
        <v>294</v>
      </c>
      <c r="E11" s="266">
        <v>351</v>
      </c>
      <c r="F11" s="266">
        <v>300</v>
      </c>
      <c r="G11" s="266">
        <v>324</v>
      </c>
      <c r="H11" s="266">
        <v>1477</v>
      </c>
      <c r="I11" s="266">
        <v>1595</v>
      </c>
      <c r="J11" s="266">
        <v>563</v>
      </c>
      <c r="K11" s="266">
        <v>466</v>
      </c>
      <c r="L11" s="266">
        <v>530</v>
      </c>
      <c r="M11" s="266">
        <v>458</v>
      </c>
      <c r="N11" s="266">
        <v>458</v>
      </c>
      <c r="O11" s="266">
        <v>399</v>
      </c>
      <c r="P11" s="266">
        <f t="shared" si="1"/>
        <v>7215</v>
      </c>
    </row>
    <row r="12" spans="1:16" x14ac:dyDescent="0.3">
      <c r="A12" s="449" t="s">
        <v>26</v>
      </c>
      <c r="B12" s="532" t="s">
        <v>547</v>
      </c>
      <c r="C12" s="532" t="s">
        <v>253</v>
      </c>
      <c r="D12" s="266">
        <v>362</v>
      </c>
      <c r="E12" s="266">
        <v>462</v>
      </c>
      <c r="F12" s="266">
        <v>350</v>
      </c>
      <c r="G12" s="266">
        <v>452</v>
      </c>
      <c r="H12" s="266">
        <v>1030</v>
      </c>
      <c r="I12" s="266">
        <v>938</v>
      </c>
      <c r="J12" s="266">
        <v>720</v>
      </c>
      <c r="K12" s="266">
        <v>626</v>
      </c>
      <c r="L12" s="266">
        <v>610</v>
      </c>
      <c r="M12" s="266">
        <v>590</v>
      </c>
      <c r="N12" s="266">
        <v>595</v>
      </c>
      <c r="O12" s="266">
        <v>514</v>
      </c>
      <c r="P12" s="266">
        <f t="shared" si="1"/>
        <v>7249</v>
      </c>
    </row>
    <row r="13" spans="1:16" x14ac:dyDescent="0.3">
      <c r="A13" s="449" t="s">
        <v>27</v>
      </c>
      <c r="B13" s="532" t="s">
        <v>28</v>
      </c>
      <c r="C13" s="532" t="s">
        <v>253</v>
      </c>
      <c r="D13" s="266">
        <v>3</v>
      </c>
      <c r="E13" s="266">
        <v>8</v>
      </c>
      <c r="F13" s="266">
        <v>7</v>
      </c>
      <c r="G13" s="266">
        <v>5</v>
      </c>
      <c r="H13" s="266">
        <v>42</v>
      </c>
      <c r="I13" s="266">
        <v>45</v>
      </c>
      <c r="J13" s="266">
        <v>25</v>
      </c>
      <c r="K13" s="266">
        <v>24</v>
      </c>
      <c r="L13" s="266">
        <v>20</v>
      </c>
      <c r="M13" s="266">
        <v>22</v>
      </c>
      <c r="N13" s="266">
        <v>12</v>
      </c>
      <c r="O13" s="266">
        <v>24</v>
      </c>
      <c r="P13" s="266">
        <f t="shared" si="1"/>
        <v>237</v>
      </c>
    </row>
    <row r="14" spans="1:16" x14ac:dyDescent="0.3">
      <c r="A14" s="449" t="s">
        <v>29</v>
      </c>
      <c r="B14" s="532" t="s">
        <v>736</v>
      </c>
      <c r="C14" s="532" t="s">
        <v>253</v>
      </c>
      <c r="D14" s="266">
        <v>218</v>
      </c>
      <c r="E14" s="266">
        <v>228</v>
      </c>
      <c r="F14" s="266">
        <v>165</v>
      </c>
      <c r="G14" s="266">
        <v>206</v>
      </c>
      <c r="H14" s="266">
        <v>631</v>
      </c>
      <c r="I14" s="266">
        <v>544</v>
      </c>
      <c r="J14" s="266">
        <v>355</v>
      </c>
      <c r="K14" s="266">
        <v>301</v>
      </c>
      <c r="L14" s="266">
        <v>306</v>
      </c>
      <c r="M14" s="266">
        <v>325</v>
      </c>
      <c r="N14" s="266">
        <v>280</v>
      </c>
      <c r="O14" s="266">
        <v>281</v>
      </c>
      <c r="P14" s="266">
        <f t="shared" si="1"/>
        <v>3840</v>
      </c>
    </row>
    <row r="15" spans="1:16" x14ac:dyDescent="0.3">
      <c r="A15" s="449" t="s">
        <v>30</v>
      </c>
      <c r="B15" s="532" t="s">
        <v>31</v>
      </c>
      <c r="C15" s="532" t="s">
        <v>256</v>
      </c>
      <c r="D15" s="266">
        <v>17</v>
      </c>
      <c r="E15" s="266">
        <v>14</v>
      </c>
      <c r="F15" s="266">
        <v>26</v>
      </c>
      <c r="G15" s="266">
        <v>19</v>
      </c>
      <c r="H15" s="266">
        <v>44</v>
      </c>
      <c r="I15" s="266">
        <v>36</v>
      </c>
      <c r="J15" s="266">
        <v>46</v>
      </c>
      <c r="K15" s="266">
        <v>28</v>
      </c>
      <c r="L15" s="266">
        <v>24</v>
      </c>
      <c r="M15" s="266">
        <v>22</v>
      </c>
      <c r="N15" s="266">
        <v>23</v>
      </c>
      <c r="O15" s="266">
        <v>19</v>
      </c>
      <c r="P15" s="266">
        <f t="shared" si="1"/>
        <v>318</v>
      </c>
    </row>
    <row r="16" spans="1:16" x14ac:dyDescent="0.3">
      <c r="A16" s="449" t="s">
        <v>32</v>
      </c>
      <c r="B16" s="532" t="s">
        <v>33</v>
      </c>
      <c r="C16" s="532" t="s">
        <v>253</v>
      </c>
      <c r="D16" s="266">
        <v>74</v>
      </c>
      <c r="E16" s="266">
        <v>64</v>
      </c>
      <c r="F16" s="266">
        <v>64</v>
      </c>
      <c r="G16" s="266">
        <v>69</v>
      </c>
      <c r="H16" s="266">
        <v>233</v>
      </c>
      <c r="I16" s="266">
        <v>187</v>
      </c>
      <c r="J16" s="266">
        <v>116</v>
      </c>
      <c r="K16" s="266">
        <v>86</v>
      </c>
      <c r="L16" s="266">
        <v>106</v>
      </c>
      <c r="M16" s="266">
        <v>111</v>
      </c>
      <c r="N16" s="266">
        <v>93</v>
      </c>
      <c r="O16" s="266">
        <v>86</v>
      </c>
      <c r="P16" s="266">
        <f t="shared" si="1"/>
        <v>1289</v>
      </c>
    </row>
    <row r="17" spans="1:16" x14ac:dyDescent="0.3">
      <c r="A17" s="449" t="s">
        <v>36</v>
      </c>
      <c r="B17" s="532" t="s">
        <v>37</v>
      </c>
      <c r="C17" s="532" t="s">
        <v>252</v>
      </c>
      <c r="D17" s="266">
        <v>59</v>
      </c>
      <c r="E17" s="266">
        <v>60</v>
      </c>
      <c r="F17" s="266">
        <v>60</v>
      </c>
      <c r="G17" s="266">
        <v>57</v>
      </c>
      <c r="H17" s="266">
        <v>179</v>
      </c>
      <c r="I17" s="266">
        <v>154</v>
      </c>
      <c r="J17" s="266">
        <v>124</v>
      </c>
      <c r="K17" s="266">
        <v>98</v>
      </c>
      <c r="L17" s="266">
        <v>90</v>
      </c>
      <c r="M17" s="266">
        <v>83</v>
      </c>
      <c r="N17" s="266">
        <v>95</v>
      </c>
      <c r="O17" s="266">
        <v>83</v>
      </c>
      <c r="P17" s="266">
        <f t="shared" si="1"/>
        <v>1142</v>
      </c>
    </row>
    <row r="18" spans="1:16" x14ac:dyDescent="0.3">
      <c r="A18" s="449" t="s">
        <v>38</v>
      </c>
      <c r="B18" s="532" t="s">
        <v>39</v>
      </c>
      <c r="C18" s="532" t="s">
        <v>256</v>
      </c>
      <c r="D18" s="266">
        <v>72</v>
      </c>
      <c r="E18" s="266">
        <v>95</v>
      </c>
      <c r="F18" s="266">
        <v>78</v>
      </c>
      <c r="G18" s="266">
        <v>89</v>
      </c>
      <c r="H18" s="266">
        <v>233</v>
      </c>
      <c r="I18" s="266">
        <v>219</v>
      </c>
      <c r="J18" s="266">
        <v>240</v>
      </c>
      <c r="K18" s="266">
        <v>165</v>
      </c>
      <c r="L18" s="266">
        <v>141</v>
      </c>
      <c r="M18" s="266">
        <v>129</v>
      </c>
      <c r="N18" s="266">
        <v>122</v>
      </c>
      <c r="O18" s="266">
        <v>94</v>
      </c>
      <c r="P18" s="266">
        <f t="shared" si="1"/>
        <v>1677</v>
      </c>
    </row>
    <row r="19" spans="1:16" x14ac:dyDescent="0.3">
      <c r="A19" s="449" t="s">
        <v>40</v>
      </c>
      <c r="B19" s="532" t="s">
        <v>41</v>
      </c>
      <c r="C19" s="532" t="s">
        <v>254</v>
      </c>
      <c r="D19" s="266">
        <v>58</v>
      </c>
      <c r="E19" s="266">
        <v>42</v>
      </c>
      <c r="F19" s="266">
        <v>43</v>
      </c>
      <c r="G19" s="266">
        <v>58</v>
      </c>
      <c r="H19" s="266">
        <v>181</v>
      </c>
      <c r="I19" s="266">
        <v>160</v>
      </c>
      <c r="J19" s="266">
        <v>104</v>
      </c>
      <c r="K19" s="266">
        <v>85</v>
      </c>
      <c r="L19" s="266">
        <v>69</v>
      </c>
      <c r="M19" s="266">
        <v>79</v>
      </c>
      <c r="N19" s="266">
        <v>73</v>
      </c>
      <c r="O19" s="266">
        <v>82</v>
      </c>
      <c r="P19" s="266">
        <f t="shared" si="1"/>
        <v>1034</v>
      </c>
    </row>
    <row r="20" spans="1:16" x14ac:dyDescent="0.3">
      <c r="A20" s="449" t="s">
        <v>42</v>
      </c>
      <c r="B20" s="532" t="s">
        <v>43</v>
      </c>
      <c r="C20" s="532" t="s">
        <v>253</v>
      </c>
      <c r="D20" s="266">
        <v>154</v>
      </c>
      <c r="E20" s="266">
        <v>189</v>
      </c>
      <c r="F20" s="266">
        <v>152</v>
      </c>
      <c r="G20" s="266">
        <v>185</v>
      </c>
      <c r="H20" s="266">
        <v>433</v>
      </c>
      <c r="I20" s="266">
        <v>393</v>
      </c>
      <c r="J20" s="266">
        <v>347</v>
      </c>
      <c r="K20" s="266">
        <v>247</v>
      </c>
      <c r="L20" s="266">
        <v>253</v>
      </c>
      <c r="M20" s="266">
        <v>247</v>
      </c>
      <c r="N20" s="266">
        <v>245</v>
      </c>
      <c r="O20" s="266">
        <v>206</v>
      </c>
      <c r="P20" s="266">
        <f t="shared" si="1"/>
        <v>3051</v>
      </c>
    </row>
    <row r="21" spans="1:16" x14ac:dyDescent="0.3">
      <c r="A21" s="449" t="s">
        <v>44</v>
      </c>
      <c r="B21" s="532" t="s">
        <v>45</v>
      </c>
      <c r="C21" s="532" t="s">
        <v>254</v>
      </c>
      <c r="D21" s="266">
        <v>116</v>
      </c>
      <c r="E21" s="266">
        <v>121</v>
      </c>
      <c r="F21" s="266">
        <v>75</v>
      </c>
      <c r="G21" s="266">
        <v>135</v>
      </c>
      <c r="H21" s="266">
        <v>327</v>
      </c>
      <c r="I21" s="266">
        <v>263</v>
      </c>
      <c r="J21" s="266">
        <v>188</v>
      </c>
      <c r="K21" s="266">
        <v>124</v>
      </c>
      <c r="L21" s="266">
        <v>157</v>
      </c>
      <c r="M21" s="266">
        <v>151</v>
      </c>
      <c r="N21" s="266">
        <v>155</v>
      </c>
      <c r="O21" s="266">
        <v>129</v>
      </c>
      <c r="P21" s="266">
        <f t="shared" si="1"/>
        <v>1941</v>
      </c>
    </row>
    <row r="22" spans="1:16" x14ac:dyDescent="0.3">
      <c r="A22" s="449" t="s">
        <v>46</v>
      </c>
      <c r="B22" s="532" t="s">
        <v>47</v>
      </c>
      <c r="C22" s="532" t="s">
        <v>256</v>
      </c>
      <c r="D22" s="266">
        <v>108</v>
      </c>
      <c r="E22" s="266">
        <v>109</v>
      </c>
      <c r="F22" s="266">
        <v>104</v>
      </c>
      <c r="G22" s="266">
        <v>121</v>
      </c>
      <c r="H22" s="266">
        <v>299</v>
      </c>
      <c r="I22" s="266">
        <v>247</v>
      </c>
      <c r="J22" s="266">
        <v>202</v>
      </c>
      <c r="K22" s="266">
        <v>172</v>
      </c>
      <c r="L22" s="266">
        <v>177</v>
      </c>
      <c r="M22" s="266">
        <v>164</v>
      </c>
      <c r="N22" s="266">
        <v>142</v>
      </c>
      <c r="O22" s="266">
        <v>136</v>
      </c>
      <c r="P22" s="266">
        <f t="shared" si="1"/>
        <v>1981</v>
      </c>
    </row>
    <row r="23" spans="1:16" x14ac:dyDescent="0.3">
      <c r="A23" s="449" t="s">
        <v>48</v>
      </c>
      <c r="B23" s="532" t="s">
        <v>257</v>
      </c>
      <c r="C23" s="532" t="s">
        <v>254</v>
      </c>
      <c r="D23" s="266">
        <v>20</v>
      </c>
      <c r="E23" s="266">
        <v>19</v>
      </c>
      <c r="F23" s="266">
        <v>13</v>
      </c>
      <c r="G23" s="266">
        <v>23</v>
      </c>
      <c r="H23" s="266">
        <v>55</v>
      </c>
      <c r="I23" s="266">
        <v>51</v>
      </c>
      <c r="J23" s="266">
        <v>43</v>
      </c>
      <c r="K23" s="266">
        <v>32</v>
      </c>
      <c r="L23" s="266">
        <v>34</v>
      </c>
      <c r="M23" s="266">
        <v>25</v>
      </c>
      <c r="N23" s="266">
        <v>26</v>
      </c>
      <c r="O23" s="266">
        <v>25</v>
      </c>
      <c r="P23" s="266">
        <f t="shared" si="1"/>
        <v>366</v>
      </c>
    </row>
    <row r="24" spans="1:16" x14ac:dyDescent="0.3">
      <c r="A24" s="449" t="s">
        <v>50</v>
      </c>
      <c r="B24" s="532" t="s">
        <v>51</v>
      </c>
      <c r="C24" s="532" t="s">
        <v>253</v>
      </c>
      <c r="D24" s="266">
        <v>29</v>
      </c>
      <c r="E24" s="266">
        <v>44</v>
      </c>
      <c r="F24" s="266">
        <v>35</v>
      </c>
      <c r="G24" s="266">
        <v>38</v>
      </c>
      <c r="H24" s="266">
        <v>123</v>
      </c>
      <c r="I24" s="266">
        <v>95</v>
      </c>
      <c r="J24" s="266">
        <v>71</v>
      </c>
      <c r="K24" s="266">
        <v>65</v>
      </c>
      <c r="L24" s="266">
        <v>62</v>
      </c>
      <c r="M24" s="266">
        <v>50</v>
      </c>
      <c r="N24" s="266">
        <v>51</v>
      </c>
      <c r="O24" s="266">
        <v>44</v>
      </c>
      <c r="P24" s="266">
        <f t="shared" si="1"/>
        <v>707</v>
      </c>
    </row>
    <row r="25" spans="1:16" x14ac:dyDescent="0.3">
      <c r="A25" s="449" t="s">
        <v>56</v>
      </c>
      <c r="B25" s="532" t="s">
        <v>283</v>
      </c>
      <c r="C25" s="532" t="s">
        <v>254</v>
      </c>
      <c r="D25" s="266">
        <v>888</v>
      </c>
      <c r="E25" s="266">
        <v>1034</v>
      </c>
      <c r="F25" s="266">
        <v>839</v>
      </c>
      <c r="G25" s="266">
        <v>1044</v>
      </c>
      <c r="H25" s="266">
        <v>2896</v>
      </c>
      <c r="I25" s="266">
        <v>2725</v>
      </c>
      <c r="J25" s="266">
        <v>1664</v>
      </c>
      <c r="K25" s="266">
        <v>1396</v>
      </c>
      <c r="L25" s="266">
        <v>1425</v>
      </c>
      <c r="M25" s="266">
        <v>1385</v>
      </c>
      <c r="N25" s="266">
        <v>1553</v>
      </c>
      <c r="O25" s="266">
        <v>1313</v>
      </c>
      <c r="P25" s="266">
        <f t="shared" si="1"/>
        <v>18162</v>
      </c>
    </row>
    <row r="26" spans="1:16" x14ac:dyDescent="0.3">
      <c r="A26" s="449" t="s">
        <v>58</v>
      </c>
      <c r="B26" s="532" t="s">
        <v>59</v>
      </c>
      <c r="C26" s="532" t="s">
        <v>255</v>
      </c>
      <c r="D26" s="266">
        <v>20</v>
      </c>
      <c r="E26" s="266">
        <v>27</v>
      </c>
      <c r="F26" s="266">
        <v>30</v>
      </c>
      <c r="G26" s="266">
        <v>29</v>
      </c>
      <c r="H26" s="266">
        <v>96</v>
      </c>
      <c r="I26" s="266">
        <v>100</v>
      </c>
      <c r="J26" s="266">
        <v>60</v>
      </c>
      <c r="K26" s="266">
        <v>43</v>
      </c>
      <c r="L26" s="266">
        <v>43</v>
      </c>
      <c r="M26" s="266">
        <v>37</v>
      </c>
      <c r="N26" s="266">
        <v>40</v>
      </c>
      <c r="O26" s="266">
        <v>32</v>
      </c>
      <c r="P26" s="266">
        <f t="shared" si="1"/>
        <v>557</v>
      </c>
    </row>
    <row r="27" spans="1:16" x14ac:dyDescent="0.3">
      <c r="A27" s="449" t="s">
        <v>60</v>
      </c>
      <c r="B27" s="532" t="s">
        <v>61</v>
      </c>
      <c r="C27" s="532" t="s">
        <v>253</v>
      </c>
      <c r="D27" s="266">
        <v>15</v>
      </c>
      <c r="E27" s="266">
        <v>16</v>
      </c>
      <c r="F27" s="266">
        <v>6</v>
      </c>
      <c r="G27" s="266">
        <v>15</v>
      </c>
      <c r="H27" s="266">
        <v>30</v>
      </c>
      <c r="I27" s="266">
        <v>32</v>
      </c>
      <c r="J27" s="266">
        <v>30</v>
      </c>
      <c r="K27" s="266">
        <v>24</v>
      </c>
      <c r="L27" s="266">
        <v>25</v>
      </c>
      <c r="M27" s="266">
        <v>28</v>
      </c>
      <c r="N27" s="266">
        <v>20</v>
      </c>
      <c r="O27" s="266">
        <v>21</v>
      </c>
      <c r="P27" s="266">
        <f t="shared" si="1"/>
        <v>262</v>
      </c>
    </row>
    <row r="28" spans="1:16" x14ac:dyDescent="0.3">
      <c r="A28" s="449" t="s">
        <v>62</v>
      </c>
      <c r="B28" s="532" t="s">
        <v>63</v>
      </c>
      <c r="C28" s="532" t="s">
        <v>255</v>
      </c>
      <c r="D28" s="266">
        <v>160</v>
      </c>
      <c r="E28" s="266">
        <v>169</v>
      </c>
      <c r="F28" s="266">
        <v>120</v>
      </c>
      <c r="G28" s="266">
        <v>159</v>
      </c>
      <c r="H28" s="266">
        <v>410</v>
      </c>
      <c r="I28" s="266">
        <v>419</v>
      </c>
      <c r="J28" s="266">
        <v>306</v>
      </c>
      <c r="K28" s="266">
        <v>252</v>
      </c>
      <c r="L28" s="266">
        <v>237</v>
      </c>
      <c r="M28" s="266">
        <v>305</v>
      </c>
      <c r="N28" s="266">
        <v>299</v>
      </c>
      <c r="O28" s="266">
        <v>220</v>
      </c>
      <c r="P28" s="266">
        <f t="shared" si="1"/>
        <v>3056</v>
      </c>
    </row>
    <row r="29" spans="1:16" x14ac:dyDescent="0.3">
      <c r="A29" s="449" t="s">
        <v>64</v>
      </c>
      <c r="B29" s="532" t="s">
        <v>65</v>
      </c>
      <c r="C29" s="532" t="s">
        <v>254</v>
      </c>
      <c r="D29" s="266">
        <v>45</v>
      </c>
      <c r="E29" s="266">
        <v>29</v>
      </c>
      <c r="F29" s="266">
        <v>19</v>
      </c>
      <c r="G29" s="266">
        <v>43</v>
      </c>
      <c r="H29" s="266">
        <v>109</v>
      </c>
      <c r="I29" s="266">
        <v>93</v>
      </c>
      <c r="J29" s="266">
        <v>69</v>
      </c>
      <c r="K29" s="266">
        <v>49</v>
      </c>
      <c r="L29" s="266">
        <v>53</v>
      </c>
      <c r="M29" s="266">
        <v>44</v>
      </c>
      <c r="N29" s="266">
        <v>71</v>
      </c>
      <c r="O29" s="266">
        <v>39</v>
      </c>
      <c r="P29" s="266">
        <f t="shared" si="1"/>
        <v>663</v>
      </c>
    </row>
    <row r="30" spans="1:16" x14ac:dyDescent="0.3">
      <c r="A30" s="449" t="s">
        <v>68</v>
      </c>
      <c r="B30" s="532" t="s">
        <v>69</v>
      </c>
      <c r="C30" s="532" t="s">
        <v>256</v>
      </c>
      <c r="D30" s="266">
        <v>49</v>
      </c>
      <c r="E30" s="266">
        <v>74</v>
      </c>
      <c r="F30" s="266">
        <v>40</v>
      </c>
      <c r="G30" s="266">
        <v>54</v>
      </c>
      <c r="H30" s="266">
        <v>135</v>
      </c>
      <c r="I30" s="266">
        <v>125</v>
      </c>
      <c r="J30" s="266">
        <v>127</v>
      </c>
      <c r="K30" s="266">
        <v>93</v>
      </c>
      <c r="L30" s="266">
        <v>75</v>
      </c>
      <c r="M30" s="266">
        <v>104</v>
      </c>
      <c r="N30" s="266">
        <v>86</v>
      </c>
      <c r="O30" s="266">
        <v>84</v>
      </c>
      <c r="P30" s="266">
        <f t="shared" si="1"/>
        <v>1046</v>
      </c>
    </row>
    <row r="31" spans="1:16" x14ac:dyDescent="0.3">
      <c r="A31" s="449" t="s">
        <v>70</v>
      </c>
      <c r="B31" s="532" t="s">
        <v>71</v>
      </c>
      <c r="C31" s="532" t="s">
        <v>252</v>
      </c>
      <c r="D31" s="266">
        <v>79</v>
      </c>
      <c r="E31" s="266">
        <v>104</v>
      </c>
      <c r="F31" s="266">
        <v>93</v>
      </c>
      <c r="G31" s="266">
        <v>81</v>
      </c>
      <c r="H31" s="266">
        <v>237</v>
      </c>
      <c r="I31" s="266">
        <v>219</v>
      </c>
      <c r="J31" s="266">
        <v>208</v>
      </c>
      <c r="K31" s="266">
        <v>167</v>
      </c>
      <c r="L31" s="266">
        <v>149</v>
      </c>
      <c r="M31" s="266">
        <v>148</v>
      </c>
      <c r="N31" s="266">
        <v>150</v>
      </c>
      <c r="O31" s="266">
        <v>108</v>
      </c>
      <c r="P31" s="266">
        <f t="shared" si="1"/>
        <v>1743</v>
      </c>
    </row>
    <row r="32" spans="1:16" x14ac:dyDescent="0.3">
      <c r="A32" s="449" t="s">
        <v>72</v>
      </c>
      <c r="B32" s="532" t="s">
        <v>73</v>
      </c>
      <c r="C32" s="532" t="s">
        <v>254</v>
      </c>
      <c r="D32" s="266">
        <v>33</v>
      </c>
      <c r="E32" s="266">
        <v>27</v>
      </c>
      <c r="F32" s="266">
        <v>33</v>
      </c>
      <c r="G32" s="266">
        <v>45</v>
      </c>
      <c r="H32" s="266">
        <v>138</v>
      </c>
      <c r="I32" s="266">
        <v>101</v>
      </c>
      <c r="J32" s="266">
        <v>81</v>
      </c>
      <c r="K32" s="266">
        <v>68</v>
      </c>
      <c r="L32" s="266">
        <v>68</v>
      </c>
      <c r="M32" s="266">
        <v>68</v>
      </c>
      <c r="N32" s="266">
        <v>55</v>
      </c>
      <c r="O32" s="266">
        <v>50</v>
      </c>
      <c r="P32" s="266">
        <f t="shared" si="1"/>
        <v>767</v>
      </c>
    </row>
    <row r="33" spans="1:16" x14ac:dyDescent="0.3">
      <c r="A33" s="449" t="s">
        <v>74</v>
      </c>
      <c r="B33" s="532" t="s">
        <v>284</v>
      </c>
      <c r="C33" s="532" t="s">
        <v>255</v>
      </c>
      <c r="D33" s="266">
        <v>2320</v>
      </c>
      <c r="E33" s="266">
        <v>2479</v>
      </c>
      <c r="F33" s="266">
        <v>2165</v>
      </c>
      <c r="G33" s="266">
        <v>2496</v>
      </c>
      <c r="H33" s="266">
        <v>10465</v>
      </c>
      <c r="I33" s="266">
        <v>10855</v>
      </c>
      <c r="J33" s="266">
        <v>3864</v>
      </c>
      <c r="K33" s="266">
        <v>3028</v>
      </c>
      <c r="L33" s="266">
        <v>3370</v>
      </c>
      <c r="M33" s="266">
        <v>3254</v>
      </c>
      <c r="N33" s="266">
        <v>3214</v>
      </c>
      <c r="O33" s="266">
        <v>2917</v>
      </c>
      <c r="P33" s="266">
        <f t="shared" si="1"/>
        <v>50427</v>
      </c>
    </row>
    <row r="34" spans="1:16" x14ac:dyDescent="0.3">
      <c r="A34" s="449" t="s">
        <v>76</v>
      </c>
      <c r="B34" s="532" t="s">
        <v>77</v>
      </c>
      <c r="C34" s="532" t="s">
        <v>255</v>
      </c>
      <c r="D34" s="266">
        <v>152</v>
      </c>
      <c r="E34" s="266">
        <v>172</v>
      </c>
      <c r="F34" s="266">
        <v>151</v>
      </c>
      <c r="G34" s="266">
        <v>155</v>
      </c>
      <c r="H34" s="266">
        <v>460</v>
      </c>
      <c r="I34" s="266">
        <v>482</v>
      </c>
      <c r="J34" s="266">
        <v>312</v>
      </c>
      <c r="K34" s="266">
        <v>265</v>
      </c>
      <c r="L34" s="266">
        <v>289</v>
      </c>
      <c r="M34" s="266">
        <v>244</v>
      </c>
      <c r="N34" s="266">
        <v>223</v>
      </c>
      <c r="O34" s="266">
        <v>200</v>
      </c>
      <c r="P34" s="266">
        <f t="shared" si="1"/>
        <v>3105</v>
      </c>
    </row>
    <row r="35" spans="1:16" x14ac:dyDescent="0.3">
      <c r="A35" s="449" t="s">
        <v>78</v>
      </c>
      <c r="B35" s="532" t="s">
        <v>79</v>
      </c>
      <c r="C35" s="532" t="s">
        <v>256</v>
      </c>
      <c r="D35" s="266">
        <v>57</v>
      </c>
      <c r="E35" s="266">
        <v>59</v>
      </c>
      <c r="F35" s="266">
        <v>43</v>
      </c>
      <c r="G35" s="266">
        <v>37</v>
      </c>
      <c r="H35" s="266">
        <v>176</v>
      </c>
      <c r="I35" s="266">
        <v>161</v>
      </c>
      <c r="J35" s="266">
        <v>113</v>
      </c>
      <c r="K35" s="266">
        <v>70</v>
      </c>
      <c r="L35" s="266">
        <v>95</v>
      </c>
      <c r="M35" s="266">
        <v>60</v>
      </c>
      <c r="N35" s="266">
        <v>62</v>
      </c>
      <c r="O35" s="266">
        <v>55</v>
      </c>
      <c r="P35" s="266">
        <f t="shared" si="1"/>
        <v>988</v>
      </c>
    </row>
    <row r="36" spans="1:16" x14ac:dyDescent="0.3">
      <c r="A36" s="449" t="s">
        <v>80</v>
      </c>
      <c r="B36" s="532" t="s">
        <v>81</v>
      </c>
      <c r="C36" s="532" t="s">
        <v>254</v>
      </c>
      <c r="D36" s="266">
        <v>65</v>
      </c>
      <c r="E36" s="266">
        <v>62</v>
      </c>
      <c r="F36" s="266">
        <v>49</v>
      </c>
      <c r="G36" s="266">
        <v>57</v>
      </c>
      <c r="H36" s="266">
        <v>196</v>
      </c>
      <c r="I36" s="266">
        <v>177</v>
      </c>
      <c r="J36" s="266">
        <v>102</v>
      </c>
      <c r="K36" s="266">
        <v>88</v>
      </c>
      <c r="L36" s="266">
        <v>83</v>
      </c>
      <c r="M36" s="266">
        <v>75</v>
      </c>
      <c r="N36" s="266">
        <v>82</v>
      </c>
      <c r="O36" s="266">
        <v>67</v>
      </c>
      <c r="P36" s="266">
        <f t="shared" si="1"/>
        <v>1103</v>
      </c>
    </row>
    <row r="37" spans="1:16" x14ac:dyDescent="0.3">
      <c r="A37" s="449" t="s">
        <v>84</v>
      </c>
      <c r="B37" s="532" t="s">
        <v>85</v>
      </c>
      <c r="C37" s="532" t="s">
        <v>253</v>
      </c>
      <c r="D37" s="266">
        <v>166</v>
      </c>
      <c r="E37" s="266">
        <v>169</v>
      </c>
      <c r="F37" s="266">
        <v>125</v>
      </c>
      <c r="G37" s="266">
        <v>148</v>
      </c>
      <c r="H37" s="266">
        <v>445</v>
      </c>
      <c r="I37" s="266">
        <v>443</v>
      </c>
      <c r="J37" s="266">
        <v>313</v>
      </c>
      <c r="K37" s="266">
        <v>245</v>
      </c>
      <c r="L37" s="266">
        <v>252</v>
      </c>
      <c r="M37" s="266">
        <v>227</v>
      </c>
      <c r="N37" s="266">
        <v>228</v>
      </c>
      <c r="O37" s="266">
        <v>230</v>
      </c>
      <c r="P37" s="266">
        <f t="shared" ref="P37:P68" si="2">SUM(D37:O37)</f>
        <v>2991</v>
      </c>
    </row>
    <row r="38" spans="1:16" x14ac:dyDescent="0.3">
      <c r="A38" s="449" t="s">
        <v>86</v>
      </c>
      <c r="B38" s="532" t="s">
        <v>87</v>
      </c>
      <c r="C38" s="532" t="s">
        <v>255</v>
      </c>
      <c r="D38" s="266">
        <v>186</v>
      </c>
      <c r="E38" s="266">
        <v>245</v>
      </c>
      <c r="F38" s="266">
        <v>190</v>
      </c>
      <c r="G38" s="266">
        <v>254</v>
      </c>
      <c r="H38" s="266">
        <v>614</v>
      </c>
      <c r="I38" s="266">
        <v>572</v>
      </c>
      <c r="J38" s="266">
        <v>495</v>
      </c>
      <c r="K38" s="266">
        <v>297</v>
      </c>
      <c r="L38" s="266">
        <v>303</v>
      </c>
      <c r="M38" s="266">
        <v>325</v>
      </c>
      <c r="N38" s="266">
        <v>260</v>
      </c>
      <c r="O38" s="266">
        <v>256</v>
      </c>
      <c r="P38" s="266">
        <f t="shared" si="2"/>
        <v>3997</v>
      </c>
    </row>
    <row r="39" spans="1:16" x14ac:dyDescent="0.3">
      <c r="A39" s="449" t="s">
        <v>92</v>
      </c>
      <c r="B39" s="532" t="s">
        <v>93</v>
      </c>
      <c r="C39" s="532" t="s">
        <v>256</v>
      </c>
      <c r="D39" s="266">
        <v>56</v>
      </c>
      <c r="E39" s="266">
        <v>57</v>
      </c>
      <c r="F39" s="266">
        <v>55</v>
      </c>
      <c r="G39" s="266">
        <v>70</v>
      </c>
      <c r="H39" s="266">
        <v>149</v>
      </c>
      <c r="I39" s="266">
        <v>128</v>
      </c>
      <c r="J39" s="266">
        <v>115</v>
      </c>
      <c r="K39" s="266">
        <v>83</v>
      </c>
      <c r="L39" s="266">
        <v>92</v>
      </c>
      <c r="M39" s="266">
        <v>64</v>
      </c>
      <c r="N39" s="266">
        <v>76</v>
      </c>
      <c r="O39" s="266">
        <v>56</v>
      </c>
      <c r="P39" s="266">
        <f t="shared" si="2"/>
        <v>1001</v>
      </c>
    </row>
    <row r="40" spans="1:16" x14ac:dyDescent="0.3">
      <c r="A40" s="449" t="s">
        <v>94</v>
      </c>
      <c r="B40" s="532" t="s">
        <v>95</v>
      </c>
      <c r="C40" s="532" t="s">
        <v>252</v>
      </c>
      <c r="D40" s="266">
        <v>100</v>
      </c>
      <c r="E40" s="266">
        <v>135</v>
      </c>
      <c r="F40" s="266">
        <v>94</v>
      </c>
      <c r="G40" s="266">
        <v>119</v>
      </c>
      <c r="H40" s="266">
        <v>336</v>
      </c>
      <c r="I40" s="266">
        <v>334</v>
      </c>
      <c r="J40" s="266">
        <v>240</v>
      </c>
      <c r="K40" s="266">
        <v>180</v>
      </c>
      <c r="L40" s="266">
        <v>173</v>
      </c>
      <c r="M40" s="266">
        <v>140</v>
      </c>
      <c r="N40" s="266">
        <v>166</v>
      </c>
      <c r="O40" s="266">
        <v>127</v>
      </c>
      <c r="P40" s="266">
        <f t="shared" si="2"/>
        <v>2144</v>
      </c>
    </row>
    <row r="41" spans="1:16" x14ac:dyDescent="0.3">
      <c r="A41" s="449" t="s">
        <v>96</v>
      </c>
      <c r="B41" s="532" t="s">
        <v>97</v>
      </c>
      <c r="C41" s="532" t="s">
        <v>254</v>
      </c>
      <c r="D41" s="266">
        <v>30</v>
      </c>
      <c r="E41" s="266">
        <v>41</v>
      </c>
      <c r="F41" s="266">
        <v>28</v>
      </c>
      <c r="G41" s="266">
        <v>37</v>
      </c>
      <c r="H41" s="266">
        <v>140</v>
      </c>
      <c r="I41" s="266">
        <v>143</v>
      </c>
      <c r="J41" s="266">
        <v>94</v>
      </c>
      <c r="K41" s="266">
        <v>64</v>
      </c>
      <c r="L41" s="266">
        <v>72</v>
      </c>
      <c r="M41" s="266">
        <v>80</v>
      </c>
      <c r="N41" s="266">
        <v>119</v>
      </c>
      <c r="O41" s="266">
        <v>69</v>
      </c>
      <c r="P41" s="266">
        <f t="shared" si="2"/>
        <v>917</v>
      </c>
    </row>
    <row r="42" spans="1:16" x14ac:dyDescent="0.3">
      <c r="A42" s="449" t="s">
        <v>98</v>
      </c>
      <c r="B42" s="532" t="s">
        <v>99</v>
      </c>
      <c r="C42" s="532" t="s">
        <v>256</v>
      </c>
      <c r="D42" s="266">
        <v>56</v>
      </c>
      <c r="E42" s="266">
        <v>50</v>
      </c>
      <c r="F42" s="266">
        <v>56</v>
      </c>
      <c r="G42" s="266">
        <v>55</v>
      </c>
      <c r="H42" s="266">
        <v>135</v>
      </c>
      <c r="I42" s="266">
        <v>129</v>
      </c>
      <c r="J42" s="266">
        <v>118</v>
      </c>
      <c r="K42" s="266">
        <v>84</v>
      </c>
      <c r="L42" s="266">
        <v>99</v>
      </c>
      <c r="M42" s="266">
        <v>77</v>
      </c>
      <c r="N42" s="266">
        <v>69</v>
      </c>
      <c r="O42" s="266">
        <v>65</v>
      </c>
      <c r="P42" s="266">
        <f t="shared" si="2"/>
        <v>993</v>
      </c>
    </row>
    <row r="43" spans="1:16" x14ac:dyDescent="0.3">
      <c r="A43" s="449" t="s">
        <v>100</v>
      </c>
      <c r="B43" s="532" t="s">
        <v>101</v>
      </c>
      <c r="C43" s="532" t="s">
        <v>255</v>
      </c>
      <c r="D43" s="266">
        <v>46</v>
      </c>
      <c r="E43" s="266">
        <v>49</v>
      </c>
      <c r="F43" s="266">
        <v>37</v>
      </c>
      <c r="G43" s="266">
        <v>55</v>
      </c>
      <c r="H43" s="266">
        <v>155</v>
      </c>
      <c r="I43" s="266">
        <v>143</v>
      </c>
      <c r="J43" s="266">
        <v>109</v>
      </c>
      <c r="K43" s="266">
        <v>90</v>
      </c>
      <c r="L43" s="266">
        <v>76</v>
      </c>
      <c r="M43" s="266">
        <v>69</v>
      </c>
      <c r="N43" s="266">
        <v>83</v>
      </c>
      <c r="O43" s="266">
        <v>78</v>
      </c>
      <c r="P43" s="266">
        <f t="shared" si="2"/>
        <v>990</v>
      </c>
    </row>
    <row r="44" spans="1:16" x14ac:dyDescent="0.3">
      <c r="A44" s="449" t="s">
        <v>102</v>
      </c>
      <c r="B44" s="532" t="s">
        <v>270</v>
      </c>
      <c r="C44" s="532" t="s">
        <v>252</v>
      </c>
      <c r="D44" s="266">
        <v>66</v>
      </c>
      <c r="E44" s="266">
        <v>73</v>
      </c>
      <c r="F44" s="266">
        <v>56</v>
      </c>
      <c r="G44" s="266">
        <v>82</v>
      </c>
      <c r="H44" s="266">
        <v>187</v>
      </c>
      <c r="I44" s="266">
        <v>134</v>
      </c>
      <c r="J44" s="266">
        <v>123</v>
      </c>
      <c r="K44" s="266">
        <v>89</v>
      </c>
      <c r="L44" s="266">
        <v>112</v>
      </c>
      <c r="M44" s="266">
        <v>99</v>
      </c>
      <c r="N44" s="266">
        <v>97</v>
      </c>
      <c r="O44" s="266">
        <v>89</v>
      </c>
      <c r="P44" s="266">
        <f t="shared" si="2"/>
        <v>1207</v>
      </c>
    </row>
    <row r="45" spans="1:16" x14ac:dyDescent="0.3">
      <c r="A45" s="449" t="s">
        <v>104</v>
      </c>
      <c r="B45" s="532" t="s">
        <v>105</v>
      </c>
      <c r="C45" s="532" t="s">
        <v>253</v>
      </c>
      <c r="D45" s="266">
        <v>122</v>
      </c>
      <c r="E45" s="266">
        <v>130</v>
      </c>
      <c r="F45" s="266">
        <v>103</v>
      </c>
      <c r="G45" s="266">
        <v>133</v>
      </c>
      <c r="H45" s="266">
        <v>318</v>
      </c>
      <c r="I45" s="266">
        <v>285</v>
      </c>
      <c r="J45" s="266">
        <v>212</v>
      </c>
      <c r="K45" s="266">
        <v>193</v>
      </c>
      <c r="L45" s="266">
        <v>178</v>
      </c>
      <c r="M45" s="266">
        <v>170</v>
      </c>
      <c r="N45" s="266">
        <v>172</v>
      </c>
      <c r="O45" s="266">
        <v>141</v>
      </c>
      <c r="P45" s="266">
        <f t="shared" si="2"/>
        <v>2157</v>
      </c>
    </row>
    <row r="46" spans="1:16" x14ac:dyDescent="0.3">
      <c r="A46" s="449" t="s">
        <v>108</v>
      </c>
      <c r="B46" s="532" t="s">
        <v>109</v>
      </c>
      <c r="C46" s="532" t="s">
        <v>254</v>
      </c>
      <c r="D46" s="266">
        <v>189</v>
      </c>
      <c r="E46" s="266">
        <v>161</v>
      </c>
      <c r="F46" s="266">
        <v>151</v>
      </c>
      <c r="G46" s="266">
        <v>216</v>
      </c>
      <c r="H46" s="266">
        <v>689</v>
      </c>
      <c r="I46" s="266">
        <v>661</v>
      </c>
      <c r="J46" s="266">
        <v>350</v>
      </c>
      <c r="K46" s="266">
        <v>269</v>
      </c>
      <c r="L46" s="266">
        <v>261</v>
      </c>
      <c r="M46" s="266">
        <v>216</v>
      </c>
      <c r="N46" s="266">
        <v>246</v>
      </c>
      <c r="O46" s="266">
        <v>197</v>
      </c>
      <c r="P46" s="266">
        <f t="shared" si="2"/>
        <v>3606</v>
      </c>
    </row>
    <row r="47" spans="1:16" x14ac:dyDescent="0.3">
      <c r="A47" s="449" t="s">
        <v>110</v>
      </c>
      <c r="B47" s="532" t="s">
        <v>111</v>
      </c>
      <c r="C47" s="532" t="s">
        <v>254</v>
      </c>
      <c r="D47" s="266">
        <v>913</v>
      </c>
      <c r="E47" s="266">
        <v>972</v>
      </c>
      <c r="F47" s="266">
        <v>898</v>
      </c>
      <c r="G47" s="266">
        <v>1011</v>
      </c>
      <c r="H47" s="266">
        <v>3074</v>
      </c>
      <c r="I47" s="266">
        <v>3008</v>
      </c>
      <c r="J47" s="266">
        <v>1772</v>
      </c>
      <c r="K47" s="266">
        <v>1491</v>
      </c>
      <c r="L47" s="266">
        <v>1465</v>
      </c>
      <c r="M47" s="266">
        <v>1487</v>
      </c>
      <c r="N47" s="266">
        <v>1420</v>
      </c>
      <c r="O47" s="266">
        <v>1272</v>
      </c>
      <c r="P47" s="266">
        <f t="shared" si="2"/>
        <v>18783</v>
      </c>
    </row>
    <row r="48" spans="1:16" x14ac:dyDescent="0.3">
      <c r="A48" s="449" t="s">
        <v>112</v>
      </c>
      <c r="B48" s="532" t="s">
        <v>288</v>
      </c>
      <c r="C48" s="532" t="s">
        <v>253</v>
      </c>
      <c r="D48" s="266">
        <v>246</v>
      </c>
      <c r="E48" s="266">
        <v>286</v>
      </c>
      <c r="F48" s="266">
        <v>232</v>
      </c>
      <c r="G48" s="266">
        <v>278</v>
      </c>
      <c r="H48" s="266">
        <v>671</v>
      </c>
      <c r="I48" s="266">
        <v>599</v>
      </c>
      <c r="J48" s="266">
        <v>570</v>
      </c>
      <c r="K48" s="266">
        <v>446</v>
      </c>
      <c r="L48" s="266">
        <v>489</v>
      </c>
      <c r="M48" s="266">
        <v>494</v>
      </c>
      <c r="N48" s="266">
        <v>437</v>
      </c>
      <c r="O48" s="266">
        <v>396</v>
      </c>
      <c r="P48" s="266">
        <f t="shared" si="2"/>
        <v>5144</v>
      </c>
    </row>
    <row r="49" spans="1:16" x14ac:dyDescent="0.3">
      <c r="A49" s="449" t="s">
        <v>114</v>
      </c>
      <c r="B49" s="532" t="s">
        <v>115</v>
      </c>
      <c r="C49" s="532" t="s">
        <v>253</v>
      </c>
      <c r="D49" s="266">
        <v>2</v>
      </c>
      <c r="E49" s="266">
        <v>5</v>
      </c>
      <c r="F49" s="266">
        <v>2</v>
      </c>
      <c r="G49" s="266">
        <v>5</v>
      </c>
      <c r="H49" s="266">
        <v>36</v>
      </c>
      <c r="I49" s="266">
        <v>39</v>
      </c>
      <c r="J49" s="266">
        <v>22</v>
      </c>
      <c r="K49" s="266">
        <v>17</v>
      </c>
      <c r="L49" s="266">
        <v>18</v>
      </c>
      <c r="M49" s="266">
        <v>13</v>
      </c>
      <c r="N49" s="266">
        <v>11</v>
      </c>
      <c r="O49" s="266">
        <v>10</v>
      </c>
      <c r="P49" s="266">
        <f t="shared" si="2"/>
        <v>180</v>
      </c>
    </row>
    <row r="50" spans="1:16" x14ac:dyDescent="0.3">
      <c r="A50" s="449" t="s">
        <v>118</v>
      </c>
      <c r="B50" s="532" t="s">
        <v>258</v>
      </c>
      <c r="C50" s="532" t="s">
        <v>252</v>
      </c>
      <c r="D50" s="266">
        <v>97</v>
      </c>
      <c r="E50" s="266">
        <v>79</v>
      </c>
      <c r="F50" s="266">
        <v>82</v>
      </c>
      <c r="G50" s="266">
        <v>92</v>
      </c>
      <c r="H50" s="266">
        <v>251</v>
      </c>
      <c r="I50" s="266">
        <v>228</v>
      </c>
      <c r="J50" s="266">
        <v>179</v>
      </c>
      <c r="K50" s="266">
        <v>149</v>
      </c>
      <c r="L50" s="266">
        <v>130</v>
      </c>
      <c r="M50" s="266">
        <v>140</v>
      </c>
      <c r="N50" s="266">
        <v>118</v>
      </c>
      <c r="O50" s="266">
        <v>104</v>
      </c>
      <c r="P50" s="266">
        <f t="shared" si="2"/>
        <v>1649</v>
      </c>
    </row>
    <row r="51" spans="1:16" x14ac:dyDescent="0.3">
      <c r="A51" s="449" t="s">
        <v>120</v>
      </c>
      <c r="B51" s="532" t="s">
        <v>121</v>
      </c>
      <c r="C51" s="532" t="s">
        <v>252</v>
      </c>
      <c r="D51" s="266">
        <v>143</v>
      </c>
      <c r="E51" s="266">
        <v>162</v>
      </c>
      <c r="F51" s="266">
        <v>123</v>
      </c>
      <c r="G51" s="266">
        <v>134</v>
      </c>
      <c r="H51" s="266">
        <v>523</v>
      </c>
      <c r="I51" s="266">
        <v>514</v>
      </c>
      <c r="J51" s="266">
        <v>252</v>
      </c>
      <c r="K51" s="266">
        <v>187</v>
      </c>
      <c r="L51" s="266">
        <v>199</v>
      </c>
      <c r="M51" s="266">
        <v>204</v>
      </c>
      <c r="N51" s="266">
        <v>179</v>
      </c>
      <c r="O51" s="266">
        <v>169</v>
      </c>
      <c r="P51" s="266">
        <f t="shared" si="2"/>
        <v>2789</v>
      </c>
    </row>
    <row r="52" spans="1:16" x14ac:dyDescent="0.3">
      <c r="A52" s="449" t="s">
        <v>122</v>
      </c>
      <c r="B52" s="532" t="s">
        <v>275</v>
      </c>
      <c r="C52" s="532" t="s">
        <v>254</v>
      </c>
      <c r="D52" s="266">
        <v>16</v>
      </c>
      <c r="E52" s="266">
        <v>29</v>
      </c>
      <c r="F52" s="266">
        <v>17</v>
      </c>
      <c r="G52" s="266">
        <v>23</v>
      </c>
      <c r="H52" s="266">
        <v>86</v>
      </c>
      <c r="I52" s="266">
        <v>89</v>
      </c>
      <c r="J52" s="266">
        <v>29</v>
      </c>
      <c r="K52" s="266">
        <v>37</v>
      </c>
      <c r="L52" s="266">
        <v>37</v>
      </c>
      <c r="M52" s="266">
        <v>25</v>
      </c>
      <c r="N52" s="266">
        <v>37</v>
      </c>
      <c r="O52" s="266">
        <v>35</v>
      </c>
      <c r="P52" s="266">
        <f t="shared" si="2"/>
        <v>460</v>
      </c>
    </row>
    <row r="53" spans="1:16" x14ac:dyDescent="0.3">
      <c r="A53" s="449" t="s">
        <v>124</v>
      </c>
      <c r="B53" s="532" t="s">
        <v>125</v>
      </c>
      <c r="C53" s="532" t="s">
        <v>255</v>
      </c>
      <c r="D53" s="266">
        <v>73</v>
      </c>
      <c r="E53" s="266">
        <v>68</v>
      </c>
      <c r="F53" s="266">
        <v>39</v>
      </c>
      <c r="G53" s="266">
        <v>56</v>
      </c>
      <c r="H53" s="266">
        <v>156</v>
      </c>
      <c r="I53" s="266">
        <v>155</v>
      </c>
      <c r="J53" s="266">
        <v>107</v>
      </c>
      <c r="K53" s="266">
        <v>96</v>
      </c>
      <c r="L53" s="266">
        <v>115</v>
      </c>
      <c r="M53" s="266">
        <v>79</v>
      </c>
      <c r="N53" s="266">
        <v>100</v>
      </c>
      <c r="O53" s="266">
        <v>59</v>
      </c>
      <c r="P53" s="266">
        <f t="shared" si="2"/>
        <v>1103</v>
      </c>
    </row>
    <row r="54" spans="1:16" x14ac:dyDescent="0.3">
      <c r="A54" s="449" t="s">
        <v>126</v>
      </c>
      <c r="B54" s="532" t="s">
        <v>127</v>
      </c>
      <c r="C54" s="532" t="s">
        <v>254</v>
      </c>
      <c r="D54" s="266">
        <v>54</v>
      </c>
      <c r="E54" s="266">
        <v>35</v>
      </c>
      <c r="F54" s="266">
        <v>34</v>
      </c>
      <c r="G54" s="266">
        <v>37</v>
      </c>
      <c r="H54" s="266">
        <v>147</v>
      </c>
      <c r="I54" s="266">
        <v>137</v>
      </c>
      <c r="J54" s="266">
        <v>94</v>
      </c>
      <c r="K54" s="266">
        <v>62</v>
      </c>
      <c r="L54" s="266">
        <v>79</v>
      </c>
      <c r="M54" s="266">
        <v>71</v>
      </c>
      <c r="N54" s="266">
        <v>53</v>
      </c>
      <c r="O54" s="266">
        <v>69</v>
      </c>
      <c r="P54" s="266">
        <f t="shared" si="2"/>
        <v>872</v>
      </c>
    </row>
    <row r="55" spans="1:16" x14ac:dyDescent="0.3">
      <c r="A55" s="449" t="s">
        <v>128</v>
      </c>
      <c r="B55" s="532" t="s">
        <v>129</v>
      </c>
      <c r="C55" s="532" t="s">
        <v>254</v>
      </c>
      <c r="D55" s="266">
        <v>27</v>
      </c>
      <c r="E55" s="266">
        <v>37</v>
      </c>
      <c r="F55" s="266">
        <v>26</v>
      </c>
      <c r="G55" s="266">
        <v>31</v>
      </c>
      <c r="H55" s="266">
        <v>77</v>
      </c>
      <c r="I55" s="266">
        <v>94</v>
      </c>
      <c r="J55" s="266">
        <v>65</v>
      </c>
      <c r="K55" s="266">
        <v>46</v>
      </c>
      <c r="L55" s="266">
        <v>41</v>
      </c>
      <c r="M55" s="266">
        <v>43</v>
      </c>
      <c r="N55" s="266">
        <v>62</v>
      </c>
      <c r="O55" s="266">
        <v>42</v>
      </c>
      <c r="P55" s="266">
        <f t="shared" si="2"/>
        <v>591</v>
      </c>
    </row>
    <row r="56" spans="1:16" x14ac:dyDescent="0.3">
      <c r="A56" s="449" t="s">
        <v>130</v>
      </c>
      <c r="B56" s="532" t="s">
        <v>131</v>
      </c>
      <c r="C56" s="532" t="s">
        <v>256</v>
      </c>
      <c r="D56" s="266">
        <v>72</v>
      </c>
      <c r="E56" s="266">
        <v>56</v>
      </c>
      <c r="F56" s="266">
        <v>69</v>
      </c>
      <c r="G56" s="266">
        <v>68</v>
      </c>
      <c r="H56" s="266">
        <v>195</v>
      </c>
      <c r="I56" s="266">
        <v>191</v>
      </c>
      <c r="J56" s="266">
        <v>199</v>
      </c>
      <c r="K56" s="266">
        <v>165</v>
      </c>
      <c r="L56" s="266">
        <v>153</v>
      </c>
      <c r="M56" s="266">
        <v>124</v>
      </c>
      <c r="N56" s="266">
        <v>136</v>
      </c>
      <c r="O56" s="266">
        <v>128</v>
      </c>
      <c r="P56" s="266">
        <f t="shared" si="2"/>
        <v>1556</v>
      </c>
    </row>
    <row r="57" spans="1:16" x14ac:dyDescent="0.3">
      <c r="A57" s="449" t="s">
        <v>132</v>
      </c>
      <c r="B57" s="532" t="s">
        <v>133</v>
      </c>
      <c r="C57" s="532" t="s">
        <v>255</v>
      </c>
      <c r="D57" s="266">
        <v>595</v>
      </c>
      <c r="E57" s="266">
        <v>645</v>
      </c>
      <c r="F57" s="266">
        <v>501</v>
      </c>
      <c r="G57" s="266">
        <v>586</v>
      </c>
      <c r="H57" s="266">
        <v>2554</v>
      </c>
      <c r="I57" s="266">
        <v>2636</v>
      </c>
      <c r="J57" s="266">
        <v>931</v>
      </c>
      <c r="K57" s="266">
        <v>730</v>
      </c>
      <c r="L57" s="266">
        <v>830</v>
      </c>
      <c r="M57" s="266">
        <v>767</v>
      </c>
      <c r="N57" s="266">
        <v>877</v>
      </c>
      <c r="O57" s="266">
        <v>729</v>
      </c>
      <c r="P57" s="266">
        <f t="shared" si="2"/>
        <v>12381</v>
      </c>
    </row>
    <row r="58" spans="1:16" x14ac:dyDescent="0.3">
      <c r="A58" s="449" t="s">
        <v>134</v>
      </c>
      <c r="B58" s="532" t="s">
        <v>135</v>
      </c>
      <c r="C58" s="532" t="s">
        <v>255</v>
      </c>
      <c r="D58" s="266">
        <v>100</v>
      </c>
      <c r="E58" s="266">
        <v>99</v>
      </c>
      <c r="F58" s="266">
        <v>77</v>
      </c>
      <c r="G58" s="266">
        <v>104</v>
      </c>
      <c r="H58" s="266">
        <v>342</v>
      </c>
      <c r="I58" s="266">
        <v>284</v>
      </c>
      <c r="J58" s="266">
        <v>198</v>
      </c>
      <c r="K58" s="266">
        <v>189</v>
      </c>
      <c r="L58" s="266">
        <v>192</v>
      </c>
      <c r="M58" s="266">
        <v>187</v>
      </c>
      <c r="N58" s="266">
        <v>188</v>
      </c>
      <c r="O58" s="266">
        <v>151</v>
      </c>
      <c r="P58" s="266">
        <f t="shared" si="2"/>
        <v>2111</v>
      </c>
    </row>
    <row r="59" spans="1:16" x14ac:dyDescent="0.3">
      <c r="A59" s="449" t="s">
        <v>136</v>
      </c>
      <c r="B59" s="532" t="s">
        <v>137</v>
      </c>
      <c r="C59" s="532" t="s">
        <v>254</v>
      </c>
      <c r="D59" s="266">
        <v>40</v>
      </c>
      <c r="E59" s="266">
        <v>35</v>
      </c>
      <c r="F59" s="266">
        <v>46</v>
      </c>
      <c r="G59" s="266">
        <v>40</v>
      </c>
      <c r="H59" s="266">
        <v>109</v>
      </c>
      <c r="I59" s="266">
        <v>82</v>
      </c>
      <c r="J59" s="266">
        <v>67</v>
      </c>
      <c r="K59" s="266">
        <v>66</v>
      </c>
      <c r="L59" s="266">
        <v>60</v>
      </c>
      <c r="M59" s="266">
        <v>55</v>
      </c>
      <c r="N59" s="266">
        <v>45</v>
      </c>
      <c r="O59" s="266">
        <v>55</v>
      </c>
      <c r="P59" s="266">
        <f t="shared" si="2"/>
        <v>700</v>
      </c>
    </row>
    <row r="60" spans="1:16" x14ac:dyDescent="0.3">
      <c r="A60" s="449" t="s">
        <v>140</v>
      </c>
      <c r="B60" s="532" t="s">
        <v>141</v>
      </c>
      <c r="C60" s="532" t="s">
        <v>255</v>
      </c>
      <c r="D60" s="266">
        <v>40</v>
      </c>
      <c r="E60" s="266">
        <v>34</v>
      </c>
      <c r="F60" s="266">
        <v>32</v>
      </c>
      <c r="G60" s="266">
        <v>48</v>
      </c>
      <c r="H60" s="266">
        <v>122</v>
      </c>
      <c r="I60" s="266">
        <v>103</v>
      </c>
      <c r="J60" s="266">
        <v>67</v>
      </c>
      <c r="K60" s="266">
        <v>60</v>
      </c>
      <c r="L60" s="266">
        <v>79</v>
      </c>
      <c r="M60" s="266">
        <v>54</v>
      </c>
      <c r="N60" s="266">
        <v>47</v>
      </c>
      <c r="O60" s="266">
        <v>54</v>
      </c>
      <c r="P60" s="266">
        <f t="shared" si="2"/>
        <v>740</v>
      </c>
    </row>
    <row r="61" spans="1:16" x14ac:dyDescent="0.3">
      <c r="A61" s="449" t="s">
        <v>146</v>
      </c>
      <c r="B61" s="532" t="s">
        <v>147</v>
      </c>
      <c r="C61" s="532" t="s">
        <v>252</v>
      </c>
      <c r="D61" s="266">
        <v>22</v>
      </c>
      <c r="E61" s="266">
        <v>22</v>
      </c>
      <c r="F61" s="266">
        <v>20</v>
      </c>
      <c r="G61" s="266">
        <v>16</v>
      </c>
      <c r="H61" s="266">
        <v>79</v>
      </c>
      <c r="I61" s="266">
        <v>87</v>
      </c>
      <c r="J61" s="266">
        <v>55</v>
      </c>
      <c r="K61" s="266">
        <v>41</v>
      </c>
      <c r="L61" s="266">
        <v>39</v>
      </c>
      <c r="M61" s="266">
        <v>25</v>
      </c>
      <c r="N61" s="266">
        <v>36</v>
      </c>
      <c r="O61" s="266">
        <v>33</v>
      </c>
      <c r="P61" s="266">
        <f t="shared" si="2"/>
        <v>475</v>
      </c>
    </row>
    <row r="62" spans="1:16" x14ac:dyDescent="0.3">
      <c r="A62" s="449" t="s">
        <v>148</v>
      </c>
      <c r="B62" s="532" t="s">
        <v>149</v>
      </c>
      <c r="C62" s="532" t="s">
        <v>253</v>
      </c>
      <c r="D62" s="266">
        <v>117</v>
      </c>
      <c r="E62" s="266">
        <v>121</v>
      </c>
      <c r="F62" s="266">
        <v>81</v>
      </c>
      <c r="G62" s="266">
        <v>106</v>
      </c>
      <c r="H62" s="266">
        <v>311</v>
      </c>
      <c r="I62" s="266">
        <v>245</v>
      </c>
      <c r="J62" s="266">
        <v>217</v>
      </c>
      <c r="K62" s="266">
        <v>165</v>
      </c>
      <c r="L62" s="266">
        <v>170</v>
      </c>
      <c r="M62" s="266">
        <v>161</v>
      </c>
      <c r="N62" s="266">
        <v>148</v>
      </c>
      <c r="O62" s="266">
        <v>135</v>
      </c>
      <c r="P62" s="266">
        <f t="shared" si="2"/>
        <v>1977</v>
      </c>
    </row>
    <row r="63" spans="1:16" x14ac:dyDescent="0.3">
      <c r="A63" s="449" t="s">
        <v>150</v>
      </c>
      <c r="B63" s="532" t="s">
        <v>151</v>
      </c>
      <c r="C63" s="532" t="s">
        <v>254</v>
      </c>
      <c r="D63" s="266">
        <v>31</v>
      </c>
      <c r="E63" s="266">
        <v>45</v>
      </c>
      <c r="F63" s="266">
        <v>33</v>
      </c>
      <c r="G63" s="266">
        <v>30</v>
      </c>
      <c r="H63" s="266">
        <v>89</v>
      </c>
      <c r="I63" s="266">
        <v>94</v>
      </c>
      <c r="J63" s="266">
        <v>65</v>
      </c>
      <c r="K63" s="266">
        <v>47</v>
      </c>
      <c r="L63" s="266">
        <v>63</v>
      </c>
      <c r="M63" s="266">
        <v>55</v>
      </c>
      <c r="N63" s="266">
        <v>48</v>
      </c>
      <c r="O63" s="266">
        <v>46</v>
      </c>
      <c r="P63" s="266">
        <f t="shared" si="2"/>
        <v>646</v>
      </c>
    </row>
    <row r="64" spans="1:16" x14ac:dyDescent="0.3">
      <c r="A64" s="449" t="s">
        <v>152</v>
      </c>
      <c r="B64" s="532" t="s">
        <v>153</v>
      </c>
      <c r="C64" s="532" t="s">
        <v>256</v>
      </c>
      <c r="D64" s="266">
        <v>189</v>
      </c>
      <c r="E64" s="266">
        <v>181</v>
      </c>
      <c r="F64" s="266">
        <v>181</v>
      </c>
      <c r="G64" s="266">
        <v>166</v>
      </c>
      <c r="H64" s="266">
        <v>621</v>
      </c>
      <c r="I64" s="266">
        <v>655</v>
      </c>
      <c r="J64" s="266">
        <v>393</v>
      </c>
      <c r="K64" s="266">
        <v>294</v>
      </c>
      <c r="L64" s="266">
        <v>296</v>
      </c>
      <c r="M64" s="266">
        <v>272</v>
      </c>
      <c r="N64" s="266">
        <v>235</v>
      </c>
      <c r="O64" s="266">
        <v>262</v>
      </c>
      <c r="P64" s="266">
        <f t="shared" si="2"/>
        <v>3745</v>
      </c>
    </row>
    <row r="65" spans="1:16" x14ac:dyDescent="0.3">
      <c r="A65" s="449" t="s">
        <v>154</v>
      </c>
      <c r="B65" s="532" t="s">
        <v>155</v>
      </c>
      <c r="C65" s="532" t="s">
        <v>253</v>
      </c>
      <c r="D65" s="266">
        <v>30</v>
      </c>
      <c r="E65" s="266">
        <v>48</v>
      </c>
      <c r="F65" s="266">
        <v>32</v>
      </c>
      <c r="G65" s="266">
        <v>43</v>
      </c>
      <c r="H65" s="266">
        <v>118</v>
      </c>
      <c r="I65" s="266">
        <v>117</v>
      </c>
      <c r="J65" s="266">
        <v>65</v>
      </c>
      <c r="K65" s="266">
        <v>53</v>
      </c>
      <c r="L65" s="266">
        <v>77</v>
      </c>
      <c r="M65" s="266">
        <v>57</v>
      </c>
      <c r="N65" s="266">
        <v>52</v>
      </c>
      <c r="O65" s="266">
        <v>56</v>
      </c>
      <c r="P65" s="266">
        <f t="shared" si="2"/>
        <v>748</v>
      </c>
    </row>
    <row r="66" spans="1:16" x14ac:dyDescent="0.3">
      <c r="A66" s="449" t="s">
        <v>156</v>
      </c>
      <c r="B66" s="532" t="s">
        <v>157</v>
      </c>
      <c r="C66" s="532" t="s">
        <v>254</v>
      </c>
      <c r="D66" s="266">
        <v>33</v>
      </c>
      <c r="E66" s="266">
        <v>31</v>
      </c>
      <c r="F66" s="266">
        <v>38</v>
      </c>
      <c r="G66" s="266">
        <v>49</v>
      </c>
      <c r="H66" s="266">
        <v>111</v>
      </c>
      <c r="I66" s="266">
        <v>127</v>
      </c>
      <c r="J66" s="266">
        <v>75</v>
      </c>
      <c r="K66" s="266">
        <v>54</v>
      </c>
      <c r="L66" s="266">
        <v>47</v>
      </c>
      <c r="M66" s="266">
        <v>39</v>
      </c>
      <c r="N66" s="266">
        <v>57</v>
      </c>
      <c r="O66" s="266">
        <v>49</v>
      </c>
      <c r="P66" s="266">
        <f t="shared" si="2"/>
        <v>710</v>
      </c>
    </row>
    <row r="67" spans="1:16" x14ac:dyDescent="0.3">
      <c r="A67" s="449" t="s">
        <v>162</v>
      </c>
      <c r="B67" s="532" t="s">
        <v>163</v>
      </c>
      <c r="C67" s="532" t="s">
        <v>252</v>
      </c>
      <c r="D67" s="266">
        <v>46</v>
      </c>
      <c r="E67" s="266">
        <v>48</v>
      </c>
      <c r="F67" s="266">
        <v>35</v>
      </c>
      <c r="G67" s="266">
        <v>76</v>
      </c>
      <c r="H67" s="266">
        <v>155</v>
      </c>
      <c r="I67" s="266">
        <v>152</v>
      </c>
      <c r="J67" s="266">
        <v>138</v>
      </c>
      <c r="K67" s="266">
        <v>76</v>
      </c>
      <c r="L67" s="266">
        <v>72</v>
      </c>
      <c r="M67" s="266">
        <v>70</v>
      </c>
      <c r="N67" s="266">
        <v>85</v>
      </c>
      <c r="O67" s="266">
        <v>68</v>
      </c>
      <c r="P67" s="266">
        <f t="shared" si="2"/>
        <v>1021</v>
      </c>
    </row>
    <row r="68" spans="1:16" x14ac:dyDescent="0.3">
      <c r="A68" s="449" t="s">
        <v>164</v>
      </c>
      <c r="B68" s="532" t="s">
        <v>165</v>
      </c>
      <c r="C68" s="532" t="s">
        <v>254</v>
      </c>
      <c r="D68" s="266">
        <v>32</v>
      </c>
      <c r="E68" s="266">
        <v>39</v>
      </c>
      <c r="F68" s="266">
        <v>23</v>
      </c>
      <c r="G68" s="266">
        <v>24</v>
      </c>
      <c r="H68" s="266">
        <v>103</v>
      </c>
      <c r="I68" s="266">
        <v>98</v>
      </c>
      <c r="J68" s="266">
        <v>66</v>
      </c>
      <c r="K68" s="266">
        <v>39</v>
      </c>
      <c r="L68" s="266">
        <v>58</v>
      </c>
      <c r="M68" s="266">
        <v>51</v>
      </c>
      <c r="N68" s="266">
        <v>51</v>
      </c>
      <c r="O68" s="266">
        <v>56</v>
      </c>
      <c r="P68" s="266">
        <f t="shared" si="2"/>
        <v>640</v>
      </c>
    </row>
    <row r="69" spans="1:16" x14ac:dyDescent="0.3">
      <c r="A69" s="449" t="s">
        <v>168</v>
      </c>
      <c r="B69" s="532" t="s">
        <v>169</v>
      </c>
      <c r="C69" s="532" t="s">
        <v>254</v>
      </c>
      <c r="D69" s="266">
        <v>50</v>
      </c>
      <c r="E69" s="266">
        <v>47</v>
      </c>
      <c r="F69" s="266">
        <v>41</v>
      </c>
      <c r="G69" s="266">
        <v>46</v>
      </c>
      <c r="H69" s="266">
        <v>134</v>
      </c>
      <c r="I69" s="266">
        <v>129</v>
      </c>
      <c r="J69" s="266">
        <v>92</v>
      </c>
      <c r="K69" s="266">
        <v>79</v>
      </c>
      <c r="L69" s="266">
        <v>85</v>
      </c>
      <c r="M69" s="266">
        <v>87</v>
      </c>
      <c r="N69" s="266">
        <v>77</v>
      </c>
      <c r="O69" s="266">
        <v>72</v>
      </c>
      <c r="P69" s="266">
        <f t="shared" ref="P69:P100" si="3">SUM(D69:O69)</f>
        <v>939</v>
      </c>
    </row>
    <row r="70" spans="1:16" x14ac:dyDescent="0.3">
      <c r="A70" s="449" t="s">
        <v>170</v>
      </c>
      <c r="B70" s="532" t="s">
        <v>171</v>
      </c>
      <c r="C70" s="532" t="s">
        <v>255</v>
      </c>
      <c r="D70" s="266">
        <v>91</v>
      </c>
      <c r="E70" s="266">
        <v>90</v>
      </c>
      <c r="F70" s="266">
        <v>79</v>
      </c>
      <c r="G70" s="266">
        <v>97</v>
      </c>
      <c r="H70" s="266">
        <v>304</v>
      </c>
      <c r="I70" s="266">
        <v>274</v>
      </c>
      <c r="J70" s="266">
        <v>196</v>
      </c>
      <c r="K70" s="266">
        <v>129</v>
      </c>
      <c r="L70" s="266">
        <v>165</v>
      </c>
      <c r="M70" s="266">
        <v>124</v>
      </c>
      <c r="N70" s="266">
        <v>137</v>
      </c>
      <c r="O70" s="266">
        <v>133</v>
      </c>
      <c r="P70" s="266">
        <f t="shared" si="3"/>
        <v>1819</v>
      </c>
    </row>
    <row r="71" spans="1:16" x14ac:dyDescent="0.3">
      <c r="A71" s="449" t="s">
        <v>172</v>
      </c>
      <c r="B71" s="532" t="s">
        <v>173</v>
      </c>
      <c r="C71" s="532" t="s">
        <v>255</v>
      </c>
      <c r="D71" s="266">
        <v>87</v>
      </c>
      <c r="E71" s="266">
        <v>91</v>
      </c>
      <c r="F71" s="266">
        <v>80</v>
      </c>
      <c r="G71" s="266">
        <v>106</v>
      </c>
      <c r="H71" s="266">
        <v>234</v>
      </c>
      <c r="I71" s="266">
        <v>223</v>
      </c>
      <c r="J71" s="266">
        <v>220</v>
      </c>
      <c r="K71" s="266">
        <v>153</v>
      </c>
      <c r="L71" s="266">
        <v>132</v>
      </c>
      <c r="M71" s="266">
        <v>168</v>
      </c>
      <c r="N71" s="266">
        <v>142</v>
      </c>
      <c r="O71" s="266">
        <v>120</v>
      </c>
      <c r="P71" s="266">
        <f t="shared" si="3"/>
        <v>1756</v>
      </c>
    </row>
    <row r="72" spans="1:16" x14ac:dyDescent="0.3">
      <c r="A72" s="449" t="s">
        <v>174</v>
      </c>
      <c r="B72" s="532" t="s">
        <v>175</v>
      </c>
      <c r="C72" s="532" t="s">
        <v>256</v>
      </c>
      <c r="D72" s="266">
        <v>55</v>
      </c>
      <c r="E72" s="266">
        <v>72</v>
      </c>
      <c r="F72" s="266">
        <v>47</v>
      </c>
      <c r="G72" s="266">
        <v>54</v>
      </c>
      <c r="H72" s="266">
        <v>134</v>
      </c>
      <c r="I72" s="266">
        <v>152</v>
      </c>
      <c r="J72" s="266">
        <v>105</v>
      </c>
      <c r="K72" s="266">
        <v>104</v>
      </c>
      <c r="L72" s="266">
        <v>83</v>
      </c>
      <c r="M72" s="266">
        <v>73</v>
      </c>
      <c r="N72" s="266">
        <v>79</v>
      </c>
      <c r="O72" s="266">
        <v>89</v>
      </c>
      <c r="P72" s="266">
        <f t="shared" si="3"/>
        <v>1047</v>
      </c>
    </row>
    <row r="73" spans="1:16" x14ac:dyDescent="0.3">
      <c r="A73" s="449" t="s">
        <v>178</v>
      </c>
      <c r="B73" s="532" t="s">
        <v>179</v>
      </c>
      <c r="C73" s="532" t="s">
        <v>253</v>
      </c>
      <c r="D73" s="266">
        <v>201</v>
      </c>
      <c r="E73" s="266">
        <v>201</v>
      </c>
      <c r="F73" s="266">
        <v>174</v>
      </c>
      <c r="G73" s="266">
        <v>186</v>
      </c>
      <c r="H73" s="266">
        <v>557</v>
      </c>
      <c r="I73" s="266">
        <v>525</v>
      </c>
      <c r="J73" s="266">
        <v>427</v>
      </c>
      <c r="K73" s="266">
        <v>313</v>
      </c>
      <c r="L73" s="266">
        <v>325</v>
      </c>
      <c r="M73" s="266">
        <v>271</v>
      </c>
      <c r="N73" s="266">
        <v>250</v>
      </c>
      <c r="O73" s="266">
        <v>258</v>
      </c>
      <c r="P73" s="266">
        <f t="shared" si="3"/>
        <v>3688</v>
      </c>
    </row>
    <row r="74" spans="1:16" x14ac:dyDescent="0.3">
      <c r="A74" s="449" t="s">
        <v>182</v>
      </c>
      <c r="B74" s="532" t="s">
        <v>183</v>
      </c>
      <c r="C74" s="532" t="s">
        <v>254</v>
      </c>
      <c r="D74" s="266">
        <v>52</v>
      </c>
      <c r="E74" s="266">
        <v>38</v>
      </c>
      <c r="F74" s="266">
        <v>36</v>
      </c>
      <c r="G74" s="266">
        <v>46</v>
      </c>
      <c r="H74" s="266">
        <v>175</v>
      </c>
      <c r="I74" s="266">
        <v>139</v>
      </c>
      <c r="J74" s="266">
        <v>100</v>
      </c>
      <c r="K74" s="266">
        <v>69</v>
      </c>
      <c r="L74" s="266">
        <v>75</v>
      </c>
      <c r="M74" s="266">
        <v>66</v>
      </c>
      <c r="N74" s="266">
        <v>152</v>
      </c>
      <c r="O74" s="266">
        <v>66</v>
      </c>
      <c r="P74" s="266">
        <f t="shared" si="3"/>
        <v>1014</v>
      </c>
    </row>
    <row r="75" spans="1:16" x14ac:dyDescent="0.3">
      <c r="A75" s="449" t="s">
        <v>184</v>
      </c>
      <c r="B75" s="532" t="s">
        <v>185</v>
      </c>
      <c r="C75" s="532" t="s">
        <v>254</v>
      </c>
      <c r="D75" s="266">
        <v>65</v>
      </c>
      <c r="E75" s="266">
        <v>52</v>
      </c>
      <c r="F75" s="266">
        <v>64</v>
      </c>
      <c r="G75" s="266">
        <v>68</v>
      </c>
      <c r="H75" s="266">
        <v>195</v>
      </c>
      <c r="I75" s="266">
        <v>156</v>
      </c>
      <c r="J75" s="266">
        <v>121</v>
      </c>
      <c r="K75" s="266">
        <v>118</v>
      </c>
      <c r="L75" s="266">
        <v>84</v>
      </c>
      <c r="M75" s="266">
        <v>84</v>
      </c>
      <c r="N75" s="266">
        <v>96</v>
      </c>
      <c r="O75" s="266">
        <v>93</v>
      </c>
      <c r="P75" s="266">
        <f t="shared" si="3"/>
        <v>1196</v>
      </c>
    </row>
    <row r="76" spans="1:16" x14ac:dyDescent="0.3">
      <c r="A76" s="449" t="s">
        <v>186</v>
      </c>
      <c r="B76" s="532" t="s">
        <v>187</v>
      </c>
      <c r="C76" s="532" t="s">
        <v>252</v>
      </c>
      <c r="D76" s="266">
        <v>72</v>
      </c>
      <c r="E76" s="266">
        <v>91</v>
      </c>
      <c r="F76" s="266">
        <v>66</v>
      </c>
      <c r="G76" s="266">
        <v>99</v>
      </c>
      <c r="H76" s="266">
        <v>227</v>
      </c>
      <c r="I76" s="266">
        <v>258</v>
      </c>
      <c r="J76" s="266">
        <v>191</v>
      </c>
      <c r="K76" s="266">
        <v>152</v>
      </c>
      <c r="L76" s="266">
        <v>140</v>
      </c>
      <c r="M76" s="266">
        <v>150</v>
      </c>
      <c r="N76" s="266">
        <v>159</v>
      </c>
      <c r="O76" s="266">
        <v>149</v>
      </c>
      <c r="P76" s="266">
        <f t="shared" si="3"/>
        <v>1754</v>
      </c>
    </row>
    <row r="77" spans="1:16" x14ac:dyDescent="0.3">
      <c r="A77" s="449" t="s">
        <v>188</v>
      </c>
      <c r="B77" s="532" t="s">
        <v>189</v>
      </c>
      <c r="C77" s="532" t="s">
        <v>255</v>
      </c>
      <c r="D77" s="266">
        <v>1176</v>
      </c>
      <c r="E77" s="266">
        <v>1370</v>
      </c>
      <c r="F77" s="266">
        <v>1123</v>
      </c>
      <c r="G77" s="266">
        <v>1369</v>
      </c>
      <c r="H77" s="266">
        <v>4383</v>
      </c>
      <c r="I77" s="266">
        <v>4468</v>
      </c>
      <c r="J77" s="266">
        <v>2035</v>
      </c>
      <c r="K77" s="266">
        <v>1587</v>
      </c>
      <c r="L77" s="266">
        <v>1731</v>
      </c>
      <c r="M77" s="266">
        <v>1683</v>
      </c>
      <c r="N77" s="266">
        <v>1801</v>
      </c>
      <c r="O77" s="266">
        <v>1542</v>
      </c>
      <c r="P77" s="266">
        <f t="shared" si="3"/>
        <v>24268</v>
      </c>
    </row>
    <row r="78" spans="1:16" x14ac:dyDescent="0.3">
      <c r="A78" s="449" t="s">
        <v>190</v>
      </c>
      <c r="B78" s="532" t="s">
        <v>191</v>
      </c>
      <c r="C78" s="532" t="s">
        <v>256</v>
      </c>
      <c r="D78" s="266">
        <v>106</v>
      </c>
      <c r="E78" s="266">
        <v>116</v>
      </c>
      <c r="F78" s="266">
        <v>101</v>
      </c>
      <c r="G78" s="266">
        <v>113</v>
      </c>
      <c r="H78" s="266">
        <v>266</v>
      </c>
      <c r="I78" s="266">
        <v>235</v>
      </c>
      <c r="J78" s="266">
        <v>223</v>
      </c>
      <c r="K78" s="266">
        <v>227</v>
      </c>
      <c r="L78" s="266">
        <v>202</v>
      </c>
      <c r="M78" s="266">
        <v>159</v>
      </c>
      <c r="N78" s="266">
        <v>173</v>
      </c>
      <c r="O78" s="266">
        <v>132</v>
      </c>
      <c r="P78" s="266">
        <f t="shared" si="3"/>
        <v>2053</v>
      </c>
    </row>
    <row r="79" spans="1:16" x14ac:dyDescent="0.3">
      <c r="A79" s="449" t="s">
        <v>194</v>
      </c>
      <c r="B79" s="532" t="s">
        <v>195</v>
      </c>
      <c r="C79" s="532" t="s">
        <v>255</v>
      </c>
      <c r="D79" s="266">
        <v>16</v>
      </c>
      <c r="E79" s="266">
        <v>25</v>
      </c>
      <c r="F79" s="266">
        <v>10</v>
      </c>
      <c r="G79" s="266">
        <v>16</v>
      </c>
      <c r="H79" s="266">
        <v>82</v>
      </c>
      <c r="I79" s="266">
        <v>68</v>
      </c>
      <c r="J79" s="266">
        <v>41</v>
      </c>
      <c r="K79" s="266">
        <v>33</v>
      </c>
      <c r="L79" s="266">
        <v>42</v>
      </c>
      <c r="M79" s="266">
        <v>31</v>
      </c>
      <c r="N79" s="266">
        <v>33</v>
      </c>
      <c r="O79" s="266">
        <v>34</v>
      </c>
      <c r="P79" s="266">
        <f t="shared" si="3"/>
        <v>431</v>
      </c>
    </row>
    <row r="80" spans="1:16" x14ac:dyDescent="0.3">
      <c r="A80" s="449" t="s">
        <v>198</v>
      </c>
      <c r="B80" s="532" t="s">
        <v>260</v>
      </c>
      <c r="C80" s="532" t="s">
        <v>254</v>
      </c>
      <c r="D80" s="266">
        <v>33</v>
      </c>
      <c r="E80" s="266">
        <v>37</v>
      </c>
      <c r="F80" s="266">
        <v>34</v>
      </c>
      <c r="G80" s="266">
        <v>23</v>
      </c>
      <c r="H80" s="266">
        <v>112</v>
      </c>
      <c r="I80" s="266">
        <v>120</v>
      </c>
      <c r="J80" s="266">
        <v>65</v>
      </c>
      <c r="K80" s="266">
        <v>37</v>
      </c>
      <c r="L80" s="266">
        <v>44</v>
      </c>
      <c r="M80" s="266">
        <v>34</v>
      </c>
      <c r="N80" s="266">
        <v>40</v>
      </c>
      <c r="O80" s="266">
        <v>38</v>
      </c>
      <c r="P80" s="266">
        <f t="shared" si="3"/>
        <v>617</v>
      </c>
    </row>
    <row r="81" spans="1:16" x14ac:dyDescent="0.3">
      <c r="A81" s="449" t="s">
        <v>202</v>
      </c>
      <c r="B81" s="532" t="s">
        <v>289</v>
      </c>
      <c r="C81" s="532" t="s">
        <v>253</v>
      </c>
      <c r="D81" s="266">
        <v>271</v>
      </c>
      <c r="E81" s="266">
        <v>282</v>
      </c>
      <c r="F81" s="266">
        <v>250</v>
      </c>
      <c r="G81" s="266">
        <v>301</v>
      </c>
      <c r="H81" s="266">
        <v>891</v>
      </c>
      <c r="I81" s="266">
        <v>820</v>
      </c>
      <c r="J81" s="266">
        <v>565</v>
      </c>
      <c r="K81" s="266">
        <v>372</v>
      </c>
      <c r="L81" s="266">
        <v>409</v>
      </c>
      <c r="M81" s="266">
        <v>423</v>
      </c>
      <c r="N81" s="266">
        <v>393</v>
      </c>
      <c r="O81" s="266">
        <v>422</v>
      </c>
      <c r="P81" s="266">
        <f t="shared" si="3"/>
        <v>5399</v>
      </c>
    </row>
    <row r="82" spans="1:16" x14ac:dyDescent="0.3">
      <c r="A82" s="449" t="s">
        <v>204</v>
      </c>
      <c r="B82" s="532" t="s">
        <v>281</v>
      </c>
      <c r="C82" s="532" t="s">
        <v>253</v>
      </c>
      <c r="D82" s="266">
        <v>94</v>
      </c>
      <c r="E82" s="266">
        <v>112</v>
      </c>
      <c r="F82" s="266">
        <v>85</v>
      </c>
      <c r="G82" s="266">
        <v>100</v>
      </c>
      <c r="H82" s="266">
        <v>303</v>
      </c>
      <c r="I82" s="266">
        <v>265</v>
      </c>
      <c r="J82" s="266">
        <v>211</v>
      </c>
      <c r="K82" s="266">
        <v>172</v>
      </c>
      <c r="L82" s="266">
        <v>180</v>
      </c>
      <c r="M82" s="266">
        <v>149</v>
      </c>
      <c r="N82" s="266">
        <v>160</v>
      </c>
      <c r="O82" s="266">
        <v>165</v>
      </c>
      <c r="P82" s="266">
        <f t="shared" si="3"/>
        <v>1996</v>
      </c>
    </row>
    <row r="83" spans="1:16" x14ac:dyDescent="0.3">
      <c r="A83" s="449" t="s">
        <v>206</v>
      </c>
      <c r="B83" s="532" t="s">
        <v>282</v>
      </c>
      <c r="C83" s="532" t="s">
        <v>255</v>
      </c>
      <c r="D83" s="266">
        <v>346</v>
      </c>
      <c r="E83" s="266">
        <v>373</v>
      </c>
      <c r="F83" s="266">
        <v>315</v>
      </c>
      <c r="G83" s="266">
        <v>469</v>
      </c>
      <c r="H83" s="266">
        <v>1026</v>
      </c>
      <c r="I83" s="266">
        <v>1005</v>
      </c>
      <c r="J83" s="266">
        <v>629</v>
      </c>
      <c r="K83" s="266">
        <v>543</v>
      </c>
      <c r="L83" s="266">
        <v>580</v>
      </c>
      <c r="M83" s="266">
        <v>554</v>
      </c>
      <c r="N83" s="266">
        <v>581</v>
      </c>
      <c r="O83" s="266">
        <v>476</v>
      </c>
      <c r="P83" s="266">
        <f t="shared" si="3"/>
        <v>6897</v>
      </c>
    </row>
    <row r="84" spans="1:16" x14ac:dyDescent="0.3">
      <c r="A84" s="449" t="s">
        <v>208</v>
      </c>
      <c r="B84" s="532" t="s">
        <v>209</v>
      </c>
      <c r="C84" s="532" t="s">
        <v>256</v>
      </c>
      <c r="D84" s="266">
        <v>82</v>
      </c>
      <c r="E84" s="266">
        <v>84</v>
      </c>
      <c r="F84" s="266">
        <v>81</v>
      </c>
      <c r="G84" s="266">
        <v>105</v>
      </c>
      <c r="H84" s="266">
        <v>286</v>
      </c>
      <c r="I84" s="266">
        <v>243</v>
      </c>
      <c r="J84" s="266">
        <v>230</v>
      </c>
      <c r="K84" s="266">
        <v>158</v>
      </c>
      <c r="L84" s="266">
        <v>137</v>
      </c>
      <c r="M84" s="266">
        <v>132</v>
      </c>
      <c r="N84" s="266">
        <v>134</v>
      </c>
      <c r="O84" s="266">
        <v>119</v>
      </c>
      <c r="P84" s="266">
        <f t="shared" si="3"/>
        <v>1791</v>
      </c>
    </row>
    <row r="85" spans="1:16" x14ac:dyDescent="0.3">
      <c r="A85" s="449" t="s">
        <v>210</v>
      </c>
      <c r="B85" s="532" t="s">
        <v>211</v>
      </c>
      <c r="C85" s="532" t="s">
        <v>256</v>
      </c>
      <c r="D85" s="266">
        <v>80</v>
      </c>
      <c r="E85" s="266">
        <v>103</v>
      </c>
      <c r="F85" s="266">
        <v>73</v>
      </c>
      <c r="G85" s="266">
        <v>91</v>
      </c>
      <c r="H85" s="266">
        <v>204</v>
      </c>
      <c r="I85" s="266">
        <v>137</v>
      </c>
      <c r="J85" s="266">
        <v>148</v>
      </c>
      <c r="K85" s="266">
        <v>133</v>
      </c>
      <c r="L85" s="266">
        <v>109</v>
      </c>
      <c r="M85" s="266">
        <v>128</v>
      </c>
      <c r="N85" s="266">
        <v>110</v>
      </c>
      <c r="O85" s="266">
        <v>107</v>
      </c>
      <c r="P85" s="266">
        <f t="shared" si="3"/>
        <v>1423</v>
      </c>
    </row>
    <row r="86" spans="1:16" x14ac:dyDescent="0.3">
      <c r="A86" s="449" t="s">
        <v>212</v>
      </c>
      <c r="B86" s="532" t="s">
        <v>213</v>
      </c>
      <c r="C86" s="532" t="s">
        <v>255</v>
      </c>
      <c r="D86" s="266">
        <v>110</v>
      </c>
      <c r="E86" s="266">
        <v>135</v>
      </c>
      <c r="F86" s="266">
        <v>112</v>
      </c>
      <c r="G86" s="266">
        <v>167</v>
      </c>
      <c r="H86" s="266">
        <v>359</v>
      </c>
      <c r="I86" s="266">
        <v>338</v>
      </c>
      <c r="J86" s="266">
        <v>248</v>
      </c>
      <c r="K86" s="266">
        <v>187</v>
      </c>
      <c r="L86" s="266">
        <v>193</v>
      </c>
      <c r="M86" s="266">
        <v>185</v>
      </c>
      <c r="N86" s="266">
        <v>210</v>
      </c>
      <c r="O86" s="266">
        <v>184</v>
      </c>
      <c r="P86" s="266">
        <f t="shared" si="3"/>
        <v>2428</v>
      </c>
    </row>
    <row r="87" spans="1:16" x14ac:dyDescent="0.3">
      <c r="A87" s="449" t="s">
        <v>214</v>
      </c>
      <c r="B87" s="532" t="s">
        <v>215</v>
      </c>
      <c r="C87" s="532" t="s">
        <v>256</v>
      </c>
      <c r="D87" s="266">
        <v>96</v>
      </c>
      <c r="E87" s="266">
        <v>138</v>
      </c>
      <c r="F87" s="266">
        <v>85</v>
      </c>
      <c r="G87" s="266">
        <v>117</v>
      </c>
      <c r="H87" s="266">
        <v>315</v>
      </c>
      <c r="I87" s="266">
        <v>288</v>
      </c>
      <c r="J87" s="266">
        <v>276</v>
      </c>
      <c r="K87" s="266">
        <v>215</v>
      </c>
      <c r="L87" s="266">
        <v>182</v>
      </c>
      <c r="M87" s="266">
        <v>201</v>
      </c>
      <c r="N87" s="266">
        <v>203</v>
      </c>
      <c r="O87" s="266">
        <v>200</v>
      </c>
      <c r="P87" s="266">
        <f t="shared" si="3"/>
        <v>2316</v>
      </c>
    </row>
    <row r="88" spans="1:16" x14ac:dyDescent="0.3">
      <c r="A88" s="449" t="s">
        <v>216</v>
      </c>
      <c r="B88" s="532" t="s">
        <v>217</v>
      </c>
      <c r="C88" s="532" t="s">
        <v>252</v>
      </c>
      <c r="D88" s="266">
        <v>50</v>
      </c>
      <c r="E88" s="266">
        <v>64</v>
      </c>
      <c r="F88" s="266">
        <v>54</v>
      </c>
      <c r="G88" s="266">
        <v>46</v>
      </c>
      <c r="H88" s="266">
        <v>169</v>
      </c>
      <c r="I88" s="266">
        <v>136</v>
      </c>
      <c r="J88" s="266">
        <v>113</v>
      </c>
      <c r="K88" s="266">
        <v>92</v>
      </c>
      <c r="L88" s="266">
        <v>109</v>
      </c>
      <c r="M88" s="266">
        <v>88</v>
      </c>
      <c r="N88" s="266">
        <v>81</v>
      </c>
      <c r="O88" s="266">
        <v>68</v>
      </c>
      <c r="P88" s="266">
        <f t="shared" si="3"/>
        <v>1070</v>
      </c>
    </row>
    <row r="89" spans="1:16" x14ac:dyDescent="0.3">
      <c r="A89" s="449" t="s">
        <v>218</v>
      </c>
      <c r="B89" s="532" t="s">
        <v>219</v>
      </c>
      <c r="C89" s="532" t="s">
        <v>255</v>
      </c>
      <c r="D89" s="266">
        <v>347</v>
      </c>
      <c r="E89" s="266">
        <v>410</v>
      </c>
      <c r="F89" s="266">
        <v>325</v>
      </c>
      <c r="G89" s="266">
        <v>440</v>
      </c>
      <c r="H89" s="266">
        <v>1003</v>
      </c>
      <c r="I89" s="266">
        <v>969</v>
      </c>
      <c r="J89" s="266">
        <v>657</v>
      </c>
      <c r="K89" s="266">
        <v>460</v>
      </c>
      <c r="L89" s="266">
        <v>565</v>
      </c>
      <c r="M89" s="266">
        <v>512</v>
      </c>
      <c r="N89" s="266">
        <v>506</v>
      </c>
      <c r="O89" s="266">
        <v>425</v>
      </c>
      <c r="P89" s="266">
        <f t="shared" si="3"/>
        <v>6619</v>
      </c>
    </row>
    <row r="90" spans="1:16" x14ac:dyDescent="0.3">
      <c r="A90" s="449" t="s">
        <v>220</v>
      </c>
      <c r="B90" s="532" t="s">
        <v>221</v>
      </c>
      <c r="C90" s="532" t="s">
        <v>255</v>
      </c>
      <c r="D90" s="266">
        <v>333</v>
      </c>
      <c r="E90" s="266">
        <v>335</v>
      </c>
      <c r="F90" s="266">
        <v>265</v>
      </c>
      <c r="G90" s="266">
        <v>326</v>
      </c>
      <c r="H90" s="266">
        <v>1031</v>
      </c>
      <c r="I90" s="266">
        <v>980</v>
      </c>
      <c r="J90" s="266">
        <v>582</v>
      </c>
      <c r="K90" s="266">
        <v>450</v>
      </c>
      <c r="L90" s="266">
        <v>475</v>
      </c>
      <c r="M90" s="266">
        <v>455</v>
      </c>
      <c r="N90" s="266">
        <v>480</v>
      </c>
      <c r="O90" s="266">
        <v>391</v>
      </c>
      <c r="P90" s="266">
        <f t="shared" si="3"/>
        <v>6103</v>
      </c>
    </row>
    <row r="91" spans="1:16" x14ac:dyDescent="0.3">
      <c r="A91" s="449" t="s">
        <v>224</v>
      </c>
      <c r="B91" s="532" t="s">
        <v>225</v>
      </c>
      <c r="C91" s="532" t="s">
        <v>252</v>
      </c>
      <c r="D91" s="266">
        <v>21</v>
      </c>
      <c r="E91" s="266">
        <v>20</v>
      </c>
      <c r="F91" s="266">
        <v>8</v>
      </c>
      <c r="G91" s="266">
        <v>30</v>
      </c>
      <c r="H91" s="266">
        <v>62</v>
      </c>
      <c r="I91" s="266">
        <v>72</v>
      </c>
      <c r="J91" s="266">
        <v>45</v>
      </c>
      <c r="K91" s="266">
        <v>30</v>
      </c>
      <c r="L91" s="266">
        <v>35</v>
      </c>
      <c r="M91" s="266">
        <v>27</v>
      </c>
      <c r="N91" s="266">
        <v>22</v>
      </c>
      <c r="O91" s="266">
        <v>30</v>
      </c>
      <c r="P91" s="266">
        <f t="shared" si="3"/>
        <v>402</v>
      </c>
    </row>
    <row r="92" spans="1:16" x14ac:dyDescent="0.3">
      <c r="A92" s="449" t="s">
        <v>226</v>
      </c>
      <c r="B92" s="532" t="s">
        <v>227</v>
      </c>
      <c r="C92" s="532" t="s">
        <v>252</v>
      </c>
      <c r="D92" s="266">
        <v>36</v>
      </c>
      <c r="E92" s="266">
        <v>49</v>
      </c>
      <c r="F92" s="266">
        <v>53</v>
      </c>
      <c r="G92" s="266">
        <v>42</v>
      </c>
      <c r="H92" s="266">
        <v>130</v>
      </c>
      <c r="I92" s="266">
        <v>105</v>
      </c>
      <c r="J92" s="266">
        <v>98</v>
      </c>
      <c r="K92" s="266">
        <v>82</v>
      </c>
      <c r="L92" s="266">
        <v>86</v>
      </c>
      <c r="M92" s="266">
        <v>69</v>
      </c>
      <c r="N92" s="266">
        <v>67</v>
      </c>
      <c r="O92" s="266">
        <v>49</v>
      </c>
      <c r="P92" s="266">
        <f t="shared" si="3"/>
        <v>866</v>
      </c>
    </row>
    <row r="93" spans="1:16" x14ac:dyDescent="0.3">
      <c r="A93" s="449" t="s">
        <v>228</v>
      </c>
      <c r="B93" s="532" t="s">
        <v>229</v>
      </c>
      <c r="C93" s="532" t="s">
        <v>256</v>
      </c>
      <c r="D93" s="266">
        <v>164</v>
      </c>
      <c r="E93" s="266">
        <v>187</v>
      </c>
      <c r="F93" s="266">
        <v>165</v>
      </c>
      <c r="G93" s="266">
        <v>163</v>
      </c>
      <c r="H93" s="266">
        <v>416</v>
      </c>
      <c r="I93" s="266">
        <v>354</v>
      </c>
      <c r="J93" s="266">
        <v>350</v>
      </c>
      <c r="K93" s="266">
        <v>255</v>
      </c>
      <c r="L93" s="266">
        <v>246</v>
      </c>
      <c r="M93" s="266">
        <v>256</v>
      </c>
      <c r="N93" s="266">
        <v>230</v>
      </c>
      <c r="O93" s="266">
        <v>259</v>
      </c>
      <c r="P93" s="266">
        <f t="shared" si="3"/>
        <v>3045</v>
      </c>
    </row>
    <row r="94" spans="1:16" x14ac:dyDescent="0.3">
      <c r="A94" s="449" t="s">
        <v>232</v>
      </c>
      <c r="B94" s="532" t="s">
        <v>233</v>
      </c>
      <c r="C94" s="532" t="s">
        <v>255</v>
      </c>
      <c r="D94" s="266">
        <v>104</v>
      </c>
      <c r="E94" s="266">
        <v>121</v>
      </c>
      <c r="F94" s="266">
        <v>93</v>
      </c>
      <c r="G94" s="266">
        <v>97</v>
      </c>
      <c r="H94" s="266">
        <v>292</v>
      </c>
      <c r="I94" s="266">
        <v>281</v>
      </c>
      <c r="J94" s="266">
        <v>235</v>
      </c>
      <c r="K94" s="266">
        <v>186</v>
      </c>
      <c r="L94" s="266">
        <v>193</v>
      </c>
      <c r="M94" s="266">
        <v>187</v>
      </c>
      <c r="N94" s="266">
        <v>170</v>
      </c>
      <c r="O94" s="266">
        <v>182</v>
      </c>
      <c r="P94" s="266">
        <f t="shared" si="3"/>
        <v>2141</v>
      </c>
    </row>
    <row r="95" spans="1:16" x14ac:dyDescent="0.3">
      <c r="A95" s="449" t="s">
        <v>234</v>
      </c>
      <c r="B95" s="532" t="s">
        <v>235</v>
      </c>
      <c r="C95" s="532" t="s">
        <v>256</v>
      </c>
      <c r="D95" s="266">
        <v>171</v>
      </c>
      <c r="E95" s="266">
        <v>219</v>
      </c>
      <c r="F95" s="266">
        <v>152</v>
      </c>
      <c r="G95" s="266">
        <v>185</v>
      </c>
      <c r="H95" s="266">
        <v>482</v>
      </c>
      <c r="I95" s="266">
        <v>435</v>
      </c>
      <c r="J95" s="266">
        <v>369</v>
      </c>
      <c r="K95" s="266">
        <v>299</v>
      </c>
      <c r="L95" s="266">
        <v>269</v>
      </c>
      <c r="M95" s="266">
        <v>312</v>
      </c>
      <c r="N95" s="266">
        <v>268</v>
      </c>
      <c r="O95" s="266">
        <v>268</v>
      </c>
      <c r="P95" s="266">
        <f t="shared" si="3"/>
        <v>3429</v>
      </c>
    </row>
    <row r="96" spans="1:16" x14ac:dyDescent="0.3">
      <c r="A96" s="449" t="s">
        <v>236</v>
      </c>
      <c r="B96" s="532" t="s">
        <v>237</v>
      </c>
      <c r="C96" s="532" t="s">
        <v>254</v>
      </c>
      <c r="D96" s="266">
        <v>71</v>
      </c>
      <c r="E96" s="266">
        <v>64</v>
      </c>
      <c r="F96" s="266">
        <v>48</v>
      </c>
      <c r="G96" s="266">
        <v>52</v>
      </c>
      <c r="H96" s="266">
        <v>216</v>
      </c>
      <c r="I96" s="266">
        <v>172</v>
      </c>
      <c r="J96" s="266">
        <v>140</v>
      </c>
      <c r="K96" s="266">
        <v>101</v>
      </c>
      <c r="L96" s="266">
        <v>97</v>
      </c>
      <c r="M96" s="266">
        <v>107</v>
      </c>
      <c r="N96" s="266">
        <v>90</v>
      </c>
      <c r="O96" s="266">
        <v>85</v>
      </c>
      <c r="P96" s="266">
        <f t="shared" si="3"/>
        <v>1243</v>
      </c>
    </row>
    <row r="97" spans="1:16" x14ac:dyDescent="0.3">
      <c r="A97" s="449" t="s">
        <v>242</v>
      </c>
      <c r="B97" s="532" t="s">
        <v>243</v>
      </c>
      <c r="C97" s="532" t="s">
        <v>256</v>
      </c>
      <c r="D97" s="266">
        <v>123</v>
      </c>
      <c r="E97" s="266">
        <v>145</v>
      </c>
      <c r="F97" s="266">
        <v>117</v>
      </c>
      <c r="G97" s="266">
        <v>147</v>
      </c>
      <c r="H97" s="266">
        <v>349</v>
      </c>
      <c r="I97" s="266">
        <v>339</v>
      </c>
      <c r="J97" s="266">
        <v>351</v>
      </c>
      <c r="K97" s="266">
        <v>269</v>
      </c>
      <c r="L97" s="266">
        <v>253</v>
      </c>
      <c r="M97" s="266">
        <v>247</v>
      </c>
      <c r="N97" s="266">
        <v>236</v>
      </c>
      <c r="O97" s="266">
        <v>195</v>
      </c>
      <c r="P97" s="266">
        <f t="shared" si="3"/>
        <v>2771</v>
      </c>
    </row>
    <row r="98" spans="1:16" x14ac:dyDescent="0.3">
      <c r="A98" s="449" t="s">
        <v>244</v>
      </c>
      <c r="B98" s="532" t="s">
        <v>245</v>
      </c>
      <c r="C98" s="532" t="s">
        <v>256</v>
      </c>
      <c r="D98" s="266">
        <v>75</v>
      </c>
      <c r="E98" s="266">
        <v>126</v>
      </c>
      <c r="F98" s="266">
        <v>118</v>
      </c>
      <c r="G98" s="266">
        <v>109</v>
      </c>
      <c r="H98" s="266">
        <v>274</v>
      </c>
      <c r="I98" s="266">
        <v>294</v>
      </c>
      <c r="J98" s="266">
        <v>279</v>
      </c>
      <c r="K98" s="266">
        <v>178</v>
      </c>
      <c r="L98" s="266">
        <v>183</v>
      </c>
      <c r="M98" s="266">
        <v>182</v>
      </c>
      <c r="N98" s="266">
        <v>178</v>
      </c>
      <c r="O98" s="266">
        <v>152</v>
      </c>
      <c r="P98" s="266">
        <f t="shared" si="3"/>
        <v>2148</v>
      </c>
    </row>
    <row r="99" spans="1:16" x14ac:dyDescent="0.3">
      <c r="A99" s="449" t="s">
        <v>246</v>
      </c>
      <c r="B99" s="532" t="s">
        <v>247</v>
      </c>
      <c r="C99" s="532" t="s">
        <v>252</v>
      </c>
      <c r="D99" s="266">
        <v>105</v>
      </c>
      <c r="E99" s="266">
        <v>117</v>
      </c>
      <c r="F99" s="266">
        <v>114</v>
      </c>
      <c r="G99" s="266">
        <v>120</v>
      </c>
      <c r="H99" s="266">
        <v>480</v>
      </c>
      <c r="I99" s="266">
        <v>497</v>
      </c>
      <c r="J99" s="266">
        <v>251</v>
      </c>
      <c r="K99" s="266">
        <v>161</v>
      </c>
      <c r="L99" s="266">
        <v>165</v>
      </c>
      <c r="M99" s="266">
        <v>152</v>
      </c>
      <c r="N99" s="266">
        <v>167</v>
      </c>
      <c r="O99" s="266">
        <v>150</v>
      </c>
      <c r="P99" s="266">
        <f t="shared" si="3"/>
        <v>2479</v>
      </c>
    </row>
    <row r="100" spans="1:16" x14ac:dyDescent="0.3">
      <c r="A100" s="449" t="s">
        <v>14</v>
      </c>
      <c r="B100" s="532" t="s">
        <v>15</v>
      </c>
      <c r="C100" s="532" t="s">
        <v>255</v>
      </c>
      <c r="D100" s="266">
        <v>435</v>
      </c>
      <c r="E100" s="266">
        <v>408</v>
      </c>
      <c r="F100" s="266">
        <v>342</v>
      </c>
      <c r="G100" s="266">
        <v>392</v>
      </c>
      <c r="H100" s="266">
        <v>1384</v>
      </c>
      <c r="I100" s="266">
        <v>1577</v>
      </c>
      <c r="J100" s="266">
        <v>674</v>
      </c>
      <c r="K100" s="266">
        <v>507</v>
      </c>
      <c r="L100" s="266">
        <v>560</v>
      </c>
      <c r="M100" s="266">
        <v>539</v>
      </c>
      <c r="N100" s="266">
        <v>586</v>
      </c>
      <c r="O100" s="266">
        <v>503</v>
      </c>
      <c r="P100" s="266">
        <f t="shared" si="3"/>
        <v>7907</v>
      </c>
    </row>
    <row r="101" spans="1:16" x14ac:dyDescent="0.3">
      <c r="A101" s="449" t="s">
        <v>34</v>
      </c>
      <c r="B101" s="532" t="s">
        <v>35</v>
      </c>
      <c r="C101" s="532" t="s">
        <v>256</v>
      </c>
      <c r="D101" s="266">
        <v>89</v>
      </c>
      <c r="E101" s="266">
        <v>114</v>
      </c>
      <c r="F101" s="266">
        <v>102</v>
      </c>
      <c r="G101" s="266">
        <v>104</v>
      </c>
      <c r="H101" s="266">
        <v>216</v>
      </c>
      <c r="I101" s="266">
        <v>210</v>
      </c>
      <c r="J101" s="266">
        <v>150</v>
      </c>
      <c r="K101" s="266">
        <v>133</v>
      </c>
      <c r="L101" s="266">
        <v>153</v>
      </c>
      <c r="M101" s="266">
        <v>130</v>
      </c>
      <c r="N101" s="266">
        <v>143</v>
      </c>
      <c r="O101" s="266">
        <v>108</v>
      </c>
      <c r="P101" s="266">
        <f t="shared" ref="P101:P124" si="4">SUM(D101:O101)</f>
        <v>1652</v>
      </c>
    </row>
    <row r="102" spans="1:16" x14ac:dyDescent="0.3">
      <c r="A102" s="449" t="s">
        <v>52</v>
      </c>
      <c r="B102" s="532" t="s">
        <v>53</v>
      </c>
      <c r="C102" s="532" t="s">
        <v>253</v>
      </c>
      <c r="D102" s="266">
        <v>101</v>
      </c>
      <c r="E102" s="266">
        <v>107</v>
      </c>
      <c r="F102" s="266">
        <v>90</v>
      </c>
      <c r="G102" s="266">
        <v>131</v>
      </c>
      <c r="H102" s="266">
        <v>412</v>
      </c>
      <c r="I102" s="266">
        <v>360</v>
      </c>
      <c r="J102" s="266">
        <v>214</v>
      </c>
      <c r="K102" s="266">
        <v>186</v>
      </c>
      <c r="L102" s="266">
        <v>216</v>
      </c>
      <c r="M102" s="266">
        <v>177</v>
      </c>
      <c r="N102" s="266">
        <v>197</v>
      </c>
      <c r="O102" s="266">
        <v>186</v>
      </c>
      <c r="P102" s="266">
        <f t="shared" si="4"/>
        <v>2377</v>
      </c>
    </row>
    <row r="103" spans="1:16" x14ac:dyDescent="0.3">
      <c r="A103" s="449" t="s">
        <v>54</v>
      </c>
      <c r="B103" s="532" t="s">
        <v>55</v>
      </c>
      <c r="C103" s="532" t="s">
        <v>252</v>
      </c>
      <c r="D103" s="266">
        <v>637</v>
      </c>
      <c r="E103" s="266">
        <v>668</v>
      </c>
      <c r="F103" s="266">
        <v>580</v>
      </c>
      <c r="G103" s="266">
        <v>725</v>
      </c>
      <c r="H103" s="266">
        <v>1903</v>
      </c>
      <c r="I103" s="266">
        <v>1912</v>
      </c>
      <c r="J103" s="266">
        <v>1083</v>
      </c>
      <c r="K103" s="266">
        <v>839</v>
      </c>
      <c r="L103" s="266">
        <v>888</v>
      </c>
      <c r="M103" s="266">
        <v>830</v>
      </c>
      <c r="N103" s="266">
        <v>820</v>
      </c>
      <c r="O103" s="266">
        <v>773</v>
      </c>
      <c r="P103" s="266">
        <f t="shared" si="4"/>
        <v>11658</v>
      </c>
    </row>
    <row r="104" spans="1:16" x14ac:dyDescent="0.3">
      <c r="A104" s="449" t="s">
        <v>66</v>
      </c>
      <c r="B104" s="532" t="s">
        <v>67</v>
      </c>
      <c r="C104" s="532" t="s">
        <v>253</v>
      </c>
      <c r="D104" s="266">
        <v>188</v>
      </c>
      <c r="E104" s="266">
        <v>203</v>
      </c>
      <c r="F104" s="266">
        <v>163</v>
      </c>
      <c r="G104" s="266">
        <v>218</v>
      </c>
      <c r="H104" s="266">
        <v>546</v>
      </c>
      <c r="I104" s="266">
        <v>525</v>
      </c>
      <c r="J104" s="266">
        <v>421</v>
      </c>
      <c r="K104" s="266">
        <v>352</v>
      </c>
      <c r="L104" s="266">
        <v>370</v>
      </c>
      <c r="M104" s="266">
        <v>351</v>
      </c>
      <c r="N104" s="266">
        <v>346</v>
      </c>
      <c r="O104" s="266">
        <v>300</v>
      </c>
      <c r="P104" s="266">
        <f t="shared" si="4"/>
        <v>3983</v>
      </c>
    </row>
    <row r="105" spans="1:16" x14ac:dyDescent="0.3">
      <c r="A105" s="449" t="s">
        <v>82</v>
      </c>
      <c r="B105" s="532" t="s">
        <v>83</v>
      </c>
      <c r="C105" s="532" t="s">
        <v>252</v>
      </c>
      <c r="D105" s="266">
        <v>61</v>
      </c>
      <c r="E105" s="266">
        <v>53</v>
      </c>
      <c r="F105" s="266">
        <v>31</v>
      </c>
      <c r="G105" s="266">
        <v>45</v>
      </c>
      <c r="H105" s="266">
        <v>108</v>
      </c>
      <c r="I105" s="266">
        <v>93</v>
      </c>
      <c r="J105" s="266">
        <v>87</v>
      </c>
      <c r="K105" s="266">
        <v>68</v>
      </c>
      <c r="L105" s="266">
        <v>69</v>
      </c>
      <c r="M105" s="266">
        <v>65</v>
      </c>
      <c r="N105" s="266">
        <v>62</v>
      </c>
      <c r="O105" s="266">
        <v>52</v>
      </c>
      <c r="P105" s="266">
        <f t="shared" si="4"/>
        <v>794</v>
      </c>
    </row>
    <row r="106" spans="1:16" x14ac:dyDescent="0.3">
      <c r="A106" s="449" t="s">
        <v>88</v>
      </c>
      <c r="B106" s="532" t="s">
        <v>89</v>
      </c>
      <c r="C106" s="532" t="s">
        <v>255</v>
      </c>
      <c r="D106" s="266">
        <v>113</v>
      </c>
      <c r="E106" s="266">
        <v>130</v>
      </c>
      <c r="F106" s="266">
        <v>107</v>
      </c>
      <c r="G106" s="266">
        <v>140</v>
      </c>
      <c r="H106" s="266">
        <v>299</v>
      </c>
      <c r="I106" s="266">
        <v>301</v>
      </c>
      <c r="J106" s="266">
        <v>237</v>
      </c>
      <c r="K106" s="266">
        <v>180</v>
      </c>
      <c r="L106" s="266">
        <v>169</v>
      </c>
      <c r="M106" s="266">
        <v>199</v>
      </c>
      <c r="N106" s="266">
        <v>183</v>
      </c>
      <c r="O106" s="266">
        <v>134</v>
      </c>
      <c r="P106" s="266">
        <f t="shared" si="4"/>
        <v>2192</v>
      </c>
    </row>
    <row r="107" spans="1:16" x14ac:dyDescent="0.3">
      <c r="A107" s="449" t="s">
        <v>90</v>
      </c>
      <c r="B107" s="532" t="s">
        <v>91</v>
      </c>
      <c r="C107" s="532" t="s">
        <v>256</v>
      </c>
      <c r="D107" s="266">
        <v>30</v>
      </c>
      <c r="E107" s="266">
        <v>25</v>
      </c>
      <c r="F107" s="266">
        <v>38</v>
      </c>
      <c r="G107" s="266">
        <v>36</v>
      </c>
      <c r="H107" s="266">
        <v>75</v>
      </c>
      <c r="I107" s="266">
        <v>73</v>
      </c>
      <c r="J107" s="266">
        <v>87</v>
      </c>
      <c r="K107" s="266">
        <v>46</v>
      </c>
      <c r="L107" s="266">
        <v>55</v>
      </c>
      <c r="M107" s="266">
        <v>55</v>
      </c>
      <c r="N107" s="266">
        <v>48</v>
      </c>
      <c r="O107" s="266">
        <v>45</v>
      </c>
      <c r="P107" s="266">
        <f t="shared" si="4"/>
        <v>613</v>
      </c>
    </row>
    <row r="108" spans="1:16" x14ac:dyDescent="0.3">
      <c r="A108" s="449" t="s">
        <v>106</v>
      </c>
      <c r="B108" s="532" t="s">
        <v>107</v>
      </c>
      <c r="C108" s="532" t="s">
        <v>252</v>
      </c>
      <c r="D108" s="266">
        <v>527</v>
      </c>
      <c r="E108" s="266">
        <v>572</v>
      </c>
      <c r="F108" s="266">
        <v>494</v>
      </c>
      <c r="G108" s="266">
        <v>597</v>
      </c>
      <c r="H108" s="266">
        <v>1495</v>
      </c>
      <c r="I108" s="266">
        <v>1403</v>
      </c>
      <c r="J108" s="266">
        <v>952</v>
      </c>
      <c r="K108" s="266">
        <v>715</v>
      </c>
      <c r="L108" s="266">
        <v>769</v>
      </c>
      <c r="M108" s="266">
        <v>731</v>
      </c>
      <c r="N108" s="266">
        <v>744</v>
      </c>
      <c r="O108" s="266">
        <v>629</v>
      </c>
      <c r="P108" s="266">
        <f t="shared" si="4"/>
        <v>9628</v>
      </c>
    </row>
    <row r="109" spans="1:16" x14ac:dyDescent="0.3">
      <c r="A109" s="449" t="s">
        <v>116</v>
      </c>
      <c r="B109" s="532" t="s">
        <v>117</v>
      </c>
      <c r="C109" s="532" t="s">
        <v>254</v>
      </c>
      <c r="D109" s="266">
        <v>151</v>
      </c>
      <c r="E109" s="266">
        <v>141</v>
      </c>
      <c r="F109" s="266">
        <v>117</v>
      </c>
      <c r="G109" s="266">
        <v>147</v>
      </c>
      <c r="H109" s="266">
        <v>277</v>
      </c>
      <c r="I109" s="266">
        <v>273</v>
      </c>
      <c r="J109" s="266">
        <v>263</v>
      </c>
      <c r="K109" s="266">
        <v>210</v>
      </c>
      <c r="L109" s="266">
        <v>219</v>
      </c>
      <c r="M109" s="266">
        <v>168</v>
      </c>
      <c r="N109" s="266">
        <v>223</v>
      </c>
      <c r="O109" s="266">
        <v>208</v>
      </c>
      <c r="P109" s="266">
        <f t="shared" si="4"/>
        <v>2397</v>
      </c>
    </row>
    <row r="110" spans="1:16" x14ac:dyDescent="0.3">
      <c r="A110" s="449" t="s">
        <v>138</v>
      </c>
      <c r="B110" s="532" t="s">
        <v>139</v>
      </c>
      <c r="C110" s="532" t="s">
        <v>253</v>
      </c>
      <c r="D110" s="266">
        <v>261</v>
      </c>
      <c r="E110" s="266">
        <v>325</v>
      </c>
      <c r="F110" s="266">
        <v>243</v>
      </c>
      <c r="G110" s="266">
        <v>299</v>
      </c>
      <c r="H110" s="266">
        <v>745</v>
      </c>
      <c r="I110" s="266">
        <v>729</v>
      </c>
      <c r="J110" s="266">
        <v>592</v>
      </c>
      <c r="K110" s="266">
        <v>413</v>
      </c>
      <c r="L110" s="266">
        <v>447</v>
      </c>
      <c r="M110" s="266">
        <v>444</v>
      </c>
      <c r="N110" s="266">
        <v>391</v>
      </c>
      <c r="O110" s="266">
        <v>433</v>
      </c>
      <c r="P110" s="266">
        <f t="shared" si="4"/>
        <v>5322</v>
      </c>
    </row>
    <row r="111" spans="1:16" x14ac:dyDescent="0.3">
      <c r="A111" s="449" t="s">
        <v>142</v>
      </c>
      <c r="B111" s="532" t="s">
        <v>143</v>
      </c>
      <c r="C111" s="532" t="s">
        <v>255</v>
      </c>
      <c r="D111" s="266">
        <v>125</v>
      </c>
      <c r="E111" s="266">
        <v>143</v>
      </c>
      <c r="F111" s="266">
        <v>146</v>
      </c>
      <c r="G111" s="266">
        <v>146</v>
      </c>
      <c r="H111" s="266">
        <v>395</v>
      </c>
      <c r="I111" s="266">
        <v>406</v>
      </c>
      <c r="J111" s="266">
        <v>248</v>
      </c>
      <c r="K111" s="266">
        <v>206</v>
      </c>
      <c r="L111" s="266">
        <v>206</v>
      </c>
      <c r="M111" s="266">
        <v>206</v>
      </c>
      <c r="N111" s="266">
        <v>223</v>
      </c>
      <c r="O111" s="266">
        <v>165</v>
      </c>
      <c r="P111" s="266">
        <f t="shared" si="4"/>
        <v>2615</v>
      </c>
    </row>
    <row r="112" spans="1:16" x14ac:dyDescent="0.3">
      <c r="A112" s="449" t="s">
        <v>144</v>
      </c>
      <c r="B112" s="532" t="s">
        <v>145</v>
      </c>
      <c r="C112" s="532" t="s">
        <v>255</v>
      </c>
      <c r="D112" s="266">
        <v>57</v>
      </c>
      <c r="E112" s="266">
        <v>62</v>
      </c>
      <c r="F112" s="266">
        <v>70</v>
      </c>
      <c r="G112" s="266">
        <v>56</v>
      </c>
      <c r="H112" s="266">
        <v>191</v>
      </c>
      <c r="I112" s="266">
        <v>165</v>
      </c>
      <c r="J112" s="266">
        <v>95</v>
      </c>
      <c r="K112" s="266">
        <v>81</v>
      </c>
      <c r="L112" s="266">
        <v>84</v>
      </c>
      <c r="M112" s="266">
        <v>86</v>
      </c>
      <c r="N112" s="266">
        <v>83</v>
      </c>
      <c r="O112" s="266">
        <v>78</v>
      </c>
      <c r="P112" s="266">
        <f t="shared" si="4"/>
        <v>1108</v>
      </c>
    </row>
    <row r="113" spans="1:16" x14ac:dyDescent="0.3">
      <c r="A113" s="449" t="s">
        <v>158</v>
      </c>
      <c r="B113" s="532" t="s">
        <v>159</v>
      </c>
      <c r="C113" s="532" t="s">
        <v>252</v>
      </c>
      <c r="D113" s="266">
        <v>826</v>
      </c>
      <c r="E113" s="266">
        <v>798</v>
      </c>
      <c r="F113" s="266">
        <v>662</v>
      </c>
      <c r="G113" s="266">
        <v>864</v>
      </c>
      <c r="H113" s="266">
        <v>2027</v>
      </c>
      <c r="I113" s="266">
        <v>1896</v>
      </c>
      <c r="J113" s="266">
        <v>1381</v>
      </c>
      <c r="K113" s="266">
        <v>1056</v>
      </c>
      <c r="L113" s="266">
        <v>1063</v>
      </c>
      <c r="M113" s="266">
        <v>1101</v>
      </c>
      <c r="N113" s="266">
        <v>1108</v>
      </c>
      <c r="O113" s="266">
        <v>932</v>
      </c>
      <c r="P113" s="266">
        <f t="shared" si="4"/>
        <v>13714</v>
      </c>
    </row>
    <row r="114" spans="1:16" x14ac:dyDescent="0.3">
      <c r="A114" s="449" t="s">
        <v>160</v>
      </c>
      <c r="B114" s="532" t="s">
        <v>161</v>
      </c>
      <c r="C114" s="532" t="s">
        <v>252</v>
      </c>
      <c r="D114" s="266">
        <v>989</v>
      </c>
      <c r="E114" s="266">
        <v>1146</v>
      </c>
      <c r="F114" s="266">
        <v>879</v>
      </c>
      <c r="G114" s="266">
        <v>1117</v>
      </c>
      <c r="H114" s="266">
        <v>2779</v>
      </c>
      <c r="I114" s="266">
        <v>2708</v>
      </c>
      <c r="J114" s="266">
        <v>1794</v>
      </c>
      <c r="K114" s="266">
        <v>1296</v>
      </c>
      <c r="L114" s="266">
        <v>1349</v>
      </c>
      <c r="M114" s="266">
        <v>1370</v>
      </c>
      <c r="N114" s="266">
        <v>1350</v>
      </c>
      <c r="O114" s="266">
        <v>1214</v>
      </c>
      <c r="P114" s="266">
        <f t="shared" si="4"/>
        <v>17991</v>
      </c>
    </row>
    <row r="115" spans="1:16" x14ac:dyDescent="0.3">
      <c r="A115" s="449" t="s">
        <v>166</v>
      </c>
      <c r="B115" s="532" t="s">
        <v>167</v>
      </c>
      <c r="C115" s="532" t="s">
        <v>256</v>
      </c>
      <c r="D115" s="266">
        <v>22</v>
      </c>
      <c r="E115" s="266">
        <v>26</v>
      </c>
      <c r="F115" s="266">
        <v>11</v>
      </c>
      <c r="G115" s="266">
        <v>15</v>
      </c>
      <c r="H115" s="266">
        <v>51</v>
      </c>
      <c r="I115" s="266">
        <v>52</v>
      </c>
      <c r="J115" s="266">
        <v>58</v>
      </c>
      <c r="K115" s="266">
        <v>25</v>
      </c>
      <c r="L115" s="266">
        <v>31</v>
      </c>
      <c r="M115" s="266">
        <v>30</v>
      </c>
      <c r="N115" s="266">
        <v>15</v>
      </c>
      <c r="O115" s="266">
        <v>23</v>
      </c>
      <c r="P115" s="266">
        <f t="shared" si="4"/>
        <v>359</v>
      </c>
    </row>
    <row r="116" spans="1:16" x14ac:dyDescent="0.3">
      <c r="A116" s="449" t="s">
        <v>176</v>
      </c>
      <c r="B116" s="532" t="s">
        <v>177</v>
      </c>
      <c r="C116" s="532" t="s">
        <v>254</v>
      </c>
      <c r="D116" s="266">
        <v>252</v>
      </c>
      <c r="E116" s="266">
        <v>268</v>
      </c>
      <c r="F116" s="266">
        <v>202</v>
      </c>
      <c r="G116" s="266">
        <v>235</v>
      </c>
      <c r="H116" s="266">
        <v>472</v>
      </c>
      <c r="I116" s="266">
        <v>473</v>
      </c>
      <c r="J116" s="266">
        <v>509</v>
      </c>
      <c r="K116" s="266">
        <v>376</v>
      </c>
      <c r="L116" s="266">
        <v>349</v>
      </c>
      <c r="M116" s="266">
        <v>372</v>
      </c>
      <c r="N116" s="266">
        <v>403</v>
      </c>
      <c r="O116" s="266">
        <v>360</v>
      </c>
      <c r="P116" s="266">
        <f t="shared" si="4"/>
        <v>4271</v>
      </c>
    </row>
    <row r="117" spans="1:16" x14ac:dyDescent="0.3">
      <c r="A117" s="449" t="s">
        <v>180</v>
      </c>
      <c r="B117" s="532" t="s">
        <v>181</v>
      </c>
      <c r="C117" s="532" t="s">
        <v>252</v>
      </c>
      <c r="D117" s="266">
        <v>482</v>
      </c>
      <c r="E117" s="266">
        <v>453</v>
      </c>
      <c r="F117" s="266">
        <v>327</v>
      </c>
      <c r="G117" s="266">
        <v>442</v>
      </c>
      <c r="H117" s="266">
        <v>1089</v>
      </c>
      <c r="I117" s="266">
        <v>1118</v>
      </c>
      <c r="J117" s="266">
        <v>863</v>
      </c>
      <c r="K117" s="266">
        <v>666</v>
      </c>
      <c r="L117" s="266">
        <v>698</v>
      </c>
      <c r="M117" s="266">
        <v>620</v>
      </c>
      <c r="N117" s="266">
        <v>582</v>
      </c>
      <c r="O117" s="266">
        <v>508</v>
      </c>
      <c r="P117" s="266">
        <f t="shared" si="4"/>
        <v>7848</v>
      </c>
    </row>
    <row r="118" spans="1:16" x14ac:dyDescent="0.3">
      <c r="A118" s="449" t="s">
        <v>192</v>
      </c>
      <c r="B118" s="532" t="s">
        <v>193</v>
      </c>
      <c r="C118" s="532" t="s">
        <v>256</v>
      </c>
      <c r="D118" s="266">
        <v>44</v>
      </c>
      <c r="E118" s="266">
        <v>32</v>
      </c>
      <c r="F118" s="266">
        <v>24</v>
      </c>
      <c r="G118" s="266">
        <v>38</v>
      </c>
      <c r="H118" s="266">
        <v>120</v>
      </c>
      <c r="I118" s="266">
        <v>114</v>
      </c>
      <c r="J118" s="266">
        <v>71</v>
      </c>
      <c r="K118" s="266">
        <v>73</v>
      </c>
      <c r="L118" s="266">
        <v>67</v>
      </c>
      <c r="M118" s="266">
        <v>57</v>
      </c>
      <c r="N118" s="266">
        <v>57</v>
      </c>
      <c r="O118" s="266">
        <v>54</v>
      </c>
      <c r="P118" s="266">
        <f t="shared" si="4"/>
        <v>751</v>
      </c>
    </row>
    <row r="119" spans="1:16" x14ac:dyDescent="0.3">
      <c r="A119" s="449" t="s">
        <v>196</v>
      </c>
      <c r="B119" s="532" t="s">
        <v>197</v>
      </c>
      <c r="C119" s="532" t="s">
        <v>254</v>
      </c>
      <c r="D119" s="266">
        <v>967</v>
      </c>
      <c r="E119" s="266">
        <v>1054</v>
      </c>
      <c r="F119" s="266">
        <v>948</v>
      </c>
      <c r="G119" s="266">
        <v>1101</v>
      </c>
      <c r="H119" s="266">
        <v>3149</v>
      </c>
      <c r="I119" s="266">
        <v>3320</v>
      </c>
      <c r="J119" s="266">
        <v>2277</v>
      </c>
      <c r="K119" s="266">
        <v>1834</v>
      </c>
      <c r="L119" s="266">
        <v>1806</v>
      </c>
      <c r="M119" s="266">
        <v>1745</v>
      </c>
      <c r="N119" s="266">
        <v>1962</v>
      </c>
      <c r="O119" s="266">
        <v>1648</v>
      </c>
      <c r="P119" s="266">
        <f t="shared" si="4"/>
        <v>21811</v>
      </c>
    </row>
    <row r="120" spans="1:16" x14ac:dyDescent="0.3">
      <c r="A120" s="449" t="s">
        <v>200</v>
      </c>
      <c r="B120" s="532" t="s">
        <v>201</v>
      </c>
      <c r="C120" s="532" t="s">
        <v>253</v>
      </c>
      <c r="D120" s="266">
        <v>495</v>
      </c>
      <c r="E120" s="266">
        <v>550</v>
      </c>
      <c r="F120" s="266">
        <v>446</v>
      </c>
      <c r="G120" s="266">
        <v>503</v>
      </c>
      <c r="H120" s="266">
        <v>1078</v>
      </c>
      <c r="I120" s="266">
        <v>1052</v>
      </c>
      <c r="J120" s="266">
        <v>972</v>
      </c>
      <c r="K120" s="266">
        <v>723</v>
      </c>
      <c r="L120" s="266">
        <v>872</v>
      </c>
      <c r="M120" s="266">
        <v>843</v>
      </c>
      <c r="N120" s="266">
        <v>822</v>
      </c>
      <c r="O120" s="266">
        <v>791</v>
      </c>
      <c r="P120" s="266">
        <f t="shared" si="4"/>
        <v>9147</v>
      </c>
    </row>
    <row r="121" spans="1:16" x14ac:dyDescent="0.3">
      <c r="A121" s="449" t="s">
        <v>222</v>
      </c>
      <c r="B121" s="532" t="s">
        <v>223</v>
      </c>
      <c r="C121" s="532" t="s">
        <v>252</v>
      </c>
      <c r="D121" s="266">
        <v>238</v>
      </c>
      <c r="E121" s="266">
        <v>272</v>
      </c>
      <c r="F121" s="266">
        <v>221</v>
      </c>
      <c r="G121" s="266">
        <v>292</v>
      </c>
      <c r="H121" s="266">
        <v>685</v>
      </c>
      <c r="I121" s="266">
        <v>682</v>
      </c>
      <c r="J121" s="266">
        <v>492</v>
      </c>
      <c r="K121" s="266">
        <v>377</v>
      </c>
      <c r="L121" s="266">
        <v>395</v>
      </c>
      <c r="M121" s="266">
        <v>382</v>
      </c>
      <c r="N121" s="266">
        <v>335</v>
      </c>
      <c r="O121" s="266">
        <v>305</v>
      </c>
      <c r="P121" s="266">
        <f t="shared" si="4"/>
        <v>4676</v>
      </c>
    </row>
    <row r="122" spans="1:16" x14ac:dyDescent="0.3">
      <c r="A122" s="449" t="s">
        <v>230</v>
      </c>
      <c r="B122" s="532" t="s">
        <v>231</v>
      </c>
      <c r="C122" s="532" t="s">
        <v>252</v>
      </c>
      <c r="D122" s="266">
        <v>1148</v>
      </c>
      <c r="E122" s="266">
        <v>1218</v>
      </c>
      <c r="F122" s="266">
        <v>964</v>
      </c>
      <c r="G122" s="266">
        <v>1328</v>
      </c>
      <c r="H122" s="266">
        <v>4208</v>
      </c>
      <c r="I122" s="266">
        <v>4142</v>
      </c>
      <c r="J122" s="266">
        <v>1869</v>
      </c>
      <c r="K122" s="266">
        <v>1507</v>
      </c>
      <c r="L122" s="266">
        <v>1569</v>
      </c>
      <c r="M122" s="266">
        <v>1528</v>
      </c>
      <c r="N122" s="266">
        <v>1503</v>
      </c>
      <c r="O122" s="266">
        <v>1346</v>
      </c>
      <c r="P122" s="266">
        <f t="shared" si="4"/>
        <v>22330</v>
      </c>
    </row>
    <row r="123" spans="1:16" x14ac:dyDescent="0.3">
      <c r="A123" s="449" t="s">
        <v>238</v>
      </c>
      <c r="B123" s="532" t="s">
        <v>239</v>
      </c>
      <c r="C123" s="532" t="s">
        <v>252</v>
      </c>
      <c r="D123" s="266">
        <v>30</v>
      </c>
      <c r="E123" s="266">
        <v>38</v>
      </c>
      <c r="F123" s="266">
        <v>19</v>
      </c>
      <c r="G123" s="266">
        <v>26</v>
      </c>
      <c r="H123" s="266">
        <v>88</v>
      </c>
      <c r="I123" s="266">
        <v>92</v>
      </c>
      <c r="J123" s="266">
        <v>68</v>
      </c>
      <c r="K123" s="266">
        <v>56</v>
      </c>
      <c r="L123" s="266">
        <v>57</v>
      </c>
      <c r="M123" s="266">
        <v>52</v>
      </c>
      <c r="N123" s="266">
        <v>57</v>
      </c>
      <c r="O123" s="266">
        <v>45</v>
      </c>
      <c r="P123" s="266">
        <f t="shared" si="4"/>
        <v>628</v>
      </c>
    </row>
    <row r="124" spans="1:16" x14ac:dyDescent="0.3">
      <c r="A124" s="450" t="s">
        <v>240</v>
      </c>
      <c r="B124" s="453" t="s">
        <v>241</v>
      </c>
      <c r="C124" s="453" t="s">
        <v>255</v>
      </c>
      <c r="D124" s="266">
        <v>116</v>
      </c>
      <c r="E124" s="266">
        <v>166</v>
      </c>
      <c r="F124" s="266">
        <v>103</v>
      </c>
      <c r="G124" s="266">
        <v>125</v>
      </c>
      <c r="H124" s="266">
        <v>305</v>
      </c>
      <c r="I124" s="266">
        <v>299</v>
      </c>
      <c r="J124" s="266">
        <v>282</v>
      </c>
      <c r="K124" s="266">
        <v>173</v>
      </c>
      <c r="L124" s="266">
        <v>180</v>
      </c>
      <c r="M124" s="266">
        <v>190</v>
      </c>
      <c r="N124" s="266">
        <v>209</v>
      </c>
      <c r="O124" s="266">
        <v>175</v>
      </c>
      <c r="P124" s="266">
        <f t="shared" si="4"/>
        <v>2323</v>
      </c>
    </row>
    <row r="126" spans="1:16" ht="65.25" customHeight="1" x14ac:dyDescent="0.3">
      <c r="A126" s="2737" t="s">
        <v>1060</v>
      </c>
      <c r="B126" s="2737"/>
      <c r="C126" s="2737"/>
    </row>
    <row r="128" spans="1:16" s="359" customFormat="1" x14ac:dyDescent="0.3">
      <c r="A128" s="359" t="s">
        <v>248</v>
      </c>
    </row>
    <row r="129" spans="1:3" s="359" customFormat="1" x14ac:dyDescent="0.3">
      <c r="A129" s="360" t="s">
        <v>249</v>
      </c>
      <c r="B129" s="361" t="s">
        <v>250</v>
      </c>
      <c r="C129" s="361"/>
    </row>
  </sheetData>
  <sortState ref="A5:P124">
    <sortCondition ref="A5:A124"/>
  </sortState>
  <mergeCells count="1">
    <mergeCell ref="A126:C126"/>
  </mergeCells>
  <hyperlinks>
    <hyperlink ref="B129"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9" style="441"/>
    <col min="2" max="2" width="33.296875" style="441" customWidth="1"/>
    <col min="3" max="3" width="16.69921875" style="441" customWidth="1"/>
    <col min="4" max="4" width="7.19921875" style="441" customWidth="1"/>
    <col min="5" max="6" width="9.09765625" style="441" bestFit="1" customWidth="1"/>
    <col min="7" max="7" width="9.796875" style="441" bestFit="1" customWidth="1"/>
    <col min="8" max="15" width="10.09765625" style="441" bestFit="1" customWidth="1"/>
    <col min="16" max="16" width="11.09765625" style="441" bestFit="1" customWidth="1"/>
    <col min="17" max="16384" width="9" style="441"/>
  </cols>
  <sheetData>
    <row r="1" spans="1:16" ht="12.75" customHeight="1" x14ac:dyDescent="0.3">
      <c r="A1" s="253" t="s">
        <v>1065</v>
      </c>
    </row>
    <row r="3" spans="1:16" ht="53.25" customHeight="1" x14ac:dyDescent="0.3">
      <c r="A3" s="446" t="s">
        <v>4</v>
      </c>
      <c r="B3" s="503" t="s">
        <v>5</v>
      </c>
      <c r="C3" s="503" t="s">
        <v>251</v>
      </c>
      <c r="D3" s="1376">
        <v>43282</v>
      </c>
      <c r="E3" s="1376">
        <v>43313</v>
      </c>
      <c r="F3" s="1376">
        <v>43344</v>
      </c>
      <c r="G3" s="1376">
        <v>43374</v>
      </c>
      <c r="H3" s="1376">
        <v>43405</v>
      </c>
      <c r="I3" s="1376">
        <v>43435</v>
      </c>
      <c r="J3" s="1376">
        <v>43466</v>
      </c>
      <c r="K3" s="1376">
        <v>43497</v>
      </c>
      <c r="L3" s="1376">
        <v>43525</v>
      </c>
      <c r="M3" s="1376">
        <v>43556</v>
      </c>
      <c r="N3" s="1376">
        <v>43586</v>
      </c>
      <c r="O3" s="1376">
        <v>43617</v>
      </c>
      <c r="P3" s="1377" t="s">
        <v>1059</v>
      </c>
    </row>
    <row r="4" spans="1:16" x14ac:dyDescent="0.3">
      <c r="A4" s="528">
        <v>999</v>
      </c>
      <c r="B4" s="529" t="s">
        <v>9</v>
      </c>
      <c r="C4" s="529"/>
      <c r="D4" s="1378">
        <f>SUM(D5:D124)</f>
        <v>21428</v>
      </c>
      <c r="E4" s="1379">
        <f t="shared" ref="E4:P4" si="0">SUM(E5:E124)</f>
        <v>24630</v>
      </c>
      <c r="F4" s="1379">
        <f t="shared" si="0"/>
        <v>20462</v>
      </c>
      <c r="G4" s="1379">
        <f t="shared" si="0"/>
        <v>23732</v>
      </c>
      <c r="H4" s="1380">
        <f t="shared" si="0"/>
        <v>35516</v>
      </c>
      <c r="I4" s="1380">
        <f t="shared" si="0"/>
        <v>69547</v>
      </c>
      <c r="J4" s="1380">
        <f t="shared" si="0"/>
        <v>49474</v>
      </c>
      <c r="K4" s="1380">
        <f t="shared" si="0"/>
        <v>41262</v>
      </c>
      <c r="L4" s="1380">
        <f t="shared" si="0"/>
        <v>52537</v>
      </c>
      <c r="M4" s="1380">
        <f t="shared" si="0"/>
        <v>42917</v>
      </c>
      <c r="N4" s="1380">
        <f t="shared" si="0"/>
        <v>38076</v>
      </c>
      <c r="O4" s="1380">
        <f t="shared" si="0"/>
        <v>30988</v>
      </c>
      <c r="P4" s="1380">
        <f t="shared" si="0"/>
        <v>450569</v>
      </c>
    </row>
    <row r="5" spans="1:16" x14ac:dyDescent="0.3">
      <c r="A5" s="448" t="s">
        <v>10</v>
      </c>
      <c r="B5" s="505" t="s">
        <v>11</v>
      </c>
      <c r="C5" s="505" t="s">
        <v>252</v>
      </c>
      <c r="D5" s="266">
        <v>125</v>
      </c>
      <c r="E5" s="266">
        <v>135</v>
      </c>
      <c r="F5" s="266">
        <v>123</v>
      </c>
      <c r="G5" s="266">
        <v>133</v>
      </c>
      <c r="H5" s="266">
        <v>233</v>
      </c>
      <c r="I5" s="266">
        <v>323</v>
      </c>
      <c r="J5" s="266">
        <v>260</v>
      </c>
      <c r="K5" s="266">
        <v>208</v>
      </c>
      <c r="L5" s="266">
        <v>224</v>
      </c>
      <c r="M5" s="266">
        <v>183</v>
      </c>
      <c r="N5" s="266">
        <v>175</v>
      </c>
      <c r="O5" s="266">
        <v>155</v>
      </c>
      <c r="P5" s="266">
        <f t="shared" ref="P5:P36" si="1">SUM(D5:O5)</f>
        <v>2277</v>
      </c>
    </row>
    <row r="6" spans="1:16" x14ac:dyDescent="0.3">
      <c r="A6" s="449" t="s">
        <v>12</v>
      </c>
      <c r="B6" s="532" t="s">
        <v>13</v>
      </c>
      <c r="C6" s="532" t="s">
        <v>253</v>
      </c>
      <c r="D6" s="266">
        <v>176</v>
      </c>
      <c r="E6" s="266">
        <v>211</v>
      </c>
      <c r="F6" s="266">
        <v>185</v>
      </c>
      <c r="G6" s="266">
        <v>199</v>
      </c>
      <c r="H6" s="266">
        <v>345</v>
      </c>
      <c r="I6" s="266">
        <v>659</v>
      </c>
      <c r="J6" s="266">
        <v>438</v>
      </c>
      <c r="K6" s="266">
        <v>378</v>
      </c>
      <c r="L6" s="266">
        <v>436</v>
      </c>
      <c r="M6" s="266">
        <v>412</v>
      </c>
      <c r="N6" s="266">
        <v>328</v>
      </c>
      <c r="O6" s="266">
        <v>289</v>
      </c>
      <c r="P6" s="266">
        <f t="shared" si="1"/>
        <v>4056</v>
      </c>
    </row>
    <row r="7" spans="1:16" x14ac:dyDescent="0.3">
      <c r="A7" s="449" t="s">
        <v>16</v>
      </c>
      <c r="B7" s="532" t="s">
        <v>285</v>
      </c>
      <c r="C7" s="532" t="s">
        <v>253</v>
      </c>
      <c r="D7" s="266">
        <v>67</v>
      </c>
      <c r="E7" s="266">
        <v>103</v>
      </c>
      <c r="F7" s="266">
        <v>74</v>
      </c>
      <c r="G7" s="266">
        <v>58</v>
      </c>
      <c r="H7" s="266">
        <v>95</v>
      </c>
      <c r="I7" s="266">
        <v>179</v>
      </c>
      <c r="J7" s="266">
        <v>154</v>
      </c>
      <c r="K7" s="266">
        <v>127</v>
      </c>
      <c r="L7" s="266">
        <v>163</v>
      </c>
      <c r="M7" s="266">
        <v>121</v>
      </c>
      <c r="N7" s="266">
        <v>120</v>
      </c>
      <c r="O7" s="266">
        <v>100</v>
      </c>
      <c r="P7" s="266">
        <f t="shared" si="1"/>
        <v>1361</v>
      </c>
    </row>
    <row r="8" spans="1:16" x14ac:dyDescent="0.3">
      <c r="A8" s="449" t="s">
        <v>18</v>
      </c>
      <c r="B8" s="532" t="s">
        <v>19</v>
      </c>
      <c r="C8" s="532" t="s">
        <v>254</v>
      </c>
      <c r="D8" s="266">
        <v>29</v>
      </c>
      <c r="E8" s="266">
        <v>37</v>
      </c>
      <c r="F8" s="266">
        <v>34</v>
      </c>
      <c r="G8" s="266">
        <v>43</v>
      </c>
      <c r="H8" s="266">
        <v>64</v>
      </c>
      <c r="I8" s="266">
        <v>113</v>
      </c>
      <c r="J8" s="266">
        <v>71</v>
      </c>
      <c r="K8" s="266">
        <v>54</v>
      </c>
      <c r="L8" s="266">
        <v>73</v>
      </c>
      <c r="M8" s="266">
        <v>57</v>
      </c>
      <c r="N8" s="266">
        <v>58</v>
      </c>
      <c r="O8" s="266">
        <v>37</v>
      </c>
      <c r="P8" s="266">
        <f t="shared" si="1"/>
        <v>670</v>
      </c>
    </row>
    <row r="9" spans="1:16" x14ac:dyDescent="0.3">
      <c r="A9" s="449" t="s">
        <v>20</v>
      </c>
      <c r="B9" s="532" t="s">
        <v>21</v>
      </c>
      <c r="C9" s="532" t="s">
        <v>253</v>
      </c>
      <c r="D9" s="266">
        <v>73</v>
      </c>
      <c r="E9" s="266">
        <v>78</v>
      </c>
      <c r="F9" s="266">
        <v>71</v>
      </c>
      <c r="G9" s="266">
        <v>99</v>
      </c>
      <c r="H9" s="266">
        <v>148</v>
      </c>
      <c r="I9" s="266">
        <v>245</v>
      </c>
      <c r="J9" s="266">
        <v>184</v>
      </c>
      <c r="K9" s="266">
        <v>170</v>
      </c>
      <c r="L9" s="266">
        <v>213</v>
      </c>
      <c r="M9" s="266">
        <v>183</v>
      </c>
      <c r="N9" s="266">
        <v>149</v>
      </c>
      <c r="O9" s="266">
        <v>131</v>
      </c>
      <c r="P9" s="266">
        <f t="shared" si="1"/>
        <v>1744</v>
      </c>
    </row>
    <row r="10" spans="1:16" x14ac:dyDescent="0.3">
      <c r="A10" s="449" t="s">
        <v>22</v>
      </c>
      <c r="B10" s="532" t="s">
        <v>23</v>
      </c>
      <c r="C10" s="532" t="s">
        <v>253</v>
      </c>
      <c r="D10" s="266">
        <v>54</v>
      </c>
      <c r="E10" s="266">
        <v>54</v>
      </c>
      <c r="F10" s="266">
        <v>47</v>
      </c>
      <c r="G10" s="266">
        <v>56</v>
      </c>
      <c r="H10" s="266">
        <v>76</v>
      </c>
      <c r="I10" s="266">
        <v>106</v>
      </c>
      <c r="J10" s="266">
        <v>104</v>
      </c>
      <c r="K10" s="266">
        <v>84</v>
      </c>
      <c r="L10" s="266">
        <v>100</v>
      </c>
      <c r="M10" s="266">
        <v>92</v>
      </c>
      <c r="N10" s="266">
        <v>71</v>
      </c>
      <c r="O10" s="266">
        <v>79</v>
      </c>
      <c r="P10" s="266">
        <f t="shared" si="1"/>
        <v>923</v>
      </c>
    </row>
    <row r="11" spans="1:16" x14ac:dyDescent="0.3">
      <c r="A11" s="449" t="s">
        <v>24</v>
      </c>
      <c r="B11" s="532" t="s">
        <v>25</v>
      </c>
      <c r="C11" s="532" t="s">
        <v>255</v>
      </c>
      <c r="D11" s="266">
        <v>282</v>
      </c>
      <c r="E11" s="266">
        <v>333</v>
      </c>
      <c r="F11" s="266">
        <v>286</v>
      </c>
      <c r="G11" s="266">
        <v>338</v>
      </c>
      <c r="H11" s="266">
        <v>627</v>
      </c>
      <c r="I11" s="266">
        <v>1304</v>
      </c>
      <c r="J11" s="266">
        <v>852</v>
      </c>
      <c r="K11" s="266">
        <v>659</v>
      </c>
      <c r="L11" s="266">
        <v>881</v>
      </c>
      <c r="M11" s="266">
        <v>660</v>
      </c>
      <c r="N11" s="266">
        <v>495</v>
      </c>
      <c r="O11" s="266">
        <v>448</v>
      </c>
      <c r="P11" s="266">
        <f t="shared" si="1"/>
        <v>7165</v>
      </c>
    </row>
    <row r="12" spans="1:16" x14ac:dyDescent="0.3">
      <c r="A12" s="449" t="s">
        <v>26</v>
      </c>
      <c r="B12" s="532" t="s">
        <v>547</v>
      </c>
      <c r="C12" s="532" t="s">
        <v>253</v>
      </c>
      <c r="D12" s="266">
        <v>317</v>
      </c>
      <c r="E12" s="266">
        <v>436</v>
      </c>
      <c r="F12" s="266">
        <v>342</v>
      </c>
      <c r="G12" s="266">
        <v>381</v>
      </c>
      <c r="H12" s="266">
        <v>538</v>
      </c>
      <c r="I12" s="266">
        <v>1005</v>
      </c>
      <c r="J12" s="266">
        <v>809</v>
      </c>
      <c r="K12" s="266">
        <v>589</v>
      </c>
      <c r="L12" s="266">
        <v>869</v>
      </c>
      <c r="M12" s="266">
        <v>721</v>
      </c>
      <c r="N12" s="266">
        <v>600</v>
      </c>
      <c r="O12" s="266">
        <v>512</v>
      </c>
      <c r="P12" s="266">
        <f t="shared" si="1"/>
        <v>7119</v>
      </c>
    </row>
    <row r="13" spans="1:16" x14ac:dyDescent="0.3">
      <c r="A13" s="449" t="s">
        <v>27</v>
      </c>
      <c r="B13" s="532" t="s">
        <v>28</v>
      </c>
      <c r="C13" s="532" t="s">
        <v>253</v>
      </c>
      <c r="D13" s="266">
        <v>8</v>
      </c>
      <c r="E13" s="266">
        <v>4</v>
      </c>
      <c r="F13" s="266">
        <v>5</v>
      </c>
      <c r="G13" s="266">
        <v>11</v>
      </c>
      <c r="H13" s="266">
        <v>12</v>
      </c>
      <c r="I13" s="266">
        <v>40</v>
      </c>
      <c r="J13" s="266">
        <v>32</v>
      </c>
      <c r="K13" s="266">
        <v>18</v>
      </c>
      <c r="L13" s="266">
        <v>30</v>
      </c>
      <c r="M13" s="266">
        <v>27</v>
      </c>
      <c r="N13" s="266">
        <v>21</v>
      </c>
      <c r="O13" s="266">
        <v>19</v>
      </c>
      <c r="P13" s="266">
        <f t="shared" si="1"/>
        <v>227</v>
      </c>
    </row>
    <row r="14" spans="1:16" x14ac:dyDescent="0.3">
      <c r="A14" s="449" t="s">
        <v>29</v>
      </c>
      <c r="B14" s="532" t="s">
        <v>736</v>
      </c>
      <c r="C14" s="532" t="s">
        <v>253</v>
      </c>
      <c r="D14" s="266">
        <v>209</v>
      </c>
      <c r="E14" s="266">
        <v>215</v>
      </c>
      <c r="F14" s="266">
        <v>182</v>
      </c>
      <c r="G14" s="266">
        <v>200</v>
      </c>
      <c r="H14" s="266">
        <v>270</v>
      </c>
      <c r="I14" s="266">
        <v>622</v>
      </c>
      <c r="J14" s="266">
        <v>373</v>
      </c>
      <c r="K14" s="266">
        <v>318</v>
      </c>
      <c r="L14" s="266">
        <v>435</v>
      </c>
      <c r="M14" s="266">
        <v>367</v>
      </c>
      <c r="N14" s="266">
        <v>342</v>
      </c>
      <c r="O14" s="266">
        <v>267</v>
      </c>
      <c r="P14" s="266">
        <f t="shared" si="1"/>
        <v>3800</v>
      </c>
    </row>
    <row r="15" spans="1:16" x14ac:dyDescent="0.3">
      <c r="A15" s="449" t="s">
        <v>30</v>
      </c>
      <c r="B15" s="532" t="s">
        <v>31</v>
      </c>
      <c r="C15" s="532" t="s">
        <v>256</v>
      </c>
      <c r="D15" s="266">
        <v>17</v>
      </c>
      <c r="E15" s="266">
        <v>18</v>
      </c>
      <c r="F15" s="266">
        <v>20</v>
      </c>
      <c r="G15" s="266">
        <v>17</v>
      </c>
      <c r="H15" s="266">
        <v>27</v>
      </c>
      <c r="I15" s="266">
        <v>40</v>
      </c>
      <c r="J15" s="266">
        <v>36</v>
      </c>
      <c r="K15" s="266">
        <v>40</v>
      </c>
      <c r="L15" s="266">
        <v>36</v>
      </c>
      <c r="M15" s="266">
        <v>22</v>
      </c>
      <c r="N15" s="266">
        <v>29</v>
      </c>
      <c r="O15" s="266">
        <v>19</v>
      </c>
      <c r="P15" s="266">
        <f t="shared" si="1"/>
        <v>321</v>
      </c>
    </row>
    <row r="16" spans="1:16" x14ac:dyDescent="0.3">
      <c r="A16" s="449" t="s">
        <v>32</v>
      </c>
      <c r="B16" s="532" t="s">
        <v>33</v>
      </c>
      <c r="C16" s="532" t="s">
        <v>253</v>
      </c>
      <c r="D16" s="266">
        <v>58</v>
      </c>
      <c r="E16" s="266">
        <v>71</v>
      </c>
      <c r="F16" s="266">
        <v>57</v>
      </c>
      <c r="G16" s="266">
        <v>69</v>
      </c>
      <c r="H16" s="266">
        <v>101</v>
      </c>
      <c r="I16" s="266">
        <v>208</v>
      </c>
      <c r="J16" s="266">
        <v>140</v>
      </c>
      <c r="K16" s="266">
        <v>115</v>
      </c>
      <c r="L16" s="266">
        <v>134</v>
      </c>
      <c r="M16" s="266">
        <v>124</v>
      </c>
      <c r="N16" s="266">
        <v>113</v>
      </c>
      <c r="O16" s="266">
        <v>97</v>
      </c>
      <c r="P16" s="266">
        <f t="shared" si="1"/>
        <v>1287</v>
      </c>
    </row>
    <row r="17" spans="1:16" x14ac:dyDescent="0.3">
      <c r="A17" s="449" t="s">
        <v>36</v>
      </c>
      <c r="B17" s="532" t="s">
        <v>37</v>
      </c>
      <c r="C17" s="532" t="s">
        <v>252</v>
      </c>
      <c r="D17" s="266">
        <v>61</v>
      </c>
      <c r="E17" s="266">
        <v>61</v>
      </c>
      <c r="F17" s="266">
        <v>47</v>
      </c>
      <c r="G17" s="266">
        <v>63</v>
      </c>
      <c r="H17" s="266">
        <v>96</v>
      </c>
      <c r="I17" s="266">
        <v>151</v>
      </c>
      <c r="J17" s="266">
        <v>155</v>
      </c>
      <c r="K17" s="266">
        <v>99</v>
      </c>
      <c r="L17" s="266">
        <v>119</v>
      </c>
      <c r="M17" s="266">
        <v>95</v>
      </c>
      <c r="N17" s="266">
        <v>97</v>
      </c>
      <c r="O17" s="266">
        <v>92</v>
      </c>
      <c r="P17" s="266">
        <f t="shared" si="1"/>
        <v>1136</v>
      </c>
    </row>
    <row r="18" spans="1:16" x14ac:dyDescent="0.3">
      <c r="A18" s="449" t="s">
        <v>38</v>
      </c>
      <c r="B18" s="532" t="s">
        <v>39</v>
      </c>
      <c r="C18" s="532" t="s">
        <v>256</v>
      </c>
      <c r="D18" s="266">
        <v>86</v>
      </c>
      <c r="E18" s="266">
        <v>81</v>
      </c>
      <c r="F18" s="266">
        <v>91</v>
      </c>
      <c r="G18" s="266">
        <v>64</v>
      </c>
      <c r="H18" s="266">
        <v>135</v>
      </c>
      <c r="I18" s="266">
        <v>243</v>
      </c>
      <c r="J18" s="266">
        <v>261</v>
      </c>
      <c r="K18" s="266">
        <v>176</v>
      </c>
      <c r="L18" s="266">
        <v>190</v>
      </c>
      <c r="M18" s="266">
        <v>136</v>
      </c>
      <c r="N18" s="266">
        <v>123</v>
      </c>
      <c r="O18" s="266">
        <v>108</v>
      </c>
      <c r="P18" s="266">
        <f t="shared" si="1"/>
        <v>1694</v>
      </c>
    </row>
    <row r="19" spans="1:16" x14ac:dyDescent="0.3">
      <c r="A19" s="449" t="s">
        <v>40</v>
      </c>
      <c r="B19" s="532" t="s">
        <v>41</v>
      </c>
      <c r="C19" s="532" t="s">
        <v>254</v>
      </c>
      <c r="D19" s="266">
        <v>47</v>
      </c>
      <c r="E19" s="266">
        <v>47</v>
      </c>
      <c r="F19" s="266">
        <v>41</v>
      </c>
      <c r="G19" s="266">
        <v>43</v>
      </c>
      <c r="H19" s="266">
        <v>90</v>
      </c>
      <c r="I19" s="266">
        <v>156</v>
      </c>
      <c r="J19" s="266">
        <v>126</v>
      </c>
      <c r="K19" s="266">
        <v>90</v>
      </c>
      <c r="L19" s="266">
        <v>120</v>
      </c>
      <c r="M19" s="266">
        <v>84</v>
      </c>
      <c r="N19" s="266">
        <v>98</v>
      </c>
      <c r="O19" s="266">
        <v>74</v>
      </c>
      <c r="P19" s="266">
        <f t="shared" si="1"/>
        <v>1016</v>
      </c>
    </row>
    <row r="20" spans="1:16" x14ac:dyDescent="0.3">
      <c r="A20" s="449" t="s">
        <v>42</v>
      </c>
      <c r="B20" s="532" t="s">
        <v>43</v>
      </c>
      <c r="C20" s="532" t="s">
        <v>253</v>
      </c>
      <c r="D20" s="266">
        <v>131</v>
      </c>
      <c r="E20" s="266">
        <v>160</v>
      </c>
      <c r="F20" s="266">
        <v>162</v>
      </c>
      <c r="G20" s="266">
        <v>175</v>
      </c>
      <c r="H20" s="266">
        <v>226</v>
      </c>
      <c r="I20" s="266">
        <v>405</v>
      </c>
      <c r="J20" s="266">
        <v>366</v>
      </c>
      <c r="K20" s="266">
        <v>267</v>
      </c>
      <c r="L20" s="266">
        <v>343</v>
      </c>
      <c r="M20" s="266">
        <v>297</v>
      </c>
      <c r="N20" s="266">
        <v>287</v>
      </c>
      <c r="O20" s="266">
        <v>207</v>
      </c>
      <c r="P20" s="266">
        <f t="shared" si="1"/>
        <v>3026</v>
      </c>
    </row>
    <row r="21" spans="1:16" x14ac:dyDescent="0.3">
      <c r="A21" s="449" t="s">
        <v>44</v>
      </c>
      <c r="B21" s="532" t="s">
        <v>45</v>
      </c>
      <c r="C21" s="532" t="s">
        <v>254</v>
      </c>
      <c r="D21" s="266">
        <v>104</v>
      </c>
      <c r="E21" s="266">
        <v>113</v>
      </c>
      <c r="F21" s="266">
        <v>81</v>
      </c>
      <c r="G21" s="266">
        <v>99</v>
      </c>
      <c r="H21" s="266">
        <v>192</v>
      </c>
      <c r="I21" s="266">
        <v>276</v>
      </c>
      <c r="J21" s="266">
        <v>220</v>
      </c>
      <c r="K21" s="266">
        <v>162</v>
      </c>
      <c r="L21" s="266">
        <v>195</v>
      </c>
      <c r="M21" s="266">
        <v>169</v>
      </c>
      <c r="N21" s="266">
        <v>177</v>
      </c>
      <c r="O21" s="266">
        <v>133</v>
      </c>
      <c r="P21" s="266">
        <f t="shared" si="1"/>
        <v>1921</v>
      </c>
    </row>
    <row r="22" spans="1:16" x14ac:dyDescent="0.3">
      <c r="A22" s="449" t="s">
        <v>46</v>
      </c>
      <c r="B22" s="532" t="s">
        <v>47</v>
      </c>
      <c r="C22" s="532" t="s">
        <v>256</v>
      </c>
      <c r="D22" s="266">
        <v>101</v>
      </c>
      <c r="E22" s="266">
        <v>105</v>
      </c>
      <c r="F22" s="266">
        <v>97</v>
      </c>
      <c r="G22" s="266">
        <v>123</v>
      </c>
      <c r="H22" s="266">
        <v>143</v>
      </c>
      <c r="I22" s="266">
        <v>285</v>
      </c>
      <c r="J22" s="266">
        <v>242</v>
      </c>
      <c r="K22" s="266">
        <v>176</v>
      </c>
      <c r="L22" s="266">
        <v>213</v>
      </c>
      <c r="M22" s="266">
        <v>213</v>
      </c>
      <c r="N22" s="266">
        <v>158</v>
      </c>
      <c r="O22" s="266">
        <v>129</v>
      </c>
      <c r="P22" s="266">
        <f t="shared" si="1"/>
        <v>1985</v>
      </c>
    </row>
    <row r="23" spans="1:16" x14ac:dyDescent="0.3">
      <c r="A23" s="449" t="s">
        <v>48</v>
      </c>
      <c r="B23" s="532" t="s">
        <v>257</v>
      </c>
      <c r="C23" s="532" t="s">
        <v>254</v>
      </c>
      <c r="D23" s="266">
        <v>17</v>
      </c>
      <c r="E23" s="266">
        <v>14</v>
      </c>
      <c r="F23" s="266">
        <v>14</v>
      </c>
      <c r="G23" s="266">
        <v>16</v>
      </c>
      <c r="H23" s="266">
        <v>32</v>
      </c>
      <c r="I23" s="266">
        <v>40</v>
      </c>
      <c r="J23" s="266">
        <v>41</v>
      </c>
      <c r="K23" s="266">
        <v>41</v>
      </c>
      <c r="L23" s="266">
        <v>40</v>
      </c>
      <c r="M23" s="266">
        <v>26</v>
      </c>
      <c r="N23" s="266">
        <v>36</v>
      </c>
      <c r="O23" s="266">
        <v>23</v>
      </c>
      <c r="P23" s="266">
        <f t="shared" si="1"/>
        <v>340</v>
      </c>
    </row>
    <row r="24" spans="1:16" x14ac:dyDescent="0.3">
      <c r="A24" s="449" t="s">
        <v>50</v>
      </c>
      <c r="B24" s="532" t="s">
        <v>51</v>
      </c>
      <c r="C24" s="532" t="s">
        <v>253</v>
      </c>
      <c r="D24" s="266">
        <v>33</v>
      </c>
      <c r="E24" s="266">
        <v>35</v>
      </c>
      <c r="F24" s="266">
        <v>33</v>
      </c>
      <c r="G24" s="266">
        <v>41</v>
      </c>
      <c r="H24" s="266">
        <v>48</v>
      </c>
      <c r="I24" s="266">
        <v>122</v>
      </c>
      <c r="J24" s="266">
        <v>66</v>
      </c>
      <c r="K24" s="266">
        <v>68</v>
      </c>
      <c r="L24" s="266">
        <v>98</v>
      </c>
      <c r="M24" s="266">
        <v>65</v>
      </c>
      <c r="N24" s="266">
        <v>55</v>
      </c>
      <c r="O24" s="266">
        <v>39</v>
      </c>
      <c r="P24" s="266">
        <f t="shared" si="1"/>
        <v>703</v>
      </c>
    </row>
    <row r="25" spans="1:16" x14ac:dyDescent="0.3">
      <c r="A25" s="449" t="s">
        <v>56</v>
      </c>
      <c r="B25" s="532" t="s">
        <v>283</v>
      </c>
      <c r="C25" s="532" t="s">
        <v>254</v>
      </c>
      <c r="D25" s="266">
        <v>848</v>
      </c>
      <c r="E25" s="266">
        <v>1016</v>
      </c>
      <c r="F25" s="266">
        <v>825</v>
      </c>
      <c r="G25" s="266">
        <v>925</v>
      </c>
      <c r="H25" s="266">
        <v>1623</v>
      </c>
      <c r="I25" s="266">
        <v>2748</v>
      </c>
      <c r="J25" s="266">
        <v>1628</v>
      </c>
      <c r="K25" s="266">
        <v>1572</v>
      </c>
      <c r="L25" s="266">
        <v>2117</v>
      </c>
      <c r="M25" s="266">
        <v>1737</v>
      </c>
      <c r="N25" s="266">
        <v>1573</v>
      </c>
      <c r="O25" s="266">
        <v>1349</v>
      </c>
      <c r="P25" s="266">
        <f t="shared" si="1"/>
        <v>17961</v>
      </c>
    </row>
    <row r="26" spans="1:16" x14ac:dyDescent="0.3">
      <c r="A26" s="449" t="s">
        <v>58</v>
      </c>
      <c r="B26" s="532" t="s">
        <v>59</v>
      </c>
      <c r="C26" s="532" t="s">
        <v>255</v>
      </c>
      <c r="D26" s="266">
        <v>18</v>
      </c>
      <c r="E26" s="266">
        <v>25</v>
      </c>
      <c r="F26" s="266">
        <v>26</v>
      </c>
      <c r="G26" s="266">
        <v>34</v>
      </c>
      <c r="H26" s="266">
        <v>39</v>
      </c>
      <c r="I26" s="266">
        <v>99</v>
      </c>
      <c r="J26" s="266">
        <v>70</v>
      </c>
      <c r="K26" s="266">
        <v>48</v>
      </c>
      <c r="L26" s="266">
        <v>71</v>
      </c>
      <c r="M26" s="266">
        <v>58</v>
      </c>
      <c r="N26" s="266">
        <v>32</v>
      </c>
      <c r="O26" s="266">
        <v>26</v>
      </c>
      <c r="P26" s="266">
        <f t="shared" si="1"/>
        <v>546</v>
      </c>
    </row>
    <row r="27" spans="1:16" x14ac:dyDescent="0.3">
      <c r="A27" s="449" t="s">
        <v>60</v>
      </c>
      <c r="B27" s="532" t="s">
        <v>61</v>
      </c>
      <c r="C27" s="532" t="s">
        <v>253</v>
      </c>
      <c r="D27" s="266">
        <v>17</v>
      </c>
      <c r="E27" s="266">
        <v>16</v>
      </c>
      <c r="F27" s="266">
        <v>12</v>
      </c>
      <c r="G27" s="266">
        <v>11</v>
      </c>
      <c r="H27" s="266">
        <v>19</v>
      </c>
      <c r="I27" s="266">
        <v>31</v>
      </c>
      <c r="J27" s="266">
        <v>33</v>
      </c>
      <c r="K27" s="266">
        <v>15</v>
      </c>
      <c r="L27" s="266">
        <v>26</v>
      </c>
      <c r="M27" s="266">
        <v>46</v>
      </c>
      <c r="N27" s="266">
        <v>26</v>
      </c>
      <c r="O27" s="266">
        <v>17</v>
      </c>
      <c r="P27" s="266">
        <f t="shared" si="1"/>
        <v>269</v>
      </c>
    </row>
    <row r="28" spans="1:16" x14ac:dyDescent="0.3">
      <c r="A28" s="449" t="s">
        <v>62</v>
      </c>
      <c r="B28" s="532" t="s">
        <v>63</v>
      </c>
      <c r="C28" s="532" t="s">
        <v>255</v>
      </c>
      <c r="D28" s="266">
        <v>161</v>
      </c>
      <c r="E28" s="266">
        <v>180</v>
      </c>
      <c r="F28" s="266">
        <v>117</v>
      </c>
      <c r="G28" s="266">
        <v>140</v>
      </c>
      <c r="H28" s="266">
        <v>206</v>
      </c>
      <c r="I28" s="266">
        <v>389</v>
      </c>
      <c r="J28" s="266">
        <v>375</v>
      </c>
      <c r="K28" s="266">
        <v>241</v>
      </c>
      <c r="L28" s="266">
        <v>339</v>
      </c>
      <c r="M28" s="266">
        <v>330</v>
      </c>
      <c r="N28" s="266">
        <v>321</v>
      </c>
      <c r="O28" s="266">
        <v>242</v>
      </c>
      <c r="P28" s="266">
        <f t="shared" si="1"/>
        <v>3041</v>
      </c>
    </row>
    <row r="29" spans="1:16" x14ac:dyDescent="0.3">
      <c r="A29" s="449" t="s">
        <v>64</v>
      </c>
      <c r="B29" s="532" t="s">
        <v>65</v>
      </c>
      <c r="C29" s="532" t="s">
        <v>254</v>
      </c>
      <c r="D29" s="266">
        <v>32</v>
      </c>
      <c r="E29" s="266">
        <v>33</v>
      </c>
      <c r="F29" s="266">
        <v>32</v>
      </c>
      <c r="G29" s="266">
        <v>17</v>
      </c>
      <c r="H29" s="266">
        <v>70</v>
      </c>
      <c r="I29" s="266">
        <v>90</v>
      </c>
      <c r="J29" s="266">
        <v>88</v>
      </c>
      <c r="K29" s="266">
        <v>50</v>
      </c>
      <c r="L29" s="266">
        <v>78</v>
      </c>
      <c r="M29" s="266">
        <v>55</v>
      </c>
      <c r="N29" s="266">
        <v>56</v>
      </c>
      <c r="O29" s="266">
        <v>60</v>
      </c>
      <c r="P29" s="266">
        <f t="shared" si="1"/>
        <v>661</v>
      </c>
    </row>
    <row r="30" spans="1:16" x14ac:dyDescent="0.3">
      <c r="A30" s="449" t="s">
        <v>68</v>
      </c>
      <c r="B30" s="532" t="s">
        <v>69</v>
      </c>
      <c r="C30" s="532" t="s">
        <v>256</v>
      </c>
      <c r="D30" s="266">
        <v>63</v>
      </c>
      <c r="E30" s="266">
        <v>68</v>
      </c>
      <c r="F30" s="266">
        <v>50</v>
      </c>
      <c r="G30" s="266">
        <v>49</v>
      </c>
      <c r="H30" s="266">
        <v>87</v>
      </c>
      <c r="I30" s="266">
        <v>106</v>
      </c>
      <c r="J30" s="266">
        <v>123</v>
      </c>
      <c r="K30" s="266">
        <v>114</v>
      </c>
      <c r="L30" s="266">
        <v>116</v>
      </c>
      <c r="M30" s="266">
        <v>102</v>
      </c>
      <c r="N30" s="266">
        <v>95</v>
      </c>
      <c r="O30" s="266">
        <v>73</v>
      </c>
      <c r="P30" s="266">
        <f t="shared" si="1"/>
        <v>1046</v>
      </c>
    </row>
    <row r="31" spans="1:16" x14ac:dyDescent="0.3">
      <c r="A31" s="449" t="s">
        <v>70</v>
      </c>
      <c r="B31" s="532" t="s">
        <v>71</v>
      </c>
      <c r="C31" s="532" t="s">
        <v>252</v>
      </c>
      <c r="D31" s="266">
        <v>86</v>
      </c>
      <c r="E31" s="266">
        <v>101</v>
      </c>
      <c r="F31" s="266">
        <v>78</v>
      </c>
      <c r="G31" s="266">
        <v>99</v>
      </c>
      <c r="H31" s="266">
        <v>124</v>
      </c>
      <c r="I31" s="266">
        <v>175</v>
      </c>
      <c r="J31" s="266">
        <v>202</v>
      </c>
      <c r="K31" s="266">
        <v>157</v>
      </c>
      <c r="L31" s="266">
        <v>256</v>
      </c>
      <c r="M31" s="266">
        <v>178</v>
      </c>
      <c r="N31" s="266">
        <v>152</v>
      </c>
      <c r="O31" s="266">
        <v>121</v>
      </c>
      <c r="P31" s="266">
        <f t="shared" si="1"/>
        <v>1729</v>
      </c>
    </row>
    <row r="32" spans="1:16" x14ac:dyDescent="0.3">
      <c r="A32" s="449" t="s">
        <v>72</v>
      </c>
      <c r="B32" s="532" t="s">
        <v>73</v>
      </c>
      <c r="C32" s="532" t="s">
        <v>254</v>
      </c>
      <c r="D32" s="266">
        <v>36</v>
      </c>
      <c r="E32" s="266">
        <v>31</v>
      </c>
      <c r="F32" s="266">
        <v>29</v>
      </c>
      <c r="G32" s="266">
        <v>36</v>
      </c>
      <c r="H32" s="266">
        <v>59</v>
      </c>
      <c r="I32" s="266">
        <v>115</v>
      </c>
      <c r="J32" s="266">
        <v>81</v>
      </c>
      <c r="K32" s="266">
        <v>76</v>
      </c>
      <c r="L32" s="266">
        <v>96</v>
      </c>
      <c r="M32" s="266">
        <v>73</v>
      </c>
      <c r="N32" s="266">
        <v>75</v>
      </c>
      <c r="O32" s="266">
        <v>44</v>
      </c>
      <c r="P32" s="266">
        <f t="shared" si="1"/>
        <v>751</v>
      </c>
    </row>
    <row r="33" spans="1:16" x14ac:dyDescent="0.3">
      <c r="A33" s="449" t="s">
        <v>74</v>
      </c>
      <c r="B33" s="532" t="s">
        <v>284</v>
      </c>
      <c r="C33" s="532" t="s">
        <v>255</v>
      </c>
      <c r="D33" s="266">
        <v>2211</v>
      </c>
      <c r="E33" s="266">
        <v>2445</v>
      </c>
      <c r="F33" s="266">
        <v>2069</v>
      </c>
      <c r="G33" s="266">
        <v>2442</v>
      </c>
      <c r="H33" s="266">
        <v>4439</v>
      </c>
      <c r="I33" s="266">
        <v>9708</v>
      </c>
      <c r="J33" s="266">
        <v>5640</v>
      </c>
      <c r="K33" s="266">
        <v>4236</v>
      </c>
      <c r="L33" s="266">
        <v>5665</v>
      </c>
      <c r="M33" s="266">
        <v>4318</v>
      </c>
      <c r="N33" s="266">
        <v>3567</v>
      </c>
      <c r="O33" s="266">
        <v>2986</v>
      </c>
      <c r="P33" s="266">
        <f t="shared" si="1"/>
        <v>49726</v>
      </c>
    </row>
    <row r="34" spans="1:16" x14ac:dyDescent="0.3">
      <c r="A34" s="449" t="s">
        <v>76</v>
      </c>
      <c r="B34" s="532" t="s">
        <v>77</v>
      </c>
      <c r="C34" s="532" t="s">
        <v>255</v>
      </c>
      <c r="D34" s="266">
        <v>121</v>
      </c>
      <c r="E34" s="266">
        <v>170</v>
      </c>
      <c r="F34" s="266">
        <v>155</v>
      </c>
      <c r="G34" s="266">
        <v>149</v>
      </c>
      <c r="H34" s="266">
        <v>224</v>
      </c>
      <c r="I34" s="266">
        <v>456</v>
      </c>
      <c r="J34" s="266">
        <v>307</v>
      </c>
      <c r="K34" s="266">
        <v>285</v>
      </c>
      <c r="L34" s="266">
        <v>372</v>
      </c>
      <c r="M34" s="266">
        <v>335</v>
      </c>
      <c r="N34" s="266">
        <v>288</v>
      </c>
      <c r="O34" s="266">
        <v>185</v>
      </c>
      <c r="P34" s="266">
        <f t="shared" si="1"/>
        <v>3047</v>
      </c>
    </row>
    <row r="35" spans="1:16" x14ac:dyDescent="0.3">
      <c r="A35" s="449" t="s">
        <v>78</v>
      </c>
      <c r="B35" s="532" t="s">
        <v>79</v>
      </c>
      <c r="C35" s="532" t="s">
        <v>256</v>
      </c>
      <c r="D35" s="266">
        <v>42</v>
      </c>
      <c r="E35" s="266">
        <v>63</v>
      </c>
      <c r="F35" s="266">
        <v>39</v>
      </c>
      <c r="G35" s="266">
        <v>39</v>
      </c>
      <c r="H35" s="266">
        <v>72</v>
      </c>
      <c r="I35" s="266">
        <v>170</v>
      </c>
      <c r="J35" s="266">
        <v>117</v>
      </c>
      <c r="K35" s="266">
        <v>109</v>
      </c>
      <c r="L35" s="266">
        <v>125</v>
      </c>
      <c r="M35" s="266">
        <v>71</v>
      </c>
      <c r="N35" s="266">
        <v>67</v>
      </c>
      <c r="O35" s="266">
        <v>59</v>
      </c>
      <c r="P35" s="266">
        <f t="shared" si="1"/>
        <v>973</v>
      </c>
    </row>
    <row r="36" spans="1:16" x14ac:dyDescent="0.3">
      <c r="A36" s="449" t="s">
        <v>80</v>
      </c>
      <c r="B36" s="532" t="s">
        <v>81</v>
      </c>
      <c r="C36" s="532" t="s">
        <v>254</v>
      </c>
      <c r="D36" s="266">
        <v>69</v>
      </c>
      <c r="E36" s="266">
        <v>62</v>
      </c>
      <c r="F36" s="266">
        <v>55</v>
      </c>
      <c r="G36" s="266">
        <v>62</v>
      </c>
      <c r="H36" s="266">
        <v>90</v>
      </c>
      <c r="I36" s="266">
        <v>206</v>
      </c>
      <c r="J36" s="266">
        <v>97</v>
      </c>
      <c r="K36" s="266">
        <v>100</v>
      </c>
      <c r="L36" s="266">
        <v>140</v>
      </c>
      <c r="M36" s="266">
        <v>104</v>
      </c>
      <c r="N36" s="266">
        <v>70</v>
      </c>
      <c r="O36" s="266">
        <v>71</v>
      </c>
      <c r="P36" s="266">
        <f t="shared" si="1"/>
        <v>1126</v>
      </c>
    </row>
    <row r="37" spans="1:16" x14ac:dyDescent="0.3">
      <c r="A37" s="449" t="s">
        <v>84</v>
      </c>
      <c r="B37" s="532" t="s">
        <v>85</v>
      </c>
      <c r="C37" s="532" t="s">
        <v>253</v>
      </c>
      <c r="D37" s="266">
        <v>157</v>
      </c>
      <c r="E37" s="266">
        <v>169</v>
      </c>
      <c r="F37" s="266">
        <v>125</v>
      </c>
      <c r="G37" s="266">
        <v>139</v>
      </c>
      <c r="H37" s="266">
        <v>193</v>
      </c>
      <c r="I37" s="266">
        <v>464</v>
      </c>
      <c r="J37" s="266">
        <v>321</v>
      </c>
      <c r="K37" s="266">
        <v>258</v>
      </c>
      <c r="L37" s="266">
        <v>354</v>
      </c>
      <c r="M37" s="266">
        <v>271</v>
      </c>
      <c r="N37" s="266">
        <v>260</v>
      </c>
      <c r="O37" s="266">
        <v>227</v>
      </c>
      <c r="P37" s="266">
        <f t="shared" ref="P37:P68" si="2">SUM(D37:O37)</f>
        <v>2938</v>
      </c>
    </row>
    <row r="38" spans="1:16" x14ac:dyDescent="0.3">
      <c r="A38" s="449" t="s">
        <v>86</v>
      </c>
      <c r="B38" s="532" t="s">
        <v>87</v>
      </c>
      <c r="C38" s="532" t="s">
        <v>255</v>
      </c>
      <c r="D38" s="266">
        <v>179</v>
      </c>
      <c r="E38" s="266">
        <v>197</v>
      </c>
      <c r="F38" s="266">
        <v>186</v>
      </c>
      <c r="G38" s="266">
        <v>256</v>
      </c>
      <c r="H38" s="266">
        <v>285</v>
      </c>
      <c r="I38" s="266">
        <v>576</v>
      </c>
      <c r="J38" s="266">
        <v>420</v>
      </c>
      <c r="K38" s="266">
        <v>373</v>
      </c>
      <c r="L38" s="266">
        <v>483</v>
      </c>
      <c r="M38" s="266">
        <v>400</v>
      </c>
      <c r="N38" s="266">
        <v>343</v>
      </c>
      <c r="O38" s="266">
        <v>258</v>
      </c>
      <c r="P38" s="266">
        <f t="shared" si="2"/>
        <v>3956</v>
      </c>
    </row>
    <row r="39" spans="1:16" x14ac:dyDescent="0.3">
      <c r="A39" s="449" t="s">
        <v>92</v>
      </c>
      <c r="B39" s="532" t="s">
        <v>93</v>
      </c>
      <c r="C39" s="532" t="s">
        <v>256</v>
      </c>
      <c r="D39" s="266">
        <v>58</v>
      </c>
      <c r="E39" s="266">
        <v>75</v>
      </c>
      <c r="F39" s="266">
        <v>59</v>
      </c>
      <c r="G39" s="266">
        <v>43</v>
      </c>
      <c r="H39" s="266">
        <v>73</v>
      </c>
      <c r="I39" s="266">
        <v>123</v>
      </c>
      <c r="J39" s="266">
        <v>139</v>
      </c>
      <c r="K39" s="266">
        <v>107</v>
      </c>
      <c r="L39" s="266">
        <v>116</v>
      </c>
      <c r="M39" s="266">
        <v>117</v>
      </c>
      <c r="N39" s="266">
        <v>73</v>
      </c>
      <c r="O39" s="266">
        <v>59</v>
      </c>
      <c r="P39" s="266">
        <f t="shared" si="2"/>
        <v>1042</v>
      </c>
    </row>
    <row r="40" spans="1:16" x14ac:dyDescent="0.3">
      <c r="A40" s="449" t="s">
        <v>94</v>
      </c>
      <c r="B40" s="532" t="s">
        <v>95</v>
      </c>
      <c r="C40" s="532" t="s">
        <v>252</v>
      </c>
      <c r="D40" s="266">
        <v>87</v>
      </c>
      <c r="E40" s="266">
        <v>112</v>
      </c>
      <c r="F40" s="266">
        <v>92</v>
      </c>
      <c r="G40" s="266">
        <v>128</v>
      </c>
      <c r="H40" s="266">
        <v>161</v>
      </c>
      <c r="I40" s="266">
        <v>318</v>
      </c>
      <c r="J40" s="266">
        <v>212</v>
      </c>
      <c r="K40" s="266">
        <v>210</v>
      </c>
      <c r="L40" s="266">
        <v>269</v>
      </c>
      <c r="M40" s="266">
        <v>212</v>
      </c>
      <c r="N40" s="266">
        <v>172</v>
      </c>
      <c r="O40" s="266">
        <v>125</v>
      </c>
      <c r="P40" s="266">
        <f t="shared" si="2"/>
        <v>2098</v>
      </c>
    </row>
    <row r="41" spans="1:16" x14ac:dyDescent="0.3">
      <c r="A41" s="449" t="s">
        <v>96</v>
      </c>
      <c r="B41" s="532" t="s">
        <v>97</v>
      </c>
      <c r="C41" s="532" t="s">
        <v>254</v>
      </c>
      <c r="D41" s="266">
        <v>31</v>
      </c>
      <c r="E41" s="266">
        <v>31</v>
      </c>
      <c r="F41" s="266">
        <v>35</v>
      </c>
      <c r="G41" s="266">
        <v>33</v>
      </c>
      <c r="H41" s="266">
        <v>63</v>
      </c>
      <c r="I41" s="266">
        <v>154</v>
      </c>
      <c r="J41" s="266">
        <v>83</v>
      </c>
      <c r="K41" s="266">
        <v>74</v>
      </c>
      <c r="L41" s="266">
        <v>103</v>
      </c>
      <c r="M41" s="266">
        <v>90</v>
      </c>
      <c r="N41" s="266">
        <v>97</v>
      </c>
      <c r="O41" s="266">
        <v>95</v>
      </c>
      <c r="P41" s="266">
        <f t="shared" si="2"/>
        <v>889</v>
      </c>
    </row>
    <row r="42" spans="1:16" x14ac:dyDescent="0.3">
      <c r="A42" s="449" t="s">
        <v>98</v>
      </c>
      <c r="B42" s="532" t="s">
        <v>99</v>
      </c>
      <c r="C42" s="532" t="s">
        <v>256</v>
      </c>
      <c r="D42" s="266">
        <v>61</v>
      </c>
      <c r="E42" s="266">
        <v>56</v>
      </c>
      <c r="F42" s="266">
        <v>39</v>
      </c>
      <c r="G42" s="266">
        <v>59</v>
      </c>
      <c r="H42" s="266">
        <v>81</v>
      </c>
      <c r="I42" s="266">
        <v>125</v>
      </c>
      <c r="J42" s="266">
        <v>108</v>
      </c>
      <c r="K42" s="266">
        <v>100</v>
      </c>
      <c r="L42" s="266">
        <v>124</v>
      </c>
      <c r="M42" s="266">
        <v>89</v>
      </c>
      <c r="N42" s="266">
        <v>86</v>
      </c>
      <c r="O42" s="266">
        <v>59</v>
      </c>
      <c r="P42" s="266">
        <f t="shared" si="2"/>
        <v>987</v>
      </c>
    </row>
    <row r="43" spans="1:16" x14ac:dyDescent="0.3">
      <c r="A43" s="449" t="s">
        <v>100</v>
      </c>
      <c r="B43" s="532" t="s">
        <v>101</v>
      </c>
      <c r="C43" s="532" t="s">
        <v>255</v>
      </c>
      <c r="D43" s="266">
        <v>46</v>
      </c>
      <c r="E43" s="266">
        <v>52</v>
      </c>
      <c r="F43" s="266">
        <v>49</v>
      </c>
      <c r="G43" s="266">
        <v>48</v>
      </c>
      <c r="H43" s="266">
        <v>77</v>
      </c>
      <c r="I43" s="266">
        <v>147</v>
      </c>
      <c r="J43" s="266">
        <v>107</v>
      </c>
      <c r="K43" s="266">
        <v>102</v>
      </c>
      <c r="L43" s="266">
        <v>123</v>
      </c>
      <c r="M43" s="266">
        <v>64</v>
      </c>
      <c r="N43" s="266">
        <v>102</v>
      </c>
      <c r="O43" s="266">
        <v>59</v>
      </c>
      <c r="P43" s="266">
        <f t="shared" si="2"/>
        <v>976</v>
      </c>
    </row>
    <row r="44" spans="1:16" x14ac:dyDescent="0.3">
      <c r="A44" s="449" t="s">
        <v>102</v>
      </c>
      <c r="B44" s="532" t="s">
        <v>270</v>
      </c>
      <c r="C44" s="532" t="s">
        <v>252</v>
      </c>
      <c r="D44" s="266">
        <v>55</v>
      </c>
      <c r="E44" s="266">
        <v>85</v>
      </c>
      <c r="F44" s="266">
        <v>58</v>
      </c>
      <c r="G44" s="266">
        <v>77</v>
      </c>
      <c r="H44" s="266">
        <v>74</v>
      </c>
      <c r="I44" s="266">
        <v>171</v>
      </c>
      <c r="J44" s="266">
        <v>120</v>
      </c>
      <c r="K44" s="266">
        <v>99</v>
      </c>
      <c r="L44" s="266">
        <v>136</v>
      </c>
      <c r="M44" s="266">
        <v>108</v>
      </c>
      <c r="N44" s="266">
        <v>130</v>
      </c>
      <c r="O44" s="266">
        <v>85</v>
      </c>
      <c r="P44" s="266">
        <f t="shared" si="2"/>
        <v>1198</v>
      </c>
    </row>
    <row r="45" spans="1:16" x14ac:dyDescent="0.3">
      <c r="A45" s="449" t="s">
        <v>104</v>
      </c>
      <c r="B45" s="532" t="s">
        <v>105</v>
      </c>
      <c r="C45" s="532" t="s">
        <v>253</v>
      </c>
      <c r="D45" s="266">
        <v>109</v>
      </c>
      <c r="E45" s="266">
        <v>123</v>
      </c>
      <c r="F45" s="266">
        <v>128</v>
      </c>
      <c r="G45" s="266">
        <v>96</v>
      </c>
      <c r="H45" s="266">
        <v>175</v>
      </c>
      <c r="I45" s="266">
        <v>286</v>
      </c>
      <c r="J45" s="266">
        <v>241</v>
      </c>
      <c r="K45" s="266">
        <v>196</v>
      </c>
      <c r="L45" s="266">
        <v>257</v>
      </c>
      <c r="M45" s="266">
        <v>214</v>
      </c>
      <c r="N45" s="266">
        <v>183</v>
      </c>
      <c r="O45" s="266">
        <v>145</v>
      </c>
      <c r="P45" s="266">
        <f t="shared" si="2"/>
        <v>2153</v>
      </c>
    </row>
    <row r="46" spans="1:16" x14ac:dyDescent="0.3">
      <c r="A46" s="449" t="s">
        <v>108</v>
      </c>
      <c r="B46" s="532" t="s">
        <v>109</v>
      </c>
      <c r="C46" s="532" t="s">
        <v>254</v>
      </c>
      <c r="D46" s="266">
        <v>156</v>
      </c>
      <c r="E46" s="266">
        <v>186</v>
      </c>
      <c r="F46" s="266">
        <v>154</v>
      </c>
      <c r="G46" s="266">
        <v>172</v>
      </c>
      <c r="H46" s="266">
        <v>310</v>
      </c>
      <c r="I46" s="266">
        <v>713</v>
      </c>
      <c r="J46" s="266">
        <v>378</v>
      </c>
      <c r="K46" s="266">
        <v>317</v>
      </c>
      <c r="L46" s="266">
        <v>406</v>
      </c>
      <c r="M46" s="266">
        <v>329</v>
      </c>
      <c r="N46" s="266">
        <v>267</v>
      </c>
      <c r="O46" s="266">
        <v>203</v>
      </c>
      <c r="P46" s="266">
        <f t="shared" si="2"/>
        <v>3591</v>
      </c>
    </row>
    <row r="47" spans="1:16" x14ac:dyDescent="0.3">
      <c r="A47" s="449" t="s">
        <v>110</v>
      </c>
      <c r="B47" s="532" t="s">
        <v>111</v>
      </c>
      <c r="C47" s="532" t="s">
        <v>254</v>
      </c>
      <c r="D47" s="266">
        <v>828</v>
      </c>
      <c r="E47" s="266">
        <v>958</v>
      </c>
      <c r="F47" s="266">
        <v>889</v>
      </c>
      <c r="G47" s="266">
        <v>886</v>
      </c>
      <c r="H47" s="266">
        <v>1422</v>
      </c>
      <c r="I47" s="266">
        <v>2823</v>
      </c>
      <c r="J47" s="266">
        <v>2066</v>
      </c>
      <c r="K47" s="266">
        <v>1697</v>
      </c>
      <c r="L47" s="266">
        <v>2144</v>
      </c>
      <c r="M47" s="266">
        <v>1825</v>
      </c>
      <c r="N47" s="266">
        <v>1603</v>
      </c>
      <c r="O47" s="266">
        <v>1252</v>
      </c>
      <c r="P47" s="266">
        <f t="shared" si="2"/>
        <v>18393</v>
      </c>
    </row>
    <row r="48" spans="1:16" x14ac:dyDescent="0.3">
      <c r="A48" s="449" t="s">
        <v>112</v>
      </c>
      <c r="B48" s="532" t="s">
        <v>288</v>
      </c>
      <c r="C48" s="532" t="s">
        <v>253</v>
      </c>
      <c r="D48" s="266">
        <v>210</v>
      </c>
      <c r="E48" s="266">
        <v>264</v>
      </c>
      <c r="F48" s="266">
        <v>268</v>
      </c>
      <c r="G48" s="266">
        <v>258</v>
      </c>
      <c r="H48" s="266">
        <v>302</v>
      </c>
      <c r="I48" s="266">
        <v>651</v>
      </c>
      <c r="J48" s="266">
        <v>561</v>
      </c>
      <c r="K48" s="266">
        <v>489</v>
      </c>
      <c r="L48" s="266">
        <v>587</v>
      </c>
      <c r="M48" s="266">
        <v>551</v>
      </c>
      <c r="N48" s="266">
        <v>526</v>
      </c>
      <c r="O48" s="266">
        <v>415</v>
      </c>
      <c r="P48" s="266">
        <f t="shared" si="2"/>
        <v>5082</v>
      </c>
    </row>
    <row r="49" spans="1:16" x14ac:dyDescent="0.3">
      <c r="A49" s="449" t="s">
        <v>114</v>
      </c>
      <c r="B49" s="532" t="s">
        <v>115</v>
      </c>
      <c r="C49" s="532" t="s">
        <v>253</v>
      </c>
      <c r="D49" s="266">
        <v>5</v>
      </c>
      <c r="E49" s="266">
        <v>3</v>
      </c>
      <c r="F49" s="266">
        <v>4</v>
      </c>
      <c r="G49" s="266">
        <v>3</v>
      </c>
      <c r="H49" s="266">
        <v>9</v>
      </c>
      <c r="I49" s="266">
        <v>38</v>
      </c>
      <c r="J49" s="266">
        <v>28</v>
      </c>
      <c r="K49" s="266">
        <v>21</v>
      </c>
      <c r="L49" s="266">
        <v>17</v>
      </c>
      <c r="M49" s="266">
        <v>22</v>
      </c>
      <c r="N49" s="266">
        <v>17</v>
      </c>
      <c r="O49" s="266">
        <v>10</v>
      </c>
      <c r="P49" s="266">
        <f t="shared" si="2"/>
        <v>177</v>
      </c>
    </row>
    <row r="50" spans="1:16" x14ac:dyDescent="0.3">
      <c r="A50" s="449" t="s">
        <v>118</v>
      </c>
      <c r="B50" s="532" t="s">
        <v>258</v>
      </c>
      <c r="C50" s="532" t="s">
        <v>252</v>
      </c>
      <c r="D50" s="266">
        <v>97</v>
      </c>
      <c r="E50" s="266">
        <v>81</v>
      </c>
      <c r="F50" s="266">
        <v>80</v>
      </c>
      <c r="G50" s="266">
        <v>81</v>
      </c>
      <c r="H50" s="266">
        <v>112</v>
      </c>
      <c r="I50" s="266">
        <v>283</v>
      </c>
      <c r="J50" s="266">
        <v>160</v>
      </c>
      <c r="K50" s="266">
        <v>157</v>
      </c>
      <c r="L50" s="266">
        <v>188</v>
      </c>
      <c r="M50" s="266">
        <v>148</v>
      </c>
      <c r="N50" s="266">
        <v>144</v>
      </c>
      <c r="O50" s="266">
        <v>117</v>
      </c>
      <c r="P50" s="266">
        <f t="shared" si="2"/>
        <v>1648</v>
      </c>
    </row>
    <row r="51" spans="1:16" x14ac:dyDescent="0.3">
      <c r="A51" s="449" t="s">
        <v>120</v>
      </c>
      <c r="B51" s="532" t="s">
        <v>121</v>
      </c>
      <c r="C51" s="532" t="s">
        <v>252</v>
      </c>
      <c r="D51" s="266">
        <v>134</v>
      </c>
      <c r="E51" s="266">
        <v>136</v>
      </c>
      <c r="F51" s="266">
        <v>132</v>
      </c>
      <c r="G51" s="266">
        <v>154</v>
      </c>
      <c r="H51" s="266">
        <v>248</v>
      </c>
      <c r="I51" s="266">
        <v>513</v>
      </c>
      <c r="J51" s="266">
        <v>282</v>
      </c>
      <c r="K51" s="266">
        <v>231</v>
      </c>
      <c r="L51" s="266">
        <v>297</v>
      </c>
      <c r="M51" s="266">
        <v>250</v>
      </c>
      <c r="N51" s="266">
        <v>203</v>
      </c>
      <c r="O51" s="266">
        <v>165</v>
      </c>
      <c r="P51" s="266">
        <f t="shared" si="2"/>
        <v>2745</v>
      </c>
    </row>
    <row r="52" spans="1:16" x14ac:dyDescent="0.3">
      <c r="A52" s="449" t="s">
        <v>122</v>
      </c>
      <c r="B52" s="532" t="s">
        <v>275</v>
      </c>
      <c r="C52" s="532" t="s">
        <v>254</v>
      </c>
      <c r="D52" s="266">
        <v>23</v>
      </c>
      <c r="E52" s="266">
        <v>25</v>
      </c>
      <c r="F52" s="266">
        <v>10</v>
      </c>
      <c r="G52" s="266">
        <v>19</v>
      </c>
      <c r="H52" s="266">
        <v>50</v>
      </c>
      <c r="I52" s="266">
        <v>70</v>
      </c>
      <c r="J52" s="266">
        <v>59</v>
      </c>
      <c r="K52" s="266">
        <v>28</v>
      </c>
      <c r="L52" s="266">
        <v>65</v>
      </c>
      <c r="M52" s="266">
        <v>44</v>
      </c>
      <c r="N52" s="266">
        <v>27</v>
      </c>
      <c r="O52" s="266">
        <v>35</v>
      </c>
      <c r="P52" s="266">
        <f t="shared" si="2"/>
        <v>455</v>
      </c>
    </row>
    <row r="53" spans="1:16" x14ac:dyDescent="0.3">
      <c r="A53" s="449" t="s">
        <v>124</v>
      </c>
      <c r="B53" s="532" t="s">
        <v>125</v>
      </c>
      <c r="C53" s="532" t="s">
        <v>255</v>
      </c>
      <c r="D53" s="266">
        <v>72</v>
      </c>
      <c r="E53" s="266">
        <v>59</v>
      </c>
      <c r="F53" s="266">
        <v>43</v>
      </c>
      <c r="G53" s="266">
        <v>51</v>
      </c>
      <c r="H53" s="266">
        <v>93</v>
      </c>
      <c r="I53" s="266">
        <v>150</v>
      </c>
      <c r="J53" s="266">
        <v>91</v>
      </c>
      <c r="K53" s="266">
        <v>111</v>
      </c>
      <c r="L53" s="266">
        <v>160</v>
      </c>
      <c r="M53" s="266">
        <v>90</v>
      </c>
      <c r="N53" s="266">
        <v>102</v>
      </c>
      <c r="O53" s="266">
        <v>70</v>
      </c>
      <c r="P53" s="266">
        <f t="shared" si="2"/>
        <v>1092</v>
      </c>
    </row>
    <row r="54" spans="1:16" x14ac:dyDescent="0.3">
      <c r="A54" s="449" t="s">
        <v>126</v>
      </c>
      <c r="B54" s="532" t="s">
        <v>127</v>
      </c>
      <c r="C54" s="532" t="s">
        <v>254</v>
      </c>
      <c r="D54" s="266">
        <v>44</v>
      </c>
      <c r="E54" s="266">
        <v>52</v>
      </c>
      <c r="F54" s="266">
        <v>26</v>
      </c>
      <c r="G54" s="266">
        <v>29</v>
      </c>
      <c r="H54" s="266">
        <v>64</v>
      </c>
      <c r="I54" s="266">
        <v>147</v>
      </c>
      <c r="J54" s="266">
        <v>112</v>
      </c>
      <c r="K54" s="266">
        <v>75</v>
      </c>
      <c r="L54" s="266">
        <v>111</v>
      </c>
      <c r="M54" s="266">
        <v>77</v>
      </c>
      <c r="N54" s="266">
        <v>56</v>
      </c>
      <c r="O54" s="266">
        <v>62</v>
      </c>
      <c r="P54" s="266">
        <f t="shared" si="2"/>
        <v>855</v>
      </c>
    </row>
    <row r="55" spans="1:16" x14ac:dyDescent="0.3">
      <c r="A55" s="449" t="s">
        <v>128</v>
      </c>
      <c r="B55" s="532" t="s">
        <v>129</v>
      </c>
      <c r="C55" s="532" t="s">
        <v>254</v>
      </c>
      <c r="D55" s="266">
        <v>23</v>
      </c>
      <c r="E55" s="266">
        <v>36</v>
      </c>
      <c r="F55" s="266">
        <v>28</v>
      </c>
      <c r="G55" s="266">
        <v>31</v>
      </c>
      <c r="H55" s="266">
        <v>30</v>
      </c>
      <c r="I55" s="266">
        <v>88</v>
      </c>
      <c r="J55" s="266">
        <v>74</v>
      </c>
      <c r="K55" s="266">
        <v>47</v>
      </c>
      <c r="L55" s="266">
        <v>59</v>
      </c>
      <c r="M55" s="266">
        <v>65</v>
      </c>
      <c r="N55" s="266">
        <v>45</v>
      </c>
      <c r="O55" s="266">
        <v>52</v>
      </c>
      <c r="P55" s="266">
        <f t="shared" si="2"/>
        <v>578</v>
      </c>
    </row>
    <row r="56" spans="1:16" x14ac:dyDescent="0.3">
      <c r="A56" s="449" t="s">
        <v>130</v>
      </c>
      <c r="B56" s="532" t="s">
        <v>131</v>
      </c>
      <c r="C56" s="532" t="s">
        <v>256</v>
      </c>
      <c r="D56" s="266">
        <v>84</v>
      </c>
      <c r="E56" s="266">
        <v>53</v>
      </c>
      <c r="F56" s="266">
        <v>63</v>
      </c>
      <c r="G56" s="266">
        <v>73</v>
      </c>
      <c r="H56" s="266">
        <v>85</v>
      </c>
      <c r="I56" s="266">
        <v>196</v>
      </c>
      <c r="J56" s="266">
        <v>199</v>
      </c>
      <c r="K56" s="266">
        <v>183</v>
      </c>
      <c r="L56" s="266">
        <v>188</v>
      </c>
      <c r="M56" s="266">
        <v>149</v>
      </c>
      <c r="N56" s="266">
        <v>137</v>
      </c>
      <c r="O56" s="266">
        <v>129</v>
      </c>
      <c r="P56" s="266">
        <f t="shared" si="2"/>
        <v>1539</v>
      </c>
    </row>
    <row r="57" spans="1:16" x14ac:dyDescent="0.3">
      <c r="A57" s="449" t="s">
        <v>132</v>
      </c>
      <c r="B57" s="532" t="s">
        <v>133</v>
      </c>
      <c r="C57" s="532" t="s">
        <v>255</v>
      </c>
      <c r="D57" s="266">
        <v>541</v>
      </c>
      <c r="E57" s="266">
        <v>656</v>
      </c>
      <c r="F57" s="266">
        <v>466</v>
      </c>
      <c r="G57" s="266">
        <v>623</v>
      </c>
      <c r="H57" s="266">
        <v>967</v>
      </c>
      <c r="I57" s="266">
        <v>2118</v>
      </c>
      <c r="J57" s="266">
        <v>1360</v>
      </c>
      <c r="K57" s="266">
        <v>1330</v>
      </c>
      <c r="L57" s="266">
        <v>1435</v>
      </c>
      <c r="M57" s="266">
        <v>1089</v>
      </c>
      <c r="N57" s="266">
        <v>950</v>
      </c>
      <c r="O57" s="266">
        <v>733</v>
      </c>
      <c r="P57" s="266">
        <f t="shared" si="2"/>
        <v>12268</v>
      </c>
    </row>
    <row r="58" spans="1:16" x14ac:dyDescent="0.3">
      <c r="A58" s="449" t="s">
        <v>134</v>
      </c>
      <c r="B58" s="532" t="s">
        <v>135</v>
      </c>
      <c r="C58" s="532" t="s">
        <v>255</v>
      </c>
      <c r="D58" s="266">
        <v>85</v>
      </c>
      <c r="E58" s="266">
        <v>120</v>
      </c>
      <c r="F58" s="266">
        <v>83</v>
      </c>
      <c r="G58" s="266">
        <v>85</v>
      </c>
      <c r="H58" s="266">
        <v>118</v>
      </c>
      <c r="I58" s="266">
        <v>303</v>
      </c>
      <c r="J58" s="266">
        <v>214</v>
      </c>
      <c r="K58" s="266">
        <v>225</v>
      </c>
      <c r="L58" s="266">
        <v>260</v>
      </c>
      <c r="M58" s="266">
        <v>247</v>
      </c>
      <c r="N58" s="266">
        <v>192</v>
      </c>
      <c r="O58" s="266">
        <v>153</v>
      </c>
      <c r="P58" s="266">
        <f t="shared" si="2"/>
        <v>2085</v>
      </c>
    </row>
    <row r="59" spans="1:16" x14ac:dyDescent="0.3">
      <c r="A59" s="449" t="s">
        <v>136</v>
      </c>
      <c r="B59" s="532" t="s">
        <v>137</v>
      </c>
      <c r="C59" s="532" t="s">
        <v>254</v>
      </c>
      <c r="D59" s="266">
        <v>33</v>
      </c>
      <c r="E59" s="266">
        <v>35</v>
      </c>
      <c r="F59" s="266">
        <v>38</v>
      </c>
      <c r="G59" s="266">
        <v>52</v>
      </c>
      <c r="H59" s="266">
        <v>53</v>
      </c>
      <c r="I59" s="266">
        <v>90</v>
      </c>
      <c r="J59" s="266">
        <v>79</v>
      </c>
      <c r="K59" s="266">
        <v>63</v>
      </c>
      <c r="L59" s="266">
        <v>75</v>
      </c>
      <c r="M59" s="266">
        <v>82</v>
      </c>
      <c r="N59" s="266">
        <v>56</v>
      </c>
      <c r="O59" s="266">
        <v>42</v>
      </c>
      <c r="P59" s="266">
        <f t="shared" si="2"/>
        <v>698</v>
      </c>
    </row>
    <row r="60" spans="1:16" x14ac:dyDescent="0.3">
      <c r="A60" s="449" t="s">
        <v>140</v>
      </c>
      <c r="B60" s="532" t="s">
        <v>141</v>
      </c>
      <c r="C60" s="532" t="s">
        <v>255</v>
      </c>
      <c r="D60" s="266">
        <v>41</v>
      </c>
      <c r="E60" s="266">
        <v>31</v>
      </c>
      <c r="F60" s="266">
        <v>36</v>
      </c>
      <c r="G60" s="266">
        <v>46</v>
      </c>
      <c r="H60" s="266">
        <v>58</v>
      </c>
      <c r="I60" s="266">
        <v>114</v>
      </c>
      <c r="J60" s="266">
        <v>57</v>
      </c>
      <c r="K60" s="266">
        <v>66</v>
      </c>
      <c r="L60" s="266">
        <v>105</v>
      </c>
      <c r="M60" s="266">
        <v>80</v>
      </c>
      <c r="N60" s="266">
        <v>59</v>
      </c>
      <c r="O60" s="266">
        <v>46</v>
      </c>
      <c r="P60" s="266">
        <f t="shared" si="2"/>
        <v>739</v>
      </c>
    </row>
    <row r="61" spans="1:16" x14ac:dyDescent="0.3">
      <c r="A61" s="449" t="s">
        <v>146</v>
      </c>
      <c r="B61" s="532" t="s">
        <v>147</v>
      </c>
      <c r="C61" s="532" t="s">
        <v>252</v>
      </c>
      <c r="D61" s="266">
        <v>15</v>
      </c>
      <c r="E61" s="266">
        <v>24</v>
      </c>
      <c r="F61" s="266">
        <v>14</v>
      </c>
      <c r="G61" s="266">
        <v>21</v>
      </c>
      <c r="H61" s="266">
        <v>34</v>
      </c>
      <c r="I61" s="266">
        <v>84</v>
      </c>
      <c r="J61" s="266">
        <v>54</v>
      </c>
      <c r="K61" s="266">
        <v>38</v>
      </c>
      <c r="L61" s="266">
        <v>57</v>
      </c>
      <c r="M61" s="266">
        <v>52</v>
      </c>
      <c r="N61" s="266">
        <v>32</v>
      </c>
      <c r="O61" s="266">
        <v>40</v>
      </c>
      <c r="P61" s="266">
        <f t="shared" si="2"/>
        <v>465</v>
      </c>
    </row>
    <row r="62" spans="1:16" x14ac:dyDescent="0.3">
      <c r="A62" s="449" t="s">
        <v>148</v>
      </c>
      <c r="B62" s="532" t="s">
        <v>149</v>
      </c>
      <c r="C62" s="532" t="s">
        <v>253</v>
      </c>
      <c r="D62" s="266">
        <v>102</v>
      </c>
      <c r="E62" s="266">
        <v>105</v>
      </c>
      <c r="F62" s="266">
        <v>100</v>
      </c>
      <c r="G62" s="266">
        <v>91</v>
      </c>
      <c r="H62" s="266">
        <v>169</v>
      </c>
      <c r="I62" s="266">
        <v>279</v>
      </c>
      <c r="J62" s="266">
        <v>213</v>
      </c>
      <c r="K62" s="266">
        <v>184</v>
      </c>
      <c r="L62" s="266">
        <v>225</v>
      </c>
      <c r="M62" s="266">
        <v>165</v>
      </c>
      <c r="N62" s="266">
        <v>186</v>
      </c>
      <c r="O62" s="266">
        <v>135</v>
      </c>
      <c r="P62" s="266">
        <f t="shared" si="2"/>
        <v>1954</v>
      </c>
    </row>
    <row r="63" spans="1:16" x14ac:dyDescent="0.3">
      <c r="A63" s="449" t="s">
        <v>150</v>
      </c>
      <c r="B63" s="532" t="s">
        <v>151</v>
      </c>
      <c r="C63" s="532" t="s">
        <v>254</v>
      </c>
      <c r="D63" s="266">
        <v>40</v>
      </c>
      <c r="E63" s="266">
        <v>39</v>
      </c>
      <c r="F63" s="266">
        <v>34</v>
      </c>
      <c r="G63" s="266">
        <v>33</v>
      </c>
      <c r="H63" s="266">
        <v>51</v>
      </c>
      <c r="I63" s="266">
        <v>91</v>
      </c>
      <c r="J63" s="266">
        <v>62</v>
      </c>
      <c r="K63" s="266">
        <v>56</v>
      </c>
      <c r="L63" s="266">
        <v>78</v>
      </c>
      <c r="M63" s="266">
        <v>69</v>
      </c>
      <c r="N63" s="266">
        <v>50</v>
      </c>
      <c r="O63" s="266">
        <v>42</v>
      </c>
      <c r="P63" s="266">
        <f t="shared" si="2"/>
        <v>645</v>
      </c>
    </row>
    <row r="64" spans="1:16" x14ac:dyDescent="0.3">
      <c r="A64" s="449" t="s">
        <v>152</v>
      </c>
      <c r="B64" s="532" t="s">
        <v>153</v>
      </c>
      <c r="C64" s="532" t="s">
        <v>256</v>
      </c>
      <c r="D64" s="266">
        <v>187</v>
      </c>
      <c r="E64" s="266">
        <v>197</v>
      </c>
      <c r="F64" s="266">
        <v>157</v>
      </c>
      <c r="G64" s="266">
        <v>178</v>
      </c>
      <c r="H64" s="266">
        <v>277</v>
      </c>
      <c r="I64" s="266">
        <v>592</v>
      </c>
      <c r="J64" s="266">
        <v>408</v>
      </c>
      <c r="K64" s="266">
        <v>358</v>
      </c>
      <c r="L64" s="266">
        <v>449</v>
      </c>
      <c r="M64" s="266">
        <v>369</v>
      </c>
      <c r="N64" s="266">
        <v>279</v>
      </c>
      <c r="O64" s="266">
        <v>263</v>
      </c>
      <c r="P64" s="266">
        <f t="shared" si="2"/>
        <v>3714</v>
      </c>
    </row>
    <row r="65" spans="1:16" x14ac:dyDescent="0.3">
      <c r="A65" s="449" t="s">
        <v>154</v>
      </c>
      <c r="B65" s="532" t="s">
        <v>155</v>
      </c>
      <c r="C65" s="532" t="s">
        <v>253</v>
      </c>
      <c r="D65" s="266">
        <v>27</v>
      </c>
      <c r="E65" s="266">
        <v>49</v>
      </c>
      <c r="F65" s="266">
        <v>37</v>
      </c>
      <c r="G65" s="266">
        <v>36</v>
      </c>
      <c r="H65" s="266">
        <v>55</v>
      </c>
      <c r="I65" s="266">
        <v>100</v>
      </c>
      <c r="J65" s="266">
        <v>79</v>
      </c>
      <c r="K65" s="266">
        <v>66</v>
      </c>
      <c r="L65" s="266">
        <v>106</v>
      </c>
      <c r="M65" s="266">
        <v>78</v>
      </c>
      <c r="N65" s="266">
        <v>63</v>
      </c>
      <c r="O65" s="266">
        <v>48</v>
      </c>
      <c r="P65" s="266">
        <f t="shared" si="2"/>
        <v>744</v>
      </c>
    </row>
    <row r="66" spans="1:16" x14ac:dyDescent="0.3">
      <c r="A66" s="449" t="s">
        <v>156</v>
      </c>
      <c r="B66" s="532" t="s">
        <v>157</v>
      </c>
      <c r="C66" s="532" t="s">
        <v>254</v>
      </c>
      <c r="D66" s="266">
        <v>35</v>
      </c>
      <c r="E66" s="266">
        <v>37</v>
      </c>
      <c r="F66" s="266">
        <v>29</v>
      </c>
      <c r="G66" s="266">
        <v>38</v>
      </c>
      <c r="H66" s="266">
        <v>67</v>
      </c>
      <c r="I66" s="266">
        <v>118</v>
      </c>
      <c r="J66" s="266">
        <v>85</v>
      </c>
      <c r="K66" s="266">
        <v>41</v>
      </c>
      <c r="L66" s="266">
        <v>95</v>
      </c>
      <c r="M66" s="266">
        <v>54</v>
      </c>
      <c r="N66" s="266">
        <v>47</v>
      </c>
      <c r="O66" s="266">
        <v>51</v>
      </c>
      <c r="P66" s="266">
        <f t="shared" si="2"/>
        <v>697</v>
      </c>
    </row>
    <row r="67" spans="1:16" x14ac:dyDescent="0.3">
      <c r="A67" s="449" t="s">
        <v>162</v>
      </c>
      <c r="B67" s="532" t="s">
        <v>163</v>
      </c>
      <c r="C67" s="532" t="s">
        <v>252</v>
      </c>
      <c r="D67" s="266">
        <v>37</v>
      </c>
      <c r="E67" s="266">
        <v>37</v>
      </c>
      <c r="F67" s="266">
        <v>51</v>
      </c>
      <c r="G67" s="266">
        <v>40</v>
      </c>
      <c r="H67" s="266">
        <v>76</v>
      </c>
      <c r="I67" s="266">
        <v>157</v>
      </c>
      <c r="J67" s="266">
        <v>137</v>
      </c>
      <c r="K67" s="266">
        <v>103</v>
      </c>
      <c r="L67" s="266">
        <v>114</v>
      </c>
      <c r="M67" s="266">
        <v>82</v>
      </c>
      <c r="N67" s="266">
        <v>73</v>
      </c>
      <c r="O67" s="266">
        <v>88</v>
      </c>
      <c r="P67" s="266">
        <f t="shared" si="2"/>
        <v>995</v>
      </c>
    </row>
    <row r="68" spans="1:16" x14ac:dyDescent="0.3">
      <c r="A68" s="449" t="s">
        <v>164</v>
      </c>
      <c r="B68" s="532" t="s">
        <v>165</v>
      </c>
      <c r="C68" s="532" t="s">
        <v>254</v>
      </c>
      <c r="D68" s="266">
        <v>27</v>
      </c>
      <c r="E68" s="266">
        <v>38</v>
      </c>
      <c r="F68" s="266">
        <v>30</v>
      </c>
      <c r="G68" s="266">
        <v>18</v>
      </c>
      <c r="H68" s="266">
        <v>62</v>
      </c>
      <c r="I68" s="266">
        <v>97</v>
      </c>
      <c r="J68" s="266">
        <v>66</v>
      </c>
      <c r="K68" s="266">
        <v>52</v>
      </c>
      <c r="L68" s="266">
        <v>75</v>
      </c>
      <c r="M68" s="266">
        <v>54</v>
      </c>
      <c r="N68" s="266">
        <v>58</v>
      </c>
      <c r="O68" s="266">
        <v>46</v>
      </c>
      <c r="P68" s="266">
        <f t="shared" si="2"/>
        <v>623</v>
      </c>
    </row>
    <row r="69" spans="1:16" x14ac:dyDescent="0.3">
      <c r="A69" s="449" t="s">
        <v>168</v>
      </c>
      <c r="B69" s="532" t="s">
        <v>169</v>
      </c>
      <c r="C69" s="532" t="s">
        <v>254</v>
      </c>
      <c r="D69" s="266">
        <v>48</v>
      </c>
      <c r="E69" s="266">
        <v>47</v>
      </c>
      <c r="F69" s="266">
        <v>45</v>
      </c>
      <c r="G69" s="266">
        <v>40</v>
      </c>
      <c r="H69" s="266">
        <v>54</v>
      </c>
      <c r="I69" s="266">
        <v>128</v>
      </c>
      <c r="J69" s="266">
        <v>114</v>
      </c>
      <c r="K69" s="266">
        <v>101</v>
      </c>
      <c r="L69" s="266">
        <v>102</v>
      </c>
      <c r="M69" s="266">
        <v>96</v>
      </c>
      <c r="N69" s="266">
        <v>69</v>
      </c>
      <c r="O69" s="266">
        <v>68</v>
      </c>
      <c r="P69" s="266">
        <f t="shared" ref="P69:P100" si="3">SUM(D69:O69)</f>
        <v>912</v>
      </c>
    </row>
    <row r="70" spans="1:16" x14ac:dyDescent="0.3">
      <c r="A70" s="449" t="s">
        <v>170</v>
      </c>
      <c r="B70" s="532" t="s">
        <v>171</v>
      </c>
      <c r="C70" s="532" t="s">
        <v>255</v>
      </c>
      <c r="D70" s="266">
        <v>96</v>
      </c>
      <c r="E70" s="266">
        <v>86</v>
      </c>
      <c r="F70" s="266">
        <v>81</v>
      </c>
      <c r="G70" s="266">
        <v>104</v>
      </c>
      <c r="H70" s="266">
        <v>157</v>
      </c>
      <c r="I70" s="266">
        <v>255</v>
      </c>
      <c r="J70" s="266">
        <v>190</v>
      </c>
      <c r="K70" s="266">
        <v>148</v>
      </c>
      <c r="L70" s="266">
        <v>230</v>
      </c>
      <c r="M70" s="266">
        <v>177</v>
      </c>
      <c r="N70" s="266">
        <v>142</v>
      </c>
      <c r="O70" s="266">
        <v>130</v>
      </c>
      <c r="P70" s="266">
        <f t="shared" si="3"/>
        <v>1796</v>
      </c>
    </row>
    <row r="71" spans="1:16" x14ac:dyDescent="0.3">
      <c r="A71" s="449" t="s">
        <v>172</v>
      </c>
      <c r="B71" s="532" t="s">
        <v>173</v>
      </c>
      <c r="C71" s="532" t="s">
        <v>255</v>
      </c>
      <c r="D71" s="266">
        <v>64</v>
      </c>
      <c r="E71" s="266">
        <v>94</v>
      </c>
      <c r="F71" s="266">
        <v>80</v>
      </c>
      <c r="G71" s="266">
        <v>100</v>
      </c>
      <c r="H71" s="266">
        <v>124</v>
      </c>
      <c r="I71" s="266">
        <v>189</v>
      </c>
      <c r="J71" s="266">
        <v>206</v>
      </c>
      <c r="K71" s="266">
        <v>208</v>
      </c>
      <c r="L71" s="266">
        <v>197</v>
      </c>
      <c r="M71" s="266">
        <v>178</v>
      </c>
      <c r="N71" s="266">
        <v>168</v>
      </c>
      <c r="O71" s="266">
        <v>117</v>
      </c>
      <c r="P71" s="266">
        <f t="shared" si="3"/>
        <v>1725</v>
      </c>
    </row>
    <row r="72" spans="1:16" x14ac:dyDescent="0.3">
      <c r="A72" s="449" t="s">
        <v>174</v>
      </c>
      <c r="B72" s="532" t="s">
        <v>175</v>
      </c>
      <c r="C72" s="532" t="s">
        <v>256</v>
      </c>
      <c r="D72" s="266">
        <v>58</v>
      </c>
      <c r="E72" s="266">
        <v>68</v>
      </c>
      <c r="F72" s="266">
        <v>54</v>
      </c>
      <c r="G72" s="266">
        <v>64</v>
      </c>
      <c r="H72" s="266">
        <v>77</v>
      </c>
      <c r="I72" s="266">
        <v>127</v>
      </c>
      <c r="J72" s="266">
        <v>129</v>
      </c>
      <c r="K72" s="266">
        <v>103</v>
      </c>
      <c r="L72" s="266">
        <v>109</v>
      </c>
      <c r="M72" s="266">
        <v>98</v>
      </c>
      <c r="N72" s="266">
        <v>77</v>
      </c>
      <c r="O72" s="266">
        <v>69</v>
      </c>
      <c r="P72" s="266">
        <f t="shared" si="3"/>
        <v>1033</v>
      </c>
    </row>
    <row r="73" spans="1:16" x14ac:dyDescent="0.3">
      <c r="A73" s="449" t="s">
        <v>178</v>
      </c>
      <c r="B73" s="532" t="s">
        <v>179</v>
      </c>
      <c r="C73" s="532" t="s">
        <v>253</v>
      </c>
      <c r="D73" s="266">
        <v>174</v>
      </c>
      <c r="E73" s="266">
        <v>217</v>
      </c>
      <c r="F73" s="266">
        <v>158</v>
      </c>
      <c r="G73" s="266">
        <v>197</v>
      </c>
      <c r="H73" s="266">
        <v>293</v>
      </c>
      <c r="I73" s="266">
        <v>508</v>
      </c>
      <c r="J73" s="266">
        <v>434</v>
      </c>
      <c r="K73" s="266">
        <v>339</v>
      </c>
      <c r="L73" s="266">
        <v>470</v>
      </c>
      <c r="M73" s="266">
        <v>360</v>
      </c>
      <c r="N73" s="266">
        <v>276</v>
      </c>
      <c r="O73" s="266">
        <v>231</v>
      </c>
      <c r="P73" s="266">
        <f t="shared" si="3"/>
        <v>3657</v>
      </c>
    </row>
    <row r="74" spans="1:16" x14ac:dyDescent="0.3">
      <c r="A74" s="449" t="s">
        <v>182</v>
      </c>
      <c r="B74" s="532" t="s">
        <v>183</v>
      </c>
      <c r="C74" s="532" t="s">
        <v>254</v>
      </c>
      <c r="D74" s="266">
        <v>38</v>
      </c>
      <c r="E74" s="266">
        <v>54</v>
      </c>
      <c r="F74" s="266">
        <v>28</v>
      </c>
      <c r="G74" s="266">
        <v>28</v>
      </c>
      <c r="H74" s="266">
        <v>88</v>
      </c>
      <c r="I74" s="266">
        <v>159</v>
      </c>
      <c r="J74" s="266">
        <v>114</v>
      </c>
      <c r="K74" s="266">
        <v>78</v>
      </c>
      <c r="L74" s="266">
        <v>96</v>
      </c>
      <c r="M74" s="266">
        <v>84</v>
      </c>
      <c r="N74" s="266">
        <v>129</v>
      </c>
      <c r="O74" s="266">
        <v>91</v>
      </c>
      <c r="P74" s="266">
        <f t="shared" si="3"/>
        <v>987</v>
      </c>
    </row>
    <row r="75" spans="1:16" x14ac:dyDescent="0.3">
      <c r="A75" s="449" t="s">
        <v>184</v>
      </c>
      <c r="B75" s="532" t="s">
        <v>185</v>
      </c>
      <c r="C75" s="532" t="s">
        <v>254</v>
      </c>
      <c r="D75" s="266">
        <v>44</v>
      </c>
      <c r="E75" s="266">
        <v>68</v>
      </c>
      <c r="F75" s="266">
        <v>49</v>
      </c>
      <c r="G75" s="266">
        <v>61</v>
      </c>
      <c r="H75" s="266">
        <v>110</v>
      </c>
      <c r="I75" s="266">
        <v>152</v>
      </c>
      <c r="J75" s="266">
        <v>132</v>
      </c>
      <c r="K75" s="266">
        <v>106</v>
      </c>
      <c r="L75" s="266">
        <v>140</v>
      </c>
      <c r="M75" s="266">
        <v>114</v>
      </c>
      <c r="N75" s="266">
        <v>103</v>
      </c>
      <c r="O75" s="266">
        <v>88</v>
      </c>
      <c r="P75" s="266">
        <f t="shared" si="3"/>
        <v>1167</v>
      </c>
    </row>
    <row r="76" spans="1:16" x14ac:dyDescent="0.3">
      <c r="A76" s="449" t="s">
        <v>186</v>
      </c>
      <c r="B76" s="532" t="s">
        <v>187</v>
      </c>
      <c r="C76" s="532" t="s">
        <v>252</v>
      </c>
      <c r="D76" s="266">
        <v>82</v>
      </c>
      <c r="E76" s="266">
        <v>84</v>
      </c>
      <c r="F76" s="266">
        <v>70</v>
      </c>
      <c r="G76" s="266">
        <v>79</v>
      </c>
      <c r="H76" s="266">
        <v>116</v>
      </c>
      <c r="I76" s="266">
        <v>219</v>
      </c>
      <c r="J76" s="266">
        <v>210</v>
      </c>
      <c r="K76" s="266">
        <v>162</v>
      </c>
      <c r="L76" s="266">
        <v>213</v>
      </c>
      <c r="M76" s="266">
        <v>159</v>
      </c>
      <c r="N76" s="266">
        <v>176</v>
      </c>
      <c r="O76" s="266">
        <v>144</v>
      </c>
      <c r="P76" s="266">
        <f t="shared" si="3"/>
        <v>1714</v>
      </c>
    </row>
    <row r="77" spans="1:16" x14ac:dyDescent="0.3">
      <c r="A77" s="449" t="s">
        <v>188</v>
      </c>
      <c r="B77" s="532" t="s">
        <v>189</v>
      </c>
      <c r="C77" s="532" t="s">
        <v>255</v>
      </c>
      <c r="D77" s="266">
        <v>1052</v>
      </c>
      <c r="E77" s="266">
        <v>1320</v>
      </c>
      <c r="F77" s="266">
        <v>1080</v>
      </c>
      <c r="G77" s="266">
        <v>1310</v>
      </c>
      <c r="H77" s="266">
        <v>1801</v>
      </c>
      <c r="I77" s="266">
        <v>3822</v>
      </c>
      <c r="J77" s="266">
        <v>2621</v>
      </c>
      <c r="K77" s="266">
        <v>2046</v>
      </c>
      <c r="L77" s="266">
        <v>2823</v>
      </c>
      <c r="M77" s="266">
        <v>2250</v>
      </c>
      <c r="N77" s="266">
        <v>2063</v>
      </c>
      <c r="O77" s="266">
        <v>1596</v>
      </c>
      <c r="P77" s="266">
        <f t="shared" si="3"/>
        <v>23784</v>
      </c>
    </row>
    <row r="78" spans="1:16" x14ac:dyDescent="0.3">
      <c r="A78" s="449" t="s">
        <v>190</v>
      </c>
      <c r="B78" s="532" t="s">
        <v>191</v>
      </c>
      <c r="C78" s="532" t="s">
        <v>256</v>
      </c>
      <c r="D78" s="266">
        <v>84</v>
      </c>
      <c r="E78" s="266">
        <v>129</v>
      </c>
      <c r="F78" s="266">
        <v>92</v>
      </c>
      <c r="G78" s="266">
        <v>103</v>
      </c>
      <c r="H78" s="266">
        <v>138</v>
      </c>
      <c r="I78" s="266">
        <v>246</v>
      </c>
      <c r="J78" s="266">
        <v>225</v>
      </c>
      <c r="K78" s="266">
        <v>228</v>
      </c>
      <c r="L78" s="266">
        <v>262</v>
      </c>
      <c r="M78" s="266">
        <v>193</v>
      </c>
      <c r="N78" s="266">
        <v>178</v>
      </c>
      <c r="O78" s="266">
        <v>140</v>
      </c>
      <c r="P78" s="266">
        <f t="shared" si="3"/>
        <v>2018</v>
      </c>
    </row>
    <row r="79" spans="1:16" x14ac:dyDescent="0.3">
      <c r="A79" s="449" t="s">
        <v>194</v>
      </c>
      <c r="B79" s="532" t="s">
        <v>195</v>
      </c>
      <c r="C79" s="532" t="s">
        <v>255</v>
      </c>
      <c r="D79" s="266">
        <v>19</v>
      </c>
      <c r="E79" s="266">
        <v>19</v>
      </c>
      <c r="F79" s="266">
        <v>11</v>
      </c>
      <c r="G79" s="266">
        <v>24</v>
      </c>
      <c r="H79" s="266">
        <v>31</v>
      </c>
      <c r="I79" s="266">
        <v>67</v>
      </c>
      <c r="J79" s="266">
        <v>37</v>
      </c>
      <c r="K79" s="266">
        <v>40</v>
      </c>
      <c r="L79" s="266">
        <v>56</v>
      </c>
      <c r="M79" s="266">
        <v>57</v>
      </c>
      <c r="N79" s="266">
        <v>32</v>
      </c>
      <c r="O79" s="266">
        <v>31</v>
      </c>
      <c r="P79" s="266">
        <f t="shared" si="3"/>
        <v>424</v>
      </c>
    </row>
    <row r="80" spans="1:16" x14ac:dyDescent="0.3">
      <c r="A80" s="449" t="s">
        <v>198</v>
      </c>
      <c r="B80" s="532" t="s">
        <v>260</v>
      </c>
      <c r="C80" s="532" t="s">
        <v>254</v>
      </c>
      <c r="D80" s="266">
        <v>28</v>
      </c>
      <c r="E80" s="266">
        <v>31</v>
      </c>
      <c r="F80" s="266">
        <v>32</v>
      </c>
      <c r="G80" s="266">
        <v>27</v>
      </c>
      <c r="H80" s="266">
        <v>63</v>
      </c>
      <c r="I80" s="266">
        <v>111</v>
      </c>
      <c r="J80" s="266">
        <v>93</v>
      </c>
      <c r="K80" s="266">
        <v>50</v>
      </c>
      <c r="L80" s="266">
        <v>50</v>
      </c>
      <c r="M80" s="266">
        <v>47</v>
      </c>
      <c r="N80" s="266">
        <v>47</v>
      </c>
      <c r="O80" s="266">
        <v>28</v>
      </c>
      <c r="P80" s="266">
        <f t="shared" si="3"/>
        <v>607</v>
      </c>
    </row>
    <row r="81" spans="1:16" x14ac:dyDescent="0.3">
      <c r="A81" s="449" t="s">
        <v>202</v>
      </c>
      <c r="B81" s="532" t="s">
        <v>289</v>
      </c>
      <c r="C81" s="532" t="s">
        <v>253</v>
      </c>
      <c r="D81" s="266">
        <v>251</v>
      </c>
      <c r="E81" s="266">
        <v>286</v>
      </c>
      <c r="F81" s="266">
        <v>240</v>
      </c>
      <c r="G81" s="266">
        <v>286</v>
      </c>
      <c r="H81" s="266">
        <v>411</v>
      </c>
      <c r="I81" s="266">
        <v>841</v>
      </c>
      <c r="J81" s="266">
        <v>581</v>
      </c>
      <c r="K81" s="266">
        <v>478</v>
      </c>
      <c r="L81" s="266">
        <v>578</v>
      </c>
      <c r="M81" s="266">
        <v>493</v>
      </c>
      <c r="N81" s="266">
        <v>472</v>
      </c>
      <c r="O81" s="266">
        <v>365</v>
      </c>
      <c r="P81" s="266">
        <f t="shared" si="3"/>
        <v>5282</v>
      </c>
    </row>
    <row r="82" spans="1:16" x14ac:dyDescent="0.3">
      <c r="A82" s="449" t="s">
        <v>204</v>
      </c>
      <c r="B82" s="532" t="s">
        <v>281</v>
      </c>
      <c r="C82" s="532" t="s">
        <v>253</v>
      </c>
      <c r="D82" s="266">
        <v>93</v>
      </c>
      <c r="E82" s="266">
        <v>104</v>
      </c>
      <c r="F82" s="266">
        <v>77</v>
      </c>
      <c r="G82" s="266">
        <v>114</v>
      </c>
      <c r="H82" s="266">
        <v>151</v>
      </c>
      <c r="I82" s="266">
        <v>252</v>
      </c>
      <c r="J82" s="266">
        <v>187</v>
      </c>
      <c r="K82" s="266">
        <v>213</v>
      </c>
      <c r="L82" s="266">
        <v>236</v>
      </c>
      <c r="M82" s="266">
        <v>213</v>
      </c>
      <c r="N82" s="266">
        <v>168</v>
      </c>
      <c r="O82" s="266">
        <v>149</v>
      </c>
      <c r="P82" s="266">
        <f t="shared" si="3"/>
        <v>1957</v>
      </c>
    </row>
    <row r="83" spans="1:16" x14ac:dyDescent="0.3">
      <c r="A83" s="449" t="s">
        <v>206</v>
      </c>
      <c r="B83" s="532" t="s">
        <v>282</v>
      </c>
      <c r="C83" s="532" t="s">
        <v>255</v>
      </c>
      <c r="D83" s="266">
        <v>287</v>
      </c>
      <c r="E83" s="266">
        <v>376</v>
      </c>
      <c r="F83" s="266">
        <v>323</v>
      </c>
      <c r="G83" s="266">
        <v>384</v>
      </c>
      <c r="H83" s="266">
        <v>546</v>
      </c>
      <c r="I83" s="266">
        <v>1030</v>
      </c>
      <c r="J83" s="266">
        <v>768</v>
      </c>
      <c r="K83" s="266">
        <v>599</v>
      </c>
      <c r="L83" s="266">
        <v>745</v>
      </c>
      <c r="M83" s="266">
        <v>644</v>
      </c>
      <c r="N83" s="266">
        <v>601</v>
      </c>
      <c r="O83" s="266">
        <v>511</v>
      </c>
      <c r="P83" s="266">
        <f t="shared" si="3"/>
        <v>6814</v>
      </c>
    </row>
    <row r="84" spans="1:16" x14ac:dyDescent="0.3">
      <c r="A84" s="449" t="s">
        <v>208</v>
      </c>
      <c r="B84" s="532" t="s">
        <v>209</v>
      </c>
      <c r="C84" s="532" t="s">
        <v>256</v>
      </c>
      <c r="D84" s="266">
        <v>82</v>
      </c>
      <c r="E84" s="266">
        <v>86</v>
      </c>
      <c r="F84" s="266">
        <v>75</v>
      </c>
      <c r="G84" s="266">
        <v>86</v>
      </c>
      <c r="H84" s="266">
        <v>148</v>
      </c>
      <c r="I84" s="266">
        <v>241</v>
      </c>
      <c r="J84" s="266">
        <v>277</v>
      </c>
      <c r="K84" s="266">
        <v>173</v>
      </c>
      <c r="L84" s="266">
        <v>198</v>
      </c>
      <c r="M84" s="266">
        <v>147</v>
      </c>
      <c r="N84" s="266">
        <v>131</v>
      </c>
      <c r="O84" s="266">
        <v>120</v>
      </c>
      <c r="P84" s="266">
        <f t="shared" si="3"/>
        <v>1764</v>
      </c>
    </row>
    <row r="85" spans="1:16" x14ac:dyDescent="0.3">
      <c r="A85" s="449" t="s">
        <v>210</v>
      </c>
      <c r="B85" s="532" t="s">
        <v>211</v>
      </c>
      <c r="C85" s="532" t="s">
        <v>256</v>
      </c>
      <c r="D85" s="266">
        <v>87</v>
      </c>
      <c r="E85" s="266">
        <v>88</v>
      </c>
      <c r="F85" s="266">
        <v>70</v>
      </c>
      <c r="G85" s="266">
        <v>99</v>
      </c>
      <c r="H85" s="266">
        <v>116</v>
      </c>
      <c r="I85" s="266">
        <v>185</v>
      </c>
      <c r="J85" s="266">
        <v>130</v>
      </c>
      <c r="K85" s="266">
        <v>141</v>
      </c>
      <c r="L85" s="266">
        <v>140</v>
      </c>
      <c r="M85" s="266">
        <v>137</v>
      </c>
      <c r="N85" s="266">
        <v>120</v>
      </c>
      <c r="O85" s="266">
        <v>117</v>
      </c>
      <c r="P85" s="266">
        <f t="shared" si="3"/>
        <v>1430</v>
      </c>
    </row>
    <row r="86" spans="1:16" x14ac:dyDescent="0.3">
      <c r="A86" s="449" t="s">
        <v>212</v>
      </c>
      <c r="B86" s="532" t="s">
        <v>213</v>
      </c>
      <c r="C86" s="532" t="s">
        <v>255</v>
      </c>
      <c r="D86" s="266">
        <v>116</v>
      </c>
      <c r="E86" s="266">
        <v>124</v>
      </c>
      <c r="F86" s="266">
        <v>111</v>
      </c>
      <c r="G86" s="266">
        <v>125</v>
      </c>
      <c r="H86" s="266">
        <v>192</v>
      </c>
      <c r="I86" s="266">
        <v>348</v>
      </c>
      <c r="J86" s="266">
        <v>295</v>
      </c>
      <c r="K86" s="266">
        <v>202</v>
      </c>
      <c r="L86" s="266">
        <v>264</v>
      </c>
      <c r="M86" s="266">
        <v>225</v>
      </c>
      <c r="N86" s="266">
        <v>211</v>
      </c>
      <c r="O86" s="266">
        <v>182</v>
      </c>
      <c r="P86" s="266">
        <f t="shared" si="3"/>
        <v>2395</v>
      </c>
    </row>
    <row r="87" spans="1:16" x14ac:dyDescent="0.3">
      <c r="A87" s="449" t="s">
        <v>214</v>
      </c>
      <c r="B87" s="532" t="s">
        <v>215</v>
      </c>
      <c r="C87" s="532" t="s">
        <v>256</v>
      </c>
      <c r="D87" s="266">
        <v>102</v>
      </c>
      <c r="E87" s="266">
        <v>120</v>
      </c>
      <c r="F87" s="266">
        <v>88</v>
      </c>
      <c r="G87" s="266">
        <v>121</v>
      </c>
      <c r="H87" s="266">
        <v>139</v>
      </c>
      <c r="I87" s="266">
        <v>286</v>
      </c>
      <c r="J87" s="266">
        <v>282</v>
      </c>
      <c r="K87" s="266">
        <v>270</v>
      </c>
      <c r="L87" s="266">
        <v>238</v>
      </c>
      <c r="M87" s="266">
        <v>236</v>
      </c>
      <c r="N87" s="266">
        <v>205</v>
      </c>
      <c r="O87" s="266">
        <v>183</v>
      </c>
      <c r="P87" s="266">
        <f t="shared" si="3"/>
        <v>2270</v>
      </c>
    </row>
    <row r="88" spans="1:16" x14ac:dyDescent="0.3">
      <c r="A88" s="449" t="s">
        <v>216</v>
      </c>
      <c r="B88" s="532" t="s">
        <v>217</v>
      </c>
      <c r="C88" s="532" t="s">
        <v>252</v>
      </c>
      <c r="D88" s="266">
        <v>58</v>
      </c>
      <c r="E88" s="266">
        <v>51</v>
      </c>
      <c r="F88" s="266">
        <v>39</v>
      </c>
      <c r="G88" s="266">
        <v>68</v>
      </c>
      <c r="H88" s="266">
        <v>63</v>
      </c>
      <c r="I88" s="266">
        <v>145</v>
      </c>
      <c r="J88" s="266">
        <v>110</v>
      </c>
      <c r="K88" s="266">
        <v>101</v>
      </c>
      <c r="L88" s="266">
        <v>110</v>
      </c>
      <c r="M88" s="266">
        <v>133</v>
      </c>
      <c r="N88" s="266">
        <v>103</v>
      </c>
      <c r="O88" s="266">
        <v>79</v>
      </c>
      <c r="P88" s="266">
        <f t="shared" si="3"/>
        <v>1060</v>
      </c>
    </row>
    <row r="89" spans="1:16" x14ac:dyDescent="0.3">
      <c r="A89" s="449" t="s">
        <v>218</v>
      </c>
      <c r="B89" s="532" t="s">
        <v>219</v>
      </c>
      <c r="C89" s="532" t="s">
        <v>255</v>
      </c>
      <c r="D89" s="266">
        <v>303</v>
      </c>
      <c r="E89" s="266">
        <v>373</v>
      </c>
      <c r="F89" s="266">
        <v>315</v>
      </c>
      <c r="G89" s="266">
        <v>385</v>
      </c>
      <c r="H89" s="266">
        <v>550</v>
      </c>
      <c r="I89" s="266">
        <v>992</v>
      </c>
      <c r="J89" s="266">
        <v>649</v>
      </c>
      <c r="K89" s="266">
        <v>554</v>
      </c>
      <c r="L89" s="266">
        <v>700</v>
      </c>
      <c r="M89" s="266">
        <v>621</v>
      </c>
      <c r="N89" s="266">
        <v>561</v>
      </c>
      <c r="O89" s="266">
        <v>457</v>
      </c>
      <c r="P89" s="266">
        <f t="shared" si="3"/>
        <v>6460</v>
      </c>
    </row>
    <row r="90" spans="1:16" x14ac:dyDescent="0.3">
      <c r="A90" s="449" t="s">
        <v>220</v>
      </c>
      <c r="B90" s="532" t="s">
        <v>221</v>
      </c>
      <c r="C90" s="532" t="s">
        <v>255</v>
      </c>
      <c r="D90" s="266">
        <v>271</v>
      </c>
      <c r="E90" s="266">
        <v>324</v>
      </c>
      <c r="F90" s="266">
        <v>315</v>
      </c>
      <c r="G90" s="266">
        <v>301</v>
      </c>
      <c r="H90" s="266">
        <v>469</v>
      </c>
      <c r="I90" s="266">
        <v>980</v>
      </c>
      <c r="J90" s="266">
        <v>675</v>
      </c>
      <c r="K90" s="266">
        <v>514</v>
      </c>
      <c r="L90" s="266">
        <v>747</v>
      </c>
      <c r="M90" s="266">
        <v>593</v>
      </c>
      <c r="N90" s="266">
        <v>494</v>
      </c>
      <c r="O90" s="266">
        <v>394</v>
      </c>
      <c r="P90" s="266">
        <f t="shared" si="3"/>
        <v>6077</v>
      </c>
    </row>
    <row r="91" spans="1:16" x14ac:dyDescent="0.3">
      <c r="A91" s="449" t="s">
        <v>224</v>
      </c>
      <c r="B91" s="532" t="s">
        <v>225</v>
      </c>
      <c r="C91" s="532" t="s">
        <v>252</v>
      </c>
      <c r="D91" s="266">
        <v>23</v>
      </c>
      <c r="E91" s="266">
        <v>26</v>
      </c>
      <c r="F91" s="266">
        <v>11</v>
      </c>
      <c r="G91" s="266">
        <v>26</v>
      </c>
      <c r="H91" s="266">
        <v>38</v>
      </c>
      <c r="I91" s="266">
        <v>60</v>
      </c>
      <c r="J91" s="266">
        <v>42</v>
      </c>
      <c r="K91" s="266">
        <v>39</v>
      </c>
      <c r="L91" s="266">
        <v>47</v>
      </c>
      <c r="M91" s="266">
        <v>34</v>
      </c>
      <c r="N91" s="266">
        <v>25</v>
      </c>
      <c r="O91" s="266">
        <v>36</v>
      </c>
      <c r="P91" s="266">
        <f t="shared" si="3"/>
        <v>407</v>
      </c>
    </row>
    <row r="92" spans="1:16" x14ac:dyDescent="0.3">
      <c r="A92" s="449" t="s">
        <v>226</v>
      </c>
      <c r="B92" s="532" t="s">
        <v>227</v>
      </c>
      <c r="C92" s="532" t="s">
        <v>252</v>
      </c>
      <c r="D92" s="266">
        <v>41</v>
      </c>
      <c r="E92" s="266">
        <v>48</v>
      </c>
      <c r="F92" s="266">
        <v>45</v>
      </c>
      <c r="G92" s="266">
        <v>45</v>
      </c>
      <c r="H92" s="266">
        <v>64</v>
      </c>
      <c r="I92" s="266">
        <v>105</v>
      </c>
      <c r="J92" s="266">
        <v>97</v>
      </c>
      <c r="K92" s="266">
        <v>90</v>
      </c>
      <c r="L92" s="266">
        <v>105</v>
      </c>
      <c r="M92" s="266">
        <v>87</v>
      </c>
      <c r="N92" s="266">
        <v>66</v>
      </c>
      <c r="O92" s="266">
        <v>65</v>
      </c>
      <c r="P92" s="266">
        <f t="shared" si="3"/>
        <v>858</v>
      </c>
    </row>
    <row r="93" spans="1:16" x14ac:dyDescent="0.3">
      <c r="A93" s="449" t="s">
        <v>228</v>
      </c>
      <c r="B93" s="532" t="s">
        <v>229</v>
      </c>
      <c r="C93" s="532" t="s">
        <v>256</v>
      </c>
      <c r="D93" s="266">
        <v>158</v>
      </c>
      <c r="E93" s="266">
        <v>190</v>
      </c>
      <c r="F93" s="266">
        <v>151</v>
      </c>
      <c r="G93" s="266">
        <v>176</v>
      </c>
      <c r="H93" s="266">
        <v>219</v>
      </c>
      <c r="I93" s="266">
        <v>374</v>
      </c>
      <c r="J93" s="266">
        <v>353</v>
      </c>
      <c r="K93" s="266">
        <v>280</v>
      </c>
      <c r="L93" s="266">
        <v>343</v>
      </c>
      <c r="M93" s="266">
        <v>264</v>
      </c>
      <c r="N93" s="266">
        <v>261</v>
      </c>
      <c r="O93" s="266">
        <v>229</v>
      </c>
      <c r="P93" s="266">
        <f t="shared" si="3"/>
        <v>2998</v>
      </c>
    </row>
    <row r="94" spans="1:16" x14ac:dyDescent="0.3">
      <c r="A94" s="449" t="s">
        <v>232</v>
      </c>
      <c r="B94" s="532" t="s">
        <v>233</v>
      </c>
      <c r="C94" s="532" t="s">
        <v>255</v>
      </c>
      <c r="D94" s="266">
        <v>93</v>
      </c>
      <c r="E94" s="266">
        <v>103</v>
      </c>
      <c r="F94" s="266">
        <v>92</v>
      </c>
      <c r="G94" s="266">
        <v>110</v>
      </c>
      <c r="H94" s="266">
        <v>127</v>
      </c>
      <c r="I94" s="266">
        <v>290</v>
      </c>
      <c r="J94" s="266">
        <v>252</v>
      </c>
      <c r="K94" s="266">
        <v>207</v>
      </c>
      <c r="L94" s="266">
        <v>253</v>
      </c>
      <c r="M94" s="266">
        <v>202</v>
      </c>
      <c r="N94" s="266">
        <v>177</v>
      </c>
      <c r="O94" s="266">
        <v>173</v>
      </c>
      <c r="P94" s="266">
        <f t="shared" si="3"/>
        <v>2079</v>
      </c>
    </row>
    <row r="95" spans="1:16" x14ac:dyDescent="0.3">
      <c r="A95" s="449" t="s">
        <v>234</v>
      </c>
      <c r="B95" s="532" t="s">
        <v>235</v>
      </c>
      <c r="C95" s="532" t="s">
        <v>256</v>
      </c>
      <c r="D95" s="266">
        <v>138</v>
      </c>
      <c r="E95" s="266">
        <v>189</v>
      </c>
      <c r="F95" s="266">
        <v>167</v>
      </c>
      <c r="G95" s="266">
        <v>169</v>
      </c>
      <c r="H95" s="266">
        <v>226</v>
      </c>
      <c r="I95" s="266">
        <v>447</v>
      </c>
      <c r="J95" s="266">
        <v>359</v>
      </c>
      <c r="K95" s="266">
        <v>301</v>
      </c>
      <c r="L95" s="266">
        <v>378</v>
      </c>
      <c r="M95" s="266">
        <v>380</v>
      </c>
      <c r="N95" s="266">
        <v>318</v>
      </c>
      <c r="O95" s="266">
        <v>278</v>
      </c>
      <c r="P95" s="266">
        <f t="shared" si="3"/>
        <v>3350</v>
      </c>
    </row>
    <row r="96" spans="1:16" x14ac:dyDescent="0.3">
      <c r="A96" s="449" t="s">
        <v>236</v>
      </c>
      <c r="B96" s="532" t="s">
        <v>237</v>
      </c>
      <c r="C96" s="532" t="s">
        <v>254</v>
      </c>
      <c r="D96" s="266">
        <v>64</v>
      </c>
      <c r="E96" s="266">
        <v>68</v>
      </c>
      <c r="F96" s="266">
        <v>60</v>
      </c>
      <c r="G96" s="266">
        <v>48</v>
      </c>
      <c r="H96" s="266">
        <v>102</v>
      </c>
      <c r="I96" s="266">
        <v>167</v>
      </c>
      <c r="J96" s="266">
        <v>152</v>
      </c>
      <c r="K96" s="266">
        <v>123</v>
      </c>
      <c r="L96" s="266">
        <v>138</v>
      </c>
      <c r="M96" s="266">
        <v>124</v>
      </c>
      <c r="N96" s="266">
        <v>85</v>
      </c>
      <c r="O96" s="266">
        <v>96</v>
      </c>
      <c r="P96" s="266">
        <f t="shared" si="3"/>
        <v>1227</v>
      </c>
    </row>
    <row r="97" spans="1:16" x14ac:dyDescent="0.3">
      <c r="A97" s="449" t="s">
        <v>242</v>
      </c>
      <c r="B97" s="532" t="s">
        <v>243</v>
      </c>
      <c r="C97" s="532" t="s">
        <v>256</v>
      </c>
      <c r="D97" s="266">
        <v>118</v>
      </c>
      <c r="E97" s="266">
        <v>131</v>
      </c>
      <c r="F97" s="266">
        <v>124</v>
      </c>
      <c r="G97" s="266">
        <v>140</v>
      </c>
      <c r="H97" s="266">
        <v>183</v>
      </c>
      <c r="I97" s="266">
        <v>321</v>
      </c>
      <c r="J97" s="266">
        <v>341</v>
      </c>
      <c r="K97" s="266">
        <v>281</v>
      </c>
      <c r="L97" s="266">
        <v>338</v>
      </c>
      <c r="M97" s="266">
        <v>285</v>
      </c>
      <c r="N97" s="266">
        <v>238</v>
      </c>
      <c r="O97" s="266">
        <v>196</v>
      </c>
      <c r="P97" s="266">
        <f t="shared" si="3"/>
        <v>2696</v>
      </c>
    </row>
    <row r="98" spans="1:16" x14ac:dyDescent="0.3">
      <c r="A98" s="449" t="s">
        <v>244</v>
      </c>
      <c r="B98" s="532" t="s">
        <v>245</v>
      </c>
      <c r="C98" s="532" t="s">
        <v>256</v>
      </c>
      <c r="D98" s="266">
        <v>81</v>
      </c>
      <c r="E98" s="266">
        <v>116</v>
      </c>
      <c r="F98" s="266">
        <v>96</v>
      </c>
      <c r="G98" s="266">
        <v>99</v>
      </c>
      <c r="H98" s="266">
        <v>162</v>
      </c>
      <c r="I98" s="266">
        <v>233</v>
      </c>
      <c r="J98" s="266">
        <v>242</v>
      </c>
      <c r="K98" s="266">
        <v>229</v>
      </c>
      <c r="L98" s="266">
        <v>250</v>
      </c>
      <c r="M98" s="266">
        <v>248</v>
      </c>
      <c r="N98" s="266">
        <v>200</v>
      </c>
      <c r="O98" s="266">
        <v>154</v>
      </c>
      <c r="P98" s="266">
        <f t="shared" si="3"/>
        <v>2110</v>
      </c>
    </row>
    <row r="99" spans="1:16" x14ac:dyDescent="0.3">
      <c r="A99" s="449" t="s">
        <v>246</v>
      </c>
      <c r="B99" s="532" t="s">
        <v>247</v>
      </c>
      <c r="C99" s="532" t="s">
        <v>252</v>
      </c>
      <c r="D99" s="266">
        <v>106</v>
      </c>
      <c r="E99" s="266">
        <v>113</v>
      </c>
      <c r="F99" s="266">
        <v>91</v>
      </c>
      <c r="G99" s="266">
        <v>124</v>
      </c>
      <c r="H99" s="266">
        <v>216</v>
      </c>
      <c r="I99" s="266">
        <v>483</v>
      </c>
      <c r="J99" s="266">
        <v>303</v>
      </c>
      <c r="K99" s="266">
        <v>217</v>
      </c>
      <c r="L99" s="266">
        <v>273</v>
      </c>
      <c r="M99" s="266">
        <v>215</v>
      </c>
      <c r="N99" s="266">
        <v>165</v>
      </c>
      <c r="O99" s="266">
        <v>154</v>
      </c>
      <c r="P99" s="266">
        <f t="shared" si="3"/>
        <v>2460</v>
      </c>
    </row>
    <row r="100" spans="1:16" x14ac:dyDescent="0.3">
      <c r="A100" s="449" t="s">
        <v>14</v>
      </c>
      <c r="B100" s="532" t="s">
        <v>15</v>
      </c>
      <c r="C100" s="532" t="s">
        <v>255</v>
      </c>
      <c r="D100" s="266">
        <v>371</v>
      </c>
      <c r="E100" s="266">
        <v>409</v>
      </c>
      <c r="F100" s="266">
        <v>352</v>
      </c>
      <c r="G100" s="266">
        <v>361</v>
      </c>
      <c r="H100" s="266">
        <v>572</v>
      </c>
      <c r="I100" s="266">
        <v>1260</v>
      </c>
      <c r="J100" s="266">
        <v>786</v>
      </c>
      <c r="K100" s="266">
        <v>706</v>
      </c>
      <c r="L100" s="266">
        <v>1001</v>
      </c>
      <c r="M100" s="266">
        <v>772</v>
      </c>
      <c r="N100" s="266">
        <v>584</v>
      </c>
      <c r="O100" s="266">
        <v>510</v>
      </c>
      <c r="P100" s="266">
        <f t="shared" si="3"/>
        <v>7684</v>
      </c>
    </row>
    <row r="101" spans="1:16" x14ac:dyDescent="0.3">
      <c r="A101" s="449" t="s">
        <v>34</v>
      </c>
      <c r="B101" s="532" t="s">
        <v>35</v>
      </c>
      <c r="C101" s="532" t="s">
        <v>256</v>
      </c>
      <c r="D101" s="266">
        <v>80</v>
      </c>
      <c r="E101" s="266">
        <v>99</v>
      </c>
      <c r="F101" s="266">
        <v>87</v>
      </c>
      <c r="G101" s="266">
        <v>118</v>
      </c>
      <c r="H101" s="266">
        <v>129</v>
      </c>
      <c r="I101" s="266">
        <v>213</v>
      </c>
      <c r="J101" s="266">
        <v>165</v>
      </c>
      <c r="K101" s="266">
        <v>136</v>
      </c>
      <c r="L101" s="266">
        <v>182</v>
      </c>
      <c r="M101" s="266">
        <v>165</v>
      </c>
      <c r="N101" s="266">
        <v>119</v>
      </c>
      <c r="O101" s="266">
        <v>129</v>
      </c>
      <c r="P101" s="266">
        <f t="shared" ref="P101:P124" si="4">SUM(D101:O101)</f>
        <v>1622</v>
      </c>
    </row>
    <row r="102" spans="1:16" x14ac:dyDescent="0.3">
      <c r="A102" s="449" t="s">
        <v>52</v>
      </c>
      <c r="B102" s="532" t="s">
        <v>53</v>
      </c>
      <c r="C102" s="532" t="s">
        <v>253</v>
      </c>
      <c r="D102" s="266">
        <v>98</v>
      </c>
      <c r="E102" s="266">
        <v>117</v>
      </c>
      <c r="F102" s="266">
        <v>90</v>
      </c>
      <c r="G102" s="266">
        <v>96</v>
      </c>
      <c r="H102" s="266">
        <v>201</v>
      </c>
      <c r="I102" s="266">
        <v>371</v>
      </c>
      <c r="J102" s="266">
        <v>246</v>
      </c>
      <c r="K102" s="266">
        <v>215</v>
      </c>
      <c r="L102" s="266">
        <v>295</v>
      </c>
      <c r="M102" s="266">
        <v>210</v>
      </c>
      <c r="N102" s="266">
        <v>205</v>
      </c>
      <c r="O102" s="266">
        <v>176</v>
      </c>
      <c r="P102" s="266">
        <f t="shared" si="4"/>
        <v>2320</v>
      </c>
    </row>
    <row r="103" spans="1:16" x14ac:dyDescent="0.3">
      <c r="A103" s="449" t="s">
        <v>54</v>
      </c>
      <c r="B103" s="532" t="s">
        <v>55</v>
      </c>
      <c r="C103" s="532" t="s">
        <v>252</v>
      </c>
      <c r="D103" s="266">
        <v>627</v>
      </c>
      <c r="E103" s="266">
        <v>615</v>
      </c>
      <c r="F103" s="266">
        <v>522</v>
      </c>
      <c r="G103" s="266">
        <v>632</v>
      </c>
      <c r="H103" s="266">
        <v>979</v>
      </c>
      <c r="I103" s="266">
        <v>1787</v>
      </c>
      <c r="J103" s="266">
        <v>1255</v>
      </c>
      <c r="K103" s="266">
        <v>1112</v>
      </c>
      <c r="L103" s="266">
        <v>1301</v>
      </c>
      <c r="M103" s="266">
        <v>1009</v>
      </c>
      <c r="N103" s="266">
        <v>974</v>
      </c>
      <c r="O103" s="266">
        <v>707</v>
      </c>
      <c r="P103" s="266">
        <f t="shared" si="4"/>
        <v>11520</v>
      </c>
    </row>
    <row r="104" spans="1:16" x14ac:dyDescent="0.3">
      <c r="A104" s="449" t="s">
        <v>66</v>
      </c>
      <c r="B104" s="532" t="s">
        <v>67</v>
      </c>
      <c r="C104" s="532" t="s">
        <v>253</v>
      </c>
      <c r="D104" s="266">
        <v>199</v>
      </c>
      <c r="E104" s="266">
        <v>218</v>
      </c>
      <c r="F104" s="266">
        <v>154</v>
      </c>
      <c r="G104" s="266">
        <v>178</v>
      </c>
      <c r="H104" s="266">
        <v>266</v>
      </c>
      <c r="I104" s="266">
        <v>522</v>
      </c>
      <c r="J104" s="266">
        <v>489</v>
      </c>
      <c r="K104" s="266">
        <v>366</v>
      </c>
      <c r="L104" s="266">
        <v>452</v>
      </c>
      <c r="M104" s="266">
        <v>434</v>
      </c>
      <c r="N104" s="266">
        <v>350</v>
      </c>
      <c r="O104" s="266">
        <v>302</v>
      </c>
      <c r="P104" s="266">
        <f t="shared" si="4"/>
        <v>3930</v>
      </c>
    </row>
    <row r="105" spans="1:16" x14ac:dyDescent="0.3">
      <c r="A105" s="449" t="s">
        <v>82</v>
      </c>
      <c r="B105" s="532" t="s">
        <v>83</v>
      </c>
      <c r="C105" s="532" t="s">
        <v>252</v>
      </c>
      <c r="D105" s="266">
        <v>43</v>
      </c>
      <c r="E105" s="266">
        <v>45</v>
      </c>
      <c r="F105" s="266">
        <v>73</v>
      </c>
      <c r="G105" s="266">
        <v>40</v>
      </c>
      <c r="H105" s="266">
        <v>80</v>
      </c>
      <c r="I105" s="266">
        <v>91</v>
      </c>
      <c r="J105" s="266">
        <v>70</v>
      </c>
      <c r="K105" s="266">
        <v>60</v>
      </c>
      <c r="L105" s="266">
        <v>92</v>
      </c>
      <c r="M105" s="266">
        <v>70</v>
      </c>
      <c r="N105" s="266">
        <v>69</v>
      </c>
      <c r="O105" s="266">
        <v>69</v>
      </c>
      <c r="P105" s="266">
        <f t="shared" si="4"/>
        <v>802</v>
      </c>
    </row>
    <row r="106" spans="1:16" x14ac:dyDescent="0.3">
      <c r="A106" s="449" t="s">
        <v>88</v>
      </c>
      <c r="B106" s="532" t="s">
        <v>89</v>
      </c>
      <c r="C106" s="532" t="s">
        <v>255</v>
      </c>
      <c r="D106" s="266">
        <v>101</v>
      </c>
      <c r="E106" s="266">
        <v>118</v>
      </c>
      <c r="F106" s="266">
        <v>113</v>
      </c>
      <c r="G106" s="266">
        <v>132</v>
      </c>
      <c r="H106" s="266">
        <v>165</v>
      </c>
      <c r="I106" s="266">
        <v>279</v>
      </c>
      <c r="J106" s="266">
        <v>248</v>
      </c>
      <c r="K106" s="266">
        <v>222</v>
      </c>
      <c r="L106" s="266">
        <v>221</v>
      </c>
      <c r="M106" s="266">
        <v>225</v>
      </c>
      <c r="N106" s="266">
        <v>196</v>
      </c>
      <c r="O106" s="266">
        <v>151</v>
      </c>
      <c r="P106" s="266">
        <f t="shared" si="4"/>
        <v>2171</v>
      </c>
    </row>
    <row r="107" spans="1:16" x14ac:dyDescent="0.3">
      <c r="A107" s="449" t="s">
        <v>90</v>
      </c>
      <c r="B107" s="532" t="s">
        <v>91</v>
      </c>
      <c r="C107" s="532" t="s">
        <v>256</v>
      </c>
      <c r="D107" s="266">
        <v>25</v>
      </c>
      <c r="E107" s="266">
        <v>24</v>
      </c>
      <c r="F107" s="266">
        <v>27</v>
      </c>
      <c r="G107" s="266">
        <v>42</v>
      </c>
      <c r="H107" s="266">
        <v>48</v>
      </c>
      <c r="I107" s="266">
        <v>72</v>
      </c>
      <c r="J107" s="266">
        <v>75</v>
      </c>
      <c r="K107" s="266">
        <v>70</v>
      </c>
      <c r="L107" s="266">
        <v>53</v>
      </c>
      <c r="M107" s="266">
        <v>63</v>
      </c>
      <c r="N107" s="266">
        <v>58</v>
      </c>
      <c r="O107" s="266">
        <v>35</v>
      </c>
      <c r="P107" s="266">
        <f t="shared" si="4"/>
        <v>592</v>
      </c>
    </row>
    <row r="108" spans="1:16" x14ac:dyDescent="0.3">
      <c r="A108" s="449" t="s">
        <v>106</v>
      </c>
      <c r="B108" s="532" t="s">
        <v>107</v>
      </c>
      <c r="C108" s="532" t="s">
        <v>252</v>
      </c>
      <c r="D108" s="266">
        <v>493</v>
      </c>
      <c r="E108" s="266">
        <v>563</v>
      </c>
      <c r="F108" s="266">
        <v>425</v>
      </c>
      <c r="G108" s="266">
        <v>582</v>
      </c>
      <c r="H108" s="266">
        <v>823</v>
      </c>
      <c r="I108" s="266">
        <v>1407</v>
      </c>
      <c r="J108" s="266">
        <v>1078</v>
      </c>
      <c r="K108" s="266">
        <v>844</v>
      </c>
      <c r="L108" s="266">
        <v>1011</v>
      </c>
      <c r="M108" s="266">
        <v>852</v>
      </c>
      <c r="N108" s="266">
        <v>833</v>
      </c>
      <c r="O108" s="266">
        <v>665</v>
      </c>
      <c r="P108" s="266">
        <f t="shared" si="4"/>
        <v>9576</v>
      </c>
    </row>
    <row r="109" spans="1:16" x14ac:dyDescent="0.3">
      <c r="A109" s="449" t="s">
        <v>116</v>
      </c>
      <c r="B109" s="532" t="s">
        <v>117</v>
      </c>
      <c r="C109" s="532" t="s">
        <v>254</v>
      </c>
      <c r="D109" s="266">
        <v>131</v>
      </c>
      <c r="E109" s="266">
        <v>135</v>
      </c>
      <c r="F109" s="266">
        <v>127</v>
      </c>
      <c r="G109" s="266">
        <v>151</v>
      </c>
      <c r="H109" s="266">
        <v>169</v>
      </c>
      <c r="I109" s="266">
        <v>259</v>
      </c>
      <c r="J109" s="266">
        <v>242</v>
      </c>
      <c r="K109" s="266">
        <v>223</v>
      </c>
      <c r="L109" s="266">
        <v>279</v>
      </c>
      <c r="M109" s="266">
        <v>227</v>
      </c>
      <c r="N109" s="266">
        <v>228</v>
      </c>
      <c r="O109" s="266">
        <v>174</v>
      </c>
      <c r="P109" s="266">
        <f t="shared" si="4"/>
        <v>2345</v>
      </c>
    </row>
    <row r="110" spans="1:16" x14ac:dyDescent="0.3">
      <c r="A110" s="449" t="s">
        <v>138</v>
      </c>
      <c r="B110" s="532" t="s">
        <v>139</v>
      </c>
      <c r="C110" s="532" t="s">
        <v>253</v>
      </c>
      <c r="D110" s="266">
        <v>246</v>
      </c>
      <c r="E110" s="266">
        <v>306</v>
      </c>
      <c r="F110" s="266">
        <v>253</v>
      </c>
      <c r="G110" s="266">
        <v>268</v>
      </c>
      <c r="H110" s="266">
        <v>410</v>
      </c>
      <c r="I110" s="266">
        <v>716</v>
      </c>
      <c r="J110" s="266">
        <v>535</v>
      </c>
      <c r="K110" s="266">
        <v>484</v>
      </c>
      <c r="L110" s="266">
        <v>574</v>
      </c>
      <c r="M110" s="266">
        <v>573</v>
      </c>
      <c r="N110" s="266">
        <v>472</v>
      </c>
      <c r="O110" s="266">
        <v>386</v>
      </c>
      <c r="P110" s="266">
        <f t="shared" si="4"/>
        <v>5223</v>
      </c>
    </row>
    <row r="111" spans="1:16" x14ac:dyDescent="0.3">
      <c r="A111" s="449" t="s">
        <v>142</v>
      </c>
      <c r="B111" s="532" t="s">
        <v>143</v>
      </c>
      <c r="C111" s="532" t="s">
        <v>255</v>
      </c>
      <c r="D111" s="266">
        <v>111</v>
      </c>
      <c r="E111" s="266">
        <v>143</v>
      </c>
      <c r="F111" s="266">
        <v>136</v>
      </c>
      <c r="G111" s="266">
        <v>132</v>
      </c>
      <c r="H111" s="266">
        <v>194</v>
      </c>
      <c r="I111" s="266">
        <v>353</v>
      </c>
      <c r="J111" s="266">
        <v>271</v>
      </c>
      <c r="K111" s="266">
        <v>223</v>
      </c>
      <c r="L111" s="266">
        <v>313</v>
      </c>
      <c r="M111" s="266">
        <v>276</v>
      </c>
      <c r="N111" s="266">
        <v>208</v>
      </c>
      <c r="O111" s="266">
        <v>172</v>
      </c>
      <c r="P111" s="266">
        <f t="shared" si="4"/>
        <v>2532</v>
      </c>
    </row>
    <row r="112" spans="1:16" x14ac:dyDescent="0.3">
      <c r="A112" s="449" t="s">
        <v>144</v>
      </c>
      <c r="B112" s="532" t="s">
        <v>145</v>
      </c>
      <c r="C112" s="532" t="s">
        <v>255</v>
      </c>
      <c r="D112" s="266">
        <v>53</v>
      </c>
      <c r="E112" s="266">
        <v>65</v>
      </c>
      <c r="F112" s="266">
        <v>65</v>
      </c>
      <c r="G112" s="266">
        <v>61</v>
      </c>
      <c r="H112" s="266">
        <v>82</v>
      </c>
      <c r="I112" s="266">
        <v>159</v>
      </c>
      <c r="J112" s="266">
        <v>113</v>
      </c>
      <c r="K112" s="266">
        <v>91</v>
      </c>
      <c r="L112" s="266">
        <v>130</v>
      </c>
      <c r="M112" s="266">
        <v>109</v>
      </c>
      <c r="N112" s="266">
        <v>101</v>
      </c>
      <c r="O112" s="266">
        <v>71</v>
      </c>
      <c r="P112" s="266">
        <f t="shared" si="4"/>
        <v>1100</v>
      </c>
    </row>
    <row r="113" spans="1:16" x14ac:dyDescent="0.3">
      <c r="A113" s="449" t="s">
        <v>158</v>
      </c>
      <c r="B113" s="532" t="s">
        <v>159</v>
      </c>
      <c r="C113" s="532" t="s">
        <v>252</v>
      </c>
      <c r="D113" s="266">
        <v>780</v>
      </c>
      <c r="E113" s="266">
        <v>873</v>
      </c>
      <c r="F113" s="266">
        <v>630</v>
      </c>
      <c r="G113" s="266">
        <v>786</v>
      </c>
      <c r="H113" s="266">
        <v>1062</v>
      </c>
      <c r="I113" s="266">
        <v>1895</v>
      </c>
      <c r="J113" s="266">
        <v>1427</v>
      </c>
      <c r="K113" s="266">
        <v>1131</v>
      </c>
      <c r="L113" s="266">
        <v>1550</v>
      </c>
      <c r="M113" s="266">
        <v>1253</v>
      </c>
      <c r="N113" s="266">
        <v>1318</v>
      </c>
      <c r="O113" s="266">
        <v>908</v>
      </c>
      <c r="P113" s="266">
        <f t="shared" si="4"/>
        <v>13613</v>
      </c>
    </row>
    <row r="114" spans="1:16" x14ac:dyDescent="0.3">
      <c r="A114" s="449" t="s">
        <v>160</v>
      </c>
      <c r="B114" s="532" t="s">
        <v>161</v>
      </c>
      <c r="C114" s="532" t="s">
        <v>252</v>
      </c>
      <c r="D114" s="266">
        <v>926</v>
      </c>
      <c r="E114" s="266">
        <v>1045</v>
      </c>
      <c r="F114" s="266">
        <v>872</v>
      </c>
      <c r="G114" s="266">
        <v>1098</v>
      </c>
      <c r="H114" s="266">
        <v>1418</v>
      </c>
      <c r="I114" s="266">
        <v>2585</v>
      </c>
      <c r="J114" s="266">
        <v>1772</v>
      </c>
      <c r="K114" s="266">
        <v>1549</v>
      </c>
      <c r="L114" s="266">
        <v>2087</v>
      </c>
      <c r="M114" s="266">
        <v>1765</v>
      </c>
      <c r="N114" s="266">
        <v>1474</v>
      </c>
      <c r="O114" s="266">
        <v>1194</v>
      </c>
      <c r="P114" s="266">
        <f t="shared" si="4"/>
        <v>17785</v>
      </c>
    </row>
    <row r="115" spans="1:16" x14ac:dyDescent="0.3">
      <c r="A115" s="449" t="s">
        <v>166</v>
      </c>
      <c r="B115" s="532" t="s">
        <v>167</v>
      </c>
      <c r="C115" s="532" t="s">
        <v>256</v>
      </c>
      <c r="D115" s="266">
        <v>16</v>
      </c>
      <c r="E115" s="266">
        <v>20</v>
      </c>
      <c r="F115" s="266">
        <v>20</v>
      </c>
      <c r="G115" s="266">
        <v>13</v>
      </c>
      <c r="H115" s="266">
        <v>24</v>
      </c>
      <c r="I115" s="266">
        <v>53</v>
      </c>
      <c r="J115" s="266">
        <v>58</v>
      </c>
      <c r="K115" s="266">
        <v>29</v>
      </c>
      <c r="L115" s="266">
        <v>45</v>
      </c>
      <c r="M115" s="266">
        <v>31</v>
      </c>
      <c r="N115" s="266">
        <v>24</v>
      </c>
      <c r="O115" s="266">
        <v>17</v>
      </c>
      <c r="P115" s="266">
        <f t="shared" si="4"/>
        <v>350</v>
      </c>
    </row>
    <row r="116" spans="1:16" x14ac:dyDescent="0.3">
      <c r="A116" s="449" t="s">
        <v>176</v>
      </c>
      <c r="B116" s="532" t="s">
        <v>177</v>
      </c>
      <c r="C116" s="532" t="s">
        <v>254</v>
      </c>
      <c r="D116" s="266">
        <v>248</v>
      </c>
      <c r="E116" s="266">
        <v>264</v>
      </c>
      <c r="F116" s="266">
        <v>197</v>
      </c>
      <c r="G116" s="266">
        <v>221</v>
      </c>
      <c r="H116" s="266">
        <v>251</v>
      </c>
      <c r="I116" s="266">
        <v>434</v>
      </c>
      <c r="J116" s="266">
        <v>457</v>
      </c>
      <c r="K116" s="266">
        <v>381</v>
      </c>
      <c r="L116" s="266">
        <v>518</v>
      </c>
      <c r="M116" s="266">
        <v>427</v>
      </c>
      <c r="N116" s="266">
        <v>363</v>
      </c>
      <c r="O116" s="266">
        <v>293</v>
      </c>
      <c r="P116" s="266">
        <f t="shared" si="4"/>
        <v>4054</v>
      </c>
    </row>
    <row r="117" spans="1:16" x14ac:dyDescent="0.3">
      <c r="A117" s="449" t="s">
        <v>180</v>
      </c>
      <c r="B117" s="532" t="s">
        <v>181</v>
      </c>
      <c r="C117" s="532" t="s">
        <v>252</v>
      </c>
      <c r="D117" s="266">
        <v>454</v>
      </c>
      <c r="E117" s="266">
        <v>459</v>
      </c>
      <c r="F117" s="266">
        <v>359</v>
      </c>
      <c r="G117" s="266">
        <v>493</v>
      </c>
      <c r="H117" s="266">
        <v>507</v>
      </c>
      <c r="I117" s="266">
        <v>1046</v>
      </c>
      <c r="J117" s="266">
        <v>865</v>
      </c>
      <c r="K117" s="266">
        <v>808</v>
      </c>
      <c r="L117" s="266">
        <v>954</v>
      </c>
      <c r="M117" s="266">
        <v>716</v>
      </c>
      <c r="N117" s="266">
        <v>653</v>
      </c>
      <c r="O117" s="266">
        <v>566</v>
      </c>
      <c r="P117" s="266">
        <f t="shared" si="4"/>
        <v>7880</v>
      </c>
    </row>
    <row r="118" spans="1:16" x14ac:dyDescent="0.3">
      <c r="A118" s="449" t="s">
        <v>192</v>
      </c>
      <c r="B118" s="532" t="s">
        <v>193</v>
      </c>
      <c r="C118" s="532" t="s">
        <v>256</v>
      </c>
      <c r="D118" s="266">
        <v>49</v>
      </c>
      <c r="E118" s="266">
        <v>31</v>
      </c>
      <c r="F118" s="266">
        <v>29</v>
      </c>
      <c r="G118" s="266">
        <v>35</v>
      </c>
      <c r="H118" s="266">
        <v>63</v>
      </c>
      <c r="I118" s="266">
        <v>95</v>
      </c>
      <c r="J118" s="266">
        <v>84</v>
      </c>
      <c r="K118" s="266">
        <v>79</v>
      </c>
      <c r="L118" s="266">
        <v>97</v>
      </c>
      <c r="M118" s="266">
        <v>63</v>
      </c>
      <c r="N118" s="266">
        <v>73</v>
      </c>
      <c r="O118" s="266">
        <v>53</v>
      </c>
      <c r="P118" s="266">
        <f t="shared" si="4"/>
        <v>751</v>
      </c>
    </row>
    <row r="119" spans="1:16" x14ac:dyDescent="0.3">
      <c r="A119" s="449" t="s">
        <v>196</v>
      </c>
      <c r="B119" s="532" t="s">
        <v>197</v>
      </c>
      <c r="C119" s="532" t="s">
        <v>254</v>
      </c>
      <c r="D119" s="266">
        <v>939</v>
      </c>
      <c r="E119" s="266">
        <v>1115</v>
      </c>
      <c r="F119" s="266">
        <v>837</v>
      </c>
      <c r="G119" s="266">
        <v>1091</v>
      </c>
      <c r="H119" s="266">
        <v>1530</v>
      </c>
      <c r="I119" s="266">
        <v>2998</v>
      </c>
      <c r="J119" s="266">
        <v>2139</v>
      </c>
      <c r="K119" s="266">
        <v>1945</v>
      </c>
      <c r="L119" s="266">
        <v>2676</v>
      </c>
      <c r="M119" s="266">
        <v>2064</v>
      </c>
      <c r="N119" s="266">
        <v>2029</v>
      </c>
      <c r="O119" s="266">
        <v>1640</v>
      </c>
      <c r="P119" s="266">
        <f t="shared" si="4"/>
        <v>21003</v>
      </c>
    </row>
    <row r="120" spans="1:16" x14ac:dyDescent="0.3">
      <c r="A120" s="449" t="s">
        <v>200</v>
      </c>
      <c r="B120" s="532" t="s">
        <v>201</v>
      </c>
      <c r="C120" s="532" t="s">
        <v>253</v>
      </c>
      <c r="D120" s="266">
        <v>434</v>
      </c>
      <c r="E120" s="266">
        <v>612</v>
      </c>
      <c r="F120" s="266">
        <v>430</v>
      </c>
      <c r="G120" s="266">
        <v>464</v>
      </c>
      <c r="H120" s="266">
        <v>654</v>
      </c>
      <c r="I120" s="266">
        <v>1014</v>
      </c>
      <c r="J120" s="266">
        <v>973</v>
      </c>
      <c r="K120" s="266">
        <v>738</v>
      </c>
      <c r="L120" s="266">
        <v>1038</v>
      </c>
      <c r="M120" s="266">
        <v>944</v>
      </c>
      <c r="N120" s="266">
        <v>913</v>
      </c>
      <c r="O120" s="266">
        <v>764</v>
      </c>
      <c r="P120" s="266">
        <f t="shared" si="4"/>
        <v>8978</v>
      </c>
    </row>
    <row r="121" spans="1:16" x14ac:dyDescent="0.3">
      <c r="A121" s="449" t="s">
        <v>222</v>
      </c>
      <c r="B121" s="532" t="s">
        <v>223</v>
      </c>
      <c r="C121" s="532" t="s">
        <v>252</v>
      </c>
      <c r="D121" s="266">
        <v>229</v>
      </c>
      <c r="E121" s="266">
        <v>268</v>
      </c>
      <c r="F121" s="266">
        <v>226</v>
      </c>
      <c r="G121" s="266">
        <v>272</v>
      </c>
      <c r="H121" s="266">
        <v>336</v>
      </c>
      <c r="I121" s="266">
        <v>705</v>
      </c>
      <c r="J121" s="266">
        <v>490</v>
      </c>
      <c r="K121" s="266">
        <v>444</v>
      </c>
      <c r="L121" s="266">
        <v>563</v>
      </c>
      <c r="M121" s="266">
        <v>441</v>
      </c>
      <c r="N121" s="266">
        <v>379</v>
      </c>
      <c r="O121" s="266">
        <v>318</v>
      </c>
      <c r="P121" s="266">
        <f t="shared" si="4"/>
        <v>4671</v>
      </c>
    </row>
    <row r="122" spans="1:16" x14ac:dyDescent="0.3">
      <c r="A122" s="449" t="s">
        <v>230</v>
      </c>
      <c r="B122" s="532" t="s">
        <v>231</v>
      </c>
      <c r="C122" s="532" t="s">
        <v>252</v>
      </c>
      <c r="D122" s="266">
        <v>1042</v>
      </c>
      <c r="E122" s="266">
        <v>1142</v>
      </c>
      <c r="F122" s="266">
        <v>998</v>
      </c>
      <c r="G122" s="266">
        <v>1161</v>
      </c>
      <c r="H122" s="266">
        <v>1734</v>
      </c>
      <c r="I122" s="266">
        <v>4081</v>
      </c>
      <c r="J122" s="266">
        <v>2462</v>
      </c>
      <c r="K122" s="266">
        <v>2200</v>
      </c>
      <c r="L122" s="266">
        <v>2371</v>
      </c>
      <c r="M122" s="266">
        <v>1850</v>
      </c>
      <c r="N122" s="266">
        <v>1651</v>
      </c>
      <c r="O122" s="266">
        <v>1297</v>
      </c>
      <c r="P122" s="266">
        <f t="shared" si="4"/>
        <v>21989</v>
      </c>
    </row>
    <row r="123" spans="1:16" x14ac:dyDescent="0.3">
      <c r="A123" s="449" t="s">
        <v>238</v>
      </c>
      <c r="B123" s="532" t="s">
        <v>239</v>
      </c>
      <c r="C123" s="532" t="s">
        <v>252</v>
      </c>
      <c r="D123" s="266">
        <v>29</v>
      </c>
      <c r="E123" s="266">
        <v>36</v>
      </c>
      <c r="F123" s="266">
        <v>22</v>
      </c>
      <c r="G123" s="266">
        <v>19</v>
      </c>
      <c r="H123" s="266">
        <v>40</v>
      </c>
      <c r="I123" s="266">
        <v>72</v>
      </c>
      <c r="J123" s="266">
        <v>60</v>
      </c>
      <c r="K123" s="266">
        <v>90</v>
      </c>
      <c r="L123" s="266">
        <v>77</v>
      </c>
      <c r="M123" s="266">
        <v>56</v>
      </c>
      <c r="N123" s="266">
        <v>61</v>
      </c>
      <c r="O123" s="266">
        <v>46</v>
      </c>
      <c r="P123" s="266">
        <f t="shared" si="4"/>
        <v>608</v>
      </c>
    </row>
    <row r="124" spans="1:16" x14ac:dyDescent="0.3">
      <c r="A124" s="450" t="s">
        <v>240</v>
      </c>
      <c r="B124" s="453" t="s">
        <v>241</v>
      </c>
      <c r="C124" s="453" t="s">
        <v>255</v>
      </c>
      <c r="D124" s="266">
        <v>117</v>
      </c>
      <c r="E124" s="266">
        <v>133</v>
      </c>
      <c r="F124" s="266">
        <v>126</v>
      </c>
      <c r="G124" s="266">
        <v>115</v>
      </c>
      <c r="H124" s="266">
        <v>161</v>
      </c>
      <c r="I124" s="266">
        <v>323</v>
      </c>
      <c r="J124" s="266">
        <v>248</v>
      </c>
      <c r="K124" s="266">
        <v>196</v>
      </c>
      <c r="L124" s="266">
        <v>254</v>
      </c>
      <c r="M124" s="266">
        <v>231</v>
      </c>
      <c r="N124" s="266">
        <v>208</v>
      </c>
      <c r="O124" s="266">
        <v>174</v>
      </c>
      <c r="P124" s="266">
        <f t="shared" si="4"/>
        <v>2286</v>
      </c>
    </row>
    <row r="126" spans="1:16" ht="65.25" customHeight="1" x14ac:dyDescent="0.3">
      <c r="A126" s="2737" t="s">
        <v>1060</v>
      </c>
      <c r="B126" s="2737"/>
      <c r="C126" s="2737"/>
    </row>
    <row r="128" spans="1:16" s="359" customFormat="1" x14ac:dyDescent="0.3">
      <c r="A128" s="359" t="s">
        <v>248</v>
      </c>
    </row>
    <row r="129" spans="1:3" s="359" customFormat="1" x14ac:dyDescent="0.3">
      <c r="A129" s="360" t="s">
        <v>249</v>
      </c>
      <c r="B129" s="361" t="s">
        <v>250</v>
      </c>
      <c r="C129" s="361"/>
    </row>
  </sheetData>
  <sortState ref="A5:P124">
    <sortCondition ref="A5:A124"/>
  </sortState>
  <mergeCells count="1">
    <mergeCell ref="A126:C126"/>
  </mergeCells>
  <hyperlinks>
    <hyperlink ref="B129" r:id="rId1"/>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9" style="441"/>
    <col min="2" max="2" width="33.296875" style="441" customWidth="1"/>
    <col min="3" max="3" width="16.69921875" style="441" customWidth="1"/>
    <col min="4" max="4" width="7.19921875" style="441" customWidth="1"/>
    <col min="5" max="6" width="9.09765625" style="441" bestFit="1" customWidth="1"/>
    <col min="7" max="7" width="9.796875" style="441" bestFit="1" customWidth="1"/>
    <col min="8" max="15" width="10.09765625" style="441" bestFit="1" customWidth="1"/>
    <col min="16" max="16" width="11.09765625" style="441" bestFit="1" customWidth="1"/>
    <col min="17" max="16384" width="9" style="441"/>
  </cols>
  <sheetData>
    <row r="1" spans="1:16" ht="12.75" customHeight="1" x14ac:dyDescent="0.3">
      <c r="A1" s="253" t="s">
        <v>1066</v>
      </c>
    </row>
    <row r="3" spans="1:16" ht="53.25" customHeight="1" x14ac:dyDescent="0.3">
      <c r="A3" s="446" t="s">
        <v>4</v>
      </c>
      <c r="B3" s="503" t="s">
        <v>5</v>
      </c>
      <c r="C3" s="503" t="s">
        <v>251</v>
      </c>
      <c r="D3" s="1376">
        <v>43282</v>
      </c>
      <c r="E3" s="1376">
        <v>43313</v>
      </c>
      <c r="F3" s="1376">
        <v>43344</v>
      </c>
      <c r="G3" s="1376">
        <v>43374</v>
      </c>
      <c r="H3" s="1376">
        <v>43405</v>
      </c>
      <c r="I3" s="1376">
        <v>43435</v>
      </c>
      <c r="J3" s="1376">
        <v>43466</v>
      </c>
      <c r="K3" s="1376">
        <v>43497</v>
      </c>
      <c r="L3" s="1376">
        <v>43525</v>
      </c>
      <c r="M3" s="1376">
        <v>43556</v>
      </c>
      <c r="N3" s="1376">
        <v>43586</v>
      </c>
      <c r="O3" s="1376">
        <v>43617</v>
      </c>
      <c r="P3" s="1377" t="s">
        <v>1059</v>
      </c>
    </row>
    <row r="4" spans="1:16" x14ac:dyDescent="0.3">
      <c r="A4" s="528">
        <v>999</v>
      </c>
      <c r="B4" s="529" t="s">
        <v>9</v>
      </c>
      <c r="C4" s="529"/>
      <c r="D4" s="1378">
        <f>SUM(D5:D124)</f>
        <v>1784</v>
      </c>
      <c r="E4" s="1379">
        <f t="shared" ref="E4:P4" si="0">SUM(E5:E124)</f>
        <v>2056</v>
      </c>
      <c r="F4" s="1379">
        <f t="shared" si="0"/>
        <v>1498</v>
      </c>
      <c r="G4" s="1379">
        <f t="shared" si="0"/>
        <v>1475</v>
      </c>
      <c r="H4" s="1380">
        <f t="shared" si="0"/>
        <v>1270</v>
      </c>
      <c r="I4" s="1380">
        <f t="shared" si="0"/>
        <v>1129</v>
      </c>
      <c r="J4" s="1380">
        <f t="shared" si="0"/>
        <v>1424</v>
      </c>
      <c r="K4" s="1380">
        <f t="shared" si="0"/>
        <v>1680</v>
      </c>
      <c r="L4" s="1380">
        <f t="shared" si="0"/>
        <v>1980</v>
      </c>
      <c r="M4" s="1380">
        <f t="shared" si="0"/>
        <v>2027</v>
      </c>
      <c r="N4" s="1380">
        <f t="shared" si="0"/>
        <v>2339</v>
      </c>
      <c r="O4" s="1380">
        <f t="shared" si="0"/>
        <v>2305</v>
      </c>
      <c r="P4" s="1380">
        <f t="shared" si="0"/>
        <v>20967</v>
      </c>
    </row>
    <row r="5" spans="1:16" x14ac:dyDescent="0.3">
      <c r="A5" s="448" t="s">
        <v>10</v>
      </c>
      <c r="B5" s="505" t="s">
        <v>11</v>
      </c>
      <c r="C5" s="505" t="s">
        <v>252</v>
      </c>
      <c r="D5" s="266">
        <v>4</v>
      </c>
      <c r="E5" s="266">
        <v>10</v>
      </c>
      <c r="F5" s="266">
        <v>4</v>
      </c>
      <c r="G5" s="266">
        <v>6</v>
      </c>
      <c r="H5" s="266">
        <v>3</v>
      </c>
      <c r="I5" s="266">
        <v>3</v>
      </c>
      <c r="J5" s="266">
        <v>4</v>
      </c>
      <c r="K5" s="266">
        <v>5</v>
      </c>
      <c r="L5" s="266"/>
      <c r="M5" s="266">
        <v>2</v>
      </c>
      <c r="N5" s="266">
        <v>10</v>
      </c>
      <c r="O5" s="266">
        <v>7</v>
      </c>
      <c r="P5" s="266">
        <f t="shared" ref="P5:P36" si="1">SUM(D5:O5)</f>
        <v>58</v>
      </c>
    </row>
    <row r="6" spans="1:16" x14ac:dyDescent="0.3">
      <c r="A6" s="449" t="s">
        <v>12</v>
      </c>
      <c r="B6" s="532" t="s">
        <v>13</v>
      </c>
      <c r="C6" s="532" t="s">
        <v>253</v>
      </c>
      <c r="D6" s="266">
        <v>11</v>
      </c>
      <c r="E6" s="266">
        <v>26</v>
      </c>
      <c r="F6" s="266">
        <v>10</v>
      </c>
      <c r="G6" s="266">
        <v>18</v>
      </c>
      <c r="H6" s="266">
        <v>13</v>
      </c>
      <c r="I6" s="266">
        <v>8</v>
      </c>
      <c r="J6" s="266">
        <v>11</v>
      </c>
      <c r="K6" s="266">
        <v>26</v>
      </c>
      <c r="L6" s="266">
        <v>18</v>
      </c>
      <c r="M6" s="266">
        <v>12</v>
      </c>
      <c r="N6" s="266">
        <v>23</v>
      </c>
      <c r="O6" s="266">
        <v>14</v>
      </c>
      <c r="P6" s="266">
        <f t="shared" si="1"/>
        <v>190</v>
      </c>
    </row>
    <row r="7" spans="1:16" x14ac:dyDescent="0.3">
      <c r="A7" s="449" t="s">
        <v>16</v>
      </c>
      <c r="B7" s="532" t="s">
        <v>285</v>
      </c>
      <c r="C7" s="532" t="s">
        <v>253</v>
      </c>
      <c r="D7" s="266">
        <v>12</v>
      </c>
      <c r="E7" s="266">
        <v>3</v>
      </c>
      <c r="F7" s="266">
        <v>1</v>
      </c>
      <c r="G7" s="266">
        <v>12</v>
      </c>
      <c r="H7" s="266">
        <v>10</v>
      </c>
      <c r="I7" s="266">
        <v>7</v>
      </c>
      <c r="J7" s="266">
        <v>4</v>
      </c>
      <c r="K7" s="266">
        <v>7</v>
      </c>
      <c r="L7" s="266"/>
      <c r="M7" s="266">
        <v>1</v>
      </c>
      <c r="N7" s="266">
        <v>5</v>
      </c>
      <c r="O7" s="266">
        <v>12</v>
      </c>
      <c r="P7" s="266">
        <f t="shared" si="1"/>
        <v>74</v>
      </c>
    </row>
    <row r="8" spans="1:16" x14ac:dyDescent="0.3">
      <c r="A8" s="449" t="s">
        <v>18</v>
      </c>
      <c r="B8" s="532" t="s">
        <v>19</v>
      </c>
      <c r="C8" s="532" t="s">
        <v>254</v>
      </c>
      <c r="D8" s="266"/>
      <c r="E8" s="266"/>
      <c r="F8" s="266"/>
      <c r="G8" s="266">
        <v>2</v>
      </c>
      <c r="H8" s="266"/>
      <c r="I8" s="266"/>
      <c r="J8" s="266">
        <v>3</v>
      </c>
      <c r="K8" s="266"/>
      <c r="L8" s="266">
        <v>4</v>
      </c>
      <c r="M8" s="266">
        <v>1</v>
      </c>
      <c r="N8" s="266">
        <v>4</v>
      </c>
      <c r="O8" s="266">
        <v>2</v>
      </c>
      <c r="P8" s="266">
        <f t="shared" si="1"/>
        <v>16</v>
      </c>
    </row>
    <row r="9" spans="1:16" x14ac:dyDescent="0.3">
      <c r="A9" s="449" t="s">
        <v>20</v>
      </c>
      <c r="B9" s="532" t="s">
        <v>21</v>
      </c>
      <c r="C9" s="532" t="s">
        <v>253</v>
      </c>
      <c r="D9" s="266">
        <v>16</v>
      </c>
      <c r="E9" s="266">
        <v>19</v>
      </c>
      <c r="F9" s="266">
        <v>20</v>
      </c>
      <c r="G9" s="266">
        <v>11</v>
      </c>
      <c r="H9" s="266">
        <v>13</v>
      </c>
      <c r="I9" s="266">
        <v>11</v>
      </c>
      <c r="J9" s="266">
        <v>13</v>
      </c>
      <c r="K9" s="266">
        <v>9</v>
      </c>
      <c r="L9" s="266">
        <v>8</v>
      </c>
      <c r="M9" s="266">
        <v>10</v>
      </c>
      <c r="N9" s="266">
        <v>11</v>
      </c>
      <c r="O9" s="266">
        <v>15</v>
      </c>
      <c r="P9" s="266">
        <f t="shared" si="1"/>
        <v>156</v>
      </c>
    </row>
    <row r="10" spans="1:16" x14ac:dyDescent="0.3">
      <c r="A10" s="449" t="s">
        <v>22</v>
      </c>
      <c r="B10" s="532" t="s">
        <v>23</v>
      </c>
      <c r="C10" s="532" t="s">
        <v>253</v>
      </c>
      <c r="D10" s="266">
        <v>4</v>
      </c>
      <c r="E10" s="266">
        <v>6</v>
      </c>
      <c r="F10" s="266">
        <v>5</v>
      </c>
      <c r="G10" s="266">
        <v>4</v>
      </c>
      <c r="H10" s="266">
        <v>2</v>
      </c>
      <c r="I10" s="266">
        <v>1</v>
      </c>
      <c r="J10" s="266"/>
      <c r="K10" s="266">
        <v>1</v>
      </c>
      <c r="L10" s="266">
        <v>3</v>
      </c>
      <c r="M10" s="266">
        <v>1</v>
      </c>
      <c r="N10" s="266">
        <v>9</v>
      </c>
      <c r="O10" s="266">
        <v>8</v>
      </c>
      <c r="P10" s="266">
        <f t="shared" si="1"/>
        <v>44</v>
      </c>
    </row>
    <row r="11" spans="1:16" x14ac:dyDescent="0.3">
      <c r="A11" s="449" t="s">
        <v>24</v>
      </c>
      <c r="B11" s="532" t="s">
        <v>25</v>
      </c>
      <c r="C11" s="532" t="s">
        <v>255</v>
      </c>
      <c r="D11" s="266">
        <v>8</v>
      </c>
      <c r="E11" s="266">
        <v>12</v>
      </c>
      <c r="F11" s="266">
        <v>7</v>
      </c>
      <c r="G11" s="266">
        <v>10</v>
      </c>
      <c r="H11" s="266">
        <v>1</v>
      </c>
      <c r="I11" s="266">
        <v>9</v>
      </c>
      <c r="J11" s="266">
        <v>14</v>
      </c>
      <c r="K11" s="266">
        <v>17</v>
      </c>
      <c r="L11" s="266">
        <v>13</v>
      </c>
      <c r="M11" s="266">
        <v>8</v>
      </c>
      <c r="N11" s="266">
        <v>12</v>
      </c>
      <c r="O11" s="266">
        <v>4</v>
      </c>
      <c r="P11" s="266">
        <f t="shared" si="1"/>
        <v>115</v>
      </c>
    </row>
    <row r="12" spans="1:16" x14ac:dyDescent="0.3">
      <c r="A12" s="449" t="s">
        <v>26</v>
      </c>
      <c r="B12" s="532" t="s">
        <v>547</v>
      </c>
      <c r="C12" s="532" t="s">
        <v>253</v>
      </c>
      <c r="D12" s="266">
        <v>32</v>
      </c>
      <c r="E12" s="266">
        <v>35</v>
      </c>
      <c r="F12" s="266">
        <v>27</v>
      </c>
      <c r="G12" s="266">
        <v>22</v>
      </c>
      <c r="H12" s="266">
        <v>27</v>
      </c>
      <c r="I12" s="266">
        <v>22</v>
      </c>
      <c r="J12" s="266">
        <v>24</v>
      </c>
      <c r="K12" s="266">
        <v>43</v>
      </c>
      <c r="L12" s="266">
        <v>26</v>
      </c>
      <c r="M12" s="266">
        <v>42</v>
      </c>
      <c r="N12" s="266">
        <v>54</v>
      </c>
      <c r="O12" s="266">
        <v>58</v>
      </c>
      <c r="P12" s="266">
        <f t="shared" si="1"/>
        <v>412</v>
      </c>
    </row>
    <row r="13" spans="1:16" x14ac:dyDescent="0.3">
      <c r="A13" s="449" t="s">
        <v>27</v>
      </c>
      <c r="B13" s="532" t="s">
        <v>28</v>
      </c>
      <c r="C13" s="532" t="s">
        <v>253</v>
      </c>
      <c r="D13" s="266"/>
      <c r="E13" s="266"/>
      <c r="F13" s="266"/>
      <c r="G13" s="266">
        <v>1</v>
      </c>
      <c r="H13" s="266"/>
      <c r="I13" s="266">
        <v>1</v>
      </c>
      <c r="J13" s="266"/>
      <c r="K13" s="266">
        <v>1</v>
      </c>
      <c r="L13" s="266">
        <v>1</v>
      </c>
      <c r="M13" s="266">
        <v>1</v>
      </c>
      <c r="N13" s="266"/>
      <c r="O13" s="266">
        <v>1</v>
      </c>
      <c r="P13" s="266">
        <f t="shared" si="1"/>
        <v>6</v>
      </c>
    </row>
    <row r="14" spans="1:16" x14ac:dyDescent="0.3">
      <c r="A14" s="449" t="s">
        <v>29</v>
      </c>
      <c r="B14" s="532" t="s">
        <v>736</v>
      </c>
      <c r="C14" s="532" t="s">
        <v>253</v>
      </c>
      <c r="D14" s="266">
        <v>10</v>
      </c>
      <c r="E14" s="266">
        <v>16</v>
      </c>
      <c r="F14" s="266">
        <v>5</v>
      </c>
      <c r="G14" s="266">
        <v>4</v>
      </c>
      <c r="H14" s="266">
        <v>10</v>
      </c>
      <c r="I14" s="266">
        <v>10</v>
      </c>
      <c r="J14" s="266">
        <v>18</v>
      </c>
      <c r="K14" s="266">
        <v>11</v>
      </c>
      <c r="L14" s="266">
        <v>17</v>
      </c>
      <c r="M14" s="266">
        <v>17</v>
      </c>
      <c r="N14" s="266">
        <v>18</v>
      </c>
      <c r="O14" s="266">
        <v>19</v>
      </c>
      <c r="P14" s="266">
        <f t="shared" si="1"/>
        <v>155</v>
      </c>
    </row>
    <row r="15" spans="1:16" x14ac:dyDescent="0.3">
      <c r="A15" s="449" t="s">
        <v>30</v>
      </c>
      <c r="B15" s="532" t="s">
        <v>31</v>
      </c>
      <c r="C15" s="532" t="s">
        <v>256</v>
      </c>
      <c r="D15" s="266"/>
      <c r="E15" s="266">
        <v>2</v>
      </c>
      <c r="F15" s="266"/>
      <c r="G15" s="266">
        <v>1</v>
      </c>
      <c r="H15" s="266">
        <v>1</v>
      </c>
      <c r="I15" s="266">
        <v>1</v>
      </c>
      <c r="J15" s="266"/>
      <c r="K15" s="266"/>
      <c r="L15" s="266"/>
      <c r="M15" s="266"/>
      <c r="N15" s="266">
        <v>1</v>
      </c>
      <c r="O15" s="266"/>
      <c r="P15" s="266">
        <f t="shared" si="1"/>
        <v>6</v>
      </c>
    </row>
    <row r="16" spans="1:16" x14ac:dyDescent="0.3">
      <c r="A16" s="449" t="s">
        <v>32</v>
      </c>
      <c r="B16" s="532" t="s">
        <v>33</v>
      </c>
      <c r="C16" s="532" t="s">
        <v>253</v>
      </c>
      <c r="D16" s="266">
        <v>8</v>
      </c>
      <c r="E16" s="266"/>
      <c r="F16" s="266">
        <v>4</v>
      </c>
      <c r="G16" s="266">
        <v>6</v>
      </c>
      <c r="H16" s="266">
        <v>5</v>
      </c>
      <c r="I16" s="266">
        <v>6</v>
      </c>
      <c r="J16" s="266">
        <v>3</v>
      </c>
      <c r="K16" s="266">
        <v>3</v>
      </c>
      <c r="L16" s="266">
        <v>6</v>
      </c>
      <c r="M16" s="266">
        <v>6</v>
      </c>
      <c r="N16" s="266">
        <v>8</v>
      </c>
      <c r="O16" s="266">
        <v>3</v>
      </c>
      <c r="P16" s="266">
        <f t="shared" si="1"/>
        <v>58</v>
      </c>
    </row>
    <row r="17" spans="1:16" x14ac:dyDescent="0.3">
      <c r="A17" s="449" t="s">
        <v>36</v>
      </c>
      <c r="B17" s="532" t="s">
        <v>37</v>
      </c>
      <c r="C17" s="532" t="s">
        <v>252</v>
      </c>
      <c r="D17" s="266"/>
      <c r="E17" s="266">
        <v>2</v>
      </c>
      <c r="F17" s="266">
        <v>2</v>
      </c>
      <c r="G17" s="266">
        <v>1</v>
      </c>
      <c r="H17" s="266"/>
      <c r="I17" s="266"/>
      <c r="J17" s="266">
        <v>3</v>
      </c>
      <c r="K17" s="266">
        <v>5</v>
      </c>
      <c r="L17" s="266">
        <v>1</v>
      </c>
      <c r="M17" s="266"/>
      <c r="N17" s="266">
        <v>1</v>
      </c>
      <c r="O17" s="266">
        <v>1</v>
      </c>
      <c r="P17" s="266">
        <f t="shared" si="1"/>
        <v>16</v>
      </c>
    </row>
    <row r="18" spans="1:16" x14ac:dyDescent="0.3">
      <c r="A18" s="449" t="s">
        <v>38</v>
      </c>
      <c r="B18" s="532" t="s">
        <v>39</v>
      </c>
      <c r="C18" s="532" t="s">
        <v>256</v>
      </c>
      <c r="D18" s="266">
        <v>1</v>
      </c>
      <c r="E18" s="266">
        <v>1</v>
      </c>
      <c r="F18" s="266"/>
      <c r="G18" s="266"/>
      <c r="H18" s="266"/>
      <c r="I18" s="266">
        <v>1</v>
      </c>
      <c r="J18" s="266">
        <v>1</v>
      </c>
      <c r="K18" s="266">
        <v>1</v>
      </c>
      <c r="L18" s="266"/>
      <c r="M18" s="266">
        <v>1</v>
      </c>
      <c r="N18" s="266"/>
      <c r="O18" s="266">
        <v>1</v>
      </c>
      <c r="P18" s="266">
        <f t="shared" si="1"/>
        <v>7</v>
      </c>
    </row>
    <row r="19" spans="1:16" x14ac:dyDescent="0.3">
      <c r="A19" s="449" t="s">
        <v>40</v>
      </c>
      <c r="B19" s="532" t="s">
        <v>41</v>
      </c>
      <c r="C19" s="532" t="s">
        <v>254</v>
      </c>
      <c r="D19" s="266">
        <v>1</v>
      </c>
      <c r="E19" s="266">
        <v>5</v>
      </c>
      <c r="F19" s="266">
        <v>1</v>
      </c>
      <c r="G19" s="266">
        <v>4</v>
      </c>
      <c r="H19" s="266">
        <v>3</v>
      </c>
      <c r="I19" s="266"/>
      <c r="J19" s="266">
        <v>3</v>
      </c>
      <c r="K19" s="266">
        <v>2</v>
      </c>
      <c r="L19" s="266">
        <v>2</v>
      </c>
      <c r="M19" s="266">
        <v>2</v>
      </c>
      <c r="N19" s="266">
        <v>2</v>
      </c>
      <c r="O19" s="266">
        <v>6</v>
      </c>
      <c r="P19" s="266">
        <f t="shared" si="1"/>
        <v>31</v>
      </c>
    </row>
    <row r="20" spans="1:16" x14ac:dyDescent="0.3">
      <c r="A20" s="449" t="s">
        <v>42</v>
      </c>
      <c r="B20" s="532" t="s">
        <v>43</v>
      </c>
      <c r="C20" s="532" t="s">
        <v>253</v>
      </c>
      <c r="D20" s="266">
        <v>9</v>
      </c>
      <c r="E20" s="266">
        <v>10</v>
      </c>
      <c r="F20" s="266">
        <v>11</v>
      </c>
      <c r="G20" s="266">
        <v>4</v>
      </c>
      <c r="H20" s="266">
        <v>9</v>
      </c>
      <c r="I20" s="266">
        <v>7</v>
      </c>
      <c r="J20" s="266">
        <v>9</v>
      </c>
      <c r="K20" s="266">
        <v>22</v>
      </c>
      <c r="L20" s="266">
        <v>16</v>
      </c>
      <c r="M20" s="266">
        <v>19</v>
      </c>
      <c r="N20" s="266">
        <v>24</v>
      </c>
      <c r="O20" s="266">
        <v>15</v>
      </c>
      <c r="P20" s="266">
        <f t="shared" si="1"/>
        <v>155</v>
      </c>
    </row>
    <row r="21" spans="1:16" x14ac:dyDescent="0.3">
      <c r="A21" s="449" t="s">
        <v>44</v>
      </c>
      <c r="B21" s="532" t="s">
        <v>45</v>
      </c>
      <c r="C21" s="532" t="s">
        <v>254</v>
      </c>
      <c r="D21" s="266">
        <v>4</v>
      </c>
      <c r="E21" s="266">
        <v>1</v>
      </c>
      <c r="F21" s="266">
        <v>1</v>
      </c>
      <c r="G21" s="266">
        <v>3</v>
      </c>
      <c r="H21" s="266"/>
      <c r="I21" s="266">
        <v>1</v>
      </c>
      <c r="J21" s="266"/>
      <c r="K21" s="266"/>
      <c r="L21" s="266">
        <v>4</v>
      </c>
      <c r="M21" s="266">
        <v>9</v>
      </c>
      <c r="N21" s="266">
        <v>8</v>
      </c>
      <c r="O21" s="266">
        <v>13</v>
      </c>
      <c r="P21" s="266">
        <f t="shared" si="1"/>
        <v>44</v>
      </c>
    </row>
    <row r="22" spans="1:16" x14ac:dyDescent="0.3">
      <c r="A22" s="449" t="s">
        <v>46</v>
      </c>
      <c r="B22" s="532" t="s">
        <v>47</v>
      </c>
      <c r="C22" s="532" t="s">
        <v>256</v>
      </c>
      <c r="D22" s="266">
        <v>5</v>
      </c>
      <c r="E22" s="266">
        <v>6</v>
      </c>
      <c r="F22" s="266">
        <v>2</v>
      </c>
      <c r="G22" s="266">
        <v>9</v>
      </c>
      <c r="H22" s="266">
        <v>3</v>
      </c>
      <c r="I22" s="266">
        <v>3</v>
      </c>
      <c r="J22" s="266">
        <v>4</v>
      </c>
      <c r="K22" s="266">
        <v>2</v>
      </c>
      <c r="L22" s="266">
        <v>9</v>
      </c>
      <c r="M22" s="266">
        <v>12</v>
      </c>
      <c r="N22" s="266">
        <v>7</v>
      </c>
      <c r="O22" s="266">
        <v>9</v>
      </c>
      <c r="P22" s="266">
        <f t="shared" si="1"/>
        <v>71</v>
      </c>
    </row>
    <row r="23" spans="1:16" x14ac:dyDescent="0.3">
      <c r="A23" s="449" t="s">
        <v>48</v>
      </c>
      <c r="B23" s="532" t="s">
        <v>257</v>
      </c>
      <c r="C23" s="532" t="s">
        <v>254</v>
      </c>
      <c r="D23" s="266">
        <v>1</v>
      </c>
      <c r="E23" s="266">
        <v>3</v>
      </c>
      <c r="F23" s="266">
        <v>3</v>
      </c>
      <c r="G23" s="266">
        <v>4</v>
      </c>
      <c r="H23" s="266">
        <v>1</v>
      </c>
      <c r="I23" s="266">
        <v>2</v>
      </c>
      <c r="J23" s="266">
        <v>7</v>
      </c>
      <c r="K23" s="266">
        <v>1</v>
      </c>
      <c r="L23" s="266"/>
      <c r="M23" s="266">
        <v>4</v>
      </c>
      <c r="N23" s="266">
        <v>6</v>
      </c>
      <c r="O23" s="266">
        <v>5</v>
      </c>
      <c r="P23" s="266">
        <f t="shared" si="1"/>
        <v>37</v>
      </c>
    </row>
    <row r="24" spans="1:16" x14ac:dyDescent="0.3">
      <c r="A24" s="449" t="s">
        <v>50</v>
      </c>
      <c r="B24" s="532" t="s">
        <v>51</v>
      </c>
      <c r="C24" s="532" t="s">
        <v>253</v>
      </c>
      <c r="D24" s="266"/>
      <c r="E24" s="266"/>
      <c r="F24" s="266"/>
      <c r="G24" s="266"/>
      <c r="H24" s="266"/>
      <c r="I24" s="266"/>
      <c r="J24" s="266"/>
      <c r="K24" s="266"/>
      <c r="L24" s="266"/>
      <c r="M24" s="266"/>
      <c r="N24" s="266"/>
      <c r="O24" s="266"/>
      <c r="P24" s="266">
        <f t="shared" si="1"/>
        <v>0</v>
      </c>
    </row>
    <row r="25" spans="1:16" x14ac:dyDescent="0.3">
      <c r="A25" s="449" t="s">
        <v>56</v>
      </c>
      <c r="B25" s="532" t="s">
        <v>283</v>
      </c>
      <c r="C25" s="532" t="s">
        <v>254</v>
      </c>
      <c r="D25" s="266">
        <v>55</v>
      </c>
      <c r="E25" s="266">
        <v>37</v>
      </c>
      <c r="F25" s="266">
        <v>34</v>
      </c>
      <c r="G25" s="266">
        <v>47</v>
      </c>
      <c r="H25" s="266">
        <v>56</v>
      </c>
      <c r="I25" s="266">
        <v>32</v>
      </c>
      <c r="J25" s="266">
        <v>26</v>
      </c>
      <c r="K25" s="266">
        <v>8</v>
      </c>
      <c r="L25" s="266">
        <v>14</v>
      </c>
      <c r="M25" s="266">
        <v>22</v>
      </c>
      <c r="N25" s="266">
        <v>28</v>
      </c>
      <c r="O25" s="266">
        <v>31</v>
      </c>
      <c r="P25" s="266">
        <f t="shared" si="1"/>
        <v>390</v>
      </c>
    </row>
    <row r="26" spans="1:16" x14ac:dyDescent="0.3">
      <c r="A26" s="449" t="s">
        <v>58</v>
      </c>
      <c r="B26" s="532" t="s">
        <v>59</v>
      </c>
      <c r="C26" s="532" t="s">
        <v>255</v>
      </c>
      <c r="D26" s="266"/>
      <c r="E26" s="266"/>
      <c r="F26" s="266"/>
      <c r="G26" s="266"/>
      <c r="H26" s="266">
        <v>1</v>
      </c>
      <c r="I26" s="266"/>
      <c r="J26" s="266"/>
      <c r="K26" s="266">
        <v>1</v>
      </c>
      <c r="L26" s="266">
        <v>1</v>
      </c>
      <c r="M26" s="266">
        <v>1</v>
      </c>
      <c r="N26" s="266">
        <v>3</v>
      </c>
      <c r="O26" s="266">
        <v>1</v>
      </c>
      <c r="P26" s="266">
        <f t="shared" si="1"/>
        <v>8</v>
      </c>
    </row>
    <row r="27" spans="1:16" x14ac:dyDescent="0.3">
      <c r="A27" s="449" t="s">
        <v>60</v>
      </c>
      <c r="B27" s="532" t="s">
        <v>61</v>
      </c>
      <c r="C27" s="532" t="s">
        <v>253</v>
      </c>
      <c r="D27" s="266"/>
      <c r="E27" s="266"/>
      <c r="F27" s="266">
        <v>1</v>
      </c>
      <c r="G27" s="266">
        <v>5</v>
      </c>
      <c r="H27" s="266">
        <v>1</v>
      </c>
      <c r="I27" s="266">
        <v>2</v>
      </c>
      <c r="J27" s="266">
        <v>2</v>
      </c>
      <c r="K27" s="266">
        <v>3</v>
      </c>
      <c r="L27" s="266"/>
      <c r="M27" s="266">
        <v>6</v>
      </c>
      <c r="N27" s="266">
        <v>5</v>
      </c>
      <c r="O27" s="266">
        <v>1</v>
      </c>
      <c r="P27" s="266">
        <f t="shared" si="1"/>
        <v>26</v>
      </c>
    </row>
    <row r="28" spans="1:16" x14ac:dyDescent="0.3">
      <c r="A28" s="449" t="s">
        <v>62</v>
      </c>
      <c r="B28" s="532" t="s">
        <v>63</v>
      </c>
      <c r="C28" s="532" t="s">
        <v>255</v>
      </c>
      <c r="D28" s="266">
        <v>27</v>
      </c>
      <c r="E28" s="266">
        <v>21</v>
      </c>
      <c r="F28" s="266">
        <v>12</v>
      </c>
      <c r="G28" s="266">
        <v>12</v>
      </c>
      <c r="H28" s="266">
        <v>13</v>
      </c>
      <c r="I28" s="266">
        <v>10</v>
      </c>
      <c r="J28" s="266">
        <v>10</v>
      </c>
      <c r="K28" s="266">
        <v>12</v>
      </c>
      <c r="L28" s="266">
        <v>28</v>
      </c>
      <c r="M28" s="266">
        <v>22</v>
      </c>
      <c r="N28" s="266">
        <v>27</v>
      </c>
      <c r="O28" s="266">
        <v>20</v>
      </c>
      <c r="P28" s="266">
        <f t="shared" si="1"/>
        <v>214</v>
      </c>
    </row>
    <row r="29" spans="1:16" x14ac:dyDescent="0.3">
      <c r="A29" s="449" t="s">
        <v>64</v>
      </c>
      <c r="B29" s="532" t="s">
        <v>65</v>
      </c>
      <c r="C29" s="532" t="s">
        <v>254</v>
      </c>
      <c r="D29" s="266">
        <v>2</v>
      </c>
      <c r="E29" s="266"/>
      <c r="F29" s="266"/>
      <c r="G29" s="266"/>
      <c r="H29" s="266">
        <v>1</v>
      </c>
      <c r="I29" s="266"/>
      <c r="J29" s="266"/>
      <c r="K29" s="266">
        <v>2</v>
      </c>
      <c r="L29" s="266">
        <v>3</v>
      </c>
      <c r="M29" s="266">
        <v>2</v>
      </c>
      <c r="N29" s="266">
        <v>5</v>
      </c>
      <c r="O29" s="266">
        <v>2</v>
      </c>
      <c r="P29" s="266">
        <f t="shared" si="1"/>
        <v>17</v>
      </c>
    </row>
    <row r="30" spans="1:16" x14ac:dyDescent="0.3">
      <c r="A30" s="449" t="s">
        <v>68</v>
      </c>
      <c r="B30" s="532" t="s">
        <v>69</v>
      </c>
      <c r="C30" s="532" t="s">
        <v>256</v>
      </c>
      <c r="D30" s="266"/>
      <c r="E30" s="266"/>
      <c r="F30" s="266">
        <v>3</v>
      </c>
      <c r="G30" s="266"/>
      <c r="H30" s="266">
        <v>2</v>
      </c>
      <c r="I30" s="266">
        <v>2</v>
      </c>
      <c r="J30" s="266">
        <v>1</v>
      </c>
      <c r="K30" s="266"/>
      <c r="L30" s="266"/>
      <c r="M30" s="266">
        <v>1</v>
      </c>
      <c r="N30" s="266">
        <v>1</v>
      </c>
      <c r="O30" s="266">
        <v>3</v>
      </c>
      <c r="P30" s="266">
        <f t="shared" si="1"/>
        <v>13</v>
      </c>
    </row>
    <row r="31" spans="1:16" x14ac:dyDescent="0.3">
      <c r="A31" s="449" t="s">
        <v>70</v>
      </c>
      <c r="B31" s="532" t="s">
        <v>71</v>
      </c>
      <c r="C31" s="532" t="s">
        <v>252</v>
      </c>
      <c r="D31" s="266">
        <v>4</v>
      </c>
      <c r="E31" s="266">
        <v>4</v>
      </c>
      <c r="F31" s="266">
        <v>10</v>
      </c>
      <c r="G31" s="266">
        <v>7</v>
      </c>
      <c r="H31" s="266">
        <v>4</v>
      </c>
      <c r="I31" s="266">
        <v>8</v>
      </c>
      <c r="J31" s="266">
        <v>7</v>
      </c>
      <c r="K31" s="266">
        <v>4</v>
      </c>
      <c r="L31" s="266">
        <v>6</v>
      </c>
      <c r="M31" s="266">
        <v>9</v>
      </c>
      <c r="N31" s="266">
        <v>6</v>
      </c>
      <c r="O31" s="266">
        <v>14</v>
      </c>
      <c r="P31" s="266">
        <f t="shared" si="1"/>
        <v>83</v>
      </c>
    </row>
    <row r="32" spans="1:16" x14ac:dyDescent="0.3">
      <c r="A32" s="449" t="s">
        <v>72</v>
      </c>
      <c r="B32" s="532" t="s">
        <v>73</v>
      </c>
      <c r="C32" s="532" t="s">
        <v>254</v>
      </c>
      <c r="D32" s="266">
        <v>2</v>
      </c>
      <c r="E32" s="266"/>
      <c r="F32" s="266">
        <v>2</v>
      </c>
      <c r="G32" s="266"/>
      <c r="H32" s="266">
        <v>1</v>
      </c>
      <c r="I32" s="266"/>
      <c r="J32" s="266">
        <v>3</v>
      </c>
      <c r="K32" s="266">
        <v>6</v>
      </c>
      <c r="L32" s="266">
        <v>10</v>
      </c>
      <c r="M32" s="266">
        <v>8</v>
      </c>
      <c r="N32" s="266">
        <v>8</v>
      </c>
      <c r="O32" s="266">
        <v>8</v>
      </c>
      <c r="P32" s="266">
        <f t="shared" si="1"/>
        <v>48</v>
      </c>
    </row>
    <row r="33" spans="1:16" x14ac:dyDescent="0.3">
      <c r="A33" s="449" t="s">
        <v>74</v>
      </c>
      <c r="B33" s="532" t="s">
        <v>284</v>
      </c>
      <c r="C33" s="532" t="s">
        <v>255</v>
      </c>
      <c r="D33" s="266">
        <v>99</v>
      </c>
      <c r="E33" s="266">
        <v>117</v>
      </c>
      <c r="F33" s="266">
        <v>110</v>
      </c>
      <c r="G33" s="266">
        <v>130</v>
      </c>
      <c r="H33" s="266">
        <v>67</v>
      </c>
      <c r="I33" s="266">
        <v>63</v>
      </c>
      <c r="J33" s="266">
        <v>63</v>
      </c>
      <c r="K33" s="266">
        <v>313</v>
      </c>
      <c r="L33" s="266">
        <v>341</v>
      </c>
      <c r="M33" s="266">
        <v>227</v>
      </c>
      <c r="N33" s="266">
        <v>196</v>
      </c>
      <c r="O33" s="266">
        <v>178</v>
      </c>
      <c r="P33" s="266">
        <f t="shared" si="1"/>
        <v>1904</v>
      </c>
    </row>
    <row r="34" spans="1:16" x14ac:dyDescent="0.3">
      <c r="A34" s="449" t="s">
        <v>76</v>
      </c>
      <c r="B34" s="532" t="s">
        <v>77</v>
      </c>
      <c r="C34" s="532" t="s">
        <v>255</v>
      </c>
      <c r="D34" s="266">
        <v>1</v>
      </c>
      <c r="E34" s="266"/>
      <c r="F34" s="266">
        <v>1</v>
      </c>
      <c r="G34" s="266">
        <v>2</v>
      </c>
      <c r="H34" s="266">
        <v>4</v>
      </c>
      <c r="I34" s="266">
        <v>1</v>
      </c>
      <c r="J34" s="266">
        <v>4</v>
      </c>
      <c r="K34" s="266"/>
      <c r="L34" s="266"/>
      <c r="M34" s="266"/>
      <c r="N34" s="266">
        <v>3</v>
      </c>
      <c r="O34" s="266">
        <v>3</v>
      </c>
      <c r="P34" s="266">
        <f t="shared" si="1"/>
        <v>19</v>
      </c>
    </row>
    <row r="35" spans="1:16" x14ac:dyDescent="0.3">
      <c r="A35" s="449" t="s">
        <v>78</v>
      </c>
      <c r="B35" s="532" t="s">
        <v>79</v>
      </c>
      <c r="C35" s="532" t="s">
        <v>256</v>
      </c>
      <c r="D35" s="266"/>
      <c r="E35" s="266"/>
      <c r="F35" s="266"/>
      <c r="G35" s="266"/>
      <c r="H35" s="266">
        <v>1</v>
      </c>
      <c r="I35" s="266">
        <v>1</v>
      </c>
      <c r="J35" s="266">
        <v>4</v>
      </c>
      <c r="K35" s="266"/>
      <c r="L35" s="266">
        <v>1</v>
      </c>
      <c r="M35" s="266">
        <v>5</v>
      </c>
      <c r="N35" s="266">
        <v>3</v>
      </c>
      <c r="O35" s="266">
        <v>2</v>
      </c>
      <c r="P35" s="266">
        <f t="shared" si="1"/>
        <v>17</v>
      </c>
    </row>
    <row r="36" spans="1:16" x14ac:dyDescent="0.3">
      <c r="A36" s="449" t="s">
        <v>80</v>
      </c>
      <c r="B36" s="532" t="s">
        <v>81</v>
      </c>
      <c r="C36" s="532" t="s">
        <v>254</v>
      </c>
      <c r="D36" s="266">
        <v>4</v>
      </c>
      <c r="E36" s="266">
        <v>1</v>
      </c>
      <c r="F36" s="266">
        <v>2</v>
      </c>
      <c r="G36" s="266">
        <v>2</v>
      </c>
      <c r="H36" s="266">
        <v>3</v>
      </c>
      <c r="I36" s="266">
        <v>3</v>
      </c>
      <c r="J36" s="266">
        <v>4</v>
      </c>
      <c r="K36" s="266"/>
      <c r="L36" s="266">
        <v>2</v>
      </c>
      <c r="M36" s="266">
        <v>1</v>
      </c>
      <c r="N36" s="266">
        <v>5</v>
      </c>
      <c r="O36" s="266">
        <v>3</v>
      </c>
      <c r="P36" s="266">
        <f t="shared" si="1"/>
        <v>30</v>
      </c>
    </row>
    <row r="37" spans="1:16" x14ac:dyDescent="0.3">
      <c r="A37" s="449" t="s">
        <v>84</v>
      </c>
      <c r="B37" s="532" t="s">
        <v>85</v>
      </c>
      <c r="C37" s="532" t="s">
        <v>253</v>
      </c>
      <c r="D37" s="266">
        <v>5</v>
      </c>
      <c r="E37" s="266">
        <v>4</v>
      </c>
      <c r="F37" s="266">
        <v>10</v>
      </c>
      <c r="G37" s="266">
        <v>1</v>
      </c>
      <c r="H37" s="266">
        <v>7</v>
      </c>
      <c r="I37" s="266">
        <v>2</v>
      </c>
      <c r="J37" s="266">
        <v>6</v>
      </c>
      <c r="K37" s="266">
        <v>10</v>
      </c>
      <c r="L37" s="266">
        <v>21</v>
      </c>
      <c r="M37" s="266">
        <v>17</v>
      </c>
      <c r="N37" s="266">
        <v>18</v>
      </c>
      <c r="O37" s="266">
        <v>18</v>
      </c>
      <c r="P37" s="266">
        <f t="shared" ref="P37:P68" si="2">SUM(D37:O37)</f>
        <v>119</v>
      </c>
    </row>
    <row r="38" spans="1:16" x14ac:dyDescent="0.3">
      <c r="A38" s="449" t="s">
        <v>86</v>
      </c>
      <c r="B38" s="532" t="s">
        <v>87</v>
      </c>
      <c r="C38" s="532" t="s">
        <v>255</v>
      </c>
      <c r="D38" s="266">
        <v>1</v>
      </c>
      <c r="E38" s="266">
        <v>6</v>
      </c>
      <c r="F38" s="266">
        <v>4</v>
      </c>
      <c r="G38" s="266">
        <v>4</v>
      </c>
      <c r="H38" s="266">
        <v>1</v>
      </c>
      <c r="I38" s="266">
        <v>4</v>
      </c>
      <c r="J38" s="266">
        <v>3</v>
      </c>
      <c r="K38" s="266">
        <v>5</v>
      </c>
      <c r="L38" s="266">
        <v>1</v>
      </c>
      <c r="M38" s="266">
        <v>1</v>
      </c>
      <c r="N38" s="266"/>
      <c r="O38" s="266">
        <v>9</v>
      </c>
      <c r="P38" s="266">
        <f t="shared" si="2"/>
        <v>39</v>
      </c>
    </row>
    <row r="39" spans="1:16" x14ac:dyDescent="0.3">
      <c r="A39" s="449" t="s">
        <v>92</v>
      </c>
      <c r="B39" s="532" t="s">
        <v>93</v>
      </c>
      <c r="C39" s="532" t="s">
        <v>256</v>
      </c>
      <c r="D39" s="266">
        <v>3</v>
      </c>
      <c r="E39" s="266">
        <v>2</v>
      </c>
      <c r="F39" s="266">
        <v>2</v>
      </c>
      <c r="G39" s="266">
        <v>3</v>
      </c>
      <c r="H39" s="266">
        <v>2</v>
      </c>
      <c r="I39" s="266">
        <v>3</v>
      </c>
      <c r="J39" s="266">
        <v>6</v>
      </c>
      <c r="K39" s="266">
        <v>1</v>
      </c>
      <c r="L39" s="266">
        <v>8</v>
      </c>
      <c r="M39" s="266">
        <v>1</v>
      </c>
      <c r="N39" s="266">
        <v>7</v>
      </c>
      <c r="O39" s="266">
        <v>3</v>
      </c>
      <c r="P39" s="266">
        <f t="shared" si="2"/>
        <v>41</v>
      </c>
    </row>
    <row r="40" spans="1:16" x14ac:dyDescent="0.3">
      <c r="A40" s="449" t="s">
        <v>94</v>
      </c>
      <c r="B40" s="532" t="s">
        <v>95</v>
      </c>
      <c r="C40" s="532" t="s">
        <v>252</v>
      </c>
      <c r="D40" s="266">
        <v>4</v>
      </c>
      <c r="E40" s="266">
        <v>3</v>
      </c>
      <c r="F40" s="266">
        <v>1</v>
      </c>
      <c r="G40" s="266">
        <v>9</v>
      </c>
      <c r="H40" s="266">
        <v>3</v>
      </c>
      <c r="I40" s="266">
        <v>2</v>
      </c>
      <c r="J40" s="266">
        <v>2</v>
      </c>
      <c r="K40" s="266">
        <v>4</v>
      </c>
      <c r="L40" s="266">
        <v>6</v>
      </c>
      <c r="M40" s="266">
        <v>9</v>
      </c>
      <c r="N40" s="266">
        <v>7</v>
      </c>
      <c r="O40" s="266">
        <v>5</v>
      </c>
      <c r="P40" s="266">
        <f t="shared" si="2"/>
        <v>55</v>
      </c>
    </row>
    <row r="41" spans="1:16" x14ac:dyDescent="0.3">
      <c r="A41" s="449" t="s">
        <v>96</v>
      </c>
      <c r="B41" s="532" t="s">
        <v>97</v>
      </c>
      <c r="C41" s="532" t="s">
        <v>254</v>
      </c>
      <c r="D41" s="266">
        <v>1</v>
      </c>
      <c r="E41" s="266"/>
      <c r="F41" s="266"/>
      <c r="G41" s="266"/>
      <c r="H41" s="266"/>
      <c r="I41" s="266">
        <v>1</v>
      </c>
      <c r="J41" s="266"/>
      <c r="K41" s="266">
        <v>2</v>
      </c>
      <c r="L41" s="266">
        <v>2</v>
      </c>
      <c r="M41" s="266">
        <v>1</v>
      </c>
      <c r="N41" s="266">
        <v>2</v>
      </c>
      <c r="O41" s="266">
        <v>1</v>
      </c>
      <c r="P41" s="266">
        <f t="shared" si="2"/>
        <v>10</v>
      </c>
    </row>
    <row r="42" spans="1:16" x14ac:dyDescent="0.3">
      <c r="A42" s="449" t="s">
        <v>98</v>
      </c>
      <c r="B42" s="532" t="s">
        <v>99</v>
      </c>
      <c r="C42" s="532" t="s">
        <v>256</v>
      </c>
      <c r="D42" s="266">
        <v>3</v>
      </c>
      <c r="E42" s="266">
        <v>2</v>
      </c>
      <c r="F42" s="266">
        <v>1</v>
      </c>
      <c r="G42" s="266">
        <v>2</v>
      </c>
      <c r="H42" s="266">
        <v>2</v>
      </c>
      <c r="I42" s="266">
        <v>1</v>
      </c>
      <c r="J42" s="266"/>
      <c r="K42" s="266">
        <v>1</v>
      </c>
      <c r="L42" s="266">
        <v>5</v>
      </c>
      <c r="M42" s="266">
        <v>4</v>
      </c>
      <c r="N42" s="266">
        <v>3</v>
      </c>
      <c r="O42" s="266">
        <v>2</v>
      </c>
      <c r="P42" s="266">
        <f t="shared" si="2"/>
        <v>26</v>
      </c>
    </row>
    <row r="43" spans="1:16" x14ac:dyDescent="0.3">
      <c r="A43" s="449" t="s">
        <v>100</v>
      </c>
      <c r="B43" s="532" t="s">
        <v>101</v>
      </c>
      <c r="C43" s="532" t="s">
        <v>255</v>
      </c>
      <c r="D43" s="266"/>
      <c r="E43" s="266"/>
      <c r="F43" s="266"/>
      <c r="G43" s="266"/>
      <c r="H43" s="266"/>
      <c r="I43" s="266"/>
      <c r="J43" s="266"/>
      <c r="K43" s="266"/>
      <c r="L43" s="266"/>
      <c r="M43" s="266"/>
      <c r="N43" s="266"/>
      <c r="O43" s="266"/>
      <c r="P43" s="266">
        <f t="shared" si="2"/>
        <v>0</v>
      </c>
    </row>
    <row r="44" spans="1:16" x14ac:dyDescent="0.3">
      <c r="A44" s="449" t="s">
        <v>102</v>
      </c>
      <c r="B44" s="532" t="s">
        <v>270</v>
      </c>
      <c r="C44" s="532" t="s">
        <v>252</v>
      </c>
      <c r="D44" s="266">
        <v>5</v>
      </c>
      <c r="E44" s="266">
        <v>7</v>
      </c>
      <c r="F44" s="266">
        <v>5</v>
      </c>
      <c r="G44" s="266">
        <v>4</v>
      </c>
      <c r="H44" s="266">
        <v>3</v>
      </c>
      <c r="I44" s="266">
        <v>5</v>
      </c>
      <c r="J44" s="266">
        <v>7</v>
      </c>
      <c r="K44" s="266">
        <v>7</v>
      </c>
      <c r="L44" s="266">
        <v>7</v>
      </c>
      <c r="M44" s="266">
        <v>11</v>
      </c>
      <c r="N44" s="266">
        <v>8</v>
      </c>
      <c r="O44" s="266">
        <v>8</v>
      </c>
      <c r="P44" s="266">
        <f t="shared" si="2"/>
        <v>77</v>
      </c>
    </row>
    <row r="45" spans="1:16" x14ac:dyDescent="0.3">
      <c r="A45" s="449" t="s">
        <v>104</v>
      </c>
      <c r="B45" s="532" t="s">
        <v>105</v>
      </c>
      <c r="C45" s="532" t="s">
        <v>253</v>
      </c>
      <c r="D45" s="266">
        <v>6</v>
      </c>
      <c r="E45" s="266">
        <v>5</v>
      </c>
      <c r="F45" s="266">
        <v>3</v>
      </c>
      <c r="G45" s="266">
        <v>3</v>
      </c>
      <c r="H45" s="266">
        <v>4</v>
      </c>
      <c r="I45" s="266">
        <v>3</v>
      </c>
      <c r="J45" s="266">
        <v>7</v>
      </c>
      <c r="K45" s="266">
        <v>8</v>
      </c>
      <c r="L45" s="266">
        <v>8</v>
      </c>
      <c r="M45" s="266">
        <v>3</v>
      </c>
      <c r="N45" s="266">
        <v>11</v>
      </c>
      <c r="O45" s="266">
        <v>6</v>
      </c>
      <c r="P45" s="266">
        <f t="shared" si="2"/>
        <v>67</v>
      </c>
    </row>
    <row r="46" spans="1:16" x14ac:dyDescent="0.3">
      <c r="A46" s="449" t="s">
        <v>108</v>
      </c>
      <c r="B46" s="532" t="s">
        <v>109</v>
      </c>
      <c r="C46" s="532" t="s">
        <v>254</v>
      </c>
      <c r="D46" s="266">
        <v>29</v>
      </c>
      <c r="E46" s="266">
        <v>33</v>
      </c>
      <c r="F46" s="266">
        <v>25</v>
      </c>
      <c r="G46" s="266">
        <v>10</v>
      </c>
      <c r="H46" s="266">
        <v>30</v>
      </c>
      <c r="I46" s="266">
        <v>12</v>
      </c>
      <c r="J46" s="266">
        <v>18</v>
      </c>
      <c r="K46" s="266">
        <v>18</v>
      </c>
      <c r="L46" s="266">
        <v>20</v>
      </c>
      <c r="M46" s="266">
        <v>21</v>
      </c>
      <c r="N46" s="266">
        <v>25</v>
      </c>
      <c r="O46" s="266">
        <v>28</v>
      </c>
      <c r="P46" s="266">
        <f t="shared" si="2"/>
        <v>269</v>
      </c>
    </row>
    <row r="47" spans="1:16" x14ac:dyDescent="0.3">
      <c r="A47" s="449" t="s">
        <v>110</v>
      </c>
      <c r="B47" s="532" t="s">
        <v>111</v>
      </c>
      <c r="C47" s="532" t="s">
        <v>254</v>
      </c>
      <c r="D47" s="266">
        <v>46</v>
      </c>
      <c r="E47" s="266">
        <v>64</v>
      </c>
      <c r="F47" s="266">
        <v>43</v>
      </c>
      <c r="G47" s="266">
        <v>41</v>
      </c>
      <c r="H47" s="266">
        <v>30</v>
      </c>
      <c r="I47" s="266">
        <v>24</v>
      </c>
      <c r="J47" s="266">
        <v>33</v>
      </c>
      <c r="K47" s="266">
        <v>50</v>
      </c>
      <c r="L47" s="266">
        <v>38</v>
      </c>
      <c r="M47" s="266">
        <v>40</v>
      </c>
      <c r="N47" s="266">
        <v>40</v>
      </c>
      <c r="O47" s="266">
        <v>34</v>
      </c>
      <c r="P47" s="266">
        <f t="shared" si="2"/>
        <v>483</v>
      </c>
    </row>
    <row r="48" spans="1:16" x14ac:dyDescent="0.3">
      <c r="A48" s="449" t="s">
        <v>112</v>
      </c>
      <c r="B48" s="532" t="s">
        <v>288</v>
      </c>
      <c r="C48" s="532" t="s">
        <v>253</v>
      </c>
      <c r="D48" s="266">
        <v>40</v>
      </c>
      <c r="E48" s="266">
        <v>29</v>
      </c>
      <c r="F48" s="266">
        <v>29</v>
      </c>
      <c r="G48" s="266">
        <v>24</v>
      </c>
      <c r="H48" s="266">
        <v>16</v>
      </c>
      <c r="I48" s="266">
        <v>17</v>
      </c>
      <c r="J48" s="266">
        <v>28</v>
      </c>
      <c r="K48" s="266">
        <v>22</v>
      </c>
      <c r="L48" s="266">
        <v>31</v>
      </c>
      <c r="M48" s="266">
        <v>27</v>
      </c>
      <c r="N48" s="266">
        <v>39</v>
      </c>
      <c r="O48" s="266">
        <v>32</v>
      </c>
      <c r="P48" s="266">
        <f t="shared" si="2"/>
        <v>334</v>
      </c>
    </row>
    <row r="49" spans="1:16" x14ac:dyDescent="0.3">
      <c r="A49" s="449" t="s">
        <v>114</v>
      </c>
      <c r="B49" s="532" t="s">
        <v>115</v>
      </c>
      <c r="C49" s="532" t="s">
        <v>253</v>
      </c>
      <c r="D49" s="266"/>
      <c r="E49" s="266"/>
      <c r="F49" s="266"/>
      <c r="G49" s="266"/>
      <c r="H49" s="266"/>
      <c r="I49" s="266"/>
      <c r="J49" s="266"/>
      <c r="K49" s="266"/>
      <c r="L49" s="266">
        <v>1</v>
      </c>
      <c r="M49" s="266"/>
      <c r="N49" s="266"/>
      <c r="O49" s="266"/>
      <c r="P49" s="266">
        <f t="shared" si="2"/>
        <v>1</v>
      </c>
    </row>
    <row r="50" spans="1:16" x14ac:dyDescent="0.3">
      <c r="A50" s="449" t="s">
        <v>118</v>
      </c>
      <c r="B50" s="532" t="s">
        <v>258</v>
      </c>
      <c r="C50" s="532" t="s">
        <v>252</v>
      </c>
      <c r="D50" s="266">
        <v>3</v>
      </c>
      <c r="E50" s="266">
        <v>4</v>
      </c>
      <c r="F50" s="266">
        <v>4</v>
      </c>
      <c r="G50" s="266">
        <v>3</v>
      </c>
      <c r="H50" s="266">
        <v>1</v>
      </c>
      <c r="I50" s="266"/>
      <c r="J50" s="266">
        <v>3</v>
      </c>
      <c r="K50" s="266">
        <v>3</v>
      </c>
      <c r="L50" s="266">
        <v>7</v>
      </c>
      <c r="M50" s="266">
        <v>5</v>
      </c>
      <c r="N50" s="266">
        <v>4</v>
      </c>
      <c r="O50" s="266">
        <v>5</v>
      </c>
      <c r="P50" s="266">
        <f t="shared" si="2"/>
        <v>42</v>
      </c>
    </row>
    <row r="51" spans="1:16" x14ac:dyDescent="0.3">
      <c r="A51" s="449" t="s">
        <v>120</v>
      </c>
      <c r="B51" s="532" t="s">
        <v>121</v>
      </c>
      <c r="C51" s="532" t="s">
        <v>252</v>
      </c>
      <c r="D51" s="266">
        <v>29</v>
      </c>
      <c r="E51" s="266">
        <v>13</v>
      </c>
      <c r="F51" s="266">
        <v>9</v>
      </c>
      <c r="G51" s="266">
        <v>12</v>
      </c>
      <c r="H51" s="266">
        <v>5</v>
      </c>
      <c r="I51" s="266">
        <v>10</v>
      </c>
      <c r="J51" s="266">
        <v>17</v>
      </c>
      <c r="K51" s="266">
        <v>24</v>
      </c>
      <c r="L51" s="266">
        <v>25</v>
      </c>
      <c r="M51" s="266">
        <v>22</v>
      </c>
      <c r="N51" s="266">
        <v>18</v>
      </c>
      <c r="O51" s="266">
        <v>19</v>
      </c>
      <c r="P51" s="266">
        <f t="shared" si="2"/>
        <v>203</v>
      </c>
    </row>
    <row r="52" spans="1:16" x14ac:dyDescent="0.3">
      <c r="A52" s="449" t="s">
        <v>122</v>
      </c>
      <c r="B52" s="532" t="s">
        <v>275</v>
      </c>
      <c r="C52" s="532" t="s">
        <v>254</v>
      </c>
      <c r="D52" s="266">
        <v>1</v>
      </c>
      <c r="E52" s="266"/>
      <c r="F52" s="266"/>
      <c r="G52" s="266">
        <v>3</v>
      </c>
      <c r="H52" s="266">
        <v>1</v>
      </c>
      <c r="I52" s="266">
        <v>2</v>
      </c>
      <c r="J52" s="266">
        <v>2</v>
      </c>
      <c r="K52" s="266">
        <v>1</v>
      </c>
      <c r="L52" s="266">
        <v>8</v>
      </c>
      <c r="M52" s="266">
        <v>5</v>
      </c>
      <c r="N52" s="266">
        <v>3</v>
      </c>
      <c r="O52" s="266">
        <v>1</v>
      </c>
      <c r="P52" s="266">
        <f t="shared" si="2"/>
        <v>27</v>
      </c>
    </row>
    <row r="53" spans="1:16" x14ac:dyDescent="0.3">
      <c r="A53" s="449" t="s">
        <v>124</v>
      </c>
      <c r="B53" s="532" t="s">
        <v>125</v>
      </c>
      <c r="C53" s="532" t="s">
        <v>255</v>
      </c>
      <c r="D53" s="266">
        <v>1</v>
      </c>
      <c r="E53" s="266"/>
      <c r="F53" s="266">
        <v>2</v>
      </c>
      <c r="G53" s="266">
        <v>1</v>
      </c>
      <c r="H53" s="266">
        <v>3</v>
      </c>
      <c r="I53" s="266">
        <v>2</v>
      </c>
      <c r="J53" s="266">
        <v>1</v>
      </c>
      <c r="K53" s="266">
        <v>3</v>
      </c>
      <c r="L53" s="266">
        <v>6</v>
      </c>
      <c r="M53" s="266">
        <v>5</v>
      </c>
      <c r="N53" s="266">
        <v>1</v>
      </c>
      <c r="O53" s="266">
        <v>5</v>
      </c>
      <c r="P53" s="266">
        <f t="shared" si="2"/>
        <v>30</v>
      </c>
    </row>
    <row r="54" spans="1:16" x14ac:dyDescent="0.3">
      <c r="A54" s="449" t="s">
        <v>126</v>
      </c>
      <c r="B54" s="532" t="s">
        <v>127</v>
      </c>
      <c r="C54" s="532" t="s">
        <v>254</v>
      </c>
      <c r="D54" s="266">
        <v>2</v>
      </c>
      <c r="E54" s="266">
        <v>5</v>
      </c>
      <c r="F54" s="266">
        <v>6</v>
      </c>
      <c r="G54" s="266">
        <v>5</v>
      </c>
      <c r="H54" s="266">
        <v>4</v>
      </c>
      <c r="I54" s="266">
        <v>11</v>
      </c>
      <c r="J54" s="266">
        <v>6</v>
      </c>
      <c r="K54" s="266"/>
      <c r="L54" s="266">
        <v>2</v>
      </c>
      <c r="M54" s="266">
        <v>8</v>
      </c>
      <c r="N54" s="266">
        <v>4</v>
      </c>
      <c r="O54" s="266">
        <v>12</v>
      </c>
      <c r="P54" s="266">
        <f t="shared" si="2"/>
        <v>65</v>
      </c>
    </row>
    <row r="55" spans="1:16" x14ac:dyDescent="0.3">
      <c r="A55" s="449" t="s">
        <v>128</v>
      </c>
      <c r="B55" s="532" t="s">
        <v>129</v>
      </c>
      <c r="C55" s="532" t="s">
        <v>254</v>
      </c>
      <c r="D55" s="266"/>
      <c r="E55" s="266"/>
      <c r="F55" s="266"/>
      <c r="G55" s="266"/>
      <c r="H55" s="266"/>
      <c r="I55" s="266"/>
      <c r="J55" s="266"/>
      <c r="K55" s="266"/>
      <c r="L55" s="266"/>
      <c r="M55" s="266">
        <v>6</v>
      </c>
      <c r="N55" s="266"/>
      <c r="O55" s="266"/>
      <c r="P55" s="266">
        <f t="shared" si="2"/>
        <v>6</v>
      </c>
    </row>
    <row r="56" spans="1:16" x14ac:dyDescent="0.3">
      <c r="A56" s="449" t="s">
        <v>130</v>
      </c>
      <c r="B56" s="532" t="s">
        <v>131</v>
      </c>
      <c r="C56" s="532" t="s">
        <v>256</v>
      </c>
      <c r="D56" s="266">
        <v>1</v>
      </c>
      <c r="E56" s="266">
        <v>2</v>
      </c>
      <c r="F56" s="266">
        <v>4</v>
      </c>
      <c r="G56" s="266">
        <v>1</v>
      </c>
      <c r="H56" s="266">
        <v>5</v>
      </c>
      <c r="I56" s="266"/>
      <c r="J56" s="266">
        <v>4</v>
      </c>
      <c r="K56" s="266"/>
      <c r="L56" s="266">
        <v>2</v>
      </c>
      <c r="M56" s="266">
        <v>2</v>
      </c>
      <c r="N56" s="266">
        <v>1</v>
      </c>
      <c r="O56" s="266"/>
      <c r="P56" s="266">
        <f t="shared" si="2"/>
        <v>22</v>
      </c>
    </row>
    <row r="57" spans="1:16" x14ac:dyDescent="0.3">
      <c r="A57" s="449" t="s">
        <v>132</v>
      </c>
      <c r="B57" s="532" t="s">
        <v>133</v>
      </c>
      <c r="C57" s="532" t="s">
        <v>255</v>
      </c>
      <c r="D57" s="266">
        <v>10</v>
      </c>
      <c r="E57" s="266">
        <v>10</v>
      </c>
      <c r="F57" s="266">
        <v>9</v>
      </c>
      <c r="G57" s="266">
        <v>11</v>
      </c>
      <c r="H57" s="266">
        <v>7</v>
      </c>
      <c r="I57" s="266">
        <v>11</v>
      </c>
      <c r="J57" s="266">
        <v>14</v>
      </c>
      <c r="K57" s="266">
        <v>8</v>
      </c>
      <c r="L57" s="266">
        <v>10</v>
      </c>
      <c r="M57" s="266">
        <v>6</v>
      </c>
      <c r="N57" s="266">
        <v>11</v>
      </c>
      <c r="O57" s="266">
        <v>23</v>
      </c>
      <c r="P57" s="266">
        <f t="shared" si="2"/>
        <v>130</v>
      </c>
    </row>
    <row r="58" spans="1:16" x14ac:dyDescent="0.3">
      <c r="A58" s="449" t="s">
        <v>134</v>
      </c>
      <c r="B58" s="532" t="s">
        <v>135</v>
      </c>
      <c r="C58" s="532" t="s">
        <v>255</v>
      </c>
      <c r="D58" s="266"/>
      <c r="E58" s="266">
        <v>3</v>
      </c>
      <c r="F58" s="266">
        <v>2</v>
      </c>
      <c r="G58" s="266"/>
      <c r="H58" s="266"/>
      <c r="I58" s="266">
        <v>3</v>
      </c>
      <c r="J58" s="266">
        <v>2</v>
      </c>
      <c r="K58" s="266">
        <v>2</v>
      </c>
      <c r="L58" s="266"/>
      <c r="M58" s="266"/>
      <c r="N58" s="266">
        <v>2</v>
      </c>
      <c r="O58" s="266"/>
      <c r="P58" s="266">
        <f t="shared" si="2"/>
        <v>14</v>
      </c>
    </row>
    <row r="59" spans="1:16" x14ac:dyDescent="0.3">
      <c r="A59" s="449" t="s">
        <v>136</v>
      </c>
      <c r="B59" s="532" t="s">
        <v>137</v>
      </c>
      <c r="C59" s="532" t="s">
        <v>254</v>
      </c>
      <c r="D59" s="266">
        <v>2</v>
      </c>
      <c r="E59" s="266"/>
      <c r="F59" s="266">
        <v>1</v>
      </c>
      <c r="G59" s="266">
        <v>2</v>
      </c>
      <c r="H59" s="266">
        <v>1</v>
      </c>
      <c r="I59" s="266">
        <v>1</v>
      </c>
      <c r="J59" s="266">
        <v>2</v>
      </c>
      <c r="K59" s="266"/>
      <c r="L59" s="266">
        <v>2</v>
      </c>
      <c r="M59" s="266"/>
      <c r="N59" s="266"/>
      <c r="O59" s="266">
        <v>4</v>
      </c>
      <c r="P59" s="266">
        <f t="shared" si="2"/>
        <v>15</v>
      </c>
    </row>
    <row r="60" spans="1:16" x14ac:dyDescent="0.3">
      <c r="A60" s="449" t="s">
        <v>140</v>
      </c>
      <c r="B60" s="532" t="s">
        <v>141</v>
      </c>
      <c r="C60" s="532" t="s">
        <v>255</v>
      </c>
      <c r="D60" s="266"/>
      <c r="E60" s="266"/>
      <c r="F60" s="266"/>
      <c r="G60" s="266"/>
      <c r="H60" s="266"/>
      <c r="I60" s="266"/>
      <c r="J60" s="266">
        <v>1</v>
      </c>
      <c r="K60" s="266">
        <v>1</v>
      </c>
      <c r="L60" s="266">
        <v>1</v>
      </c>
      <c r="M60" s="266">
        <v>3</v>
      </c>
      <c r="N60" s="266"/>
      <c r="O60" s="266"/>
      <c r="P60" s="266">
        <f t="shared" si="2"/>
        <v>6</v>
      </c>
    </row>
    <row r="61" spans="1:16" x14ac:dyDescent="0.3">
      <c r="A61" s="449" t="s">
        <v>146</v>
      </c>
      <c r="B61" s="532" t="s">
        <v>147</v>
      </c>
      <c r="C61" s="532" t="s">
        <v>252</v>
      </c>
      <c r="D61" s="266">
        <v>3</v>
      </c>
      <c r="E61" s="266">
        <v>1</v>
      </c>
      <c r="F61" s="266">
        <v>4</v>
      </c>
      <c r="G61" s="266">
        <v>3</v>
      </c>
      <c r="H61" s="266"/>
      <c r="I61" s="266">
        <v>3</v>
      </c>
      <c r="J61" s="266">
        <v>1</v>
      </c>
      <c r="K61" s="266">
        <v>1</v>
      </c>
      <c r="L61" s="266"/>
      <c r="M61" s="266">
        <v>1</v>
      </c>
      <c r="N61" s="266">
        <v>3</v>
      </c>
      <c r="O61" s="266">
        <v>5</v>
      </c>
      <c r="P61" s="266">
        <f t="shared" si="2"/>
        <v>25</v>
      </c>
    </row>
    <row r="62" spans="1:16" x14ac:dyDescent="0.3">
      <c r="A62" s="449" t="s">
        <v>148</v>
      </c>
      <c r="B62" s="532" t="s">
        <v>149</v>
      </c>
      <c r="C62" s="532" t="s">
        <v>253</v>
      </c>
      <c r="D62" s="266">
        <v>3</v>
      </c>
      <c r="E62" s="266">
        <v>7</v>
      </c>
      <c r="F62" s="266">
        <v>3</v>
      </c>
      <c r="G62" s="266">
        <v>9</v>
      </c>
      <c r="H62" s="266">
        <v>5</v>
      </c>
      <c r="I62" s="266">
        <v>4</v>
      </c>
      <c r="J62" s="266">
        <v>7</v>
      </c>
      <c r="K62" s="266">
        <v>4</v>
      </c>
      <c r="L62" s="266">
        <v>3</v>
      </c>
      <c r="M62" s="266">
        <v>4</v>
      </c>
      <c r="N62" s="266">
        <v>6</v>
      </c>
      <c r="O62" s="266">
        <v>6</v>
      </c>
      <c r="P62" s="266">
        <f t="shared" si="2"/>
        <v>61</v>
      </c>
    </row>
    <row r="63" spans="1:16" x14ac:dyDescent="0.3">
      <c r="A63" s="449" t="s">
        <v>150</v>
      </c>
      <c r="B63" s="532" t="s">
        <v>151</v>
      </c>
      <c r="C63" s="532" t="s">
        <v>254</v>
      </c>
      <c r="D63" s="266">
        <v>1</v>
      </c>
      <c r="E63" s="266">
        <v>6</v>
      </c>
      <c r="F63" s="266">
        <v>1</v>
      </c>
      <c r="G63" s="266"/>
      <c r="H63" s="266">
        <v>2</v>
      </c>
      <c r="I63" s="266">
        <v>2</v>
      </c>
      <c r="J63" s="266">
        <v>2</v>
      </c>
      <c r="K63" s="266">
        <v>8</v>
      </c>
      <c r="L63" s="266">
        <v>5</v>
      </c>
      <c r="M63" s="266">
        <v>6</v>
      </c>
      <c r="N63" s="266">
        <v>15</v>
      </c>
      <c r="O63" s="266">
        <v>14</v>
      </c>
      <c r="P63" s="266">
        <f t="shared" si="2"/>
        <v>62</v>
      </c>
    </row>
    <row r="64" spans="1:16" x14ac:dyDescent="0.3">
      <c r="A64" s="449" t="s">
        <v>152</v>
      </c>
      <c r="B64" s="532" t="s">
        <v>153</v>
      </c>
      <c r="C64" s="532" t="s">
        <v>256</v>
      </c>
      <c r="D64" s="266">
        <v>15</v>
      </c>
      <c r="E64" s="266">
        <v>24</v>
      </c>
      <c r="F64" s="266">
        <v>8</v>
      </c>
      <c r="G64" s="266">
        <v>15</v>
      </c>
      <c r="H64" s="266">
        <v>6</v>
      </c>
      <c r="I64" s="266">
        <v>1</v>
      </c>
      <c r="J64" s="266">
        <v>8</v>
      </c>
      <c r="K64" s="266">
        <v>19</v>
      </c>
      <c r="L64" s="266">
        <v>22</v>
      </c>
      <c r="M64" s="266">
        <v>23</v>
      </c>
      <c r="N64" s="266">
        <v>27</v>
      </c>
      <c r="O64" s="266">
        <v>29</v>
      </c>
      <c r="P64" s="266">
        <f t="shared" si="2"/>
        <v>197</v>
      </c>
    </row>
    <row r="65" spans="1:16" x14ac:dyDescent="0.3">
      <c r="A65" s="449" t="s">
        <v>154</v>
      </c>
      <c r="B65" s="532" t="s">
        <v>155</v>
      </c>
      <c r="C65" s="532" t="s">
        <v>253</v>
      </c>
      <c r="D65" s="266">
        <v>2</v>
      </c>
      <c r="E65" s="266">
        <v>1</v>
      </c>
      <c r="F65" s="266">
        <v>2</v>
      </c>
      <c r="G65" s="266">
        <v>1</v>
      </c>
      <c r="H65" s="266">
        <v>1</v>
      </c>
      <c r="I65" s="266"/>
      <c r="J65" s="266"/>
      <c r="K65" s="266">
        <v>2</v>
      </c>
      <c r="L65" s="266">
        <v>1</v>
      </c>
      <c r="M65" s="266">
        <v>2</v>
      </c>
      <c r="N65" s="266"/>
      <c r="O65" s="266"/>
      <c r="P65" s="266">
        <f t="shared" si="2"/>
        <v>12</v>
      </c>
    </row>
    <row r="66" spans="1:16" x14ac:dyDescent="0.3">
      <c r="A66" s="449" t="s">
        <v>156</v>
      </c>
      <c r="B66" s="532" t="s">
        <v>157</v>
      </c>
      <c r="C66" s="532" t="s">
        <v>254</v>
      </c>
      <c r="D66" s="266"/>
      <c r="E66" s="266">
        <v>2</v>
      </c>
      <c r="F66" s="266">
        <v>1</v>
      </c>
      <c r="G66" s="266"/>
      <c r="H66" s="266">
        <v>1</v>
      </c>
      <c r="I66" s="266">
        <v>1</v>
      </c>
      <c r="J66" s="266">
        <v>2</v>
      </c>
      <c r="K66" s="266">
        <v>1</v>
      </c>
      <c r="L66" s="266">
        <v>7</v>
      </c>
      <c r="M66" s="266">
        <v>4</v>
      </c>
      <c r="N66" s="266">
        <v>3</v>
      </c>
      <c r="O66" s="266">
        <v>3</v>
      </c>
      <c r="P66" s="266">
        <f t="shared" si="2"/>
        <v>25</v>
      </c>
    </row>
    <row r="67" spans="1:16" x14ac:dyDescent="0.3">
      <c r="A67" s="449" t="s">
        <v>162</v>
      </c>
      <c r="B67" s="532" t="s">
        <v>163</v>
      </c>
      <c r="C67" s="532" t="s">
        <v>252</v>
      </c>
      <c r="D67" s="266"/>
      <c r="E67" s="266">
        <v>4</v>
      </c>
      <c r="F67" s="266">
        <v>3</v>
      </c>
      <c r="G67" s="266"/>
      <c r="H67" s="266"/>
      <c r="I67" s="266"/>
      <c r="J67" s="266">
        <v>2</v>
      </c>
      <c r="K67" s="266"/>
      <c r="L67" s="266">
        <v>1</v>
      </c>
      <c r="M67" s="266">
        <v>6</v>
      </c>
      <c r="N67" s="266">
        <v>2</v>
      </c>
      <c r="O67" s="266">
        <v>3</v>
      </c>
      <c r="P67" s="266">
        <f t="shared" si="2"/>
        <v>21</v>
      </c>
    </row>
    <row r="68" spans="1:16" x14ac:dyDescent="0.3">
      <c r="A68" s="449" t="s">
        <v>164</v>
      </c>
      <c r="B68" s="532" t="s">
        <v>165</v>
      </c>
      <c r="C68" s="532" t="s">
        <v>254</v>
      </c>
      <c r="D68" s="266"/>
      <c r="E68" s="266"/>
      <c r="F68" s="266"/>
      <c r="G68" s="266"/>
      <c r="H68" s="266"/>
      <c r="I68" s="266"/>
      <c r="J68" s="266"/>
      <c r="K68" s="266">
        <v>1</v>
      </c>
      <c r="L68" s="266">
        <v>3</v>
      </c>
      <c r="M68" s="266"/>
      <c r="N68" s="266">
        <v>2</v>
      </c>
      <c r="O68" s="266"/>
      <c r="P68" s="266">
        <f t="shared" si="2"/>
        <v>6</v>
      </c>
    </row>
    <row r="69" spans="1:16" x14ac:dyDescent="0.3">
      <c r="A69" s="449" t="s">
        <v>168</v>
      </c>
      <c r="B69" s="532" t="s">
        <v>169</v>
      </c>
      <c r="C69" s="532" t="s">
        <v>254</v>
      </c>
      <c r="D69" s="266">
        <v>3</v>
      </c>
      <c r="E69" s="266">
        <v>5</v>
      </c>
      <c r="F69" s="266">
        <v>2</v>
      </c>
      <c r="G69" s="266">
        <v>1</v>
      </c>
      <c r="H69" s="266">
        <v>3</v>
      </c>
      <c r="I69" s="266">
        <v>2</v>
      </c>
      <c r="J69" s="266">
        <v>3</v>
      </c>
      <c r="K69" s="266">
        <v>1</v>
      </c>
      <c r="L69" s="266">
        <v>3</v>
      </c>
      <c r="M69" s="266">
        <v>7</v>
      </c>
      <c r="N69" s="266">
        <v>4</v>
      </c>
      <c r="O69" s="266">
        <v>4</v>
      </c>
      <c r="P69" s="266">
        <f t="shared" ref="P69:P100" si="3">SUM(D69:O69)</f>
        <v>38</v>
      </c>
    </row>
    <row r="70" spans="1:16" x14ac:dyDescent="0.3">
      <c r="A70" s="449" t="s">
        <v>170</v>
      </c>
      <c r="B70" s="532" t="s">
        <v>171</v>
      </c>
      <c r="C70" s="532" t="s">
        <v>255</v>
      </c>
      <c r="D70" s="266">
        <v>10</v>
      </c>
      <c r="E70" s="266">
        <v>21</v>
      </c>
      <c r="F70" s="266">
        <v>9</v>
      </c>
      <c r="G70" s="266">
        <v>14</v>
      </c>
      <c r="H70" s="266">
        <v>8</v>
      </c>
      <c r="I70" s="266">
        <v>16</v>
      </c>
      <c r="J70" s="266">
        <v>6</v>
      </c>
      <c r="K70" s="266">
        <v>7</v>
      </c>
      <c r="L70" s="266">
        <v>9</v>
      </c>
      <c r="M70" s="266">
        <v>10</v>
      </c>
      <c r="N70" s="266">
        <v>5</v>
      </c>
      <c r="O70" s="266">
        <v>6</v>
      </c>
      <c r="P70" s="266">
        <f t="shared" si="3"/>
        <v>121</v>
      </c>
    </row>
    <row r="71" spans="1:16" x14ac:dyDescent="0.3">
      <c r="A71" s="449" t="s">
        <v>172</v>
      </c>
      <c r="B71" s="532" t="s">
        <v>173</v>
      </c>
      <c r="C71" s="532" t="s">
        <v>255</v>
      </c>
      <c r="D71" s="266">
        <v>4</v>
      </c>
      <c r="E71" s="266">
        <v>1</v>
      </c>
      <c r="F71" s="266"/>
      <c r="G71" s="266">
        <v>2</v>
      </c>
      <c r="H71" s="266"/>
      <c r="I71" s="266">
        <v>2</v>
      </c>
      <c r="J71" s="266">
        <v>1</v>
      </c>
      <c r="K71" s="266"/>
      <c r="L71" s="266">
        <v>1</v>
      </c>
      <c r="M71" s="266"/>
      <c r="N71" s="266">
        <v>1</v>
      </c>
      <c r="O71" s="266">
        <v>10</v>
      </c>
      <c r="P71" s="266">
        <f t="shared" si="3"/>
        <v>22</v>
      </c>
    </row>
    <row r="72" spans="1:16" x14ac:dyDescent="0.3">
      <c r="A72" s="449" t="s">
        <v>174</v>
      </c>
      <c r="B72" s="532" t="s">
        <v>175</v>
      </c>
      <c r="C72" s="532" t="s">
        <v>256</v>
      </c>
      <c r="D72" s="266">
        <v>1</v>
      </c>
      <c r="E72" s="266">
        <v>3</v>
      </c>
      <c r="F72" s="266">
        <v>2</v>
      </c>
      <c r="G72" s="266"/>
      <c r="H72" s="266"/>
      <c r="I72" s="266">
        <v>3</v>
      </c>
      <c r="J72" s="266">
        <v>2</v>
      </c>
      <c r="K72" s="266">
        <v>1</v>
      </c>
      <c r="L72" s="266">
        <v>1</v>
      </c>
      <c r="M72" s="266"/>
      <c r="N72" s="266">
        <v>1</v>
      </c>
      <c r="O72" s="266">
        <v>4</v>
      </c>
      <c r="P72" s="266">
        <f t="shared" si="3"/>
        <v>18</v>
      </c>
    </row>
    <row r="73" spans="1:16" x14ac:dyDescent="0.3">
      <c r="A73" s="449" t="s">
        <v>178</v>
      </c>
      <c r="B73" s="532" t="s">
        <v>179</v>
      </c>
      <c r="C73" s="532" t="s">
        <v>253</v>
      </c>
      <c r="D73" s="266">
        <v>2</v>
      </c>
      <c r="E73" s="266">
        <v>5</v>
      </c>
      <c r="F73" s="266">
        <v>8</v>
      </c>
      <c r="G73" s="266">
        <v>15</v>
      </c>
      <c r="H73" s="266">
        <v>1</v>
      </c>
      <c r="I73" s="266">
        <v>1</v>
      </c>
      <c r="J73" s="266">
        <v>4</v>
      </c>
      <c r="K73" s="266">
        <v>12</v>
      </c>
      <c r="L73" s="266">
        <v>12</v>
      </c>
      <c r="M73" s="266">
        <v>12</v>
      </c>
      <c r="N73" s="266">
        <v>14</v>
      </c>
      <c r="O73" s="266">
        <v>15</v>
      </c>
      <c r="P73" s="266">
        <f t="shared" si="3"/>
        <v>101</v>
      </c>
    </row>
    <row r="74" spans="1:16" x14ac:dyDescent="0.3">
      <c r="A74" s="449" t="s">
        <v>182</v>
      </c>
      <c r="B74" s="532" t="s">
        <v>183</v>
      </c>
      <c r="C74" s="532" t="s">
        <v>254</v>
      </c>
      <c r="D74" s="266">
        <v>5</v>
      </c>
      <c r="E74" s="266">
        <v>6</v>
      </c>
      <c r="F74" s="266">
        <v>3</v>
      </c>
      <c r="G74" s="266">
        <v>1</v>
      </c>
      <c r="H74" s="266">
        <v>2</v>
      </c>
      <c r="I74" s="266">
        <v>2</v>
      </c>
      <c r="J74" s="266">
        <v>1</v>
      </c>
      <c r="K74" s="266">
        <v>1</v>
      </c>
      <c r="L74" s="266"/>
      <c r="M74" s="266">
        <v>1</v>
      </c>
      <c r="N74" s="266"/>
      <c r="O74" s="266">
        <v>2</v>
      </c>
      <c r="P74" s="266">
        <f t="shared" si="3"/>
        <v>24</v>
      </c>
    </row>
    <row r="75" spans="1:16" x14ac:dyDescent="0.3">
      <c r="A75" s="449" t="s">
        <v>184</v>
      </c>
      <c r="B75" s="532" t="s">
        <v>185</v>
      </c>
      <c r="C75" s="532" t="s">
        <v>254</v>
      </c>
      <c r="D75" s="266">
        <v>2</v>
      </c>
      <c r="E75" s="266">
        <v>4</v>
      </c>
      <c r="F75" s="266">
        <v>2</v>
      </c>
      <c r="G75" s="266">
        <v>2</v>
      </c>
      <c r="H75" s="266"/>
      <c r="I75" s="266">
        <v>2</v>
      </c>
      <c r="J75" s="266">
        <v>4</v>
      </c>
      <c r="K75" s="266">
        <v>1</v>
      </c>
      <c r="L75" s="266"/>
      <c r="M75" s="266">
        <v>1</v>
      </c>
      <c r="N75" s="266">
        <v>3</v>
      </c>
      <c r="O75" s="266">
        <v>4</v>
      </c>
      <c r="P75" s="266">
        <f t="shared" si="3"/>
        <v>25</v>
      </c>
    </row>
    <row r="76" spans="1:16" x14ac:dyDescent="0.3">
      <c r="A76" s="449" t="s">
        <v>186</v>
      </c>
      <c r="B76" s="532" t="s">
        <v>187</v>
      </c>
      <c r="C76" s="532" t="s">
        <v>252</v>
      </c>
      <c r="D76" s="266">
        <v>4</v>
      </c>
      <c r="E76" s="266"/>
      <c r="F76" s="266">
        <v>4</v>
      </c>
      <c r="G76" s="266">
        <v>8</v>
      </c>
      <c r="H76" s="266">
        <v>14</v>
      </c>
      <c r="I76" s="266">
        <v>5</v>
      </c>
      <c r="J76" s="266">
        <v>6</v>
      </c>
      <c r="K76" s="266">
        <v>4</v>
      </c>
      <c r="L76" s="266">
        <v>11</v>
      </c>
      <c r="M76" s="266">
        <v>9</v>
      </c>
      <c r="N76" s="266">
        <v>12</v>
      </c>
      <c r="O76" s="266">
        <v>19</v>
      </c>
      <c r="P76" s="266">
        <f t="shared" si="3"/>
        <v>96</v>
      </c>
    </row>
    <row r="77" spans="1:16" x14ac:dyDescent="0.3">
      <c r="A77" s="449" t="s">
        <v>188</v>
      </c>
      <c r="B77" s="532" t="s">
        <v>189</v>
      </c>
      <c r="C77" s="532" t="s">
        <v>255</v>
      </c>
      <c r="D77" s="266">
        <v>30</v>
      </c>
      <c r="E77" s="266">
        <v>36</v>
      </c>
      <c r="F77" s="266">
        <v>25</v>
      </c>
      <c r="G77" s="266">
        <v>38</v>
      </c>
      <c r="H77" s="266">
        <v>35</v>
      </c>
      <c r="I77" s="266">
        <v>80</v>
      </c>
      <c r="J77" s="266">
        <v>65</v>
      </c>
      <c r="K77" s="266">
        <v>40</v>
      </c>
      <c r="L77" s="266">
        <v>63</v>
      </c>
      <c r="M77" s="266">
        <v>62</v>
      </c>
      <c r="N77" s="266">
        <v>73</v>
      </c>
      <c r="O77" s="266">
        <v>80</v>
      </c>
      <c r="P77" s="266">
        <f t="shared" si="3"/>
        <v>627</v>
      </c>
    </row>
    <row r="78" spans="1:16" x14ac:dyDescent="0.3">
      <c r="A78" s="449" t="s">
        <v>190</v>
      </c>
      <c r="B78" s="532" t="s">
        <v>191</v>
      </c>
      <c r="C78" s="532" t="s">
        <v>256</v>
      </c>
      <c r="D78" s="266">
        <v>3</v>
      </c>
      <c r="E78" s="266">
        <v>10</v>
      </c>
      <c r="F78" s="266">
        <v>6</v>
      </c>
      <c r="G78" s="266">
        <v>5</v>
      </c>
      <c r="H78" s="266">
        <v>8</v>
      </c>
      <c r="I78" s="266">
        <v>4</v>
      </c>
      <c r="J78" s="266">
        <v>7</v>
      </c>
      <c r="K78" s="266">
        <v>3</v>
      </c>
      <c r="L78" s="266">
        <v>6</v>
      </c>
      <c r="M78" s="266">
        <v>5</v>
      </c>
      <c r="N78" s="266">
        <v>7</v>
      </c>
      <c r="O78" s="266">
        <v>8</v>
      </c>
      <c r="P78" s="266">
        <f t="shared" si="3"/>
        <v>72</v>
      </c>
    </row>
    <row r="79" spans="1:16" x14ac:dyDescent="0.3">
      <c r="A79" s="449" t="s">
        <v>194</v>
      </c>
      <c r="B79" s="532" t="s">
        <v>195</v>
      </c>
      <c r="C79" s="532" t="s">
        <v>255</v>
      </c>
      <c r="D79" s="266">
        <v>2</v>
      </c>
      <c r="E79" s="266">
        <v>2</v>
      </c>
      <c r="F79" s="266"/>
      <c r="G79" s="266"/>
      <c r="H79" s="266">
        <v>1</v>
      </c>
      <c r="I79" s="266"/>
      <c r="J79" s="266">
        <v>1</v>
      </c>
      <c r="K79" s="266">
        <v>1</v>
      </c>
      <c r="L79" s="266">
        <v>5</v>
      </c>
      <c r="M79" s="266">
        <v>4</v>
      </c>
      <c r="N79" s="266">
        <v>10</v>
      </c>
      <c r="O79" s="266">
        <v>5</v>
      </c>
      <c r="P79" s="266">
        <f t="shared" si="3"/>
        <v>31</v>
      </c>
    </row>
    <row r="80" spans="1:16" x14ac:dyDescent="0.3">
      <c r="A80" s="449" t="s">
        <v>198</v>
      </c>
      <c r="B80" s="532" t="s">
        <v>260</v>
      </c>
      <c r="C80" s="532" t="s">
        <v>254</v>
      </c>
      <c r="D80" s="266"/>
      <c r="E80" s="266"/>
      <c r="F80" s="266">
        <v>1</v>
      </c>
      <c r="G80" s="266">
        <v>1</v>
      </c>
      <c r="H80" s="266"/>
      <c r="I80" s="266">
        <v>3</v>
      </c>
      <c r="J80" s="266">
        <v>2</v>
      </c>
      <c r="K80" s="266"/>
      <c r="L80" s="266"/>
      <c r="M80" s="266">
        <v>1</v>
      </c>
      <c r="N80" s="266">
        <v>3</v>
      </c>
      <c r="O80" s="266">
        <v>2</v>
      </c>
      <c r="P80" s="266">
        <f t="shared" si="3"/>
        <v>13</v>
      </c>
    </row>
    <row r="81" spans="1:16" x14ac:dyDescent="0.3">
      <c r="A81" s="449" t="s">
        <v>202</v>
      </c>
      <c r="B81" s="532" t="s">
        <v>289</v>
      </c>
      <c r="C81" s="532" t="s">
        <v>253</v>
      </c>
      <c r="D81" s="266">
        <v>48</v>
      </c>
      <c r="E81" s="266">
        <v>24</v>
      </c>
      <c r="F81" s="266">
        <v>8</v>
      </c>
      <c r="G81" s="266">
        <v>3</v>
      </c>
      <c r="H81" s="266">
        <v>11</v>
      </c>
      <c r="I81" s="266">
        <v>8</v>
      </c>
      <c r="J81" s="266">
        <v>13</v>
      </c>
      <c r="K81" s="266">
        <v>42</v>
      </c>
      <c r="L81" s="266">
        <v>34</v>
      </c>
      <c r="M81" s="266">
        <v>36</v>
      </c>
      <c r="N81" s="266">
        <v>39</v>
      </c>
      <c r="O81" s="266">
        <v>47</v>
      </c>
      <c r="P81" s="266">
        <f t="shared" si="3"/>
        <v>313</v>
      </c>
    </row>
    <row r="82" spans="1:16" x14ac:dyDescent="0.3">
      <c r="A82" s="449" t="s">
        <v>204</v>
      </c>
      <c r="B82" s="532" t="s">
        <v>281</v>
      </c>
      <c r="C82" s="532" t="s">
        <v>253</v>
      </c>
      <c r="D82" s="266">
        <v>2</v>
      </c>
      <c r="E82" s="266">
        <v>9</v>
      </c>
      <c r="F82" s="266">
        <v>6</v>
      </c>
      <c r="G82" s="266">
        <v>1</v>
      </c>
      <c r="H82" s="266">
        <v>1</v>
      </c>
      <c r="I82" s="266">
        <v>6</v>
      </c>
      <c r="J82" s="266">
        <v>3</v>
      </c>
      <c r="K82" s="266">
        <v>4</v>
      </c>
      <c r="L82" s="266">
        <v>3</v>
      </c>
      <c r="M82" s="266">
        <v>6</v>
      </c>
      <c r="N82" s="266">
        <v>13</v>
      </c>
      <c r="O82" s="266">
        <v>6</v>
      </c>
      <c r="P82" s="266">
        <f t="shared" si="3"/>
        <v>60</v>
      </c>
    </row>
    <row r="83" spans="1:16" x14ac:dyDescent="0.3">
      <c r="A83" s="449" t="s">
        <v>206</v>
      </c>
      <c r="B83" s="532" t="s">
        <v>282</v>
      </c>
      <c r="C83" s="532" t="s">
        <v>255</v>
      </c>
      <c r="D83" s="266">
        <v>17</v>
      </c>
      <c r="E83" s="266">
        <v>15</v>
      </c>
      <c r="F83" s="266">
        <v>18</v>
      </c>
      <c r="G83" s="266">
        <v>12</v>
      </c>
      <c r="H83" s="266">
        <v>15</v>
      </c>
      <c r="I83" s="266">
        <v>10</v>
      </c>
      <c r="J83" s="266">
        <v>8</v>
      </c>
      <c r="K83" s="266">
        <v>6</v>
      </c>
      <c r="L83" s="266">
        <v>14</v>
      </c>
      <c r="M83" s="266">
        <v>14</v>
      </c>
      <c r="N83" s="266">
        <v>9</v>
      </c>
      <c r="O83" s="266">
        <v>9</v>
      </c>
      <c r="P83" s="266">
        <f t="shared" si="3"/>
        <v>147</v>
      </c>
    </row>
    <row r="84" spans="1:16" x14ac:dyDescent="0.3">
      <c r="A84" s="449" t="s">
        <v>208</v>
      </c>
      <c r="B84" s="532" t="s">
        <v>209</v>
      </c>
      <c r="C84" s="532" t="s">
        <v>256</v>
      </c>
      <c r="D84" s="266">
        <v>2</v>
      </c>
      <c r="E84" s="266">
        <v>8</v>
      </c>
      <c r="F84" s="266">
        <v>7</v>
      </c>
      <c r="G84" s="266">
        <v>2</v>
      </c>
      <c r="H84" s="266">
        <v>1</v>
      </c>
      <c r="I84" s="266">
        <v>2</v>
      </c>
      <c r="J84" s="266">
        <v>2</v>
      </c>
      <c r="K84" s="266"/>
      <c r="L84" s="266"/>
      <c r="M84" s="266">
        <v>5</v>
      </c>
      <c r="N84" s="266"/>
      <c r="O84" s="266">
        <v>9</v>
      </c>
      <c r="P84" s="266">
        <f t="shared" si="3"/>
        <v>38</v>
      </c>
    </row>
    <row r="85" spans="1:16" x14ac:dyDescent="0.3">
      <c r="A85" s="449" t="s">
        <v>210</v>
      </c>
      <c r="B85" s="532" t="s">
        <v>211</v>
      </c>
      <c r="C85" s="532" t="s">
        <v>256</v>
      </c>
      <c r="D85" s="266">
        <v>1</v>
      </c>
      <c r="E85" s="266">
        <v>1</v>
      </c>
      <c r="F85" s="266"/>
      <c r="G85" s="266">
        <v>2</v>
      </c>
      <c r="H85" s="266">
        <v>2</v>
      </c>
      <c r="I85" s="266"/>
      <c r="J85" s="266">
        <v>2</v>
      </c>
      <c r="K85" s="266">
        <v>1</v>
      </c>
      <c r="L85" s="266"/>
      <c r="M85" s="266"/>
      <c r="N85" s="266">
        <v>2</v>
      </c>
      <c r="O85" s="266">
        <v>2</v>
      </c>
      <c r="P85" s="266">
        <f t="shared" si="3"/>
        <v>13</v>
      </c>
    </row>
    <row r="86" spans="1:16" x14ac:dyDescent="0.3">
      <c r="A86" s="449" t="s">
        <v>212</v>
      </c>
      <c r="B86" s="532" t="s">
        <v>213</v>
      </c>
      <c r="C86" s="532" t="s">
        <v>255</v>
      </c>
      <c r="D86" s="266">
        <v>5</v>
      </c>
      <c r="E86" s="266">
        <v>7</v>
      </c>
      <c r="F86" s="266">
        <v>6</v>
      </c>
      <c r="G86" s="266">
        <v>2</v>
      </c>
      <c r="H86" s="266">
        <v>5</v>
      </c>
      <c r="I86" s="266">
        <v>3</v>
      </c>
      <c r="J86" s="266"/>
      <c r="K86" s="266">
        <v>2</v>
      </c>
      <c r="L86" s="266">
        <v>2</v>
      </c>
      <c r="M86" s="266">
        <v>3</v>
      </c>
      <c r="N86" s="266">
        <v>4</v>
      </c>
      <c r="O86" s="266">
        <v>16</v>
      </c>
      <c r="P86" s="266">
        <f t="shared" si="3"/>
        <v>55</v>
      </c>
    </row>
    <row r="87" spans="1:16" x14ac:dyDescent="0.3">
      <c r="A87" s="449" t="s">
        <v>214</v>
      </c>
      <c r="B87" s="532" t="s">
        <v>215</v>
      </c>
      <c r="C87" s="532" t="s">
        <v>256</v>
      </c>
      <c r="D87" s="266">
        <v>5</v>
      </c>
      <c r="E87" s="266">
        <v>4</v>
      </c>
      <c r="F87" s="266">
        <v>4</v>
      </c>
      <c r="G87" s="266">
        <v>8</v>
      </c>
      <c r="H87" s="266">
        <v>6</v>
      </c>
      <c r="I87" s="266">
        <v>7</v>
      </c>
      <c r="J87" s="266">
        <v>3</v>
      </c>
      <c r="K87" s="266">
        <v>3</v>
      </c>
      <c r="L87" s="266">
        <v>2</v>
      </c>
      <c r="M87" s="266">
        <v>3</v>
      </c>
      <c r="N87" s="266">
        <v>6</v>
      </c>
      <c r="O87" s="266">
        <v>6</v>
      </c>
      <c r="P87" s="266">
        <f t="shared" si="3"/>
        <v>57</v>
      </c>
    </row>
    <row r="88" spans="1:16" x14ac:dyDescent="0.3">
      <c r="A88" s="449" t="s">
        <v>216</v>
      </c>
      <c r="B88" s="532" t="s">
        <v>217</v>
      </c>
      <c r="C88" s="532" t="s">
        <v>252</v>
      </c>
      <c r="D88" s="266">
        <v>1</v>
      </c>
      <c r="E88" s="266">
        <v>2</v>
      </c>
      <c r="F88" s="266">
        <v>2</v>
      </c>
      <c r="G88" s="266"/>
      <c r="H88" s="266">
        <v>2</v>
      </c>
      <c r="I88" s="266">
        <v>2</v>
      </c>
      <c r="J88" s="266">
        <v>4</v>
      </c>
      <c r="K88" s="266">
        <v>5</v>
      </c>
      <c r="L88" s="266">
        <v>5</v>
      </c>
      <c r="M88" s="266">
        <v>2</v>
      </c>
      <c r="N88" s="266">
        <v>8</v>
      </c>
      <c r="O88" s="266">
        <v>5</v>
      </c>
      <c r="P88" s="266">
        <f t="shared" si="3"/>
        <v>38</v>
      </c>
    </row>
    <row r="89" spans="1:16" x14ac:dyDescent="0.3">
      <c r="A89" s="449" t="s">
        <v>218</v>
      </c>
      <c r="B89" s="532" t="s">
        <v>219</v>
      </c>
      <c r="C89" s="532" t="s">
        <v>255</v>
      </c>
      <c r="D89" s="266">
        <v>16</v>
      </c>
      <c r="E89" s="266">
        <v>20</v>
      </c>
      <c r="F89" s="266">
        <v>5</v>
      </c>
      <c r="G89" s="266">
        <v>15</v>
      </c>
      <c r="H89" s="266">
        <v>16</v>
      </c>
      <c r="I89" s="266">
        <v>5</v>
      </c>
      <c r="J89" s="266">
        <v>20</v>
      </c>
      <c r="K89" s="266">
        <v>5</v>
      </c>
      <c r="L89" s="266">
        <v>6</v>
      </c>
      <c r="M89" s="266">
        <v>4</v>
      </c>
      <c r="N89" s="266">
        <v>8</v>
      </c>
      <c r="O89" s="266">
        <v>11</v>
      </c>
      <c r="P89" s="266">
        <f t="shared" si="3"/>
        <v>131</v>
      </c>
    </row>
    <row r="90" spans="1:16" x14ac:dyDescent="0.3">
      <c r="A90" s="449" t="s">
        <v>220</v>
      </c>
      <c r="B90" s="532" t="s">
        <v>221</v>
      </c>
      <c r="C90" s="532" t="s">
        <v>255</v>
      </c>
      <c r="D90" s="266">
        <v>7</v>
      </c>
      <c r="E90" s="266">
        <v>14</v>
      </c>
      <c r="F90" s="266">
        <v>8</v>
      </c>
      <c r="G90" s="266">
        <v>14</v>
      </c>
      <c r="H90" s="266">
        <v>7</v>
      </c>
      <c r="I90" s="266">
        <v>3</v>
      </c>
      <c r="J90" s="266">
        <v>10</v>
      </c>
      <c r="K90" s="266">
        <v>4</v>
      </c>
      <c r="L90" s="266">
        <v>11</v>
      </c>
      <c r="M90" s="266">
        <v>10</v>
      </c>
      <c r="N90" s="266">
        <v>15</v>
      </c>
      <c r="O90" s="266">
        <v>3</v>
      </c>
      <c r="P90" s="266">
        <f t="shared" si="3"/>
        <v>106</v>
      </c>
    </row>
    <row r="91" spans="1:16" x14ac:dyDescent="0.3">
      <c r="A91" s="449" t="s">
        <v>224</v>
      </c>
      <c r="B91" s="532" t="s">
        <v>225</v>
      </c>
      <c r="C91" s="532" t="s">
        <v>252</v>
      </c>
      <c r="D91" s="266">
        <v>1</v>
      </c>
      <c r="E91" s="266">
        <v>1</v>
      </c>
      <c r="F91" s="266">
        <v>1</v>
      </c>
      <c r="G91" s="266"/>
      <c r="H91" s="266"/>
      <c r="I91" s="266">
        <v>1</v>
      </c>
      <c r="J91" s="266">
        <v>2</v>
      </c>
      <c r="K91" s="266"/>
      <c r="L91" s="266">
        <v>1</v>
      </c>
      <c r="M91" s="266">
        <v>3</v>
      </c>
      <c r="N91" s="266"/>
      <c r="O91" s="266">
        <v>1</v>
      </c>
      <c r="P91" s="266">
        <f t="shared" si="3"/>
        <v>11</v>
      </c>
    </row>
    <row r="92" spans="1:16" x14ac:dyDescent="0.3">
      <c r="A92" s="449" t="s">
        <v>226</v>
      </c>
      <c r="B92" s="532" t="s">
        <v>227</v>
      </c>
      <c r="C92" s="532" t="s">
        <v>252</v>
      </c>
      <c r="D92" s="266">
        <v>4</v>
      </c>
      <c r="E92" s="266">
        <v>3</v>
      </c>
      <c r="F92" s="266">
        <v>2</v>
      </c>
      <c r="G92" s="266">
        <v>9</v>
      </c>
      <c r="H92" s="266">
        <v>3</v>
      </c>
      <c r="I92" s="266">
        <v>2</v>
      </c>
      <c r="J92" s="266"/>
      <c r="K92" s="266">
        <v>2</v>
      </c>
      <c r="L92" s="266"/>
      <c r="M92" s="266"/>
      <c r="N92" s="266">
        <v>4</v>
      </c>
      <c r="O92" s="266">
        <v>2</v>
      </c>
      <c r="P92" s="266">
        <f t="shared" si="3"/>
        <v>31</v>
      </c>
    </row>
    <row r="93" spans="1:16" x14ac:dyDescent="0.3">
      <c r="A93" s="449" t="s">
        <v>228</v>
      </c>
      <c r="B93" s="532" t="s">
        <v>229</v>
      </c>
      <c r="C93" s="532" t="s">
        <v>256</v>
      </c>
      <c r="D93" s="266">
        <v>11</v>
      </c>
      <c r="E93" s="266">
        <v>10</v>
      </c>
      <c r="F93" s="266">
        <v>6</v>
      </c>
      <c r="G93" s="266">
        <v>7</v>
      </c>
      <c r="H93" s="266">
        <v>10</v>
      </c>
      <c r="I93" s="266">
        <v>5</v>
      </c>
      <c r="J93" s="266">
        <v>3</v>
      </c>
      <c r="K93" s="266">
        <v>11</v>
      </c>
      <c r="L93" s="266">
        <v>3</v>
      </c>
      <c r="M93" s="266">
        <v>8</v>
      </c>
      <c r="N93" s="266">
        <v>12</v>
      </c>
      <c r="O93" s="266">
        <v>8</v>
      </c>
      <c r="P93" s="266">
        <f t="shared" si="3"/>
        <v>94</v>
      </c>
    </row>
    <row r="94" spans="1:16" x14ac:dyDescent="0.3">
      <c r="A94" s="449" t="s">
        <v>232</v>
      </c>
      <c r="B94" s="532" t="s">
        <v>233</v>
      </c>
      <c r="C94" s="532" t="s">
        <v>255</v>
      </c>
      <c r="D94" s="266">
        <v>22</v>
      </c>
      <c r="E94" s="266">
        <v>19</v>
      </c>
      <c r="F94" s="266">
        <v>14</v>
      </c>
      <c r="G94" s="266">
        <v>4</v>
      </c>
      <c r="H94" s="266"/>
      <c r="I94" s="266"/>
      <c r="J94" s="266">
        <v>1</v>
      </c>
      <c r="K94" s="266"/>
      <c r="L94" s="266"/>
      <c r="M94" s="266"/>
      <c r="N94" s="266">
        <v>7</v>
      </c>
      <c r="O94" s="266">
        <v>22</v>
      </c>
      <c r="P94" s="266">
        <f t="shared" si="3"/>
        <v>89</v>
      </c>
    </row>
    <row r="95" spans="1:16" x14ac:dyDescent="0.3">
      <c r="A95" s="449" t="s">
        <v>234</v>
      </c>
      <c r="B95" s="532" t="s">
        <v>235</v>
      </c>
      <c r="C95" s="532" t="s">
        <v>256</v>
      </c>
      <c r="D95" s="266">
        <v>4</v>
      </c>
      <c r="E95" s="266">
        <v>7</v>
      </c>
      <c r="F95" s="266">
        <v>3</v>
      </c>
      <c r="G95" s="266"/>
      <c r="H95" s="266">
        <v>1</v>
      </c>
      <c r="I95" s="266">
        <v>1</v>
      </c>
      <c r="J95" s="266">
        <v>3</v>
      </c>
      <c r="K95" s="266">
        <v>10</v>
      </c>
      <c r="L95" s="266">
        <v>4</v>
      </c>
      <c r="M95" s="266">
        <v>14</v>
      </c>
      <c r="N95" s="266">
        <v>15</v>
      </c>
      <c r="O95" s="266">
        <v>10</v>
      </c>
      <c r="P95" s="266">
        <f t="shared" si="3"/>
        <v>72</v>
      </c>
    </row>
    <row r="96" spans="1:16" x14ac:dyDescent="0.3">
      <c r="A96" s="449" t="s">
        <v>236</v>
      </c>
      <c r="B96" s="532" t="s">
        <v>237</v>
      </c>
      <c r="C96" s="532" t="s">
        <v>254</v>
      </c>
      <c r="D96" s="266">
        <v>6</v>
      </c>
      <c r="E96" s="266">
        <v>1</v>
      </c>
      <c r="F96" s="266">
        <v>5</v>
      </c>
      <c r="G96" s="266">
        <v>7</v>
      </c>
      <c r="H96" s="266">
        <v>4</v>
      </c>
      <c r="I96" s="266">
        <v>7</v>
      </c>
      <c r="J96" s="266">
        <v>8</v>
      </c>
      <c r="K96" s="266">
        <v>4</v>
      </c>
      <c r="L96" s="266">
        <v>4</v>
      </c>
      <c r="M96" s="266">
        <v>3</v>
      </c>
      <c r="N96" s="266">
        <v>2</v>
      </c>
      <c r="O96" s="266">
        <v>10</v>
      </c>
      <c r="P96" s="266">
        <f t="shared" si="3"/>
        <v>61</v>
      </c>
    </row>
    <row r="97" spans="1:16" x14ac:dyDescent="0.3">
      <c r="A97" s="449" t="s">
        <v>242</v>
      </c>
      <c r="B97" s="532" t="s">
        <v>243</v>
      </c>
      <c r="C97" s="532" t="s">
        <v>256</v>
      </c>
      <c r="D97" s="266">
        <v>1</v>
      </c>
      <c r="E97" s="266">
        <v>8</v>
      </c>
      <c r="F97" s="266">
        <v>7</v>
      </c>
      <c r="G97" s="266">
        <v>1</v>
      </c>
      <c r="H97" s="266">
        <v>2</v>
      </c>
      <c r="I97" s="266">
        <v>4</v>
      </c>
      <c r="J97" s="266">
        <v>8</v>
      </c>
      <c r="K97" s="266">
        <v>4</v>
      </c>
      <c r="L97" s="266">
        <v>3</v>
      </c>
      <c r="M97" s="266">
        <v>6</v>
      </c>
      <c r="N97" s="266">
        <v>7</v>
      </c>
      <c r="O97" s="266">
        <v>8</v>
      </c>
      <c r="P97" s="266">
        <f t="shared" si="3"/>
        <v>59</v>
      </c>
    </row>
    <row r="98" spans="1:16" x14ac:dyDescent="0.3">
      <c r="A98" s="449" t="s">
        <v>244</v>
      </c>
      <c r="B98" s="532" t="s">
        <v>245</v>
      </c>
      <c r="C98" s="532" t="s">
        <v>256</v>
      </c>
      <c r="D98" s="266">
        <v>8</v>
      </c>
      <c r="E98" s="266">
        <v>9</v>
      </c>
      <c r="F98" s="266">
        <v>4</v>
      </c>
      <c r="G98" s="266">
        <v>3</v>
      </c>
      <c r="H98" s="266">
        <v>6</v>
      </c>
      <c r="I98" s="266">
        <v>4</v>
      </c>
      <c r="J98" s="266">
        <v>5</v>
      </c>
      <c r="K98" s="266">
        <v>2</v>
      </c>
      <c r="L98" s="266">
        <v>5</v>
      </c>
      <c r="M98" s="266">
        <v>2</v>
      </c>
      <c r="N98" s="266">
        <v>8</v>
      </c>
      <c r="O98" s="266">
        <v>7</v>
      </c>
      <c r="P98" s="266">
        <f t="shared" si="3"/>
        <v>63</v>
      </c>
    </row>
    <row r="99" spans="1:16" x14ac:dyDescent="0.3">
      <c r="A99" s="449" t="s">
        <v>246</v>
      </c>
      <c r="B99" s="532" t="s">
        <v>247</v>
      </c>
      <c r="C99" s="532" t="s">
        <v>252</v>
      </c>
      <c r="D99" s="266">
        <v>20</v>
      </c>
      <c r="E99" s="266">
        <v>16</v>
      </c>
      <c r="F99" s="266">
        <v>20</v>
      </c>
      <c r="G99" s="266">
        <v>16</v>
      </c>
      <c r="H99" s="266">
        <v>14</v>
      </c>
      <c r="I99" s="266">
        <v>4</v>
      </c>
      <c r="J99" s="266">
        <v>11</v>
      </c>
      <c r="K99" s="266">
        <v>12</v>
      </c>
      <c r="L99" s="266">
        <v>9</v>
      </c>
      <c r="M99" s="266">
        <v>9</v>
      </c>
      <c r="N99" s="266">
        <v>24</v>
      </c>
      <c r="O99" s="266">
        <v>16</v>
      </c>
      <c r="P99" s="266">
        <f t="shared" si="3"/>
        <v>171</v>
      </c>
    </row>
    <row r="100" spans="1:16" x14ac:dyDescent="0.3">
      <c r="A100" s="449" t="s">
        <v>14</v>
      </c>
      <c r="B100" s="532" t="s">
        <v>15</v>
      </c>
      <c r="C100" s="532" t="s">
        <v>255</v>
      </c>
      <c r="D100" s="266">
        <v>26</v>
      </c>
      <c r="E100" s="266">
        <v>33</v>
      </c>
      <c r="F100" s="266">
        <v>20</v>
      </c>
      <c r="G100" s="266">
        <v>27</v>
      </c>
      <c r="H100" s="266">
        <v>13</v>
      </c>
      <c r="I100" s="266">
        <v>7</v>
      </c>
      <c r="J100" s="266">
        <v>28</v>
      </c>
      <c r="K100" s="266">
        <v>21</v>
      </c>
      <c r="L100" s="266">
        <v>20</v>
      </c>
      <c r="M100" s="266">
        <v>19</v>
      </c>
      <c r="N100" s="266">
        <v>31</v>
      </c>
      <c r="O100" s="266">
        <v>14</v>
      </c>
      <c r="P100" s="266">
        <f t="shared" si="3"/>
        <v>259</v>
      </c>
    </row>
    <row r="101" spans="1:16" x14ac:dyDescent="0.3">
      <c r="A101" s="449" t="s">
        <v>34</v>
      </c>
      <c r="B101" s="532" t="s">
        <v>35</v>
      </c>
      <c r="C101" s="532" t="s">
        <v>256</v>
      </c>
      <c r="D101" s="266">
        <v>19</v>
      </c>
      <c r="E101" s="266">
        <v>19</v>
      </c>
      <c r="F101" s="266">
        <v>5</v>
      </c>
      <c r="G101" s="266">
        <v>11</v>
      </c>
      <c r="H101" s="266">
        <v>1</v>
      </c>
      <c r="I101" s="266">
        <v>7</v>
      </c>
      <c r="J101" s="266">
        <v>13</v>
      </c>
      <c r="K101" s="266">
        <v>8</v>
      </c>
      <c r="L101" s="266">
        <v>9</v>
      </c>
      <c r="M101" s="266">
        <v>11</v>
      </c>
      <c r="N101" s="266">
        <v>10</v>
      </c>
      <c r="O101" s="266">
        <v>13</v>
      </c>
      <c r="P101" s="266">
        <f t="shared" ref="P101:P124" si="4">SUM(D101:O101)</f>
        <v>126</v>
      </c>
    </row>
    <row r="102" spans="1:16" x14ac:dyDescent="0.3">
      <c r="A102" s="449" t="s">
        <v>52</v>
      </c>
      <c r="B102" s="532" t="s">
        <v>53</v>
      </c>
      <c r="C102" s="532" t="s">
        <v>253</v>
      </c>
      <c r="D102" s="266">
        <v>20</v>
      </c>
      <c r="E102" s="266">
        <v>29</v>
      </c>
      <c r="F102" s="266">
        <v>15</v>
      </c>
      <c r="G102" s="266">
        <v>19</v>
      </c>
      <c r="H102" s="266">
        <v>5</v>
      </c>
      <c r="I102" s="266">
        <v>11</v>
      </c>
      <c r="J102" s="266">
        <v>15</v>
      </c>
      <c r="K102" s="266">
        <v>13</v>
      </c>
      <c r="L102" s="266">
        <v>14</v>
      </c>
      <c r="M102" s="266">
        <v>16</v>
      </c>
      <c r="N102" s="266">
        <v>11</v>
      </c>
      <c r="O102" s="266">
        <v>16</v>
      </c>
      <c r="P102" s="266">
        <f t="shared" si="4"/>
        <v>184</v>
      </c>
    </row>
    <row r="103" spans="1:16" x14ac:dyDescent="0.3">
      <c r="A103" s="449" t="s">
        <v>54</v>
      </c>
      <c r="B103" s="532" t="s">
        <v>55</v>
      </c>
      <c r="C103" s="532" t="s">
        <v>252</v>
      </c>
      <c r="D103" s="266">
        <v>92</v>
      </c>
      <c r="E103" s="266">
        <v>126</v>
      </c>
      <c r="F103" s="266">
        <v>97</v>
      </c>
      <c r="G103" s="266">
        <v>126</v>
      </c>
      <c r="H103" s="266">
        <v>95</v>
      </c>
      <c r="I103" s="266">
        <v>88</v>
      </c>
      <c r="J103" s="266">
        <v>104</v>
      </c>
      <c r="K103" s="266">
        <v>80</v>
      </c>
      <c r="L103" s="266">
        <v>79</v>
      </c>
      <c r="M103" s="266">
        <v>85</v>
      </c>
      <c r="N103" s="266">
        <v>112</v>
      </c>
      <c r="O103" s="266">
        <v>107</v>
      </c>
      <c r="P103" s="266">
        <f t="shared" si="4"/>
        <v>1191</v>
      </c>
    </row>
    <row r="104" spans="1:16" x14ac:dyDescent="0.3">
      <c r="A104" s="449" t="s">
        <v>66</v>
      </c>
      <c r="B104" s="532" t="s">
        <v>67</v>
      </c>
      <c r="C104" s="532" t="s">
        <v>253</v>
      </c>
      <c r="D104" s="266">
        <v>29</v>
      </c>
      <c r="E104" s="266">
        <v>46</v>
      </c>
      <c r="F104" s="266">
        <v>15</v>
      </c>
      <c r="G104" s="266">
        <v>17</v>
      </c>
      <c r="H104" s="266">
        <v>12</v>
      </c>
      <c r="I104" s="266">
        <v>10</v>
      </c>
      <c r="J104" s="266">
        <v>16</v>
      </c>
      <c r="K104" s="266">
        <v>19</v>
      </c>
      <c r="L104" s="266">
        <v>20</v>
      </c>
      <c r="M104" s="266">
        <v>11</v>
      </c>
      <c r="N104" s="266">
        <v>20</v>
      </c>
      <c r="O104" s="266">
        <v>23</v>
      </c>
      <c r="P104" s="266">
        <f t="shared" si="4"/>
        <v>238</v>
      </c>
    </row>
    <row r="105" spans="1:16" x14ac:dyDescent="0.3">
      <c r="A105" s="449" t="s">
        <v>82</v>
      </c>
      <c r="B105" s="532" t="s">
        <v>83</v>
      </c>
      <c r="C105" s="532" t="s">
        <v>252</v>
      </c>
      <c r="D105" s="266"/>
      <c r="E105" s="266">
        <v>1</v>
      </c>
      <c r="F105" s="266"/>
      <c r="G105" s="266">
        <v>4</v>
      </c>
      <c r="H105" s="266">
        <v>2</v>
      </c>
      <c r="I105" s="266">
        <v>2</v>
      </c>
      <c r="J105" s="266">
        <v>4</v>
      </c>
      <c r="K105" s="266"/>
      <c r="L105" s="266">
        <v>3</v>
      </c>
      <c r="M105" s="266">
        <v>9</v>
      </c>
      <c r="N105" s="266">
        <v>6</v>
      </c>
      <c r="O105" s="266">
        <v>11</v>
      </c>
      <c r="P105" s="266">
        <f t="shared" si="4"/>
        <v>42</v>
      </c>
    </row>
    <row r="106" spans="1:16" x14ac:dyDescent="0.3">
      <c r="A106" s="449" t="s">
        <v>88</v>
      </c>
      <c r="B106" s="532" t="s">
        <v>89</v>
      </c>
      <c r="C106" s="532" t="s">
        <v>255</v>
      </c>
      <c r="D106" s="266">
        <v>15</v>
      </c>
      <c r="E106" s="266">
        <v>15</v>
      </c>
      <c r="F106" s="266">
        <v>8</v>
      </c>
      <c r="G106" s="266">
        <v>11</v>
      </c>
      <c r="H106" s="266">
        <v>8</v>
      </c>
      <c r="I106" s="266">
        <v>6</v>
      </c>
      <c r="J106" s="266">
        <v>10</v>
      </c>
      <c r="K106" s="266">
        <v>7</v>
      </c>
      <c r="L106" s="266">
        <v>16</v>
      </c>
      <c r="M106" s="266">
        <v>12</v>
      </c>
      <c r="N106" s="266">
        <v>7</v>
      </c>
      <c r="O106" s="266">
        <v>10</v>
      </c>
      <c r="P106" s="266">
        <f t="shared" si="4"/>
        <v>125</v>
      </c>
    </row>
    <row r="107" spans="1:16" x14ac:dyDescent="0.3">
      <c r="A107" s="449" t="s">
        <v>90</v>
      </c>
      <c r="B107" s="532" t="s">
        <v>91</v>
      </c>
      <c r="C107" s="532" t="s">
        <v>256</v>
      </c>
      <c r="D107" s="266"/>
      <c r="E107" s="266"/>
      <c r="F107" s="266"/>
      <c r="G107" s="266">
        <v>3</v>
      </c>
      <c r="H107" s="266"/>
      <c r="I107" s="266"/>
      <c r="J107" s="266">
        <v>2</v>
      </c>
      <c r="K107" s="266">
        <v>1</v>
      </c>
      <c r="L107" s="266">
        <v>1</v>
      </c>
      <c r="M107" s="266">
        <v>1</v>
      </c>
      <c r="N107" s="266"/>
      <c r="O107" s="266">
        <v>2</v>
      </c>
      <c r="P107" s="266">
        <f t="shared" si="4"/>
        <v>10</v>
      </c>
    </row>
    <row r="108" spans="1:16" x14ac:dyDescent="0.3">
      <c r="A108" s="449" t="s">
        <v>106</v>
      </c>
      <c r="B108" s="532" t="s">
        <v>107</v>
      </c>
      <c r="C108" s="532" t="s">
        <v>252</v>
      </c>
      <c r="D108" s="266">
        <v>25</v>
      </c>
      <c r="E108" s="266">
        <v>39</v>
      </c>
      <c r="F108" s="266">
        <v>26</v>
      </c>
      <c r="G108" s="266">
        <v>15</v>
      </c>
      <c r="H108" s="266">
        <v>12</v>
      </c>
      <c r="I108" s="266">
        <v>11</v>
      </c>
      <c r="J108" s="266">
        <v>37</v>
      </c>
      <c r="K108" s="266">
        <v>62</v>
      </c>
      <c r="L108" s="266">
        <v>63</v>
      </c>
      <c r="M108" s="266">
        <v>73</v>
      </c>
      <c r="N108" s="266">
        <v>106</v>
      </c>
      <c r="O108" s="266">
        <v>104</v>
      </c>
      <c r="P108" s="266">
        <f t="shared" si="4"/>
        <v>573</v>
      </c>
    </row>
    <row r="109" spans="1:16" x14ac:dyDescent="0.3">
      <c r="A109" s="449" t="s">
        <v>116</v>
      </c>
      <c r="B109" s="532" t="s">
        <v>117</v>
      </c>
      <c r="C109" s="532" t="s">
        <v>254</v>
      </c>
      <c r="D109" s="266">
        <v>27</v>
      </c>
      <c r="E109" s="266">
        <v>24</v>
      </c>
      <c r="F109" s="266">
        <v>17</v>
      </c>
      <c r="G109" s="266">
        <v>12</v>
      </c>
      <c r="H109" s="266">
        <v>12</v>
      </c>
      <c r="I109" s="266">
        <v>7</v>
      </c>
      <c r="J109" s="266">
        <v>19</v>
      </c>
      <c r="K109" s="266">
        <v>16</v>
      </c>
      <c r="L109" s="266">
        <v>17</v>
      </c>
      <c r="M109" s="266">
        <v>18</v>
      </c>
      <c r="N109" s="266">
        <v>31</v>
      </c>
      <c r="O109" s="266">
        <v>21</v>
      </c>
      <c r="P109" s="266">
        <f t="shared" si="4"/>
        <v>221</v>
      </c>
    </row>
    <row r="110" spans="1:16" x14ac:dyDescent="0.3">
      <c r="A110" s="449" t="s">
        <v>138</v>
      </c>
      <c r="B110" s="532" t="s">
        <v>139</v>
      </c>
      <c r="C110" s="532" t="s">
        <v>253</v>
      </c>
      <c r="D110" s="266">
        <v>57</v>
      </c>
      <c r="E110" s="266">
        <v>70</v>
      </c>
      <c r="F110" s="266">
        <v>50</v>
      </c>
      <c r="G110" s="266">
        <v>41</v>
      </c>
      <c r="H110" s="266">
        <v>24</v>
      </c>
      <c r="I110" s="266">
        <v>29</v>
      </c>
      <c r="J110" s="266">
        <v>36</v>
      </c>
      <c r="K110" s="266">
        <v>27</v>
      </c>
      <c r="L110" s="266">
        <v>43</v>
      </c>
      <c r="M110" s="266">
        <v>46</v>
      </c>
      <c r="N110" s="266">
        <v>65</v>
      </c>
      <c r="O110" s="266">
        <v>50</v>
      </c>
      <c r="P110" s="266">
        <f t="shared" si="4"/>
        <v>538</v>
      </c>
    </row>
    <row r="111" spans="1:16" x14ac:dyDescent="0.3">
      <c r="A111" s="449" t="s">
        <v>142</v>
      </c>
      <c r="B111" s="532" t="s">
        <v>143</v>
      </c>
      <c r="C111" s="532" t="s">
        <v>255</v>
      </c>
      <c r="D111" s="266">
        <v>10</v>
      </c>
      <c r="E111" s="266">
        <v>9</v>
      </c>
      <c r="F111" s="266">
        <v>7</v>
      </c>
      <c r="G111" s="266">
        <v>12</v>
      </c>
      <c r="H111" s="266">
        <v>4</v>
      </c>
      <c r="I111" s="266">
        <v>7</v>
      </c>
      <c r="J111" s="266">
        <v>5</v>
      </c>
      <c r="K111" s="266">
        <v>10</v>
      </c>
      <c r="L111" s="266">
        <v>8</v>
      </c>
      <c r="M111" s="266">
        <v>8</v>
      </c>
      <c r="N111" s="266">
        <v>7</v>
      </c>
      <c r="O111" s="266">
        <v>5</v>
      </c>
      <c r="P111" s="266">
        <f t="shared" si="4"/>
        <v>92</v>
      </c>
    </row>
    <row r="112" spans="1:16" x14ac:dyDescent="0.3">
      <c r="A112" s="449" t="s">
        <v>144</v>
      </c>
      <c r="B112" s="532" t="s">
        <v>145</v>
      </c>
      <c r="C112" s="532" t="s">
        <v>255</v>
      </c>
      <c r="D112" s="266">
        <v>4</v>
      </c>
      <c r="E112" s="266">
        <v>6</v>
      </c>
      <c r="F112" s="266"/>
      <c r="G112" s="266">
        <v>2</v>
      </c>
      <c r="H112" s="266">
        <v>1</v>
      </c>
      <c r="I112" s="266">
        <v>1</v>
      </c>
      <c r="J112" s="266">
        <v>8</v>
      </c>
      <c r="K112" s="266"/>
      <c r="L112" s="266"/>
      <c r="M112" s="266">
        <v>4</v>
      </c>
      <c r="N112" s="266">
        <v>1</v>
      </c>
      <c r="O112" s="266"/>
      <c r="P112" s="266">
        <f t="shared" si="4"/>
        <v>27</v>
      </c>
    </row>
    <row r="113" spans="1:16" x14ac:dyDescent="0.3">
      <c r="A113" s="449" t="s">
        <v>158</v>
      </c>
      <c r="B113" s="532" t="s">
        <v>159</v>
      </c>
      <c r="C113" s="532" t="s">
        <v>252</v>
      </c>
      <c r="D113" s="266">
        <v>130</v>
      </c>
      <c r="E113" s="266">
        <v>149</v>
      </c>
      <c r="F113" s="266">
        <v>102</v>
      </c>
      <c r="G113" s="266">
        <v>111</v>
      </c>
      <c r="H113" s="266">
        <v>102</v>
      </c>
      <c r="I113" s="266">
        <v>74</v>
      </c>
      <c r="J113" s="266">
        <v>94</v>
      </c>
      <c r="K113" s="266">
        <v>69</v>
      </c>
      <c r="L113" s="266">
        <v>136</v>
      </c>
      <c r="M113" s="266">
        <v>155</v>
      </c>
      <c r="N113" s="266">
        <v>198</v>
      </c>
      <c r="O113" s="266">
        <v>157</v>
      </c>
      <c r="P113" s="266">
        <f t="shared" si="4"/>
        <v>1477</v>
      </c>
    </row>
    <row r="114" spans="1:16" x14ac:dyDescent="0.3">
      <c r="A114" s="449" t="s">
        <v>160</v>
      </c>
      <c r="B114" s="532" t="s">
        <v>161</v>
      </c>
      <c r="C114" s="532" t="s">
        <v>252</v>
      </c>
      <c r="D114" s="266">
        <v>60</v>
      </c>
      <c r="E114" s="266">
        <v>69</v>
      </c>
      <c r="F114" s="266">
        <v>62</v>
      </c>
      <c r="G114" s="266">
        <v>62</v>
      </c>
      <c r="H114" s="266">
        <v>59</v>
      </c>
      <c r="I114" s="266">
        <v>45</v>
      </c>
      <c r="J114" s="266">
        <v>62</v>
      </c>
      <c r="K114" s="266">
        <v>110</v>
      </c>
      <c r="L114" s="266">
        <v>147</v>
      </c>
      <c r="M114" s="266">
        <v>190</v>
      </c>
      <c r="N114" s="266">
        <v>215</v>
      </c>
      <c r="O114" s="266">
        <v>222</v>
      </c>
      <c r="P114" s="266">
        <f t="shared" si="4"/>
        <v>1303</v>
      </c>
    </row>
    <row r="115" spans="1:16" x14ac:dyDescent="0.3">
      <c r="A115" s="449" t="s">
        <v>166</v>
      </c>
      <c r="B115" s="532" t="s">
        <v>167</v>
      </c>
      <c r="C115" s="532" t="s">
        <v>256</v>
      </c>
      <c r="D115" s="266">
        <v>1</v>
      </c>
      <c r="E115" s="266">
        <v>2</v>
      </c>
      <c r="F115" s="266"/>
      <c r="G115" s="266"/>
      <c r="H115" s="266"/>
      <c r="I115" s="266"/>
      <c r="J115" s="266"/>
      <c r="K115" s="266"/>
      <c r="L115" s="266"/>
      <c r="M115" s="266"/>
      <c r="N115" s="266"/>
      <c r="O115" s="266"/>
      <c r="P115" s="266">
        <f t="shared" si="4"/>
        <v>3</v>
      </c>
    </row>
    <row r="116" spans="1:16" x14ac:dyDescent="0.3">
      <c r="A116" s="449" t="s">
        <v>176</v>
      </c>
      <c r="B116" s="532" t="s">
        <v>177</v>
      </c>
      <c r="C116" s="532" t="s">
        <v>254</v>
      </c>
      <c r="D116" s="266">
        <v>49</v>
      </c>
      <c r="E116" s="266">
        <v>52</v>
      </c>
      <c r="F116" s="266">
        <v>42</v>
      </c>
      <c r="G116" s="266">
        <v>28</v>
      </c>
      <c r="H116" s="266">
        <v>31</v>
      </c>
      <c r="I116" s="266">
        <v>23</v>
      </c>
      <c r="J116" s="266">
        <v>34</v>
      </c>
      <c r="K116" s="266">
        <v>23</v>
      </c>
      <c r="L116" s="266">
        <v>36</v>
      </c>
      <c r="M116" s="266">
        <v>41</v>
      </c>
      <c r="N116" s="266">
        <v>36</v>
      </c>
      <c r="O116" s="266">
        <v>36</v>
      </c>
      <c r="P116" s="266">
        <f t="shared" si="4"/>
        <v>431</v>
      </c>
    </row>
    <row r="117" spans="1:16" x14ac:dyDescent="0.3">
      <c r="A117" s="449" t="s">
        <v>180</v>
      </c>
      <c r="B117" s="532" t="s">
        <v>181</v>
      </c>
      <c r="C117" s="532" t="s">
        <v>252</v>
      </c>
      <c r="D117" s="266">
        <v>25</v>
      </c>
      <c r="E117" s="266">
        <v>26</v>
      </c>
      <c r="F117" s="266">
        <v>23</v>
      </c>
      <c r="G117" s="266">
        <v>27</v>
      </c>
      <c r="H117" s="266">
        <v>19</v>
      </c>
      <c r="I117" s="266">
        <v>16</v>
      </c>
      <c r="J117" s="266">
        <v>28</v>
      </c>
      <c r="K117" s="266">
        <v>17</v>
      </c>
      <c r="L117" s="266">
        <v>14</v>
      </c>
      <c r="M117" s="266">
        <v>27</v>
      </c>
      <c r="N117" s="266">
        <v>22</v>
      </c>
      <c r="O117" s="266">
        <v>25</v>
      </c>
      <c r="P117" s="266">
        <f t="shared" si="4"/>
        <v>269</v>
      </c>
    </row>
    <row r="118" spans="1:16" x14ac:dyDescent="0.3">
      <c r="A118" s="449" t="s">
        <v>192</v>
      </c>
      <c r="B118" s="532" t="s">
        <v>193</v>
      </c>
      <c r="C118" s="532" t="s">
        <v>256</v>
      </c>
      <c r="D118" s="266"/>
      <c r="E118" s="266">
        <v>3</v>
      </c>
      <c r="F118" s="266">
        <v>1</v>
      </c>
      <c r="G118" s="266"/>
      <c r="H118" s="266">
        <v>2</v>
      </c>
      <c r="I118" s="266">
        <v>1</v>
      </c>
      <c r="J118" s="266">
        <v>2</v>
      </c>
      <c r="K118" s="266">
        <v>5</v>
      </c>
      <c r="L118" s="266">
        <v>1</v>
      </c>
      <c r="M118" s="266">
        <v>1</v>
      </c>
      <c r="N118" s="266">
        <v>6</v>
      </c>
      <c r="O118" s="266">
        <v>7</v>
      </c>
      <c r="P118" s="266">
        <f t="shared" si="4"/>
        <v>29</v>
      </c>
    </row>
    <row r="119" spans="1:16" x14ac:dyDescent="0.3">
      <c r="A119" s="449" t="s">
        <v>196</v>
      </c>
      <c r="B119" s="532" t="s">
        <v>197</v>
      </c>
      <c r="C119" s="532" t="s">
        <v>254</v>
      </c>
      <c r="D119" s="266">
        <v>134</v>
      </c>
      <c r="E119" s="266">
        <v>137</v>
      </c>
      <c r="F119" s="266">
        <v>124</v>
      </c>
      <c r="G119" s="266">
        <v>136</v>
      </c>
      <c r="H119" s="266">
        <v>129</v>
      </c>
      <c r="I119" s="266">
        <v>109</v>
      </c>
      <c r="J119" s="266">
        <v>139</v>
      </c>
      <c r="K119" s="266">
        <v>71</v>
      </c>
      <c r="L119" s="266">
        <v>79</v>
      </c>
      <c r="M119" s="266">
        <v>86</v>
      </c>
      <c r="N119" s="266">
        <v>95</v>
      </c>
      <c r="O119" s="266">
        <v>86</v>
      </c>
      <c r="P119" s="266">
        <f t="shared" si="4"/>
        <v>1325</v>
      </c>
    </row>
    <row r="120" spans="1:16" x14ac:dyDescent="0.3">
      <c r="A120" s="449" t="s">
        <v>200</v>
      </c>
      <c r="B120" s="532" t="s">
        <v>201</v>
      </c>
      <c r="C120" s="532" t="s">
        <v>253</v>
      </c>
      <c r="D120" s="266">
        <v>52</v>
      </c>
      <c r="E120" s="266">
        <v>64</v>
      </c>
      <c r="F120" s="266">
        <v>46</v>
      </c>
      <c r="G120" s="266">
        <v>46</v>
      </c>
      <c r="H120" s="266">
        <v>50</v>
      </c>
      <c r="I120" s="266">
        <v>40</v>
      </c>
      <c r="J120" s="266">
        <v>48</v>
      </c>
      <c r="K120" s="266">
        <v>70</v>
      </c>
      <c r="L120" s="266">
        <v>70</v>
      </c>
      <c r="M120" s="266">
        <v>55</v>
      </c>
      <c r="N120" s="266">
        <v>75</v>
      </c>
      <c r="O120" s="266">
        <v>85</v>
      </c>
      <c r="P120" s="266">
        <f t="shared" si="4"/>
        <v>701</v>
      </c>
    </row>
    <row r="121" spans="1:16" x14ac:dyDescent="0.3">
      <c r="A121" s="449" t="s">
        <v>222</v>
      </c>
      <c r="B121" s="532" t="s">
        <v>223</v>
      </c>
      <c r="C121" s="532" t="s">
        <v>252</v>
      </c>
      <c r="D121" s="266">
        <v>31</v>
      </c>
      <c r="E121" s="266">
        <v>19</v>
      </c>
      <c r="F121" s="266">
        <v>27</v>
      </c>
      <c r="G121" s="266">
        <v>26</v>
      </c>
      <c r="H121" s="266">
        <v>22</v>
      </c>
      <c r="I121" s="266">
        <v>13</v>
      </c>
      <c r="J121" s="266">
        <v>29</v>
      </c>
      <c r="K121" s="266">
        <v>22</v>
      </c>
      <c r="L121" s="266">
        <v>25</v>
      </c>
      <c r="M121" s="266">
        <v>39</v>
      </c>
      <c r="N121" s="266">
        <v>33</v>
      </c>
      <c r="O121" s="266">
        <v>37</v>
      </c>
      <c r="P121" s="266">
        <f t="shared" si="4"/>
        <v>323</v>
      </c>
    </row>
    <row r="122" spans="1:16" x14ac:dyDescent="0.3">
      <c r="A122" s="449" t="s">
        <v>230</v>
      </c>
      <c r="B122" s="532" t="s">
        <v>231</v>
      </c>
      <c r="C122" s="532" t="s">
        <v>252</v>
      </c>
      <c r="D122" s="266">
        <v>189</v>
      </c>
      <c r="E122" s="266">
        <v>264</v>
      </c>
      <c r="F122" s="266">
        <v>160</v>
      </c>
      <c r="G122" s="266">
        <v>49</v>
      </c>
      <c r="H122" s="266">
        <v>89</v>
      </c>
      <c r="I122" s="266">
        <v>82</v>
      </c>
      <c r="J122" s="266">
        <v>50</v>
      </c>
      <c r="K122" s="266">
        <v>127</v>
      </c>
      <c r="L122" s="266">
        <v>163</v>
      </c>
      <c r="M122" s="266">
        <v>180</v>
      </c>
      <c r="N122" s="266">
        <v>171</v>
      </c>
      <c r="O122" s="266">
        <v>177</v>
      </c>
      <c r="P122" s="266">
        <f t="shared" si="4"/>
        <v>1701</v>
      </c>
    </row>
    <row r="123" spans="1:16" x14ac:dyDescent="0.3">
      <c r="A123" s="449" t="s">
        <v>238</v>
      </c>
      <c r="B123" s="532" t="s">
        <v>239</v>
      </c>
      <c r="C123" s="532" t="s">
        <v>252</v>
      </c>
      <c r="D123" s="266">
        <v>1</v>
      </c>
      <c r="E123" s="266">
        <v>6</v>
      </c>
      <c r="F123" s="266"/>
      <c r="G123" s="266"/>
      <c r="H123" s="266">
        <v>1</v>
      </c>
      <c r="I123" s="266">
        <v>2</v>
      </c>
      <c r="J123" s="266">
        <v>4</v>
      </c>
      <c r="K123" s="266">
        <v>3</v>
      </c>
      <c r="L123" s="266">
        <v>6</v>
      </c>
      <c r="M123" s="266">
        <v>2</v>
      </c>
      <c r="N123" s="266">
        <v>5</v>
      </c>
      <c r="O123" s="266">
        <v>3</v>
      </c>
      <c r="P123" s="266">
        <f t="shared" si="4"/>
        <v>33</v>
      </c>
    </row>
    <row r="124" spans="1:16" x14ac:dyDescent="0.3">
      <c r="A124" s="450" t="s">
        <v>240</v>
      </c>
      <c r="B124" s="453" t="s">
        <v>241</v>
      </c>
      <c r="C124" s="453" t="s">
        <v>255</v>
      </c>
      <c r="D124" s="266">
        <v>5</v>
      </c>
      <c r="E124" s="266">
        <v>3</v>
      </c>
      <c r="F124" s="266">
        <v>3</v>
      </c>
      <c r="G124" s="266">
        <v>3</v>
      </c>
      <c r="H124" s="266">
        <v>4</v>
      </c>
      <c r="I124" s="266">
        <v>4</v>
      </c>
      <c r="J124" s="266"/>
      <c r="K124" s="266"/>
      <c r="L124" s="266">
        <v>6</v>
      </c>
      <c r="M124" s="266">
        <v>3</v>
      </c>
      <c r="N124" s="266">
        <v>5</v>
      </c>
      <c r="O124" s="266">
        <v>3</v>
      </c>
      <c r="P124" s="266">
        <f t="shared" si="4"/>
        <v>39</v>
      </c>
    </row>
    <row r="126" spans="1:16" ht="65.25" customHeight="1" x14ac:dyDescent="0.3">
      <c r="A126" s="2737" t="s">
        <v>1060</v>
      </c>
      <c r="B126" s="2737"/>
      <c r="C126" s="2737"/>
    </row>
    <row r="128" spans="1:16" s="359" customFormat="1" x14ac:dyDescent="0.3">
      <c r="A128" s="359" t="s">
        <v>248</v>
      </c>
    </row>
    <row r="129" spans="1:3" s="359" customFormat="1" x14ac:dyDescent="0.3">
      <c r="A129" s="360" t="s">
        <v>249</v>
      </c>
      <c r="B129" s="361" t="s">
        <v>250</v>
      </c>
      <c r="C129" s="361"/>
    </row>
  </sheetData>
  <sortState ref="A5:P124">
    <sortCondition ref="A5:A124"/>
  </sortState>
  <mergeCells count="1">
    <mergeCell ref="A126:C126"/>
  </mergeCells>
  <hyperlinks>
    <hyperlink ref="B129" r:id="rId1"/>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129"/>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9" style="441"/>
    <col min="2" max="2" width="33.296875" style="441" customWidth="1"/>
    <col min="3" max="3" width="16.69921875" style="441" customWidth="1"/>
    <col min="4" max="4" width="7.19921875" style="441" customWidth="1"/>
    <col min="5" max="6" width="9.09765625" style="441" bestFit="1" customWidth="1"/>
    <col min="7" max="7" width="9.796875" style="441" bestFit="1" customWidth="1"/>
    <col min="8" max="15" width="10.09765625" style="441" bestFit="1" customWidth="1"/>
    <col min="16" max="16" width="11.09765625" style="441" bestFit="1" customWidth="1"/>
    <col min="17" max="16384" width="9" style="441"/>
  </cols>
  <sheetData>
    <row r="1" spans="1:16" ht="12.75" customHeight="1" x14ac:dyDescent="0.3">
      <c r="A1" s="253" t="s">
        <v>1067</v>
      </c>
    </row>
    <row r="3" spans="1:16" ht="53.25" customHeight="1" x14ac:dyDescent="0.3">
      <c r="A3" s="446" t="s">
        <v>4</v>
      </c>
      <c r="B3" s="503" t="s">
        <v>5</v>
      </c>
      <c r="C3" s="503" t="s">
        <v>251</v>
      </c>
      <c r="D3" s="1376">
        <v>43282</v>
      </c>
      <c r="E3" s="1376">
        <v>43313</v>
      </c>
      <c r="F3" s="1376">
        <v>43344</v>
      </c>
      <c r="G3" s="1376">
        <v>43374</v>
      </c>
      <c r="H3" s="1376">
        <v>43405</v>
      </c>
      <c r="I3" s="1376">
        <v>43435</v>
      </c>
      <c r="J3" s="1376">
        <v>43466</v>
      </c>
      <c r="K3" s="1376">
        <v>43497</v>
      </c>
      <c r="L3" s="1376">
        <v>43525</v>
      </c>
      <c r="M3" s="1376">
        <v>43556</v>
      </c>
      <c r="N3" s="1376">
        <v>43586</v>
      </c>
      <c r="O3" s="1376">
        <v>43617</v>
      </c>
      <c r="P3" s="1377" t="s">
        <v>1059</v>
      </c>
    </row>
    <row r="4" spans="1:16" x14ac:dyDescent="0.3">
      <c r="A4" s="528">
        <v>999</v>
      </c>
      <c r="B4" s="529" t="s">
        <v>9</v>
      </c>
      <c r="C4" s="529"/>
      <c r="D4" s="1378">
        <f>SUM(D5:D124)</f>
        <v>1840</v>
      </c>
      <c r="E4" s="1379">
        <f t="shared" ref="E4:P4" si="0">SUM(E5:E124)</f>
        <v>2020</v>
      </c>
      <c r="F4" s="1379">
        <f t="shared" si="0"/>
        <v>1493</v>
      </c>
      <c r="G4" s="1379">
        <f t="shared" si="0"/>
        <v>1634</v>
      </c>
      <c r="H4" s="1380">
        <f t="shared" si="0"/>
        <v>1384</v>
      </c>
      <c r="I4" s="1380">
        <f t="shared" si="0"/>
        <v>1154</v>
      </c>
      <c r="J4" s="1380">
        <f t="shared" si="0"/>
        <v>1418</v>
      </c>
      <c r="K4" s="1380">
        <f t="shared" si="0"/>
        <v>1295</v>
      </c>
      <c r="L4" s="1380">
        <f t="shared" si="0"/>
        <v>1914</v>
      </c>
      <c r="M4" s="1380">
        <f t="shared" si="0"/>
        <v>2164</v>
      </c>
      <c r="N4" s="1380">
        <f t="shared" si="0"/>
        <v>2234</v>
      </c>
      <c r="O4" s="1380">
        <f t="shared" si="0"/>
        <v>2184</v>
      </c>
      <c r="P4" s="1380">
        <f t="shared" si="0"/>
        <v>20734</v>
      </c>
    </row>
    <row r="5" spans="1:16" x14ac:dyDescent="0.3">
      <c r="A5" s="448" t="s">
        <v>10</v>
      </c>
      <c r="B5" s="505" t="s">
        <v>11</v>
      </c>
      <c r="C5" s="505" t="s">
        <v>252</v>
      </c>
      <c r="D5" s="266">
        <v>4</v>
      </c>
      <c r="E5" s="266">
        <v>10</v>
      </c>
      <c r="F5" s="266">
        <v>2</v>
      </c>
      <c r="G5" s="266">
        <v>10</v>
      </c>
      <c r="H5" s="266"/>
      <c r="I5" s="266">
        <v>6</v>
      </c>
      <c r="J5" s="266">
        <v>3</v>
      </c>
      <c r="K5" s="266">
        <v>3</v>
      </c>
      <c r="L5" s="266">
        <v>3</v>
      </c>
      <c r="M5" s="266">
        <v>2</v>
      </c>
      <c r="N5" s="266">
        <v>5</v>
      </c>
      <c r="O5" s="266">
        <v>7</v>
      </c>
      <c r="P5" s="266">
        <f t="shared" ref="P5:P36" si="1">SUM(D5:O5)</f>
        <v>55</v>
      </c>
    </row>
    <row r="6" spans="1:16" x14ac:dyDescent="0.3">
      <c r="A6" s="449" t="s">
        <v>12</v>
      </c>
      <c r="B6" s="532" t="s">
        <v>13</v>
      </c>
      <c r="C6" s="532" t="s">
        <v>253</v>
      </c>
      <c r="D6" s="266">
        <v>14</v>
      </c>
      <c r="E6" s="266">
        <v>22</v>
      </c>
      <c r="F6" s="266">
        <v>14</v>
      </c>
      <c r="G6" s="266">
        <v>11</v>
      </c>
      <c r="H6" s="266">
        <v>17</v>
      </c>
      <c r="I6" s="266">
        <v>11</v>
      </c>
      <c r="J6" s="266">
        <v>16</v>
      </c>
      <c r="K6" s="266">
        <v>11</v>
      </c>
      <c r="L6" s="266">
        <v>27</v>
      </c>
      <c r="M6" s="266">
        <v>14</v>
      </c>
      <c r="N6" s="266">
        <v>14</v>
      </c>
      <c r="O6" s="266">
        <v>20</v>
      </c>
      <c r="P6" s="266">
        <f t="shared" si="1"/>
        <v>191</v>
      </c>
    </row>
    <row r="7" spans="1:16" x14ac:dyDescent="0.3">
      <c r="A7" s="449" t="s">
        <v>16</v>
      </c>
      <c r="B7" s="532" t="s">
        <v>285</v>
      </c>
      <c r="C7" s="532" t="s">
        <v>253</v>
      </c>
      <c r="D7" s="266">
        <v>3</v>
      </c>
      <c r="E7" s="266">
        <v>9</v>
      </c>
      <c r="F7" s="266">
        <v>11</v>
      </c>
      <c r="G7" s="266">
        <v>5</v>
      </c>
      <c r="H7" s="266">
        <v>11</v>
      </c>
      <c r="I7" s="266">
        <v>7</v>
      </c>
      <c r="J7" s="266">
        <v>4</v>
      </c>
      <c r="K7" s="266">
        <v>10</v>
      </c>
      <c r="L7" s="266">
        <v>7</v>
      </c>
      <c r="M7" s="266"/>
      <c r="N7" s="266">
        <v>2</v>
      </c>
      <c r="O7" s="266">
        <v>11</v>
      </c>
      <c r="P7" s="266">
        <f t="shared" si="1"/>
        <v>80</v>
      </c>
    </row>
    <row r="8" spans="1:16" x14ac:dyDescent="0.3">
      <c r="A8" s="449" t="s">
        <v>18</v>
      </c>
      <c r="B8" s="532" t="s">
        <v>19</v>
      </c>
      <c r="C8" s="532" t="s">
        <v>254</v>
      </c>
      <c r="D8" s="266">
        <v>4</v>
      </c>
      <c r="E8" s="266"/>
      <c r="F8" s="266"/>
      <c r="G8" s="266"/>
      <c r="H8" s="266">
        <v>2</v>
      </c>
      <c r="I8" s="266"/>
      <c r="J8" s="266">
        <v>2</v>
      </c>
      <c r="K8" s="266">
        <v>1</v>
      </c>
      <c r="L8" s="266">
        <v>1</v>
      </c>
      <c r="M8" s="266">
        <v>4</v>
      </c>
      <c r="N8" s="266"/>
      <c r="O8" s="266">
        <v>4</v>
      </c>
      <c r="P8" s="266">
        <f t="shared" si="1"/>
        <v>18</v>
      </c>
    </row>
    <row r="9" spans="1:16" x14ac:dyDescent="0.3">
      <c r="A9" s="449" t="s">
        <v>20</v>
      </c>
      <c r="B9" s="532" t="s">
        <v>21</v>
      </c>
      <c r="C9" s="532" t="s">
        <v>253</v>
      </c>
      <c r="D9" s="266">
        <v>14</v>
      </c>
      <c r="E9" s="266">
        <v>17</v>
      </c>
      <c r="F9" s="266">
        <v>20</v>
      </c>
      <c r="G9" s="266">
        <v>11</v>
      </c>
      <c r="H9" s="266">
        <v>18</v>
      </c>
      <c r="I9" s="266">
        <v>11</v>
      </c>
      <c r="J9" s="266">
        <v>10</v>
      </c>
      <c r="K9" s="266">
        <v>12</v>
      </c>
      <c r="L9" s="266">
        <v>10</v>
      </c>
      <c r="M9" s="266">
        <v>5</v>
      </c>
      <c r="N9" s="266">
        <v>13</v>
      </c>
      <c r="O9" s="266">
        <v>18</v>
      </c>
      <c r="P9" s="266">
        <f t="shared" si="1"/>
        <v>159</v>
      </c>
    </row>
    <row r="10" spans="1:16" x14ac:dyDescent="0.3">
      <c r="A10" s="449" t="s">
        <v>22</v>
      </c>
      <c r="B10" s="532" t="s">
        <v>23</v>
      </c>
      <c r="C10" s="532" t="s">
        <v>253</v>
      </c>
      <c r="D10" s="266">
        <v>6</v>
      </c>
      <c r="E10" s="266">
        <v>3</v>
      </c>
      <c r="F10" s="266">
        <v>7</v>
      </c>
      <c r="G10" s="266">
        <v>3</v>
      </c>
      <c r="H10" s="266">
        <v>3</v>
      </c>
      <c r="I10" s="266">
        <v>1</v>
      </c>
      <c r="J10" s="266">
        <v>1</v>
      </c>
      <c r="K10" s="266"/>
      <c r="L10" s="266">
        <v>2</v>
      </c>
      <c r="M10" s="266">
        <v>3</v>
      </c>
      <c r="N10" s="266">
        <v>6</v>
      </c>
      <c r="O10" s="266">
        <v>7</v>
      </c>
      <c r="P10" s="266">
        <f t="shared" si="1"/>
        <v>42</v>
      </c>
    </row>
    <row r="11" spans="1:16" x14ac:dyDescent="0.3">
      <c r="A11" s="449" t="s">
        <v>24</v>
      </c>
      <c r="B11" s="532" t="s">
        <v>25</v>
      </c>
      <c r="C11" s="532" t="s">
        <v>255</v>
      </c>
      <c r="D11" s="266">
        <v>16</v>
      </c>
      <c r="E11" s="266">
        <v>14</v>
      </c>
      <c r="F11" s="266">
        <v>5</v>
      </c>
      <c r="G11" s="266">
        <v>10</v>
      </c>
      <c r="H11" s="266">
        <v>4</v>
      </c>
      <c r="I11" s="266">
        <v>4</v>
      </c>
      <c r="J11" s="266">
        <v>12</v>
      </c>
      <c r="K11" s="266">
        <v>20</v>
      </c>
      <c r="L11" s="266">
        <v>13</v>
      </c>
      <c r="M11" s="266">
        <v>7</v>
      </c>
      <c r="N11" s="266">
        <v>17</v>
      </c>
      <c r="O11" s="266">
        <v>7</v>
      </c>
      <c r="P11" s="266">
        <f t="shared" si="1"/>
        <v>129</v>
      </c>
    </row>
    <row r="12" spans="1:16" x14ac:dyDescent="0.3">
      <c r="A12" s="449" t="s">
        <v>26</v>
      </c>
      <c r="B12" s="532" t="s">
        <v>547</v>
      </c>
      <c r="C12" s="532" t="s">
        <v>253</v>
      </c>
      <c r="D12" s="266">
        <v>26</v>
      </c>
      <c r="E12" s="266">
        <v>37</v>
      </c>
      <c r="F12" s="266">
        <v>35</v>
      </c>
      <c r="G12" s="266">
        <v>25</v>
      </c>
      <c r="H12" s="266">
        <v>21</v>
      </c>
      <c r="I12" s="266">
        <v>25</v>
      </c>
      <c r="J12" s="266">
        <v>29</v>
      </c>
      <c r="K12" s="266">
        <v>21</v>
      </c>
      <c r="L12" s="266">
        <v>39</v>
      </c>
      <c r="M12" s="266">
        <v>34</v>
      </c>
      <c r="N12" s="266">
        <v>42</v>
      </c>
      <c r="O12" s="266">
        <v>57</v>
      </c>
      <c r="P12" s="266">
        <f t="shared" si="1"/>
        <v>391</v>
      </c>
    </row>
    <row r="13" spans="1:16" x14ac:dyDescent="0.3">
      <c r="A13" s="449" t="s">
        <v>27</v>
      </c>
      <c r="B13" s="532" t="s">
        <v>28</v>
      </c>
      <c r="C13" s="532" t="s">
        <v>253</v>
      </c>
      <c r="D13" s="266"/>
      <c r="E13" s="266"/>
      <c r="F13" s="266"/>
      <c r="G13" s="266">
        <v>1</v>
      </c>
      <c r="H13" s="266"/>
      <c r="I13" s="266"/>
      <c r="J13" s="266">
        <v>1</v>
      </c>
      <c r="K13" s="266"/>
      <c r="L13" s="266">
        <v>2</v>
      </c>
      <c r="M13" s="266"/>
      <c r="N13" s="266">
        <v>1</v>
      </c>
      <c r="O13" s="266">
        <v>1</v>
      </c>
      <c r="P13" s="266">
        <f t="shared" si="1"/>
        <v>6</v>
      </c>
    </row>
    <row r="14" spans="1:16" x14ac:dyDescent="0.3">
      <c r="A14" s="449" t="s">
        <v>29</v>
      </c>
      <c r="B14" s="532" t="s">
        <v>736</v>
      </c>
      <c r="C14" s="532" t="s">
        <v>253</v>
      </c>
      <c r="D14" s="266">
        <v>11</v>
      </c>
      <c r="E14" s="266">
        <v>10</v>
      </c>
      <c r="F14" s="266">
        <v>11</v>
      </c>
      <c r="G14" s="266">
        <v>5</v>
      </c>
      <c r="H14" s="266">
        <v>3</v>
      </c>
      <c r="I14" s="266">
        <v>7</v>
      </c>
      <c r="J14" s="266">
        <v>17</v>
      </c>
      <c r="K14" s="266">
        <v>14</v>
      </c>
      <c r="L14" s="266">
        <v>14</v>
      </c>
      <c r="M14" s="266">
        <v>21</v>
      </c>
      <c r="N14" s="266">
        <v>19</v>
      </c>
      <c r="O14" s="266">
        <v>19</v>
      </c>
      <c r="P14" s="266">
        <f t="shared" si="1"/>
        <v>151</v>
      </c>
    </row>
    <row r="15" spans="1:16" x14ac:dyDescent="0.3">
      <c r="A15" s="449" t="s">
        <v>30</v>
      </c>
      <c r="B15" s="532" t="s">
        <v>31</v>
      </c>
      <c r="C15" s="532" t="s">
        <v>256</v>
      </c>
      <c r="D15" s="266"/>
      <c r="E15" s="266">
        <v>2</v>
      </c>
      <c r="F15" s="266"/>
      <c r="G15" s="266">
        <v>1</v>
      </c>
      <c r="H15" s="266">
        <v>1</v>
      </c>
      <c r="I15" s="266"/>
      <c r="J15" s="266">
        <v>1</v>
      </c>
      <c r="K15" s="266"/>
      <c r="L15" s="266"/>
      <c r="M15" s="266"/>
      <c r="N15" s="266">
        <v>1</v>
      </c>
      <c r="O15" s="266"/>
      <c r="P15" s="266">
        <f t="shared" si="1"/>
        <v>6</v>
      </c>
    </row>
    <row r="16" spans="1:16" x14ac:dyDescent="0.3">
      <c r="A16" s="449" t="s">
        <v>32</v>
      </c>
      <c r="B16" s="532" t="s">
        <v>33</v>
      </c>
      <c r="C16" s="532" t="s">
        <v>253</v>
      </c>
      <c r="D16" s="266">
        <v>7</v>
      </c>
      <c r="E16" s="266">
        <v>3</v>
      </c>
      <c r="F16" s="266">
        <v>1</v>
      </c>
      <c r="G16" s="266">
        <v>7</v>
      </c>
      <c r="H16" s="266">
        <v>5</v>
      </c>
      <c r="I16" s="266">
        <v>5</v>
      </c>
      <c r="J16" s="266">
        <v>4</v>
      </c>
      <c r="K16" s="266">
        <v>4</v>
      </c>
      <c r="L16" s="266">
        <v>2</v>
      </c>
      <c r="M16" s="266">
        <v>8</v>
      </c>
      <c r="N16" s="266">
        <v>6</v>
      </c>
      <c r="O16" s="266">
        <v>7</v>
      </c>
      <c r="P16" s="266">
        <f t="shared" si="1"/>
        <v>59</v>
      </c>
    </row>
    <row r="17" spans="1:16" x14ac:dyDescent="0.3">
      <c r="A17" s="449" t="s">
        <v>36</v>
      </c>
      <c r="B17" s="532" t="s">
        <v>37</v>
      </c>
      <c r="C17" s="532" t="s">
        <v>252</v>
      </c>
      <c r="D17" s="266"/>
      <c r="E17" s="266">
        <v>2</v>
      </c>
      <c r="F17" s="266"/>
      <c r="G17" s="266">
        <v>3</v>
      </c>
      <c r="H17" s="266"/>
      <c r="I17" s="266">
        <v>4</v>
      </c>
      <c r="J17" s="266">
        <v>1</v>
      </c>
      <c r="K17" s="266">
        <v>4</v>
      </c>
      <c r="L17" s="266">
        <v>2</v>
      </c>
      <c r="M17" s="266">
        <v>2</v>
      </c>
      <c r="N17" s="266">
        <v>1</v>
      </c>
      <c r="O17" s="266">
        <v>1</v>
      </c>
      <c r="P17" s="266">
        <f t="shared" si="1"/>
        <v>20</v>
      </c>
    </row>
    <row r="18" spans="1:16" x14ac:dyDescent="0.3">
      <c r="A18" s="449" t="s">
        <v>38</v>
      </c>
      <c r="B18" s="532" t="s">
        <v>39</v>
      </c>
      <c r="C18" s="532" t="s">
        <v>256</v>
      </c>
      <c r="D18" s="266">
        <v>2</v>
      </c>
      <c r="E18" s="266"/>
      <c r="F18" s="266"/>
      <c r="G18" s="266">
        <v>3</v>
      </c>
      <c r="H18" s="266"/>
      <c r="I18" s="266"/>
      <c r="J18" s="266"/>
      <c r="K18" s="266"/>
      <c r="L18" s="266"/>
      <c r="M18" s="266">
        <v>4</v>
      </c>
      <c r="N18" s="266"/>
      <c r="O18" s="266"/>
      <c r="P18" s="266">
        <f t="shared" si="1"/>
        <v>9</v>
      </c>
    </row>
    <row r="19" spans="1:16" x14ac:dyDescent="0.3">
      <c r="A19" s="449" t="s">
        <v>40</v>
      </c>
      <c r="B19" s="532" t="s">
        <v>41</v>
      </c>
      <c r="C19" s="532" t="s">
        <v>254</v>
      </c>
      <c r="D19" s="266">
        <v>1</v>
      </c>
      <c r="E19" s="266">
        <v>4</v>
      </c>
      <c r="F19" s="266">
        <v>1</v>
      </c>
      <c r="G19" s="266">
        <v>2</v>
      </c>
      <c r="H19" s="266">
        <v>4</v>
      </c>
      <c r="I19" s="266">
        <v>1</v>
      </c>
      <c r="J19" s="266">
        <v>1</v>
      </c>
      <c r="K19" s="266">
        <v>3</v>
      </c>
      <c r="L19" s="266">
        <v>3</v>
      </c>
      <c r="M19" s="266">
        <v>1</v>
      </c>
      <c r="N19" s="266">
        <v>3</v>
      </c>
      <c r="O19" s="266">
        <v>3</v>
      </c>
      <c r="P19" s="266">
        <f t="shared" si="1"/>
        <v>27</v>
      </c>
    </row>
    <row r="20" spans="1:16" x14ac:dyDescent="0.3">
      <c r="A20" s="449" t="s">
        <v>42</v>
      </c>
      <c r="B20" s="532" t="s">
        <v>43</v>
      </c>
      <c r="C20" s="532" t="s">
        <v>253</v>
      </c>
      <c r="D20" s="266">
        <v>7</v>
      </c>
      <c r="E20" s="266">
        <v>10</v>
      </c>
      <c r="F20" s="266">
        <v>7</v>
      </c>
      <c r="G20" s="266">
        <v>8</v>
      </c>
      <c r="H20" s="266">
        <v>9</v>
      </c>
      <c r="I20" s="266">
        <v>7</v>
      </c>
      <c r="J20" s="266">
        <v>7</v>
      </c>
      <c r="K20" s="266">
        <v>17</v>
      </c>
      <c r="L20" s="266">
        <v>18</v>
      </c>
      <c r="M20" s="266">
        <v>13</v>
      </c>
      <c r="N20" s="266">
        <v>20</v>
      </c>
      <c r="O20" s="266">
        <v>22</v>
      </c>
      <c r="P20" s="266">
        <f t="shared" si="1"/>
        <v>145</v>
      </c>
    </row>
    <row r="21" spans="1:16" x14ac:dyDescent="0.3">
      <c r="A21" s="449" t="s">
        <v>44</v>
      </c>
      <c r="B21" s="532" t="s">
        <v>45</v>
      </c>
      <c r="C21" s="532" t="s">
        <v>254</v>
      </c>
      <c r="D21" s="266">
        <v>4</v>
      </c>
      <c r="E21" s="266">
        <v>2</v>
      </c>
      <c r="F21" s="266">
        <v>1</v>
      </c>
      <c r="G21" s="266">
        <v>2</v>
      </c>
      <c r="H21" s="266">
        <v>2</v>
      </c>
      <c r="I21" s="266">
        <v>2</v>
      </c>
      <c r="J21" s="266"/>
      <c r="K21" s="266"/>
      <c r="L21" s="266">
        <v>3</v>
      </c>
      <c r="M21" s="266">
        <v>8</v>
      </c>
      <c r="N21" s="266">
        <v>6</v>
      </c>
      <c r="O21" s="266">
        <v>10</v>
      </c>
      <c r="P21" s="266">
        <f t="shared" si="1"/>
        <v>40</v>
      </c>
    </row>
    <row r="22" spans="1:16" x14ac:dyDescent="0.3">
      <c r="A22" s="449" t="s">
        <v>46</v>
      </c>
      <c r="B22" s="532" t="s">
        <v>47</v>
      </c>
      <c r="C22" s="532" t="s">
        <v>256</v>
      </c>
      <c r="D22" s="266">
        <v>7</v>
      </c>
      <c r="E22" s="266">
        <v>5</v>
      </c>
      <c r="F22" s="266">
        <v>4</v>
      </c>
      <c r="G22" s="266">
        <v>5</v>
      </c>
      <c r="H22" s="266">
        <v>3</v>
      </c>
      <c r="I22" s="266">
        <v>6</v>
      </c>
      <c r="J22" s="266">
        <v>7</v>
      </c>
      <c r="K22" s="266"/>
      <c r="L22" s="266">
        <v>3</v>
      </c>
      <c r="M22" s="266">
        <v>15</v>
      </c>
      <c r="N22" s="266">
        <v>11</v>
      </c>
      <c r="O22" s="266">
        <v>7</v>
      </c>
      <c r="P22" s="266">
        <f t="shared" si="1"/>
        <v>73</v>
      </c>
    </row>
    <row r="23" spans="1:16" x14ac:dyDescent="0.3">
      <c r="A23" s="449" t="s">
        <v>48</v>
      </c>
      <c r="B23" s="532" t="s">
        <v>257</v>
      </c>
      <c r="C23" s="532" t="s">
        <v>254</v>
      </c>
      <c r="D23" s="266"/>
      <c r="E23" s="266">
        <v>1</v>
      </c>
      <c r="F23" s="266">
        <v>5</v>
      </c>
      <c r="G23" s="266">
        <v>1</v>
      </c>
      <c r="H23" s="266">
        <v>3</v>
      </c>
      <c r="I23" s="266">
        <v>1</v>
      </c>
      <c r="J23" s="266">
        <v>1</v>
      </c>
      <c r="K23" s="266">
        <v>10</v>
      </c>
      <c r="L23" s="266"/>
      <c r="M23" s="266"/>
      <c r="N23" s="266">
        <v>3</v>
      </c>
      <c r="O23" s="266">
        <v>7</v>
      </c>
      <c r="P23" s="266">
        <f t="shared" si="1"/>
        <v>32</v>
      </c>
    </row>
    <row r="24" spans="1:16" x14ac:dyDescent="0.3">
      <c r="A24" s="449" t="s">
        <v>50</v>
      </c>
      <c r="B24" s="532" t="s">
        <v>51</v>
      </c>
      <c r="C24" s="532" t="s">
        <v>253</v>
      </c>
      <c r="D24" s="266"/>
      <c r="E24" s="266"/>
      <c r="F24" s="266"/>
      <c r="G24" s="266"/>
      <c r="H24" s="266"/>
      <c r="I24" s="266"/>
      <c r="J24" s="266"/>
      <c r="K24" s="266"/>
      <c r="L24" s="266"/>
      <c r="M24" s="266"/>
      <c r="N24" s="266"/>
      <c r="O24" s="266"/>
      <c r="P24" s="266">
        <f t="shared" si="1"/>
        <v>0</v>
      </c>
    </row>
    <row r="25" spans="1:16" x14ac:dyDescent="0.3">
      <c r="A25" s="449" t="s">
        <v>56</v>
      </c>
      <c r="B25" s="532" t="s">
        <v>283</v>
      </c>
      <c r="C25" s="532" t="s">
        <v>254</v>
      </c>
      <c r="D25" s="266">
        <v>43</v>
      </c>
      <c r="E25" s="266">
        <v>49</v>
      </c>
      <c r="F25" s="266">
        <v>34</v>
      </c>
      <c r="G25" s="266">
        <v>38</v>
      </c>
      <c r="H25" s="266">
        <v>65</v>
      </c>
      <c r="I25" s="266">
        <v>41</v>
      </c>
      <c r="J25" s="266">
        <v>27</v>
      </c>
      <c r="K25" s="266">
        <v>16</v>
      </c>
      <c r="L25" s="266">
        <v>12</v>
      </c>
      <c r="M25" s="266">
        <v>20</v>
      </c>
      <c r="N25" s="266">
        <v>17</v>
      </c>
      <c r="O25" s="266">
        <v>29</v>
      </c>
      <c r="P25" s="266">
        <f t="shared" si="1"/>
        <v>391</v>
      </c>
    </row>
    <row r="26" spans="1:16" x14ac:dyDescent="0.3">
      <c r="A26" s="449" t="s">
        <v>58</v>
      </c>
      <c r="B26" s="532" t="s">
        <v>59</v>
      </c>
      <c r="C26" s="532" t="s">
        <v>255</v>
      </c>
      <c r="D26" s="266"/>
      <c r="E26" s="266"/>
      <c r="F26" s="266"/>
      <c r="G26" s="266"/>
      <c r="H26" s="266">
        <v>1</v>
      </c>
      <c r="I26" s="266"/>
      <c r="J26" s="266"/>
      <c r="K26" s="266">
        <v>1</v>
      </c>
      <c r="L26" s="266"/>
      <c r="M26" s="266">
        <v>2</v>
      </c>
      <c r="N26" s="266">
        <v>3</v>
      </c>
      <c r="O26" s="266">
        <v>1</v>
      </c>
      <c r="P26" s="266">
        <f t="shared" si="1"/>
        <v>8</v>
      </c>
    </row>
    <row r="27" spans="1:16" x14ac:dyDescent="0.3">
      <c r="A27" s="449" t="s">
        <v>60</v>
      </c>
      <c r="B27" s="532" t="s">
        <v>61</v>
      </c>
      <c r="C27" s="532" t="s">
        <v>253</v>
      </c>
      <c r="D27" s="266"/>
      <c r="E27" s="266"/>
      <c r="F27" s="266"/>
      <c r="G27" s="266">
        <v>3</v>
      </c>
      <c r="H27" s="266">
        <v>11</v>
      </c>
      <c r="I27" s="266"/>
      <c r="J27" s="266">
        <v>3</v>
      </c>
      <c r="K27" s="266">
        <v>3</v>
      </c>
      <c r="L27" s="266">
        <v>1</v>
      </c>
      <c r="M27" s="266">
        <v>5</v>
      </c>
      <c r="N27" s="266">
        <v>5</v>
      </c>
      <c r="O27" s="266">
        <v>4</v>
      </c>
      <c r="P27" s="266">
        <f t="shared" si="1"/>
        <v>35</v>
      </c>
    </row>
    <row r="28" spans="1:16" x14ac:dyDescent="0.3">
      <c r="A28" s="449" t="s">
        <v>62</v>
      </c>
      <c r="B28" s="532" t="s">
        <v>63</v>
      </c>
      <c r="C28" s="532" t="s">
        <v>255</v>
      </c>
      <c r="D28" s="266">
        <v>26</v>
      </c>
      <c r="E28" s="266">
        <v>32</v>
      </c>
      <c r="F28" s="266">
        <v>15</v>
      </c>
      <c r="G28" s="266">
        <v>11</v>
      </c>
      <c r="H28" s="266">
        <v>13</v>
      </c>
      <c r="I28" s="266">
        <v>8</v>
      </c>
      <c r="J28" s="266">
        <v>13</v>
      </c>
      <c r="K28" s="266">
        <v>9</v>
      </c>
      <c r="L28" s="266">
        <v>26</v>
      </c>
      <c r="M28" s="266">
        <v>29</v>
      </c>
      <c r="N28" s="266">
        <v>18</v>
      </c>
      <c r="O28" s="266">
        <v>24</v>
      </c>
      <c r="P28" s="266">
        <f t="shared" si="1"/>
        <v>224</v>
      </c>
    </row>
    <row r="29" spans="1:16" x14ac:dyDescent="0.3">
      <c r="A29" s="449" t="s">
        <v>64</v>
      </c>
      <c r="B29" s="532" t="s">
        <v>65</v>
      </c>
      <c r="C29" s="532" t="s">
        <v>254</v>
      </c>
      <c r="D29" s="266">
        <v>4</v>
      </c>
      <c r="E29" s="266"/>
      <c r="F29" s="266"/>
      <c r="G29" s="266"/>
      <c r="H29" s="266"/>
      <c r="I29" s="266">
        <v>1</v>
      </c>
      <c r="J29" s="266"/>
      <c r="K29" s="266">
        <v>2</v>
      </c>
      <c r="L29" s="266"/>
      <c r="M29" s="266">
        <v>3</v>
      </c>
      <c r="N29" s="266">
        <v>5</v>
      </c>
      <c r="O29" s="266">
        <v>3</v>
      </c>
      <c r="P29" s="266">
        <f t="shared" si="1"/>
        <v>18</v>
      </c>
    </row>
    <row r="30" spans="1:16" x14ac:dyDescent="0.3">
      <c r="A30" s="449" t="s">
        <v>68</v>
      </c>
      <c r="B30" s="532" t="s">
        <v>69</v>
      </c>
      <c r="C30" s="532" t="s">
        <v>256</v>
      </c>
      <c r="D30" s="266">
        <v>1</v>
      </c>
      <c r="E30" s="266"/>
      <c r="F30" s="266">
        <v>3</v>
      </c>
      <c r="G30" s="266"/>
      <c r="H30" s="266">
        <v>1</v>
      </c>
      <c r="I30" s="266">
        <v>1</v>
      </c>
      <c r="J30" s="266">
        <v>2</v>
      </c>
      <c r="K30" s="266">
        <v>1</v>
      </c>
      <c r="L30" s="266"/>
      <c r="M30" s="266">
        <v>1</v>
      </c>
      <c r="N30" s="266">
        <v>1</v>
      </c>
      <c r="O30" s="266">
        <v>2</v>
      </c>
      <c r="P30" s="266">
        <f t="shared" si="1"/>
        <v>13</v>
      </c>
    </row>
    <row r="31" spans="1:16" x14ac:dyDescent="0.3">
      <c r="A31" s="449" t="s">
        <v>70</v>
      </c>
      <c r="B31" s="532" t="s">
        <v>71</v>
      </c>
      <c r="C31" s="532" t="s">
        <v>252</v>
      </c>
      <c r="D31" s="266">
        <v>7</v>
      </c>
      <c r="E31" s="266">
        <v>6</v>
      </c>
      <c r="F31" s="266">
        <v>7</v>
      </c>
      <c r="G31" s="266">
        <v>8</v>
      </c>
      <c r="H31" s="266">
        <v>7</v>
      </c>
      <c r="I31" s="266">
        <v>4</v>
      </c>
      <c r="J31" s="266">
        <v>10</v>
      </c>
      <c r="K31" s="266">
        <v>4</v>
      </c>
      <c r="L31" s="266">
        <v>4</v>
      </c>
      <c r="M31" s="266">
        <v>5</v>
      </c>
      <c r="N31" s="266">
        <v>9</v>
      </c>
      <c r="O31" s="266">
        <v>10</v>
      </c>
      <c r="P31" s="266">
        <f t="shared" si="1"/>
        <v>81</v>
      </c>
    </row>
    <row r="32" spans="1:16" x14ac:dyDescent="0.3">
      <c r="A32" s="449" t="s">
        <v>72</v>
      </c>
      <c r="B32" s="532" t="s">
        <v>73</v>
      </c>
      <c r="C32" s="532" t="s">
        <v>254</v>
      </c>
      <c r="D32" s="266">
        <v>3</v>
      </c>
      <c r="E32" s="266">
        <v>2</v>
      </c>
      <c r="F32" s="266"/>
      <c r="G32" s="266">
        <v>2</v>
      </c>
      <c r="H32" s="266">
        <v>1</v>
      </c>
      <c r="I32" s="266"/>
      <c r="J32" s="266">
        <v>1</v>
      </c>
      <c r="K32" s="266">
        <v>5</v>
      </c>
      <c r="L32" s="266">
        <v>4</v>
      </c>
      <c r="M32" s="266">
        <v>14</v>
      </c>
      <c r="N32" s="266">
        <v>6</v>
      </c>
      <c r="O32" s="266">
        <v>9</v>
      </c>
      <c r="P32" s="266">
        <f t="shared" si="1"/>
        <v>47</v>
      </c>
    </row>
    <row r="33" spans="1:16" x14ac:dyDescent="0.3">
      <c r="A33" s="449" t="s">
        <v>74</v>
      </c>
      <c r="B33" s="532" t="s">
        <v>284</v>
      </c>
      <c r="C33" s="532" t="s">
        <v>255</v>
      </c>
      <c r="D33" s="266">
        <v>98</v>
      </c>
      <c r="E33" s="266">
        <v>119</v>
      </c>
      <c r="F33" s="266">
        <v>82</v>
      </c>
      <c r="G33" s="266">
        <v>152</v>
      </c>
      <c r="H33" s="266">
        <v>90</v>
      </c>
      <c r="I33" s="266">
        <v>72</v>
      </c>
      <c r="J33" s="266">
        <v>48</v>
      </c>
      <c r="K33" s="266">
        <v>79</v>
      </c>
      <c r="L33" s="266">
        <v>373</v>
      </c>
      <c r="M33" s="266">
        <v>324</v>
      </c>
      <c r="N33" s="266">
        <v>245</v>
      </c>
      <c r="O33" s="266">
        <v>154</v>
      </c>
      <c r="P33" s="266">
        <f t="shared" si="1"/>
        <v>1836</v>
      </c>
    </row>
    <row r="34" spans="1:16" x14ac:dyDescent="0.3">
      <c r="A34" s="449" t="s">
        <v>76</v>
      </c>
      <c r="B34" s="532" t="s">
        <v>77</v>
      </c>
      <c r="C34" s="532" t="s">
        <v>255</v>
      </c>
      <c r="D34" s="266"/>
      <c r="E34" s="266"/>
      <c r="F34" s="266">
        <v>1</v>
      </c>
      <c r="G34" s="266">
        <v>2</v>
      </c>
      <c r="H34" s="266">
        <v>1</v>
      </c>
      <c r="I34" s="266">
        <v>2</v>
      </c>
      <c r="J34" s="266">
        <v>6</v>
      </c>
      <c r="K34" s="266">
        <v>1</v>
      </c>
      <c r="L34" s="266"/>
      <c r="M34" s="266"/>
      <c r="N34" s="266">
        <v>2</v>
      </c>
      <c r="O34" s="266">
        <v>3</v>
      </c>
      <c r="P34" s="266">
        <f t="shared" si="1"/>
        <v>18</v>
      </c>
    </row>
    <row r="35" spans="1:16" x14ac:dyDescent="0.3">
      <c r="A35" s="449" t="s">
        <v>78</v>
      </c>
      <c r="B35" s="532" t="s">
        <v>79</v>
      </c>
      <c r="C35" s="532" t="s">
        <v>256</v>
      </c>
      <c r="D35" s="266">
        <v>2</v>
      </c>
      <c r="E35" s="266"/>
      <c r="F35" s="266"/>
      <c r="G35" s="266"/>
      <c r="H35" s="266"/>
      <c r="I35" s="266">
        <v>1</v>
      </c>
      <c r="J35" s="266">
        <v>4</v>
      </c>
      <c r="K35" s="266">
        <v>1</v>
      </c>
      <c r="L35" s="266"/>
      <c r="M35" s="266">
        <v>3</v>
      </c>
      <c r="N35" s="266">
        <v>4</v>
      </c>
      <c r="O35" s="266">
        <v>3</v>
      </c>
      <c r="P35" s="266">
        <f t="shared" si="1"/>
        <v>18</v>
      </c>
    </row>
    <row r="36" spans="1:16" x14ac:dyDescent="0.3">
      <c r="A36" s="449" t="s">
        <v>80</v>
      </c>
      <c r="B36" s="532" t="s">
        <v>81</v>
      </c>
      <c r="C36" s="532" t="s">
        <v>254</v>
      </c>
      <c r="D36" s="266">
        <v>5</v>
      </c>
      <c r="E36" s="266">
        <v>3</v>
      </c>
      <c r="F36" s="266">
        <v>1</v>
      </c>
      <c r="G36" s="266">
        <v>1</v>
      </c>
      <c r="H36" s="266">
        <v>3</v>
      </c>
      <c r="I36" s="266"/>
      <c r="J36" s="266">
        <v>5</v>
      </c>
      <c r="K36" s="266">
        <v>2</v>
      </c>
      <c r="L36" s="266">
        <v>3</v>
      </c>
      <c r="M36" s="266">
        <v>2</v>
      </c>
      <c r="N36" s="266">
        <v>5</v>
      </c>
      <c r="O36" s="266">
        <v>5</v>
      </c>
      <c r="P36" s="266">
        <f t="shared" si="1"/>
        <v>35</v>
      </c>
    </row>
    <row r="37" spans="1:16" x14ac:dyDescent="0.3">
      <c r="A37" s="449" t="s">
        <v>84</v>
      </c>
      <c r="B37" s="532" t="s">
        <v>85</v>
      </c>
      <c r="C37" s="532" t="s">
        <v>253</v>
      </c>
      <c r="D37" s="266">
        <v>1</v>
      </c>
      <c r="E37" s="266">
        <v>8</v>
      </c>
      <c r="F37" s="266">
        <v>6</v>
      </c>
      <c r="G37" s="266">
        <v>5</v>
      </c>
      <c r="H37" s="266">
        <v>6</v>
      </c>
      <c r="I37" s="266">
        <v>3</v>
      </c>
      <c r="J37" s="266">
        <v>4</v>
      </c>
      <c r="K37" s="266">
        <v>7</v>
      </c>
      <c r="L37" s="266">
        <v>20</v>
      </c>
      <c r="M37" s="266">
        <v>15</v>
      </c>
      <c r="N37" s="266">
        <v>18</v>
      </c>
      <c r="O37" s="266">
        <v>18</v>
      </c>
      <c r="P37" s="266">
        <f t="shared" ref="P37:P68" si="2">SUM(D37:O37)</f>
        <v>111</v>
      </c>
    </row>
    <row r="38" spans="1:16" x14ac:dyDescent="0.3">
      <c r="A38" s="449" t="s">
        <v>86</v>
      </c>
      <c r="B38" s="532" t="s">
        <v>87</v>
      </c>
      <c r="C38" s="532" t="s">
        <v>255</v>
      </c>
      <c r="D38" s="266">
        <v>3</v>
      </c>
      <c r="E38" s="266">
        <v>5</v>
      </c>
      <c r="F38" s="266">
        <v>3</v>
      </c>
      <c r="G38" s="266">
        <v>4</v>
      </c>
      <c r="H38" s="266">
        <v>1</v>
      </c>
      <c r="I38" s="266">
        <v>2</v>
      </c>
      <c r="J38" s="266">
        <v>4</v>
      </c>
      <c r="K38" s="266">
        <v>5</v>
      </c>
      <c r="L38" s="266">
        <v>4</v>
      </c>
      <c r="M38" s="266"/>
      <c r="N38" s="266">
        <v>2</v>
      </c>
      <c r="O38" s="266">
        <v>5</v>
      </c>
      <c r="P38" s="266">
        <f t="shared" si="2"/>
        <v>38</v>
      </c>
    </row>
    <row r="39" spans="1:16" x14ac:dyDescent="0.3">
      <c r="A39" s="449" t="s">
        <v>92</v>
      </c>
      <c r="B39" s="532" t="s">
        <v>93</v>
      </c>
      <c r="C39" s="532" t="s">
        <v>256</v>
      </c>
      <c r="D39" s="266">
        <v>4</v>
      </c>
      <c r="E39" s="266">
        <v>1</v>
      </c>
      <c r="F39" s="266">
        <v>2</v>
      </c>
      <c r="G39" s="266">
        <v>4</v>
      </c>
      <c r="H39" s="266">
        <v>2</v>
      </c>
      <c r="I39" s="266"/>
      <c r="J39" s="266">
        <v>6</v>
      </c>
      <c r="K39" s="266">
        <v>3</v>
      </c>
      <c r="L39" s="266">
        <v>7</v>
      </c>
      <c r="M39" s="266">
        <v>3</v>
      </c>
      <c r="N39" s="266">
        <v>6</v>
      </c>
      <c r="O39" s="266">
        <v>3</v>
      </c>
      <c r="P39" s="266">
        <f t="shared" si="2"/>
        <v>41</v>
      </c>
    </row>
    <row r="40" spans="1:16" x14ac:dyDescent="0.3">
      <c r="A40" s="449" t="s">
        <v>94</v>
      </c>
      <c r="B40" s="532" t="s">
        <v>95</v>
      </c>
      <c r="C40" s="532" t="s">
        <v>252</v>
      </c>
      <c r="D40" s="266">
        <v>3</v>
      </c>
      <c r="E40" s="266">
        <v>2</v>
      </c>
      <c r="F40" s="266">
        <v>2</v>
      </c>
      <c r="G40" s="266">
        <v>5</v>
      </c>
      <c r="H40" s="266">
        <v>6</v>
      </c>
      <c r="I40" s="266">
        <v>2</v>
      </c>
      <c r="J40" s="266">
        <v>3</v>
      </c>
      <c r="K40" s="266">
        <v>6</v>
      </c>
      <c r="L40" s="266">
        <v>3</v>
      </c>
      <c r="M40" s="266">
        <v>10</v>
      </c>
      <c r="N40" s="266">
        <v>6</v>
      </c>
      <c r="O40" s="266">
        <v>6</v>
      </c>
      <c r="P40" s="266">
        <f t="shared" si="2"/>
        <v>54</v>
      </c>
    </row>
    <row r="41" spans="1:16" x14ac:dyDescent="0.3">
      <c r="A41" s="449" t="s">
        <v>96</v>
      </c>
      <c r="B41" s="532" t="s">
        <v>97</v>
      </c>
      <c r="C41" s="532" t="s">
        <v>254</v>
      </c>
      <c r="D41" s="266">
        <v>1</v>
      </c>
      <c r="E41" s="266"/>
      <c r="F41" s="266"/>
      <c r="G41" s="266"/>
      <c r="H41" s="266"/>
      <c r="I41" s="266"/>
      <c r="J41" s="266">
        <v>1</v>
      </c>
      <c r="K41" s="266">
        <v>1</v>
      </c>
      <c r="L41" s="266">
        <v>2</v>
      </c>
      <c r="M41" s="266">
        <v>1</v>
      </c>
      <c r="N41" s="266">
        <v>2</v>
      </c>
      <c r="O41" s="266">
        <v>1</v>
      </c>
      <c r="P41" s="266">
        <f t="shared" si="2"/>
        <v>9</v>
      </c>
    </row>
    <row r="42" spans="1:16" x14ac:dyDescent="0.3">
      <c r="A42" s="449" t="s">
        <v>98</v>
      </c>
      <c r="B42" s="532" t="s">
        <v>99</v>
      </c>
      <c r="C42" s="532" t="s">
        <v>256</v>
      </c>
      <c r="D42" s="266">
        <v>1</v>
      </c>
      <c r="E42" s="266">
        <v>4</v>
      </c>
      <c r="F42" s="266"/>
      <c r="G42" s="266">
        <v>3</v>
      </c>
      <c r="H42" s="266">
        <v>5</v>
      </c>
      <c r="I42" s="266">
        <v>3</v>
      </c>
      <c r="J42" s="266"/>
      <c r="K42" s="266">
        <v>1</v>
      </c>
      <c r="L42" s="266">
        <v>3</v>
      </c>
      <c r="M42" s="266">
        <v>4</v>
      </c>
      <c r="N42" s="266">
        <v>4</v>
      </c>
      <c r="O42" s="266">
        <v>2</v>
      </c>
      <c r="P42" s="266">
        <f t="shared" si="2"/>
        <v>30</v>
      </c>
    </row>
    <row r="43" spans="1:16" x14ac:dyDescent="0.3">
      <c r="A43" s="449" t="s">
        <v>100</v>
      </c>
      <c r="B43" s="532" t="s">
        <v>101</v>
      </c>
      <c r="C43" s="532" t="s">
        <v>255</v>
      </c>
      <c r="D43" s="266">
        <v>1</v>
      </c>
      <c r="E43" s="266"/>
      <c r="F43" s="266"/>
      <c r="G43" s="266"/>
      <c r="H43" s="266"/>
      <c r="I43" s="266"/>
      <c r="J43" s="266"/>
      <c r="K43" s="266"/>
      <c r="L43" s="266"/>
      <c r="M43" s="266"/>
      <c r="N43" s="266"/>
      <c r="O43" s="266"/>
      <c r="P43" s="266">
        <f t="shared" si="2"/>
        <v>1</v>
      </c>
    </row>
    <row r="44" spans="1:16" x14ac:dyDescent="0.3">
      <c r="A44" s="449" t="s">
        <v>102</v>
      </c>
      <c r="B44" s="532" t="s">
        <v>270</v>
      </c>
      <c r="C44" s="532" t="s">
        <v>252</v>
      </c>
      <c r="D44" s="266">
        <v>10</v>
      </c>
      <c r="E44" s="266">
        <v>11</v>
      </c>
      <c r="F44" s="266">
        <v>1</v>
      </c>
      <c r="G44" s="266">
        <v>7</v>
      </c>
      <c r="H44" s="266">
        <v>5</v>
      </c>
      <c r="I44" s="266">
        <v>6</v>
      </c>
      <c r="J44" s="266">
        <v>4</v>
      </c>
      <c r="K44" s="266">
        <v>3</v>
      </c>
      <c r="L44" s="266">
        <v>27</v>
      </c>
      <c r="M44" s="266">
        <v>7</v>
      </c>
      <c r="N44" s="266">
        <v>11</v>
      </c>
      <c r="O44" s="266">
        <v>16</v>
      </c>
      <c r="P44" s="266">
        <f t="shared" si="2"/>
        <v>108</v>
      </c>
    </row>
    <row r="45" spans="1:16" x14ac:dyDescent="0.3">
      <c r="A45" s="449" t="s">
        <v>104</v>
      </c>
      <c r="B45" s="532" t="s">
        <v>105</v>
      </c>
      <c r="C45" s="532" t="s">
        <v>253</v>
      </c>
      <c r="D45" s="266">
        <v>7</v>
      </c>
      <c r="E45" s="266">
        <v>8</v>
      </c>
      <c r="F45" s="266">
        <v>2</v>
      </c>
      <c r="G45" s="266">
        <v>4</v>
      </c>
      <c r="H45" s="266">
        <v>2</v>
      </c>
      <c r="I45" s="266">
        <v>3</v>
      </c>
      <c r="J45" s="266">
        <v>4</v>
      </c>
      <c r="K45" s="266">
        <v>6</v>
      </c>
      <c r="L45" s="266">
        <v>11</v>
      </c>
      <c r="M45" s="266">
        <v>4</v>
      </c>
      <c r="N45" s="266">
        <v>3</v>
      </c>
      <c r="O45" s="266">
        <v>14</v>
      </c>
      <c r="P45" s="266">
        <f t="shared" si="2"/>
        <v>68</v>
      </c>
    </row>
    <row r="46" spans="1:16" x14ac:dyDescent="0.3">
      <c r="A46" s="449" t="s">
        <v>108</v>
      </c>
      <c r="B46" s="532" t="s">
        <v>109</v>
      </c>
      <c r="C46" s="532" t="s">
        <v>254</v>
      </c>
      <c r="D46" s="266">
        <v>24</v>
      </c>
      <c r="E46" s="266">
        <v>31</v>
      </c>
      <c r="F46" s="266">
        <v>30</v>
      </c>
      <c r="G46" s="266">
        <v>17</v>
      </c>
      <c r="H46" s="266">
        <v>13</v>
      </c>
      <c r="I46" s="266">
        <v>26</v>
      </c>
      <c r="J46" s="266">
        <v>11</v>
      </c>
      <c r="K46" s="266">
        <v>24</v>
      </c>
      <c r="L46" s="266">
        <v>16</v>
      </c>
      <c r="M46" s="266">
        <v>18</v>
      </c>
      <c r="N46" s="266">
        <v>24</v>
      </c>
      <c r="O46" s="266">
        <v>24</v>
      </c>
      <c r="P46" s="266">
        <f t="shared" si="2"/>
        <v>258</v>
      </c>
    </row>
    <row r="47" spans="1:16" x14ac:dyDescent="0.3">
      <c r="A47" s="449" t="s">
        <v>110</v>
      </c>
      <c r="B47" s="532" t="s">
        <v>111</v>
      </c>
      <c r="C47" s="532" t="s">
        <v>254</v>
      </c>
      <c r="D47" s="266">
        <v>51</v>
      </c>
      <c r="E47" s="266">
        <v>58</v>
      </c>
      <c r="F47" s="266">
        <v>35</v>
      </c>
      <c r="G47" s="266">
        <v>46</v>
      </c>
      <c r="H47" s="266">
        <v>25</v>
      </c>
      <c r="I47" s="266">
        <v>29</v>
      </c>
      <c r="J47" s="266">
        <v>30</v>
      </c>
      <c r="K47" s="266">
        <v>50</v>
      </c>
      <c r="L47" s="266">
        <v>52</v>
      </c>
      <c r="M47" s="266">
        <v>50</v>
      </c>
      <c r="N47" s="266">
        <v>38</v>
      </c>
      <c r="O47" s="266">
        <v>34</v>
      </c>
      <c r="P47" s="266">
        <f t="shared" si="2"/>
        <v>498</v>
      </c>
    </row>
    <row r="48" spans="1:16" x14ac:dyDescent="0.3">
      <c r="A48" s="449" t="s">
        <v>112</v>
      </c>
      <c r="B48" s="532" t="s">
        <v>288</v>
      </c>
      <c r="C48" s="532" t="s">
        <v>253</v>
      </c>
      <c r="D48" s="266">
        <v>30</v>
      </c>
      <c r="E48" s="266">
        <v>40</v>
      </c>
      <c r="F48" s="266">
        <v>19</v>
      </c>
      <c r="G48" s="266">
        <v>31</v>
      </c>
      <c r="H48" s="266">
        <v>21</v>
      </c>
      <c r="I48" s="266">
        <v>21</v>
      </c>
      <c r="J48" s="266">
        <v>18</v>
      </c>
      <c r="K48" s="266">
        <v>27</v>
      </c>
      <c r="L48" s="266">
        <v>30</v>
      </c>
      <c r="M48" s="266">
        <v>25</v>
      </c>
      <c r="N48" s="266">
        <v>29</v>
      </c>
      <c r="O48" s="266">
        <v>37</v>
      </c>
      <c r="P48" s="266">
        <f t="shared" si="2"/>
        <v>328</v>
      </c>
    </row>
    <row r="49" spans="1:16" x14ac:dyDescent="0.3">
      <c r="A49" s="449" t="s">
        <v>114</v>
      </c>
      <c r="B49" s="532" t="s">
        <v>115</v>
      </c>
      <c r="C49" s="532" t="s">
        <v>253</v>
      </c>
      <c r="D49" s="266"/>
      <c r="E49" s="266"/>
      <c r="F49" s="266"/>
      <c r="G49" s="266"/>
      <c r="H49" s="266"/>
      <c r="I49" s="266"/>
      <c r="J49" s="266"/>
      <c r="K49" s="266"/>
      <c r="L49" s="266"/>
      <c r="M49" s="266">
        <v>1</v>
      </c>
      <c r="N49" s="266"/>
      <c r="O49" s="266"/>
      <c r="P49" s="266">
        <f t="shared" si="2"/>
        <v>1</v>
      </c>
    </row>
    <row r="50" spans="1:16" x14ac:dyDescent="0.3">
      <c r="A50" s="449" t="s">
        <v>118</v>
      </c>
      <c r="B50" s="532" t="s">
        <v>258</v>
      </c>
      <c r="C50" s="532" t="s">
        <v>252</v>
      </c>
      <c r="D50" s="266">
        <v>2</v>
      </c>
      <c r="E50" s="266">
        <v>3</v>
      </c>
      <c r="F50" s="266">
        <v>2</v>
      </c>
      <c r="G50" s="266">
        <v>8</v>
      </c>
      <c r="H50" s="266"/>
      <c r="I50" s="266">
        <v>1</v>
      </c>
      <c r="J50" s="266"/>
      <c r="K50" s="266">
        <v>3</v>
      </c>
      <c r="L50" s="266">
        <v>3</v>
      </c>
      <c r="M50" s="266">
        <v>9</v>
      </c>
      <c r="N50" s="266">
        <v>5</v>
      </c>
      <c r="O50" s="266">
        <v>4</v>
      </c>
      <c r="P50" s="266">
        <f t="shared" si="2"/>
        <v>40</v>
      </c>
    </row>
    <row r="51" spans="1:16" x14ac:dyDescent="0.3">
      <c r="A51" s="449" t="s">
        <v>120</v>
      </c>
      <c r="B51" s="532" t="s">
        <v>121</v>
      </c>
      <c r="C51" s="532" t="s">
        <v>252</v>
      </c>
      <c r="D51" s="266">
        <v>21</v>
      </c>
      <c r="E51" s="266">
        <v>26</v>
      </c>
      <c r="F51" s="266">
        <v>11</v>
      </c>
      <c r="G51" s="266">
        <v>8</v>
      </c>
      <c r="H51" s="266">
        <v>10</v>
      </c>
      <c r="I51" s="266">
        <v>9</v>
      </c>
      <c r="J51" s="266">
        <v>12</v>
      </c>
      <c r="K51" s="266">
        <v>19</v>
      </c>
      <c r="L51" s="266">
        <v>21</v>
      </c>
      <c r="M51" s="266">
        <v>26</v>
      </c>
      <c r="N51" s="266">
        <v>21</v>
      </c>
      <c r="O51" s="266">
        <v>16</v>
      </c>
      <c r="P51" s="266">
        <f t="shared" si="2"/>
        <v>200</v>
      </c>
    </row>
    <row r="52" spans="1:16" x14ac:dyDescent="0.3">
      <c r="A52" s="449" t="s">
        <v>122</v>
      </c>
      <c r="B52" s="532" t="s">
        <v>275</v>
      </c>
      <c r="C52" s="532" t="s">
        <v>254</v>
      </c>
      <c r="D52" s="266"/>
      <c r="E52" s="266"/>
      <c r="F52" s="266"/>
      <c r="G52" s="266">
        <v>1</v>
      </c>
      <c r="H52" s="266">
        <v>3</v>
      </c>
      <c r="I52" s="266">
        <v>1</v>
      </c>
      <c r="J52" s="266">
        <v>3</v>
      </c>
      <c r="K52" s="266">
        <v>2</v>
      </c>
      <c r="L52" s="266">
        <v>6</v>
      </c>
      <c r="M52" s="266">
        <v>6</v>
      </c>
      <c r="N52" s="266">
        <v>3</v>
      </c>
      <c r="O52" s="266">
        <v>3</v>
      </c>
      <c r="P52" s="266">
        <f t="shared" si="2"/>
        <v>28</v>
      </c>
    </row>
    <row r="53" spans="1:16" x14ac:dyDescent="0.3">
      <c r="A53" s="449" t="s">
        <v>124</v>
      </c>
      <c r="B53" s="532" t="s">
        <v>125</v>
      </c>
      <c r="C53" s="532" t="s">
        <v>255</v>
      </c>
      <c r="D53" s="266"/>
      <c r="E53" s="266">
        <v>1</v>
      </c>
      <c r="F53" s="266"/>
      <c r="G53" s="266">
        <v>3</v>
      </c>
      <c r="H53" s="266">
        <v>2</v>
      </c>
      <c r="I53" s="266">
        <v>4</v>
      </c>
      <c r="J53" s="266"/>
      <c r="K53" s="266">
        <v>4</v>
      </c>
      <c r="L53" s="266">
        <v>3</v>
      </c>
      <c r="M53" s="266">
        <v>8</v>
      </c>
      <c r="N53" s="266">
        <v>1</v>
      </c>
      <c r="O53" s="266"/>
      <c r="P53" s="266">
        <f t="shared" si="2"/>
        <v>26</v>
      </c>
    </row>
    <row r="54" spans="1:16" x14ac:dyDescent="0.3">
      <c r="A54" s="449" t="s">
        <v>126</v>
      </c>
      <c r="B54" s="532" t="s">
        <v>127</v>
      </c>
      <c r="C54" s="532" t="s">
        <v>254</v>
      </c>
      <c r="D54" s="266">
        <v>5</v>
      </c>
      <c r="E54" s="266">
        <v>7</v>
      </c>
      <c r="F54" s="266">
        <v>2</v>
      </c>
      <c r="G54" s="266">
        <v>7</v>
      </c>
      <c r="H54" s="266">
        <v>6</v>
      </c>
      <c r="I54" s="266">
        <v>7</v>
      </c>
      <c r="J54" s="266">
        <v>8</v>
      </c>
      <c r="K54" s="266">
        <v>3</v>
      </c>
      <c r="L54" s="266">
        <v>2</v>
      </c>
      <c r="M54" s="266">
        <v>4</v>
      </c>
      <c r="N54" s="266">
        <v>7</v>
      </c>
      <c r="O54" s="266">
        <v>3</v>
      </c>
      <c r="P54" s="266">
        <f t="shared" si="2"/>
        <v>61</v>
      </c>
    </row>
    <row r="55" spans="1:16" x14ac:dyDescent="0.3">
      <c r="A55" s="449" t="s">
        <v>128</v>
      </c>
      <c r="B55" s="532" t="s">
        <v>129</v>
      </c>
      <c r="C55" s="532" t="s">
        <v>254</v>
      </c>
      <c r="D55" s="266"/>
      <c r="E55" s="266"/>
      <c r="F55" s="266"/>
      <c r="G55" s="266"/>
      <c r="H55" s="266"/>
      <c r="I55" s="266"/>
      <c r="J55" s="266"/>
      <c r="K55" s="266"/>
      <c r="L55" s="266"/>
      <c r="M55" s="266">
        <v>3</v>
      </c>
      <c r="N55" s="266">
        <v>3</v>
      </c>
      <c r="O55" s="266"/>
      <c r="P55" s="266">
        <f t="shared" si="2"/>
        <v>6</v>
      </c>
    </row>
    <row r="56" spans="1:16" x14ac:dyDescent="0.3">
      <c r="A56" s="449" t="s">
        <v>130</v>
      </c>
      <c r="B56" s="532" t="s">
        <v>131</v>
      </c>
      <c r="C56" s="532" t="s">
        <v>256</v>
      </c>
      <c r="D56" s="266">
        <v>1</v>
      </c>
      <c r="E56" s="266">
        <v>3</v>
      </c>
      <c r="F56" s="266">
        <v>2</v>
      </c>
      <c r="G56" s="266">
        <v>2</v>
      </c>
      <c r="H56" s="266">
        <v>4</v>
      </c>
      <c r="I56" s="266"/>
      <c r="J56" s="266">
        <v>6</v>
      </c>
      <c r="K56" s="266"/>
      <c r="L56" s="266">
        <v>1</v>
      </c>
      <c r="M56" s="266">
        <v>1</v>
      </c>
      <c r="N56" s="266">
        <v>2</v>
      </c>
      <c r="O56" s="266">
        <v>1</v>
      </c>
      <c r="P56" s="266">
        <f t="shared" si="2"/>
        <v>23</v>
      </c>
    </row>
    <row r="57" spans="1:16" x14ac:dyDescent="0.3">
      <c r="A57" s="449" t="s">
        <v>132</v>
      </c>
      <c r="B57" s="532" t="s">
        <v>133</v>
      </c>
      <c r="C57" s="532" t="s">
        <v>255</v>
      </c>
      <c r="D57" s="266">
        <v>12</v>
      </c>
      <c r="E57" s="266">
        <v>9</v>
      </c>
      <c r="F57" s="266">
        <v>8</v>
      </c>
      <c r="G57" s="266">
        <v>11</v>
      </c>
      <c r="H57" s="266">
        <v>7</v>
      </c>
      <c r="I57" s="266">
        <v>12</v>
      </c>
      <c r="J57" s="266">
        <v>14</v>
      </c>
      <c r="K57" s="266">
        <v>9</v>
      </c>
      <c r="L57" s="266">
        <v>9</v>
      </c>
      <c r="M57" s="266">
        <v>8</v>
      </c>
      <c r="N57" s="266">
        <v>26</v>
      </c>
      <c r="O57" s="266">
        <v>22</v>
      </c>
      <c r="P57" s="266">
        <f t="shared" si="2"/>
        <v>147</v>
      </c>
    </row>
    <row r="58" spans="1:16" x14ac:dyDescent="0.3">
      <c r="A58" s="449" t="s">
        <v>134</v>
      </c>
      <c r="B58" s="532" t="s">
        <v>135</v>
      </c>
      <c r="C58" s="532" t="s">
        <v>255</v>
      </c>
      <c r="D58" s="266"/>
      <c r="E58" s="266">
        <v>5</v>
      </c>
      <c r="F58" s="266">
        <v>4</v>
      </c>
      <c r="G58" s="266">
        <v>1</v>
      </c>
      <c r="H58" s="266"/>
      <c r="I58" s="266">
        <v>1</v>
      </c>
      <c r="J58" s="266">
        <v>3</v>
      </c>
      <c r="K58" s="266">
        <v>2</v>
      </c>
      <c r="L58" s="266">
        <v>1</v>
      </c>
      <c r="M58" s="266"/>
      <c r="N58" s="266"/>
      <c r="O58" s="266">
        <v>2</v>
      </c>
      <c r="P58" s="266">
        <f t="shared" si="2"/>
        <v>19</v>
      </c>
    </row>
    <row r="59" spans="1:16" x14ac:dyDescent="0.3">
      <c r="A59" s="449" t="s">
        <v>136</v>
      </c>
      <c r="B59" s="532" t="s">
        <v>137</v>
      </c>
      <c r="C59" s="532" t="s">
        <v>254</v>
      </c>
      <c r="D59" s="266">
        <v>1</v>
      </c>
      <c r="E59" s="266">
        <v>2</v>
      </c>
      <c r="F59" s="266">
        <v>3</v>
      </c>
      <c r="G59" s="266">
        <v>1</v>
      </c>
      <c r="H59" s="266"/>
      <c r="I59" s="266">
        <v>1</v>
      </c>
      <c r="J59" s="266">
        <v>2</v>
      </c>
      <c r="K59" s="266">
        <v>2</v>
      </c>
      <c r="L59" s="266">
        <v>1</v>
      </c>
      <c r="M59" s="266">
        <v>1</v>
      </c>
      <c r="N59" s="266"/>
      <c r="O59" s="266">
        <v>1</v>
      </c>
      <c r="P59" s="266">
        <f t="shared" si="2"/>
        <v>15</v>
      </c>
    </row>
    <row r="60" spans="1:16" x14ac:dyDescent="0.3">
      <c r="A60" s="449" t="s">
        <v>140</v>
      </c>
      <c r="B60" s="532" t="s">
        <v>141</v>
      </c>
      <c r="C60" s="532" t="s">
        <v>255</v>
      </c>
      <c r="D60" s="266">
        <v>5</v>
      </c>
      <c r="E60" s="266"/>
      <c r="F60" s="266"/>
      <c r="G60" s="266"/>
      <c r="H60" s="266"/>
      <c r="I60" s="266"/>
      <c r="J60" s="266">
        <v>1</v>
      </c>
      <c r="K60" s="266">
        <v>1</v>
      </c>
      <c r="L60" s="266">
        <v>1</v>
      </c>
      <c r="M60" s="266">
        <v>1</v>
      </c>
      <c r="N60" s="266">
        <v>2</v>
      </c>
      <c r="O60" s="266"/>
      <c r="P60" s="266">
        <f t="shared" si="2"/>
        <v>11</v>
      </c>
    </row>
    <row r="61" spans="1:16" x14ac:dyDescent="0.3">
      <c r="A61" s="449" t="s">
        <v>146</v>
      </c>
      <c r="B61" s="532" t="s">
        <v>147</v>
      </c>
      <c r="C61" s="532" t="s">
        <v>252</v>
      </c>
      <c r="D61" s="266"/>
      <c r="E61" s="266">
        <v>1</v>
      </c>
      <c r="F61" s="266">
        <v>4</v>
      </c>
      <c r="G61" s="266">
        <v>3</v>
      </c>
      <c r="H61" s="266">
        <v>4</v>
      </c>
      <c r="I61" s="266"/>
      <c r="J61" s="266">
        <v>3</v>
      </c>
      <c r="K61" s="266">
        <v>1</v>
      </c>
      <c r="L61" s="266">
        <v>1</v>
      </c>
      <c r="M61" s="266"/>
      <c r="N61" s="266">
        <v>1</v>
      </c>
      <c r="O61" s="266">
        <v>3</v>
      </c>
      <c r="P61" s="266">
        <f t="shared" si="2"/>
        <v>21</v>
      </c>
    </row>
    <row r="62" spans="1:16" x14ac:dyDescent="0.3">
      <c r="A62" s="449" t="s">
        <v>148</v>
      </c>
      <c r="B62" s="532" t="s">
        <v>149</v>
      </c>
      <c r="C62" s="532" t="s">
        <v>253</v>
      </c>
      <c r="D62" s="266">
        <v>5</v>
      </c>
      <c r="E62" s="266">
        <v>7</v>
      </c>
      <c r="F62" s="266">
        <v>4</v>
      </c>
      <c r="G62" s="266">
        <v>4</v>
      </c>
      <c r="H62" s="266">
        <v>8</v>
      </c>
      <c r="I62" s="266">
        <v>6</v>
      </c>
      <c r="J62" s="266">
        <v>5</v>
      </c>
      <c r="K62" s="266">
        <v>5</v>
      </c>
      <c r="L62" s="266">
        <v>4</v>
      </c>
      <c r="M62" s="266">
        <v>3</v>
      </c>
      <c r="N62" s="266">
        <v>2</v>
      </c>
      <c r="O62" s="266">
        <v>8</v>
      </c>
      <c r="P62" s="266">
        <f t="shared" si="2"/>
        <v>61</v>
      </c>
    </row>
    <row r="63" spans="1:16" x14ac:dyDescent="0.3">
      <c r="A63" s="449" t="s">
        <v>150</v>
      </c>
      <c r="B63" s="532" t="s">
        <v>151</v>
      </c>
      <c r="C63" s="532" t="s">
        <v>254</v>
      </c>
      <c r="D63" s="266">
        <v>5</v>
      </c>
      <c r="E63" s="266">
        <v>5</v>
      </c>
      <c r="F63" s="266">
        <v>1</v>
      </c>
      <c r="G63" s="266">
        <v>1</v>
      </c>
      <c r="H63" s="266"/>
      <c r="I63" s="266">
        <v>2</v>
      </c>
      <c r="J63" s="266">
        <v>3</v>
      </c>
      <c r="K63" s="266">
        <v>4</v>
      </c>
      <c r="L63" s="266">
        <v>8</v>
      </c>
      <c r="M63" s="266">
        <v>4</v>
      </c>
      <c r="N63" s="266">
        <v>9</v>
      </c>
      <c r="O63" s="266">
        <v>15</v>
      </c>
      <c r="P63" s="266">
        <f t="shared" si="2"/>
        <v>57</v>
      </c>
    </row>
    <row r="64" spans="1:16" x14ac:dyDescent="0.3">
      <c r="A64" s="449" t="s">
        <v>152</v>
      </c>
      <c r="B64" s="532" t="s">
        <v>153</v>
      </c>
      <c r="C64" s="532" t="s">
        <v>256</v>
      </c>
      <c r="D64" s="266">
        <v>12</v>
      </c>
      <c r="E64" s="266">
        <v>24</v>
      </c>
      <c r="F64" s="266">
        <v>14</v>
      </c>
      <c r="G64" s="266">
        <v>14</v>
      </c>
      <c r="H64" s="266">
        <v>8</v>
      </c>
      <c r="I64" s="266">
        <v>2</v>
      </c>
      <c r="J64" s="266">
        <v>7</v>
      </c>
      <c r="K64" s="266">
        <v>7</v>
      </c>
      <c r="L64" s="266">
        <v>29</v>
      </c>
      <c r="M64" s="266">
        <v>19</v>
      </c>
      <c r="N64" s="266">
        <v>30</v>
      </c>
      <c r="O64" s="266">
        <v>20</v>
      </c>
      <c r="P64" s="266">
        <f t="shared" si="2"/>
        <v>186</v>
      </c>
    </row>
    <row r="65" spans="1:16" x14ac:dyDescent="0.3">
      <c r="A65" s="449" t="s">
        <v>154</v>
      </c>
      <c r="B65" s="532" t="s">
        <v>155</v>
      </c>
      <c r="C65" s="532" t="s">
        <v>253</v>
      </c>
      <c r="D65" s="266">
        <v>2</v>
      </c>
      <c r="E65" s="266">
        <v>1</v>
      </c>
      <c r="F65" s="266">
        <v>2</v>
      </c>
      <c r="G65" s="266">
        <v>1</v>
      </c>
      <c r="H65" s="266">
        <v>1</v>
      </c>
      <c r="I65" s="266"/>
      <c r="J65" s="266"/>
      <c r="K65" s="266">
        <v>1</v>
      </c>
      <c r="L65" s="266">
        <v>2</v>
      </c>
      <c r="M65" s="266">
        <v>1</v>
      </c>
      <c r="N65" s="266">
        <v>1</v>
      </c>
      <c r="O65" s="266"/>
      <c r="P65" s="266">
        <f t="shared" si="2"/>
        <v>12</v>
      </c>
    </row>
    <row r="66" spans="1:16" x14ac:dyDescent="0.3">
      <c r="A66" s="449" t="s">
        <v>156</v>
      </c>
      <c r="B66" s="532" t="s">
        <v>157</v>
      </c>
      <c r="C66" s="532" t="s">
        <v>254</v>
      </c>
      <c r="D66" s="266">
        <v>2</v>
      </c>
      <c r="E66" s="266">
        <v>2</v>
      </c>
      <c r="F66" s="266">
        <v>1</v>
      </c>
      <c r="G66" s="266">
        <v>1</v>
      </c>
      <c r="H66" s="266">
        <v>1</v>
      </c>
      <c r="I66" s="266"/>
      <c r="J66" s="266">
        <v>1</v>
      </c>
      <c r="K66" s="266">
        <v>2</v>
      </c>
      <c r="L66" s="266">
        <v>3</v>
      </c>
      <c r="M66" s="266">
        <v>5</v>
      </c>
      <c r="N66" s="266">
        <v>5</v>
      </c>
      <c r="O66" s="266">
        <v>2</v>
      </c>
      <c r="P66" s="266">
        <f t="shared" si="2"/>
        <v>25</v>
      </c>
    </row>
    <row r="67" spans="1:16" x14ac:dyDescent="0.3">
      <c r="A67" s="449" t="s">
        <v>162</v>
      </c>
      <c r="B67" s="532" t="s">
        <v>163</v>
      </c>
      <c r="C67" s="532" t="s">
        <v>252</v>
      </c>
      <c r="D67" s="266">
        <v>3</v>
      </c>
      <c r="E67" s="266">
        <v>1</v>
      </c>
      <c r="F67" s="266">
        <v>3</v>
      </c>
      <c r="G67" s="266">
        <v>3</v>
      </c>
      <c r="H67" s="266"/>
      <c r="I67" s="266"/>
      <c r="J67" s="266"/>
      <c r="K67" s="266"/>
      <c r="L67" s="266">
        <v>2</v>
      </c>
      <c r="M67" s="266">
        <v>2</v>
      </c>
      <c r="N67" s="266">
        <v>5</v>
      </c>
      <c r="O67" s="266">
        <v>4</v>
      </c>
      <c r="P67" s="266">
        <f t="shared" si="2"/>
        <v>23</v>
      </c>
    </row>
    <row r="68" spans="1:16" x14ac:dyDescent="0.3">
      <c r="A68" s="449" t="s">
        <v>164</v>
      </c>
      <c r="B68" s="532" t="s">
        <v>165</v>
      </c>
      <c r="C68" s="532" t="s">
        <v>254</v>
      </c>
      <c r="D68" s="266"/>
      <c r="E68" s="266"/>
      <c r="F68" s="266"/>
      <c r="G68" s="266"/>
      <c r="H68" s="266"/>
      <c r="I68" s="266"/>
      <c r="J68" s="266"/>
      <c r="K68" s="266"/>
      <c r="L68" s="266">
        <v>4</v>
      </c>
      <c r="M68" s="266"/>
      <c r="N68" s="266">
        <v>1</v>
      </c>
      <c r="O68" s="266">
        <v>1</v>
      </c>
      <c r="P68" s="266">
        <f t="shared" si="2"/>
        <v>6</v>
      </c>
    </row>
    <row r="69" spans="1:16" x14ac:dyDescent="0.3">
      <c r="A69" s="449" t="s">
        <v>168</v>
      </c>
      <c r="B69" s="532" t="s">
        <v>169</v>
      </c>
      <c r="C69" s="532" t="s">
        <v>254</v>
      </c>
      <c r="D69" s="266">
        <v>1</v>
      </c>
      <c r="E69" s="266">
        <v>4</v>
      </c>
      <c r="F69" s="266">
        <v>5</v>
      </c>
      <c r="G69" s="266">
        <v>3</v>
      </c>
      <c r="H69" s="266">
        <v>1</v>
      </c>
      <c r="I69" s="266">
        <v>4</v>
      </c>
      <c r="J69" s="266"/>
      <c r="K69" s="266">
        <v>3</v>
      </c>
      <c r="L69" s="266">
        <v>1</v>
      </c>
      <c r="M69" s="266">
        <v>7</v>
      </c>
      <c r="N69" s="266">
        <v>5</v>
      </c>
      <c r="O69" s="266">
        <v>3</v>
      </c>
      <c r="P69" s="266">
        <f t="shared" ref="P69:P100" si="3">SUM(D69:O69)</f>
        <v>37</v>
      </c>
    </row>
    <row r="70" spans="1:16" x14ac:dyDescent="0.3">
      <c r="A70" s="449" t="s">
        <v>170</v>
      </c>
      <c r="B70" s="532" t="s">
        <v>171</v>
      </c>
      <c r="C70" s="532" t="s">
        <v>255</v>
      </c>
      <c r="D70" s="266">
        <v>8</v>
      </c>
      <c r="E70" s="266">
        <v>24</v>
      </c>
      <c r="F70" s="266">
        <v>9</v>
      </c>
      <c r="G70" s="266">
        <v>15</v>
      </c>
      <c r="H70" s="266">
        <v>7</v>
      </c>
      <c r="I70" s="266">
        <v>8</v>
      </c>
      <c r="J70" s="266">
        <v>16</v>
      </c>
      <c r="K70" s="266">
        <v>9</v>
      </c>
      <c r="L70" s="266">
        <v>3</v>
      </c>
      <c r="M70" s="266">
        <v>11</v>
      </c>
      <c r="N70" s="266">
        <v>9</v>
      </c>
      <c r="O70" s="266">
        <v>5</v>
      </c>
      <c r="P70" s="266">
        <f t="shared" si="3"/>
        <v>124</v>
      </c>
    </row>
    <row r="71" spans="1:16" x14ac:dyDescent="0.3">
      <c r="A71" s="449" t="s">
        <v>172</v>
      </c>
      <c r="B71" s="532" t="s">
        <v>173</v>
      </c>
      <c r="C71" s="532" t="s">
        <v>255</v>
      </c>
      <c r="D71" s="266">
        <v>2</v>
      </c>
      <c r="E71" s="266">
        <v>2</v>
      </c>
      <c r="F71" s="266">
        <v>1</v>
      </c>
      <c r="G71" s="266">
        <v>1</v>
      </c>
      <c r="H71" s="266"/>
      <c r="I71" s="266">
        <v>1</v>
      </c>
      <c r="J71" s="266">
        <v>2</v>
      </c>
      <c r="K71" s="266">
        <v>1</v>
      </c>
      <c r="L71" s="266"/>
      <c r="M71" s="266"/>
      <c r="N71" s="266"/>
      <c r="O71" s="266">
        <v>3</v>
      </c>
      <c r="P71" s="266">
        <f t="shared" si="3"/>
        <v>13</v>
      </c>
    </row>
    <row r="72" spans="1:16" x14ac:dyDescent="0.3">
      <c r="A72" s="449" t="s">
        <v>174</v>
      </c>
      <c r="B72" s="532" t="s">
        <v>175</v>
      </c>
      <c r="C72" s="532" t="s">
        <v>256</v>
      </c>
      <c r="D72" s="266"/>
      <c r="E72" s="266">
        <v>2</v>
      </c>
      <c r="F72" s="266">
        <v>2</v>
      </c>
      <c r="G72" s="266">
        <v>2</v>
      </c>
      <c r="H72" s="266"/>
      <c r="I72" s="266"/>
      <c r="J72" s="266">
        <v>3</v>
      </c>
      <c r="K72" s="266">
        <v>3</v>
      </c>
      <c r="L72" s="266">
        <v>4</v>
      </c>
      <c r="M72" s="266">
        <v>1</v>
      </c>
      <c r="N72" s="266"/>
      <c r="O72" s="266">
        <v>1</v>
      </c>
      <c r="P72" s="266">
        <f t="shared" si="3"/>
        <v>18</v>
      </c>
    </row>
    <row r="73" spans="1:16" x14ac:dyDescent="0.3">
      <c r="A73" s="449" t="s">
        <v>178</v>
      </c>
      <c r="B73" s="532" t="s">
        <v>179</v>
      </c>
      <c r="C73" s="532" t="s">
        <v>253</v>
      </c>
      <c r="D73" s="266">
        <v>4</v>
      </c>
      <c r="E73" s="266">
        <v>2</v>
      </c>
      <c r="F73" s="266">
        <v>4</v>
      </c>
      <c r="G73" s="266">
        <v>12</v>
      </c>
      <c r="H73" s="266">
        <v>12</v>
      </c>
      <c r="I73" s="266">
        <v>1</v>
      </c>
      <c r="J73" s="266"/>
      <c r="K73" s="266">
        <v>6</v>
      </c>
      <c r="L73" s="266">
        <v>14</v>
      </c>
      <c r="M73" s="266">
        <v>11</v>
      </c>
      <c r="N73" s="266">
        <v>13</v>
      </c>
      <c r="O73" s="266">
        <v>13</v>
      </c>
      <c r="P73" s="266">
        <f t="shared" si="3"/>
        <v>92</v>
      </c>
    </row>
    <row r="74" spans="1:16" x14ac:dyDescent="0.3">
      <c r="A74" s="449" t="s">
        <v>182</v>
      </c>
      <c r="B74" s="532" t="s">
        <v>183</v>
      </c>
      <c r="C74" s="532" t="s">
        <v>254</v>
      </c>
      <c r="D74" s="266">
        <v>4</v>
      </c>
      <c r="E74" s="266">
        <v>5</v>
      </c>
      <c r="F74" s="266">
        <v>6</v>
      </c>
      <c r="G74" s="266"/>
      <c r="H74" s="266">
        <v>2</v>
      </c>
      <c r="I74" s="266">
        <v>2</v>
      </c>
      <c r="J74" s="266"/>
      <c r="K74" s="266">
        <v>1</v>
      </c>
      <c r="L74" s="266"/>
      <c r="M74" s="266"/>
      <c r="N74" s="266">
        <v>2</v>
      </c>
      <c r="O74" s="266"/>
      <c r="P74" s="266">
        <f t="shared" si="3"/>
        <v>22</v>
      </c>
    </row>
    <row r="75" spans="1:16" x14ac:dyDescent="0.3">
      <c r="A75" s="449" t="s">
        <v>184</v>
      </c>
      <c r="B75" s="532" t="s">
        <v>185</v>
      </c>
      <c r="C75" s="532" t="s">
        <v>254</v>
      </c>
      <c r="D75" s="266">
        <v>4</v>
      </c>
      <c r="E75" s="266">
        <v>1</v>
      </c>
      <c r="F75" s="266">
        <v>5</v>
      </c>
      <c r="G75" s="266">
        <v>1</v>
      </c>
      <c r="H75" s="266">
        <v>1</v>
      </c>
      <c r="I75" s="266"/>
      <c r="J75" s="266">
        <v>6</v>
      </c>
      <c r="K75" s="266"/>
      <c r="L75" s="266">
        <v>1</v>
      </c>
      <c r="M75" s="266"/>
      <c r="N75" s="266">
        <v>2</v>
      </c>
      <c r="O75" s="266">
        <v>4</v>
      </c>
      <c r="P75" s="266">
        <f t="shared" si="3"/>
        <v>25</v>
      </c>
    </row>
    <row r="76" spans="1:16" x14ac:dyDescent="0.3">
      <c r="A76" s="449" t="s">
        <v>186</v>
      </c>
      <c r="B76" s="532" t="s">
        <v>187</v>
      </c>
      <c r="C76" s="532" t="s">
        <v>252</v>
      </c>
      <c r="D76" s="266">
        <v>10</v>
      </c>
      <c r="E76" s="266">
        <v>1</v>
      </c>
      <c r="F76" s="266">
        <v>1</v>
      </c>
      <c r="G76" s="266">
        <v>4</v>
      </c>
      <c r="H76" s="266">
        <v>16</v>
      </c>
      <c r="I76" s="266">
        <v>6</v>
      </c>
      <c r="J76" s="266">
        <v>5</v>
      </c>
      <c r="K76" s="266">
        <v>8</v>
      </c>
      <c r="L76" s="266">
        <v>3</v>
      </c>
      <c r="M76" s="266">
        <v>11</v>
      </c>
      <c r="N76" s="266">
        <v>10</v>
      </c>
      <c r="O76" s="266">
        <v>18</v>
      </c>
      <c r="P76" s="266">
        <f t="shared" si="3"/>
        <v>93</v>
      </c>
    </row>
    <row r="77" spans="1:16" x14ac:dyDescent="0.3">
      <c r="A77" s="449" t="s">
        <v>188</v>
      </c>
      <c r="B77" s="532" t="s">
        <v>189</v>
      </c>
      <c r="C77" s="532" t="s">
        <v>255</v>
      </c>
      <c r="D77" s="266">
        <v>33</v>
      </c>
      <c r="E77" s="266">
        <v>30</v>
      </c>
      <c r="F77" s="266">
        <v>25</v>
      </c>
      <c r="G77" s="266">
        <v>34</v>
      </c>
      <c r="H77" s="266">
        <v>38</v>
      </c>
      <c r="I77" s="266">
        <v>58</v>
      </c>
      <c r="J77" s="266">
        <v>67</v>
      </c>
      <c r="K77" s="266">
        <v>48</v>
      </c>
      <c r="L77" s="266">
        <v>64</v>
      </c>
      <c r="M77" s="266">
        <v>68</v>
      </c>
      <c r="N77" s="266">
        <v>76</v>
      </c>
      <c r="O77" s="266">
        <v>59</v>
      </c>
      <c r="P77" s="266">
        <f t="shared" si="3"/>
        <v>600</v>
      </c>
    </row>
    <row r="78" spans="1:16" x14ac:dyDescent="0.3">
      <c r="A78" s="449" t="s">
        <v>190</v>
      </c>
      <c r="B78" s="532" t="s">
        <v>191</v>
      </c>
      <c r="C78" s="532" t="s">
        <v>256</v>
      </c>
      <c r="D78" s="266">
        <v>1</v>
      </c>
      <c r="E78" s="266">
        <v>9</v>
      </c>
      <c r="F78" s="266">
        <v>6</v>
      </c>
      <c r="G78" s="266">
        <v>6</v>
      </c>
      <c r="H78" s="266">
        <v>7</v>
      </c>
      <c r="I78" s="266">
        <v>5</v>
      </c>
      <c r="J78" s="266">
        <v>5</v>
      </c>
      <c r="K78" s="266">
        <v>5</v>
      </c>
      <c r="L78" s="266">
        <v>7</v>
      </c>
      <c r="M78" s="266">
        <v>6</v>
      </c>
      <c r="N78" s="266">
        <v>6</v>
      </c>
      <c r="O78" s="266">
        <v>6</v>
      </c>
      <c r="P78" s="266">
        <f t="shared" si="3"/>
        <v>69</v>
      </c>
    </row>
    <row r="79" spans="1:16" x14ac:dyDescent="0.3">
      <c r="A79" s="449" t="s">
        <v>194</v>
      </c>
      <c r="B79" s="532" t="s">
        <v>195</v>
      </c>
      <c r="C79" s="532" t="s">
        <v>255</v>
      </c>
      <c r="D79" s="266">
        <v>1</v>
      </c>
      <c r="E79" s="266">
        <v>3</v>
      </c>
      <c r="F79" s="266"/>
      <c r="G79" s="266"/>
      <c r="H79" s="266"/>
      <c r="I79" s="266">
        <v>1</v>
      </c>
      <c r="J79" s="266"/>
      <c r="K79" s="266"/>
      <c r="L79" s="266">
        <v>4</v>
      </c>
      <c r="M79" s="266">
        <v>5</v>
      </c>
      <c r="N79" s="266">
        <v>7</v>
      </c>
      <c r="O79" s="266">
        <v>5</v>
      </c>
      <c r="P79" s="266">
        <f t="shared" si="3"/>
        <v>26</v>
      </c>
    </row>
    <row r="80" spans="1:16" x14ac:dyDescent="0.3">
      <c r="A80" s="449" t="s">
        <v>198</v>
      </c>
      <c r="B80" s="532" t="s">
        <v>260</v>
      </c>
      <c r="C80" s="532" t="s">
        <v>254</v>
      </c>
      <c r="D80" s="266"/>
      <c r="E80" s="266"/>
      <c r="F80" s="266"/>
      <c r="G80" s="266">
        <v>1</v>
      </c>
      <c r="H80" s="266"/>
      <c r="I80" s="266"/>
      <c r="J80" s="266">
        <v>5</v>
      </c>
      <c r="K80" s="266"/>
      <c r="L80" s="266"/>
      <c r="M80" s="266">
        <v>1</v>
      </c>
      <c r="N80" s="266">
        <v>3</v>
      </c>
      <c r="O80" s="266">
        <v>1</v>
      </c>
      <c r="P80" s="266">
        <f t="shared" si="3"/>
        <v>11</v>
      </c>
    </row>
    <row r="81" spans="1:16" x14ac:dyDescent="0.3">
      <c r="A81" s="449" t="s">
        <v>202</v>
      </c>
      <c r="B81" s="532" t="s">
        <v>289</v>
      </c>
      <c r="C81" s="532" t="s">
        <v>253</v>
      </c>
      <c r="D81" s="266">
        <v>49</v>
      </c>
      <c r="E81" s="266">
        <v>38</v>
      </c>
      <c r="F81" s="266">
        <v>9</v>
      </c>
      <c r="G81" s="266">
        <v>5</v>
      </c>
      <c r="H81" s="266">
        <v>9</v>
      </c>
      <c r="I81" s="266">
        <v>7</v>
      </c>
      <c r="J81" s="266">
        <v>14</v>
      </c>
      <c r="K81" s="266">
        <v>25</v>
      </c>
      <c r="L81" s="266">
        <v>39</v>
      </c>
      <c r="M81" s="266">
        <v>37</v>
      </c>
      <c r="N81" s="266">
        <v>44</v>
      </c>
      <c r="O81" s="266">
        <v>33</v>
      </c>
      <c r="P81" s="266">
        <f t="shared" si="3"/>
        <v>309</v>
      </c>
    </row>
    <row r="82" spans="1:16" x14ac:dyDescent="0.3">
      <c r="A82" s="449" t="s">
        <v>204</v>
      </c>
      <c r="B82" s="532" t="s">
        <v>281</v>
      </c>
      <c r="C82" s="532" t="s">
        <v>253</v>
      </c>
      <c r="D82" s="266">
        <v>4</v>
      </c>
      <c r="E82" s="266">
        <v>4</v>
      </c>
      <c r="F82" s="266">
        <v>8</v>
      </c>
      <c r="G82" s="266">
        <v>5</v>
      </c>
      <c r="H82" s="266"/>
      <c r="I82" s="266">
        <v>3</v>
      </c>
      <c r="J82" s="266">
        <v>5</v>
      </c>
      <c r="K82" s="266">
        <v>4</v>
      </c>
      <c r="L82" s="266">
        <v>3</v>
      </c>
      <c r="M82" s="266">
        <v>3</v>
      </c>
      <c r="N82" s="266">
        <v>13</v>
      </c>
      <c r="O82" s="266">
        <v>8</v>
      </c>
      <c r="P82" s="266">
        <f t="shared" si="3"/>
        <v>60</v>
      </c>
    </row>
    <row r="83" spans="1:16" x14ac:dyDescent="0.3">
      <c r="A83" s="449" t="s">
        <v>206</v>
      </c>
      <c r="B83" s="532" t="s">
        <v>282</v>
      </c>
      <c r="C83" s="532" t="s">
        <v>255</v>
      </c>
      <c r="D83" s="266">
        <v>26</v>
      </c>
      <c r="E83" s="266">
        <v>16</v>
      </c>
      <c r="F83" s="266">
        <v>17</v>
      </c>
      <c r="G83" s="266">
        <v>11</v>
      </c>
      <c r="H83" s="266">
        <v>11</v>
      </c>
      <c r="I83" s="266">
        <v>10</v>
      </c>
      <c r="J83" s="266">
        <v>15</v>
      </c>
      <c r="K83" s="266">
        <v>6</v>
      </c>
      <c r="L83" s="266">
        <v>10</v>
      </c>
      <c r="M83" s="266">
        <v>17</v>
      </c>
      <c r="N83" s="266">
        <v>5</v>
      </c>
      <c r="O83" s="266">
        <v>16</v>
      </c>
      <c r="P83" s="266">
        <f t="shared" si="3"/>
        <v>160</v>
      </c>
    </row>
    <row r="84" spans="1:16" x14ac:dyDescent="0.3">
      <c r="A84" s="449" t="s">
        <v>208</v>
      </c>
      <c r="B84" s="532" t="s">
        <v>209</v>
      </c>
      <c r="C84" s="532" t="s">
        <v>256</v>
      </c>
      <c r="D84" s="266">
        <v>2</v>
      </c>
      <c r="E84" s="266">
        <v>5</v>
      </c>
      <c r="F84" s="266">
        <v>9</v>
      </c>
      <c r="G84" s="266">
        <v>4</v>
      </c>
      <c r="H84" s="266">
        <v>3</v>
      </c>
      <c r="I84" s="266"/>
      <c r="J84" s="266">
        <v>3</v>
      </c>
      <c r="K84" s="266">
        <v>1</v>
      </c>
      <c r="L84" s="266"/>
      <c r="M84" s="266"/>
      <c r="N84" s="266">
        <v>5</v>
      </c>
      <c r="O84" s="266">
        <v>2</v>
      </c>
      <c r="P84" s="266">
        <f t="shared" si="3"/>
        <v>34</v>
      </c>
    </row>
    <row r="85" spans="1:16" x14ac:dyDescent="0.3">
      <c r="A85" s="449" t="s">
        <v>210</v>
      </c>
      <c r="B85" s="532" t="s">
        <v>211</v>
      </c>
      <c r="C85" s="532" t="s">
        <v>256</v>
      </c>
      <c r="D85" s="266">
        <v>1</v>
      </c>
      <c r="E85" s="266">
        <v>1</v>
      </c>
      <c r="F85" s="266">
        <v>1</v>
      </c>
      <c r="G85" s="266"/>
      <c r="H85" s="266">
        <v>1</v>
      </c>
      <c r="I85" s="266">
        <v>3</v>
      </c>
      <c r="J85" s="266"/>
      <c r="K85" s="266">
        <v>2</v>
      </c>
      <c r="L85" s="266">
        <v>1</v>
      </c>
      <c r="M85" s="266"/>
      <c r="N85" s="266">
        <v>1</v>
      </c>
      <c r="O85" s="266">
        <v>3</v>
      </c>
      <c r="P85" s="266">
        <f t="shared" si="3"/>
        <v>14</v>
      </c>
    </row>
    <row r="86" spans="1:16" x14ac:dyDescent="0.3">
      <c r="A86" s="449" t="s">
        <v>212</v>
      </c>
      <c r="B86" s="532" t="s">
        <v>213</v>
      </c>
      <c r="C86" s="532" t="s">
        <v>255</v>
      </c>
      <c r="D86" s="266">
        <v>14</v>
      </c>
      <c r="E86" s="266">
        <v>17</v>
      </c>
      <c r="F86" s="266">
        <v>2</v>
      </c>
      <c r="G86" s="266">
        <v>6</v>
      </c>
      <c r="H86" s="266">
        <v>6</v>
      </c>
      <c r="I86" s="266">
        <v>4</v>
      </c>
      <c r="J86" s="266"/>
      <c r="K86" s="266">
        <v>3</v>
      </c>
      <c r="L86" s="266">
        <v>2</v>
      </c>
      <c r="M86" s="266">
        <v>1</v>
      </c>
      <c r="N86" s="266">
        <v>4</v>
      </c>
      <c r="O86" s="266">
        <v>6</v>
      </c>
      <c r="P86" s="266">
        <f t="shared" si="3"/>
        <v>65</v>
      </c>
    </row>
    <row r="87" spans="1:16" x14ac:dyDescent="0.3">
      <c r="A87" s="449" t="s">
        <v>214</v>
      </c>
      <c r="B87" s="532" t="s">
        <v>215</v>
      </c>
      <c r="C87" s="532" t="s">
        <v>256</v>
      </c>
      <c r="D87" s="266">
        <v>4</v>
      </c>
      <c r="E87" s="266">
        <v>4</v>
      </c>
      <c r="F87" s="266">
        <v>3</v>
      </c>
      <c r="G87" s="266">
        <v>9</v>
      </c>
      <c r="H87" s="266">
        <v>7</v>
      </c>
      <c r="I87" s="266">
        <v>4</v>
      </c>
      <c r="J87" s="266">
        <v>5</v>
      </c>
      <c r="K87" s="266">
        <v>4</v>
      </c>
      <c r="L87" s="266">
        <v>2</v>
      </c>
      <c r="M87" s="266">
        <v>3</v>
      </c>
      <c r="N87" s="266">
        <v>5</v>
      </c>
      <c r="O87" s="266">
        <v>6</v>
      </c>
      <c r="P87" s="266">
        <f t="shared" si="3"/>
        <v>56</v>
      </c>
    </row>
    <row r="88" spans="1:16" x14ac:dyDescent="0.3">
      <c r="A88" s="449" t="s">
        <v>216</v>
      </c>
      <c r="B88" s="532" t="s">
        <v>217</v>
      </c>
      <c r="C88" s="532" t="s">
        <v>252</v>
      </c>
      <c r="D88" s="266">
        <v>2</v>
      </c>
      <c r="E88" s="266">
        <v>1</v>
      </c>
      <c r="F88" s="266">
        <v>1</v>
      </c>
      <c r="G88" s="266">
        <v>2</v>
      </c>
      <c r="H88" s="266">
        <v>1</v>
      </c>
      <c r="I88" s="266">
        <v>1</v>
      </c>
      <c r="J88" s="266">
        <v>5</v>
      </c>
      <c r="K88" s="266">
        <v>5</v>
      </c>
      <c r="L88" s="266">
        <v>1</v>
      </c>
      <c r="M88" s="266">
        <v>6</v>
      </c>
      <c r="N88" s="266">
        <v>4</v>
      </c>
      <c r="O88" s="266">
        <v>7</v>
      </c>
      <c r="P88" s="266">
        <f t="shared" si="3"/>
        <v>36</v>
      </c>
    </row>
    <row r="89" spans="1:16" x14ac:dyDescent="0.3">
      <c r="A89" s="449" t="s">
        <v>218</v>
      </c>
      <c r="B89" s="532" t="s">
        <v>219</v>
      </c>
      <c r="C89" s="532" t="s">
        <v>255</v>
      </c>
      <c r="D89" s="266">
        <v>17</v>
      </c>
      <c r="E89" s="266">
        <v>16</v>
      </c>
      <c r="F89" s="266">
        <v>8</v>
      </c>
      <c r="G89" s="266">
        <v>11</v>
      </c>
      <c r="H89" s="266">
        <v>13</v>
      </c>
      <c r="I89" s="266">
        <v>7</v>
      </c>
      <c r="J89" s="266">
        <v>20</v>
      </c>
      <c r="K89" s="266">
        <v>9</v>
      </c>
      <c r="L89" s="266">
        <v>5</v>
      </c>
      <c r="M89" s="266">
        <v>5</v>
      </c>
      <c r="N89" s="266">
        <v>6</v>
      </c>
      <c r="O89" s="266">
        <v>9</v>
      </c>
      <c r="P89" s="266">
        <f t="shared" si="3"/>
        <v>126</v>
      </c>
    </row>
    <row r="90" spans="1:16" x14ac:dyDescent="0.3">
      <c r="A90" s="449" t="s">
        <v>220</v>
      </c>
      <c r="B90" s="532" t="s">
        <v>221</v>
      </c>
      <c r="C90" s="532" t="s">
        <v>255</v>
      </c>
      <c r="D90" s="266">
        <v>17</v>
      </c>
      <c r="E90" s="266">
        <v>12</v>
      </c>
      <c r="F90" s="266">
        <v>11</v>
      </c>
      <c r="G90" s="266">
        <v>7</v>
      </c>
      <c r="H90" s="266">
        <v>11</v>
      </c>
      <c r="I90" s="266">
        <v>2</v>
      </c>
      <c r="J90" s="266">
        <v>11</v>
      </c>
      <c r="K90" s="266">
        <v>8</v>
      </c>
      <c r="L90" s="266">
        <v>4</v>
      </c>
      <c r="M90" s="266">
        <v>11</v>
      </c>
      <c r="N90" s="266">
        <v>15</v>
      </c>
      <c r="O90" s="266">
        <v>9</v>
      </c>
      <c r="P90" s="266">
        <f t="shared" si="3"/>
        <v>118</v>
      </c>
    </row>
    <row r="91" spans="1:16" x14ac:dyDescent="0.3">
      <c r="A91" s="449" t="s">
        <v>224</v>
      </c>
      <c r="B91" s="532" t="s">
        <v>225</v>
      </c>
      <c r="C91" s="532" t="s">
        <v>252</v>
      </c>
      <c r="D91" s="266">
        <v>2</v>
      </c>
      <c r="E91" s="266">
        <v>2</v>
      </c>
      <c r="F91" s="266">
        <v>1</v>
      </c>
      <c r="G91" s="266"/>
      <c r="H91" s="266"/>
      <c r="I91" s="266"/>
      <c r="J91" s="266">
        <v>1</v>
      </c>
      <c r="K91" s="266">
        <v>2</v>
      </c>
      <c r="L91" s="266"/>
      <c r="M91" s="266">
        <v>3</v>
      </c>
      <c r="N91" s="266">
        <v>1</v>
      </c>
      <c r="O91" s="266">
        <v>1</v>
      </c>
      <c r="P91" s="266">
        <f t="shared" si="3"/>
        <v>13</v>
      </c>
    </row>
    <row r="92" spans="1:16" x14ac:dyDescent="0.3">
      <c r="A92" s="449" t="s">
        <v>226</v>
      </c>
      <c r="B92" s="532" t="s">
        <v>227</v>
      </c>
      <c r="C92" s="532" t="s">
        <v>252</v>
      </c>
      <c r="D92" s="266">
        <v>6</v>
      </c>
      <c r="E92" s="266">
        <v>3</v>
      </c>
      <c r="F92" s="266">
        <v>2</v>
      </c>
      <c r="G92" s="266">
        <v>6</v>
      </c>
      <c r="H92" s="266">
        <v>1</v>
      </c>
      <c r="I92" s="266">
        <v>7</v>
      </c>
      <c r="J92" s="266"/>
      <c r="K92" s="266"/>
      <c r="L92" s="266"/>
      <c r="M92" s="266"/>
      <c r="N92" s="266">
        <v>1</v>
      </c>
      <c r="O92" s="266"/>
      <c r="P92" s="266">
        <f t="shared" si="3"/>
        <v>26</v>
      </c>
    </row>
    <row r="93" spans="1:16" x14ac:dyDescent="0.3">
      <c r="A93" s="449" t="s">
        <v>228</v>
      </c>
      <c r="B93" s="532" t="s">
        <v>229</v>
      </c>
      <c r="C93" s="532" t="s">
        <v>256</v>
      </c>
      <c r="D93" s="266">
        <v>8</v>
      </c>
      <c r="E93" s="266">
        <v>16</v>
      </c>
      <c r="F93" s="266">
        <v>5</v>
      </c>
      <c r="G93" s="266">
        <v>8</v>
      </c>
      <c r="H93" s="266">
        <v>8</v>
      </c>
      <c r="I93" s="266">
        <v>7</v>
      </c>
      <c r="J93" s="266">
        <v>5</v>
      </c>
      <c r="K93" s="266">
        <v>3</v>
      </c>
      <c r="L93" s="266">
        <v>11</v>
      </c>
      <c r="M93" s="266">
        <v>5</v>
      </c>
      <c r="N93" s="266">
        <v>9</v>
      </c>
      <c r="O93" s="266">
        <v>11</v>
      </c>
      <c r="P93" s="266">
        <f t="shared" si="3"/>
        <v>96</v>
      </c>
    </row>
    <row r="94" spans="1:16" x14ac:dyDescent="0.3">
      <c r="A94" s="449" t="s">
        <v>232</v>
      </c>
      <c r="B94" s="532" t="s">
        <v>233</v>
      </c>
      <c r="C94" s="532" t="s">
        <v>255</v>
      </c>
      <c r="D94" s="266">
        <v>4</v>
      </c>
      <c r="E94" s="266">
        <v>23</v>
      </c>
      <c r="F94" s="266">
        <v>19</v>
      </c>
      <c r="G94" s="266">
        <v>11</v>
      </c>
      <c r="H94" s="266">
        <v>3</v>
      </c>
      <c r="I94" s="266"/>
      <c r="J94" s="266">
        <v>1</v>
      </c>
      <c r="K94" s="266"/>
      <c r="L94" s="266"/>
      <c r="M94" s="266"/>
      <c r="N94" s="266">
        <v>1</v>
      </c>
      <c r="O94" s="266">
        <v>10</v>
      </c>
      <c r="P94" s="266">
        <f t="shared" si="3"/>
        <v>72</v>
      </c>
    </row>
    <row r="95" spans="1:16" x14ac:dyDescent="0.3">
      <c r="A95" s="449" t="s">
        <v>234</v>
      </c>
      <c r="B95" s="532" t="s">
        <v>235</v>
      </c>
      <c r="C95" s="532" t="s">
        <v>256</v>
      </c>
      <c r="D95" s="266">
        <v>11</v>
      </c>
      <c r="E95" s="266">
        <v>7</v>
      </c>
      <c r="F95" s="266">
        <v>2</v>
      </c>
      <c r="G95" s="266">
        <v>2</v>
      </c>
      <c r="H95" s="266">
        <v>2</v>
      </c>
      <c r="I95" s="266">
        <v>2</v>
      </c>
      <c r="J95" s="266">
        <v>1</v>
      </c>
      <c r="K95" s="266">
        <v>3</v>
      </c>
      <c r="L95" s="266">
        <v>12</v>
      </c>
      <c r="M95" s="266">
        <v>8</v>
      </c>
      <c r="N95" s="266">
        <v>15</v>
      </c>
      <c r="O95" s="266">
        <v>11</v>
      </c>
      <c r="P95" s="266">
        <f t="shared" si="3"/>
        <v>76</v>
      </c>
    </row>
    <row r="96" spans="1:16" x14ac:dyDescent="0.3">
      <c r="A96" s="449" t="s">
        <v>236</v>
      </c>
      <c r="B96" s="532" t="s">
        <v>237</v>
      </c>
      <c r="C96" s="532" t="s">
        <v>254</v>
      </c>
      <c r="D96" s="266">
        <v>8</v>
      </c>
      <c r="E96" s="266">
        <v>1</v>
      </c>
      <c r="F96" s="266">
        <v>2</v>
      </c>
      <c r="G96" s="266">
        <v>10</v>
      </c>
      <c r="H96" s="266">
        <v>3</v>
      </c>
      <c r="I96" s="266">
        <v>3</v>
      </c>
      <c r="J96" s="266">
        <v>11</v>
      </c>
      <c r="K96" s="266">
        <v>6</v>
      </c>
      <c r="L96" s="266">
        <v>3</v>
      </c>
      <c r="M96" s="266">
        <v>4</v>
      </c>
      <c r="N96" s="266">
        <v>1</v>
      </c>
      <c r="O96" s="266">
        <v>11</v>
      </c>
      <c r="P96" s="266">
        <f t="shared" si="3"/>
        <v>63</v>
      </c>
    </row>
    <row r="97" spans="1:16" x14ac:dyDescent="0.3">
      <c r="A97" s="449" t="s">
        <v>242</v>
      </c>
      <c r="B97" s="532" t="s">
        <v>243</v>
      </c>
      <c r="C97" s="532" t="s">
        <v>256</v>
      </c>
      <c r="D97" s="266">
        <v>3</v>
      </c>
      <c r="E97" s="266">
        <v>3</v>
      </c>
      <c r="F97" s="266">
        <v>7</v>
      </c>
      <c r="G97" s="266">
        <v>6</v>
      </c>
      <c r="H97" s="266">
        <v>2</v>
      </c>
      <c r="I97" s="266">
        <v>2</v>
      </c>
      <c r="J97" s="266">
        <v>7</v>
      </c>
      <c r="K97" s="266">
        <v>6</v>
      </c>
      <c r="L97" s="266">
        <v>2</v>
      </c>
      <c r="M97" s="266">
        <v>7</v>
      </c>
      <c r="N97" s="266">
        <v>4</v>
      </c>
      <c r="O97" s="266">
        <v>8</v>
      </c>
      <c r="P97" s="266">
        <f t="shared" si="3"/>
        <v>57</v>
      </c>
    </row>
    <row r="98" spans="1:16" x14ac:dyDescent="0.3">
      <c r="A98" s="449" t="s">
        <v>244</v>
      </c>
      <c r="B98" s="532" t="s">
        <v>245</v>
      </c>
      <c r="C98" s="532" t="s">
        <v>256</v>
      </c>
      <c r="D98" s="266">
        <v>8</v>
      </c>
      <c r="E98" s="266">
        <v>8</v>
      </c>
      <c r="F98" s="266">
        <v>9</v>
      </c>
      <c r="G98" s="266">
        <v>1</v>
      </c>
      <c r="H98" s="266">
        <v>3</v>
      </c>
      <c r="I98" s="266">
        <v>9</v>
      </c>
      <c r="J98" s="266">
        <v>2</v>
      </c>
      <c r="K98" s="266">
        <v>4</v>
      </c>
      <c r="L98" s="266">
        <v>4</v>
      </c>
      <c r="M98" s="266">
        <v>3</v>
      </c>
      <c r="N98" s="266">
        <v>4</v>
      </c>
      <c r="O98" s="266">
        <v>8</v>
      </c>
      <c r="P98" s="266">
        <f t="shared" si="3"/>
        <v>63</v>
      </c>
    </row>
    <row r="99" spans="1:16" x14ac:dyDescent="0.3">
      <c r="A99" s="449" t="s">
        <v>246</v>
      </c>
      <c r="B99" s="532" t="s">
        <v>247</v>
      </c>
      <c r="C99" s="532" t="s">
        <v>252</v>
      </c>
      <c r="D99" s="266">
        <v>14</v>
      </c>
      <c r="E99" s="266">
        <v>21</v>
      </c>
      <c r="F99" s="266">
        <v>17</v>
      </c>
      <c r="G99" s="266">
        <v>21</v>
      </c>
      <c r="H99" s="266">
        <v>17</v>
      </c>
      <c r="I99" s="266">
        <v>7</v>
      </c>
      <c r="J99" s="266">
        <v>9</v>
      </c>
      <c r="K99" s="266">
        <v>12</v>
      </c>
      <c r="L99" s="266">
        <v>7</v>
      </c>
      <c r="M99" s="266">
        <v>11</v>
      </c>
      <c r="N99" s="266">
        <v>15</v>
      </c>
      <c r="O99" s="266">
        <v>19</v>
      </c>
      <c r="P99" s="266">
        <f t="shared" si="3"/>
        <v>170</v>
      </c>
    </row>
    <row r="100" spans="1:16" x14ac:dyDescent="0.3">
      <c r="A100" s="449" t="s">
        <v>14</v>
      </c>
      <c r="B100" s="532" t="s">
        <v>15</v>
      </c>
      <c r="C100" s="532" t="s">
        <v>255</v>
      </c>
      <c r="D100" s="266">
        <v>17</v>
      </c>
      <c r="E100" s="266">
        <v>37</v>
      </c>
      <c r="F100" s="266">
        <v>21</v>
      </c>
      <c r="G100" s="266">
        <v>21</v>
      </c>
      <c r="H100" s="266">
        <v>14</v>
      </c>
      <c r="I100" s="266">
        <v>8</v>
      </c>
      <c r="J100" s="266">
        <v>27</v>
      </c>
      <c r="K100" s="266">
        <v>16</v>
      </c>
      <c r="L100" s="266">
        <v>23</v>
      </c>
      <c r="M100" s="266">
        <v>20</v>
      </c>
      <c r="N100" s="266">
        <v>29</v>
      </c>
      <c r="O100" s="266">
        <v>15</v>
      </c>
      <c r="P100" s="266">
        <f t="shared" si="3"/>
        <v>248</v>
      </c>
    </row>
    <row r="101" spans="1:16" x14ac:dyDescent="0.3">
      <c r="A101" s="449" t="s">
        <v>34</v>
      </c>
      <c r="B101" s="532" t="s">
        <v>35</v>
      </c>
      <c r="C101" s="532" t="s">
        <v>256</v>
      </c>
      <c r="D101" s="266">
        <v>23</v>
      </c>
      <c r="E101" s="266">
        <v>21</v>
      </c>
      <c r="F101" s="266">
        <v>10</v>
      </c>
      <c r="G101" s="266">
        <v>12</v>
      </c>
      <c r="H101" s="266">
        <v>2</v>
      </c>
      <c r="I101" s="266">
        <v>6</v>
      </c>
      <c r="J101" s="266">
        <v>10</v>
      </c>
      <c r="K101" s="266">
        <v>12</v>
      </c>
      <c r="L101" s="266">
        <v>3</v>
      </c>
      <c r="M101" s="266">
        <v>11</v>
      </c>
      <c r="N101" s="266">
        <v>9</v>
      </c>
      <c r="O101" s="266">
        <v>15</v>
      </c>
      <c r="P101" s="266">
        <f t="shared" ref="P101:P124" si="4">SUM(D101:O101)</f>
        <v>134</v>
      </c>
    </row>
    <row r="102" spans="1:16" x14ac:dyDescent="0.3">
      <c r="A102" s="449" t="s">
        <v>52</v>
      </c>
      <c r="B102" s="532" t="s">
        <v>53</v>
      </c>
      <c r="C102" s="532" t="s">
        <v>253</v>
      </c>
      <c r="D102" s="266">
        <v>18</v>
      </c>
      <c r="E102" s="266">
        <v>24</v>
      </c>
      <c r="F102" s="266">
        <v>19</v>
      </c>
      <c r="G102" s="266">
        <v>22</v>
      </c>
      <c r="H102" s="266">
        <v>11</v>
      </c>
      <c r="I102" s="266">
        <v>7</v>
      </c>
      <c r="J102" s="266">
        <v>14</v>
      </c>
      <c r="K102" s="266">
        <v>13</v>
      </c>
      <c r="L102" s="266">
        <v>13</v>
      </c>
      <c r="M102" s="266">
        <v>11</v>
      </c>
      <c r="N102" s="266">
        <v>16</v>
      </c>
      <c r="O102" s="266">
        <v>13</v>
      </c>
      <c r="P102" s="266">
        <f t="shared" si="4"/>
        <v>181</v>
      </c>
    </row>
    <row r="103" spans="1:16" x14ac:dyDescent="0.3">
      <c r="A103" s="449" t="s">
        <v>54</v>
      </c>
      <c r="B103" s="532" t="s">
        <v>55</v>
      </c>
      <c r="C103" s="532" t="s">
        <v>252</v>
      </c>
      <c r="D103" s="266">
        <v>83</v>
      </c>
      <c r="E103" s="266">
        <v>130</v>
      </c>
      <c r="F103" s="266">
        <v>93</v>
      </c>
      <c r="G103" s="266">
        <v>109</v>
      </c>
      <c r="H103" s="266">
        <v>100</v>
      </c>
      <c r="I103" s="266">
        <v>79</v>
      </c>
      <c r="J103" s="266">
        <v>115</v>
      </c>
      <c r="K103" s="266">
        <v>87</v>
      </c>
      <c r="L103" s="266">
        <v>70</v>
      </c>
      <c r="M103" s="266">
        <v>83</v>
      </c>
      <c r="N103" s="266">
        <v>112</v>
      </c>
      <c r="O103" s="266">
        <v>94</v>
      </c>
      <c r="P103" s="266">
        <f t="shared" si="4"/>
        <v>1155</v>
      </c>
    </row>
    <row r="104" spans="1:16" x14ac:dyDescent="0.3">
      <c r="A104" s="449" t="s">
        <v>66</v>
      </c>
      <c r="B104" s="532" t="s">
        <v>67</v>
      </c>
      <c r="C104" s="532" t="s">
        <v>253</v>
      </c>
      <c r="D104" s="266">
        <v>26</v>
      </c>
      <c r="E104" s="266">
        <v>43</v>
      </c>
      <c r="F104" s="266">
        <v>21</v>
      </c>
      <c r="G104" s="266">
        <v>20</v>
      </c>
      <c r="H104" s="266">
        <v>16</v>
      </c>
      <c r="I104" s="266">
        <v>9</v>
      </c>
      <c r="J104" s="266">
        <v>15</v>
      </c>
      <c r="K104" s="266">
        <v>18</v>
      </c>
      <c r="L104" s="266">
        <v>19</v>
      </c>
      <c r="M104" s="266">
        <v>13</v>
      </c>
      <c r="N104" s="266">
        <v>15</v>
      </c>
      <c r="O104" s="266">
        <v>23</v>
      </c>
      <c r="P104" s="266">
        <f t="shared" si="4"/>
        <v>238</v>
      </c>
    </row>
    <row r="105" spans="1:16" x14ac:dyDescent="0.3">
      <c r="A105" s="449" t="s">
        <v>82</v>
      </c>
      <c r="B105" s="532" t="s">
        <v>83</v>
      </c>
      <c r="C105" s="532" t="s">
        <v>252</v>
      </c>
      <c r="D105" s="266">
        <v>1</v>
      </c>
      <c r="E105" s="266">
        <v>1</v>
      </c>
      <c r="F105" s="266">
        <v>1</v>
      </c>
      <c r="G105" s="266"/>
      <c r="H105" s="266">
        <v>5</v>
      </c>
      <c r="I105" s="266"/>
      <c r="J105" s="266">
        <v>2</v>
      </c>
      <c r="K105" s="266"/>
      <c r="L105" s="266"/>
      <c r="M105" s="266">
        <v>6</v>
      </c>
      <c r="N105" s="266">
        <v>5</v>
      </c>
      <c r="O105" s="266">
        <v>13</v>
      </c>
      <c r="P105" s="266">
        <f t="shared" si="4"/>
        <v>34</v>
      </c>
    </row>
    <row r="106" spans="1:16" x14ac:dyDescent="0.3">
      <c r="A106" s="449" t="s">
        <v>88</v>
      </c>
      <c r="B106" s="532" t="s">
        <v>89</v>
      </c>
      <c r="C106" s="532" t="s">
        <v>255</v>
      </c>
      <c r="D106" s="266">
        <v>20</v>
      </c>
      <c r="E106" s="266">
        <v>13</v>
      </c>
      <c r="F106" s="266">
        <v>7</v>
      </c>
      <c r="G106" s="266">
        <v>13</v>
      </c>
      <c r="H106" s="266">
        <v>7</v>
      </c>
      <c r="I106" s="266">
        <v>8</v>
      </c>
      <c r="J106" s="266">
        <v>7</v>
      </c>
      <c r="K106" s="266">
        <v>10</v>
      </c>
      <c r="L106" s="266">
        <v>12</v>
      </c>
      <c r="M106" s="266">
        <v>18</v>
      </c>
      <c r="N106" s="266">
        <v>14</v>
      </c>
      <c r="O106" s="266">
        <v>6</v>
      </c>
      <c r="P106" s="266">
        <f t="shared" si="4"/>
        <v>135</v>
      </c>
    </row>
    <row r="107" spans="1:16" x14ac:dyDescent="0.3">
      <c r="A107" s="449" t="s">
        <v>90</v>
      </c>
      <c r="B107" s="532" t="s">
        <v>91</v>
      </c>
      <c r="C107" s="532" t="s">
        <v>256</v>
      </c>
      <c r="D107" s="266"/>
      <c r="E107" s="266"/>
      <c r="F107" s="266"/>
      <c r="G107" s="266">
        <v>2</v>
      </c>
      <c r="H107" s="266">
        <v>1</v>
      </c>
      <c r="I107" s="266"/>
      <c r="J107" s="266">
        <v>1</v>
      </c>
      <c r="K107" s="266">
        <v>2</v>
      </c>
      <c r="L107" s="266"/>
      <c r="M107" s="266">
        <v>1</v>
      </c>
      <c r="N107" s="266">
        <v>1</v>
      </c>
      <c r="O107" s="266"/>
      <c r="P107" s="266">
        <f t="shared" si="4"/>
        <v>8</v>
      </c>
    </row>
    <row r="108" spans="1:16" x14ac:dyDescent="0.3">
      <c r="A108" s="449" t="s">
        <v>106</v>
      </c>
      <c r="B108" s="532" t="s">
        <v>107</v>
      </c>
      <c r="C108" s="532" t="s">
        <v>252</v>
      </c>
      <c r="D108" s="266">
        <v>38</v>
      </c>
      <c r="E108" s="266">
        <v>37</v>
      </c>
      <c r="F108" s="266">
        <v>26</v>
      </c>
      <c r="G108" s="266">
        <v>21</v>
      </c>
      <c r="H108" s="266">
        <v>12</v>
      </c>
      <c r="I108" s="266">
        <v>12</v>
      </c>
      <c r="J108" s="266">
        <v>23</v>
      </c>
      <c r="K108" s="266">
        <v>41</v>
      </c>
      <c r="L108" s="266">
        <v>49</v>
      </c>
      <c r="M108" s="266">
        <v>74</v>
      </c>
      <c r="N108" s="266">
        <v>92</v>
      </c>
      <c r="O108" s="266">
        <v>117</v>
      </c>
      <c r="P108" s="266">
        <f t="shared" si="4"/>
        <v>542</v>
      </c>
    </row>
    <row r="109" spans="1:16" x14ac:dyDescent="0.3">
      <c r="A109" s="449" t="s">
        <v>116</v>
      </c>
      <c r="B109" s="532" t="s">
        <v>117</v>
      </c>
      <c r="C109" s="532" t="s">
        <v>254</v>
      </c>
      <c r="D109" s="266">
        <v>27</v>
      </c>
      <c r="E109" s="266">
        <v>25</v>
      </c>
      <c r="F109" s="266">
        <v>17</v>
      </c>
      <c r="G109" s="266">
        <v>12</v>
      </c>
      <c r="H109" s="266">
        <v>12</v>
      </c>
      <c r="I109" s="266">
        <v>12</v>
      </c>
      <c r="J109" s="266">
        <v>11</v>
      </c>
      <c r="K109" s="266">
        <v>19</v>
      </c>
      <c r="L109" s="266">
        <v>17</v>
      </c>
      <c r="M109" s="266">
        <v>16</v>
      </c>
      <c r="N109" s="266">
        <v>23</v>
      </c>
      <c r="O109" s="266">
        <v>29</v>
      </c>
      <c r="P109" s="266">
        <f t="shared" si="4"/>
        <v>220</v>
      </c>
    </row>
    <row r="110" spans="1:16" x14ac:dyDescent="0.3">
      <c r="A110" s="449" t="s">
        <v>138</v>
      </c>
      <c r="B110" s="532" t="s">
        <v>139</v>
      </c>
      <c r="C110" s="532" t="s">
        <v>253</v>
      </c>
      <c r="D110" s="266">
        <v>47</v>
      </c>
      <c r="E110" s="266">
        <v>59</v>
      </c>
      <c r="F110" s="266">
        <v>67</v>
      </c>
      <c r="G110" s="266">
        <v>48</v>
      </c>
      <c r="H110" s="266">
        <v>35</v>
      </c>
      <c r="I110" s="266">
        <v>27</v>
      </c>
      <c r="J110" s="266">
        <v>39</v>
      </c>
      <c r="K110" s="266">
        <v>25</v>
      </c>
      <c r="L110" s="266">
        <v>28</v>
      </c>
      <c r="M110" s="266">
        <v>57</v>
      </c>
      <c r="N110" s="266">
        <v>47</v>
      </c>
      <c r="O110" s="266">
        <v>60</v>
      </c>
      <c r="P110" s="266">
        <f t="shared" si="4"/>
        <v>539</v>
      </c>
    </row>
    <row r="111" spans="1:16" x14ac:dyDescent="0.3">
      <c r="A111" s="449" t="s">
        <v>142</v>
      </c>
      <c r="B111" s="532" t="s">
        <v>143</v>
      </c>
      <c r="C111" s="532" t="s">
        <v>255</v>
      </c>
      <c r="D111" s="266">
        <v>12</v>
      </c>
      <c r="E111" s="266">
        <v>6</v>
      </c>
      <c r="F111" s="266">
        <v>5</v>
      </c>
      <c r="G111" s="266">
        <v>14</v>
      </c>
      <c r="H111" s="266">
        <v>6</v>
      </c>
      <c r="I111" s="266">
        <v>6</v>
      </c>
      <c r="J111" s="266">
        <v>4</v>
      </c>
      <c r="K111" s="266">
        <v>9</v>
      </c>
      <c r="L111" s="266">
        <v>11</v>
      </c>
      <c r="M111" s="266">
        <v>4</v>
      </c>
      <c r="N111" s="266">
        <v>5</v>
      </c>
      <c r="O111" s="266">
        <v>5</v>
      </c>
      <c r="P111" s="266">
        <f t="shared" si="4"/>
        <v>87</v>
      </c>
    </row>
    <row r="112" spans="1:16" x14ac:dyDescent="0.3">
      <c r="A112" s="449" t="s">
        <v>144</v>
      </c>
      <c r="B112" s="532" t="s">
        <v>145</v>
      </c>
      <c r="C112" s="532" t="s">
        <v>255</v>
      </c>
      <c r="D112" s="266">
        <v>4</v>
      </c>
      <c r="E112" s="266">
        <v>6</v>
      </c>
      <c r="F112" s="266"/>
      <c r="G112" s="266">
        <v>2</v>
      </c>
      <c r="H112" s="266">
        <v>1</v>
      </c>
      <c r="I112" s="266">
        <v>1</v>
      </c>
      <c r="J112" s="266">
        <v>6</v>
      </c>
      <c r="K112" s="266">
        <v>5</v>
      </c>
      <c r="L112" s="266"/>
      <c r="M112" s="266">
        <v>3</v>
      </c>
      <c r="N112" s="266">
        <v>2</v>
      </c>
      <c r="O112" s="266"/>
      <c r="P112" s="266">
        <f t="shared" si="4"/>
        <v>30</v>
      </c>
    </row>
    <row r="113" spans="1:16" x14ac:dyDescent="0.3">
      <c r="A113" s="449" t="s">
        <v>158</v>
      </c>
      <c r="B113" s="532" t="s">
        <v>159</v>
      </c>
      <c r="C113" s="532" t="s">
        <v>252</v>
      </c>
      <c r="D113" s="266">
        <v>137</v>
      </c>
      <c r="E113" s="266">
        <v>138</v>
      </c>
      <c r="F113" s="266">
        <v>87</v>
      </c>
      <c r="G113" s="266">
        <v>114</v>
      </c>
      <c r="H113" s="266">
        <v>107</v>
      </c>
      <c r="I113" s="266">
        <v>88</v>
      </c>
      <c r="J113" s="266">
        <v>92</v>
      </c>
      <c r="K113" s="266">
        <v>80</v>
      </c>
      <c r="L113" s="266">
        <v>82</v>
      </c>
      <c r="M113" s="266">
        <v>175</v>
      </c>
      <c r="N113" s="266">
        <v>170</v>
      </c>
      <c r="O113" s="266">
        <v>150</v>
      </c>
      <c r="P113" s="266">
        <f t="shared" si="4"/>
        <v>1420</v>
      </c>
    </row>
    <row r="114" spans="1:16" x14ac:dyDescent="0.3">
      <c r="A114" s="449" t="s">
        <v>160</v>
      </c>
      <c r="B114" s="532" t="s">
        <v>161</v>
      </c>
      <c r="C114" s="532" t="s">
        <v>252</v>
      </c>
      <c r="D114" s="266">
        <v>65</v>
      </c>
      <c r="E114" s="266">
        <v>46</v>
      </c>
      <c r="F114" s="266">
        <v>57</v>
      </c>
      <c r="G114" s="266">
        <v>76</v>
      </c>
      <c r="H114" s="266">
        <v>70</v>
      </c>
      <c r="I114" s="266">
        <v>55</v>
      </c>
      <c r="J114" s="266">
        <v>59</v>
      </c>
      <c r="K114" s="266">
        <v>71</v>
      </c>
      <c r="L114" s="266">
        <v>161</v>
      </c>
      <c r="M114" s="266">
        <v>184</v>
      </c>
      <c r="N114" s="266">
        <v>205</v>
      </c>
      <c r="O114" s="266">
        <v>191</v>
      </c>
      <c r="P114" s="266">
        <f t="shared" si="4"/>
        <v>1240</v>
      </c>
    </row>
    <row r="115" spans="1:16" x14ac:dyDescent="0.3">
      <c r="A115" s="449" t="s">
        <v>166</v>
      </c>
      <c r="B115" s="532" t="s">
        <v>167</v>
      </c>
      <c r="C115" s="532" t="s">
        <v>256</v>
      </c>
      <c r="D115" s="266"/>
      <c r="E115" s="266">
        <v>2</v>
      </c>
      <c r="F115" s="266">
        <v>1</v>
      </c>
      <c r="G115" s="266"/>
      <c r="H115" s="266"/>
      <c r="I115" s="266"/>
      <c r="J115" s="266"/>
      <c r="K115" s="266"/>
      <c r="L115" s="266"/>
      <c r="M115" s="266"/>
      <c r="N115" s="266"/>
      <c r="O115" s="266"/>
      <c r="P115" s="266">
        <f t="shared" si="4"/>
        <v>3</v>
      </c>
    </row>
    <row r="116" spans="1:16" x14ac:dyDescent="0.3">
      <c r="A116" s="449" t="s">
        <v>176</v>
      </c>
      <c r="B116" s="532" t="s">
        <v>177</v>
      </c>
      <c r="C116" s="532" t="s">
        <v>254</v>
      </c>
      <c r="D116" s="266">
        <v>56</v>
      </c>
      <c r="E116" s="266">
        <v>51</v>
      </c>
      <c r="F116" s="266">
        <v>44</v>
      </c>
      <c r="G116" s="266">
        <v>34</v>
      </c>
      <c r="H116" s="266">
        <v>92</v>
      </c>
      <c r="I116" s="266">
        <v>18</v>
      </c>
      <c r="J116" s="266">
        <v>29</v>
      </c>
      <c r="K116" s="266">
        <v>26</v>
      </c>
      <c r="L116" s="266">
        <v>28</v>
      </c>
      <c r="M116" s="266">
        <v>43</v>
      </c>
      <c r="N116" s="266">
        <v>44</v>
      </c>
      <c r="O116" s="266">
        <v>41</v>
      </c>
      <c r="P116" s="266">
        <f t="shared" si="4"/>
        <v>506</v>
      </c>
    </row>
    <row r="117" spans="1:16" x14ac:dyDescent="0.3">
      <c r="A117" s="449" t="s">
        <v>180</v>
      </c>
      <c r="B117" s="532" t="s">
        <v>181</v>
      </c>
      <c r="C117" s="532" t="s">
        <v>252</v>
      </c>
      <c r="D117" s="266">
        <v>25</v>
      </c>
      <c r="E117" s="266">
        <v>29</v>
      </c>
      <c r="F117" s="266">
        <v>17</v>
      </c>
      <c r="G117" s="266">
        <v>23</v>
      </c>
      <c r="H117" s="266">
        <v>24</v>
      </c>
      <c r="I117" s="266">
        <v>16</v>
      </c>
      <c r="J117" s="266">
        <v>28</v>
      </c>
      <c r="K117" s="266">
        <v>15</v>
      </c>
      <c r="L117" s="266">
        <v>20</v>
      </c>
      <c r="M117" s="266">
        <v>19</v>
      </c>
      <c r="N117" s="266">
        <v>25</v>
      </c>
      <c r="O117" s="266">
        <v>25</v>
      </c>
      <c r="P117" s="266">
        <f t="shared" si="4"/>
        <v>266</v>
      </c>
    </row>
    <row r="118" spans="1:16" x14ac:dyDescent="0.3">
      <c r="A118" s="449" t="s">
        <v>192</v>
      </c>
      <c r="B118" s="532" t="s">
        <v>193</v>
      </c>
      <c r="C118" s="532" t="s">
        <v>256</v>
      </c>
      <c r="D118" s="266"/>
      <c r="E118" s="266">
        <v>2</v>
      </c>
      <c r="F118" s="266">
        <v>2</v>
      </c>
      <c r="G118" s="266"/>
      <c r="H118" s="266">
        <v>2</v>
      </c>
      <c r="I118" s="266">
        <v>1</v>
      </c>
      <c r="J118" s="266">
        <v>2</v>
      </c>
      <c r="K118" s="266">
        <v>5</v>
      </c>
      <c r="L118" s="266">
        <v>1</v>
      </c>
      <c r="M118" s="266">
        <v>1</v>
      </c>
      <c r="N118" s="266">
        <v>4</v>
      </c>
      <c r="O118" s="266">
        <v>6</v>
      </c>
      <c r="P118" s="266">
        <f t="shared" si="4"/>
        <v>26</v>
      </c>
    </row>
    <row r="119" spans="1:16" x14ac:dyDescent="0.3">
      <c r="A119" s="449" t="s">
        <v>196</v>
      </c>
      <c r="B119" s="532" t="s">
        <v>197</v>
      </c>
      <c r="C119" s="532" t="s">
        <v>254</v>
      </c>
      <c r="D119" s="266">
        <v>136</v>
      </c>
      <c r="E119" s="266">
        <v>131</v>
      </c>
      <c r="F119" s="266">
        <v>128</v>
      </c>
      <c r="G119" s="266">
        <v>147</v>
      </c>
      <c r="H119" s="266">
        <v>117</v>
      </c>
      <c r="I119" s="266">
        <v>108</v>
      </c>
      <c r="J119" s="266">
        <v>148</v>
      </c>
      <c r="K119" s="266">
        <v>83</v>
      </c>
      <c r="L119" s="266">
        <v>73</v>
      </c>
      <c r="M119" s="266">
        <v>90</v>
      </c>
      <c r="N119" s="266">
        <v>99</v>
      </c>
      <c r="O119" s="266">
        <v>71</v>
      </c>
      <c r="P119" s="266">
        <f t="shared" si="4"/>
        <v>1331</v>
      </c>
    </row>
    <row r="120" spans="1:16" x14ac:dyDescent="0.3">
      <c r="A120" s="449" t="s">
        <v>200</v>
      </c>
      <c r="B120" s="532" t="s">
        <v>201</v>
      </c>
      <c r="C120" s="532" t="s">
        <v>253</v>
      </c>
      <c r="D120" s="266">
        <v>66</v>
      </c>
      <c r="E120" s="266">
        <v>60</v>
      </c>
      <c r="F120" s="266">
        <v>49</v>
      </c>
      <c r="G120" s="266">
        <v>46</v>
      </c>
      <c r="H120" s="266">
        <v>55</v>
      </c>
      <c r="I120" s="266">
        <v>38</v>
      </c>
      <c r="J120" s="266">
        <v>43</v>
      </c>
      <c r="K120" s="266">
        <v>54</v>
      </c>
      <c r="L120" s="266">
        <v>63</v>
      </c>
      <c r="M120" s="266">
        <v>74</v>
      </c>
      <c r="N120" s="266">
        <v>61</v>
      </c>
      <c r="O120" s="266">
        <v>71</v>
      </c>
      <c r="P120" s="266">
        <f t="shared" si="4"/>
        <v>680</v>
      </c>
    </row>
    <row r="121" spans="1:16" x14ac:dyDescent="0.3">
      <c r="A121" s="449" t="s">
        <v>222</v>
      </c>
      <c r="B121" s="532" t="s">
        <v>223</v>
      </c>
      <c r="C121" s="532" t="s">
        <v>252</v>
      </c>
      <c r="D121" s="266">
        <v>32</v>
      </c>
      <c r="E121" s="266">
        <v>22</v>
      </c>
      <c r="F121" s="266">
        <v>29</v>
      </c>
      <c r="G121" s="266">
        <v>21</v>
      </c>
      <c r="H121" s="266">
        <v>19</v>
      </c>
      <c r="I121" s="266">
        <v>17</v>
      </c>
      <c r="J121" s="266">
        <v>32</v>
      </c>
      <c r="K121" s="266">
        <v>13</v>
      </c>
      <c r="L121" s="266">
        <v>28</v>
      </c>
      <c r="M121" s="266">
        <v>32</v>
      </c>
      <c r="N121" s="266">
        <v>35</v>
      </c>
      <c r="O121" s="266">
        <v>42</v>
      </c>
      <c r="P121" s="266">
        <f t="shared" si="4"/>
        <v>322</v>
      </c>
    </row>
    <row r="122" spans="1:16" x14ac:dyDescent="0.3">
      <c r="A122" s="449" t="s">
        <v>230</v>
      </c>
      <c r="B122" s="532" t="s">
        <v>231</v>
      </c>
      <c r="C122" s="532" t="s">
        <v>252</v>
      </c>
      <c r="D122" s="266">
        <v>206</v>
      </c>
      <c r="E122" s="266">
        <v>224</v>
      </c>
      <c r="F122" s="266">
        <v>160</v>
      </c>
      <c r="G122" s="266">
        <v>143</v>
      </c>
      <c r="H122" s="266">
        <v>50</v>
      </c>
      <c r="I122" s="266">
        <v>98</v>
      </c>
      <c r="J122" s="266">
        <v>95</v>
      </c>
      <c r="K122" s="266">
        <v>47</v>
      </c>
      <c r="L122" s="266">
        <v>151</v>
      </c>
      <c r="M122" s="266">
        <v>187</v>
      </c>
      <c r="N122" s="266">
        <v>169</v>
      </c>
      <c r="O122" s="266">
        <v>174</v>
      </c>
      <c r="P122" s="266">
        <f t="shared" si="4"/>
        <v>1704</v>
      </c>
    </row>
    <row r="123" spans="1:16" x14ac:dyDescent="0.3">
      <c r="A123" s="449" t="s">
        <v>238</v>
      </c>
      <c r="B123" s="532" t="s">
        <v>239</v>
      </c>
      <c r="C123" s="532" t="s">
        <v>252</v>
      </c>
      <c r="D123" s="266">
        <v>2</v>
      </c>
      <c r="E123" s="266">
        <v>2</v>
      </c>
      <c r="F123" s="266">
        <v>4</v>
      </c>
      <c r="G123" s="266"/>
      <c r="H123" s="266"/>
      <c r="I123" s="266">
        <v>2</v>
      </c>
      <c r="J123" s="266">
        <v>2</v>
      </c>
      <c r="K123" s="266">
        <v>5</v>
      </c>
      <c r="L123" s="266">
        <v>4</v>
      </c>
      <c r="M123" s="266">
        <v>3</v>
      </c>
      <c r="N123" s="266">
        <v>5</v>
      </c>
      <c r="O123" s="266">
        <v>3</v>
      </c>
      <c r="P123" s="266">
        <f t="shared" si="4"/>
        <v>32</v>
      </c>
    </row>
    <row r="124" spans="1:16" x14ac:dyDescent="0.3">
      <c r="A124" s="450" t="s">
        <v>240</v>
      </c>
      <c r="B124" s="453" t="s">
        <v>241</v>
      </c>
      <c r="C124" s="453" t="s">
        <v>255</v>
      </c>
      <c r="D124" s="266">
        <v>4</v>
      </c>
      <c r="E124" s="266">
        <v>3</v>
      </c>
      <c r="F124" s="266">
        <v>3</v>
      </c>
      <c r="G124" s="266">
        <v>5</v>
      </c>
      <c r="H124" s="266">
        <v>2</v>
      </c>
      <c r="I124" s="266">
        <v>5</v>
      </c>
      <c r="J124" s="266">
        <v>1</v>
      </c>
      <c r="K124" s="266"/>
      <c r="L124" s="266">
        <v>3</v>
      </c>
      <c r="M124" s="266">
        <v>6</v>
      </c>
      <c r="N124" s="266">
        <v>4</v>
      </c>
      <c r="O124" s="266">
        <v>4</v>
      </c>
      <c r="P124" s="266">
        <f t="shared" si="4"/>
        <v>40</v>
      </c>
    </row>
    <row r="126" spans="1:16" ht="65.25" customHeight="1" x14ac:dyDescent="0.3">
      <c r="A126" s="2737" t="s">
        <v>1060</v>
      </c>
      <c r="B126" s="2737"/>
      <c r="C126" s="2737"/>
    </row>
    <row r="128" spans="1:16" s="359" customFormat="1" x14ac:dyDescent="0.3">
      <c r="A128" s="359" t="s">
        <v>248</v>
      </c>
    </row>
    <row r="129" spans="1:3" s="359" customFormat="1" x14ac:dyDescent="0.3">
      <c r="A129" s="360" t="s">
        <v>249</v>
      </c>
      <c r="B129" s="361" t="s">
        <v>250</v>
      </c>
      <c r="C129" s="361"/>
    </row>
  </sheetData>
  <sortState ref="A5:P124">
    <sortCondition ref="A5:A124"/>
  </sortState>
  <mergeCells count="1">
    <mergeCell ref="A126:C126"/>
  </mergeCells>
  <hyperlinks>
    <hyperlink ref="B129" r:id="rId1"/>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129"/>
  <sheetViews>
    <sheetView workbookViewId="0">
      <pane xSplit="3" ySplit="4" topLeftCell="D106" activePane="bottomRight" state="frozen"/>
      <selection pane="topRight" activeCell="D1" sqref="D1"/>
      <selection pane="bottomLeft" activeCell="A5" sqref="A5"/>
      <selection pane="bottomRight" activeCell="K5" sqref="K5:K124"/>
    </sheetView>
  </sheetViews>
  <sheetFormatPr defaultColWidth="9" defaultRowHeight="15.6" x14ac:dyDescent="0.3"/>
  <cols>
    <col min="1" max="1" width="9" style="441"/>
    <col min="2" max="2" width="33.296875" style="441" customWidth="1"/>
    <col min="3" max="3" width="16.69921875" style="441" customWidth="1"/>
    <col min="4" max="11" width="11" style="441" customWidth="1"/>
    <col min="12" max="12" width="4.59765625" style="441" customWidth="1"/>
    <col min="13" max="16384" width="9" style="441"/>
  </cols>
  <sheetData>
    <row r="1" spans="1:15" ht="12.75" customHeight="1" x14ac:dyDescent="0.3">
      <c r="A1" s="253" t="s">
        <v>1165</v>
      </c>
    </row>
    <row r="3" spans="1:15" x14ac:dyDescent="0.3">
      <c r="A3" s="446" t="s">
        <v>4</v>
      </c>
      <c r="B3" s="503" t="s">
        <v>5</v>
      </c>
      <c r="C3" s="503" t="s">
        <v>251</v>
      </c>
      <c r="D3" s="542">
        <v>2012</v>
      </c>
      <c r="E3" s="542">
        <v>2013</v>
      </c>
      <c r="F3" s="542">
        <v>2014</v>
      </c>
      <c r="G3" s="1128">
        <v>2015</v>
      </c>
      <c r="H3" s="1128">
        <v>2016</v>
      </c>
      <c r="I3" s="1707">
        <v>2017</v>
      </c>
      <c r="J3" s="1707">
        <v>2018</v>
      </c>
      <c r="K3" s="2259">
        <v>2019</v>
      </c>
      <c r="L3" s="443"/>
      <c r="M3" s="443"/>
      <c r="N3" s="443"/>
      <c r="O3" s="443"/>
    </row>
    <row r="4" spans="1:15" x14ac:dyDescent="0.3">
      <c r="A4" s="2265">
        <v>999</v>
      </c>
      <c r="B4" s="1875" t="s">
        <v>1022</v>
      </c>
      <c r="C4" s="1875"/>
      <c r="D4" s="1876">
        <v>1196415</v>
      </c>
      <c r="E4" s="1876">
        <v>1241146</v>
      </c>
      <c r="F4" s="1876">
        <v>1216614</v>
      </c>
      <c r="G4" s="1876">
        <v>1170959</v>
      </c>
      <c r="H4" s="1876">
        <v>1103419</v>
      </c>
      <c r="I4" s="1876">
        <v>1051744</v>
      </c>
      <c r="J4" s="1876">
        <v>994708</v>
      </c>
      <c r="K4" s="1876">
        <v>941846</v>
      </c>
      <c r="L4" s="443"/>
      <c r="M4" s="443"/>
      <c r="N4" s="443"/>
      <c r="O4" s="443"/>
    </row>
    <row r="5" spans="1:15" x14ac:dyDescent="0.3">
      <c r="A5" s="1845" t="s">
        <v>10</v>
      </c>
      <c r="B5" s="1846" t="s">
        <v>11</v>
      </c>
      <c r="C5" s="1846" t="s">
        <v>252</v>
      </c>
      <c r="D5" s="1708">
        <v>9085</v>
      </c>
      <c r="E5" s="1708">
        <v>9423</v>
      </c>
      <c r="F5" s="1708">
        <v>9215</v>
      </c>
      <c r="G5" s="1708">
        <v>8673</v>
      </c>
      <c r="H5" s="1708">
        <v>7971</v>
      </c>
      <c r="I5" s="1708">
        <v>7315</v>
      </c>
      <c r="J5" s="1708">
        <v>6811</v>
      </c>
      <c r="K5" s="2219">
        <v>6523</v>
      </c>
    </row>
    <row r="6" spans="1:15" x14ac:dyDescent="0.3">
      <c r="A6" s="449" t="s">
        <v>12</v>
      </c>
      <c r="B6" s="532" t="s">
        <v>13</v>
      </c>
      <c r="C6" s="532" t="s">
        <v>253</v>
      </c>
      <c r="D6" s="813">
        <v>9675</v>
      </c>
      <c r="E6" s="813">
        <v>9946</v>
      </c>
      <c r="F6" s="813">
        <v>9655</v>
      </c>
      <c r="G6" s="1262">
        <v>9271</v>
      </c>
      <c r="H6" s="1262">
        <v>8073</v>
      </c>
      <c r="I6" s="1708">
        <v>7902</v>
      </c>
      <c r="J6" s="1708">
        <v>6834</v>
      </c>
      <c r="K6" s="2219">
        <v>6513</v>
      </c>
    </row>
    <row r="7" spans="1:15" x14ac:dyDescent="0.3">
      <c r="A7" s="449" t="s">
        <v>16</v>
      </c>
      <c r="B7" s="532" t="s">
        <v>285</v>
      </c>
      <c r="C7" s="532" t="s">
        <v>253</v>
      </c>
      <c r="D7" s="813">
        <v>5236</v>
      </c>
      <c r="E7" s="813">
        <v>5440</v>
      </c>
      <c r="F7" s="813">
        <v>5131</v>
      </c>
      <c r="G7" s="1262">
        <v>4893</v>
      </c>
      <c r="H7" s="1262">
        <v>4788</v>
      </c>
      <c r="I7" s="1708">
        <v>4899</v>
      </c>
      <c r="J7" s="1708">
        <v>4373</v>
      </c>
      <c r="K7" s="2219">
        <v>4165</v>
      </c>
    </row>
    <row r="8" spans="1:15" x14ac:dyDescent="0.3">
      <c r="A8" s="449" t="s">
        <v>18</v>
      </c>
      <c r="B8" s="532" t="s">
        <v>19</v>
      </c>
      <c r="C8" s="532" t="s">
        <v>254</v>
      </c>
      <c r="D8" s="813">
        <v>3023</v>
      </c>
      <c r="E8" s="813">
        <v>2930</v>
      </c>
      <c r="F8" s="813">
        <v>2727</v>
      </c>
      <c r="G8" s="1262">
        <v>2510</v>
      </c>
      <c r="H8" s="1262">
        <v>2337</v>
      </c>
      <c r="I8" s="1708">
        <v>2274</v>
      </c>
      <c r="J8" s="1708">
        <v>2066</v>
      </c>
      <c r="K8" s="2219">
        <v>1997</v>
      </c>
    </row>
    <row r="9" spans="1:15" x14ac:dyDescent="0.3">
      <c r="A9" s="449" t="s">
        <v>20</v>
      </c>
      <c r="B9" s="532" t="s">
        <v>21</v>
      </c>
      <c r="C9" s="532" t="s">
        <v>253</v>
      </c>
      <c r="D9" s="813">
        <v>5939</v>
      </c>
      <c r="E9" s="813">
        <v>6100</v>
      </c>
      <c r="F9" s="813">
        <v>5668</v>
      </c>
      <c r="G9" s="1262">
        <v>5218</v>
      </c>
      <c r="H9" s="1262">
        <v>5099</v>
      </c>
      <c r="I9" s="1708">
        <v>5190</v>
      </c>
      <c r="J9" s="1708">
        <v>4771</v>
      </c>
      <c r="K9" s="2219">
        <v>4497</v>
      </c>
    </row>
    <row r="10" spans="1:15" x14ac:dyDescent="0.3">
      <c r="A10" s="449" t="s">
        <v>22</v>
      </c>
      <c r="B10" s="532" t="s">
        <v>23</v>
      </c>
      <c r="C10" s="532" t="s">
        <v>253</v>
      </c>
      <c r="D10" s="813">
        <v>3642</v>
      </c>
      <c r="E10" s="813">
        <v>3744</v>
      </c>
      <c r="F10" s="813">
        <v>3631</v>
      </c>
      <c r="G10" s="1262">
        <v>3477</v>
      </c>
      <c r="H10" s="1262">
        <v>3352</v>
      </c>
      <c r="I10" s="1708">
        <v>3392</v>
      </c>
      <c r="J10" s="1708">
        <v>3105</v>
      </c>
      <c r="K10" s="2219">
        <v>2908</v>
      </c>
    </row>
    <row r="11" spans="1:15" x14ac:dyDescent="0.3">
      <c r="A11" s="449" t="s">
        <v>24</v>
      </c>
      <c r="B11" s="532" t="s">
        <v>25</v>
      </c>
      <c r="C11" s="532" t="s">
        <v>255</v>
      </c>
      <c r="D11" s="813">
        <v>10376</v>
      </c>
      <c r="E11" s="813">
        <v>11128</v>
      </c>
      <c r="F11" s="813">
        <v>11291</v>
      </c>
      <c r="G11" s="1262">
        <v>11270</v>
      </c>
      <c r="H11" s="1262">
        <v>10559</v>
      </c>
      <c r="I11" s="1708">
        <v>10213</v>
      </c>
      <c r="J11" s="1708">
        <v>9118</v>
      </c>
      <c r="K11" s="2219">
        <v>8301</v>
      </c>
    </row>
    <row r="12" spans="1:15" x14ac:dyDescent="0.3">
      <c r="A12" s="449" t="s">
        <v>26</v>
      </c>
      <c r="B12" s="532" t="s">
        <v>547</v>
      </c>
      <c r="C12" s="532" t="s">
        <v>253</v>
      </c>
      <c r="D12" s="813">
        <v>22762</v>
      </c>
      <c r="E12" s="813">
        <v>24805</v>
      </c>
      <c r="F12" s="813">
        <v>22085</v>
      </c>
      <c r="G12" s="1262">
        <v>20226</v>
      </c>
      <c r="H12" s="1262">
        <v>18704</v>
      </c>
      <c r="I12" s="1708">
        <v>18888</v>
      </c>
      <c r="J12" s="1708">
        <v>16297</v>
      </c>
      <c r="K12" s="2219">
        <v>15198</v>
      </c>
    </row>
    <row r="13" spans="1:15" x14ac:dyDescent="0.3">
      <c r="A13" s="449" t="s">
        <v>27</v>
      </c>
      <c r="B13" s="532" t="s">
        <v>28</v>
      </c>
      <c r="C13" s="532" t="s">
        <v>253</v>
      </c>
      <c r="D13" s="813">
        <v>674</v>
      </c>
      <c r="E13" s="813">
        <v>730</v>
      </c>
      <c r="F13" s="813">
        <v>645</v>
      </c>
      <c r="G13" s="1262">
        <v>594</v>
      </c>
      <c r="H13" s="1262">
        <v>542</v>
      </c>
      <c r="I13" s="1708">
        <v>507</v>
      </c>
      <c r="J13" s="1708">
        <v>445</v>
      </c>
      <c r="K13" s="2219">
        <v>440</v>
      </c>
    </row>
    <row r="14" spans="1:15" x14ac:dyDescent="0.3">
      <c r="A14" s="449" t="s">
        <v>29</v>
      </c>
      <c r="B14" s="532" t="s">
        <v>736</v>
      </c>
      <c r="C14" s="532" t="s">
        <v>253</v>
      </c>
      <c r="D14" s="813">
        <v>10487</v>
      </c>
      <c r="E14" s="813">
        <v>10815</v>
      </c>
      <c r="F14" s="813">
        <v>11129</v>
      </c>
      <c r="G14" s="1262">
        <v>9409</v>
      </c>
      <c r="H14" s="1262">
        <v>8548</v>
      </c>
      <c r="I14" s="1708">
        <v>8581</v>
      </c>
      <c r="J14" s="1708">
        <v>8032</v>
      </c>
      <c r="K14" s="2219">
        <v>7609</v>
      </c>
    </row>
    <row r="15" spans="1:15" x14ac:dyDescent="0.3">
      <c r="A15" s="449" t="s">
        <v>30</v>
      </c>
      <c r="B15" s="532" t="s">
        <v>31</v>
      </c>
      <c r="C15" s="532" t="s">
        <v>256</v>
      </c>
      <c r="D15" s="813">
        <v>929</v>
      </c>
      <c r="E15" s="813">
        <v>967</v>
      </c>
      <c r="F15" s="813">
        <v>903</v>
      </c>
      <c r="G15" s="1262">
        <v>820</v>
      </c>
      <c r="H15" s="1262">
        <v>803</v>
      </c>
      <c r="I15" s="1708">
        <v>787</v>
      </c>
      <c r="J15" s="1708">
        <v>697</v>
      </c>
      <c r="K15" s="2219">
        <v>656</v>
      </c>
    </row>
    <row r="16" spans="1:15" x14ac:dyDescent="0.3">
      <c r="A16" s="449" t="s">
        <v>32</v>
      </c>
      <c r="B16" s="532" t="s">
        <v>33</v>
      </c>
      <c r="C16" s="532" t="s">
        <v>253</v>
      </c>
      <c r="D16" s="813">
        <v>2665</v>
      </c>
      <c r="E16" s="813">
        <v>2727</v>
      </c>
      <c r="F16" s="813">
        <v>2705</v>
      </c>
      <c r="G16" s="1262">
        <v>2701</v>
      </c>
      <c r="H16" s="1262">
        <v>2694</v>
      </c>
      <c r="I16" s="1708">
        <v>2778</v>
      </c>
      <c r="J16" s="1708">
        <v>2364</v>
      </c>
      <c r="K16" s="2219">
        <v>2199</v>
      </c>
    </row>
    <row r="17" spans="1:11" x14ac:dyDescent="0.3">
      <c r="A17" s="449" t="s">
        <v>36</v>
      </c>
      <c r="B17" s="532" t="s">
        <v>37</v>
      </c>
      <c r="C17" s="532" t="s">
        <v>252</v>
      </c>
      <c r="D17" s="813">
        <v>5124</v>
      </c>
      <c r="E17" s="813">
        <v>5179</v>
      </c>
      <c r="F17" s="813">
        <v>5064</v>
      </c>
      <c r="G17" s="1262">
        <v>4823</v>
      </c>
      <c r="H17" s="1262">
        <v>4593</v>
      </c>
      <c r="I17" s="1708">
        <v>4570</v>
      </c>
      <c r="J17" s="1708">
        <v>4196</v>
      </c>
      <c r="K17" s="2219">
        <v>3873</v>
      </c>
    </row>
    <row r="18" spans="1:11" x14ac:dyDescent="0.3">
      <c r="A18" s="449" t="s">
        <v>38</v>
      </c>
      <c r="B18" s="532" t="s">
        <v>39</v>
      </c>
      <c r="C18" s="532" t="s">
        <v>256</v>
      </c>
      <c r="D18" s="813">
        <v>6097</v>
      </c>
      <c r="E18" s="813">
        <v>6473</v>
      </c>
      <c r="F18" s="813">
        <v>6245</v>
      </c>
      <c r="G18" s="1262">
        <v>6238</v>
      </c>
      <c r="H18" s="1262">
        <v>6200</v>
      </c>
      <c r="I18" s="1708">
        <v>6180</v>
      </c>
      <c r="J18" s="1708">
        <v>5715</v>
      </c>
      <c r="K18" s="2219">
        <v>5478</v>
      </c>
    </row>
    <row r="19" spans="1:11" x14ac:dyDescent="0.3">
      <c r="A19" s="449" t="s">
        <v>40</v>
      </c>
      <c r="B19" s="532" t="s">
        <v>41</v>
      </c>
      <c r="C19" s="532" t="s">
        <v>254</v>
      </c>
      <c r="D19" s="813">
        <v>4698</v>
      </c>
      <c r="E19" s="813">
        <v>4790</v>
      </c>
      <c r="F19" s="813">
        <v>4408</v>
      </c>
      <c r="G19" s="1262">
        <v>4238</v>
      </c>
      <c r="H19" s="1262">
        <v>3819</v>
      </c>
      <c r="I19" s="1708">
        <v>3833</v>
      </c>
      <c r="J19" s="1708">
        <v>3428</v>
      </c>
      <c r="K19" s="2219">
        <v>3333</v>
      </c>
    </row>
    <row r="20" spans="1:11" x14ac:dyDescent="0.3">
      <c r="A20" s="449" t="s">
        <v>42</v>
      </c>
      <c r="B20" s="532" t="s">
        <v>43</v>
      </c>
      <c r="C20" s="532" t="s">
        <v>253</v>
      </c>
      <c r="D20" s="813">
        <v>11103</v>
      </c>
      <c r="E20" s="813">
        <v>11308</v>
      </c>
      <c r="F20" s="813">
        <v>10950</v>
      </c>
      <c r="G20" s="1262">
        <v>10676</v>
      </c>
      <c r="H20" s="1262">
        <v>10068</v>
      </c>
      <c r="I20" s="1708">
        <v>9867</v>
      </c>
      <c r="J20" s="1708">
        <v>8898</v>
      </c>
      <c r="K20" s="2219">
        <v>8405</v>
      </c>
    </row>
    <row r="21" spans="1:11" x14ac:dyDescent="0.3">
      <c r="A21" s="449" t="s">
        <v>44</v>
      </c>
      <c r="B21" s="532" t="s">
        <v>45</v>
      </c>
      <c r="C21" s="532" t="s">
        <v>254</v>
      </c>
      <c r="D21" s="813">
        <v>7199</v>
      </c>
      <c r="E21" s="813">
        <v>7381</v>
      </c>
      <c r="F21" s="813">
        <v>6944</v>
      </c>
      <c r="G21" s="1262">
        <v>6817</v>
      </c>
      <c r="H21" s="1262">
        <v>6288</v>
      </c>
      <c r="I21" s="1708">
        <v>5908</v>
      </c>
      <c r="J21" s="1708">
        <v>5238</v>
      </c>
      <c r="K21" s="2219">
        <v>4858</v>
      </c>
    </row>
    <row r="22" spans="1:11" x14ac:dyDescent="0.3">
      <c r="A22" s="449" t="s">
        <v>46</v>
      </c>
      <c r="B22" s="532" t="s">
        <v>47</v>
      </c>
      <c r="C22" s="532" t="s">
        <v>256</v>
      </c>
      <c r="D22" s="813">
        <v>7631</v>
      </c>
      <c r="E22" s="813">
        <v>7792</v>
      </c>
      <c r="F22" s="813">
        <v>7480</v>
      </c>
      <c r="G22" s="1262">
        <v>7095</v>
      </c>
      <c r="H22" s="1262">
        <v>6689</v>
      </c>
      <c r="I22" s="1708">
        <v>6339</v>
      </c>
      <c r="J22" s="1708">
        <v>5683</v>
      </c>
      <c r="K22" s="2219">
        <v>5510</v>
      </c>
    </row>
    <row r="23" spans="1:11" x14ac:dyDescent="0.3">
      <c r="A23" s="449" t="s">
        <v>48</v>
      </c>
      <c r="B23" s="532" t="s">
        <v>257</v>
      </c>
      <c r="C23" s="532" t="s">
        <v>254</v>
      </c>
      <c r="D23" s="813">
        <v>1436</v>
      </c>
      <c r="E23" s="813">
        <v>1519</v>
      </c>
      <c r="F23" s="813">
        <v>1443</v>
      </c>
      <c r="G23" s="1262">
        <v>1376</v>
      </c>
      <c r="H23" s="1262">
        <v>1299</v>
      </c>
      <c r="I23" s="1708">
        <v>1264</v>
      </c>
      <c r="J23" s="1708">
        <v>1141</v>
      </c>
      <c r="K23" s="2219">
        <v>1091</v>
      </c>
    </row>
    <row r="24" spans="1:11" x14ac:dyDescent="0.3">
      <c r="A24" s="449" t="s">
        <v>50</v>
      </c>
      <c r="B24" s="532" t="s">
        <v>51</v>
      </c>
      <c r="C24" s="532" t="s">
        <v>253</v>
      </c>
      <c r="D24" s="813">
        <v>3454</v>
      </c>
      <c r="E24" s="813">
        <v>3397</v>
      </c>
      <c r="F24" s="813">
        <v>3138</v>
      </c>
      <c r="G24" s="1262">
        <v>3071</v>
      </c>
      <c r="H24" s="1262">
        <v>2936</v>
      </c>
      <c r="I24" s="1708">
        <v>2910</v>
      </c>
      <c r="J24" s="1708">
        <v>2609</v>
      </c>
      <c r="K24" s="2219">
        <v>2536</v>
      </c>
    </row>
    <row r="25" spans="1:11" x14ac:dyDescent="0.3">
      <c r="A25" s="449" t="s">
        <v>56</v>
      </c>
      <c r="B25" s="532" t="s">
        <v>283</v>
      </c>
      <c r="C25" s="532" t="s">
        <v>254</v>
      </c>
      <c r="D25" s="813">
        <v>45896</v>
      </c>
      <c r="E25" s="813">
        <v>48422</v>
      </c>
      <c r="F25" s="813">
        <v>47698</v>
      </c>
      <c r="G25" s="1262">
        <v>45751</v>
      </c>
      <c r="H25" s="1262">
        <v>42514</v>
      </c>
      <c r="I25" s="1708">
        <v>42928</v>
      </c>
      <c r="J25" s="1708">
        <v>38773</v>
      </c>
      <c r="K25" s="2219">
        <v>38552</v>
      </c>
    </row>
    <row r="26" spans="1:11" x14ac:dyDescent="0.3">
      <c r="A26" s="449" t="s">
        <v>58</v>
      </c>
      <c r="B26" s="532" t="s">
        <v>59</v>
      </c>
      <c r="C26" s="532" t="s">
        <v>255</v>
      </c>
      <c r="D26" s="813">
        <v>1261</v>
      </c>
      <c r="E26" s="813">
        <v>1252</v>
      </c>
      <c r="F26" s="813">
        <v>1164</v>
      </c>
      <c r="G26" s="1262">
        <v>985</v>
      </c>
      <c r="H26" s="1262">
        <v>852</v>
      </c>
      <c r="I26" s="1708">
        <v>815</v>
      </c>
      <c r="J26" s="1708">
        <v>715</v>
      </c>
      <c r="K26" s="2219">
        <v>674</v>
      </c>
    </row>
    <row r="27" spans="1:11" x14ac:dyDescent="0.3">
      <c r="A27" s="449" t="s">
        <v>60</v>
      </c>
      <c r="B27" s="532" t="s">
        <v>61</v>
      </c>
      <c r="C27" s="532" t="s">
        <v>253</v>
      </c>
      <c r="D27" s="813">
        <v>884</v>
      </c>
      <c r="E27" s="813">
        <v>903</v>
      </c>
      <c r="F27" s="813">
        <v>846</v>
      </c>
      <c r="G27" s="1262">
        <v>849</v>
      </c>
      <c r="H27" s="1262">
        <v>854</v>
      </c>
      <c r="I27" s="1708">
        <v>872</v>
      </c>
      <c r="J27" s="1708">
        <v>794</v>
      </c>
      <c r="K27" s="2219">
        <v>656</v>
      </c>
    </row>
    <row r="28" spans="1:11" x14ac:dyDescent="0.3">
      <c r="A28" s="449" t="s">
        <v>62</v>
      </c>
      <c r="B28" s="532" t="s">
        <v>63</v>
      </c>
      <c r="C28" s="532" t="s">
        <v>255</v>
      </c>
      <c r="D28" s="813">
        <v>8176</v>
      </c>
      <c r="E28" s="813">
        <v>8637</v>
      </c>
      <c r="F28" s="813">
        <v>8259</v>
      </c>
      <c r="G28" s="1262">
        <v>7990</v>
      </c>
      <c r="H28" s="1262">
        <v>7325</v>
      </c>
      <c r="I28" s="1708">
        <v>7085</v>
      </c>
      <c r="J28" s="1708">
        <v>6337</v>
      </c>
      <c r="K28" s="2219">
        <v>5902</v>
      </c>
    </row>
    <row r="29" spans="1:11" x14ac:dyDescent="0.3">
      <c r="A29" s="449" t="s">
        <v>64</v>
      </c>
      <c r="B29" s="532" t="s">
        <v>65</v>
      </c>
      <c r="C29" s="532" t="s">
        <v>254</v>
      </c>
      <c r="D29" s="813">
        <v>3139</v>
      </c>
      <c r="E29" s="813">
        <v>3158</v>
      </c>
      <c r="F29" s="813">
        <v>3096</v>
      </c>
      <c r="G29" s="1262">
        <v>2923</v>
      </c>
      <c r="H29" s="1262">
        <v>2545</v>
      </c>
      <c r="I29" s="1708">
        <v>2582</v>
      </c>
      <c r="J29" s="1708">
        <v>2405</v>
      </c>
      <c r="K29" s="2219">
        <v>2336</v>
      </c>
    </row>
    <row r="30" spans="1:11" x14ac:dyDescent="0.3">
      <c r="A30" s="449" t="s">
        <v>68</v>
      </c>
      <c r="B30" s="532" t="s">
        <v>69</v>
      </c>
      <c r="C30" s="532" t="s">
        <v>256</v>
      </c>
      <c r="D30" s="813">
        <v>4516</v>
      </c>
      <c r="E30" s="813">
        <v>4753</v>
      </c>
      <c r="F30" s="813">
        <v>4513</v>
      </c>
      <c r="G30" s="1262">
        <v>4373</v>
      </c>
      <c r="H30" s="1262">
        <v>4425</v>
      </c>
      <c r="I30" s="1708">
        <v>4437</v>
      </c>
      <c r="J30" s="1708">
        <v>3876</v>
      </c>
      <c r="K30" s="2219">
        <v>3609</v>
      </c>
    </row>
    <row r="31" spans="1:11" x14ac:dyDescent="0.3">
      <c r="A31" s="449" t="s">
        <v>70</v>
      </c>
      <c r="B31" s="532" t="s">
        <v>71</v>
      </c>
      <c r="C31" s="532" t="s">
        <v>252</v>
      </c>
      <c r="D31" s="813">
        <v>6647</v>
      </c>
      <c r="E31" s="813">
        <v>6689</v>
      </c>
      <c r="F31" s="813">
        <v>6368</v>
      </c>
      <c r="G31" s="1262">
        <v>6268</v>
      </c>
      <c r="H31" s="1262">
        <v>6022</v>
      </c>
      <c r="I31" s="1708">
        <v>5838</v>
      </c>
      <c r="J31" s="1708">
        <v>5196</v>
      </c>
      <c r="K31" s="2219">
        <v>5196</v>
      </c>
    </row>
    <row r="32" spans="1:11" x14ac:dyDescent="0.3">
      <c r="A32" s="449" t="s">
        <v>72</v>
      </c>
      <c r="B32" s="532" t="s">
        <v>73</v>
      </c>
      <c r="C32" s="532" t="s">
        <v>254</v>
      </c>
      <c r="D32" s="813">
        <v>3455</v>
      </c>
      <c r="E32" s="813">
        <v>3482</v>
      </c>
      <c r="F32" s="813">
        <v>3303</v>
      </c>
      <c r="G32" s="1262">
        <v>3131</v>
      </c>
      <c r="H32" s="1262">
        <v>2810</v>
      </c>
      <c r="I32" s="1708">
        <v>2812</v>
      </c>
      <c r="J32" s="1708">
        <v>2597</v>
      </c>
      <c r="K32" s="2219">
        <v>2479</v>
      </c>
    </row>
    <row r="33" spans="1:11" x14ac:dyDescent="0.3">
      <c r="A33" s="449" t="s">
        <v>74</v>
      </c>
      <c r="B33" s="532" t="s">
        <v>284</v>
      </c>
      <c r="C33" s="532" t="s">
        <v>255</v>
      </c>
      <c r="D33" s="813">
        <v>64101</v>
      </c>
      <c r="E33" s="813">
        <v>69530</v>
      </c>
      <c r="F33" s="813">
        <v>70119</v>
      </c>
      <c r="G33" s="1262">
        <v>68769</v>
      </c>
      <c r="H33" s="1262">
        <v>66749</v>
      </c>
      <c r="I33" s="1708">
        <v>66541</v>
      </c>
      <c r="J33" s="1708">
        <v>59704</v>
      </c>
      <c r="K33" s="2219">
        <v>54959</v>
      </c>
    </row>
    <row r="34" spans="1:11" x14ac:dyDescent="0.3">
      <c r="A34" s="449" t="s">
        <v>76</v>
      </c>
      <c r="B34" s="532" t="s">
        <v>77</v>
      </c>
      <c r="C34" s="532" t="s">
        <v>255</v>
      </c>
      <c r="D34" s="813">
        <v>6542</v>
      </c>
      <c r="E34" s="813">
        <v>6683</v>
      </c>
      <c r="F34" s="813">
        <v>6256</v>
      </c>
      <c r="G34" s="1262">
        <v>5771</v>
      </c>
      <c r="H34" s="1262">
        <v>5219</v>
      </c>
      <c r="I34" s="1708">
        <v>5043</v>
      </c>
      <c r="J34" s="1708">
        <v>4408</v>
      </c>
      <c r="K34" s="2219">
        <v>4220</v>
      </c>
    </row>
    <row r="35" spans="1:11" x14ac:dyDescent="0.3">
      <c r="A35" s="449" t="s">
        <v>78</v>
      </c>
      <c r="B35" s="532" t="s">
        <v>79</v>
      </c>
      <c r="C35" s="532" t="s">
        <v>256</v>
      </c>
      <c r="D35" s="813">
        <v>2972</v>
      </c>
      <c r="E35" s="813">
        <v>2953</v>
      </c>
      <c r="F35" s="813">
        <v>2764</v>
      </c>
      <c r="G35" s="1262">
        <v>2566</v>
      </c>
      <c r="H35" s="1262">
        <v>2428</v>
      </c>
      <c r="I35" s="1708">
        <v>2597</v>
      </c>
      <c r="J35" s="1708">
        <v>2483</v>
      </c>
      <c r="K35" s="2219">
        <v>2210</v>
      </c>
    </row>
    <row r="36" spans="1:11" x14ac:dyDescent="0.3">
      <c r="A36" s="449" t="s">
        <v>80</v>
      </c>
      <c r="B36" s="532" t="s">
        <v>81</v>
      </c>
      <c r="C36" s="532" t="s">
        <v>254</v>
      </c>
      <c r="D36" s="813">
        <v>2837</v>
      </c>
      <c r="E36" s="813">
        <v>2828</v>
      </c>
      <c r="F36" s="813">
        <v>2707</v>
      </c>
      <c r="G36" s="1262">
        <v>2569</v>
      </c>
      <c r="H36" s="1262">
        <v>2361</v>
      </c>
      <c r="I36" s="1708">
        <v>2380</v>
      </c>
      <c r="J36" s="1708">
        <v>2213</v>
      </c>
      <c r="K36" s="2219">
        <v>1965</v>
      </c>
    </row>
    <row r="37" spans="1:11" x14ac:dyDescent="0.3">
      <c r="A37" s="449" t="s">
        <v>84</v>
      </c>
      <c r="B37" s="532" t="s">
        <v>85</v>
      </c>
      <c r="C37" s="532" t="s">
        <v>253</v>
      </c>
      <c r="D37" s="813">
        <v>11500</v>
      </c>
      <c r="E37" s="813">
        <v>11614</v>
      </c>
      <c r="F37" s="813">
        <v>11077</v>
      </c>
      <c r="G37" s="1262">
        <v>10429</v>
      </c>
      <c r="H37" s="1262">
        <v>9577</v>
      </c>
      <c r="I37" s="1708">
        <v>9376</v>
      </c>
      <c r="J37" s="1708">
        <v>8402</v>
      </c>
      <c r="K37" s="2219">
        <v>8036</v>
      </c>
    </row>
    <row r="38" spans="1:11" x14ac:dyDescent="0.3">
      <c r="A38" s="449" t="s">
        <v>86</v>
      </c>
      <c r="B38" s="532" t="s">
        <v>87</v>
      </c>
      <c r="C38" s="532" t="s">
        <v>255</v>
      </c>
      <c r="D38" s="813">
        <v>10984</v>
      </c>
      <c r="E38" s="813">
        <v>11248</v>
      </c>
      <c r="F38" s="813">
        <v>10011</v>
      </c>
      <c r="G38" s="1262">
        <v>9330</v>
      </c>
      <c r="H38" s="1262">
        <v>8533</v>
      </c>
      <c r="I38" s="1708">
        <v>8054</v>
      </c>
      <c r="J38" s="1708">
        <v>7381</v>
      </c>
      <c r="K38" s="2219">
        <v>6713</v>
      </c>
    </row>
    <row r="39" spans="1:11" x14ac:dyDescent="0.3">
      <c r="A39" s="449" t="s">
        <v>92</v>
      </c>
      <c r="B39" s="532" t="s">
        <v>93</v>
      </c>
      <c r="C39" s="532" t="s">
        <v>256</v>
      </c>
      <c r="D39" s="813">
        <v>3460</v>
      </c>
      <c r="E39" s="813">
        <v>3414</v>
      </c>
      <c r="F39" s="813">
        <v>3430</v>
      </c>
      <c r="G39" s="1262">
        <v>3188</v>
      </c>
      <c r="H39" s="1262">
        <v>3105</v>
      </c>
      <c r="I39" s="1708">
        <v>3066</v>
      </c>
      <c r="J39" s="1708">
        <v>2801</v>
      </c>
      <c r="K39" s="2219">
        <v>2563</v>
      </c>
    </row>
    <row r="40" spans="1:11" x14ac:dyDescent="0.3">
      <c r="A40" s="449" t="s">
        <v>94</v>
      </c>
      <c r="B40" s="532" t="s">
        <v>95</v>
      </c>
      <c r="C40" s="532" t="s">
        <v>252</v>
      </c>
      <c r="D40" s="813">
        <v>6435</v>
      </c>
      <c r="E40" s="813">
        <v>6414</v>
      </c>
      <c r="F40" s="813">
        <v>6149</v>
      </c>
      <c r="G40" s="1262">
        <v>5865</v>
      </c>
      <c r="H40" s="1262">
        <v>5376</v>
      </c>
      <c r="I40" s="1708">
        <v>5113</v>
      </c>
      <c r="J40" s="1708">
        <v>4533</v>
      </c>
      <c r="K40" s="2219">
        <v>4427</v>
      </c>
    </row>
    <row r="41" spans="1:11" x14ac:dyDescent="0.3">
      <c r="A41" s="449" t="s">
        <v>96</v>
      </c>
      <c r="B41" s="532" t="s">
        <v>97</v>
      </c>
      <c r="C41" s="532" t="s">
        <v>254</v>
      </c>
      <c r="D41" s="813">
        <v>1885</v>
      </c>
      <c r="E41" s="813">
        <v>1925</v>
      </c>
      <c r="F41" s="813">
        <v>1907</v>
      </c>
      <c r="G41" s="1262">
        <v>1821</v>
      </c>
      <c r="H41" s="1262">
        <v>1645</v>
      </c>
      <c r="I41" s="1708">
        <v>1646</v>
      </c>
      <c r="J41" s="1708">
        <v>1483</v>
      </c>
      <c r="K41" s="2219">
        <v>1371</v>
      </c>
    </row>
    <row r="42" spans="1:11" x14ac:dyDescent="0.3">
      <c r="A42" s="449" t="s">
        <v>98</v>
      </c>
      <c r="B42" s="532" t="s">
        <v>99</v>
      </c>
      <c r="C42" s="532" t="s">
        <v>256</v>
      </c>
      <c r="D42" s="813">
        <v>3953</v>
      </c>
      <c r="E42" s="813">
        <v>4102</v>
      </c>
      <c r="F42" s="813">
        <v>3909</v>
      </c>
      <c r="G42" s="1262">
        <v>3759</v>
      </c>
      <c r="H42" s="1262">
        <v>3545</v>
      </c>
      <c r="I42" s="1708">
        <v>3491</v>
      </c>
      <c r="J42" s="1708">
        <v>3120</v>
      </c>
      <c r="K42" s="2219">
        <v>2956</v>
      </c>
    </row>
    <row r="43" spans="1:11" x14ac:dyDescent="0.3">
      <c r="A43" s="449" t="s">
        <v>100</v>
      </c>
      <c r="B43" s="532" t="s">
        <v>101</v>
      </c>
      <c r="C43" s="532" t="s">
        <v>255</v>
      </c>
      <c r="D43" s="813">
        <v>3083</v>
      </c>
      <c r="E43" s="813">
        <v>3151</v>
      </c>
      <c r="F43" s="813">
        <v>3053</v>
      </c>
      <c r="G43" s="1262">
        <v>3026</v>
      </c>
      <c r="H43" s="1262">
        <v>2964</v>
      </c>
      <c r="I43" s="1708">
        <v>2931</v>
      </c>
      <c r="J43" s="1708">
        <v>2543</v>
      </c>
      <c r="K43" s="2219">
        <v>2400</v>
      </c>
    </row>
    <row r="44" spans="1:11" x14ac:dyDescent="0.3">
      <c r="A44" s="449" t="s">
        <v>102</v>
      </c>
      <c r="B44" s="532" t="s">
        <v>270</v>
      </c>
      <c r="C44" s="532" t="s">
        <v>252</v>
      </c>
      <c r="D44" s="813">
        <v>5654</v>
      </c>
      <c r="E44" s="813">
        <v>6198</v>
      </c>
      <c r="F44" s="813">
        <v>5718</v>
      </c>
      <c r="G44" s="1262">
        <v>5737</v>
      </c>
      <c r="H44" s="1262">
        <v>5363</v>
      </c>
      <c r="I44" s="1708">
        <v>5651</v>
      </c>
      <c r="J44" s="1708">
        <v>4719</v>
      </c>
      <c r="K44" s="2219">
        <v>4512</v>
      </c>
    </row>
    <row r="45" spans="1:11" x14ac:dyDescent="0.3">
      <c r="A45" s="449" t="s">
        <v>104</v>
      </c>
      <c r="B45" s="532" t="s">
        <v>105</v>
      </c>
      <c r="C45" s="532" t="s">
        <v>253</v>
      </c>
      <c r="D45" s="813">
        <v>9389</v>
      </c>
      <c r="E45" s="813">
        <v>9320</v>
      </c>
      <c r="F45" s="813">
        <v>9092</v>
      </c>
      <c r="G45" s="1262">
        <v>8948</v>
      </c>
      <c r="H45" s="1262">
        <v>8570</v>
      </c>
      <c r="I45" s="1708">
        <v>8353</v>
      </c>
      <c r="J45" s="1708">
        <v>7826</v>
      </c>
      <c r="K45" s="2219">
        <v>7502</v>
      </c>
    </row>
    <row r="46" spans="1:11" x14ac:dyDescent="0.3">
      <c r="A46" s="449" t="s">
        <v>108</v>
      </c>
      <c r="B46" s="532" t="s">
        <v>109</v>
      </c>
      <c r="C46" s="532" t="s">
        <v>254</v>
      </c>
      <c r="D46" s="813">
        <v>8727</v>
      </c>
      <c r="E46" s="813">
        <v>8868</v>
      </c>
      <c r="F46" s="813">
        <v>8553</v>
      </c>
      <c r="G46" s="1262">
        <v>8089</v>
      </c>
      <c r="H46" s="1262">
        <v>7492</v>
      </c>
      <c r="I46" s="1708">
        <v>7533</v>
      </c>
      <c r="J46" s="1708">
        <v>6844</v>
      </c>
      <c r="K46" s="2219">
        <v>6255</v>
      </c>
    </row>
    <row r="47" spans="1:11" x14ac:dyDescent="0.3">
      <c r="A47" s="449" t="s">
        <v>110</v>
      </c>
      <c r="B47" s="532" t="s">
        <v>111</v>
      </c>
      <c r="C47" s="532" t="s">
        <v>254</v>
      </c>
      <c r="D47" s="813">
        <v>47760</v>
      </c>
      <c r="E47" s="813">
        <v>50282</v>
      </c>
      <c r="F47" s="813">
        <v>48473</v>
      </c>
      <c r="G47" s="1262">
        <v>47275</v>
      </c>
      <c r="H47" s="1262">
        <v>45663</v>
      </c>
      <c r="I47" s="1708">
        <v>46313</v>
      </c>
      <c r="J47" s="1708">
        <v>42751</v>
      </c>
      <c r="K47" s="2219">
        <v>41251</v>
      </c>
    </row>
    <row r="48" spans="1:11" x14ac:dyDescent="0.3">
      <c r="A48" s="449" t="s">
        <v>112</v>
      </c>
      <c r="B48" s="532" t="s">
        <v>288</v>
      </c>
      <c r="C48" s="532" t="s">
        <v>253</v>
      </c>
      <c r="D48" s="813">
        <v>22466</v>
      </c>
      <c r="E48" s="813">
        <v>23279</v>
      </c>
      <c r="F48" s="813">
        <v>21580</v>
      </c>
      <c r="G48" s="1262">
        <v>20857</v>
      </c>
      <c r="H48" s="1262">
        <v>19829</v>
      </c>
      <c r="I48" s="1708">
        <v>20149</v>
      </c>
      <c r="J48" s="1708">
        <v>18024</v>
      </c>
      <c r="K48" s="2219">
        <v>17053</v>
      </c>
    </row>
    <row r="49" spans="1:11" x14ac:dyDescent="0.3">
      <c r="A49" s="449" t="s">
        <v>114</v>
      </c>
      <c r="B49" s="532" t="s">
        <v>115</v>
      </c>
      <c r="C49" s="532" t="s">
        <v>253</v>
      </c>
      <c r="D49" s="813">
        <v>256</v>
      </c>
      <c r="E49" s="813">
        <v>241</v>
      </c>
      <c r="F49" s="813">
        <v>241</v>
      </c>
      <c r="G49" s="1262">
        <v>213</v>
      </c>
      <c r="H49" s="1262">
        <v>187</v>
      </c>
      <c r="I49" s="1708">
        <v>236</v>
      </c>
      <c r="J49" s="1708">
        <v>161</v>
      </c>
      <c r="K49" s="2219">
        <v>141</v>
      </c>
    </row>
    <row r="50" spans="1:11" x14ac:dyDescent="0.3">
      <c r="A50" s="449" t="s">
        <v>118</v>
      </c>
      <c r="B50" s="532" t="s">
        <v>258</v>
      </c>
      <c r="C50" s="532" t="s">
        <v>252</v>
      </c>
      <c r="D50" s="813">
        <v>5833</v>
      </c>
      <c r="E50" s="813">
        <v>6005</v>
      </c>
      <c r="F50" s="813">
        <v>5623</v>
      </c>
      <c r="G50" s="1262">
        <v>5600</v>
      </c>
      <c r="H50" s="1262">
        <v>5161</v>
      </c>
      <c r="I50" s="1708">
        <v>5045</v>
      </c>
      <c r="J50" s="1708">
        <v>4566</v>
      </c>
      <c r="K50" s="2219">
        <v>4257</v>
      </c>
    </row>
    <row r="51" spans="1:11" x14ac:dyDescent="0.3">
      <c r="A51" s="449" t="s">
        <v>120</v>
      </c>
      <c r="B51" s="532" t="s">
        <v>121</v>
      </c>
      <c r="C51" s="532" t="s">
        <v>252</v>
      </c>
      <c r="D51" s="813">
        <v>6937</v>
      </c>
      <c r="E51" s="813">
        <v>7310</v>
      </c>
      <c r="F51" s="813">
        <v>7074</v>
      </c>
      <c r="G51" s="1262">
        <v>6923</v>
      </c>
      <c r="H51" s="1262">
        <v>6553</v>
      </c>
      <c r="I51" s="1708">
        <v>6506</v>
      </c>
      <c r="J51" s="1708">
        <v>5767</v>
      </c>
      <c r="K51" s="2219">
        <v>5398</v>
      </c>
    </row>
    <row r="52" spans="1:11" x14ac:dyDescent="0.3">
      <c r="A52" s="449" t="s">
        <v>122</v>
      </c>
      <c r="B52" s="532" t="s">
        <v>275</v>
      </c>
      <c r="C52" s="532" t="s">
        <v>254</v>
      </c>
      <c r="D52" s="813">
        <v>1643</v>
      </c>
      <c r="E52" s="813">
        <v>1796</v>
      </c>
      <c r="F52" s="813">
        <v>1751</v>
      </c>
      <c r="G52" s="1262">
        <v>1684</v>
      </c>
      <c r="H52" s="1262">
        <v>1460</v>
      </c>
      <c r="I52" s="1708">
        <v>1509</v>
      </c>
      <c r="J52" s="1708">
        <v>1329</v>
      </c>
      <c r="K52" s="2219">
        <v>1232</v>
      </c>
    </row>
    <row r="53" spans="1:11" x14ac:dyDescent="0.3">
      <c r="A53" s="449" t="s">
        <v>124</v>
      </c>
      <c r="B53" s="532" t="s">
        <v>125</v>
      </c>
      <c r="C53" s="532" t="s">
        <v>255</v>
      </c>
      <c r="D53" s="813">
        <v>4186</v>
      </c>
      <c r="E53" s="813">
        <v>4410</v>
      </c>
      <c r="F53" s="813">
        <v>4359</v>
      </c>
      <c r="G53" s="1262">
        <v>4123</v>
      </c>
      <c r="H53" s="1262">
        <v>3713</v>
      </c>
      <c r="I53" s="1708">
        <v>3605</v>
      </c>
      <c r="J53" s="1708">
        <v>3185</v>
      </c>
      <c r="K53" s="2219">
        <v>2912</v>
      </c>
    </row>
    <row r="54" spans="1:11" x14ac:dyDescent="0.3">
      <c r="A54" s="449" t="s">
        <v>126</v>
      </c>
      <c r="B54" s="532" t="s">
        <v>127</v>
      </c>
      <c r="C54" s="532" t="s">
        <v>254</v>
      </c>
      <c r="D54" s="813">
        <v>2776</v>
      </c>
      <c r="E54" s="813">
        <v>2781</v>
      </c>
      <c r="F54" s="813">
        <v>2602</v>
      </c>
      <c r="G54" s="1262">
        <v>2468</v>
      </c>
      <c r="H54" s="1262">
        <v>2283</v>
      </c>
      <c r="I54" s="1708">
        <v>2165</v>
      </c>
      <c r="J54" s="1708">
        <v>1886</v>
      </c>
      <c r="K54" s="2219">
        <v>1847</v>
      </c>
    </row>
    <row r="55" spans="1:11" x14ac:dyDescent="0.3">
      <c r="A55" s="449" t="s">
        <v>128</v>
      </c>
      <c r="B55" s="532" t="s">
        <v>129</v>
      </c>
      <c r="C55" s="532" t="s">
        <v>254</v>
      </c>
      <c r="D55" s="813">
        <v>2403</v>
      </c>
      <c r="E55" s="813">
        <v>2469</v>
      </c>
      <c r="F55" s="813">
        <v>2322</v>
      </c>
      <c r="G55" s="1262">
        <v>2213</v>
      </c>
      <c r="H55" s="1262">
        <v>2051</v>
      </c>
      <c r="I55" s="1708">
        <v>2024</v>
      </c>
      <c r="J55" s="1708">
        <v>1885</v>
      </c>
      <c r="K55" s="2219">
        <v>1833</v>
      </c>
    </row>
    <row r="56" spans="1:11" x14ac:dyDescent="0.3">
      <c r="A56" s="449" t="s">
        <v>130</v>
      </c>
      <c r="B56" s="532" t="s">
        <v>131</v>
      </c>
      <c r="C56" s="532" t="s">
        <v>256</v>
      </c>
      <c r="D56" s="813">
        <v>7910</v>
      </c>
      <c r="E56" s="813">
        <v>8182</v>
      </c>
      <c r="F56" s="813">
        <v>8074</v>
      </c>
      <c r="G56" s="1262">
        <v>7654</v>
      </c>
      <c r="H56" s="1262">
        <v>7464</v>
      </c>
      <c r="I56" s="1708">
        <v>7540</v>
      </c>
      <c r="J56" s="1708">
        <v>6957</v>
      </c>
      <c r="K56" s="2219">
        <v>6903</v>
      </c>
    </row>
    <row r="57" spans="1:11" x14ac:dyDescent="0.3">
      <c r="A57" s="449" t="s">
        <v>132</v>
      </c>
      <c r="B57" s="532" t="s">
        <v>133</v>
      </c>
      <c r="C57" s="532" t="s">
        <v>255</v>
      </c>
      <c r="D57" s="813">
        <v>13110</v>
      </c>
      <c r="E57" s="813">
        <v>14125</v>
      </c>
      <c r="F57" s="813">
        <v>14289</v>
      </c>
      <c r="G57" s="1262">
        <v>14131</v>
      </c>
      <c r="H57" s="1262">
        <v>13748</v>
      </c>
      <c r="I57" s="1708">
        <v>14210</v>
      </c>
      <c r="J57" s="1708">
        <v>12845</v>
      </c>
      <c r="K57" s="2219">
        <v>12080</v>
      </c>
    </row>
    <row r="58" spans="1:11" x14ac:dyDescent="0.3">
      <c r="A58" s="449" t="s">
        <v>134</v>
      </c>
      <c r="B58" s="532" t="s">
        <v>135</v>
      </c>
      <c r="C58" s="532" t="s">
        <v>255</v>
      </c>
      <c r="D58" s="813">
        <v>6332</v>
      </c>
      <c r="E58" s="813">
        <v>6708</v>
      </c>
      <c r="F58" s="813">
        <v>6588</v>
      </c>
      <c r="G58" s="1262">
        <v>6292</v>
      </c>
      <c r="H58" s="1262">
        <v>5807</v>
      </c>
      <c r="I58" s="1708">
        <v>5663</v>
      </c>
      <c r="J58" s="1708">
        <v>4913</v>
      </c>
      <c r="K58" s="2219">
        <v>4560</v>
      </c>
    </row>
    <row r="59" spans="1:11" x14ac:dyDescent="0.3">
      <c r="A59" s="449" t="s">
        <v>136</v>
      </c>
      <c r="B59" s="532" t="s">
        <v>137</v>
      </c>
      <c r="C59" s="532" t="s">
        <v>254</v>
      </c>
      <c r="D59" s="813">
        <v>3397</v>
      </c>
      <c r="E59" s="813">
        <v>3377</v>
      </c>
      <c r="F59" s="813">
        <v>3340</v>
      </c>
      <c r="G59" s="1262">
        <v>3241</v>
      </c>
      <c r="H59" s="1262">
        <v>3004</v>
      </c>
      <c r="I59" s="1708">
        <v>2840</v>
      </c>
      <c r="J59" s="1708">
        <v>2557</v>
      </c>
      <c r="K59" s="2219">
        <v>2575</v>
      </c>
    </row>
    <row r="60" spans="1:11" x14ac:dyDescent="0.3">
      <c r="A60" s="449" t="s">
        <v>140</v>
      </c>
      <c r="B60" s="532" t="s">
        <v>141</v>
      </c>
      <c r="C60" s="532" t="s">
        <v>255</v>
      </c>
      <c r="D60" s="813">
        <v>2310</v>
      </c>
      <c r="E60" s="813">
        <v>2506</v>
      </c>
      <c r="F60" s="813">
        <v>2380</v>
      </c>
      <c r="G60" s="1262">
        <v>2285</v>
      </c>
      <c r="H60" s="1262">
        <v>2023</v>
      </c>
      <c r="I60" s="1708">
        <v>1923</v>
      </c>
      <c r="J60" s="1708">
        <v>1632</v>
      </c>
      <c r="K60" s="2219">
        <v>1375</v>
      </c>
    </row>
    <row r="61" spans="1:11" x14ac:dyDescent="0.3">
      <c r="A61" s="449" t="s">
        <v>146</v>
      </c>
      <c r="B61" s="532" t="s">
        <v>147</v>
      </c>
      <c r="C61" s="532" t="s">
        <v>252</v>
      </c>
      <c r="D61" s="813">
        <v>1421</v>
      </c>
      <c r="E61" s="813">
        <v>1480</v>
      </c>
      <c r="F61" s="813">
        <v>1408</v>
      </c>
      <c r="G61" s="1262">
        <v>1339</v>
      </c>
      <c r="H61" s="1262">
        <v>1261</v>
      </c>
      <c r="I61" s="1708">
        <v>1178</v>
      </c>
      <c r="J61" s="1708">
        <v>1080</v>
      </c>
      <c r="K61" s="2219">
        <v>1011</v>
      </c>
    </row>
    <row r="62" spans="1:11" x14ac:dyDescent="0.3">
      <c r="A62" s="449" t="s">
        <v>148</v>
      </c>
      <c r="B62" s="532" t="s">
        <v>149</v>
      </c>
      <c r="C62" s="532" t="s">
        <v>253</v>
      </c>
      <c r="D62" s="813">
        <v>7421</v>
      </c>
      <c r="E62" s="813">
        <v>7747</v>
      </c>
      <c r="F62" s="813">
        <v>7464</v>
      </c>
      <c r="G62" s="1262">
        <v>7148</v>
      </c>
      <c r="H62" s="1262">
        <v>6661</v>
      </c>
      <c r="I62" s="1708">
        <v>6525</v>
      </c>
      <c r="J62" s="1708">
        <v>6124</v>
      </c>
      <c r="K62" s="2219">
        <v>5727</v>
      </c>
    </row>
    <row r="63" spans="1:11" x14ac:dyDescent="0.3">
      <c r="A63" s="449" t="s">
        <v>150</v>
      </c>
      <c r="B63" s="532" t="s">
        <v>151</v>
      </c>
      <c r="C63" s="532" t="s">
        <v>254</v>
      </c>
      <c r="D63" s="813">
        <v>2256</v>
      </c>
      <c r="E63" s="813">
        <v>2314</v>
      </c>
      <c r="F63" s="813">
        <v>2259</v>
      </c>
      <c r="G63" s="1262">
        <v>2204</v>
      </c>
      <c r="H63" s="1262">
        <v>2078</v>
      </c>
      <c r="I63" s="1708">
        <v>2165</v>
      </c>
      <c r="J63" s="1708">
        <v>1900</v>
      </c>
      <c r="K63" s="2219">
        <v>1873</v>
      </c>
    </row>
    <row r="64" spans="1:11" x14ac:dyDescent="0.3">
      <c r="A64" s="449" t="s">
        <v>152</v>
      </c>
      <c r="B64" s="532" t="s">
        <v>153</v>
      </c>
      <c r="C64" s="532" t="s">
        <v>256</v>
      </c>
      <c r="D64" s="813">
        <v>11101</v>
      </c>
      <c r="E64" s="813">
        <v>11471</v>
      </c>
      <c r="F64" s="813">
        <v>10822</v>
      </c>
      <c r="G64" s="1262">
        <v>10171</v>
      </c>
      <c r="H64" s="1262">
        <v>9412</v>
      </c>
      <c r="I64" s="1708">
        <v>9285</v>
      </c>
      <c r="J64" s="1708">
        <v>8233</v>
      </c>
      <c r="K64" s="2219">
        <v>7821</v>
      </c>
    </row>
    <row r="65" spans="1:11" x14ac:dyDescent="0.3">
      <c r="A65" s="449" t="s">
        <v>154</v>
      </c>
      <c r="B65" s="532" t="s">
        <v>155</v>
      </c>
      <c r="C65" s="532" t="s">
        <v>253</v>
      </c>
      <c r="D65" s="813">
        <v>3217</v>
      </c>
      <c r="E65" s="813">
        <v>3314</v>
      </c>
      <c r="F65" s="813">
        <v>3207</v>
      </c>
      <c r="G65" s="1262">
        <v>2967</v>
      </c>
      <c r="H65" s="1262">
        <v>2648</v>
      </c>
      <c r="I65" s="1708">
        <v>2611</v>
      </c>
      <c r="J65" s="1708">
        <v>2265</v>
      </c>
      <c r="K65" s="2219">
        <v>2119</v>
      </c>
    </row>
    <row r="66" spans="1:11" x14ac:dyDescent="0.3">
      <c r="A66" s="449" t="s">
        <v>156</v>
      </c>
      <c r="B66" s="532" t="s">
        <v>157</v>
      </c>
      <c r="C66" s="532" t="s">
        <v>254</v>
      </c>
      <c r="D66" s="813">
        <v>1891</v>
      </c>
      <c r="E66" s="813">
        <v>1926</v>
      </c>
      <c r="F66" s="813">
        <v>1832</v>
      </c>
      <c r="G66" s="1262">
        <v>1929</v>
      </c>
      <c r="H66" s="1262">
        <v>1750</v>
      </c>
      <c r="I66" s="1708">
        <v>1754</v>
      </c>
      <c r="J66" s="1708">
        <v>1522</v>
      </c>
      <c r="K66" s="2219">
        <v>1370</v>
      </c>
    </row>
    <row r="67" spans="1:11" x14ac:dyDescent="0.3">
      <c r="A67" s="449" t="s">
        <v>162</v>
      </c>
      <c r="B67" s="532" t="s">
        <v>163</v>
      </c>
      <c r="C67" s="532" t="s">
        <v>252</v>
      </c>
      <c r="D67" s="813">
        <v>3866</v>
      </c>
      <c r="E67" s="813">
        <v>3943</v>
      </c>
      <c r="F67" s="813">
        <v>3822</v>
      </c>
      <c r="G67" s="1262">
        <v>3650</v>
      </c>
      <c r="H67" s="1262">
        <v>3359</v>
      </c>
      <c r="I67" s="1708">
        <v>3256</v>
      </c>
      <c r="J67" s="1708">
        <v>2957</v>
      </c>
      <c r="K67" s="2219">
        <v>2826</v>
      </c>
    </row>
    <row r="68" spans="1:11" x14ac:dyDescent="0.3">
      <c r="A68" s="449" t="s">
        <v>164</v>
      </c>
      <c r="B68" s="532" t="s">
        <v>165</v>
      </c>
      <c r="C68" s="532" t="s">
        <v>254</v>
      </c>
      <c r="D68" s="813">
        <v>2281</v>
      </c>
      <c r="E68" s="813">
        <v>2531</v>
      </c>
      <c r="F68" s="813">
        <v>2501</v>
      </c>
      <c r="G68" s="1262">
        <v>2416</v>
      </c>
      <c r="H68" s="1262">
        <v>2323</v>
      </c>
      <c r="I68" s="1708">
        <v>2232</v>
      </c>
      <c r="J68" s="1708">
        <v>2049</v>
      </c>
      <c r="K68" s="2219">
        <v>2005</v>
      </c>
    </row>
    <row r="69" spans="1:11" x14ac:dyDescent="0.3">
      <c r="A69" s="449" t="s">
        <v>168</v>
      </c>
      <c r="B69" s="532" t="s">
        <v>169</v>
      </c>
      <c r="C69" s="532" t="s">
        <v>254</v>
      </c>
      <c r="D69" s="813">
        <v>4807</v>
      </c>
      <c r="E69" s="813">
        <v>4850</v>
      </c>
      <c r="F69" s="813">
        <v>4800</v>
      </c>
      <c r="G69" s="1262">
        <v>4534</v>
      </c>
      <c r="H69" s="1262">
        <v>4201</v>
      </c>
      <c r="I69" s="1708">
        <v>4107</v>
      </c>
      <c r="J69" s="1708">
        <v>3742</v>
      </c>
      <c r="K69" s="2219">
        <v>3513</v>
      </c>
    </row>
    <row r="70" spans="1:11" x14ac:dyDescent="0.3">
      <c r="A70" s="449" t="s">
        <v>170</v>
      </c>
      <c r="B70" s="532" t="s">
        <v>171</v>
      </c>
      <c r="C70" s="532" t="s">
        <v>255</v>
      </c>
      <c r="D70" s="813">
        <v>5176</v>
      </c>
      <c r="E70" s="813">
        <v>5290</v>
      </c>
      <c r="F70" s="813">
        <v>5142</v>
      </c>
      <c r="G70" s="1262">
        <v>4934</v>
      </c>
      <c r="H70" s="1262">
        <v>4547</v>
      </c>
      <c r="I70" s="1708">
        <v>4467</v>
      </c>
      <c r="J70" s="1708">
        <v>4001</v>
      </c>
      <c r="K70" s="2219">
        <v>3914</v>
      </c>
    </row>
    <row r="71" spans="1:11" x14ac:dyDescent="0.3">
      <c r="A71" s="449" t="s">
        <v>172</v>
      </c>
      <c r="B71" s="532" t="s">
        <v>173</v>
      </c>
      <c r="C71" s="532" t="s">
        <v>255</v>
      </c>
      <c r="D71" s="813">
        <v>5544</v>
      </c>
      <c r="E71" s="813">
        <v>5663</v>
      </c>
      <c r="F71" s="813">
        <v>5454</v>
      </c>
      <c r="G71" s="1262">
        <v>5297</v>
      </c>
      <c r="H71" s="1262">
        <v>4868</v>
      </c>
      <c r="I71" s="1708">
        <v>4455</v>
      </c>
      <c r="J71" s="1708">
        <v>3916</v>
      </c>
      <c r="K71" s="2219">
        <v>3627</v>
      </c>
    </row>
    <row r="72" spans="1:11" x14ac:dyDescent="0.3">
      <c r="A72" s="449" t="s">
        <v>174</v>
      </c>
      <c r="B72" s="532" t="s">
        <v>175</v>
      </c>
      <c r="C72" s="532" t="s">
        <v>256</v>
      </c>
      <c r="D72" s="813">
        <v>4970</v>
      </c>
      <c r="E72" s="813">
        <v>4798</v>
      </c>
      <c r="F72" s="813">
        <v>4440</v>
      </c>
      <c r="G72" s="1262">
        <v>4225</v>
      </c>
      <c r="H72" s="1262">
        <v>4081</v>
      </c>
      <c r="I72" s="1708">
        <v>3947</v>
      </c>
      <c r="J72" s="1708">
        <v>3492</v>
      </c>
      <c r="K72" s="2219">
        <v>3395</v>
      </c>
    </row>
    <row r="73" spans="1:11" x14ac:dyDescent="0.3">
      <c r="A73" s="449" t="s">
        <v>178</v>
      </c>
      <c r="B73" s="532" t="s">
        <v>179</v>
      </c>
      <c r="C73" s="532" t="s">
        <v>253</v>
      </c>
      <c r="D73" s="813">
        <v>13937</v>
      </c>
      <c r="E73" s="813">
        <v>14301</v>
      </c>
      <c r="F73" s="813">
        <v>14141</v>
      </c>
      <c r="G73" s="1262">
        <v>13453</v>
      </c>
      <c r="H73" s="1262">
        <v>12370</v>
      </c>
      <c r="I73" s="1708">
        <v>12218</v>
      </c>
      <c r="J73" s="1708">
        <v>11388</v>
      </c>
      <c r="K73" s="2219">
        <v>10758</v>
      </c>
    </row>
    <row r="74" spans="1:11" x14ac:dyDescent="0.3">
      <c r="A74" s="449" t="s">
        <v>182</v>
      </c>
      <c r="B74" s="532" t="s">
        <v>183</v>
      </c>
      <c r="C74" s="532" t="s">
        <v>254</v>
      </c>
      <c r="D74" s="813">
        <v>2245</v>
      </c>
      <c r="E74" s="813">
        <v>2308</v>
      </c>
      <c r="F74" s="813">
        <v>2204</v>
      </c>
      <c r="G74" s="1262">
        <v>2045</v>
      </c>
      <c r="H74" s="1262">
        <v>1792</v>
      </c>
      <c r="I74" s="1708">
        <v>1783</v>
      </c>
      <c r="J74" s="1708">
        <v>1631</v>
      </c>
      <c r="K74" s="2219">
        <v>1533</v>
      </c>
    </row>
    <row r="75" spans="1:11" x14ac:dyDescent="0.3">
      <c r="A75" s="449" t="s">
        <v>184</v>
      </c>
      <c r="B75" s="532" t="s">
        <v>185</v>
      </c>
      <c r="C75" s="532" t="s">
        <v>254</v>
      </c>
      <c r="D75" s="813">
        <v>5181</v>
      </c>
      <c r="E75" s="813">
        <v>5308</v>
      </c>
      <c r="F75" s="813">
        <v>5083</v>
      </c>
      <c r="G75" s="1262">
        <v>4845</v>
      </c>
      <c r="H75" s="1262">
        <v>4669</v>
      </c>
      <c r="I75" s="1708">
        <v>4625</v>
      </c>
      <c r="J75" s="1708">
        <v>4166</v>
      </c>
      <c r="K75" s="2219">
        <v>3996</v>
      </c>
    </row>
    <row r="76" spans="1:11" x14ac:dyDescent="0.3">
      <c r="A76" s="449" t="s">
        <v>186</v>
      </c>
      <c r="B76" s="532" t="s">
        <v>187</v>
      </c>
      <c r="C76" s="532" t="s">
        <v>252</v>
      </c>
      <c r="D76" s="813">
        <v>4231</v>
      </c>
      <c r="E76" s="813">
        <v>4585</v>
      </c>
      <c r="F76" s="813">
        <v>4634</v>
      </c>
      <c r="G76" s="1262">
        <v>4673</v>
      </c>
      <c r="H76" s="1262">
        <v>4535</v>
      </c>
      <c r="I76" s="1708">
        <v>4931</v>
      </c>
      <c r="J76" s="1708">
        <v>4158</v>
      </c>
      <c r="K76" s="2219">
        <v>4316</v>
      </c>
    </row>
    <row r="77" spans="1:11" x14ac:dyDescent="0.3">
      <c r="A77" s="449" t="s">
        <v>188</v>
      </c>
      <c r="B77" s="532" t="s">
        <v>189</v>
      </c>
      <c r="C77" s="532" t="s">
        <v>255</v>
      </c>
      <c r="D77" s="813">
        <v>41355</v>
      </c>
      <c r="E77" s="813">
        <v>44166</v>
      </c>
      <c r="F77" s="813">
        <v>43374</v>
      </c>
      <c r="G77" s="1262">
        <v>42975</v>
      </c>
      <c r="H77" s="1262">
        <v>41029</v>
      </c>
      <c r="I77" s="1708">
        <v>40191</v>
      </c>
      <c r="J77" s="1708">
        <v>36229</v>
      </c>
      <c r="K77" s="2219">
        <v>33649</v>
      </c>
    </row>
    <row r="78" spans="1:11" x14ac:dyDescent="0.3">
      <c r="A78" s="449" t="s">
        <v>190</v>
      </c>
      <c r="B78" s="532" t="s">
        <v>191</v>
      </c>
      <c r="C78" s="532" t="s">
        <v>256</v>
      </c>
      <c r="D78" s="813">
        <v>8166</v>
      </c>
      <c r="E78" s="813">
        <v>8305</v>
      </c>
      <c r="F78" s="813">
        <v>8100</v>
      </c>
      <c r="G78" s="1262">
        <v>7630</v>
      </c>
      <c r="H78" s="1262">
        <v>7152</v>
      </c>
      <c r="I78" s="1708">
        <v>7380</v>
      </c>
      <c r="J78" s="1708">
        <v>6770</v>
      </c>
      <c r="K78" s="2219">
        <v>6227</v>
      </c>
    </row>
    <row r="79" spans="1:11" x14ac:dyDescent="0.3">
      <c r="A79" s="449" t="s">
        <v>194</v>
      </c>
      <c r="B79" s="532" t="s">
        <v>195</v>
      </c>
      <c r="C79" s="532" t="s">
        <v>255</v>
      </c>
      <c r="D79" s="813">
        <v>859</v>
      </c>
      <c r="E79" s="813">
        <v>776</v>
      </c>
      <c r="F79" s="813">
        <v>726</v>
      </c>
      <c r="G79" s="1262">
        <v>644</v>
      </c>
      <c r="H79" s="1262">
        <v>578</v>
      </c>
      <c r="I79" s="1708">
        <v>610</v>
      </c>
      <c r="J79" s="1708">
        <v>561</v>
      </c>
      <c r="K79" s="2219">
        <v>493</v>
      </c>
    </row>
    <row r="80" spans="1:11" x14ac:dyDescent="0.3">
      <c r="A80" s="449" t="s">
        <v>198</v>
      </c>
      <c r="B80" s="532" t="s">
        <v>260</v>
      </c>
      <c r="C80" s="532" t="s">
        <v>254</v>
      </c>
      <c r="D80" s="813">
        <v>2065</v>
      </c>
      <c r="E80" s="813">
        <v>2136</v>
      </c>
      <c r="F80" s="813">
        <v>2129</v>
      </c>
      <c r="G80" s="1262">
        <v>2061</v>
      </c>
      <c r="H80" s="1262">
        <v>1974</v>
      </c>
      <c r="I80" s="1708">
        <v>2081</v>
      </c>
      <c r="J80" s="1708">
        <v>1829</v>
      </c>
      <c r="K80" s="2219">
        <v>1811</v>
      </c>
    </row>
    <row r="81" spans="1:11" x14ac:dyDescent="0.3">
      <c r="A81" s="449" t="s">
        <v>202</v>
      </c>
      <c r="B81" s="532" t="s">
        <v>289</v>
      </c>
      <c r="C81" s="532" t="s">
        <v>253</v>
      </c>
      <c r="D81" s="813">
        <v>12255</v>
      </c>
      <c r="E81" s="813">
        <v>12719</v>
      </c>
      <c r="F81" s="813">
        <v>12532</v>
      </c>
      <c r="G81" s="1262">
        <v>12267</v>
      </c>
      <c r="H81" s="1262">
        <v>11094</v>
      </c>
      <c r="I81" s="1708">
        <v>10891</v>
      </c>
      <c r="J81" s="1708">
        <v>10043</v>
      </c>
      <c r="K81" s="2219">
        <v>9134</v>
      </c>
    </row>
    <row r="82" spans="1:11" x14ac:dyDescent="0.3">
      <c r="A82" s="449" t="s">
        <v>204</v>
      </c>
      <c r="B82" s="532" t="s">
        <v>281</v>
      </c>
      <c r="C82" s="532" t="s">
        <v>253</v>
      </c>
      <c r="D82" s="813">
        <v>5804</v>
      </c>
      <c r="E82" s="813">
        <v>6338</v>
      </c>
      <c r="F82" s="813">
        <v>6017</v>
      </c>
      <c r="G82" s="1262">
        <v>5689</v>
      </c>
      <c r="H82" s="1262">
        <v>5452</v>
      </c>
      <c r="I82" s="1708">
        <v>5607</v>
      </c>
      <c r="J82" s="1708">
        <v>4733</v>
      </c>
      <c r="K82" s="2219">
        <v>4624</v>
      </c>
    </row>
    <row r="83" spans="1:11" x14ac:dyDescent="0.3">
      <c r="A83" s="449" t="s">
        <v>206</v>
      </c>
      <c r="B83" s="532" t="s">
        <v>282</v>
      </c>
      <c r="C83" s="532" t="s">
        <v>255</v>
      </c>
      <c r="D83" s="813">
        <v>17555</v>
      </c>
      <c r="E83" s="813">
        <v>18620</v>
      </c>
      <c r="F83" s="813">
        <v>17367</v>
      </c>
      <c r="G83" s="1262">
        <v>16331</v>
      </c>
      <c r="H83" s="1262">
        <v>15325</v>
      </c>
      <c r="I83" s="1708">
        <v>15328</v>
      </c>
      <c r="J83" s="1708">
        <v>13129</v>
      </c>
      <c r="K83" s="2219">
        <v>12403</v>
      </c>
    </row>
    <row r="84" spans="1:11" x14ac:dyDescent="0.3">
      <c r="A84" s="449" t="s">
        <v>208</v>
      </c>
      <c r="B84" s="532" t="s">
        <v>209</v>
      </c>
      <c r="C84" s="532" t="s">
        <v>256</v>
      </c>
      <c r="D84" s="813">
        <v>7801</v>
      </c>
      <c r="E84" s="813">
        <v>8078</v>
      </c>
      <c r="F84" s="813">
        <v>8083</v>
      </c>
      <c r="G84" s="1262">
        <v>7805</v>
      </c>
      <c r="H84" s="1262">
        <v>7419</v>
      </c>
      <c r="I84" s="1708">
        <v>7303</v>
      </c>
      <c r="J84" s="1708">
        <v>6660</v>
      </c>
      <c r="K84" s="2219">
        <v>6438</v>
      </c>
    </row>
    <row r="85" spans="1:11" x14ac:dyDescent="0.3">
      <c r="A85" s="449" t="s">
        <v>210</v>
      </c>
      <c r="B85" s="532" t="s">
        <v>211</v>
      </c>
      <c r="C85" s="532" t="s">
        <v>256</v>
      </c>
      <c r="D85" s="813">
        <v>5456</v>
      </c>
      <c r="E85" s="813">
        <v>5645</v>
      </c>
      <c r="F85" s="813">
        <v>5540</v>
      </c>
      <c r="G85" s="1262">
        <v>5125</v>
      </c>
      <c r="H85" s="1262">
        <v>4922</v>
      </c>
      <c r="I85" s="1708">
        <v>4911</v>
      </c>
      <c r="J85" s="1708">
        <v>4641</v>
      </c>
      <c r="K85" s="2219">
        <v>4310</v>
      </c>
    </row>
    <row r="86" spans="1:11" x14ac:dyDescent="0.3">
      <c r="A86" s="449" t="s">
        <v>212</v>
      </c>
      <c r="B86" s="532" t="s">
        <v>213</v>
      </c>
      <c r="C86" s="532" t="s">
        <v>255</v>
      </c>
      <c r="D86" s="813">
        <v>7949</v>
      </c>
      <c r="E86" s="813">
        <v>8202</v>
      </c>
      <c r="F86" s="813">
        <v>7851</v>
      </c>
      <c r="G86" s="1262">
        <v>7438</v>
      </c>
      <c r="H86" s="1262">
        <v>6828</v>
      </c>
      <c r="I86" s="1708">
        <v>6669</v>
      </c>
      <c r="J86" s="1708">
        <v>6094</v>
      </c>
      <c r="K86" s="2219">
        <v>5931</v>
      </c>
    </row>
    <row r="87" spans="1:11" x14ac:dyDescent="0.3">
      <c r="A87" s="449" t="s">
        <v>214</v>
      </c>
      <c r="B87" s="532" t="s">
        <v>215</v>
      </c>
      <c r="C87" s="532" t="s">
        <v>256</v>
      </c>
      <c r="D87" s="813">
        <v>9001</v>
      </c>
      <c r="E87" s="813">
        <v>9147</v>
      </c>
      <c r="F87" s="813">
        <v>8739</v>
      </c>
      <c r="G87" s="1262">
        <v>8434</v>
      </c>
      <c r="H87" s="1262">
        <v>8136</v>
      </c>
      <c r="I87" s="1708">
        <v>7854</v>
      </c>
      <c r="J87" s="1708">
        <v>7350</v>
      </c>
      <c r="K87" s="2219">
        <v>7061</v>
      </c>
    </row>
    <row r="88" spans="1:11" x14ac:dyDescent="0.3">
      <c r="A88" s="449" t="s">
        <v>216</v>
      </c>
      <c r="B88" s="532" t="s">
        <v>217</v>
      </c>
      <c r="C88" s="532" t="s">
        <v>252</v>
      </c>
      <c r="D88" s="813">
        <v>4218</v>
      </c>
      <c r="E88" s="813">
        <v>4321</v>
      </c>
      <c r="F88" s="813">
        <v>4188</v>
      </c>
      <c r="G88" s="1262">
        <v>4002</v>
      </c>
      <c r="H88" s="1262">
        <v>3789</v>
      </c>
      <c r="I88" s="1708">
        <v>3767</v>
      </c>
      <c r="J88" s="1708">
        <v>3329</v>
      </c>
      <c r="K88" s="2219">
        <v>3118</v>
      </c>
    </row>
    <row r="89" spans="1:11" x14ac:dyDescent="0.3">
      <c r="A89" s="449" t="s">
        <v>218</v>
      </c>
      <c r="B89" s="532" t="s">
        <v>219</v>
      </c>
      <c r="C89" s="532" t="s">
        <v>255</v>
      </c>
      <c r="D89" s="813">
        <v>17673</v>
      </c>
      <c r="E89" s="813">
        <v>18199</v>
      </c>
      <c r="F89" s="813">
        <v>18017</v>
      </c>
      <c r="G89" s="1262">
        <v>17490</v>
      </c>
      <c r="H89" s="1262">
        <v>16686</v>
      </c>
      <c r="I89" s="1708">
        <v>16677</v>
      </c>
      <c r="J89" s="1708">
        <v>14985</v>
      </c>
      <c r="K89" s="2219">
        <v>14244</v>
      </c>
    </row>
    <row r="90" spans="1:11" x14ac:dyDescent="0.3">
      <c r="A90" s="449" t="s">
        <v>220</v>
      </c>
      <c r="B90" s="532" t="s">
        <v>221</v>
      </c>
      <c r="C90" s="532" t="s">
        <v>255</v>
      </c>
      <c r="D90" s="813">
        <v>14072</v>
      </c>
      <c r="E90" s="813">
        <v>14922</v>
      </c>
      <c r="F90" s="813">
        <v>14815</v>
      </c>
      <c r="G90" s="1262">
        <v>14394</v>
      </c>
      <c r="H90" s="1262">
        <v>13340</v>
      </c>
      <c r="I90" s="1708">
        <v>13360</v>
      </c>
      <c r="J90" s="1708">
        <v>11964</v>
      </c>
      <c r="K90" s="2219">
        <v>12112</v>
      </c>
    </row>
    <row r="91" spans="1:11" x14ac:dyDescent="0.3">
      <c r="A91" s="449" t="s">
        <v>224</v>
      </c>
      <c r="B91" s="532" t="s">
        <v>225</v>
      </c>
      <c r="C91" s="532" t="s">
        <v>252</v>
      </c>
      <c r="D91" s="813">
        <v>1393</v>
      </c>
      <c r="E91" s="813">
        <v>1565</v>
      </c>
      <c r="F91" s="813">
        <v>1486</v>
      </c>
      <c r="G91" s="1262">
        <v>1429</v>
      </c>
      <c r="H91" s="1262">
        <v>1328</v>
      </c>
      <c r="I91" s="1708">
        <v>1324</v>
      </c>
      <c r="J91" s="1708">
        <v>1153</v>
      </c>
      <c r="K91" s="2219">
        <v>1128</v>
      </c>
    </row>
    <row r="92" spans="1:11" x14ac:dyDescent="0.3">
      <c r="A92" s="449" t="s">
        <v>226</v>
      </c>
      <c r="B92" s="532" t="s">
        <v>227</v>
      </c>
      <c r="C92" s="532" t="s">
        <v>252</v>
      </c>
      <c r="D92" s="813">
        <v>2683</v>
      </c>
      <c r="E92" s="813">
        <v>2788</v>
      </c>
      <c r="F92" s="813">
        <v>2769</v>
      </c>
      <c r="G92" s="1262">
        <v>2753</v>
      </c>
      <c r="H92" s="1262">
        <v>2586</v>
      </c>
      <c r="I92" s="1708">
        <v>2590</v>
      </c>
      <c r="J92" s="1708">
        <v>2303</v>
      </c>
      <c r="K92" s="2219">
        <v>2195</v>
      </c>
    </row>
    <row r="93" spans="1:11" x14ac:dyDescent="0.3">
      <c r="A93" s="449" t="s">
        <v>228</v>
      </c>
      <c r="B93" s="532" t="s">
        <v>229</v>
      </c>
      <c r="C93" s="532" t="s">
        <v>256</v>
      </c>
      <c r="D93" s="813">
        <v>10464</v>
      </c>
      <c r="E93" s="813">
        <v>11395</v>
      </c>
      <c r="F93" s="813">
        <v>11440</v>
      </c>
      <c r="G93" s="1262">
        <v>11411</v>
      </c>
      <c r="H93" s="1262">
        <v>10951</v>
      </c>
      <c r="I93" s="1708">
        <v>10959</v>
      </c>
      <c r="J93" s="1708">
        <v>10097</v>
      </c>
      <c r="K93" s="2219">
        <v>9574</v>
      </c>
    </row>
    <row r="94" spans="1:11" x14ac:dyDescent="0.3">
      <c r="A94" s="449" t="s">
        <v>232</v>
      </c>
      <c r="B94" s="532" t="s">
        <v>233</v>
      </c>
      <c r="C94" s="532" t="s">
        <v>255</v>
      </c>
      <c r="D94" s="813">
        <v>7230</v>
      </c>
      <c r="E94" s="813">
        <v>7566</v>
      </c>
      <c r="F94" s="813">
        <v>7184</v>
      </c>
      <c r="G94" s="1262">
        <v>6824</v>
      </c>
      <c r="H94" s="1262">
        <v>6201</v>
      </c>
      <c r="I94" s="1708">
        <v>5949</v>
      </c>
      <c r="J94" s="1708">
        <v>5588</v>
      </c>
      <c r="K94" s="2219">
        <v>5293</v>
      </c>
    </row>
    <row r="95" spans="1:11" x14ac:dyDescent="0.3">
      <c r="A95" s="449" t="s">
        <v>234</v>
      </c>
      <c r="B95" s="532" t="s">
        <v>235</v>
      </c>
      <c r="C95" s="532" t="s">
        <v>256</v>
      </c>
      <c r="D95" s="813">
        <v>10722</v>
      </c>
      <c r="E95" s="813">
        <v>11031</v>
      </c>
      <c r="F95" s="813">
        <v>10840</v>
      </c>
      <c r="G95" s="1262">
        <v>10608</v>
      </c>
      <c r="H95" s="1262">
        <v>10070</v>
      </c>
      <c r="I95" s="1708">
        <v>10087</v>
      </c>
      <c r="J95" s="1708">
        <v>9222</v>
      </c>
      <c r="K95" s="2219">
        <v>8644</v>
      </c>
    </row>
    <row r="96" spans="1:11" x14ac:dyDescent="0.3">
      <c r="A96" s="449" t="s">
        <v>236</v>
      </c>
      <c r="B96" s="532" t="s">
        <v>237</v>
      </c>
      <c r="C96" s="532" t="s">
        <v>254</v>
      </c>
      <c r="D96" s="813">
        <v>4518</v>
      </c>
      <c r="E96" s="813">
        <v>4731</v>
      </c>
      <c r="F96" s="813">
        <v>4508</v>
      </c>
      <c r="G96" s="1262">
        <v>4521</v>
      </c>
      <c r="H96" s="1262">
        <v>4393</v>
      </c>
      <c r="I96" s="1708">
        <v>4314</v>
      </c>
      <c r="J96" s="1708">
        <v>3936</v>
      </c>
      <c r="K96" s="2219">
        <v>3835</v>
      </c>
    </row>
    <row r="97" spans="1:11" x14ac:dyDescent="0.3">
      <c r="A97" s="449" t="s">
        <v>242</v>
      </c>
      <c r="B97" s="532" t="s">
        <v>243</v>
      </c>
      <c r="C97" s="532" t="s">
        <v>256</v>
      </c>
      <c r="D97" s="813">
        <v>11774</v>
      </c>
      <c r="E97" s="813">
        <v>12270</v>
      </c>
      <c r="F97" s="813">
        <v>12222</v>
      </c>
      <c r="G97" s="1262">
        <v>11233</v>
      </c>
      <c r="H97" s="1262">
        <v>10828</v>
      </c>
      <c r="I97" s="1708">
        <v>10872</v>
      </c>
      <c r="J97" s="1708">
        <v>9894</v>
      </c>
      <c r="K97" s="2219">
        <v>9431</v>
      </c>
    </row>
    <row r="98" spans="1:11" x14ac:dyDescent="0.3">
      <c r="A98" s="449" t="s">
        <v>244</v>
      </c>
      <c r="B98" s="532" t="s">
        <v>245</v>
      </c>
      <c r="C98" s="532" t="s">
        <v>256</v>
      </c>
      <c r="D98" s="813">
        <v>6549</v>
      </c>
      <c r="E98" s="813">
        <v>6489</v>
      </c>
      <c r="F98" s="813">
        <v>6233</v>
      </c>
      <c r="G98" s="1262">
        <v>5948</v>
      </c>
      <c r="H98" s="1262">
        <v>5570</v>
      </c>
      <c r="I98" s="1708">
        <v>5475</v>
      </c>
      <c r="J98" s="1708">
        <v>5276</v>
      </c>
      <c r="K98" s="2219">
        <v>5025</v>
      </c>
    </row>
    <row r="99" spans="1:11" x14ac:dyDescent="0.3">
      <c r="A99" s="449" t="s">
        <v>246</v>
      </c>
      <c r="B99" s="532" t="s">
        <v>247</v>
      </c>
      <c r="C99" s="532" t="s">
        <v>252</v>
      </c>
      <c r="D99" s="813">
        <v>5169</v>
      </c>
      <c r="E99" s="813">
        <v>5366</v>
      </c>
      <c r="F99" s="813">
        <v>5355</v>
      </c>
      <c r="G99" s="1262">
        <v>5182</v>
      </c>
      <c r="H99" s="1262">
        <v>4832</v>
      </c>
      <c r="I99" s="1708">
        <v>4953</v>
      </c>
      <c r="J99" s="1708">
        <v>4244</v>
      </c>
      <c r="K99" s="2219">
        <v>3923</v>
      </c>
    </row>
    <row r="100" spans="1:11" x14ac:dyDescent="0.3">
      <c r="A100" s="449" t="s">
        <v>14</v>
      </c>
      <c r="B100" s="532" t="s">
        <v>15</v>
      </c>
      <c r="C100" s="532" t="s">
        <v>255</v>
      </c>
      <c r="D100" s="813">
        <v>12473</v>
      </c>
      <c r="E100" s="813">
        <v>12976</v>
      </c>
      <c r="F100" s="813">
        <v>12605</v>
      </c>
      <c r="G100" s="1262">
        <v>12820</v>
      </c>
      <c r="H100" s="1262">
        <v>12906</v>
      </c>
      <c r="I100" s="1708">
        <v>13756</v>
      </c>
      <c r="J100" s="1708">
        <v>12997</v>
      </c>
      <c r="K100" s="2219">
        <v>12116</v>
      </c>
    </row>
    <row r="101" spans="1:11" x14ac:dyDescent="0.3">
      <c r="A101" s="449" t="s">
        <v>34</v>
      </c>
      <c r="B101" s="532" t="s">
        <v>35</v>
      </c>
      <c r="C101" s="532" t="s">
        <v>256</v>
      </c>
      <c r="D101" s="813">
        <v>6630</v>
      </c>
      <c r="E101" s="813">
        <v>6946</v>
      </c>
      <c r="F101" s="813">
        <v>6616</v>
      </c>
      <c r="G101" s="1262">
        <v>6310</v>
      </c>
      <c r="H101" s="1262">
        <v>5914</v>
      </c>
      <c r="I101" s="1708">
        <v>5827</v>
      </c>
      <c r="J101" s="1708">
        <v>5559</v>
      </c>
      <c r="K101" s="2219">
        <v>5543</v>
      </c>
    </row>
    <row r="102" spans="1:11" x14ac:dyDescent="0.3">
      <c r="A102" s="449" t="s">
        <v>52</v>
      </c>
      <c r="B102" s="532" t="s">
        <v>53</v>
      </c>
      <c r="C102" s="532" t="s">
        <v>253</v>
      </c>
      <c r="D102" s="813">
        <v>8248</v>
      </c>
      <c r="E102" s="813">
        <v>8283</v>
      </c>
      <c r="F102" s="813">
        <v>7591</v>
      </c>
      <c r="G102" s="1262">
        <v>7279</v>
      </c>
      <c r="H102" s="1262">
        <v>6522</v>
      </c>
      <c r="I102" s="1708">
        <v>6389</v>
      </c>
      <c r="J102" s="1708">
        <v>5685</v>
      </c>
      <c r="K102" s="2219">
        <v>5464</v>
      </c>
    </row>
    <row r="103" spans="1:11" x14ac:dyDescent="0.3">
      <c r="A103" s="449" t="s">
        <v>54</v>
      </c>
      <c r="B103" s="532" t="s">
        <v>55</v>
      </c>
      <c r="C103" s="532" t="s">
        <v>252</v>
      </c>
      <c r="D103" s="813">
        <v>33539</v>
      </c>
      <c r="E103" s="813">
        <v>35409</v>
      </c>
      <c r="F103" s="813">
        <v>34796</v>
      </c>
      <c r="G103" s="1262">
        <v>33850</v>
      </c>
      <c r="H103" s="1262">
        <v>31860</v>
      </c>
      <c r="I103" s="1708">
        <v>31123</v>
      </c>
      <c r="J103" s="1708">
        <v>27317</v>
      </c>
      <c r="K103" s="2219">
        <v>26650</v>
      </c>
    </row>
    <row r="104" spans="1:11" x14ac:dyDescent="0.3">
      <c r="A104" s="449" t="s">
        <v>66</v>
      </c>
      <c r="B104" s="532" t="s">
        <v>67</v>
      </c>
      <c r="C104" s="532" t="s">
        <v>253</v>
      </c>
      <c r="D104" s="813">
        <v>17789</v>
      </c>
      <c r="E104" s="813">
        <v>18071</v>
      </c>
      <c r="F104" s="813">
        <v>17594</v>
      </c>
      <c r="G104" s="1262">
        <v>17210</v>
      </c>
      <c r="H104" s="1262">
        <v>16295</v>
      </c>
      <c r="I104" s="1708">
        <v>15991</v>
      </c>
      <c r="J104" s="1708">
        <v>15129</v>
      </c>
      <c r="K104" s="2219">
        <v>14888</v>
      </c>
    </row>
    <row r="105" spans="1:11" x14ac:dyDescent="0.3">
      <c r="A105" s="449" t="s">
        <v>82</v>
      </c>
      <c r="B105" s="532" t="s">
        <v>83</v>
      </c>
      <c r="C105" s="532" t="s">
        <v>252</v>
      </c>
      <c r="D105" s="813">
        <v>3629</v>
      </c>
      <c r="E105" s="813">
        <v>3736</v>
      </c>
      <c r="F105" s="813">
        <v>3504</v>
      </c>
      <c r="G105" s="1262">
        <v>3469</v>
      </c>
      <c r="H105" s="1262">
        <v>3297</v>
      </c>
      <c r="I105" s="1708">
        <v>3409</v>
      </c>
      <c r="J105" s="1708">
        <v>3139</v>
      </c>
      <c r="K105" s="2219">
        <v>2983</v>
      </c>
    </row>
    <row r="106" spans="1:11" x14ac:dyDescent="0.3">
      <c r="A106" s="449" t="s">
        <v>88</v>
      </c>
      <c r="B106" s="532" t="s">
        <v>89</v>
      </c>
      <c r="C106" s="532" t="s">
        <v>255</v>
      </c>
      <c r="D106" s="813">
        <v>7012</v>
      </c>
      <c r="E106" s="813">
        <v>7111</v>
      </c>
      <c r="F106" s="813">
        <v>6831</v>
      </c>
      <c r="G106" s="1262">
        <v>6571</v>
      </c>
      <c r="H106" s="1262">
        <v>6013</v>
      </c>
      <c r="I106" s="1708">
        <v>6253</v>
      </c>
      <c r="J106" s="1708">
        <v>5807</v>
      </c>
      <c r="K106" s="2219">
        <v>5721</v>
      </c>
    </row>
    <row r="107" spans="1:11" x14ac:dyDescent="0.3">
      <c r="A107" s="449" t="s">
        <v>90</v>
      </c>
      <c r="B107" s="532" t="s">
        <v>91</v>
      </c>
      <c r="C107" s="532" t="s">
        <v>256</v>
      </c>
      <c r="D107" s="813">
        <v>2643</v>
      </c>
      <c r="E107" s="813">
        <v>2684</v>
      </c>
      <c r="F107" s="813">
        <v>2707</v>
      </c>
      <c r="G107" s="1262">
        <v>2530</v>
      </c>
      <c r="H107" s="1262">
        <v>2483</v>
      </c>
      <c r="I107" s="1708">
        <v>2560</v>
      </c>
      <c r="J107" s="1708">
        <v>2242</v>
      </c>
      <c r="K107" s="2219">
        <v>2184</v>
      </c>
    </row>
    <row r="108" spans="1:11" x14ac:dyDescent="0.3">
      <c r="A108" s="449" t="s">
        <v>106</v>
      </c>
      <c r="B108" s="532" t="s">
        <v>107</v>
      </c>
      <c r="C108" s="532" t="s">
        <v>252</v>
      </c>
      <c r="D108" s="813">
        <v>31871</v>
      </c>
      <c r="E108" s="813">
        <v>33549</v>
      </c>
      <c r="F108" s="813">
        <v>32859</v>
      </c>
      <c r="G108" s="1262">
        <v>31412</v>
      </c>
      <c r="H108" s="1262">
        <v>29509</v>
      </c>
      <c r="I108" s="1708">
        <v>29820</v>
      </c>
      <c r="J108" s="1708">
        <v>27215</v>
      </c>
      <c r="K108" s="2219">
        <v>26370</v>
      </c>
    </row>
    <row r="109" spans="1:11" x14ac:dyDescent="0.3">
      <c r="A109" s="449" t="s">
        <v>116</v>
      </c>
      <c r="B109" s="532" t="s">
        <v>117</v>
      </c>
      <c r="C109" s="532" t="s">
        <v>254</v>
      </c>
      <c r="D109" s="813">
        <v>9530</v>
      </c>
      <c r="E109" s="813">
        <v>9821</v>
      </c>
      <c r="F109" s="813">
        <v>9748</v>
      </c>
      <c r="G109" s="1262">
        <v>9733</v>
      </c>
      <c r="H109" s="1262">
        <v>9579</v>
      </c>
      <c r="I109" s="1708">
        <v>9776</v>
      </c>
      <c r="J109" s="1708">
        <v>9061</v>
      </c>
      <c r="K109" s="2219">
        <v>8889</v>
      </c>
    </row>
    <row r="110" spans="1:11" x14ac:dyDescent="0.3">
      <c r="A110" s="449" t="s">
        <v>138</v>
      </c>
      <c r="B110" s="532" t="s">
        <v>139</v>
      </c>
      <c r="C110" s="532" t="s">
        <v>253</v>
      </c>
      <c r="D110" s="813">
        <v>18533</v>
      </c>
      <c r="E110" s="813">
        <v>19294</v>
      </c>
      <c r="F110" s="813">
        <v>18924</v>
      </c>
      <c r="G110" s="1262">
        <v>18024</v>
      </c>
      <c r="H110" s="1262">
        <v>16438</v>
      </c>
      <c r="I110" s="1708">
        <v>16151</v>
      </c>
      <c r="J110" s="1708">
        <v>15066</v>
      </c>
      <c r="K110" s="2219">
        <v>14392</v>
      </c>
    </row>
    <row r="111" spans="1:11" x14ac:dyDescent="0.3">
      <c r="A111" s="449" t="s">
        <v>142</v>
      </c>
      <c r="B111" s="532" t="s">
        <v>143</v>
      </c>
      <c r="C111" s="532" t="s">
        <v>255</v>
      </c>
      <c r="D111" s="813">
        <v>6198</v>
      </c>
      <c r="E111" s="813">
        <v>6541</v>
      </c>
      <c r="F111" s="813">
        <v>6421</v>
      </c>
      <c r="G111" s="1262">
        <v>6310</v>
      </c>
      <c r="H111" s="1262">
        <v>5788</v>
      </c>
      <c r="I111" s="1708">
        <v>5847</v>
      </c>
      <c r="J111" s="1708">
        <v>4964</v>
      </c>
      <c r="K111" s="2219">
        <v>4359</v>
      </c>
    </row>
    <row r="112" spans="1:11" x14ac:dyDescent="0.3">
      <c r="A112" s="449" t="s">
        <v>144</v>
      </c>
      <c r="B112" s="532" t="s">
        <v>145</v>
      </c>
      <c r="C112" s="532" t="s">
        <v>255</v>
      </c>
      <c r="D112" s="813">
        <v>1907</v>
      </c>
      <c r="E112" s="813">
        <v>1969</v>
      </c>
      <c r="F112" s="813">
        <v>1874</v>
      </c>
      <c r="G112" s="1262">
        <v>1887</v>
      </c>
      <c r="H112" s="1262">
        <v>1830</v>
      </c>
      <c r="I112" s="1708">
        <v>1910</v>
      </c>
      <c r="J112" s="1708">
        <v>1513</v>
      </c>
      <c r="K112" s="2219">
        <v>1354</v>
      </c>
    </row>
    <row r="113" spans="1:11" x14ac:dyDescent="0.3">
      <c r="A113" s="449" t="s">
        <v>158</v>
      </c>
      <c r="B113" s="532" t="s">
        <v>159</v>
      </c>
      <c r="C113" s="532" t="s">
        <v>252</v>
      </c>
      <c r="D113" s="813">
        <v>49459</v>
      </c>
      <c r="E113" s="813">
        <v>51582</v>
      </c>
      <c r="F113" s="813">
        <v>50423</v>
      </c>
      <c r="G113" s="1262">
        <v>48996</v>
      </c>
      <c r="H113" s="1262">
        <v>46807</v>
      </c>
      <c r="I113" s="1708">
        <v>46064</v>
      </c>
      <c r="J113" s="1708">
        <v>42059</v>
      </c>
      <c r="K113" s="2219">
        <v>40863</v>
      </c>
    </row>
    <row r="114" spans="1:11" x14ac:dyDescent="0.3">
      <c r="A114" s="449" t="s">
        <v>160</v>
      </c>
      <c r="B114" s="532" t="s">
        <v>161</v>
      </c>
      <c r="C114" s="532" t="s">
        <v>252</v>
      </c>
      <c r="D114" s="813">
        <v>66743</v>
      </c>
      <c r="E114" s="813">
        <v>69189</v>
      </c>
      <c r="F114" s="813">
        <v>67204</v>
      </c>
      <c r="G114" s="1262">
        <v>64028</v>
      </c>
      <c r="H114" s="1262">
        <v>59598</v>
      </c>
      <c r="I114" s="1708">
        <v>57875</v>
      </c>
      <c r="J114" s="1708">
        <v>50666</v>
      </c>
      <c r="K114" s="2219">
        <v>48937</v>
      </c>
    </row>
    <row r="115" spans="1:11" x14ac:dyDescent="0.3">
      <c r="A115" s="449" t="s">
        <v>166</v>
      </c>
      <c r="B115" s="532" t="s">
        <v>167</v>
      </c>
      <c r="C115" s="532" t="s">
        <v>256</v>
      </c>
      <c r="D115" s="813">
        <v>1551</v>
      </c>
      <c r="E115" s="813">
        <v>1556</v>
      </c>
      <c r="F115" s="813">
        <v>1493</v>
      </c>
      <c r="G115" s="1262">
        <v>1429</v>
      </c>
      <c r="H115" s="1262">
        <v>1493</v>
      </c>
      <c r="I115" s="1708">
        <v>1458</v>
      </c>
      <c r="J115" s="1708">
        <v>1264</v>
      </c>
      <c r="K115" s="2219">
        <v>1233</v>
      </c>
    </row>
    <row r="116" spans="1:11" x14ac:dyDescent="0.3">
      <c r="A116" s="449" t="s">
        <v>176</v>
      </c>
      <c r="B116" s="532" t="s">
        <v>177</v>
      </c>
      <c r="C116" s="532" t="s">
        <v>254</v>
      </c>
      <c r="D116" s="813">
        <v>14910</v>
      </c>
      <c r="E116" s="813">
        <v>15295</v>
      </c>
      <c r="F116" s="813">
        <v>15021</v>
      </c>
      <c r="G116" s="1262">
        <v>14682</v>
      </c>
      <c r="H116" s="1262">
        <v>13926</v>
      </c>
      <c r="I116" s="1708">
        <v>13847</v>
      </c>
      <c r="J116" s="1708">
        <v>12807</v>
      </c>
      <c r="K116" s="2219">
        <v>12770</v>
      </c>
    </row>
    <row r="117" spans="1:11" x14ac:dyDescent="0.3">
      <c r="A117" s="449" t="s">
        <v>180</v>
      </c>
      <c r="B117" s="532" t="s">
        <v>181</v>
      </c>
      <c r="C117" s="532" t="s">
        <v>252</v>
      </c>
      <c r="D117" s="813">
        <v>31747</v>
      </c>
      <c r="E117" s="813">
        <v>33374</v>
      </c>
      <c r="F117" s="813">
        <v>32193</v>
      </c>
      <c r="G117" s="1262">
        <v>31117</v>
      </c>
      <c r="H117" s="1262">
        <v>29675</v>
      </c>
      <c r="I117" s="1708">
        <v>30093</v>
      </c>
      <c r="J117" s="1708">
        <v>27226</v>
      </c>
      <c r="K117" s="2219">
        <v>26952</v>
      </c>
    </row>
    <row r="118" spans="1:11" x14ac:dyDescent="0.3">
      <c r="A118" s="449" t="s">
        <v>192</v>
      </c>
      <c r="B118" s="532" t="s">
        <v>193</v>
      </c>
      <c r="C118" s="532" t="s">
        <v>256</v>
      </c>
      <c r="D118" s="813">
        <v>2611</v>
      </c>
      <c r="E118" s="813">
        <v>2688</v>
      </c>
      <c r="F118" s="813">
        <v>2667</v>
      </c>
      <c r="G118" s="1262">
        <v>2547</v>
      </c>
      <c r="H118" s="1262">
        <v>2301</v>
      </c>
      <c r="I118" s="1708">
        <v>2335</v>
      </c>
      <c r="J118" s="1708">
        <v>2087</v>
      </c>
      <c r="K118" s="2219">
        <v>1998</v>
      </c>
    </row>
    <row r="119" spans="1:11" x14ac:dyDescent="0.3">
      <c r="A119" s="449" t="s">
        <v>196</v>
      </c>
      <c r="B119" s="532" t="s">
        <v>197</v>
      </c>
      <c r="C119" s="532" t="s">
        <v>254</v>
      </c>
      <c r="D119" s="813">
        <v>69910</v>
      </c>
      <c r="E119" s="813">
        <v>72491</v>
      </c>
      <c r="F119" s="813">
        <v>69630</v>
      </c>
      <c r="G119" s="1262">
        <v>66399</v>
      </c>
      <c r="H119" s="1262">
        <v>61552</v>
      </c>
      <c r="I119" s="1708">
        <v>61028</v>
      </c>
      <c r="J119" s="1708">
        <v>53515</v>
      </c>
      <c r="K119" s="2219">
        <v>51315</v>
      </c>
    </row>
    <row r="120" spans="1:11" x14ac:dyDescent="0.3">
      <c r="A120" s="449" t="s">
        <v>200</v>
      </c>
      <c r="B120" s="532" t="s">
        <v>201</v>
      </c>
      <c r="C120" s="532" t="s">
        <v>253</v>
      </c>
      <c r="D120" s="813">
        <v>32657</v>
      </c>
      <c r="E120" s="813">
        <v>34665</v>
      </c>
      <c r="F120" s="813">
        <v>33761</v>
      </c>
      <c r="G120" s="1262">
        <v>32660</v>
      </c>
      <c r="H120" s="1262">
        <v>29521</v>
      </c>
      <c r="I120" s="1708">
        <v>29589</v>
      </c>
      <c r="J120" s="1708">
        <v>27780</v>
      </c>
      <c r="K120" s="2219">
        <v>27030</v>
      </c>
    </row>
    <row r="121" spans="1:11" x14ac:dyDescent="0.3">
      <c r="A121" s="449" t="s">
        <v>222</v>
      </c>
      <c r="B121" s="532" t="s">
        <v>223</v>
      </c>
      <c r="C121" s="532" t="s">
        <v>252</v>
      </c>
      <c r="D121" s="813">
        <v>17398</v>
      </c>
      <c r="E121" s="813">
        <v>18229</v>
      </c>
      <c r="F121" s="813">
        <v>17980</v>
      </c>
      <c r="G121" s="1262">
        <v>17450</v>
      </c>
      <c r="H121" s="1262">
        <v>16517</v>
      </c>
      <c r="I121" s="1708">
        <v>16389</v>
      </c>
      <c r="J121" s="1708">
        <v>14997</v>
      </c>
      <c r="K121" s="2219">
        <v>14411</v>
      </c>
    </row>
    <row r="122" spans="1:11" x14ac:dyDescent="0.3">
      <c r="A122" s="449" t="s">
        <v>230</v>
      </c>
      <c r="B122" s="532" t="s">
        <v>231</v>
      </c>
      <c r="C122" s="532" t="s">
        <v>252</v>
      </c>
      <c r="D122" s="813">
        <v>51503</v>
      </c>
      <c r="E122" s="813">
        <v>53377</v>
      </c>
      <c r="F122" s="813">
        <v>53038</v>
      </c>
      <c r="G122" s="1262">
        <v>52126</v>
      </c>
      <c r="H122" s="1262">
        <v>48191</v>
      </c>
      <c r="I122" s="1708">
        <v>46069</v>
      </c>
      <c r="J122" s="1708">
        <v>40977</v>
      </c>
      <c r="K122" s="2219">
        <v>38621</v>
      </c>
    </row>
    <row r="123" spans="1:11" x14ac:dyDescent="0.3">
      <c r="A123" s="449" t="s">
        <v>238</v>
      </c>
      <c r="B123" s="532" t="s">
        <v>239</v>
      </c>
      <c r="C123" s="532" t="s">
        <v>252</v>
      </c>
      <c r="D123" s="813">
        <v>1812</v>
      </c>
      <c r="E123" s="813">
        <v>1941</v>
      </c>
      <c r="F123" s="813">
        <v>1954</v>
      </c>
      <c r="G123" s="1262">
        <v>1950</v>
      </c>
      <c r="H123" s="1262">
        <v>1827</v>
      </c>
      <c r="I123" s="1708">
        <v>1944</v>
      </c>
      <c r="J123" s="1708">
        <v>1742</v>
      </c>
      <c r="K123" s="2219">
        <v>1746</v>
      </c>
    </row>
    <row r="124" spans="1:11" x14ac:dyDescent="0.3">
      <c r="A124" s="450" t="s">
        <v>240</v>
      </c>
      <c r="B124" s="453" t="s">
        <v>241</v>
      </c>
      <c r="C124" s="453" t="s">
        <v>255</v>
      </c>
      <c r="D124" s="814">
        <v>6776</v>
      </c>
      <c r="E124" s="814">
        <v>7009</v>
      </c>
      <c r="F124" s="814">
        <v>6635</v>
      </c>
      <c r="G124" s="1263">
        <v>6212</v>
      </c>
      <c r="H124" s="1263">
        <v>5685</v>
      </c>
      <c r="I124" s="1709">
        <v>5715</v>
      </c>
      <c r="J124" s="1857">
        <v>5046</v>
      </c>
      <c r="K124" s="1263">
        <v>4766</v>
      </c>
    </row>
    <row r="126" spans="1:11" ht="60.75" customHeight="1" x14ac:dyDescent="0.3">
      <c r="A126" s="2737" t="s">
        <v>1161</v>
      </c>
      <c r="B126" s="2737"/>
      <c r="C126" s="2737"/>
      <c r="D126" s="2737"/>
      <c r="E126" s="2737"/>
      <c r="F126" s="2737"/>
      <c r="G126" s="2737"/>
      <c r="H126" s="2737"/>
      <c r="I126" s="1690"/>
      <c r="J126" s="1865"/>
      <c r="K126" s="2257"/>
    </row>
    <row r="128" spans="1:11" s="359" customFormat="1" x14ac:dyDescent="0.3">
      <c r="A128" s="359" t="s">
        <v>248</v>
      </c>
    </row>
    <row r="129" spans="1:3" s="359" customFormat="1" x14ac:dyDescent="0.3">
      <c r="A129" s="360" t="s">
        <v>249</v>
      </c>
      <c r="B129" s="361" t="s">
        <v>250</v>
      </c>
      <c r="C129" s="361"/>
    </row>
  </sheetData>
  <sortState ref="A5:O124">
    <sortCondition ref="A5:A124"/>
  </sortState>
  <mergeCells count="1">
    <mergeCell ref="A126:H126"/>
  </mergeCells>
  <hyperlinks>
    <hyperlink ref="B129" r:id="rId1"/>
  </hyperlinks>
  <pageMargins left="0.7" right="0.7" top="0.75" bottom="0.75" header="0.3" footer="0.3"/>
  <pageSetup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129"/>
  <sheetViews>
    <sheetView workbookViewId="0">
      <pane ySplit="4" topLeftCell="A106" activePane="bottomLeft" state="frozen"/>
      <selection pane="bottomLeft" sqref="A1:XFD1048576"/>
    </sheetView>
  </sheetViews>
  <sheetFormatPr defaultColWidth="9" defaultRowHeight="15.6" x14ac:dyDescent="0.3"/>
  <cols>
    <col min="1" max="1" width="5.796875" style="441" customWidth="1"/>
    <col min="2" max="2" width="30.19921875" style="441" customWidth="1"/>
    <col min="3" max="3" width="12.296875" style="441" customWidth="1"/>
    <col min="4" max="14" width="10.796875" style="441" customWidth="1"/>
    <col min="15" max="15" width="2.5" style="441" customWidth="1"/>
    <col min="16" max="16384" width="9" style="441"/>
  </cols>
  <sheetData>
    <row r="1" spans="1:14" x14ac:dyDescent="0.3">
      <c r="A1" s="253" t="s">
        <v>804</v>
      </c>
    </row>
    <row r="3" spans="1:14" ht="31.2" x14ac:dyDescent="0.3">
      <c r="A3" s="466" t="s">
        <v>4</v>
      </c>
      <c r="B3" s="447" t="s">
        <v>5</v>
      </c>
      <c r="C3" s="503" t="s">
        <v>251</v>
      </c>
      <c r="D3" s="467" t="s">
        <v>405</v>
      </c>
      <c r="E3" s="467" t="s">
        <v>406</v>
      </c>
      <c r="F3" s="467" t="s">
        <v>407</v>
      </c>
      <c r="G3" s="467" t="s">
        <v>408</v>
      </c>
      <c r="H3" s="467" t="s">
        <v>409</v>
      </c>
      <c r="I3" s="467" t="s">
        <v>410</v>
      </c>
      <c r="J3" s="467" t="s">
        <v>456</v>
      </c>
      <c r="K3" s="442" t="s">
        <v>592</v>
      </c>
      <c r="L3" s="442" t="s">
        <v>673</v>
      </c>
      <c r="M3" s="442" t="s">
        <v>703</v>
      </c>
      <c r="N3" s="442" t="s">
        <v>805</v>
      </c>
    </row>
    <row r="4" spans="1:14" x14ac:dyDescent="0.3">
      <c r="A4" s="508">
        <v>999</v>
      </c>
      <c r="B4" s="507" t="s">
        <v>9</v>
      </c>
      <c r="C4" s="504"/>
      <c r="D4" s="468">
        <f t="shared" ref="D4:L4" si="0">SUM(D5:D124)</f>
        <v>180378</v>
      </c>
      <c r="E4" s="468">
        <f t="shared" si="0"/>
        <v>179388</v>
      </c>
      <c r="F4" s="468">
        <f t="shared" si="0"/>
        <v>168934</v>
      </c>
      <c r="G4" s="468">
        <f t="shared" si="0"/>
        <v>161280</v>
      </c>
      <c r="H4" s="468">
        <f t="shared" si="0"/>
        <v>177017</v>
      </c>
      <c r="I4" s="468">
        <f t="shared" si="0"/>
        <v>194549</v>
      </c>
      <c r="J4" s="468">
        <f t="shared" si="0"/>
        <v>195553</v>
      </c>
      <c r="K4" s="469">
        <f t="shared" si="0"/>
        <v>185234</v>
      </c>
      <c r="L4" s="469">
        <f t="shared" si="0"/>
        <v>172295</v>
      </c>
      <c r="M4" s="905">
        <v>154991</v>
      </c>
      <c r="N4" s="1126">
        <v>134462</v>
      </c>
    </row>
    <row r="5" spans="1:14" x14ac:dyDescent="0.3">
      <c r="A5" s="460" t="s">
        <v>10</v>
      </c>
      <c r="B5" s="451" t="s">
        <v>11</v>
      </c>
      <c r="C5" s="505" t="s">
        <v>252</v>
      </c>
      <c r="D5" s="454">
        <v>1056</v>
      </c>
      <c r="E5" s="454">
        <v>1003</v>
      </c>
      <c r="F5" s="454">
        <v>878</v>
      </c>
      <c r="G5" s="454">
        <v>898</v>
      </c>
      <c r="H5" s="454">
        <v>946</v>
      </c>
      <c r="I5" s="454">
        <v>1098</v>
      </c>
      <c r="J5" s="454">
        <v>1096</v>
      </c>
      <c r="K5" s="461">
        <v>1127</v>
      </c>
      <c r="L5" s="463">
        <v>1131</v>
      </c>
      <c r="M5" s="463">
        <v>974</v>
      </c>
      <c r="N5" s="1127">
        <v>810</v>
      </c>
    </row>
    <row r="6" spans="1:14" x14ac:dyDescent="0.3">
      <c r="A6" s="462" t="s">
        <v>12</v>
      </c>
      <c r="B6" s="452" t="s">
        <v>13</v>
      </c>
      <c r="C6" s="506" t="s">
        <v>253</v>
      </c>
      <c r="D6" s="456">
        <v>703</v>
      </c>
      <c r="E6" s="456">
        <v>797</v>
      </c>
      <c r="F6" s="456">
        <v>664</v>
      </c>
      <c r="G6" s="456">
        <v>611</v>
      </c>
      <c r="H6" s="456">
        <v>809</v>
      </c>
      <c r="I6" s="456">
        <v>921</v>
      </c>
      <c r="J6" s="456">
        <v>855</v>
      </c>
      <c r="K6" s="463">
        <v>746</v>
      </c>
      <c r="L6" s="463">
        <v>837</v>
      </c>
      <c r="M6" s="463">
        <v>807</v>
      </c>
      <c r="N6" s="1127">
        <v>707</v>
      </c>
    </row>
    <row r="7" spans="1:14" x14ac:dyDescent="0.3">
      <c r="A7" s="462" t="s">
        <v>16</v>
      </c>
      <c r="B7" s="452" t="s">
        <v>285</v>
      </c>
      <c r="C7" s="506" t="s">
        <v>253</v>
      </c>
      <c r="D7" s="456">
        <v>741</v>
      </c>
      <c r="E7" s="456">
        <v>693</v>
      </c>
      <c r="F7" s="456">
        <v>706</v>
      </c>
      <c r="G7" s="456">
        <v>664</v>
      </c>
      <c r="H7" s="456">
        <v>704</v>
      </c>
      <c r="I7" s="456">
        <v>677</v>
      </c>
      <c r="J7" s="456">
        <v>644</v>
      </c>
      <c r="K7" s="463">
        <v>528</v>
      </c>
      <c r="L7" s="463">
        <v>512</v>
      </c>
      <c r="M7" s="463">
        <v>476</v>
      </c>
      <c r="N7" s="1127">
        <v>439</v>
      </c>
    </row>
    <row r="8" spans="1:14" x14ac:dyDescent="0.3">
      <c r="A8" s="462" t="s">
        <v>18</v>
      </c>
      <c r="B8" s="452" t="s">
        <v>19</v>
      </c>
      <c r="C8" s="506" t="s">
        <v>254</v>
      </c>
      <c r="D8" s="456">
        <v>324</v>
      </c>
      <c r="E8" s="456">
        <v>364</v>
      </c>
      <c r="F8" s="456">
        <v>319</v>
      </c>
      <c r="G8" s="456">
        <v>321</v>
      </c>
      <c r="H8" s="456">
        <v>373</v>
      </c>
      <c r="I8" s="456">
        <v>430</v>
      </c>
      <c r="J8" s="456">
        <v>434</v>
      </c>
      <c r="K8" s="463">
        <v>408</v>
      </c>
      <c r="L8" s="463">
        <v>378</v>
      </c>
      <c r="M8" s="463">
        <v>275</v>
      </c>
      <c r="N8" s="1127">
        <v>205</v>
      </c>
    </row>
    <row r="9" spans="1:14" x14ac:dyDescent="0.3">
      <c r="A9" s="462" t="s">
        <v>20</v>
      </c>
      <c r="B9" s="452" t="s">
        <v>21</v>
      </c>
      <c r="C9" s="506" t="s">
        <v>253</v>
      </c>
      <c r="D9" s="456">
        <v>608</v>
      </c>
      <c r="E9" s="456">
        <v>613</v>
      </c>
      <c r="F9" s="456">
        <v>443</v>
      </c>
      <c r="G9" s="456">
        <v>449</v>
      </c>
      <c r="H9" s="456">
        <v>533</v>
      </c>
      <c r="I9" s="456">
        <v>645</v>
      </c>
      <c r="J9" s="456">
        <v>573</v>
      </c>
      <c r="K9" s="463">
        <v>538</v>
      </c>
      <c r="L9" s="463">
        <v>538</v>
      </c>
      <c r="M9" s="463">
        <v>456</v>
      </c>
      <c r="N9" s="1127">
        <v>407</v>
      </c>
    </row>
    <row r="10" spans="1:14" x14ac:dyDescent="0.3">
      <c r="A10" s="462" t="s">
        <v>22</v>
      </c>
      <c r="B10" s="452" t="s">
        <v>23</v>
      </c>
      <c r="C10" s="506" t="s">
        <v>253</v>
      </c>
      <c r="D10" s="456">
        <v>436</v>
      </c>
      <c r="E10" s="456">
        <v>404</v>
      </c>
      <c r="F10" s="456">
        <v>394</v>
      </c>
      <c r="G10" s="456">
        <v>417</v>
      </c>
      <c r="H10" s="456">
        <v>419</v>
      </c>
      <c r="I10" s="456">
        <v>507</v>
      </c>
      <c r="J10" s="456">
        <v>456</v>
      </c>
      <c r="K10" s="463">
        <v>477</v>
      </c>
      <c r="L10" s="463">
        <v>522</v>
      </c>
      <c r="M10" s="463">
        <v>492</v>
      </c>
      <c r="N10" s="1127">
        <v>395</v>
      </c>
    </row>
    <row r="11" spans="1:14" x14ac:dyDescent="0.3">
      <c r="A11" s="462" t="s">
        <v>24</v>
      </c>
      <c r="B11" s="452" t="s">
        <v>25</v>
      </c>
      <c r="C11" s="506" t="s">
        <v>255</v>
      </c>
      <c r="D11" s="456">
        <v>1469</v>
      </c>
      <c r="E11" s="456">
        <v>1479</v>
      </c>
      <c r="F11" s="456">
        <v>1312</v>
      </c>
      <c r="G11" s="456">
        <v>1233</v>
      </c>
      <c r="H11" s="456">
        <v>1547</v>
      </c>
      <c r="I11" s="456">
        <v>1702</v>
      </c>
      <c r="J11" s="456">
        <v>1633</v>
      </c>
      <c r="K11" s="463">
        <v>1512</v>
      </c>
      <c r="L11" s="463">
        <v>1315</v>
      </c>
      <c r="M11" s="463">
        <v>1107</v>
      </c>
      <c r="N11" s="1127">
        <v>1008</v>
      </c>
    </row>
    <row r="12" spans="1:14" x14ac:dyDescent="0.3">
      <c r="A12" s="462" t="s">
        <v>26</v>
      </c>
      <c r="B12" s="452" t="s">
        <v>547</v>
      </c>
      <c r="C12" s="506" t="s">
        <v>253</v>
      </c>
      <c r="D12" s="456">
        <v>3004</v>
      </c>
      <c r="E12" s="456">
        <v>3221</v>
      </c>
      <c r="F12" s="456">
        <v>3029</v>
      </c>
      <c r="G12" s="456">
        <v>2946</v>
      </c>
      <c r="H12" s="456">
        <v>3320</v>
      </c>
      <c r="I12" s="456">
        <v>3468</v>
      </c>
      <c r="J12" s="456">
        <v>3345</v>
      </c>
      <c r="K12" s="463">
        <v>3125</v>
      </c>
      <c r="L12" s="463">
        <v>2949</v>
      </c>
      <c r="M12" s="463">
        <v>2534</v>
      </c>
      <c r="N12" s="1127">
        <v>1916</v>
      </c>
    </row>
    <row r="13" spans="1:14" x14ac:dyDescent="0.3">
      <c r="A13" s="462" t="s">
        <v>27</v>
      </c>
      <c r="B13" s="452" t="s">
        <v>28</v>
      </c>
      <c r="C13" s="506" t="s">
        <v>253</v>
      </c>
      <c r="D13" s="456">
        <v>31</v>
      </c>
      <c r="E13" s="456">
        <v>33</v>
      </c>
      <c r="F13" s="456">
        <v>24</v>
      </c>
      <c r="G13" s="456">
        <v>41</v>
      </c>
      <c r="H13" s="456">
        <v>28</v>
      </c>
      <c r="I13" s="456">
        <v>47</v>
      </c>
      <c r="J13" s="456">
        <v>40</v>
      </c>
      <c r="K13" s="463">
        <v>42</v>
      </c>
      <c r="L13" s="463">
        <v>24</v>
      </c>
      <c r="M13" s="463">
        <v>24</v>
      </c>
      <c r="N13" s="1127">
        <v>13</v>
      </c>
    </row>
    <row r="14" spans="1:14" x14ac:dyDescent="0.3">
      <c r="A14" s="462" t="s">
        <v>29</v>
      </c>
      <c r="B14" s="452" t="s">
        <v>736</v>
      </c>
      <c r="C14" s="506" t="s">
        <v>253</v>
      </c>
      <c r="D14" s="456">
        <v>1178</v>
      </c>
      <c r="E14" s="456">
        <v>1115</v>
      </c>
      <c r="F14" s="456">
        <v>1092</v>
      </c>
      <c r="G14" s="456">
        <v>953</v>
      </c>
      <c r="H14" s="456">
        <v>1096</v>
      </c>
      <c r="I14" s="456">
        <v>1235</v>
      </c>
      <c r="J14" s="456">
        <v>1269</v>
      </c>
      <c r="K14" s="463">
        <v>1163</v>
      </c>
      <c r="L14" s="463">
        <v>1046</v>
      </c>
      <c r="M14" s="463">
        <v>1080</v>
      </c>
      <c r="N14" s="1127">
        <v>859</v>
      </c>
    </row>
    <row r="15" spans="1:14" x14ac:dyDescent="0.3">
      <c r="A15" s="462" t="s">
        <v>30</v>
      </c>
      <c r="B15" s="532" t="s">
        <v>31</v>
      </c>
      <c r="C15" s="506" t="s">
        <v>256</v>
      </c>
      <c r="D15" s="456">
        <v>131</v>
      </c>
      <c r="E15" s="456">
        <v>147</v>
      </c>
      <c r="F15" s="456">
        <v>127</v>
      </c>
      <c r="G15" s="456">
        <v>110</v>
      </c>
      <c r="H15" s="456">
        <v>115</v>
      </c>
      <c r="I15" s="456">
        <v>86</v>
      </c>
      <c r="J15" s="456">
        <v>120</v>
      </c>
      <c r="K15" s="463">
        <v>103</v>
      </c>
      <c r="L15" s="463">
        <v>85</v>
      </c>
      <c r="M15" s="463">
        <v>78</v>
      </c>
      <c r="N15" s="1127">
        <v>65</v>
      </c>
    </row>
    <row r="16" spans="1:14" x14ac:dyDescent="0.3">
      <c r="A16" s="462" t="s">
        <v>32</v>
      </c>
      <c r="B16" s="452" t="s">
        <v>33</v>
      </c>
      <c r="C16" s="506" t="s">
        <v>253</v>
      </c>
      <c r="D16" s="456">
        <v>198</v>
      </c>
      <c r="E16" s="456">
        <v>200</v>
      </c>
      <c r="F16" s="456">
        <v>155</v>
      </c>
      <c r="G16" s="456">
        <v>158</v>
      </c>
      <c r="H16" s="456">
        <v>175</v>
      </c>
      <c r="I16" s="456">
        <v>219</v>
      </c>
      <c r="J16" s="456">
        <v>223</v>
      </c>
      <c r="K16" s="463">
        <v>238</v>
      </c>
      <c r="L16" s="463">
        <v>212</v>
      </c>
      <c r="M16" s="463">
        <v>175</v>
      </c>
      <c r="N16" s="1127">
        <v>166</v>
      </c>
    </row>
    <row r="17" spans="1:14" x14ac:dyDescent="0.3">
      <c r="A17" s="462" t="s">
        <v>36</v>
      </c>
      <c r="B17" s="452" t="s">
        <v>37</v>
      </c>
      <c r="C17" s="506" t="s">
        <v>252</v>
      </c>
      <c r="D17" s="456">
        <v>680</v>
      </c>
      <c r="E17" s="456">
        <v>752</v>
      </c>
      <c r="F17" s="456">
        <v>712</v>
      </c>
      <c r="G17" s="456">
        <v>598</v>
      </c>
      <c r="H17" s="456">
        <v>597</v>
      </c>
      <c r="I17" s="456">
        <v>646</v>
      </c>
      <c r="J17" s="456">
        <v>609</v>
      </c>
      <c r="K17" s="463">
        <v>595</v>
      </c>
      <c r="L17" s="463">
        <v>545</v>
      </c>
      <c r="M17" s="463">
        <v>501</v>
      </c>
      <c r="N17" s="1127">
        <v>442</v>
      </c>
    </row>
    <row r="18" spans="1:14" x14ac:dyDescent="0.3">
      <c r="A18" s="462" t="s">
        <v>38</v>
      </c>
      <c r="B18" s="452" t="s">
        <v>39</v>
      </c>
      <c r="C18" s="506" t="s">
        <v>256</v>
      </c>
      <c r="D18" s="456">
        <v>1375</v>
      </c>
      <c r="E18" s="456">
        <v>1260</v>
      </c>
      <c r="F18" s="456">
        <v>1119</v>
      </c>
      <c r="G18" s="456">
        <v>1027</v>
      </c>
      <c r="H18" s="456">
        <v>971</v>
      </c>
      <c r="I18" s="456">
        <v>906</v>
      </c>
      <c r="J18" s="456">
        <v>743</v>
      </c>
      <c r="K18" s="463">
        <v>611</v>
      </c>
      <c r="L18" s="463">
        <v>724</v>
      </c>
      <c r="M18" s="463">
        <v>693</v>
      </c>
      <c r="N18" s="1127">
        <v>640</v>
      </c>
    </row>
    <row r="19" spans="1:14" x14ac:dyDescent="0.3">
      <c r="A19" s="462" t="s">
        <v>40</v>
      </c>
      <c r="B19" s="452" t="s">
        <v>41</v>
      </c>
      <c r="C19" s="506" t="s">
        <v>254</v>
      </c>
      <c r="D19" s="456">
        <v>590</v>
      </c>
      <c r="E19" s="456">
        <v>451</v>
      </c>
      <c r="F19" s="456">
        <v>480</v>
      </c>
      <c r="G19" s="456">
        <v>432</v>
      </c>
      <c r="H19" s="456">
        <v>500</v>
      </c>
      <c r="I19" s="456">
        <v>532</v>
      </c>
      <c r="J19" s="456">
        <v>432</v>
      </c>
      <c r="K19" s="463">
        <v>430</v>
      </c>
      <c r="L19" s="463">
        <v>416</v>
      </c>
      <c r="M19" s="463">
        <v>335</v>
      </c>
      <c r="N19" s="1127">
        <v>302</v>
      </c>
    </row>
    <row r="20" spans="1:14" x14ac:dyDescent="0.3">
      <c r="A20" s="462" t="s">
        <v>42</v>
      </c>
      <c r="B20" s="452" t="s">
        <v>43</v>
      </c>
      <c r="C20" s="506" t="s">
        <v>253</v>
      </c>
      <c r="D20" s="456">
        <v>1481</v>
      </c>
      <c r="E20" s="456">
        <v>1340</v>
      </c>
      <c r="F20" s="456">
        <v>1344</v>
      </c>
      <c r="G20" s="456">
        <v>1258</v>
      </c>
      <c r="H20" s="456">
        <v>1366</v>
      </c>
      <c r="I20" s="456">
        <v>1511</v>
      </c>
      <c r="J20" s="456">
        <v>1498</v>
      </c>
      <c r="K20" s="463">
        <v>1562</v>
      </c>
      <c r="L20" s="463">
        <v>1382</v>
      </c>
      <c r="M20" s="463">
        <v>1204</v>
      </c>
      <c r="N20" s="1127">
        <v>1026</v>
      </c>
    </row>
    <row r="21" spans="1:14" x14ac:dyDescent="0.3">
      <c r="A21" s="462" t="s">
        <v>44</v>
      </c>
      <c r="B21" s="452" t="s">
        <v>45</v>
      </c>
      <c r="C21" s="506" t="s">
        <v>254</v>
      </c>
      <c r="D21" s="456">
        <v>686</v>
      </c>
      <c r="E21" s="456">
        <v>640</v>
      </c>
      <c r="F21" s="456">
        <v>613</v>
      </c>
      <c r="G21" s="456">
        <v>634</v>
      </c>
      <c r="H21" s="456">
        <v>915</v>
      </c>
      <c r="I21" s="456">
        <v>1096</v>
      </c>
      <c r="J21" s="456">
        <v>1148</v>
      </c>
      <c r="K21" s="463">
        <v>1048</v>
      </c>
      <c r="L21" s="463">
        <v>959</v>
      </c>
      <c r="M21" s="463">
        <v>850</v>
      </c>
      <c r="N21" s="1127">
        <v>709</v>
      </c>
    </row>
    <row r="22" spans="1:14" x14ac:dyDescent="0.3">
      <c r="A22" s="462" t="s">
        <v>46</v>
      </c>
      <c r="B22" s="452" t="s">
        <v>47</v>
      </c>
      <c r="C22" s="506" t="s">
        <v>256</v>
      </c>
      <c r="D22" s="456">
        <v>802</v>
      </c>
      <c r="E22" s="456">
        <v>707</v>
      </c>
      <c r="F22" s="456">
        <v>662</v>
      </c>
      <c r="G22" s="456">
        <v>617</v>
      </c>
      <c r="H22" s="456">
        <v>702</v>
      </c>
      <c r="I22" s="456">
        <v>746</v>
      </c>
      <c r="J22" s="456">
        <v>675</v>
      </c>
      <c r="K22" s="463">
        <v>704</v>
      </c>
      <c r="L22" s="463">
        <v>585</v>
      </c>
      <c r="M22" s="463">
        <v>502</v>
      </c>
      <c r="N22" s="1127">
        <v>428</v>
      </c>
    </row>
    <row r="23" spans="1:14" x14ac:dyDescent="0.3">
      <c r="A23" s="462" t="s">
        <v>48</v>
      </c>
      <c r="B23" s="452" t="s">
        <v>257</v>
      </c>
      <c r="C23" s="506" t="s">
        <v>254</v>
      </c>
      <c r="D23" s="456">
        <v>118</v>
      </c>
      <c r="E23" s="456">
        <v>108</v>
      </c>
      <c r="F23" s="456">
        <v>113</v>
      </c>
      <c r="G23" s="456">
        <v>135</v>
      </c>
      <c r="H23" s="456">
        <v>118</v>
      </c>
      <c r="I23" s="456">
        <v>99</v>
      </c>
      <c r="J23" s="456">
        <v>145</v>
      </c>
      <c r="K23" s="463">
        <v>125</v>
      </c>
      <c r="L23" s="463">
        <v>96</v>
      </c>
      <c r="M23" s="463">
        <v>69</v>
      </c>
      <c r="N23" s="1127">
        <v>76</v>
      </c>
    </row>
    <row r="24" spans="1:14" x14ac:dyDescent="0.3">
      <c r="A24" s="462" t="s">
        <v>50</v>
      </c>
      <c r="B24" s="452" t="s">
        <v>51</v>
      </c>
      <c r="C24" s="506" t="s">
        <v>253</v>
      </c>
      <c r="D24" s="456">
        <v>452</v>
      </c>
      <c r="E24" s="456">
        <v>491</v>
      </c>
      <c r="F24" s="456">
        <v>405</v>
      </c>
      <c r="G24" s="456">
        <v>310</v>
      </c>
      <c r="H24" s="456">
        <v>422</v>
      </c>
      <c r="I24" s="456">
        <v>472</v>
      </c>
      <c r="J24" s="456">
        <v>452</v>
      </c>
      <c r="K24" s="463">
        <v>508</v>
      </c>
      <c r="L24" s="463">
        <v>504</v>
      </c>
      <c r="M24" s="463">
        <v>424</v>
      </c>
      <c r="N24" s="1127">
        <v>333</v>
      </c>
    </row>
    <row r="25" spans="1:14" x14ac:dyDescent="0.3">
      <c r="A25" s="462" t="s">
        <v>56</v>
      </c>
      <c r="B25" s="452" t="s">
        <v>283</v>
      </c>
      <c r="C25" s="506" t="s">
        <v>254</v>
      </c>
      <c r="D25" s="456">
        <v>4958</v>
      </c>
      <c r="E25" s="456">
        <v>4835</v>
      </c>
      <c r="F25" s="456">
        <v>4528</v>
      </c>
      <c r="G25" s="456">
        <v>4450</v>
      </c>
      <c r="H25" s="456">
        <v>5198</v>
      </c>
      <c r="I25" s="456">
        <v>5833</v>
      </c>
      <c r="J25" s="456">
        <v>6002</v>
      </c>
      <c r="K25" s="463">
        <v>5765</v>
      </c>
      <c r="L25" s="463">
        <v>5269</v>
      </c>
      <c r="M25" s="463">
        <v>4523</v>
      </c>
      <c r="N25" s="1127">
        <v>3656</v>
      </c>
    </row>
    <row r="26" spans="1:14" x14ac:dyDescent="0.3">
      <c r="A26" s="462" t="s">
        <v>58</v>
      </c>
      <c r="B26" s="452" t="s">
        <v>59</v>
      </c>
      <c r="C26" s="506" t="s">
        <v>255</v>
      </c>
      <c r="D26" s="456">
        <v>70</v>
      </c>
      <c r="E26" s="456">
        <v>72</v>
      </c>
      <c r="F26" s="456">
        <v>67</v>
      </c>
      <c r="G26" s="456">
        <v>63</v>
      </c>
      <c r="H26" s="456">
        <v>101</v>
      </c>
      <c r="I26" s="456">
        <v>110</v>
      </c>
      <c r="J26" s="456">
        <v>121</v>
      </c>
      <c r="K26" s="463">
        <v>117</v>
      </c>
      <c r="L26" s="463">
        <v>114</v>
      </c>
      <c r="M26" s="463">
        <v>80</v>
      </c>
      <c r="N26" s="1127">
        <v>48</v>
      </c>
    </row>
    <row r="27" spans="1:14" x14ac:dyDescent="0.3">
      <c r="A27" s="462" t="s">
        <v>60</v>
      </c>
      <c r="B27" s="452" t="s">
        <v>61</v>
      </c>
      <c r="C27" s="506" t="s">
        <v>253</v>
      </c>
      <c r="D27" s="456">
        <v>57</v>
      </c>
      <c r="E27" s="456">
        <v>55</v>
      </c>
      <c r="F27" s="456">
        <v>46</v>
      </c>
      <c r="G27" s="456">
        <v>45</v>
      </c>
      <c r="H27" s="456">
        <v>55</v>
      </c>
      <c r="I27" s="456">
        <v>59</v>
      </c>
      <c r="J27" s="456">
        <v>67</v>
      </c>
      <c r="K27" s="463">
        <v>78</v>
      </c>
      <c r="L27" s="463">
        <v>59</v>
      </c>
      <c r="M27" s="463">
        <v>59</v>
      </c>
      <c r="N27" s="1127">
        <v>66</v>
      </c>
    </row>
    <row r="28" spans="1:14" x14ac:dyDescent="0.3">
      <c r="A28" s="462" t="s">
        <v>62</v>
      </c>
      <c r="B28" s="452" t="s">
        <v>63</v>
      </c>
      <c r="C28" s="506" t="s">
        <v>255</v>
      </c>
      <c r="D28" s="456">
        <v>836</v>
      </c>
      <c r="E28" s="456">
        <v>801</v>
      </c>
      <c r="F28" s="456">
        <v>818</v>
      </c>
      <c r="G28" s="456">
        <v>841</v>
      </c>
      <c r="H28" s="456">
        <v>995</v>
      </c>
      <c r="I28" s="456">
        <v>1105</v>
      </c>
      <c r="J28" s="456">
        <v>1059</v>
      </c>
      <c r="K28" s="463">
        <v>932</v>
      </c>
      <c r="L28" s="463">
        <v>900</v>
      </c>
      <c r="M28" s="463">
        <v>792</v>
      </c>
      <c r="N28" s="1127">
        <v>641</v>
      </c>
    </row>
    <row r="29" spans="1:14" x14ac:dyDescent="0.3">
      <c r="A29" s="462" t="s">
        <v>64</v>
      </c>
      <c r="B29" s="452" t="s">
        <v>65</v>
      </c>
      <c r="C29" s="506" t="s">
        <v>254</v>
      </c>
      <c r="D29" s="456">
        <v>378</v>
      </c>
      <c r="E29" s="456">
        <v>307</v>
      </c>
      <c r="F29" s="456">
        <v>309</v>
      </c>
      <c r="G29" s="456">
        <v>313</v>
      </c>
      <c r="H29" s="456">
        <v>361</v>
      </c>
      <c r="I29" s="456">
        <v>354</v>
      </c>
      <c r="J29" s="456">
        <v>346</v>
      </c>
      <c r="K29" s="463">
        <v>336</v>
      </c>
      <c r="L29" s="463">
        <v>399</v>
      </c>
      <c r="M29" s="463">
        <v>328</v>
      </c>
      <c r="N29" s="1127">
        <v>289</v>
      </c>
    </row>
    <row r="30" spans="1:14" x14ac:dyDescent="0.3">
      <c r="A30" s="462" t="s">
        <v>68</v>
      </c>
      <c r="B30" s="452" t="s">
        <v>69</v>
      </c>
      <c r="C30" s="506" t="s">
        <v>256</v>
      </c>
      <c r="D30" s="456">
        <v>722</v>
      </c>
      <c r="E30" s="456">
        <v>666</v>
      </c>
      <c r="F30" s="456">
        <v>604</v>
      </c>
      <c r="G30" s="456">
        <v>595</v>
      </c>
      <c r="H30" s="456">
        <v>524</v>
      </c>
      <c r="I30" s="456">
        <v>547</v>
      </c>
      <c r="J30" s="456">
        <v>480</v>
      </c>
      <c r="K30" s="463">
        <v>440</v>
      </c>
      <c r="L30" s="463">
        <v>343</v>
      </c>
      <c r="M30" s="463">
        <v>364</v>
      </c>
      <c r="N30" s="1127">
        <v>293</v>
      </c>
    </row>
    <row r="31" spans="1:14" x14ac:dyDescent="0.3">
      <c r="A31" s="462" t="s">
        <v>70</v>
      </c>
      <c r="B31" s="452" t="s">
        <v>71</v>
      </c>
      <c r="C31" s="506" t="s">
        <v>252</v>
      </c>
      <c r="D31" s="456">
        <v>714</v>
      </c>
      <c r="E31" s="456">
        <v>761</v>
      </c>
      <c r="F31" s="456">
        <v>644</v>
      </c>
      <c r="G31" s="456">
        <v>581</v>
      </c>
      <c r="H31" s="456">
        <v>662</v>
      </c>
      <c r="I31" s="456">
        <v>772</v>
      </c>
      <c r="J31" s="456">
        <v>773</v>
      </c>
      <c r="K31" s="463">
        <v>726</v>
      </c>
      <c r="L31" s="463">
        <v>700</v>
      </c>
      <c r="M31" s="463">
        <v>693</v>
      </c>
      <c r="N31" s="1127">
        <v>561</v>
      </c>
    </row>
    <row r="32" spans="1:14" x14ac:dyDescent="0.3">
      <c r="A32" s="462" t="s">
        <v>72</v>
      </c>
      <c r="B32" s="452" t="s">
        <v>73</v>
      </c>
      <c r="C32" s="506" t="s">
        <v>254</v>
      </c>
      <c r="D32" s="456">
        <v>341</v>
      </c>
      <c r="E32" s="456">
        <v>355</v>
      </c>
      <c r="F32" s="456">
        <v>325</v>
      </c>
      <c r="G32" s="456">
        <v>415</v>
      </c>
      <c r="H32" s="456">
        <v>462</v>
      </c>
      <c r="I32" s="456">
        <v>529</v>
      </c>
      <c r="J32" s="456">
        <v>466</v>
      </c>
      <c r="K32" s="463">
        <v>480</v>
      </c>
      <c r="L32" s="463">
        <v>386</v>
      </c>
      <c r="M32" s="463">
        <v>389</v>
      </c>
      <c r="N32" s="1127">
        <v>347</v>
      </c>
    </row>
    <row r="33" spans="1:14" x14ac:dyDescent="0.3">
      <c r="A33" s="462" t="s">
        <v>74</v>
      </c>
      <c r="B33" s="452" t="s">
        <v>284</v>
      </c>
      <c r="C33" s="506" t="s">
        <v>255</v>
      </c>
      <c r="D33" s="456">
        <v>6971</v>
      </c>
      <c r="E33" s="456">
        <v>7215</v>
      </c>
      <c r="F33" s="456">
        <v>7034</v>
      </c>
      <c r="G33" s="456">
        <v>6735</v>
      </c>
      <c r="H33" s="456">
        <v>7821</v>
      </c>
      <c r="I33" s="456">
        <v>8890</v>
      </c>
      <c r="J33" s="456">
        <v>9227</v>
      </c>
      <c r="K33" s="463">
        <v>8653</v>
      </c>
      <c r="L33" s="463">
        <v>8530</v>
      </c>
      <c r="M33" s="463">
        <v>7508</v>
      </c>
      <c r="N33" s="1127">
        <v>6270</v>
      </c>
    </row>
    <row r="34" spans="1:14" x14ac:dyDescent="0.3">
      <c r="A34" s="462" t="s">
        <v>76</v>
      </c>
      <c r="B34" s="452" t="s">
        <v>77</v>
      </c>
      <c r="C34" s="506" t="s">
        <v>255</v>
      </c>
      <c r="D34" s="456">
        <v>567</v>
      </c>
      <c r="E34" s="456">
        <v>550</v>
      </c>
      <c r="F34" s="456">
        <v>560</v>
      </c>
      <c r="G34" s="456">
        <v>577</v>
      </c>
      <c r="H34" s="456">
        <v>681</v>
      </c>
      <c r="I34" s="456">
        <v>684</v>
      </c>
      <c r="J34" s="456">
        <v>646</v>
      </c>
      <c r="K34" s="463">
        <v>631</v>
      </c>
      <c r="L34" s="463">
        <v>517</v>
      </c>
      <c r="M34" s="463">
        <v>449</v>
      </c>
      <c r="N34" s="1127">
        <v>383</v>
      </c>
    </row>
    <row r="35" spans="1:14" x14ac:dyDescent="0.3">
      <c r="A35" s="462" t="s">
        <v>78</v>
      </c>
      <c r="B35" s="452" t="s">
        <v>79</v>
      </c>
      <c r="C35" s="506" t="s">
        <v>256</v>
      </c>
      <c r="D35" s="456">
        <v>227</v>
      </c>
      <c r="E35" s="456">
        <v>286</v>
      </c>
      <c r="F35" s="456">
        <v>230</v>
      </c>
      <c r="G35" s="456">
        <v>212</v>
      </c>
      <c r="H35" s="456">
        <v>247</v>
      </c>
      <c r="I35" s="456">
        <v>280</v>
      </c>
      <c r="J35" s="456">
        <v>317</v>
      </c>
      <c r="K35" s="463">
        <v>336</v>
      </c>
      <c r="L35" s="463">
        <v>329</v>
      </c>
      <c r="M35" s="463">
        <v>254</v>
      </c>
      <c r="N35" s="1127">
        <v>185</v>
      </c>
    </row>
    <row r="36" spans="1:14" x14ac:dyDescent="0.3">
      <c r="A36" s="462" t="s">
        <v>80</v>
      </c>
      <c r="B36" s="452" t="s">
        <v>81</v>
      </c>
      <c r="C36" s="506" t="s">
        <v>254</v>
      </c>
      <c r="D36" s="456">
        <v>154</v>
      </c>
      <c r="E36" s="456">
        <v>142</v>
      </c>
      <c r="F36" s="456">
        <v>122</v>
      </c>
      <c r="G36" s="456">
        <v>131</v>
      </c>
      <c r="H36" s="456">
        <v>146</v>
      </c>
      <c r="I36" s="456">
        <v>168</v>
      </c>
      <c r="J36" s="456">
        <v>239</v>
      </c>
      <c r="K36" s="463">
        <v>286</v>
      </c>
      <c r="L36" s="463">
        <v>261</v>
      </c>
      <c r="M36" s="463">
        <v>204</v>
      </c>
      <c r="N36" s="1127">
        <v>214</v>
      </c>
    </row>
    <row r="37" spans="1:14" x14ac:dyDescent="0.3">
      <c r="A37" s="462" t="s">
        <v>84</v>
      </c>
      <c r="B37" s="452" t="s">
        <v>85</v>
      </c>
      <c r="C37" s="506" t="s">
        <v>253</v>
      </c>
      <c r="D37" s="456">
        <v>1106</v>
      </c>
      <c r="E37" s="456">
        <v>1147</v>
      </c>
      <c r="F37" s="456">
        <v>1015</v>
      </c>
      <c r="G37" s="456">
        <v>1048</v>
      </c>
      <c r="H37" s="456">
        <v>1291</v>
      </c>
      <c r="I37" s="456">
        <v>1302</v>
      </c>
      <c r="J37" s="456">
        <v>1398</v>
      </c>
      <c r="K37" s="463">
        <v>1319</v>
      </c>
      <c r="L37" s="463">
        <v>1158</v>
      </c>
      <c r="M37" s="463">
        <v>1018</v>
      </c>
      <c r="N37" s="1127">
        <v>860</v>
      </c>
    </row>
    <row r="38" spans="1:14" x14ac:dyDescent="0.3">
      <c r="A38" s="462" t="s">
        <v>86</v>
      </c>
      <c r="B38" s="452" t="s">
        <v>87</v>
      </c>
      <c r="C38" s="506" t="s">
        <v>255</v>
      </c>
      <c r="D38" s="456">
        <v>444</v>
      </c>
      <c r="E38" s="456">
        <v>505</v>
      </c>
      <c r="F38" s="456">
        <v>543</v>
      </c>
      <c r="G38" s="456">
        <v>603</v>
      </c>
      <c r="H38" s="456">
        <v>843</v>
      </c>
      <c r="I38" s="456">
        <v>1006</v>
      </c>
      <c r="J38" s="456">
        <v>1133</v>
      </c>
      <c r="K38" s="463">
        <v>1048</v>
      </c>
      <c r="L38" s="463">
        <v>932</v>
      </c>
      <c r="M38" s="463">
        <v>648</v>
      </c>
      <c r="N38" s="1127">
        <v>381</v>
      </c>
    </row>
    <row r="39" spans="1:14" x14ac:dyDescent="0.3">
      <c r="A39" s="462" t="s">
        <v>92</v>
      </c>
      <c r="B39" s="452" t="s">
        <v>93</v>
      </c>
      <c r="C39" s="506" t="s">
        <v>256</v>
      </c>
      <c r="D39" s="456">
        <v>293</v>
      </c>
      <c r="E39" s="456">
        <v>237</v>
      </c>
      <c r="F39" s="456">
        <v>241</v>
      </c>
      <c r="G39" s="456">
        <v>214</v>
      </c>
      <c r="H39" s="456">
        <v>272</v>
      </c>
      <c r="I39" s="456">
        <v>282</v>
      </c>
      <c r="J39" s="456">
        <v>325</v>
      </c>
      <c r="K39" s="463">
        <v>284</v>
      </c>
      <c r="L39" s="463">
        <v>331</v>
      </c>
      <c r="M39" s="463">
        <v>223</v>
      </c>
      <c r="N39" s="1127">
        <v>174</v>
      </c>
    </row>
    <row r="40" spans="1:14" x14ac:dyDescent="0.3">
      <c r="A40" s="462" t="s">
        <v>94</v>
      </c>
      <c r="B40" s="452" t="s">
        <v>95</v>
      </c>
      <c r="C40" s="506" t="s">
        <v>252</v>
      </c>
      <c r="D40" s="456">
        <v>530</v>
      </c>
      <c r="E40" s="456">
        <v>530</v>
      </c>
      <c r="F40" s="456">
        <v>518</v>
      </c>
      <c r="G40" s="456">
        <v>543</v>
      </c>
      <c r="H40" s="456">
        <v>567</v>
      </c>
      <c r="I40" s="456">
        <v>668</v>
      </c>
      <c r="J40" s="456">
        <v>593</v>
      </c>
      <c r="K40" s="463">
        <v>543</v>
      </c>
      <c r="L40" s="463">
        <v>486</v>
      </c>
      <c r="M40" s="463">
        <v>528</v>
      </c>
      <c r="N40" s="1127">
        <v>535</v>
      </c>
    </row>
    <row r="41" spans="1:14" x14ac:dyDescent="0.3">
      <c r="A41" s="462" t="s">
        <v>96</v>
      </c>
      <c r="B41" s="452" t="s">
        <v>97</v>
      </c>
      <c r="C41" s="506" t="s">
        <v>254</v>
      </c>
      <c r="D41" s="456">
        <v>117</v>
      </c>
      <c r="E41" s="456">
        <v>166</v>
      </c>
      <c r="F41" s="456">
        <v>158</v>
      </c>
      <c r="G41" s="456">
        <v>178</v>
      </c>
      <c r="H41" s="456">
        <v>162</v>
      </c>
      <c r="I41" s="456">
        <v>222</v>
      </c>
      <c r="J41" s="456">
        <v>265</v>
      </c>
      <c r="K41" s="463">
        <v>230</v>
      </c>
      <c r="L41" s="463">
        <v>178</v>
      </c>
      <c r="M41" s="463">
        <v>121</v>
      </c>
      <c r="N41" s="1127">
        <v>127</v>
      </c>
    </row>
    <row r="42" spans="1:14" x14ac:dyDescent="0.3">
      <c r="A42" s="462" t="s">
        <v>98</v>
      </c>
      <c r="B42" s="452" t="s">
        <v>99</v>
      </c>
      <c r="C42" s="506" t="s">
        <v>256</v>
      </c>
      <c r="D42" s="456">
        <v>465</v>
      </c>
      <c r="E42" s="456">
        <v>481</v>
      </c>
      <c r="F42" s="456">
        <v>377</v>
      </c>
      <c r="G42" s="456">
        <v>253</v>
      </c>
      <c r="H42" s="456">
        <v>294</v>
      </c>
      <c r="I42" s="456">
        <v>312</v>
      </c>
      <c r="J42" s="456">
        <v>274</v>
      </c>
      <c r="K42" s="463">
        <v>263</v>
      </c>
      <c r="L42" s="463">
        <v>251</v>
      </c>
      <c r="M42" s="463">
        <v>251</v>
      </c>
      <c r="N42" s="1127">
        <v>196</v>
      </c>
    </row>
    <row r="43" spans="1:14" x14ac:dyDescent="0.3">
      <c r="A43" s="462" t="s">
        <v>100</v>
      </c>
      <c r="B43" s="452" t="s">
        <v>101</v>
      </c>
      <c r="C43" s="506" t="s">
        <v>255</v>
      </c>
      <c r="D43" s="456">
        <v>269</v>
      </c>
      <c r="E43" s="456">
        <v>305</v>
      </c>
      <c r="F43" s="456">
        <v>308</v>
      </c>
      <c r="G43" s="456">
        <v>248</v>
      </c>
      <c r="H43" s="456">
        <v>313</v>
      </c>
      <c r="I43" s="456">
        <v>328</v>
      </c>
      <c r="J43" s="456">
        <v>303</v>
      </c>
      <c r="K43" s="463">
        <v>286</v>
      </c>
      <c r="L43" s="463">
        <v>220</v>
      </c>
      <c r="M43" s="463">
        <v>202</v>
      </c>
      <c r="N43" s="1127">
        <v>246</v>
      </c>
    </row>
    <row r="44" spans="1:14" x14ac:dyDescent="0.3">
      <c r="A44" s="462" t="s">
        <v>102</v>
      </c>
      <c r="B44" s="452" t="s">
        <v>270</v>
      </c>
      <c r="C44" s="506" t="s">
        <v>252</v>
      </c>
      <c r="D44" s="456">
        <v>674</v>
      </c>
      <c r="E44" s="456">
        <v>824</v>
      </c>
      <c r="F44" s="456">
        <v>792</v>
      </c>
      <c r="G44" s="456">
        <v>851</v>
      </c>
      <c r="H44" s="456">
        <v>801</v>
      </c>
      <c r="I44" s="456">
        <v>824</v>
      </c>
      <c r="J44" s="456">
        <v>893</v>
      </c>
      <c r="K44" s="463">
        <v>803</v>
      </c>
      <c r="L44" s="463">
        <v>824</v>
      </c>
      <c r="M44" s="463">
        <v>834</v>
      </c>
      <c r="N44" s="1127">
        <v>707</v>
      </c>
    </row>
    <row r="45" spans="1:14" x14ac:dyDescent="0.3">
      <c r="A45" s="462" t="s">
        <v>104</v>
      </c>
      <c r="B45" s="452" t="s">
        <v>105</v>
      </c>
      <c r="C45" s="506" t="s">
        <v>253</v>
      </c>
      <c r="D45" s="456">
        <v>1533</v>
      </c>
      <c r="E45" s="456">
        <v>1532</v>
      </c>
      <c r="F45" s="456">
        <v>1472</v>
      </c>
      <c r="G45" s="456">
        <v>1418</v>
      </c>
      <c r="H45" s="456">
        <v>1374</v>
      </c>
      <c r="I45" s="456">
        <v>1362</v>
      </c>
      <c r="J45" s="456">
        <v>1324</v>
      </c>
      <c r="K45" s="463">
        <v>1150</v>
      </c>
      <c r="L45" s="463">
        <v>1053</v>
      </c>
      <c r="M45" s="463">
        <v>945</v>
      </c>
      <c r="N45" s="1127">
        <v>843</v>
      </c>
    </row>
    <row r="46" spans="1:14" x14ac:dyDescent="0.3">
      <c r="A46" s="462" t="s">
        <v>108</v>
      </c>
      <c r="B46" s="452" t="s">
        <v>109</v>
      </c>
      <c r="C46" s="506" t="s">
        <v>254</v>
      </c>
      <c r="D46" s="456">
        <v>794</v>
      </c>
      <c r="E46" s="456">
        <v>737</v>
      </c>
      <c r="F46" s="456">
        <v>708</v>
      </c>
      <c r="G46" s="456">
        <v>723</v>
      </c>
      <c r="H46" s="456">
        <v>820</v>
      </c>
      <c r="I46" s="456">
        <v>965</v>
      </c>
      <c r="J46" s="456">
        <v>988</v>
      </c>
      <c r="K46" s="463">
        <v>834</v>
      </c>
      <c r="L46" s="463">
        <v>731</v>
      </c>
      <c r="M46" s="463">
        <v>718</v>
      </c>
      <c r="N46" s="1127">
        <v>565</v>
      </c>
    </row>
    <row r="47" spans="1:14" x14ac:dyDescent="0.3">
      <c r="A47" s="462" t="s">
        <v>110</v>
      </c>
      <c r="B47" s="452" t="s">
        <v>111</v>
      </c>
      <c r="C47" s="506" t="s">
        <v>254</v>
      </c>
      <c r="D47" s="456">
        <v>6186</v>
      </c>
      <c r="E47" s="456">
        <v>6388</v>
      </c>
      <c r="F47" s="456">
        <v>6032</v>
      </c>
      <c r="G47" s="456">
        <v>5646</v>
      </c>
      <c r="H47" s="456">
        <v>6393</v>
      </c>
      <c r="I47" s="456">
        <v>7706</v>
      </c>
      <c r="J47" s="456">
        <v>7953</v>
      </c>
      <c r="K47" s="463">
        <v>7735</v>
      </c>
      <c r="L47" s="463">
        <v>6921</v>
      </c>
      <c r="M47" s="463">
        <v>6101</v>
      </c>
      <c r="N47" s="1127">
        <v>5482</v>
      </c>
    </row>
    <row r="48" spans="1:14" x14ac:dyDescent="0.3">
      <c r="A48" s="462" t="s">
        <v>112</v>
      </c>
      <c r="B48" s="452" t="s">
        <v>288</v>
      </c>
      <c r="C48" s="506" t="s">
        <v>253</v>
      </c>
      <c r="D48" s="456">
        <v>2840</v>
      </c>
      <c r="E48" s="456">
        <v>2769</v>
      </c>
      <c r="F48" s="456">
        <v>2605</v>
      </c>
      <c r="G48" s="456">
        <v>2515</v>
      </c>
      <c r="H48" s="456">
        <v>2783</v>
      </c>
      <c r="I48" s="456">
        <v>2992</v>
      </c>
      <c r="J48" s="456">
        <v>2932</v>
      </c>
      <c r="K48" s="463">
        <v>2620</v>
      </c>
      <c r="L48" s="463">
        <v>2347</v>
      </c>
      <c r="M48" s="463">
        <v>2085</v>
      </c>
      <c r="N48" s="1127">
        <v>1969</v>
      </c>
    </row>
    <row r="49" spans="1:14" x14ac:dyDescent="0.3">
      <c r="A49" s="462" t="s">
        <v>114</v>
      </c>
      <c r="B49" s="452" t="s">
        <v>115</v>
      </c>
      <c r="C49" s="506" t="s">
        <v>253</v>
      </c>
      <c r="D49" s="456">
        <v>21</v>
      </c>
      <c r="E49" s="456">
        <v>19</v>
      </c>
      <c r="F49" s="456">
        <v>11</v>
      </c>
      <c r="G49" s="456">
        <v>4</v>
      </c>
      <c r="H49" s="456">
        <v>4</v>
      </c>
      <c r="I49" s="456">
        <v>1</v>
      </c>
      <c r="J49" s="456">
        <v>6</v>
      </c>
      <c r="K49" s="463">
        <v>8</v>
      </c>
      <c r="L49" s="463">
        <v>12</v>
      </c>
      <c r="M49" s="463">
        <v>9</v>
      </c>
      <c r="N49" s="1127">
        <v>10</v>
      </c>
    </row>
    <row r="50" spans="1:14" x14ac:dyDescent="0.3">
      <c r="A50" s="462" t="s">
        <v>118</v>
      </c>
      <c r="B50" s="452" t="s">
        <v>258</v>
      </c>
      <c r="C50" s="506" t="s">
        <v>252</v>
      </c>
      <c r="D50" s="456">
        <v>655</v>
      </c>
      <c r="E50" s="456">
        <v>681</v>
      </c>
      <c r="F50" s="456">
        <v>635</v>
      </c>
      <c r="G50" s="456">
        <v>615</v>
      </c>
      <c r="H50" s="456">
        <v>711</v>
      </c>
      <c r="I50" s="456">
        <v>812</v>
      </c>
      <c r="J50" s="456">
        <v>832</v>
      </c>
      <c r="K50" s="463">
        <v>709</v>
      </c>
      <c r="L50" s="463">
        <v>632</v>
      </c>
      <c r="M50" s="463">
        <v>555</v>
      </c>
      <c r="N50" s="1127">
        <v>464</v>
      </c>
    </row>
    <row r="51" spans="1:14" x14ac:dyDescent="0.3">
      <c r="A51" s="462" t="s">
        <v>120</v>
      </c>
      <c r="B51" s="452" t="s">
        <v>121</v>
      </c>
      <c r="C51" s="506" t="s">
        <v>252</v>
      </c>
      <c r="D51" s="456">
        <v>624</v>
      </c>
      <c r="E51" s="456">
        <v>606</v>
      </c>
      <c r="F51" s="456">
        <v>522</v>
      </c>
      <c r="G51" s="456">
        <v>522</v>
      </c>
      <c r="H51" s="456">
        <v>624</v>
      </c>
      <c r="I51" s="456">
        <v>791</v>
      </c>
      <c r="J51" s="456">
        <v>820</v>
      </c>
      <c r="K51" s="463">
        <v>836</v>
      </c>
      <c r="L51" s="463">
        <v>881</v>
      </c>
      <c r="M51" s="463">
        <v>763</v>
      </c>
      <c r="N51" s="1127">
        <v>700</v>
      </c>
    </row>
    <row r="52" spans="1:14" x14ac:dyDescent="0.3">
      <c r="A52" s="462" t="s">
        <v>122</v>
      </c>
      <c r="B52" s="452" t="s">
        <v>275</v>
      </c>
      <c r="C52" s="506" t="s">
        <v>254</v>
      </c>
      <c r="D52" s="456">
        <v>163</v>
      </c>
      <c r="E52" s="456">
        <v>153</v>
      </c>
      <c r="F52" s="456">
        <v>130</v>
      </c>
      <c r="G52" s="456">
        <v>128</v>
      </c>
      <c r="H52" s="456">
        <v>147</v>
      </c>
      <c r="I52" s="456">
        <v>178</v>
      </c>
      <c r="J52" s="456">
        <v>162</v>
      </c>
      <c r="K52" s="463">
        <v>145</v>
      </c>
      <c r="L52" s="463">
        <v>133</v>
      </c>
      <c r="M52" s="463">
        <v>134</v>
      </c>
      <c r="N52" s="1127">
        <v>180</v>
      </c>
    </row>
    <row r="53" spans="1:14" x14ac:dyDescent="0.3">
      <c r="A53" s="462" t="s">
        <v>124</v>
      </c>
      <c r="B53" s="452" t="s">
        <v>125</v>
      </c>
      <c r="C53" s="506" t="s">
        <v>255</v>
      </c>
      <c r="D53" s="456">
        <v>176</v>
      </c>
      <c r="E53" s="456">
        <v>183</v>
      </c>
      <c r="F53" s="456">
        <v>209</v>
      </c>
      <c r="G53" s="456">
        <v>249</v>
      </c>
      <c r="H53" s="456">
        <v>234</v>
      </c>
      <c r="I53" s="456">
        <v>292</v>
      </c>
      <c r="J53" s="456">
        <v>330</v>
      </c>
      <c r="K53" s="463">
        <v>338</v>
      </c>
      <c r="L53" s="463">
        <v>367</v>
      </c>
      <c r="M53" s="463">
        <v>361</v>
      </c>
      <c r="N53" s="1127">
        <v>258</v>
      </c>
    </row>
    <row r="54" spans="1:14" x14ac:dyDescent="0.3">
      <c r="A54" s="462" t="s">
        <v>126</v>
      </c>
      <c r="B54" s="452" t="s">
        <v>127</v>
      </c>
      <c r="C54" s="506" t="s">
        <v>254</v>
      </c>
      <c r="D54" s="456">
        <v>241</v>
      </c>
      <c r="E54" s="456">
        <v>189</v>
      </c>
      <c r="F54" s="456">
        <v>193</v>
      </c>
      <c r="G54" s="456">
        <v>164</v>
      </c>
      <c r="H54" s="456">
        <v>215</v>
      </c>
      <c r="I54" s="456">
        <v>296</v>
      </c>
      <c r="J54" s="456">
        <v>295</v>
      </c>
      <c r="K54" s="463">
        <v>246</v>
      </c>
      <c r="L54" s="463">
        <v>231</v>
      </c>
      <c r="M54" s="463">
        <v>217</v>
      </c>
      <c r="N54" s="1127">
        <v>167</v>
      </c>
    </row>
    <row r="55" spans="1:14" x14ac:dyDescent="0.3">
      <c r="A55" s="462" t="s">
        <v>128</v>
      </c>
      <c r="B55" s="452" t="s">
        <v>129</v>
      </c>
      <c r="C55" s="506" t="s">
        <v>254</v>
      </c>
      <c r="D55" s="456">
        <v>286</v>
      </c>
      <c r="E55" s="456">
        <v>268</v>
      </c>
      <c r="F55" s="456">
        <v>216</v>
      </c>
      <c r="G55" s="456">
        <v>195</v>
      </c>
      <c r="H55" s="456">
        <v>250</v>
      </c>
      <c r="I55" s="456">
        <v>236</v>
      </c>
      <c r="J55" s="456">
        <v>250</v>
      </c>
      <c r="K55" s="463">
        <v>295</v>
      </c>
      <c r="L55" s="463">
        <v>216</v>
      </c>
      <c r="M55" s="463">
        <v>196</v>
      </c>
      <c r="N55" s="1127">
        <v>177</v>
      </c>
    </row>
    <row r="56" spans="1:14" x14ac:dyDescent="0.3">
      <c r="A56" s="462" t="s">
        <v>130</v>
      </c>
      <c r="B56" s="452" t="s">
        <v>131</v>
      </c>
      <c r="C56" s="506" t="s">
        <v>256</v>
      </c>
      <c r="D56" s="456">
        <v>1634</v>
      </c>
      <c r="E56" s="456">
        <v>1562</v>
      </c>
      <c r="F56" s="456">
        <v>1426</v>
      </c>
      <c r="G56" s="456">
        <v>1267</v>
      </c>
      <c r="H56" s="456">
        <v>1288</v>
      </c>
      <c r="I56" s="456">
        <v>1422</v>
      </c>
      <c r="J56" s="456">
        <v>1426</v>
      </c>
      <c r="K56" s="463">
        <v>1403</v>
      </c>
      <c r="L56" s="463">
        <v>1402</v>
      </c>
      <c r="M56" s="463">
        <v>1262</v>
      </c>
      <c r="N56" s="1127">
        <v>1098</v>
      </c>
    </row>
    <row r="57" spans="1:14" x14ac:dyDescent="0.3">
      <c r="A57" s="462" t="s">
        <v>132</v>
      </c>
      <c r="B57" s="452" t="s">
        <v>133</v>
      </c>
      <c r="C57" s="506" t="s">
        <v>255</v>
      </c>
      <c r="D57" s="456">
        <v>1331</v>
      </c>
      <c r="E57" s="456">
        <v>1415</v>
      </c>
      <c r="F57" s="456">
        <v>1409</v>
      </c>
      <c r="G57" s="456">
        <v>1550</v>
      </c>
      <c r="H57" s="456">
        <v>1690</v>
      </c>
      <c r="I57" s="456">
        <v>1838</v>
      </c>
      <c r="J57" s="456">
        <v>1554</v>
      </c>
      <c r="K57" s="463">
        <v>1523</v>
      </c>
      <c r="L57" s="463">
        <v>1438</v>
      </c>
      <c r="M57" s="463">
        <v>1298</v>
      </c>
      <c r="N57" s="1127">
        <v>1274</v>
      </c>
    </row>
    <row r="58" spans="1:14" x14ac:dyDescent="0.3">
      <c r="A58" s="462" t="s">
        <v>134</v>
      </c>
      <c r="B58" s="452" t="s">
        <v>135</v>
      </c>
      <c r="C58" s="506" t="s">
        <v>255</v>
      </c>
      <c r="D58" s="456">
        <v>558</v>
      </c>
      <c r="E58" s="456">
        <v>568</v>
      </c>
      <c r="F58" s="456">
        <v>558</v>
      </c>
      <c r="G58" s="456">
        <v>503</v>
      </c>
      <c r="H58" s="456">
        <v>578</v>
      </c>
      <c r="I58" s="456">
        <v>621</v>
      </c>
      <c r="J58" s="456">
        <v>651</v>
      </c>
      <c r="K58" s="463">
        <v>567</v>
      </c>
      <c r="L58" s="463">
        <v>603</v>
      </c>
      <c r="M58" s="463">
        <v>539</v>
      </c>
      <c r="N58" s="1127">
        <v>486</v>
      </c>
    </row>
    <row r="59" spans="1:14" x14ac:dyDescent="0.3">
      <c r="A59" s="462" t="s">
        <v>136</v>
      </c>
      <c r="B59" s="452" t="s">
        <v>137</v>
      </c>
      <c r="C59" s="506" t="s">
        <v>254</v>
      </c>
      <c r="D59" s="456">
        <v>225</v>
      </c>
      <c r="E59" s="456">
        <v>210</v>
      </c>
      <c r="F59" s="456">
        <v>187</v>
      </c>
      <c r="G59" s="456">
        <v>216</v>
      </c>
      <c r="H59" s="456">
        <v>229</v>
      </c>
      <c r="I59" s="456">
        <v>285</v>
      </c>
      <c r="J59" s="456">
        <v>349</v>
      </c>
      <c r="K59" s="463">
        <v>412</v>
      </c>
      <c r="L59" s="463">
        <v>336</v>
      </c>
      <c r="M59" s="463">
        <v>326</v>
      </c>
      <c r="N59" s="1127">
        <v>211</v>
      </c>
    </row>
    <row r="60" spans="1:14" x14ac:dyDescent="0.3">
      <c r="A60" s="462" t="s">
        <v>140</v>
      </c>
      <c r="B60" s="452" t="s">
        <v>141</v>
      </c>
      <c r="C60" s="506" t="s">
        <v>255</v>
      </c>
      <c r="D60" s="456">
        <v>182</v>
      </c>
      <c r="E60" s="456">
        <v>154</v>
      </c>
      <c r="F60" s="456">
        <v>187</v>
      </c>
      <c r="G60" s="456">
        <v>161</v>
      </c>
      <c r="H60" s="456">
        <v>197</v>
      </c>
      <c r="I60" s="456">
        <v>199</v>
      </c>
      <c r="J60" s="456">
        <v>173</v>
      </c>
      <c r="K60" s="463">
        <v>152</v>
      </c>
      <c r="L60" s="463">
        <v>143</v>
      </c>
      <c r="M60" s="463">
        <v>135</v>
      </c>
      <c r="N60" s="1127">
        <v>132</v>
      </c>
    </row>
    <row r="61" spans="1:14" x14ac:dyDescent="0.3">
      <c r="A61" s="462" t="s">
        <v>146</v>
      </c>
      <c r="B61" s="452" t="s">
        <v>147</v>
      </c>
      <c r="C61" s="506" t="s">
        <v>252</v>
      </c>
      <c r="D61" s="456">
        <v>118</v>
      </c>
      <c r="E61" s="456">
        <v>108</v>
      </c>
      <c r="F61" s="456">
        <v>110</v>
      </c>
      <c r="G61" s="456">
        <v>83</v>
      </c>
      <c r="H61" s="456">
        <v>107</v>
      </c>
      <c r="I61" s="456">
        <v>115</v>
      </c>
      <c r="J61" s="456">
        <v>121</v>
      </c>
      <c r="K61" s="463">
        <v>113</v>
      </c>
      <c r="L61" s="463">
        <v>123</v>
      </c>
      <c r="M61" s="463">
        <v>92</v>
      </c>
      <c r="N61" s="1127">
        <v>81</v>
      </c>
    </row>
    <row r="62" spans="1:14" x14ac:dyDescent="0.3">
      <c r="A62" s="462" t="s">
        <v>148</v>
      </c>
      <c r="B62" s="452" t="s">
        <v>149</v>
      </c>
      <c r="C62" s="506" t="s">
        <v>253</v>
      </c>
      <c r="D62" s="456">
        <v>932</v>
      </c>
      <c r="E62" s="456">
        <v>969</v>
      </c>
      <c r="F62" s="456">
        <v>862</v>
      </c>
      <c r="G62" s="456">
        <v>862</v>
      </c>
      <c r="H62" s="456">
        <v>930</v>
      </c>
      <c r="I62" s="456">
        <v>1009</v>
      </c>
      <c r="J62" s="456">
        <v>920</v>
      </c>
      <c r="K62" s="463">
        <v>814</v>
      </c>
      <c r="L62" s="463">
        <v>814</v>
      </c>
      <c r="M62" s="463">
        <v>813</v>
      </c>
      <c r="N62" s="1127">
        <v>630</v>
      </c>
    </row>
    <row r="63" spans="1:14" x14ac:dyDescent="0.3">
      <c r="A63" s="462" t="s">
        <v>150</v>
      </c>
      <c r="B63" s="452" t="s">
        <v>151</v>
      </c>
      <c r="C63" s="506" t="s">
        <v>254</v>
      </c>
      <c r="D63" s="456">
        <v>178</v>
      </c>
      <c r="E63" s="456">
        <v>215</v>
      </c>
      <c r="F63" s="456">
        <v>195</v>
      </c>
      <c r="G63" s="456">
        <v>146</v>
      </c>
      <c r="H63" s="456">
        <v>221</v>
      </c>
      <c r="I63" s="456">
        <v>258</v>
      </c>
      <c r="J63" s="456">
        <v>222</v>
      </c>
      <c r="K63" s="463">
        <v>253</v>
      </c>
      <c r="L63" s="463">
        <v>282</v>
      </c>
      <c r="M63" s="463">
        <v>331</v>
      </c>
      <c r="N63" s="1127">
        <v>232</v>
      </c>
    </row>
    <row r="64" spans="1:14" x14ac:dyDescent="0.3">
      <c r="A64" s="462" t="s">
        <v>152</v>
      </c>
      <c r="B64" s="452" t="s">
        <v>153</v>
      </c>
      <c r="C64" s="506" t="s">
        <v>256</v>
      </c>
      <c r="D64" s="456">
        <v>1868</v>
      </c>
      <c r="E64" s="456">
        <v>1987</v>
      </c>
      <c r="F64" s="456">
        <v>1890</v>
      </c>
      <c r="G64" s="456">
        <v>1717</v>
      </c>
      <c r="H64" s="456">
        <v>1897</v>
      </c>
      <c r="I64" s="456">
        <v>2045</v>
      </c>
      <c r="J64" s="456">
        <v>2069</v>
      </c>
      <c r="K64" s="463">
        <v>1851</v>
      </c>
      <c r="L64" s="463">
        <v>1570</v>
      </c>
      <c r="M64" s="463">
        <v>1421</v>
      </c>
      <c r="N64" s="1127">
        <v>1129</v>
      </c>
    </row>
    <row r="65" spans="1:14" x14ac:dyDescent="0.3">
      <c r="A65" s="462" t="s">
        <v>154</v>
      </c>
      <c r="B65" s="452" t="s">
        <v>155</v>
      </c>
      <c r="C65" s="506" t="s">
        <v>253</v>
      </c>
      <c r="D65" s="456">
        <v>173</v>
      </c>
      <c r="E65" s="456">
        <v>182</v>
      </c>
      <c r="F65" s="456">
        <v>225</v>
      </c>
      <c r="G65" s="456">
        <v>172</v>
      </c>
      <c r="H65" s="456">
        <v>214</v>
      </c>
      <c r="I65" s="456">
        <v>229</v>
      </c>
      <c r="J65" s="456">
        <v>212</v>
      </c>
      <c r="K65" s="463">
        <v>241</v>
      </c>
      <c r="L65" s="463">
        <v>217</v>
      </c>
      <c r="M65" s="463">
        <v>189</v>
      </c>
      <c r="N65" s="1127">
        <v>189</v>
      </c>
    </row>
    <row r="66" spans="1:14" x14ac:dyDescent="0.3">
      <c r="A66" s="462" t="s">
        <v>156</v>
      </c>
      <c r="B66" s="452" t="s">
        <v>157</v>
      </c>
      <c r="C66" s="506" t="s">
        <v>254</v>
      </c>
      <c r="D66" s="456">
        <v>219</v>
      </c>
      <c r="E66" s="456">
        <v>197</v>
      </c>
      <c r="F66" s="456">
        <v>159</v>
      </c>
      <c r="G66" s="456">
        <v>166</v>
      </c>
      <c r="H66" s="456">
        <v>197</v>
      </c>
      <c r="I66" s="456">
        <v>198</v>
      </c>
      <c r="J66" s="456">
        <v>238</v>
      </c>
      <c r="K66" s="463">
        <v>266</v>
      </c>
      <c r="L66" s="463">
        <v>219</v>
      </c>
      <c r="M66" s="463">
        <v>196</v>
      </c>
      <c r="N66" s="1127">
        <v>196</v>
      </c>
    </row>
    <row r="67" spans="1:14" x14ac:dyDescent="0.3">
      <c r="A67" s="462" t="s">
        <v>162</v>
      </c>
      <c r="B67" s="452" t="s">
        <v>163</v>
      </c>
      <c r="C67" s="506" t="s">
        <v>252</v>
      </c>
      <c r="D67" s="456">
        <v>587</v>
      </c>
      <c r="E67" s="456">
        <v>621</v>
      </c>
      <c r="F67" s="456">
        <v>596</v>
      </c>
      <c r="G67" s="456">
        <v>557</v>
      </c>
      <c r="H67" s="456">
        <v>560</v>
      </c>
      <c r="I67" s="456">
        <v>561</v>
      </c>
      <c r="J67" s="456">
        <v>615</v>
      </c>
      <c r="K67" s="463">
        <v>552</v>
      </c>
      <c r="L67" s="463">
        <v>491</v>
      </c>
      <c r="M67" s="463">
        <v>428</v>
      </c>
      <c r="N67" s="1127">
        <v>378</v>
      </c>
    </row>
    <row r="68" spans="1:14" x14ac:dyDescent="0.3">
      <c r="A68" s="462" t="s">
        <v>164</v>
      </c>
      <c r="B68" s="452" t="s">
        <v>165</v>
      </c>
      <c r="C68" s="506" t="s">
        <v>254</v>
      </c>
      <c r="D68" s="456">
        <v>199</v>
      </c>
      <c r="E68" s="456">
        <v>187</v>
      </c>
      <c r="F68" s="456">
        <v>186</v>
      </c>
      <c r="G68" s="456">
        <v>174</v>
      </c>
      <c r="H68" s="456">
        <v>147</v>
      </c>
      <c r="I68" s="456">
        <v>144</v>
      </c>
      <c r="J68" s="456">
        <v>168</v>
      </c>
      <c r="K68" s="463">
        <v>168</v>
      </c>
      <c r="L68" s="463">
        <v>194</v>
      </c>
      <c r="M68" s="463">
        <v>182</v>
      </c>
      <c r="N68" s="1127">
        <v>177</v>
      </c>
    </row>
    <row r="69" spans="1:14" x14ac:dyDescent="0.3">
      <c r="A69" s="462" t="s">
        <v>168</v>
      </c>
      <c r="B69" s="452" t="s">
        <v>169</v>
      </c>
      <c r="C69" s="506" t="s">
        <v>254</v>
      </c>
      <c r="D69" s="456">
        <v>572</v>
      </c>
      <c r="E69" s="456">
        <v>683</v>
      </c>
      <c r="F69" s="456">
        <v>754</v>
      </c>
      <c r="G69" s="456">
        <v>692</v>
      </c>
      <c r="H69" s="456">
        <v>686</v>
      </c>
      <c r="I69" s="456">
        <v>652</v>
      </c>
      <c r="J69" s="456">
        <v>719</v>
      </c>
      <c r="K69" s="463">
        <v>730</v>
      </c>
      <c r="L69" s="463">
        <v>737</v>
      </c>
      <c r="M69" s="463">
        <v>653</v>
      </c>
      <c r="N69" s="1127">
        <v>522</v>
      </c>
    </row>
    <row r="70" spans="1:14" x14ac:dyDescent="0.3">
      <c r="A70" s="462" t="s">
        <v>170</v>
      </c>
      <c r="B70" s="452" t="s">
        <v>171</v>
      </c>
      <c r="C70" s="506" t="s">
        <v>255</v>
      </c>
      <c r="D70" s="456">
        <v>475</v>
      </c>
      <c r="E70" s="456">
        <v>447</v>
      </c>
      <c r="F70" s="456">
        <v>404</v>
      </c>
      <c r="G70" s="456">
        <v>421</v>
      </c>
      <c r="H70" s="456">
        <v>434</v>
      </c>
      <c r="I70" s="456">
        <v>463</v>
      </c>
      <c r="J70" s="456">
        <v>466</v>
      </c>
      <c r="K70" s="463">
        <v>433</v>
      </c>
      <c r="L70" s="463">
        <v>393</v>
      </c>
      <c r="M70" s="463">
        <v>408</v>
      </c>
      <c r="N70" s="1127">
        <v>437</v>
      </c>
    </row>
    <row r="71" spans="1:14" x14ac:dyDescent="0.3">
      <c r="A71" s="462" t="s">
        <v>172</v>
      </c>
      <c r="B71" s="452" t="s">
        <v>173</v>
      </c>
      <c r="C71" s="506" t="s">
        <v>255</v>
      </c>
      <c r="D71" s="456">
        <v>384</v>
      </c>
      <c r="E71" s="456">
        <v>396</v>
      </c>
      <c r="F71" s="456">
        <v>326</v>
      </c>
      <c r="G71" s="456">
        <v>289</v>
      </c>
      <c r="H71" s="456">
        <v>428</v>
      </c>
      <c r="I71" s="456">
        <v>555</v>
      </c>
      <c r="J71" s="456">
        <v>522</v>
      </c>
      <c r="K71" s="463">
        <v>443</v>
      </c>
      <c r="L71" s="463">
        <v>385</v>
      </c>
      <c r="M71" s="463">
        <v>323</v>
      </c>
      <c r="N71" s="1127">
        <v>237</v>
      </c>
    </row>
    <row r="72" spans="1:14" x14ac:dyDescent="0.3">
      <c r="A72" s="462" t="s">
        <v>174</v>
      </c>
      <c r="B72" s="452" t="s">
        <v>175</v>
      </c>
      <c r="C72" s="506" t="s">
        <v>256</v>
      </c>
      <c r="D72" s="456">
        <v>749</v>
      </c>
      <c r="E72" s="456">
        <v>780</v>
      </c>
      <c r="F72" s="456">
        <v>731</v>
      </c>
      <c r="G72" s="456">
        <v>664</v>
      </c>
      <c r="H72" s="456">
        <v>653</v>
      </c>
      <c r="I72" s="456">
        <v>614</v>
      </c>
      <c r="J72" s="456">
        <v>623</v>
      </c>
      <c r="K72" s="463">
        <v>664</v>
      </c>
      <c r="L72" s="463">
        <v>539</v>
      </c>
      <c r="M72" s="463">
        <v>508</v>
      </c>
      <c r="N72" s="1127">
        <v>438</v>
      </c>
    </row>
    <row r="73" spans="1:14" x14ac:dyDescent="0.3">
      <c r="A73" s="462" t="s">
        <v>178</v>
      </c>
      <c r="B73" s="452" t="s">
        <v>179</v>
      </c>
      <c r="C73" s="506" t="s">
        <v>253</v>
      </c>
      <c r="D73" s="456">
        <v>1510</v>
      </c>
      <c r="E73" s="456">
        <v>1453</v>
      </c>
      <c r="F73" s="456">
        <v>1360</v>
      </c>
      <c r="G73" s="456">
        <v>1292</v>
      </c>
      <c r="H73" s="456">
        <v>1380</v>
      </c>
      <c r="I73" s="456">
        <v>1418</v>
      </c>
      <c r="J73" s="456">
        <v>1355</v>
      </c>
      <c r="K73" s="463">
        <v>1273</v>
      </c>
      <c r="L73" s="463">
        <v>1191</v>
      </c>
      <c r="M73" s="463">
        <v>1137</v>
      </c>
      <c r="N73" s="1127">
        <v>940</v>
      </c>
    </row>
    <row r="74" spans="1:14" x14ac:dyDescent="0.3">
      <c r="A74" s="462" t="s">
        <v>182</v>
      </c>
      <c r="B74" s="452" t="s">
        <v>183</v>
      </c>
      <c r="C74" s="506" t="s">
        <v>254</v>
      </c>
      <c r="D74" s="456">
        <v>186</v>
      </c>
      <c r="E74" s="456">
        <v>217</v>
      </c>
      <c r="F74" s="456">
        <v>169</v>
      </c>
      <c r="G74" s="456">
        <v>183</v>
      </c>
      <c r="H74" s="456">
        <v>192</v>
      </c>
      <c r="I74" s="456">
        <v>188</v>
      </c>
      <c r="J74" s="456">
        <v>268</v>
      </c>
      <c r="K74" s="463">
        <v>244</v>
      </c>
      <c r="L74" s="463">
        <v>246</v>
      </c>
      <c r="M74" s="463">
        <v>194</v>
      </c>
      <c r="N74" s="1127">
        <v>176</v>
      </c>
    </row>
    <row r="75" spans="1:14" x14ac:dyDescent="0.3">
      <c r="A75" s="462" t="s">
        <v>184</v>
      </c>
      <c r="B75" s="452" t="s">
        <v>185</v>
      </c>
      <c r="C75" s="506" t="s">
        <v>254</v>
      </c>
      <c r="D75" s="456">
        <v>687</v>
      </c>
      <c r="E75" s="456">
        <v>799</v>
      </c>
      <c r="F75" s="456">
        <v>779</v>
      </c>
      <c r="G75" s="456">
        <v>726</v>
      </c>
      <c r="H75" s="456">
        <v>729</v>
      </c>
      <c r="I75" s="456">
        <v>822</v>
      </c>
      <c r="J75" s="456">
        <v>795</v>
      </c>
      <c r="K75" s="463">
        <v>700</v>
      </c>
      <c r="L75" s="463">
        <v>766</v>
      </c>
      <c r="M75" s="463">
        <v>680</v>
      </c>
      <c r="N75" s="1127">
        <v>563</v>
      </c>
    </row>
    <row r="76" spans="1:14" x14ac:dyDescent="0.3">
      <c r="A76" s="462" t="s">
        <v>186</v>
      </c>
      <c r="B76" s="452" t="s">
        <v>187</v>
      </c>
      <c r="C76" s="506" t="s">
        <v>252</v>
      </c>
      <c r="D76" s="456">
        <v>472</v>
      </c>
      <c r="E76" s="456">
        <v>535</v>
      </c>
      <c r="F76" s="456">
        <v>522</v>
      </c>
      <c r="G76" s="456">
        <v>508</v>
      </c>
      <c r="H76" s="456">
        <v>558</v>
      </c>
      <c r="I76" s="456">
        <v>546</v>
      </c>
      <c r="J76" s="456">
        <v>502</v>
      </c>
      <c r="K76" s="463">
        <v>465</v>
      </c>
      <c r="L76" s="463">
        <v>471</v>
      </c>
      <c r="M76" s="463">
        <v>466</v>
      </c>
      <c r="N76" s="1127">
        <v>510</v>
      </c>
    </row>
    <row r="77" spans="1:14" x14ac:dyDescent="0.3">
      <c r="A77" s="462" t="s">
        <v>188</v>
      </c>
      <c r="B77" s="452" t="s">
        <v>189</v>
      </c>
      <c r="C77" s="506" t="s">
        <v>255</v>
      </c>
      <c r="D77" s="456">
        <v>6216</v>
      </c>
      <c r="E77" s="456">
        <v>6226</v>
      </c>
      <c r="F77" s="456">
        <v>5952</v>
      </c>
      <c r="G77" s="456">
        <v>5958</v>
      </c>
      <c r="H77" s="456">
        <v>6900</v>
      </c>
      <c r="I77" s="456">
        <v>7959</v>
      </c>
      <c r="J77" s="456">
        <v>7877</v>
      </c>
      <c r="K77" s="463">
        <v>7093</v>
      </c>
      <c r="L77" s="463">
        <v>6379</v>
      </c>
      <c r="M77" s="463">
        <v>5702</v>
      </c>
      <c r="N77" s="1127">
        <v>4887</v>
      </c>
    </row>
    <row r="78" spans="1:14" x14ac:dyDescent="0.3">
      <c r="A78" s="462" t="s">
        <v>190</v>
      </c>
      <c r="B78" s="452" t="s">
        <v>191</v>
      </c>
      <c r="C78" s="506" t="s">
        <v>256</v>
      </c>
      <c r="D78" s="456">
        <v>1078</v>
      </c>
      <c r="E78" s="456">
        <v>988</v>
      </c>
      <c r="F78" s="456">
        <v>1030</v>
      </c>
      <c r="G78" s="456">
        <v>954</v>
      </c>
      <c r="H78" s="456">
        <v>992</v>
      </c>
      <c r="I78" s="456">
        <v>1043</v>
      </c>
      <c r="J78" s="456">
        <v>1048</v>
      </c>
      <c r="K78" s="463">
        <v>992</v>
      </c>
      <c r="L78" s="463">
        <v>866</v>
      </c>
      <c r="M78" s="463">
        <v>814</v>
      </c>
      <c r="N78" s="1127">
        <v>654</v>
      </c>
    </row>
    <row r="79" spans="1:14" x14ac:dyDescent="0.3">
      <c r="A79" s="462" t="s">
        <v>194</v>
      </c>
      <c r="B79" s="452" t="s">
        <v>195</v>
      </c>
      <c r="C79" s="506" t="s">
        <v>255</v>
      </c>
      <c r="D79" s="456">
        <v>41</v>
      </c>
      <c r="E79" s="456">
        <v>26</v>
      </c>
      <c r="F79" s="456">
        <v>26</v>
      </c>
      <c r="G79" s="456">
        <v>51</v>
      </c>
      <c r="H79" s="456">
        <v>54</v>
      </c>
      <c r="I79" s="456">
        <v>29</v>
      </c>
      <c r="J79" s="456">
        <v>38</v>
      </c>
      <c r="K79" s="463">
        <v>47</v>
      </c>
      <c r="L79" s="463">
        <v>66</v>
      </c>
      <c r="M79" s="463">
        <v>54</v>
      </c>
      <c r="N79" s="1127">
        <v>52</v>
      </c>
    </row>
    <row r="80" spans="1:14" x14ac:dyDescent="0.3">
      <c r="A80" s="462" t="s">
        <v>198</v>
      </c>
      <c r="B80" s="452" t="s">
        <v>260</v>
      </c>
      <c r="C80" s="506" t="s">
        <v>254</v>
      </c>
      <c r="D80" s="456">
        <v>255</v>
      </c>
      <c r="E80" s="456">
        <v>236</v>
      </c>
      <c r="F80" s="456">
        <v>218</v>
      </c>
      <c r="G80" s="456">
        <v>190</v>
      </c>
      <c r="H80" s="456">
        <v>213</v>
      </c>
      <c r="I80" s="456">
        <v>212</v>
      </c>
      <c r="J80" s="456">
        <v>198</v>
      </c>
      <c r="K80" s="463">
        <v>208</v>
      </c>
      <c r="L80" s="463">
        <v>227</v>
      </c>
      <c r="M80" s="463">
        <v>216</v>
      </c>
      <c r="N80" s="1127">
        <v>183</v>
      </c>
    </row>
    <row r="81" spans="1:14" x14ac:dyDescent="0.3">
      <c r="A81" s="462" t="s">
        <v>202</v>
      </c>
      <c r="B81" s="452" t="s">
        <v>289</v>
      </c>
      <c r="C81" s="506" t="s">
        <v>253</v>
      </c>
      <c r="D81" s="456">
        <v>1383</v>
      </c>
      <c r="E81" s="456">
        <v>1386</v>
      </c>
      <c r="F81" s="456">
        <v>1438</v>
      </c>
      <c r="G81" s="456">
        <v>1467</v>
      </c>
      <c r="H81" s="456">
        <v>1623</v>
      </c>
      <c r="I81" s="456">
        <v>1762</v>
      </c>
      <c r="J81" s="456">
        <v>1720</v>
      </c>
      <c r="K81" s="463">
        <v>1527</v>
      </c>
      <c r="L81" s="463">
        <v>1394</v>
      </c>
      <c r="M81" s="463">
        <v>1281</v>
      </c>
      <c r="N81" s="1127">
        <v>1056</v>
      </c>
    </row>
    <row r="82" spans="1:14" x14ac:dyDescent="0.3">
      <c r="A82" s="462" t="s">
        <v>204</v>
      </c>
      <c r="B82" s="452" t="s">
        <v>281</v>
      </c>
      <c r="C82" s="506" t="s">
        <v>253</v>
      </c>
      <c r="D82" s="456">
        <v>470</v>
      </c>
      <c r="E82" s="456">
        <v>430</v>
      </c>
      <c r="F82" s="456">
        <v>383</v>
      </c>
      <c r="G82" s="456">
        <v>330</v>
      </c>
      <c r="H82" s="456">
        <v>434</v>
      </c>
      <c r="I82" s="456">
        <v>443</v>
      </c>
      <c r="J82" s="456">
        <v>529</v>
      </c>
      <c r="K82" s="463">
        <v>420</v>
      </c>
      <c r="L82" s="463">
        <v>381</v>
      </c>
      <c r="M82" s="463">
        <v>396</v>
      </c>
      <c r="N82" s="1127">
        <v>303</v>
      </c>
    </row>
    <row r="83" spans="1:14" x14ac:dyDescent="0.3">
      <c r="A83" s="462" t="s">
        <v>206</v>
      </c>
      <c r="B83" s="452" t="s">
        <v>282</v>
      </c>
      <c r="C83" s="506" t="s">
        <v>255</v>
      </c>
      <c r="D83" s="456">
        <v>1680</v>
      </c>
      <c r="E83" s="456">
        <v>1967</v>
      </c>
      <c r="F83" s="456">
        <v>1842</v>
      </c>
      <c r="G83" s="456">
        <v>1676</v>
      </c>
      <c r="H83" s="456">
        <v>1758</v>
      </c>
      <c r="I83" s="456">
        <v>2208</v>
      </c>
      <c r="J83" s="456">
        <v>2243</v>
      </c>
      <c r="K83" s="463">
        <v>2001</v>
      </c>
      <c r="L83" s="463">
        <v>1886</v>
      </c>
      <c r="M83" s="463">
        <v>1636</v>
      </c>
      <c r="N83" s="1127">
        <v>1332</v>
      </c>
    </row>
    <row r="84" spans="1:14" x14ac:dyDescent="0.3">
      <c r="A84" s="462" t="s">
        <v>208</v>
      </c>
      <c r="B84" s="452" t="s">
        <v>209</v>
      </c>
      <c r="C84" s="506" t="s">
        <v>256</v>
      </c>
      <c r="D84" s="456">
        <v>1511</v>
      </c>
      <c r="E84" s="456">
        <v>1462</v>
      </c>
      <c r="F84" s="456">
        <v>1360</v>
      </c>
      <c r="G84" s="456">
        <v>1245</v>
      </c>
      <c r="H84" s="456">
        <v>1306</v>
      </c>
      <c r="I84" s="456">
        <v>1411</v>
      </c>
      <c r="J84" s="456">
        <v>1293</v>
      </c>
      <c r="K84" s="463">
        <v>1113</v>
      </c>
      <c r="L84" s="463">
        <v>1094</v>
      </c>
      <c r="M84" s="463">
        <v>1050</v>
      </c>
      <c r="N84" s="1127">
        <v>836</v>
      </c>
    </row>
    <row r="85" spans="1:14" x14ac:dyDescent="0.3">
      <c r="A85" s="462" t="s">
        <v>210</v>
      </c>
      <c r="B85" s="452" t="s">
        <v>211</v>
      </c>
      <c r="C85" s="506" t="s">
        <v>256</v>
      </c>
      <c r="D85" s="456">
        <v>1054</v>
      </c>
      <c r="E85" s="456">
        <v>983</v>
      </c>
      <c r="F85" s="456">
        <v>991</v>
      </c>
      <c r="G85" s="456">
        <v>916</v>
      </c>
      <c r="H85" s="456">
        <v>1020</v>
      </c>
      <c r="I85" s="456">
        <v>1100</v>
      </c>
      <c r="J85" s="456">
        <v>1051</v>
      </c>
      <c r="K85" s="463">
        <v>963</v>
      </c>
      <c r="L85" s="463">
        <v>829</v>
      </c>
      <c r="M85" s="463">
        <v>768</v>
      </c>
      <c r="N85" s="1127">
        <v>700</v>
      </c>
    </row>
    <row r="86" spans="1:14" x14ac:dyDescent="0.3">
      <c r="A86" s="462" t="s">
        <v>212</v>
      </c>
      <c r="B86" s="452" t="s">
        <v>213</v>
      </c>
      <c r="C86" s="506" t="s">
        <v>255</v>
      </c>
      <c r="D86" s="456">
        <v>244</v>
      </c>
      <c r="E86" s="456">
        <v>287</v>
      </c>
      <c r="F86" s="456">
        <v>227</v>
      </c>
      <c r="G86" s="456">
        <v>244</v>
      </c>
      <c r="H86" s="456">
        <v>358</v>
      </c>
      <c r="I86" s="456">
        <v>320</v>
      </c>
      <c r="J86" s="456">
        <v>386</v>
      </c>
      <c r="K86" s="463">
        <v>397</v>
      </c>
      <c r="L86" s="463">
        <v>329</v>
      </c>
      <c r="M86" s="463">
        <v>297</v>
      </c>
      <c r="N86" s="1127">
        <v>316</v>
      </c>
    </row>
    <row r="87" spans="1:14" x14ac:dyDescent="0.3">
      <c r="A87" s="462" t="s">
        <v>214</v>
      </c>
      <c r="B87" s="452" t="s">
        <v>215</v>
      </c>
      <c r="C87" s="506" t="s">
        <v>256</v>
      </c>
      <c r="D87" s="456">
        <v>925</v>
      </c>
      <c r="E87" s="456">
        <v>967</v>
      </c>
      <c r="F87" s="456">
        <v>907</v>
      </c>
      <c r="G87" s="456">
        <v>867</v>
      </c>
      <c r="H87" s="456">
        <v>1069</v>
      </c>
      <c r="I87" s="456">
        <v>1173</v>
      </c>
      <c r="J87" s="456">
        <v>1214</v>
      </c>
      <c r="K87" s="463">
        <v>1138</v>
      </c>
      <c r="L87" s="463">
        <v>1054</v>
      </c>
      <c r="M87" s="463">
        <v>976</v>
      </c>
      <c r="N87" s="1127">
        <v>893</v>
      </c>
    </row>
    <row r="88" spans="1:14" x14ac:dyDescent="0.3">
      <c r="A88" s="462" t="s">
        <v>216</v>
      </c>
      <c r="B88" s="452" t="s">
        <v>217</v>
      </c>
      <c r="C88" s="506" t="s">
        <v>252</v>
      </c>
      <c r="D88" s="456">
        <v>598</v>
      </c>
      <c r="E88" s="456">
        <v>637</v>
      </c>
      <c r="F88" s="456">
        <v>632</v>
      </c>
      <c r="G88" s="456">
        <v>654</v>
      </c>
      <c r="H88" s="456">
        <v>663</v>
      </c>
      <c r="I88" s="456">
        <v>663</v>
      </c>
      <c r="J88" s="456">
        <v>699</v>
      </c>
      <c r="K88" s="463">
        <v>676</v>
      </c>
      <c r="L88" s="463">
        <v>565</v>
      </c>
      <c r="M88" s="463">
        <v>463</v>
      </c>
      <c r="N88" s="1127">
        <v>376</v>
      </c>
    </row>
    <row r="89" spans="1:14" x14ac:dyDescent="0.3">
      <c r="A89" s="462" t="s">
        <v>218</v>
      </c>
      <c r="B89" s="452" t="s">
        <v>219</v>
      </c>
      <c r="C89" s="506" t="s">
        <v>255</v>
      </c>
      <c r="D89" s="456">
        <v>1133</v>
      </c>
      <c r="E89" s="456">
        <v>1185</v>
      </c>
      <c r="F89" s="456">
        <v>1321</v>
      </c>
      <c r="G89" s="456">
        <v>1442</v>
      </c>
      <c r="H89" s="456">
        <v>1898</v>
      </c>
      <c r="I89" s="456">
        <v>2280</v>
      </c>
      <c r="J89" s="456">
        <v>2468</v>
      </c>
      <c r="K89" s="463">
        <v>2343</v>
      </c>
      <c r="L89" s="463">
        <v>2149</v>
      </c>
      <c r="M89" s="463">
        <v>2019</v>
      </c>
      <c r="N89" s="1127">
        <v>1948</v>
      </c>
    </row>
    <row r="90" spans="1:14" x14ac:dyDescent="0.3">
      <c r="A90" s="462" t="s">
        <v>220</v>
      </c>
      <c r="B90" s="452" t="s">
        <v>221</v>
      </c>
      <c r="C90" s="506" t="s">
        <v>255</v>
      </c>
      <c r="D90" s="456">
        <v>1124</v>
      </c>
      <c r="E90" s="456">
        <v>1355</v>
      </c>
      <c r="F90" s="456">
        <v>1465</v>
      </c>
      <c r="G90" s="456">
        <v>1623</v>
      </c>
      <c r="H90" s="456">
        <v>1806</v>
      </c>
      <c r="I90" s="456">
        <v>1842</v>
      </c>
      <c r="J90" s="456">
        <v>1799</v>
      </c>
      <c r="K90" s="463">
        <v>1866</v>
      </c>
      <c r="L90" s="463">
        <v>1840</v>
      </c>
      <c r="M90" s="463">
        <v>1580</v>
      </c>
      <c r="N90" s="1127">
        <v>1492</v>
      </c>
    </row>
    <row r="91" spans="1:14" x14ac:dyDescent="0.3">
      <c r="A91" s="462" t="s">
        <v>224</v>
      </c>
      <c r="B91" s="452" t="s">
        <v>225</v>
      </c>
      <c r="C91" s="506" t="s">
        <v>252</v>
      </c>
      <c r="D91" s="456">
        <v>179</v>
      </c>
      <c r="E91" s="456">
        <v>218</v>
      </c>
      <c r="F91" s="456">
        <v>181</v>
      </c>
      <c r="G91" s="456">
        <v>145</v>
      </c>
      <c r="H91" s="456">
        <v>221</v>
      </c>
      <c r="I91" s="456">
        <v>290</v>
      </c>
      <c r="J91" s="456">
        <v>261</v>
      </c>
      <c r="K91" s="463">
        <v>237</v>
      </c>
      <c r="L91" s="463">
        <v>229</v>
      </c>
      <c r="M91" s="463">
        <v>195</v>
      </c>
      <c r="N91" s="1127">
        <v>165</v>
      </c>
    </row>
    <row r="92" spans="1:14" x14ac:dyDescent="0.3">
      <c r="A92" s="462" t="s">
        <v>226</v>
      </c>
      <c r="B92" s="452" t="s">
        <v>227</v>
      </c>
      <c r="C92" s="506" t="s">
        <v>252</v>
      </c>
      <c r="D92" s="456">
        <v>410</v>
      </c>
      <c r="E92" s="456">
        <v>443</v>
      </c>
      <c r="F92" s="456">
        <v>451</v>
      </c>
      <c r="G92" s="456">
        <v>443</v>
      </c>
      <c r="H92" s="456">
        <v>414</v>
      </c>
      <c r="I92" s="456">
        <v>434</v>
      </c>
      <c r="J92" s="456">
        <v>433</v>
      </c>
      <c r="K92" s="463">
        <v>406</v>
      </c>
      <c r="L92" s="463">
        <v>354</v>
      </c>
      <c r="M92" s="463">
        <v>404</v>
      </c>
      <c r="N92" s="1127">
        <v>368</v>
      </c>
    </row>
    <row r="93" spans="1:14" x14ac:dyDescent="0.3">
      <c r="A93" s="462" t="s">
        <v>228</v>
      </c>
      <c r="B93" s="452" t="s">
        <v>229</v>
      </c>
      <c r="C93" s="506" t="s">
        <v>256</v>
      </c>
      <c r="D93" s="456">
        <v>2148</v>
      </c>
      <c r="E93" s="456">
        <v>1963</v>
      </c>
      <c r="F93" s="456">
        <v>1851</v>
      </c>
      <c r="G93" s="456">
        <v>1615</v>
      </c>
      <c r="H93" s="456">
        <v>1584</v>
      </c>
      <c r="I93" s="456">
        <v>1696</v>
      </c>
      <c r="J93" s="456">
        <v>1454</v>
      </c>
      <c r="K93" s="463">
        <v>1398</v>
      </c>
      <c r="L93" s="463">
        <v>1290</v>
      </c>
      <c r="M93" s="463">
        <v>1183</v>
      </c>
      <c r="N93" s="1127">
        <v>990</v>
      </c>
    </row>
    <row r="94" spans="1:14" x14ac:dyDescent="0.3">
      <c r="A94" s="462" t="s">
        <v>232</v>
      </c>
      <c r="B94" s="452" t="s">
        <v>233</v>
      </c>
      <c r="C94" s="506" t="s">
        <v>255</v>
      </c>
      <c r="D94" s="456">
        <v>540</v>
      </c>
      <c r="E94" s="456">
        <v>535</v>
      </c>
      <c r="F94" s="456">
        <v>495</v>
      </c>
      <c r="G94" s="456">
        <v>512</v>
      </c>
      <c r="H94" s="456">
        <v>731</v>
      </c>
      <c r="I94" s="456">
        <v>773</v>
      </c>
      <c r="J94" s="456">
        <v>767</v>
      </c>
      <c r="K94" s="463">
        <v>718</v>
      </c>
      <c r="L94" s="463">
        <v>687</v>
      </c>
      <c r="M94" s="463">
        <v>632</v>
      </c>
      <c r="N94" s="1127">
        <v>529</v>
      </c>
    </row>
    <row r="95" spans="1:14" x14ac:dyDescent="0.3">
      <c r="A95" s="462" t="s">
        <v>234</v>
      </c>
      <c r="B95" s="452" t="s">
        <v>235</v>
      </c>
      <c r="C95" s="506" t="s">
        <v>256</v>
      </c>
      <c r="D95" s="456">
        <v>990</v>
      </c>
      <c r="E95" s="456">
        <v>990</v>
      </c>
      <c r="F95" s="456">
        <v>1042</v>
      </c>
      <c r="G95" s="456">
        <v>945</v>
      </c>
      <c r="H95" s="456">
        <v>1125</v>
      </c>
      <c r="I95" s="456">
        <v>1282</v>
      </c>
      <c r="J95" s="456">
        <v>1188</v>
      </c>
      <c r="K95" s="463">
        <v>1045</v>
      </c>
      <c r="L95" s="463">
        <v>1016</v>
      </c>
      <c r="M95" s="463">
        <v>980</v>
      </c>
      <c r="N95" s="1127">
        <v>882</v>
      </c>
    </row>
    <row r="96" spans="1:14" x14ac:dyDescent="0.3">
      <c r="A96" s="462" t="s">
        <v>236</v>
      </c>
      <c r="B96" s="452" t="s">
        <v>237</v>
      </c>
      <c r="C96" s="506" t="s">
        <v>254</v>
      </c>
      <c r="D96" s="456">
        <v>513</v>
      </c>
      <c r="E96" s="456">
        <v>452</v>
      </c>
      <c r="F96" s="456">
        <v>425</v>
      </c>
      <c r="G96" s="456">
        <v>416</v>
      </c>
      <c r="H96" s="456">
        <v>472</v>
      </c>
      <c r="I96" s="456">
        <v>443</v>
      </c>
      <c r="J96" s="456">
        <v>556</v>
      </c>
      <c r="K96" s="463">
        <v>461</v>
      </c>
      <c r="L96" s="463">
        <v>417</v>
      </c>
      <c r="M96" s="463">
        <v>345</v>
      </c>
      <c r="N96" s="1127">
        <v>384</v>
      </c>
    </row>
    <row r="97" spans="1:14" x14ac:dyDescent="0.3">
      <c r="A97" s="462" t="s">
        <v>242</v>
      </c>
      <c r="B97" s="452" t="s">
        <v>243</v>
      </c>
      <c r="C97" s="506" t="s">
        <v>256</v>
      </c>
      <c r="D97" s="456">
        <v>2566</v>
      </c>
      <c r="E97" s="456">
        <v>2449</v>
      </c>
      <c r="F97" s="456">
        <v>2297</v>
      </c>
      <c r="G97" s="456">
        <v>2245</v>
      </c>
      <c r="H97" s="456">
        <v>2288</v>
      </c>
      <c r="I97" s="456">
        <v>2402</v>
      </c>
      <c r="J97" s="456">
        <v>2138</v>
      </c>
      <c r="K97" s="463">
        <v>2100</v>
      </c>
      <c r="L97" s="463">
        <v>2030</v>
      </c>
      <c r="M97" s="463">
        <v>1815</v>
      </c>
      <c r="N97" s="1127">
        <v>1426</v>
      </c>
    </row>
    <row r="98" spans="1:14" x14ac:dyDescent="0.3">
      <c r="A98" s="462" t="s">
        <v>244</v>
      </c>
      <c r="B98" s="452" t="s">
        <v>245</v>
      </c>
      <c r="C98" s="506" t="s">
        <v>256</v>
      </c>
      <c r="D98" s="456">
        <v>785</v>
      </c>
      <c r="E98" s="456">
        <v>845</v>
      </c>
      <c r="F98" s="456">
        <v>772</v>
      </c>
      <c r="G98" s="456">
        <v>724</v>
      </c>
      <c r="H98" s="456">
        <v>744</v>
      </c>
      <c r="I98" s="456">
        <v>812</v>
      </c>
      <c r="J98" s="456">
        <v>812</v>
      </c>
      <c r="K98" s="463">
        <v>706</v>
      </c>
      <c r="L98" s="463">
        <v>540</v>
      </c>
      <c r="M98" s="463">
        <v>525</v>
      </c>
      <c r="N98" s="1127">
        <v>497</v>
      </c>
    </row>
    <row r="99" spans="1:14" x14ac:dyDescent="0.3">
      <c r="A99" s="531" t="s">
        <v>246</v>
      </c>
      <c r="B99" s="532" t="s">
        <v>247</v>
      </c>
      <c r="C99" s="532" t="s">
        <v>252</v>
      </c>
      <c r="D99" s="533">
        <v>450</v>
      </c>
      <c r="E99" s="533">
        <v>514</v>
      </c>
      <c r="F99" s="533">
        <v>478</v>
      </c>
      <c r="G99" s="533">
        <v>442</v>
      </c>
      <c r="H99" s="533">
        <v>523</v>
      </c>
      <c r="I99" s="533">
        <v>628</v>
      </c>
      <c r="J99" s="533">
        <v>752</v>
      </c>
      <c r="K99" s="463">
        <v>712</v>
      </c>
      <c r="L99" s="463">
        <v>685</v>
      </c>
      <c r="M99" s="463">
        <v>639</v>
      </c>
      <c r="N99" s="1127">
        <v>569</v>
      </c>
    </row>
    <row r="100" spans="1:14" x14ac:dyDescent="0.3">
      <c r="A100" s="462" t="s">
        <v>14</v>
      </c>
      <c r="B100" s="452" t="s">
        <v>15</v>
      </c>
      <c r="C100" s="506" t="s">
        <v>255</v>
      </c>
      <c r="D100" s="456">
        <v>2564</v>
      </c>
      <c r="E100" s="456">
        <v>2274</v>
      </c>
      <c r="F100" s="456">
        <v>2167</v>
      </c>
      <c r="G100" s="456">
        <v>2154</v>
      </c>
      <c r="H100" s="456">
        <v>2332</v>
      </c>
      <c r="I100" s="456">
        <v>2520</v>
      </c>
      <c r="J100" s="456">
        <v>2596</v>
      </c>
      <c r="K100" s="463">
        <v>2346</v>
      </c>
      <c r="L100" s="463">
        <v>2184</v>
      </c>
      <c r="M100" s="463">
        <v>2121</v>
      </c>
      <c r="N100" s="1127">
        <v>2195</v>
      </c>
    </row>
    <row r="101" spans="1:14" x14ac:dyDescent="0.3">
      <c r="A101" s="462" t="s">
        <v>34</v>
      </c>
      <c r="B101" s="452" t="s">
        <v>35</v>
      </c>
      <c r="C101" s="506" t="s">
        <v>256</v>
      </c>
      <c r="D101" s="456">
        <v>1224</v>
      </c>
      <c r="E101" s="456">
        <v>1318</v>
      </c>
      <c r="F101" s="456">
        <v>1301</v>
      </c>
      <c r="G101" s="456">
        <v>1284</v>
      </c>
      <c r="H101" s="456">
        <v>1355</v>
      </c>
      <c r="I101" s="456">
        <v>1401</v>
      </c>
      <c r="J101" s="456">
        <v>1518</v>
      </c>
      <c r="K101" s="463">
        <v>1559</v>
      </c>
      <c r="L101" s="463">
        <v>1475</v>
      </c>
      <c r="M101" s="463">
        <v>1225</v>
      </c>
      <c r="N101" s="1127">
        <v>1018</v>
      </c>
    </row>
    <row r="102" spans="1:14" x14ac:dyDescent="0.3">
      <c r="A102" s="462" t="s">
        <v>52</v>
      </c>
      <c r="B102" s="452" t="s">
        <v>53</v>
      </c>
      <c r="C102" s="506" t="s">
        <v>253</v>
      </c>
      <c r="D102" s="456">
        <v>1699</v>
      </c>
      <c r="E102" s="456">
        <v>1614</v>
      </c>
      <c r="F102" s="456">
        <v>1469</v>
      </c>
      <c r="G102" s="456">
        <v>1451</v>
      </c>
      <c r="H102" s="456">
        <v>1614</v>
      </c>
      <c r="I102" s="456">
        <v>1699</v>
      </c>
      <c r="J102" s="456">
        <v>1691</v>
      </c>
      <c r="K102" s="463">
        <v>1604</v>
      </c>
      <c r="L102" s="463">
        <v>1499</v>
      </c>
      <c r="M102" s="463">
        <v>1329</v>
      </c>
      <c r="N102" s="1127">
        <v>1189</v>
      </c>
    </row>
    <row r="103" spans="1:14" x14ac:dyDescent="0.3">
      <c r="A103" s="462" t="s">
        <v>54</v>
      </c>
      <c r="B103" s="452" t="s">
        <v>55</v>
      </c>
      <c r="C103" s="506" t="s">
        <v>252</v>
      </c>
      <c r="D103" s="456">
        <v>5474</v>
      </c>
      <c r="E103" s="456">
        <v>5520</v>
      </c>
      <c r="F103" s="456">
        <v>4950</v>
      </c>
      <c r="G103" s="456">
        <v>5052</v>
      </c>
      <c r="H103" s="456">
        <v>5636</v>
      </c>
      <c r="I103" s="456">
        <v>6110</v>
      </c>
      <c r="J103" s="456">
        <v>6029</v>
      </c>
      <c r="K103" s="463">
        <v>5484</v>
      </c>
      <c r="L103" s="463">
        <v>5058</v>
      </c>
      <c r="M103" s="463">
        <v>4574</v>
      </c>
      <c r="N103" s="1127">
        <v>4136</v>
      </c>
    </row>
    <row r="104" spans="1:14" x14ac:dyDescent="0.3">
      <c r="A104" s="462" t="s">
        <v>66</v>
      </c>
      <c r="B104" s="452" t="s">
        <v>67</v>
      </c>
      <c r="C104" s="506" t="s">
        <v>253</v>
      </c>
      <c r="D104" s="456">
        <v>3276</v>
      </c>
      <c r="E104" s="456">
        <v>3249</v>
      </c>
      <c r="F104" s="456">
        <v>3126</v>
      </c>
      <c r="G104" s="456">
        <v>2779</v>
      </c>
      <c r="H104" s="456">
        <v>2892</v>
      </c>
      <c r="I104" s="456">
        <v>2912</v>
      </c>
      <c r="J104" s="456">
        <v>2697</v>
      </c>
      <c r="K104" s="463">
        <v>2571</v>
      </c>
      <c r="L104" s="463">
        <v>2499</v>
      </c>
      <c r="M104" s="463">
        <v>2272</v>
      </c>
      <c r="N104" s="1127">
        <v>2086</v>
      </c>
    </row>
    <row r="105" spans="1:14" x14ac:dyDescent="0.3">
      <c r="A105" s="462" t="s">
        <v>82</v>
      </c>
      <c r="B105" s="452" t="s">
        <v>83</v>
      </c>
      <c r="C105" s="506" t="s">
        <v>252</v>
      </c>
      <c r="D105" s="456">
        <v>600</v>
      </c>
      <c r="E105" s="456">
        <v>626</v>
      </c>
      <c r="F105" s="456">
        <v>493</v>
      </c>
      <c r="G105" s="456">
        <v>483</v>
      </c>
      <c r="H105" s="456">
        <v>487</v>
      </c>
      <c r="I105" s="456">
        <v>575</v>
      </c>
      <c r="J105" s="456">
        <v>644</v>
      </c>
      <c r="K105" s="463">
        <v>748</v>
      </c>
      <c r="L105" s="463">
        <v>667</v>
      </c>
      <c r="M105" s="463">
        <v>493</v>
      </c>
      <c r="N105" s="1127">
        <v>413</v>
      </c>
    </row>
    <row r="106" spans="1:14" x14ac:dyDescent="0.3">
      <c r="A106" s="462" t="s">
        <v>88</v>
      </c>
      <c r="B106" s="452" t="s">
        <v>89</v>
      </c>
      <c r="C106" s="506" t="s">
        <v>255</v>
      </c>
      <c r="D106" s="456">
        <v>827</v>
      </c>
      <c r="E106" s="456">
        <v>874</v>
      </c>
      <c r="F106" s="456">
        <v>851</v>
      </c>
      <c r="G106" s="456">
        <v>904</v>
      </c>
      <c r="H106" s="456">
        <v>1105</v>
      </c>
      <c r="I106" s="456">
        <v>1208</v>
      </c>
      <c r="J106" s="456">
        <v>1219</v>
      </c>
      <c r="K106" s="463">
        <v>1162</v>
      </c>
      <c r="L106" s="463">
        <v>1055</v>
      </c>
      <c r="M106" s="463">
        <v>980</v>
      </c>
      <c r="N106" s="1127">
        <v>912</v>
      </c>
    </row>
    <row r="107" spans="1:14" x14ac:dyDescent="0.3">
      <c r="A107" s="462" t="s">
        <v>90</v>
      </c>
      <c r="B107" s="452" t="s">
        <v>91</v>
      </c>
      <c r="C107" s="506" t="s">
        <v>256</v>
      </c>
      <c r="D107" s="456">
        <v>398</v>
      </c>
      <c r="E107" s="456">
        <v>370</v>
      </c>
      <c r="F107" s="456">
        <v>366</v>
      </c>
      <c r="G107" s="456">
        <v>365</v>
      </c>
      <c r="H107" s="456">
        <v>481</v>
      </c>
      <c r="I107" s="456">
        <v>559</v>
      </c>
      <c r="J107" s="456">
        <v>480</v>
      </c>
      <c r="K107" s="463">
        <v>426</v>
      </c>
      <c r="L107" s="463">
        <v>368</v>
      </c>
      <c r="M107" s="463">
        <v>280</v>
      </c>
      <c r="N107" s="1127">
        <v>210</v>
      </c>
    </row>
    <row r="108" spans="1:14" x14ac:dyDescent="0.3">
      <c r="A108" s="462" t="s">
        <v>106</v>
      </c>
      <c r="B108" s="452" t="s">
        <v>107</v>
      </c>
      <c r="C108" s="506" t="s">
        <v>252</v>
      </c>
      <c r="D108" s="456">
        <v>6707</v>
      </c>
      <c r="E108" s="456">
        <v>6416</v>
      </c>
      <c r="F108" s="456">
        <v>5896</v>
      </c>
      <c r="G108" s="456">
        <v>5425</v>
      </c>
      <c r="H108" s="456">
        <v>5890</v>
      </c>
      <c r="I108" s="456">
        <v>6335</v>
      </c>
      <c r="J108" s="456">
        <v>6670</v>
      </c>
      <c r="K108" s="463">
        <v>6619</v>
      </c>
      <c r="L108" s="463">
        <v>6201</v>
      </c>
      <c r="M108" s="463">
        <v>5656</v>
      </c>
      <c r="N108" s="1127">
        <v>4807</v>
      </c>
    </row>
    <row r="109" spans="1:14" x14ac:dyDescent="0.3">
      <c r="A109" s="462" t="s">
        <v>116</v>
      </c>
      <c r="B109" s="452" t="s">
        <v>117</v>
      </c>
      <c r="C109" s="506" t="s">
        <v>254</v>
      </c>
      <c r="D109" s="456">
        <v>1613</v>
      </c>
      <c r="E109" s="456">
        <v>1650</v>
      </c>
      <c r="F109" s="456">
        <v>1472</v>
      </c>
      <c r="G109" s="456">
        <v>1513</v>
      </c>
      <c r="H109" s="456">
        <v>1642</v>
      </c>
      <c r="I109" s="456">
        <v>1726</v>
      </c>
      <c r="J109" s="456">
        <v>1732</v>
      </c>
      <c r="K109" s="463">
        <v>1610</v>
      </c>
      <c r="L109" s="463">
        <v>1604</v>
      </c>
      <c r="M109" s="463">
        <v>1554</v>
      </c>
      <c r="N109" s="1127">
        <v>1468</v>
      </c>
    </row>
    <row r="110" spans="1:14" x14ac:dyDescent="0.3">
      <c r="A110" s="462" t="s">
        <v>138</v>
      </c>
      <c r="B110" s="452" t="s">
        <v>139</v>
      </c>
      <c r="C110" s="506" t="s">
        <v>253</v>
      </c>
      <c r="D110" s="456">
        <v>3009</v>
      </c>
      <c r="E110" s="456">
        <v>2946</v>
      </c>
      <c r="F110" s="456">
        <v>2805</v>
      </c>
      <c r="G110" s="456">
        <v>2632</v>
      </c>
      <c r="H110" s="456">
        <v>2821</v>
      </c>
      <c r="I110" s="456">
        <v>3316</v>
      </c>
      <c r="J110" s="456">
        <v>3361</v>
      </c>
      <c r="K110" s="463">
        <v>3308</v>
      </c>
      <c r="L110" s="463">
        <v>2938</v>
      </c>
      <c r="M110" s="463">
        <v>2628</v>
      </c>
      <c r="N110" s="1127">
        <v>2333</v>
      </c>
    </row>
    <row r="111" spans="1:14" x14ac:dyDescent="0.3">
      <c r="A111" s="462" t="s">
        <v>142</v>
      </c>
      <c r="B111" s="452" t="s">
        <v>143</v>
      </c>
      <c r="C111" s="506" t="s">
        <v>255</v>
      </c>
      <c r="D111" s="456">
        <v>912</v>
      </c>
      <c r="E111" s="456">
        <v>882</v>
      </c>
      <c r="F111" s="456">
        <v>876</v>
      </c>
      <c r="G111" s="456">
        <v>1015</v>
      </c>
      <c r="H111" s="456">
        <v>1120</v>
      </c>
      <c r="I111" s="456">
        <v>1298</v>
      </c>
      <c r="J111" s="456">
        <v>1317</v>
      </c>
      <c r="K111" s="463">
        <v>1176</v>
      </c>
      <c r="L111" s="463">
        <v>921</v>
      </c>
      <c r="M111" s="463">
        <v>911</v>
      </c>
      <c r="N111" s="1127">
        <v>783</v>
      </c>
    </row>
    <row r="112" spans="1:14" x14ac:dyDescent="0.3">
      <c r="A112" s="462" t="s">
        <v>144</v>
      </c>
      <c r="B112" s="452" t="s">
        <v>145</v>
      </c>
      <c r="C112" s="506" t="s">
        <v>255</v>
      </c>
      <c r="D112" s="456">
        <v>270</v>
      </c>
      <c r="E112" s="456">
        <v>337</v>
      </c>
      <c r="F112" s="456">
        <v>312</v>
      </c>
      <c r="G112" s="456">
        <v>334</v>
      </c>
      <c r="H112" s="456">
        <v>336</v>
      </c>
      <c r="I112" s="456">
        <v>337</v>
      </c>
      <c r="J112" s="456">
        <v>250</v>
      </c>
      <c r="K112" s="463">
        <v>274</v>
      </c>
      <c r="L112" s="463">
        <v>250</v>
      </c>
      <c r="M112" s="463">
        <v>238</v>
      </c>
      <c r="N112" s="1127">
        <v>175</v>
      </c>
    </row>
    <row r="113" spans="1:14" x14ac:dyDescent="0.3">
      <c r="A113" s="462" t="s">
        <v>158</v>
      </c>
      <c r="B113" s="452" t="s">
        <v>159</v>
      </c>
      <c r="C113" s="506" t="s">
        <v>252</v>
      </c>
      <c r="D113" s="456">
        <v>8771</v>
      </c>
      <c r="E113" s="456">
        <v>8922</v>
      </c>
      <c r="F113" s="456">
        <v>8257</v>
      </c>
      <c r="G113" s="456">
        <v>7622</v>
      </c>
      <c r="H113" s="456">
        <v>8469</v>
      </c>
      <c r="I113" s="456">
        <v>9376</v>
      </c>
      <c r="J113" s="456">
        <v>9737</v>
      </c>
      <c r="K113" s="463">
        <v>9540</v>
      </c>
      <c r="L113" s="463">
        <v>9135</v>
      </c>
      <c r="M113" s="463">
        <v>8051</v>
      </c>
      <c r="N113" s="1127">
        <v>7164</v>
      </c>
    </row>
    <row r="114" spans="1:14" x14ac:dyDescent="0.3">
      <c r="A114" s="462" t="s">
        <v>160</v>
      </c>
      <c r="B114" s="452" t="s">
        <v>161</v>
      </c>
      <c r="C114" s="506" t="s">
        <v>252</v>
      </c>
      <c r="D114" s="456">
        <v>11826</v>
      </c>
      <c r="E114" s="456">
        <v>11398</v>
      </c>
      <c r="F114" s="456">
        <v>10790</v>
      </c>
      <c r="G114" s="456">
        <v>10129</v>
      </c>
      <c r="H114" s="456">
        <v>10847</v>
      </c>
      <c r="I114" s="456">
        <v>11828</v>
      </c>
      <c r="J114" s="456">
        <v>11996</v>
      </c>
      <c r="K114" s="463">
        <v>11553</v>
      </c>
      <c r="L114" s="463">
        <v>10730</v>
      </c>
      <c r="M114" s="463">
        <v>9675</v>
      </c>
      <c r="N114" s="1127">
        <v>8098</v>
      </c>
    </row>
    <row r="115" spans="1:14" x14ac:dyDescent="0.3">
      <c r="A115" s="462" t="s">
        <v>166</v>
      </c>
      <c r="B115" s="452" t="s">
        <v>167</v>
      </c>
      <c r="C115" s="506" t="s">
        <v>256</v>
      </c>
      <c r="D115" s="456">
        <v>273</v>
      </c>
      <c r="E115" s="456">
        <v>319</v>
      </c>
      <c r="F115" s="456">
        <v>291</v>
      </c>
      <c r="G115" s="456">
        <v>280</v>
      </c>
      <c r="H115" s="456">
        <v>297</v>
      </c>
      <c r="I115" s="456">
        <v>329</v>
      </c>
      <c r="J115" s="456">
        <v>280</v>
      </c>
      <c r="K115" s="463">
        <v>255</v>
      </c>
      <c r="L115" s="463">
        <v>244</v>
      </c>
      <c r="M115" s="463">
        <v>259</v>
      </c>
      <c r="N115" s="1127">
        <v>245</v>
      </c>
    </row>
    <row r="116" spans="1:14" x14ac:dyDescent="0.3">
      <c r="A116" s="462" t="s">
        <v>176</v>
      </c>
      <c r="B116" s="452" t="s">
        <v>177</v>
      </c>
      <c r="C116" s="506" t="s">
        <v>254</v>
      </c>
      <c r="D116" s="456">
        <v>2982</v>
      </c>
      <c r="E116" s="456">
        <v>2896</v>
      </c>
      <c r="F116" s="456">
        <v>2620</v>
      </c>
      <c r="G116" s="456">
        <v>2508</v>
      </c>
      <c r="H116" s="456">
        <v>2744</v>
      </c>
      <c r="I116" s="456">
        <v>3147</v>
      </c>
      <c r="J116" s="456">
        <v>3158</v>
      </c>
      <c r="K116" s="463">
        <v>2741</v>
      </c>
      <c r="L116" s="463">
        <v>2556</v>
      </c>
      <c r="M116" s="463">
        <v>2417</v>
      </c>
      <c r="N116" s="1127">
        <v>2319</v>
      </c>
    </row>
    <row r="117" spans="1:14" x14ac:dyDescent="0.3">
      <c r="A117" s="462" t="s">
        <v>180</v>
      </c>
      <c r="B117" s="452" t="s">
        <v>181</v>
      </c>
      <c r="C117" s="506" t="s">
        <v>252</v>
      </c>
      <c r="D117" s="456">
        <v>6846</v>
      </c>
      <c r="E117" s="456">
        <v>6807</v>
      </c>
      <c r="F117" s="456">
        <v>6503</v>
      </c>
      <c r="G117" s="456">
        <v>5774</v>
      </c>
      <c r="H117" s="456">
        <v>5917</v>
      </c>
      <c r="I117" s="456">
        <v>6307</v>
      </c>
      <c r="J117" s="456">
        <v>6223</v>
      </c>
      <c r="K117" s="463">
        <v>5988</v>
      </c>
      <c r="L117" s="463">
        <v>5595</v>
      </c>
      <c r="M117" s="463">
        <v>5041</v>
      </c>
      <c r="N117" s="1127">
        <v>4571</v>
      </c>
    </row>
    <row r="118" spans="1:14" x14ac:dyDescent="0.3">
      <c r="A118" s="462" t="s">
        <v>192</v>
      </c>
      <c r="B118" s="452" t="s">
        <v>193</v>
      </c>
      <c r="C118" s="506" t="s">
        <v>256</v>
      </c>
      <c r="D118" s="456">
        <v>449</v>
      </c>
      <c r="E118" s="456">
        <v>469</v>
      </c>
      <c r="F118" s="456">
        <v>480</v>
      </c>
      <c r="G118" s="456">
        <v>435</v>
      </c>
      <c r="H118" s="456">
        <v>418</v>
      </c>
      <c r="I118" s="456">
        <v>454</v>
      </c>
      <c r="J118" s="456">
        <v>447</v>
      </c>
      <c r="K118" s="463">
        <v>434</v>
      </c>
      <c r="L118" s="463">
        <v>402</v>
      </c>
      <c r="M118" s="463">
        <v>427</v>
      </c>
      <c r="N118" s="1127">
        <v>322</v>
      </c>
    </row>
    <row r="119" spans="1:14" x14ac:dyDescent="0.3">
      <c r="A119" s="462" t="s">
        <v>196</v>
      </c>
      <c r="B119" s="452" t="s">
        <v>197</v>
      </c>
      <c r="C119" s="506" t="s">
        <v>254</v>
      </c>
      <c r="D119" s="456">
        <v>15835</v>
      </c>
      <c r="E119" s="456">
        <v>15094</v>
      </c>
      <c r="F119" s="456">
        <v>13822</v>
      </c>
      <c r="G119" s="456">
        <v>12850</v>
      </c>
      <c r="H119" s="456">
        <v>12937</v>
      </c>
      <c r="I119" s="456">
        <v>14143</v>
      </c>
      <c r="J119" s="456">
        <v>14534</v>
      </c>
      <c r="K119" s="463">
        <v>13800</v>
      </c>
      <c r="L119" s="463">
        <v>12727</v>
      </c>
      <c r="M119" s="463">
        <v>11361</v>
      </c>
      <c r="N119" s="1127">
        <v>9957</v>
      </c>
    </row>
    <row r="120" spans="1:14" x14ac:dyDescent="0.3">
      <c r="A120" s="462" t="s">
        <v>200</v>
      </c>
      <c r="B120" s="452" t="s">
        <v>201</v>
      </c>
      <c r="C120" s="506" t="s">
        <v>253</v>
      </c>
      <c r="D120" s="456">
        <v>6087</v>
      </c>
      <c r="E120" s="456">
        <v>5921</v>
      </c>
      <c r="F120" s="456">
        <v>5611</v>
      </c>
      <c r="G120" s="456">
        <v>5580</v>
      </c>
      <c r="H120" s="456">
        <v>6098</v>
      </c>
      <c r="I120" s="456">
        <v>6773</v>
      </c>
      <c r="J120" s="456">
        <v>6918</v>
      </c>
      <c r="K120" s="463">
        <v>6804</v>
      </c>
      <c r="L120" s="463">
        <v>6265</v>
      </c>
      <c r="M120" s="463">
        <v>5658</v>
      </c>
      <c r="N120" s="1127">
        <v>4841</v>
      </c>
    </row>
    <row r="121" spans="1:14" x14ac:dyDescent="0.3">
      <c r="A121" s="531" t="s">
        <v>222</v>
      </c>
      <c r="B121" s="532" t="s">
        <v>223</v>
      </c>
      <c r="C121" s="532" t="s">
        <v>252</v>
      </c>
      <c r="D121" s="533">
        <v>2668</v>
      </c>
      <c r="E121" s="533">
        <v>2793</v>
      </c>
      <c r="F121" s="533">
        <v>2567</v>
      </c>
      <c r="G121" s="533">
        <v>2142</v>
      </c>
      <c r="H121" s="533">
        <v>2227</v>
      </c>
      <c r="I121" s="533">
        <v>2401</v>
      </c>
      <c r="J121" s="533">
        <v>2323</v>
      </c>
      <c r="K121" s="463">
        <v>2095</v>
      </c>
      <c r="L121" s="463">
        <v>2090</v>
      </c>
      <c r="M121" s="463">
        <v>2019</v>
      </c>
      <c r="N121" s="1127">
        <v>1765</v>
      </c>
    </row>
    <row r="122" spans="1:14" x14ac:dyDescent="0.3">
      <c r="A122" s="462" t="s">
        <v>230</v>
      </c>
      <c r="B122" s="452" t="s">
        <v>231</v>
      </c>
      <c r="C122" s="506" t="s">
        <v>252</v>
      </c>
      <c r="D122" s="456">
        <v>6267</v>
      </c>
      <c r="E122" s="456">
        <v>6022</v>
      </c>
      <c r="F122" s="456">
        <v>5708</v>
      </c>
      <c r="G122" s="456">
        <v>5498</v>
      </c>
      <c r="H122" s="456">
        <v>5784</v>
      </c>
      <c r="I122" s="456">
        <v>6268</v>
      </c>
      <c r="J122" s="456">
        <v>6378</v>
      </c>
      <c r="K122" s="463">
        <v>6070</v>
      </c>
      <c r="L122" s="463">
        <v>5464</v>
      </c>
      <c r="M122" s="463">
        <v>4838</v>
      </c>
      <c r="N122" s="1127">
        <v>3986</v>
      </c>
    </row>
    <row r="123" spans="1:14" x14ac:dyDescent="0.3">
      <c r="A123" s="462" t="s">
        <v>238</v>
      </c>
      <c r="B123" s="452" t="s">
        <v>239</v>
      </c>
      <c r="C123" s="506" t="s">
        <v>252</v>
      </c>
      <c r="D123" s="456">
        <v>166</v>
      </c>
      <c r="E123" s="456">
        <v>229</v>
      </c>
      <c r="F123" s="456">
        <v>184</v>
      </c>
      <c r="G123" s="456">
        <v>156</v>
      </c>
      <c r="H123" s="456">
        <v>217</v>
      </c>
      <c r="I123" s="456">
        <v>258</v>
      </c>
      <c r="J123" s="456">
        <v>277</v>
      </c>
      <c r="K123" s="463">
        <v>283</v>
      </c>
      <c r="L123" s="463">
        <v>248</v>
      </c>
      <c r="M123" s="463">
        <v>220</v>
      </c>
      <c r="N123" s="1127">
        <v>191</v>
      </c>
    </row>
    <row r="124" spans="1:14" x14ac:dyDescent="0.3">
      <c r="A124" s="464" t="s">
        <v>240</v>
      </c>
      <c r="B124" s="453" t="s">
        <v>241</v>
      </c>
      <c r="C124" s="453" t="s">
        <v>255</v>
      </c>
      <c r="D124" s="458">
        <v>628</v>
      </c>
      <c r="E124" s="458">
        <v>630</v>
      </c>
      <c r="F124" s="458">
        <v>635</v>
      </c>
      <c r="G124" s="458">
        <v>575</v>
      </c>
      <c r="H124" s="458">
        <v>833</v>
      </c>
      <c r="I124" s="458">
        <v>933</v>
      </c>
      <c r="J124" s="458">
        <v>977</v>
      </c>
      <c r="K124" s="465">
        <v>888</v>
      </c>
      <c r="L124" s="465">
        <v>782</v>
      </c>
      <c r="M124" s="465">
        <v>605</v>
      </c>
      <c r="N124" s="1127">
        <v>464</v>
      </c>
    </row>
    <row r="126" spans="1:14" ht="33.75" customHeight="1" x14ac:dyDescent="0.3">
      <c r="A126" s="2737" t="s">
        <v>802</v>
      </c>
      <c r="B126" s="2737"/>
      <c r="C126" s="2737"/>
      <c r="D126" s="2737"/>
      <c r="E126" s="2737"/>
      <c r="F126" s="2737"/>
      <c r="G126" s="2737"/>
      <c r="H126" s="2737"/>
      <c r="I126" s="2737"/>
      <c r="J126" s="2737"/>
      <c r="K126" s="2737"/>
      <c r="L126" s="2737"/>
      <c r="M126" s="894"/>
      <c r="N126" s="1117"/>
    </row>
    <row r="128" spans="1:14" s="359" customFormat="1" x14ac:dyDescent="0.3">
      <c r="A128" s="359" t="s">
        <v>248</v>
      </c>
    </row>
    <row r="129" spans="1:3" s="359" customFormat="1" x14ac:dyDescent="0.3">
      <c r="A129" s="360" t="s">
        <v>249</v>
      </c>
      <c r="B129" s="361" t="s">
        <v>250</v>
      </c>
      <c r="C129" s="361"/>
    </row>
  </sheetData>
  <autoFilter ref="A3:C3"/>
  <sortState ref="A5:N124">
    <sortCondition ref="A5:A124"/>
  </sortState>
  <mergeCells count="1">
    <mergeCell ref="A126:L126"/>
  </mergeCells>
  <hyperlinks>
    <hyperlink ref="B129" r:id="rId1"/>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29"/>
  <sheetViews>
    <sheetView workbookViewId="0">
      <pane xSplit="3" ySplit="4" topLeftCell="D5" activePane="bottomRight" state="frozen"/>
      <selection pane="topRight" activeCell="D1" sqref="D1"/>
      <selection pane="bottomLeft" activeCell="A5" sqref="A5"/>
      <selection pane="bottomRight" activeCell="J127" sqref="J127"/>
    </sheetView>
  </sheetViews>
  <sheetFormatPr defaultColWidth="9" defaultRowHeight="15.6" x14ac:dyDescent="0.3"/>
  <cols>
    <col min="1" max="1" width="5.796875" style="441" customWidth="1"/>
    <col min="2" max="2" width="30.19921875" style="441" customWidth="1"/>
    <col min="3" max="3" width="12.296875" style="441" customWidth="1"/>
    <col min="4" max="11" width="10.796875" style="441" customWidth="1"/>
    <col min="12" max="12" width="2.5" style="441" customWidth="1"/>
    <col min="13" max="16384" width="9" style="441"/>
  </cols>
  <sheetData>
    <row r="1" spans="1:11" x14ac:dyDescent="0.3">
      <c r="A1" s="253" t="s">
        <v>1164</v>
      </c>
    </row>
    <row r="3" spans="1:11" x14ac:dyDescent="0.3">
      <c r="A3" s="536" t="s">
        <v>4</v>
      </c>
      <c r="B3" s="503" t="s">
        <v>5</v>
      </c>
      <c r="C3" s="503" t="s">
        <v>251</v>
      </c>
      <c r="D3" s="442">
        <v>2012</v>
      </c>
      <c r="E3" s="442">
        <v>2013</v>
      </c>
      <c r="F3" s="1832">
        <v>2014</v>
      </c>
      <c r="G3" s="1832">
        <v>2015</v>
      </c>
      <c r="H3" s="1832">
        <v>2016</v>
      </c>
      <c r="I3" s="1832">
        <v>2017</v>
      </c>
      <c r="J3" s="1832">
        <v>2018</v>
      </c>
      <c r="K3" s="2260">
        <v>2019</v>
      </c>
    </row>
    <row r="4" spans="1:11" x14ac:dyDescent="0.3">
      <c r="A4" s="1874">
        <v>999</v>
      </c>
      <c r="B4" s="1875" t="s">
        <v>693</v>
      </c>
      <c r="C4" s="1875"/>
      <c r="D4" s="1876">
        <v>146656</v>
      </c>
      <c r="E4" s="1876">
        <v>136631</v>
      </c>
      <c r="F4" s="1876">
        <v>123267</v>
      </c>
      <c r="G4" s="1876">
        <v>102855</v>
      </c>
      <c r="H4" s="1876">
        <v>91238</v>
      </c>
      <c r="I4" s="1876">
        <v>87478</v>
      </c>
      <c r="J4" s="1876">
        <v>82069</v>
      </c>
      <c r="K4" s="1876">
        <v>75439</v>
      </c>
    </row>
    <row r="5" spans="1:11" x14ac:dyDescent="0.3">
      <c r="A5" s="1873" t="s">
        <v>10</v>
      </c>
      <c r="B5" s="1846" t="s">
        <v>11</v>
      </c>
      <c r="C5" s="1846" t="s">
        <v>252</v>
      </c>
      <c r="D5" s="1833">
        <v>859</v>
      </c>
      <c r="E5" s="1833">
        <v>835</v>
      </c>
      <c r="F5" s="1833">
        <v>728</v>
      </c>
      <c r="G5" s="1833">
        <v>640</v>
      </c>
      <c r="H5" s="1833">
        <v>581</v>
      </c>
      <c r="I5" s="1833">
        <v>520</v>
      </c>
      <c r="J5" s="1833">
        <v>382</v>
      </c>
      <c r="K5" s="2261">
        <v>374</v>
      </c>
    </row>
    <row r="6" spans="1:11" x14ac:dyDescent="0.3">
      <c r="A6" s="531" t="s">
        <v>12</v>
      </c>
      <c r="B6" s="532" t="s">
        <v>13</v>
      </c>
      <c r="C6" s="532" t="s">
        <v>253</v>
      </c>
      <c r="D6" s="463">
        <v>599</v>
      </c>
      <c r="E6" s="463">
        <v>661</v>
      </c>
      <c r="F6" s="463">
        <v>674</v>
      </c>
      <c r="G6" s="1264">
        <v>618</v>
      </c>
      <c r="H6" s="1264">
        <v>597</v>
      </c>
      <c r="I6" s="1833">
        <v>610</v>
      </c>
      <c r="J6" s="1833">
        <v>548</v>
      </c>
      <c r="K6" s="2261">
        <v>528</v>
      </c>
    </row>
    <row r="7" spans="1:11" x14ac:dyDescent="0.3">
      <c r="A7" s="531" t="s">
        <v>16</v>
      </c>
      <c r="B7" s="532" t="s">
        <v>285</v>
      </c>
      <c r="C7" s="532" t="s">
        <v>253</v>
      </c>
      <c r="D7" s="463">
        <v>414</v>
      </c>
      <c r="E7" s="463">
        <v>376</v>
      </c>
      <c r="F7" s="463">
        <v>367</v>
      </c>
      <c r="G7" s="1264">
        <v>331</v>
      </c>
      <c r="H7" s="1264">
        <v>330</v>
      </c>
      <c r="I7" s="1833">
        <v>316</v>
      </c>
      <c r="J7" s="1833">
        <v>241</v>
      </c>
      <c r="K7" s="2261">
        <v>227</v>
      </c>
    </row>
    <row r="8" spans="1:11" x14ac:dyDescent="0.3">
      <c r="A8" s="531" t="s">
        <v>18</v>
      </c>
      <c r="B8" s="532" t="s">
        <v>19</v>
      </c>
      <c r="C8" s="532" t="s">
        <v>254</v>
      </c>
      <c r="D8" s="463">
        <v>329</v>
      </c>
      <c r="E8" s="463">
        <v>289</v>
      </c>
      <c r="F8" s="463">
        <v>216</v>
      </c>
      <c r="G8" s="1264">
        <v>169</v>
      </c>
      <c r="H8" s="1264">
        <v>100</v>
      </c>
      <c r="I8" s="1833">
        <v>97</v>
      </c>
      <c r="J8" s="1833">
        <v>111</v>
      </c>
      <c r="K8" s="2261">
        <v>104</v>
      </c>
    </row>
    <row r="9" spans="1:11" x14ac:dyDescent="0.3">
      <c r="A9" s="531" t="s">
        <v>20</v>
      </c>
      <c r="B9" s="532" t="s">
        <v>21</v>
      </c>
      <c r="C9" s="532" t="s">
        <v>253</v>
      </c>
      <c r="D9" s="463">
        <v>434</v>
      </c>
      <c r="E9" s="463">
        <v>429</v>
      </c>
      <c r="F9" s="463">
        <v>357</v>
      </c>
      <c r="G9" s="1264">
        <v>346</v>
      </c>
      <c r="H9" s="1264">
        <v>327</v>
      </c>
      <c r="I9" s="1833">
        <v>332</v>
      </c>
      <c r="J9" s="1833">
        <v>303</v>
      </c>
      <c r="K9" s="2261">
        <v>239</v>
      </c>
    </row>
    <row r="10" spans="1:11" x14ac:dyDescent="0.3">
      <c r="A10" s="531" t="s">
        <v>22</v>
      </c>
      <c r="B10" s="532" t="s">
        <v>23</v>
      </c>
      <c r="C10" s="532" t="s">
        <v>253</v>
      </c>
      <c r="D10" s="463">
        <v>401</v>
      </c>
      <c r="E10" s="463">
        <v>439</v>
      </c>
      <c r="F10" s="463">
        <v>417</v>
      </c>
      <c r="G10" s="1264">
        <v>330</v>
      </c>
      <c r="H10" s="1264">
        <v>266</v>
      </c>
      <c r="I10" s="1833">
        <v>221</v>
      </c>
      <c r="J10" s="1833">
        <v>201</v>
      </c>
      <c r="K10" s="2261">
        <v>174</v>
      </c>
    </row>
    <row r="11" spans="1:11" x14ac:dyDescent="0.3">
      <c r="A11" s="531" t="s">
        <v>24</v>
      </c>
      <c r="B11" s="532" t="s">
        <v>25</v>
      </c>
      <c r="C11" s="532" t="s">
        <v>255</v>
      </c>
      <c r="D11" s="463">
        <v>1132</v>
      </c>
      <c r="E11" s="463">
        <v>971</v>
      </c>
      <c r="F11" s="463">
        <v>871</v>
      </c>
      <c r="G11" s="1264">
        <v>813</v>
      </c>
      <c r="H11" s="1264">
        <v>743</v>
      </c>
      <c r="I11" s="1833">
        <v>655</v>
      </c>
      <c r="J11" s="1833">
        <v>654</v>
      </c>
      <c r="K11" s="2261">
        <v>525</v>
      </c>
    </row>
    <row r="12" spans="1:11" x14ac:dyDescent="0.3">
      <c r="A12" s="531" t="s">
        <v>26</v>
      </c>
      <c r="B12" s="532" t="s">
        <v>547</v>
      </c>
      <c r="C12" s="532" t="s">
        <v>253</v>
      </c>
      <c r="D12" s="463">
        <v>2514</v>
      </c>
      <c r="E12" s="463">
        <v>2362</v>
      </c>
      <c r="F12" s="463">
        <v>2013</v>
      </c>
      <c r="G12" s="1264">
        <v>1568</v>
      </c>
      <c r="H12" s="1264">
        <v>1479</v>
      </c>
      <c r="I12" s="1833">
        <v>1563</v>
      </c>
      <c r="J12" s="1833">
        <v>1659</v>
      </c>
      <c r="K12" s="2261">
        <v>1588</v>
      </c>
    </row>
    <row r="13" spans="1:11" x14ac:dyDescent="0.3">
      <c r="A13" s="531" t="s">
        <v>27</v>
      </c>
      <c r="B13" s="532" t="s">
        <v>28</v>
      </c>
      <c r="C13" s="532" t="s">
        <v>253</v>
      </c>
      <c r="D13" s="463">
        <v>40</v>
      </c>
      <c r="E13" s="463">
        <v>18</v>
      </c>
      <c r="F13" s="463">
        <v>16</v>
      </c>
      <c r="G13" s="1264">
        <v>12</v>
      </c>
      <c r="H13" s="1264">
        <v>10</v>
      </c>
      <c r="I13" s="1833">
        <v>17</v>
      </c>
      <c r="J13" s="1833">
        <v>24</v>
      </c>
      <c r="K13" s="2261">
        <v>30</v>
      </c>
    </row>
    <row r="14" spans="1:11" x14ac:dyDescent="0.3">
      <c r="A14" s="531" t="s">
        <v>29</v>
      </c>
      <c r="B14" s="532" t="s">
        <v>736</v>
      </c>
      <c r="C14" s="532" t="s">
        <v>253</v>
      </c>
      <c r="D14" s="463">
        <v>973</v>
      </c>
      <c r="E14" s="463">
        <v>857</v>
      </c>
      <c r="F14" s="463">
        <v>915</v>
      </c>
      <c r="G14" s="1264">
        <v>730</v>
      </c>
      <c r="H14" s="1264">
        <v>652</v>
      </c>
      <c r="I14" s="1833">
        <v>531</v>
      </c>
      <c r="J14" s="1833">
        <v>463</v>
      </c>
      <c r="K14" s="2261">
        <v>470</v>
      </c>
    </row>
    <row r="15" spans="1:11" x14ac:dyDescent="0.3">
      <c r="A15" s="531" t="s">
        <v>30</v>
      </c>
      <c r="B15" s="532" t="s">
        <v>31</v>
      </c>
      <c r="C15" s="532" t="s">
        <v>256</v>
      </c>
      <c r="D15" s="463">
        <v>73</v>
      </c>
      <c r="E15" s="463">
        <v>76</v>
      </c>
      <c r="F15" s="463">
        <v>66</v>
      </c>
      <c r="G15" s="1264">
        <v>61</v>
      </c>
      <c r="H15" s="1264">
        <v>65</v>
      </c>
      <c r="I15" s="1833">
        <v>69</v>
      </c>
      <c r="J15" s="1833">
        <v>56</v>
      </c>
      <c r="K15" s="2261">
        <v>48</v>
      </c>
    </row>
    <row r="16" spans="1:11" x14ac:dyDescent="0.3">
      <c r="A16" s="531" t="s">
        <v>32</v>
      </c>
      <c r="B16" s="532" t="s">
        <v>33</v>
      </c>
      <c r="C16" s="532" t="s">
        <v>253</v>
      </c>
      <c r="D16" s="463">
        <v>188</v>
      </c>
      <c r="E16" s="463">
        <v>170</v>
      </c>
      <c r="F16" s="463">
        <v>147</v>
      </c>
      <c r="G16" s="1264">
        <v>126</v>
      </c>
      <c r="H16" s="1264">
        <v>147</v>
      </c>
      <c r="I16" s="1833">
        <v>141</v>
      </c>
      <c r="J16" s="1833">
        <v>155</v>
      </c>
      <c r="K16" s="2261">
        <v>126</v>
      </c>
    </row>
    <row r="17" spans="1:11" x14ac:dyDescent="0.3">
      <c r="A17" s="531" t="s">
        <v>36</v>
      </c>
      <c r="B17" s="532" t="s">
        <v>37</v>
      </c>
      <c r="C17" s="532" t="s">
        <v>252</v>
      </c>
      <c r="D17" s="463">
        <v>490</v>
      </c>
      <c r="E17" s="463">
        <v>432</v>
      </c>
      <c r="F17" s="463">
        <v>404</v>
      </c>
      <c r="G17" s="1264">
        <v>360</v>
      </c>
      <c r="H17" s="1264">
        <v>295</v>
      </c>
      <c r="I17" s="1833">
        <v>286</v>
      </c>
      <c r="J17" s="1833">
        <v>260</v>
      </c>
      <c r="K17" s="2261">
        <v>261</v>
      </c>
    </row>
    <row r="18" spans="1:11" x14ac:dyDescent="0.3">
      <c r="A18" s="531" t="s">
        <v>38</v>
      </c>
      <c r="B18" s="532" t="s">
        <v>39</v>
      </c>
      <c r="C18" s="532" t="s">
        <v>256</v>
      </c>
      <c r="D18" s="463">
        <v>413</v>
      </c>
      <c r="E18" s="463">
        <v>533</v>
      </c>
      <c r="F18" s="463">
        <v>498</v>
      </c>
      <c r="G18" s="1264">
        <v>480</v>
      </c>
      <c r="H18" s="1264">
        <v>391</v>
      </c>
      <c r="I18" s="1833">
        <v>352</v>
      </c>
      <c r="J18" s="1833">
        <v>324</v>
      </c>
      <c r="K18" s="2261">
        <v>327</v>
      </c>
    </row>
    <row r="19" spans="1:11" x14ac:dyDescent="0.3">
      <c r="A19" s="531" t="s">
        <v>40</v>
      </c>
      <c r="B19" s="532" t="s">
        <v>41</v>
      </c>
      <c r="C19" s="532" t="s">
        <v>254</v>
      </c>
      <c r="D19" s="463">
        <v>342</v>
      </c>
      <c r="E19" s="463">
        <v>319</v>
      </c>
      <c r="F19" s="463">
        <v>277</v>
      </c>
      <c r="G19" s="1264">
        <v>245</v>
      </c>
      <c r="H19" s="1264">
        <v>237</v>
      </c>
      <c r="I19" s="1833">
        <v>209</v>
      </c>
      <c r="J19" s="1833">
        <v>192</v>
      </c>
      <c r="K19" s="2261">
        <v>199</v>
      </c>
    </row>
    <row r="20" spans="1:11" x14ac:dyDescent="0.3">
      <c r="A20" s="531" t="s">
        <v>42</v>
      </c>
      <c r="B20" s="532" t="s">
        <v>43</v>
      </c>
      <c r="C20" s="532" t="s">
        <v>253</v>
      </c>
      <c r="D20" s="463">
        <v>1348</v>
      </c>
      <c r="E20" s="463">
        <v>1146</v>
      </c>
      <c r="F20" s="463">
        <v>1012</v>
      </c>
      <c r="G20" s="1264">
        <v>884</v>
      </c>
      <c r="H20" s="1264">
        <v>831</v>
      </c>
      <c r="I20" s="1833">
        <v>716</v>
      </c>
      <c r="J20" s="1833">
        <v>652</v>
      </c>
      <c r="K20" s="2261">
        <v>564</v>
      </c>
    </row>
    <row r="21" spans="1:11" x14ac:dyDescent="0.3">
      <c r="A21" s="531" t="s">
        <v>44</v>
      </c>
      <c r="B21" s="532" t="s">
        <v>45</v>
      </c>
      <c r="C21" s="532" t="s">
        <v>254</v>
      </c>
      <c r="D21" s="463">
        <v>901</v>
      </c>
      <c r="E21" s="463">
        <v>830</v>
      </c>
      <c r="F21" s="463">
        <v>725</v>
      </c>
      <c r="G21" s="1264">
        <v>616</v>
      </c>
      <c r="H21" s="1264">
        <v>485</v>
      </c>
      <c r="I21" s="1833">
        <v>500</v>
      </c>
      <c r="J21" s="1833">
        <v>412</v>
      </c>
      <c r="K21" s="2261">
        <v>328</v>
      </c>
    </row>
    <row r="22" spans="1:11" x14ac:dyDescent="0.3">
      <c r="A22" s="531" t="s">
        <v>46</v>
      </c>
      <c r="B22" s="532" t="s">
        <v>47</v>
      </c>
      <c r="C22" s="532" t="s">
        <v>256</v>
      </c>
      <c r="D22" s="463">
        <v>544</v>
      </c>
      <c r="E22" s="463">
        <v>442</v>
      </c>
      <c r="F22" s="463">
        <v>399</v>
      </c>
      <c r="G22" s="1264">
        <v>355</v>
      </c>
      <c r="H22" s="1264">
        <v>298</v>
      </c>
      <c r="I22" s="1833">
        <v>381</v>
      </c>
      <c r="J22" s="1833">
        <v>361</v>
      </c>
      <c r="K22" s="2261">
        <v>335</v>
      </c>
    </row>
    <row r="23" spans="1:11" x14ac:dyDescent="0.3">
      <c r="A23" s="531" t="s">
        <v>48</v>
      </c>
      <c r="B23" s="532" t="s">
        <v>257</v>
      </c>
      <c r="C23" s="532" t="s">
        <v>254</v>
      </c>
      <c r="D23" s="463">
        <v>101</v>
      </c>
      <c r="E23" s="463">
        <v>75</v>
      </c>
      <c r="F23" s="463">
        <v>55</v>
      </c>
      <c r="G23" s="1264">
        <v>63</v>
      </c>
      <c r="H23" s="1264">
        <v>62</v>
      </c>
      <c r="I23" s="1833">
        <v>36</v>
      </c>
      <c r="J23" s="1833">
        <v>40</v>
      </c>
      <c r="K23" s="2261">
        <v>42</v>
      </c>
    </row>
    <row r="24" spans="1:11" x14ac:dyDescent="0.3">
      <c r="A24" s="531" t="s">
        <v>50</v>
      </c>
      <c r="B24" s="532" t="s">
        <v>51</v>
      </c>
      <c r="C24" s="532" t="s">
        <v>253</v>
      </c>
      <c r="D24" s="463">
        <v>408</v>
      </c>
      <c r="E24" s="463">
        <v>392</v>
      </c>
      <c r="F24" s="463">
        <v>344</v>
      </c>
      <c r="G24" s="1264">
        <v>269</v>
      </c>
      <c r="H24" s="1264">
        <v>215</v>
      </c>
      <c r="I24" s="1833">
        <v>227</v>
      </c>
      <c r="J24" s="1833">
        <v>207</v>
      </c>
      <c r="K24" s="2261">
        <v>190</v>
      </c>
    </row>
    <row r="25" spans="1:11" x14ac:dyDescent="0.3">
      <c r="A25" s="531" t="s">
        <v>56</v>
      </c>
      <c r="B25" s="532" t="s">
        <v>283</v>
      </c>
      <c r="C25" s="532" t="s">
        <v>254</v>
      </c>
      <c r="D25" s="463">
        <v>4673</v>
      </c>
      <c r="E25" s="463">
        <v>4239</v>
      </c>
      <c r="F25" s="463">
        <v>3628</v>
      </c>
      <c r="G25" s="1264">
        <v>2967</v>
      </c>
      <c r="H25" s="1264">
        <v>2491</v>
      </c>
      <c r="I25" s="1833">
        <v>2664</v>
      </c>
      <c r="J25" s="1833">
        <v>2463</v>
      </c>
      <c r="K25" s="2261">
        <v>2343</v>
      </c>
    </row>
    <row r="26" spans="1:11" x14ac:dyDescent="0.3">
      <c r="A26" s="531" t="s">
        <v>58</v>
      </c>
      <c r="B26" s="532" t="s">
        <v>59</v>
      </c>
      <c r="C26" s="532" t="s">
        <v>255</v>
      </c>
      <c r="D26" s="463">
        <v>99</v>
      </c>
      <c r="E26" s="463">
        <v>82</v>
      </c>
      <c r="F26" s="463">
        <v>60</v>
      </c>
      <c r="G26" s="1264">
        <v>42</v>
      </c>
      <c r="H26" s="1264">
        <v>30</v>
      </c>
      <c r="I26" s="1833">
        <v>31</v>
      </c>
      <c r="J26" s="1833">
        <v>39</v>
      </c>
      <c r="K26" s="2261">
        <v>46</v>
      </c>
    </row>
    <row r="27" spans="1:11" x14ac:dyDescent="0.3">
      <c r="A27" s="531" t="s">
        <v>60</v>
      </c>
      <c r="B27" s="532" t="s">
        <v>61</v>
      </c>
      <c r="C27" s="532" t="s">
        <v>253</v>
      </c>
      <c r="D27" s="463">
        <v>63</v>
      </c>
      <c r="E27" s="463">
        <v>47</v>
      </c>
      <c r="F27" s="463">
        <v>51</v>
      </c>
      <c r="G27" s="1264">
        <v>53</v>
      </c>
      <c r="H27" s="1264">
        <v>49</v>
      </c>
      <c r="I27" s="1833">
        <v>60</v>
      </c>
      <c r="J27" s="1833">
        <v>50</v>
      </c>
      <c r="K27" s="2261">
        <v>38</v>
      </c>
    </row>
    <row r="28" spans="1:11" x14ac:dyDescent="0.3">
      <c r="A28" s="531" t="s">
        <v>62</v>
      </c>
      <c r="B28" s="532" t="s">
        <v>63</v>
      </c>
      <c r="C28" s="532" t="s">
        <v>255</v>
      </c>
      <c r="D28" s="463">
        <v>750</v>
      </c>
      <c r="E28" s="463">
        <v>723</v>
      </c>
      <c r="F28" s="463">
        <v>625</v>
      </c>
      <c r="G28" s="1264">
        <v>532</v>
      </c>
      <c r="H28" s="1264">
        <v>520</v>
      </c>
      <c r="I28" s="1833">
        <v>502</v>
      </c>
      <c r="J28" s="1833">
        <v>461</v>
      </c>
      <c r="K28" s="2261">
        <v>464</v>
      </c>
    </row>
    <row r="29" spans="1:11" x14ac:dyDescent="0.3">
      <c r="A29" s="531" t="s">
        <v>64</v>
      </c>
      <c r="B29" s="532" t="s">
        <v>65</v>
      </c>
      <c r="C29" s="532" t="s">
        <v>254</v>
      </c>
      <c r="D29" s="463">
        <v>283</v>
      </c>
      <c r="E29" s="463">
        <v>325</v>
      </c>
      <c r="F29" s="463">
        <v>261</v>
      </c>
      <c r="G29" s="1264">
        <v>225</v>
      </c>
      <c r="H29" s="1264">
        <v>188</v>
      </c>
      <c r="I29" s="1833">
        <v>156</v>
      </c>
      <c r="J29" s="1833">
        <v>157</v>
      </c>
      <c r="K29" s="2261">
        <v>196</v>
      </c>
    </row>
    <row r="30" spans="1:11" x14ac:dyDescent="0.3">
      <c r="A30" s="531" t="s">
        <v>68</v>
      </c>
      <c r="B30" s="532" t="s">
        <v>69</v>
      </c>
      <c r="C30" s="532" t="s">
        <v>256</v>
      </c>
      <c r="D30" s="463">
        <v>336</v>
      </c>
      <c r="E30" s="463">
        <v>262</v>
      </c>
      <c r="F30" s="463">
        <v>283</v>
      </c>
      <c r="G30" s="1264">
        <v>216</v>
      </c>
      <c r="H30" s="1264">
        <v>186</v>
      </c>
      <c r="I30" s="1833">
        <v>226</v>
      </c>
      <c r="J30" s="1833">
        <v>187</v>
      </c>
      <c r="K30" s="2261">
        <v>155</v>
      </c>
    </row>
    <row r="31" spans="1:11" x14ac:dyDescent="0.3">
      <c r="A31" s="531" t="s">
        <v>70</v>
      </c>
      <c r="B31" s="532" t="s">
        <v>71</v>
      </c>
      <c r="C31" s="532" t="s">
        <v>252</v>
      </c>
      <c r="D31" s="463">
        <v>580</v>
      </c>
      <c r="E31" s="463">
        <v>569</v>
      </c>
      <c r="F31" s="463">
        <v>512</v>
      </c>
      <c r="G31" s="1264">
        <v>424</v>
      </c>
      <c r="H31" s="1264">
        <v>374</v>
      </c>
      <c r="I31" s="1833">
        <v>334</v>
      </c>
      <c r="J31" s="1833">
        <v>257</v>
      </c>
      <c r="K31" s="2261">
        <v>201</v>
      </c>
    </row>
    <row r="32" spans="1:11" x14ac:dyDescent="0.3">
      <c r="A32" s="531" t="s">
        <v>72</v>
      </c>
      <c r="B32" s="532" t="s">
        <v>73</v>
      </c>
      <c r="C32" s="532" t="s">
        <v>254</v>
      </c>
      <c r="D32" s="463">
        <v>332</v>
      </c>
      <c r="E32" s="463">
        <v>275</v>
      </c>
      <c r="F32" s="463">
        <v>261</v>
      </c>
      <c r="G32" s="1264">
        <v>241</v>
      </c>
      <c r="H32" s="1264">
        <v>210</v>
      </c>
      <c r="I32" s="1833">
        <v>236</v>
      </c>
      <c r="J32" s="1833">
        <v>238</v>
      </c>
      <c r="K32" s="2261">
        <v>246</v>
      </c>
    </row>
    <row r="33" spans="1:11" x14ac:dyDescent="0.3">
      <c r="A33" s="531" t="s">
        <v>74</v>
      </c>
      <c r="B33" s="532" t="s">
        <v>284</v>
      </c>
      <c r="C33" s="532" t="s">
        <v>255</v>
      </c>
      <c r="D33" s="463">
        <v>6729</v>
      </c>
      <c r="E33" s="463">
        <v>6489</v>
      </c>
      <c r="F33" s="463">
        <v>5781</v>
      </c>
      <c r="G33" s="1264">
        <v>5097</v>
      </c>
      <c r="H33" s="1264">
        <v>4574</v>
      </c>
      <c r="I33" s="1833">
        <v>4628</v>
      </c>
      <c r="J33" s="1833">
        <v>4448</v>
      </c>
      <c r="K33" s="2261">
        <v>3889</v>
      </c>
    </row>
    <row r="34" spans="1:11" x14ac:dyDescent="0.3">
      <c r="A34" s="531" t="s">
        <v>76</v>
      </c>
      <c r="B34" s="532" t="s">
        <v>77</v>
      </c>
      <c r="C34" s="532" t="s">
        <v>255</v>
      </c>
      <c r="D34" s="463">
        <v>523</v>
      </c>
      <c r="E34" s="463">
        <v>433</v>
      </c>
      <c r="F34" s="463">
        <v>380</v>
      </c>
      <c r="G34" s="1264">
        <v>340</v>
      </c>
      <c r="H34" s="1264">
        <v>326</v>
      </c>
      <c r="I34" s="1833">
        <v>349</v>
      </c>
      <c r="J34" s="1833">
        <v>337</v>
      </c>
      <c r="K34" s="2261">
        <v>288</v>
      </c>
    </row>
    <row r="35" spans="1:11" x14ac:dyDescent="0.3">
      <c r="A35" s="531" t="s">
        <v>78</v>
      </c>
      <c r="B35" s="532" t="s">
        <v>79</v>
      </c>
      <c r="C35" s="532" t="s">
        <v>256</v>
      </c>
      <c r="D35" s="463">
        <v>268</v>
      </c>
      <c r="E35" s="463">
        <v>256</v>
      </c>
      <c r="F35" s="463">
        <v>194</v>
      </c>
      <c r="G35" s="1264">
        <v>139</v>
      </c>
      <c r="H35" s="1264">
        <v>156</v>
      </c>
      <c r="I35" s="1833">
        <v>198</v>
      </c>
      <c r="J35" s="1833">
        <v>172</v>
      </c>
      <c r="K35" s="2261">
        <v>161</v>
      </c>
    </row>
    <row r="36" spans="1:11" x14ac:dyDescent="0.3">
      <c r="A36" s="531" t="s">
        <v>80</v>
      </c>
      <c r="B36" s="532" t="s">
        <v>81</v>
      </c>
      <c r="C36" s="532" t="s">
        <v>254</v>
      </c>
      <c r="D36" s="463">
        <v>265</v>
      </c>
      <c r="E36" s="463">
        <v>229</v>
      </c>
      <c r="F36" s="463">
        <v>182</v>
      </c>
      <c r="G36" s="1264">
        <v>191</v>
      </c>
      <c r="H36" s="1264">
        <v>156</v>
      </c>
      <c r="I36" s="1833">
        <v>156</v>
      </c>
      <c r="J36" s="1833">
        <v>125</v>
      </c>
      <c r="K36" s="2261">
        <v>89</v>
      </c>
    </row>
    <row r="37" spans="1:11" x14ac:dyDescent="0.3">
      <c r="A37" s="531" t="s">
        <v>84</v>
      </c>
      <c r="B37" s="532" t="s">
        <v>85</v>
      </c>
      <c r="C37" s="532" t="s">
        <v>253</v>
      </c>
      <c r="D37" s="463">
        <v>1077</v>
      </c>
      <c r="E37" s="463">
        <v>936</v>
      </c>
      <c r="F37" s="463">
        <v>813</v>
      </c>
      <c r="G37" s="1264">
        <v>700</v>
      </c>
      <c r="H37" s="1264">
        <v>643</v>
      </c>
      <c r="I37" s="1833">
        <v>598</v>
      </c>
      <c r="J37" s="1833">
        <v>527</v>
      </c>
      <c r="K37" s="2261">
        <v>546</v>
      </c>
    </row>
    <row r="38" spans="1:11" x14ac:dyDescent="0.3">
      <c r="A38" s="531" t="s">
        <v>86</v>
      </c>
      <c r="B38" s="532" t="s">
        <v>87</v>
      </c>
      <c r="C38" s="532" t="s">
        <v>255</v>
      </c>
      <c r="D38" s="463">
        <v>840</v>
      </c>
      <c r="E38" s="463">
        <v>733</v>
      </c>
      <c r="F38" s="463">
        <v>506</v>
      </c>
      <c r="G38" s="1264">
        <v>318</v>
      </c>
      <c r="H38" s="1264">
        <v>310</v>
      </c>
      <c r="I38" s="1833">
        <v>365</v>
      </c>
      <c r="J38" s="1833">
        <v>364</v>
      </c>
      <c r="K38" s="2261">
        <v>346</v>
      </c>
    </row>
    <row r="39" spans="1:11" x14ac:dyDescent="0.3">
      <c r="A39" s="531" t="s">
        <v>92</v>
      </c>
      <c r="B39" s="532" t="s">
        <v>93</v>
      </c>
      <c r="C39" s="532" t="s">
        <v>256</v>
      </c>
      <c r="D39" s="463">
        <v>232</v>
      </c>
      <c r="E39" s="463">
        <v>258</v>
      </c>
      <c r="F39" s="463">
        <v>182</v>
      </c>
      <c r="G39" s="1264">
        <v>139</v>
      </c>
      <c r="H39" s="1264">
        <v>170</v>
      </c>
      <c r="I39" s="1833">
        <v>158</v>
      </c>
      <c r="J39" s="1833">
        <v>178</v>
      </c>
      <c r="K39" s="2261">
        <v>191</v>
      </c>
    </row>
    <row r="40" spans="1:11" x14ac:dyDescent="0.3">
      <c r="A40" s="531" t="s">
        <v>94</v>
      </c>
      <c r="B40" s="532" t="s">
        <v>95</v>
      </c>
      <c r="C40" s="532" t="s">
        <v>252</v>
      </c>
      <c r="D40" s="463">
        <v>453</v>
      </c>
      <c r="E40" s="463">
        <v>410</v>
      </c>
      <c r="F40" s="463">
        <v>463</v>
      </c>
      <c r="G40" s="1264">
        <v>469</v>
      </c>
      <c r="H40" s="1264">
        <v>378</v>
      </c>
      <c r="I40" s="1833">
        <v>315</v>
      </c>
      <c r="J40" s="1833">
        <v>301</v>
      </c>
      <c r="K40" s="2261">
        <v>287</v>
      </c>
    </row>
    <row r="41" spans="1:11" x14ac:dyDescent="0.3">
      <c r="A41" s="531" t="s">
        <v>96</v>
      </c>
      <c r="B41" s="532" t="s">
        <v>97</v>
      </c>
      <c r="C41" s="532" t="s">
        <v>254</v>
      </c>
      <c r="D41" s="463">
        <v>189</v>
      </c>
      <c r="E41" s="463">
        <v>149</v>
      </c>
      <c r="F41" s="463">
        <v>104</v>
      </c>
      <c r="G41" s="1264">
        <v>107</v>
      </c>
      <c r="H41" s="1264">
        <v>97</v>
      </c>
      <c r="I41" s="1833">
        <v>90</v>
      </c>
      <c r="J41" s="1833">
        <v>59</v>
      </c>
      <c r="K41" s="2261">
        <v>62</v>
      </c>
    </row>
    <row r="42" spans="1:11" x14ac:dyDescent="0.3">
      <c r="A42" s="531" t="s">
        <v>98</v>
      </c>
      <c r="B42" s="532" t="s">
        <v>99</v>
      </c>
      <c r="C42" s="532" t="s">
        <v>256</v>
      </c>
      <c r="D42" s="463">
        <v>223</v>
      </c>
      <c r="E42" s="463">
        <v>202</v>
      </c>
      <c r="F42" s="463">
        <v>185</v>
      </c>
      <c r="G42" s="1264">
        <v>151</v>
      </c>
      <c r="H42" s="1264">
        <v>106</v>
      </c>
      <c r="I42" s="1833">
        <v>85</v>
      </c>
      <c r="J42" s="1833">
        <v>105</v>
      </c>
      <c r="K42" s="2261">
        <v>133</v>
      </c>
    </row>
    <row r="43" spans="1:11" x14ac:dyDescent="0.3">
      <c r="A43" s="531" t="s">
        <v>100</v>
      </c>
      <c r="B43" s="532" t="s">
        <v>101</v>
      </c>
      <c r="C43" s="532" t="s">
        <v>255</v>
      </c>
      <c r="D43" s="463">
        <v>251</v>
      </c>
      <c r="E43" s="463">
        <v>189</v>
      </c>
      <c r="F43" s="463">
        <v>167</v>
      </c>
      <c r="G43" s="1264">
        <v>218</v>
      </c>
      <c r="H43" s="1264">
        <v>233</v>
      </c>
      <c r="I43" s="1833">
        <v>206</v>
      </c>
      <c r="J43" s="1833">
        <v>215</v>
      </c>
      <c r="K43" s="2261">
        <v>167</v>
      </c>
    </row>
    <row r="44" spans="1:11" x14ac:dyDescent="0.3">
      <c r="A44" s="531" t="s">
        <v>102</v>
      </c>
      <c r="B44" s="532" t="s">
        <v>270</v>
      </c>
      <c r="C44" s="532" t="s">
        <v>252</v>
      </c>
      <c r="D44" s="463">
        <v>649</v>
      </c>
      <c r="E44" s="463">
        <v>645</v>
      </c>
      <c r="F44" s="463">
        <v>664</v>
      </c>
      <c r="G44" s="1264">
        <v>559</v>
      </c>
      <c r="H44" s="1264">
        <v>445</v>
      </c>
      <c r="I44" s="1833">
        <v>454</v>
      </c>
      <c r="J44" s="1833">
        <v>388</v>
      </c>
      <c r="K44" s="2261">
        <v>399</v>
      </c>
    </row>
    <row r="45" spans="1:11" x14ac:dyDescent="0.3">
      <c r="A45" s="531" t="s">
        <v>104</v>
      </c>
      <c r="B45" s="532" t="s">
        <v>105</v>
      </c>
      <c r="C45" s="532" t="s">
        <v>253</v>
      </c>
      <c r="D45" s="463">
        <v>862</v>
      </c>
      <c r="E45" s="463">
        <v>786</v>
      </c>
      <c r="F45" s="463">
        <v>729</v>
      </c>
      <c r="G45" s="1264">
        <v>664</v>
      </c>
      <c r="H45" s="1264">
        <v>605</v>
      </c>
      <c r="I45" s="1833">
        <v>533</v>
      </c>
      <c r="J45" s="1833">
        <v>429</v>
      </c>
      <c r="K45" s="2261">
        <v>390</v>
      </c>
    </row>
    <row r="46" spans="1:11" x14ac:dyDescent="0.3">
      <c r="A46" s="531" t="s">
        <v>108</v>
      </c>
      <c r="B46" s="532" t="s">
        <v>109</v>
      </c>
      <c r="C46" s="532" t="s">
        <v>254</v>
      </c>
      <c r="D46" s="463">
        <v>710</v>
      </c>
      <c r="E46" s="463">
        <v>613</v>
      </c>
      <c r="F46" s="463">
        <v>621</v>
      </c>
      <c r="G46" s="1264">
        <v>502</v>
      </c>
      <c r="H46" s="1264">
        <v>407</v>
      </c>
      <c r="I46" s="1833">
        <v>470</v>
      </c>
      <c r="J46" s="1833">
        <v>424</v>
      </c>
      <c r="K46" s="2261">
        <v>438</v>
      </c>
    </row>
    <row r="47" spans="1:11" x14ac:dyDescent="0.3">
      <c r="A47" s="531" t="s">
        <v>110</v>
      </c>
      <c r="B47" s="532" t="s">
        <v>111</v>
      </c>
      <c r="C47" s="532" t="s">
        <v>254</v>
      </c>
      <c r="D47" s="463">
        <v>6538</v>
      </c>
      <c r="E47" s="463">
        <v>5656</v>
      </c>
      <c r="F47" s="463">
        <v>4967</v>
      </c>
      <c r="G47" s="1264">
        <v>4537</v>
      </c>
      <c r="H47" s="1264">
        <v>3940</v>
      </c>
      <c r="I47" s="1833">
        <v>4245</v>
      </c>
      <c r="J47" s="1833">
        <v>4069</v>
      </c>
      <c r="K47" s="2261">
        <v>3695</v>
      </c>
    </row>
    <row r="48" spans="1:11" x14ac:dyDescent="0.3">
      <c r="A48" s="531" t="s">
        <v>112</v>
      </c>
      <c r="B48" s="532" t="s">
        <v>288</v>
      </c>
      <c r="C48" s="532" t="s">
        <v>253</v>
      </c>
      <c r="D48" s="463">
        <v>2121</v>
      </c>
      <c r="E48" s="463">
        <v>1842</v>
      </c>
      <c r="F48" s="463">
        <v>1651</v>
      </c>
      <c r="G48" s="1264">
        <v>1571</v>
      </c>
      <c r="H48" s="1264">
        <v>1431</v>
      </c>
      <c r="I48" s="1833">
        <v>1374</v>
      </c>
      <c r="J48" s="1833">
        <v>1140</v>
      </c>
      <c r="K48" s="2261">
        <v>1012</v>
      </c>
    </row>
    <row r="49" spans="1:11" x14ac:dyDescent="0.3">
      <c r="A49" s="531" t="s">
        <v>114</v>
      </c>
      <c r="B49" s="532" t="s">
        <v>115</v>
      </c>
      <c r="C49" s="532" t="s">
        <v>253</v>
      </c>
      <c r="D49" s="463">
        <v>8</v>
      </c>
      <c r="E49" s="463">
        <v>9</v>
      </c>
      <c r="F49" s="463">
        <v>7</v>
      </c>
      <c r="G49" s="1264">
        <v>10</v>
      </c>
      <c r="H49" s="1264">
        <v>11</v>
      </c>
      <c r="I49" s="1833">
        <v>6</v>
      </c>
      <c r="J49" s="1833">
        <v>12</v>
      </c>
      <c r="K49" s="2261">
        <v>4</v>
      </c>
    </row>
    <row r="50" spans="1:11" x14ac:dyDescent="0.3">
      <c r="A50" s="531" t="s">
        <v>118</v>
      </c>
      <c r="B50" s="532" t="s">
        <v>258</v>
      </c>
      <c r="C50" s="532" t="s">
        <v>252</v>
      </c>
      <c r="D50" s="463">
        <v>556</v>
      </c>
      <c r="E50" s="463">
        <v>501</v>
      </c>
      <c r="F50" s="463">
        <v>437</v>
      </c>
      <c r="G50" s="1264">
        <v>385</v>
      </c>
      <c r="H50" s="1264">
        <v>374</v>
      </c>
      <c r="I50" s="1833">
        <v>347</v>
      </c>
      <c r="J50" s="1833">
        <v>277</v>
      </c>
      <c r="K50" s="2261">
        <v>267</v>
      </c>
    </row>
    <row r="51" spans="1:11" x14ac:dyDescent="0.3">
      <c r="A51" s="531" t="s">
        <v>120</v>
      </c>
      <c r="B51" s="532" t="s">
        <v>121</v>
      </c>
      <c r="C51" s="532" t="s">
        <v>252</v>
      </c>
      <c r="D51" s="463">
        <v>712</v>
      </c>
      <c r="E51" s="463">
        <v>755</v>
      </c>
      <c r="F51" s="463">
        <v>649</v>
      </c>
      <c r="G51" s="1264">
        <v>617</v>
      </c>
      <c r="H51" s="1264">
        <v>619</v>
      </c>
      <c r="I51" s="1833">
        <v>528</v>
      </c>
      <c r="J51" s="1833">
        <v>540</v>
      </c>
      <c r="K51" s="2261">
        <v>429</v>
      </c>
    </row>
    <row r="52" spans="1:11" x14ac:dyDescent="0.3">
      <c r="A52" s="531" t="s">
        <v>122</v>
      </c>
      <c r="B52" s="532" t="s">
        <v>275</v>
      </c>
      <c r="C52" s="532" t="s">
        <v>254</v>
      </c>
      <c r="D52" s="463">
        <v>116</v>
      </c>
      <c r="E52" s="463">
        <v>109</v>
      </c>
      <c r="F52" s="463">
        <v>115</v>
      </c>
      <c r="G52" s="1264">
        <v>147</v>
      </c>
      <c r="H52" s="1264">
        <v>98</v>
      </c>
      <c r="I52" s="1833">
        <v>125</v>
      </c>
      <c r="J52" s="1833">
        <v>112</v>
      </c>
      <c r="K52" s="2261">
        <v>95</v>
      </c>
    </row>
    <row r="53" spans="1:11" x14ac:dyDescent="0.3">
      <c r="A53" s="531" t="s">
        <v>124</v>
      </c>
      <c r="B53" s="532" t="s">
        <v>125</v>
      </c>
      <c r="C53" s="532" t="s">
        <v>255</v>
      </c>
      <c r="D53" s="463">
        <v>286</v>
      </c>
      <c r="E53" s="463">
        <v>291</v>
      </c>
      <c r="F53" s="463">
        <v>291</v>
      </c>
      <c r="G53" s="1264">
        <v>222</v>
      </c>
      <c r="H53" s="1264">
        <v>232</v>
      </c>
      <c r="I53" s="1833">
        <v>239</v>
      </c>
      <c r="J53" s="1833">
        <v>187</v>
      </c>
      <c r="K53" s="2261">
        <v>170</v>
      </c>
    </row>
    <row r="54" spans="1:11" x14ac:dyDescent="0.3">
      <c r="A54" s="531" t="s">
        <v>126</v>
      </c>
      <c r="B54" s="532" t="s">
        <v>127</v>
      </c>
      <c r="C54" s="532" t="s">
        <v>254</v>
      </c>
      <c r="D54" s="463">
        <v>209</v>
      </c>
      <c r="E54" s="463">
        <v>194</v>
      </c>
      <c r="F54" s="463">
        <v>174</v>
      </c>
      <c r="G54" s="1264">
        <v>139</v>
      </c>
      <c r="H54" s="1264">
        <v>105</v>
      </c>
      <c r="I54" s="1833">
        <v>104</v>
      </c>
      <c r="J54" s="1833">
        <v>110</v>
      </c>
      <c r="K54" s="2261">
        <v>95</v>
      </c>
    </row>
    <row r="55" spans="1:11" x14ac:dyDescent="0.3">
      <c r="A55" s="531" t="s">
        <v>128</v>
      </c>
      <c r="B55" s="532" t="s">
        <v>129</v>
      </c>
      <c r="C55" s="532" t="s">
        <v>254</v>
      </c>
      <c r="D55" s="463">
        <v>211</v>
      </c>
      <c r="E55" s="463">
        <v>145</v>
      </c>
      <c r="F55" s="463">
        <v>143</v>
      </c>
      <c r="G55" s="1264">
        <v>126</v>
      </c>
      <c r="H55" s="1264">
        <v>130</v>
      </c>
      <c r="I55" s="1833">
        <v>129</v>
      </c>
      <c r="J55" s="1833">
        <v>130</v>
      </c>
      <c r="K55" s="2261">
        <v>142</v>
      </c>
    </row>
    <row r="56" spans="1:11" x14ac:dyDescent="0.3">
      <c r="A56" s="531" t="s">
        <v>130</v>
      </c>
      <c r="B56" s="532" t="s">
        <v>131</v>
      </c>
      <c r="C56" s="532" t="s">
        <v>256</v>
      </c>
      <c r="D56" s="463">
        <v>1109</v>
      </c>
      <c r="E56" s="463">
        <v>1095</v>
      </c>
      <c r="F56" s="463">
        <v>1009</v>
      </c>
      <c r="G56" s="1264">
        <v>906</v>
      </c>
      <c r="H56" s="1264">
        <v>846</v>
      </c>
      <c r="I56" s="1833">
        <v>852</v>
      </c>
      <c r="J56" s="1833">
        <v>788</v>
      </c>
      <c r="K56" s="2261">
        <v>701</v>
      </c>
    </row>
    <row r="57" spans="1:11" x14ac:dyDescent="0.3">
      <c r="A57" s="531" t="s">
        <v>132</v>
      </c>
      <c r="B57" s="532" t="s">
        <v>133</v>
      </c>
      <c r="C57" s="532" t="s">
        <v>255</v>
      </c>
      <c r="D57" s="463">
        <v>1298</v>
      </c>
      <c r="E57" s="463">
        <v>1226</v>
      </c>
      <c r="F57" s="463">
        <v>1117</v>
      </c>
      <c r="G57" s="1264">
        <v>1137</v>
      </c>
      <c r="H57" s="1264">
        <v>1034</v>
      </c>
      <c r="I57" s="1833">
        <v>1035</v>
      </c>
      <c r="J57" s="1833">
        <v>957</v>
      </c>
      <c r="K57" s="2261">
        <v>898</v>
      </c>
    </row>
    <row r="58" spans="1:11" x14ac:dyDescent="0.3">
      <c r="A58" s="531" t="s">
        <v>134</v>
      </c>
      <c r="B58" s="532" t="s">
        <v>135</v>
      </c>
      <c r="C58" s="532" t="s">
        <v>255</v>
      </c>
      <c r="D58" s="463">
        <v>478</v>
      </c>
      <c r="E58" s="463">
        <v>518</v>
      </c>
      <c r="F58" s="463">
        <v>466</v>
      </c>
      <c r="G58" s="1264">
        <v>384</v>
      </c>
      <c r="H58" s="1264">
        <v>325</v>
      </c>
      <c r="I58" s="1833">
        <v>296</v>
      </c>
      <c r="J58" s="1833">
        <v>299</v>
      </c>
      <c r="K58" s="2261">
        <v>300</v>
      </c>
    </row>
    <row r="59" spans="1:11" x14ac:dyDescent="0.3">
      <c r="A59" s="531" t="s">
        <v>136</v>
      </c>
      <c r="B59" s="532" t="s">
        <v>137</v>
      </c>
      <c r="C59" s="532" t="s">
        <v>254</v>
      </c>
      <c r="D59" s="463">
        <v>331</v>
      </c>
      <c r="E59" s="463">
        <v>248</v>
      </c>
      <c r="F59" s="463">
        <v>242</v>
      </c>
      <c r="G59" s="1264">
        <v>167</v>
      </c>
      <c r="H59" s="1264">
        <v>135</v>
      </c>
      <c r="I59" s="1833">
        <v>170</v>
      </c>
      <c r="J59" s="1833">
        <v>164</v>
      </c>
      <c r="K59" s="2261">
        <v>205</v>
      </c>
    </row>
    <row r="60" spans="1:11" x14ac:dyDescent="0.3">
      <c r="A60" s="531" t="s">
        <v>140</v>
      </c>
      <c r="B60" s="532" t="s">
        <v>141</v>
      </c>
      <c r="C60" s="532" t="s">
        <v>255</v>
      </c>
      <c r="D60" s="463">
        <v>115</v>
      </c>
      <c r="E60" s="463">
        <v>104</v>
      </c>
      <c r="F60" s="463">
        <v>103</v>
      </c>
      <c r="G60" s="1264">
        <v>110</v>
      </c>
      <c r="H60" s="1264">
        <v>87</v>
      </c>
      <c r="I60" s="1833">
        <v>75</v>
      </c>
      <c r="J60" s="1833">
        <v>80</v>
      </c>
      <c r="K60" s="2261">
        <v>78</v>
      </c>
    </row>
    <row r="61" spans="1:11" x14ac:dyDescent="0.3">
      <c r="A61" s="531" t="s">
        <v>146</v>
      </c>
      <c r="B61" s="532" t="s">
        <v>147</v>
      </c>
      <c r="C61" s="532" t="s">
        <v>252</v>
      </c>
      <c r="D61" s="463">
        <v>104</v>
      </c>
      <c r="E61" s="463">
        <v>116</v>
      </c>
      <c r="F61" s="463">
        <v>84</v>
      </c>
      <c r="G61" s="1264">
        <v>75</v>
      </c>
      <c r="H61" s="1264">
        <v>68</v>
      </c>
      <c r="I61" s="1833">
        <v>96</v>
      </c>
      <c r="J61" s="1833">
        <v>71</v>
      </c>
      <c r="K61" s="2261">
        <v>64</v>
      </c>
    </row>
    <row r="62" spans="1:11" x14ac:dyDescent="0.3">
      <c r="A62" s="531" t="s">
        <v>148</v>
      </c>
      <c r="B62" s="532" t="s">
        <v>149</v>
      </c>
      <c r="C62" s="532" t="s">
        <v>253</v>
      </c>
      <c r="D62" s="463">
        <v>629</v>
      </c>
      <c r="E62" s="463">
        <v>618</v>
      </c>
      <c r="F62" s="463">
        <v>610</v>
      </c>
      <c r="G62" s="1264">
        <v>484</v>
      </c>
      <c r="H62" s="1264">
        <v>391</v>
      </c>
      <c r="I62" s="1833">
        <v>401</v>
      </c>
      <c r="J62" s="1833">
        <v>384</v>
      </c>
      <c r="K62" s="2261">
        <v>361</v>
      </c>
    </row>
    <row r="63" spans="1:11" x14ac:dyDescent="0.3">
      <c r="A63" s="531" t="s">
        <v>150</v>
      </c>
      <c r="B63" s="532" t="s">
        <v>151</v>
      </c>
      <c r="C63" s="532" t="s">
        <v>254</v>
      </c>
      <c r="D63" s="463">
        <v>203</v>
      </c>
      <c r="E63" s="463">
        <v>249</v>
      </c>
      <c r="F63" s="463">
        <v>292</v>
      </c>
      <c r="G63" s="1264">
        <v>207</v>
      </c>
      <c r="H63" s="1264">
        <v>194</v>
      </c>
      <c r="I63" s="1833">
        <v>224</v>
      </c>
      <c r="J63" s="1833">
        <v>161</v>
      </c>
      <c r="K63" s="2261">
        <v>150</v>
      </c>
    </row>
    <row r="64" spans="1:11" x14ac:dyDescent="0.3">
      <c r="A64" s="531" t="s">
        <v>152</v>
      </c>
      <c r="B64" s="532" t="s">
        <v>153</v>
      </c>
      <c r="C64" s="532" t="s">
        <v>256</v>
      </c>
      <c r="D64" s="463">
        <v>1434</v>
      </c>
      <c r="E64" s="463">
        <v>1210</v>
      </c>
      <c r="F64" s="463">
        <v>1124</v>
      </c>
      <c r="G64" s="1264">
        <v>920</v>
      </c>
      <c r="H64" s="1264">
        <v>866</v>
      </c>
      <c r="I64" s="1833">
        <v>929</v>
      </c>
      <c r="J64" s="1833">
        <v>848</v>
      </c>
      <c r="K64" s="2261">
        <v>853</v>
      </c>
    </row>
    <row r="65" spans="1:11" x14ac:dyDescent="0.3">
      <c r="A65" s="531" t="s">
        <v>154</v>
      </c>
      <c r="B65" s="532" t="s">
        <v>155</v>
      </c>
      <c r="C65" s="532" t="s">
        <v>253</v>
      </c>
      <c r="D65" s="463">
        <v>201</v>
      </c>
      <c r="E65" s="463">
        <v>173</v>
      </c>
      <c r="F65" s="463">
        <v>151</v>
      </c>
      <c r="G65" s="1264">
        <v>164</v>
      </c>
      <c r="H65" s="1264">
        <v>185</v>
      </c>
      <c r="I65" s="1833">
        <v>192</v>
      </c>
      <c r="J65" s="1833">
        <v>144</v>
      </c>
      <c r="K65" s="2261">
        <v>120</v>
      </c>
    </row>
    <row r="66" spans="1:11" x14ac:dyDescent="0.3">
      <c r="A66" s="531" t="s">
        <v>156</v>
      </c>
      <c r="B66" s="532" t="s">
        <v>157</v>
      </c>
      <c r="C66" s="532" t="s">
        <v>254</v>
      </c>
      <c r="D66" s="463">
        <v>223</v>
      </c>
      <c r="E66" s="463">
        <v>179</v>
      </c>
      <c r="F66" s="463">
        <v>178</v>
      </c>
      <c r="G66" s="1264">
        <v>165</v>
      </c>
      <c r="H66" s="1264">
        <v>167</v>
      </c>
      <c r="I66" s="1833">
        <v>125</v>
      </c>
      <c r="J66" s="1833">
        <v>91</v>
      </c>
      <c r="K66" s="2261">
        <v>74</v>
      </c>
    </row>
    <row r="67" spans="1:11" x14ac:dyDescent="0.3">
      <c r="A67" s="531" t="s">
        <v>162</v>
      </c>
      <c r="B67" s="532" t="s">
        <v>163</v>
      </c>
      <c r="C67" s="532" t="s">
        <v>252</v>
      </c>
      <c r="D67" s="463">
        <v>450</v>
      </c>
      <c r="E67" s="463">
        <v>395</v>
      </c>
      <c r="F67" s="463">
        <v>347</v>
      </c>
      <c r="G67" s="1264">
        <v>309</v>
      </c>
      <c r="H67" s="1264">
        <v>229</v>
      </c>
      <c r="I67" s="1833">
        <v>228</v>
      </c>
      <c r="J67" s="1833">
        <v>198</v>
      </c>
      <c r="K67" s="2261">
        <v>154</v>
      </c>
    </row>
    <row r="68" spans="1:11" x14ac:dyDescent="0.3">
      <c r="A68" s="531" t="s">
        <v>164</v>
      </c>
      <c r="B68" s="532" t="s">
        <v>165</v>
      </c>
      <c r="C68" s="532" t="s">
        <v>254</v>
      </c>
      <c r="D68" s="463">
        <v>98</v>
      </c>
      <c r="E68" s="463">
        <v>111</v>
      </c>
      <c r="F68" s="463">
        <v>114</v>
      </c>
      <c r="G68" s="1264">
        <v>114</v>
      </c>
      <c r="H68" s="1264">
        <v>103</v>
      </c>
      <c r="I68" s="1833">
        <v>109</v>
      </c>
      <c r="J68" s="1833">
        <v>121</v>
      </c>
      <c r="K68" s="2261">
        <v>134</v>
      </c>
    </row>
    <row r="69" spans="1:11" x14ac:dyDescent="0.3">
      <c r="A69" s="531" t="s">
        <v>168</v>
      </c>
      <c r="B69" s="532" t="s">
        <v>169</v>
      </c>
      <c r="C69" s="532" t="s">
        <v>254</v>
      </c>
      <c r="D69" s="463">
        <v>617</v>
      </c>
      <c r="E69" s="463">
        <v>601</v>
      </c>
      <c r="F69" s="463">
        <v>554</v>
      </c>
      <c r="G69" s="1264">
        <v>432</v>
      </c>
      <c r="H69" s="1264">
        <v>318</v>
      </c>
      <c r="I69" s="1833">
        <v>262</v>
      </c>
      <c r="J69" s="1833">
        <v>281</v>
      </c>
      <c r="K69" s="2261">
        <v>319</v>
      </c>
    </row>
    <row r="70" spans="1:11" x14ac:dyDescent="0.3">
      <c r="A70" s="531" t="s">
        <v>170</v>
      </c>
      <c r="B70" s="532" t="s">
        <v>171</v>
      </c>
      <c r="C70" s="532" t="s">
        <v>255</v>
      </c>
      <c r="D70" s="463">
        <v>360</v>
      </c>
      <c r="E70" s="463">
        <v>324</v>
      </c>
      <c r="F70" s="463">
        <v>354</v>
      </c>
      <c r="G70" s="1264">
        <v>374</v>
      </c>
      <c r="H70" s="1264">
        <v>365</v>
      </c>
      <c r="I70" s="1833">
        <v>359</v>
      </c>
      <c r="J70" s="1833">
        <v>249</v>
      </c>
      <c r="K70" s="2261">
        <v>205</v>
      </c>
    </row>
    <row r="71" spans="1:11" x14ac:dyDescent="0.3">
      <c r="A71" s="531" t="s">
        <v>172</v>
      </c>
      <c r="B71" s="532" t="s">
        <v>173</v>
      </c>
      <c r="C71" s="532" t="s">
        <v>255</v>
      </c>
      <c r="D71" s="463">
        <v>357</v>
      </c>
      <c r="E71" s="463">
        <v>314</v>
      </c>
      <c r="F71" s="463">
        <v>266</v>
      </c>
      <c r="G71" s="1264">
        <v>187</v>
      </c>
      <c r="H71" s="1264">
        <v>177</v>
      </c>
      <c r="I71" s="1833">
        <v>171</v>
      </c>
      <c r="J71" s="1833">
        <v>135</v>
      </c>
      <c r="K71" s="2261">
        <v>107</v>
      </c>
    </row>
    <row r="72" spans="1:11" x14ac:dyDescent="0.3">
      <c r="A72" s="531" t="s">
        <v>174</v>
      </c>
      <c r="B72" s="532" t="s">
        <v>175</v>
      </c>
      <c r="C72" s="532" t="s">
        <v>256</v>
      </c>
      <c r="D72" s="463">
        <v>547</v>
      </c>
      <c r="E72" s="463">
        <v>424</v>
      </c>
      <c r="F72" s="463">
        <v>405</v>
      </c>
      <c r="G72" s="1264">
        <v>361</v>
      </c>
      <c r="H72" s="1264">
        <v>322</v>
      </c>
      <c r="I72" s="1833">
        <v>306</v>
      </c>
      <c r="J72" s="1833">
        <v>310</v>
      </c>
      <c r="K72" s="2261">
        <v>239</v>
      </c>
    </row>
    <row r="73" spans="1:11" x14ac:dyDescent="0.3">
      <c r="A73" s="531" t="s">
        <v>178</v>
      </c>
      <c r="B73" s="532" t="s">
        <v>179</v>
      </c>
      <c r="C73" s="532" t="s">
        <v>253</v>
      </c>
      <c r="D73" s="463">
        <v>1004</v>
      </c>
      <c r="E73" s="463">
        <v>897</v>
      </c>
      <c r="F73" s="463">
        <v>878</v>
      </c>
      <c r="G73" s="1264">
        <v>720</v>
      </c>
      <c r="H73" s="1264">
        <v>696</v>
      </c>
      <c r="I73" s="1833">
        <v>601</v>
      </c>
      <c r="J73" s="1833">
        <v>519</v>
      </c>
      <c r="K73" s="2261">
        <v>511</v>
      </c>
    </row>
    <row r="74" spans="1:11" x14ac:dyDescent="0.3">
      <c r="A74" s="531" t="s">
        <v>182</v>
      </c>
      <c r="B74" s="532" t="s">
        <v>183</v>
      </c>
      <c r="C74" s="532" t="s">
        <v>254</v>
      </c>
      <c r="D74" s="463">
        <v>203</v>
      </c>
      <c r="E74" s="463">
        <v>214</v>
      </c>
      <c r="F74" s="463">
        <v>166</v>
      </c>
      <c r="G74" s="1264">
        <v>147</v>
      </c>
      <c r="H74" s="1264">
        <v>138</v>
      </c>
      <c r="I74" s="1833">
        <v>119</v>
      </c>
      <c r="J74" s="1833">
        <v>110</v>
      </c>
      <c r="K74" s="2261">
        <v>98</v>
      </c>
    </row>
    <row r="75" spans="1:11" x14ac:dyDescent="0.3">
      <c r="A75" s="531" t="s">
        <v>184</v>
      </c>
      <c r="B75" s="532" t="s">
        <v>185</v>
      </c>
      <c r="C75" s="532" t="s">
        <v>254</v>
      </c>
      <c r="D75" s="463">
        <v>552</v>
      </c>
      <c r="E75" s="463">
        <v>597</v>
      </c>
      <c r="F75" s="463">
        <v>529</v>
      </c>
      <c r="G75" s="1264">
        <v>457</v>
      </c>
      <c r="H75" s="1264">
        <v>386</v>
      </c>
      <c r="I75" s="1833">
        <v>377</v>
      </c>
      <c r="J75" s="1833">
        <v>334</v>
      </c>
      <c r="K75" s="2261">
        <v>298</v>
      </c>
    </row>
    <row r="76" spans="1:11" x14ac:dyDescent="0.3">
      <c r="A76" s="531" t="s">
        <v>186</v>
      </c>
      <c r="B76" s="532" t="s">
        <v>187</v>
      </c>
      <c r="C76" s="532" t="s">
        <v>252</v>
      </c>
      <c r="D76" s="463">
        <v>391</v>
      </c>
      <c r="E76" s="463">
        <v>386</v>
      </c>
      <c r="F76" s="463">
        <v>385</v>
      </c>
      <c r="G76" s="1264">
        <v>445</v>
      </c>
      <c r="H76" s="1264">
        <v>371</v>
      </c>
      <c r="I76" s="1833">
        <v>284</v>
      </c>
      <c r="J76" s="1833">
        <v>277</v>
      </c>
      <c r="K76" s="2261">
        <v>303</v>
      </c>
    </row>
    <row r="77" spans="1:11" x14ac:dyDescent="0.3">
      <c r="A77" s="531" t="s">
        <v>188</v>
      </c>
      <c r="B77" s="532" t="s">
        <v>189</v>
      </c>
      <c r="C77" s="532" t="s">
        <v>255</v>
      </c>
      <c r="D77" s="463">
        <v>5758</v>
      </c>
      <c r="E77" s="463">
        <v>5102</v>
      </c>
      <c r="F77" s="463">
        <v>4599</v>
      </c>
      <c r="G77" s="1264">
        <v>4146</v>
      </c>
      <c r="H77" s="1264">
        <v>3693</v>
      </c>
      <c r="I77" s="1833">
        <v>3663</v>
      </c>
      <c r="J77" s="1833">
        <v>3411</v>
      </c>
      <c r="K77" s="2261">
        <v>3009</v>
      </c>
    </row>
    <row r="78" spans="1:11" x14ac:dyDescent="0.3">
      <c r="A78" s="531" t="s">
        <v>190</v>
      </c>
      <c r="B78" s="532" t="s">
        <v>191</v>
      </c>
      <c r="C78" s="532" t="s">
        <v>256</v>
      </c>
      <c r="D78" s="463">
        <v>794</v>
      </c>
      <c r="E78" s="463">
        <v>660</v>
      </c>
      <c r="F78" s="463">
        <v>660</v>
      </c>
      <c r="G78" s="1264">
        <v>534</v>
      </c>
      <c r="H78" s="1264">
        <v>439</v>
      </c>
      <c r="I78" s="1833">
        <v>405</v>
      </c>
      <c r="J78" s="1833">
        <v>448</v>
      </c>
      <c r="K78" s="2261">
        <v>378</v>
      </c>
    </row>
    <row r="79" spans="1:11" x14ac:dyDescent="0.3">
      <c r="A79" s="531" t="s">
        <v>194</v>
      </c>
      <c r="B79" s="532" t="s">
        <v>195</v>
      </c>
      <c r="C79" s="532" t="s">
        <v>255</v>
      </c>
      <c r="D79" s="463">
        <v>43</v>
      </c>
      <c r="E79" s="463">
        <v>56</v>
      </c>
      <c r="F79" s="463">
        <v>40</v>
      </c>
      <c r="G79" s="1264">
        <v>43</v>
      </c>
      <c r="H79" s="1264">
        <v>34</v>
      </c>
      <c r="I79" s="1833">
        <v>23</v>
      </c>
      <c r="J79" s="1833">
        <v>14</v>
      </c>
      <c r="K79" s="2261">
        <v>9</v>
      </c>
    </row>
    <row r="80" spans="1:11" x14ac:dyDescent="0.3">
      <c r="A80" s="531" t="s">
        <v>198</v>
      </c>
      <c r="B80" s="532" t="s">
        <v>260</v>
      </c>
      <c r="C80" s="532" t="s">
        <v>254</v>
      </c>
      <c r="D80" s="463">
        <v>151</v>
      </c>
      <c r="E80" s="463">
        <v>149</v>
      </c>
      <c r="F80" s="463">
        <v>177</v>
      </c>
      <c r="G80" s="1264">
        <v>160</v>
      </c>
      <c r="H80" s="1264">
        <v>145</v>
      </c>
      <c r="I80" s="1833">
        <v>137</v>
      </c>
      <c r="J80" s="1833">
        <v>134</v>
      </c>
      <c r="K80" s="2261">
        <v>102</v>
      </c>
    </row>
    <row r="81" spans="1:11" x14ac:dyDescent="0.3">
      <c r="A81" s="531" t="s">
        <v>202</v>
      </c>
      <c r="B81" s="532" t="s">
        <v>289</v>
      </c>
      <c r="C81" s="532" t="s">
        <v>253</v>
      </c>
      <c r="D81" s="463">
        <v>1271</v>
      </c>
      <c r="E81" s="463">
        <v>1159</v>
      </c>
      <c r="F81" s="463">
        <v>1078</v>
      </c>
      <c r="G81" s="1264">
        <v>922</v>
      </c>
      <c r="H81" s="1264">
        <v>817</v>
      </c>
      <c r="I81" s="1833">
        <v>838</v>
      </c>
      <c r="J81" s="1833">
        <v>820</v>
      </c>
      <c r="K81" s="2261">
        <v>777</v>
      </c>
    </row>
    <row r="82" spans="1:11" x14ac:dyDescent="0.3">
      <c r="A82" s="531" t="s">
        <v>204</v>
      </c>
      <c r="B82" s="532" t="s">
        <v>281</v>
      </c>
      <c r="C82" s="532" t="s">
        <v>253</v>
      </c>
      <c r="D82" s="463">
        <v>347</v>
      </c>
      <c r="E82" s="463">
        <v>291</v>
      </c>
      <c r="F82" s="463">
        <v>324</v>
      </c>
      <c r="G82" s="1264">
        <v>251</v>
      </c>
      <c r="H82" s="1264">
        <v>225</v>
      </c>
      <c r="I82" s="1833">
        <v>267</v>
      </c>
      <c r="J82" s="1833">
        <v>274</v>
      </c>
      <c r="K82" s="2261">
        <v>359</v>
      </c>
    </row>
    <row r="83" spans="1:11" x14ac:dyDescent="0.3">
      <c r="A83" s="531" t="s">
        <v>206</v>
      </c>
      <c r="B83" s="532" t="s">
        <v>282</v>
      </c>
      <c r="C83" s="532" t="s">
        <v>255</v>
      </c>
      <c r="D83" s="463">
        <v>1595</v>
      </c>
      <c r="E83" s="463">
        <v>1513</v>
      </c>
      <c r="F83" s="463">
        <v>1325</v>
      </c>
      <c r="G83" s="1264">
        <v>1141</v>
      </c>
      <c r="H83" s="1264">
        <v>1103</v>
      </c>
      <c r="I83" s="1833">
        <v>1270</v>
      </c>
      <c r="J83" s="1833">
        <v>1254</v>
      </c>
      <c r="K83" s="2261">
        <v>1263</v>
      </c>
    </row>
    <row r="84" spans="1:11" x14ac:dyDescent="0.3">
      <c r="A84" s="531" t="s">
        <v>208</v>
      </c>
      <c r="B84" s="532" t="s">
        <v>209</v>
      </c>
      <c r="C84" s="532" t="s">
        <v>256</v>
      </c>
      <c r="D84" s="463">
        <v>876</v>
      </c>
      <c r="E84" s="463">
        <v>852</v>
      </c>
      <c r="F84" s="463">
        <v>829</v>
      </c>
      <c r="G84" s="1264">
        <v>673</v>
      </c>
      <c r="H84" s="1264">
        <v>571</v>
      </c>
      <c r="I84" s="1833">
        <v>524</v>
      </c>
      <c r="J84" s="1833">
        <v>432</v>
      </c>
      <c r="K84" s="2261">
        <v>389</v>
      </c>
    </row>
    <row r="85" spans="1:11" x14ac:dyDescent="0.3">
      <c r="A85" s="531" t="s">
        <v>210</v>
      </c>
      <c r="B85" s="532" t="s">
        <v>211</v>
      </c>
      <c r="C85" s="532" t="s">
        <v>256</v>
      </c>
      <c r="D85" s="463">
        <v>732</v>
      </c>
      <c r="E85" s="463">
        <v>653</v>
      </c>
      <c r="F85" s="463">
        <v>599</v>
      </c>
      <c r="G85" s="1264">
        <v>569</v>
      </c>
      <c r="H85" s="1264">
        <v>463</v>
      </c>
      <c r="I85" s="1833">
        <v>431</v>
      </c>
      <c r="J85" s="1833">
        <v>393</v>
      </c>
      <c r="K85" s="2261">
        <v>346</v>
      </c>
    </row>
    <row r="86" spans="1:11" x14ac:dyDescent="0.3">
      <c r="A86" s="531" t="s">
        <v>212</v>
      </c>
      <c r="B86" s="532" t="s">
        <v>213</v>
      </c>
      <c r="C86" s="532" t="s">
        <v>255</v>
      </c>
      <c r="D86" s="463">
        <v>319</v>
      </c>
      <c r="E86" s="463">
        <v>248</v>
      </c>
      <c r="F86" s="463">
        <v>235</v>
      </c>
      <c r="G86" s="1264">
        <v>265</v>
      </c>
      <c r="H86" s="1264">
        <v>226</v>
      </c>
      <c r="I86" s="1833">
        <v>279</v>
      </c>
      <c r="J86" s="1833">
        <v>410</v>
      </c>
      <c r="K86" s="2261">
        <v>481</v>
      </c>
    </row>
    <row r="87" spans="1:11" x14ac:dyDescent="0.3">
      <c r="A87" s="531" t="s">
        <v>214</v>
      </c>
      <c r="B87" s="532" t="s">
        <v>215</v>
      </c>
      <c r="C87" s="532" t="s">
        <v>256</v>
      </c>
      <c r="D87" s="463">
        <v>907</v>
      </c>
      <c r="E87" s="463">
        <v>850</v>
      </c>
      <c r="F87" s="463">
        <v>791</v>
      </c>
      <c r="G87" s="1264">
        <v>713</v>
      </c>
      <c r="H87" s="1264">
        <v>593</v>
      </c>
      <c r="I87" s="1833">
        <v>601</v>
      </c>
      <c r="J87" s="1833">
        <v>535</v>
      </c>
      <c r="K87" s="2261">
        <v>562</v>
      </c>
    </row>
    <row r="88" spans="1:11" x14ac:dyDescent="0.3">
      <c r="A88" s="531" t="s">
        <v>216</v>
      </c>
      <c r="B88" s="532" t="s">
        <v>217</v>
      </c>
      <c r="C88" s="532" t="s">
        <v>252</v>
      </c>
      <c r="D88" s="463">
        <v>525</v>
      </c>
      <c r="E88" s="463">
        <v>406</v>
      </c>
      <c r="F88" s="463">
        <v>351</v>
      </c>
      <c r="G88" s="1264">
        <v>293</v>
      </c>
      <c r="H88" s="1264">
        <v>281</v>
      </c>
      <c r="I88" s="1833">
        <v>321</v>
      </c>
      <c r="J88" s="1833">
        <v>255</v>
      </c>
      <c r="K88" s="2261">
        <v>251</v>
      </c>
    </row>
    <row r="89" spans="1:11" x14ac:dyDescent="0.3">
      <c r="A89" s="531" t="s">
        <v>218</v>
      </c>
      <c r="B89" s="532" t="s">
        <v>219</v>
      </c>
      <c r="C89" s="532" t="s">
        <v>255</v>
      </c>
      <c r="D89" s="463">
        <v>2049</v>
      </c>
      <c r="E89" s="463">
        <v>1860</v>
      </c>
      <c r="F89" s="463">
        <v>1743</v>
      </c>
      <c r="G89" s="1264">
        <v>1654</v>
      </c>
      <c r="H89" s="1264">
        <v>1537</v>
      </c>
      <c r="I89" s="1833">
        <v>1524</v>
      </c>
      <c r="J89" s="1833">
        <v>1539</v>
      </c>
      <c r="K89" s="2261">
        <v>1547</v>
      </c>
    </row>
    <row r="90" spans="1:11" x14ac:dyDescent="0.3">
      <c r="A90" s="531" t="s">
        <v>220</v>
      </c>
      <c r="B90" s="532" t="s">
        <v>221</v>
      </c>
      <c r="C90" s="532" t="s">
        <v>255</v>
      </c>
      <c r="D90" s="463">
        <v>1506</v>
      </c>
      <c r="E90" s="463">
        <v>1400</v>
      </c>
      <c r="F90" s="463">
        <v>1235</v>
      </c>
      <c r="G90" s="1264">
        <v>1190</v>
      </c>
      <c r="H90" s="1264">
        <v>1098</v>
      </c>
      <c r="I90" s="1833">
        <v>1220</v>
      </c>
      <c r="J90" s="1833">
        <v>1312</v>
      </c>
      <c r="K90" s="2261">
        <v>1340</v>
      </c>
    </row>
    <row r="91" spans="1:11" x14ac:dyDescent="0.3">
      <c r="A91" s="531" t="s">
        <v>224</v>
      </c>
      <c r="B91" s="532" t="s">
        <v>225</v>
      </c>
      <c r="C91" s="532" t="s">
        <v>252</v>
      </c>
      <c r="D91" s="463">
        <v>211</v>
      </c>
      <c r="E91" s="463">
        <v>197</v>
      </c>
      <c r="F91" s="463">
        <v>166</v>
      </c>
      <c r="G91" s="1264">
        <v>140</v>
      </c>
      <c r="H91" s="1264">
        <v>117</v>
      </c>
      <c r="I91" s="1833">
        <v>94</v>
      </c>
      <c r="J91" s="1833">
        <v>75</v>
      </c>
      <c r="K91" s="2261">
        <v>84</v>
      </c>
    </row>
    <row r="92" spans="1:11" x14ac:dyDescent="0.3">
      <c r="A92" s="531" t="s">
        <v>226</v>
      </c>
      <c r="B92" s="532" t="s">
        <v>227</v>
      </c>
      <c r="C92" s="532" t="s">
        <v>252</v>
      </c>
      <c r="D92" s="463">
        <v>346</v>
      </c>
      <c r="E92" s="463">
        <v>300</v>
      </c>
      <c r="F92" s="463">
        <v>326</v>
      </c>
      <c r="G92" s="1264">
        <v>295</v>
      </c>
      <c r="H92" s="1264">
        <v>270</v>
      </c>
      <c r="I92" s="1833">
        <v>250</v>
      </c>
      <c r="J92" s="1833">
        <v>248</v>
      </c>
      <c r="K92" s="2261">
        <v>238</v>
      </c>
    </row>
    <row r="93" spans="1:11" x14ac:dyDescent="0.3">
      <c r="A93" s="531" t="s">
        <v>228</v>
      </c>
      <c r="B93" s="532" t="s">
        <v>229</v>
      </c>
      <c r="C93" s="532" t="s">
        <v>256</v>
      </c>
      <c r="D93" s="463">
        <v>1124</v>
      </c>
      <c r="E93" s="463">
        <v>1023</v>
      </c>
      <c r="F93" s="463">
        <v>963</v>
      </c>
      <c r="G93" s="1264">
        <v>816</v>
      </c>
      <c r="H93" s="1264">
        <v>706</v>
      </c>
      <c r="I93" s="1833">
        <v>675</v>
      </c>
      <c r="J93" s="1833">
        <v>585</v>
      </c>
      <c r="K93" s="2261">
        <v>547</v>
      </c>
    </row>
    <row r="94" spans="1:11" x14ac:dyDescent="0.3">
      <c r="A94" s="531" t="s">
        <v>232</v>
      </c>
      <c r="B94" s="532" t="s">
        <v>233</v>
      </c>
      <c r="C94" s="532" t="s">
        <v>255</v>
      </c>
      <c r="D94" s="463">
        <v>590</v>
      </c>
      <c r="E94" s="463">
        <v>554</v>
      </c>
      <c r="F94" s="463">
        <v>531</v>
      </c>
      <c r="G94" s="1264">
        <v>456</v>
      </c>
      <c r="H94" s="1264">
        <v>440</v>
      </c>
      <c r="I94" s="1833">
        <v>374</v>
      </c>
      <c r="J94" s="1833">
        <v>398</v>
      </c>
      <c r="K94" s="2261">
        <v>431</v>
      </c>
    </row>
    <row r="95" spans="1:11" x14ac:dyDescent="0.3">
      <c r="A95" s="531" t="s">
        <v>234</v>
      </c>
      <c r="B95" s="532" t="s">
        <v>235</v>
      </c>
      <c r="C95" s="532" t="s">
        <v>256</v>
      </c>
      <c r="D95" s="463">
        <v>839</v>
      </c>
      <c r="E95" s="463">
        <v>795</v>
      </c>
      <c r="F95" s="463">
        <v>790</v>
      </c>
      <c r="G95" s="1264">
        <v>712</v>
      </c>
      <c r="H95" s="1264">
        <v>693</v>
      </c>
      <c r="I95" s="1833">
        <v>623</v>
      </c>
      <c r="J95" s="1833">
        <v>591</v>
      </c>
      <c r="K95" s="2261">
        <v>615</v>
      </c>
    </row>
    <row r="96" spans="1:11" x14ac:dyDescent="0.3">
      <c r="A96" s="531" t="s">
        <v>236</v>
      </c>
      <c r="B96" s="532" t="s">
        <v>237</v>
      </c>
      <c r="C96" s="532" t="s">
        <v>254</v>
      </c>
      <c r="D96" s="463">
        <v>342</v>
      </c>
      <c r="E96" s="463">
        <v>318</v>
      </c>
      <c r="F96" s="463">
        <v>258</v>
      </c>
      <c r="G96" s="1264">
        <v>306</v>
      </c>
      <c r="H96" s="1264">
        <v>305</v>
      </c>
      <c r="I96" s="1833">
        <v>336</v>
      </c>
      <c r="J96" s="1833">
        <v>310</v>
      </c>
      <c r="K96" s="2261">
        <v>264</v>
      </c>
    </row>
    <row r="97" spans="1:11" x14ac:dyDescent="0.3">
      <c r="A97" s="531" t="s">
        <v>242</v>
      </c>
      <c r="B97" s="532" t="s">
        <v>243</v>
      </c>
      <c r="C97" s="532" t="s">
        <v>256</v>
      </c>
      <c r="D97" s="463">
        <v>1614</v>
      </c>
      <c r="E97" s="463">
        <v>1537</v>
      </c>
      <c r="F97" s="463">
        <v>1411</v>
      </c>
      <c r="G97" s="1264">
        <v>1129</v>
      </c>
      <c r="H97" s="1264">
        <v>1071</v>
      </c>
      <c r="I97" s="1833">
        <v>1129</v>
      </c>
      <c r="J97" s="1833">
        <v>1011</v>
      </c>
      <c r="K97" s="2261">
        <v>939</v>
      </c>
    </row>
    <row r="98" spans="1:11" x14ac:dyDescent="0.3">
      <c r="A98" s="531" t="s">
        <v>244</v>
      </c>
      <c r="B98" s="532" t="s">
        <v>245</v>
      </c>
      <c r="C98" s="532" t="s">
        <v>256</v>
      </c>
      <c r="D98" s="463">
        <v>582</v>
      </c>
      <c r="E98" s="463">
        <v>438</v>
      </c>
      <c r="F98" s="463">
        <v>420</v>
      </c>
      <c r="G98" s="1264">
        <v>414</v>
      </c>
      <c r="H98" s="1264">
        <v>312</v>
      </c>
      <c r="I98" s="1833">
        <v>353</v>
      </c>
      <c r="J98" s="1833">
        <v>302</v>
      </c>
      <c r="K98" s="2261">
        <v>349</v>
      </c>
    </row>
    <row r="99" spans="1:11" x14ac:dyDescent="0.3">
      <c r="A99" s="531" t="s">
        <v>246</v>
      </c>
      <c r="B99" s="532" t="s">
        <v>247</v>
      </c>
      <c r="C99" s="532" t="s">
        <v>252</v>
      </c>
      <c r="D99" s="463">
        <v>625</v>
      </c>
      <c r="E99" s="463">
        <v>589</v>
      </c>
      <c r="F99" s="463">
        <v>544</v>
      </c>
      <c r="G99" s="1264">
        <v>514</v>
      </c>
      <c r="H99" s="1264">
        <v>513</v>
      </c>
      <c r="I99" s="1833">
        <v>440</v>
      </c>
      <c r="J99" s="1833">
        <v>443</v>
      </c>
      <c r="K99" s="2261">
        <v>400</v>
      </c>
    </row>
    <row r="100" spans="1:11" x14ac:dyDescent="0.3">
      <c r="A100" s="531" t="s">
        <v>14</v>
      </c>
      <c r="B100" s="532" t="s">
        <v>15</v>
      </c>
      <c r="C100" s="532" t="s">
        <v>255</v>
      </c>
      <c r="D100" s="463">
        <v>1741</v>
      </c>
      <c r="E100" s="463">
        <v>1640</v>
      </c>
      <c r="F100" s="463">
        <v>1618</v>
      </c>
      <c r="G100" s="1264">
        <v>1802</v>
      </c>
      <c r="H100" s="1264">
        <v>1816</v>
      </c>
      <c r="I100" s="1833">
        <v>2126</v>
      </c>
      <c r="J100" s="1833">
        <v>2258</v>
      </c>
      <c r="K100" s="2261">
        <v>1930</v>
      </c>
    </row>
    <row r="101" spans="1:11" x14ac:dyDescent="0.3">
      <c r="A101" s="531" t="s">
        <v>34</v>
      </c>
      <c r="B101" s="532" t="s">
        <v>35</v>
      </c>
      <c r="C101" s="532" t="s">
        <v>256</v>
      </c>
      <c r="D101" s="463">
        <v>1267</v>
      </c>
      <c r="E101" s="463">
        <v>1176</v>
      </c>
      <c r="F101" s="463">
        <v>965</v>
      </c>
      <c r="G101" s="1264">
        <v>830</v>
      </c>
      <c r="H101" s="1264">
        <v>724</v>
      </c>
      <c r="I101" s="1833">
        <v>686</v>
      </c>
      <c r="J101" s="1833">
        <v>627</v>
      </c>
      <c r="K101" s="2261">
        <v>607</v>
      </c>
    </row>
    <row r="102" spans="1:11" x14ac:dyDescent="0.3">
      <c r="A102" s="531" t="s">
        <v>52</v>
      </c>
      <c r="B102" s="532" t="s">
        <v>53</v>
      </c>
      <c r="C102" s="532" t="s">
        <v>253</v>
      </c>
      <c r="D102" s="463">
        <v>1352</v>
      </c>
      <c r="E102" s="463">
        <v>1232</v>
      </c>
      <c r="F102" s="463">
        <v>1072</v>
      </c>
      <c r="G102" s="1264">
        <v>1019</v>
      </c>
      <c r="H102" s="1264">
        <v>976</v>
      </c>
      <c r="I102" s="1833">
        <v>932</v>
      </c>
      <c r="J102" s="1833">
        <v>862</v>
      </c>
      <c r="K102" s="2261">
        <v>867</v>
      </c>
    </row>
    <row r="103" spans="1:11" x14ac:dyDescent="0.3">
      <c r="A103" s="531" t="s">
        <v>54</v>
      </c>
      <c r="B103" s="532" t="s">
        <v>55</v>
      </c>
      <c r="C103" s="532" t="s">
        <v>252</v>
      </c>
      <c r="D103" s="463">
        <v>4538</v>
      </c>
      <c r="E103" s="463">
        <v>4132</v>
      </c>
      <c r="F103" s="463">
        <v>3809</v>
      </c>
      <c r="G103" s="1264">
        <v>3442</v>
      </c>
      <c r="H103" s="1264">
        <v>2996</v>
      </c>
      <c r="I103" s="1833">
        <v>2641</v>
      </c>
      <c r="J103" s="1833">
        <v>2404</v>
      </c>
      <c r="K103" s="2261">
        <v>2156</v>
      </c>
    </row>
    <row r="104" spans="1:11" x14ac:dyDescent="0.3">
      <c r="A104" s="531" t="s">
        <v>66</v>
      </c>
      <c r="B104" s="532" t="s">
        <v>67</v>
      </c>
      <c r="C104" s="532" t="s">
        <v>253</v>
      </c>
      <c r="D104" s="463">
        <v>1941</v>
      </c>
      <c r="E104" s="463">
        <v>1870</v>
      </c>
      <c r="F104" s="463">
        <v>1731</v>
      </c>
      <c r="G104" s="1264">
        <v>1648</v>
      </c>
      <c r="H104" s="1264">
        <v>1336</v>
      </c>
      <c r="I104" s="1833">
        <v>1156</v>
      </c>
      <c r="J104" s="1833">
        <v>1094</v>
      </c>
      <c r="K104" s="2261">
        <v>1134</v>
      </c>
    </row>
    <row r="105" spans="1:11" x14ac:dyDescent="0.3">
      <c r="A105" s="531" t="s">
        <v>82</v>
      </c>
      <c r="B105" s="532" t="s">
        <v>83</v>
      </c>
      <c r="C105" s="532" t="s">
        <v>252</v>
      </c>
      <c r="D105" s="463">
        <v>583</v>
      </c>
      <c r="E105" s="463">
        <v>491</v>
      </c>
      <c r="F105" s="463">
        <v>385</v>
      </c>
      <c r="G105" s="1264">
        <v>327</v>
      </c>
      <c r="H105" s="1264">
        <v>259</v>
      </c>
      <c r="I105" s="1833">
        <v>250</v>
      </c>
      <c r="J105" s="1833">
        <v>232</v>
      </c>
      <c r="K105" s="2261">
        <v>210</v>
      </c>
    </row>
    <row r="106" spans="1:11" x14ac:dyDescent="0.3">
      <c r="A106" s="531" t="s">
        <v>88</v>
      </c>
      <c r="B106" s="532" t="s">
        <v>89</v>
      </c>
      <c r="C106" s="532" t="s">
        <v>255</v>
      </c>
      <c r="D106" s="463">
        <v>973</v>
      </c>
      <c r="E106" s="463">
        <v>857</v>
      </c>
      <c r="F106" s="463">
        <v>814</v>
      </c>
      <c r="G106" s="1264">
        <v>775</v>
      </c>
      <c r="H106" s="1264">
        <v>688</v>
      </c>
      <c r="I106" s="1833">
        <v>753</v>
      </c>
      <c r="J106" s="1833">
        <v>778</v>
      </c>
      <c r="K106" s="2261">
        <v>762</v>
      </c>
    </row>
    <row r="107" spans="1:11" x14ac:dyDescent="0.3">
      <c r="A107" s="531" t="s">
        <v>90</v>
      </c>
      <c r="B107" s="532" t="s">
        <v>91</v>
      </c>
      <c r="C107" s="532" t="s">
        <v>256</v>
      </c>
      <c r="D107" s="463">
        <v>332</v>
      </c>
      <c r="E107" s="463">
        <v>262</v>
      </c>
      <c r="F107" s="463">
        <v>212</v>
      </c>
      <c r="G107" s="1264">
        <v>161</v>
      </c>
      <c r="H107" s="1264">
        <v>154</v>
      </c>
      <c r="I107" s="1833">
        <v>147</v>
      </c>
      <c r="J107" s="1833">
        <v>107</v>
      </c>
      <c r="K107" s="2261">
        <v>87</v>
      </c>
    </row>
    <row r="108" spans="1:11" x14ac:dyDescent="0.3">
      <c r="A108" s="531" t="s">
        <v>106</v>
      </c>
      <c r="B108" s="532" t="s">
        <v>107</v>
      </c>
      <c r="C108" s="532" t="s">
        <v>252</v>
      </c>
      <c r="D108" s="463">
        <v>5485</v>
      </c>
      <c r="E108" s="463">
        <v>5098</v>
      </c>
      <c r="F108" s="463">
        <v>4671</v>
      </c>
      <c r="G108" s="1264">
        <v>4079</v>
      </c>
      <c r="H108" s="1264">
        <v>3800</v>
      </c>
      <c r="I108" s="1833">
        <v>3496</v>
      </c>
      <c r="J108" s="1833">
        <v>3256</v>
      </c>
      <c r="K108" s="2261">
        <v>2907</v>
      </c>
    </row>
    <row r="109" spans="1:11" x14ac:dyDescent="0.3">
      <c r="A109" s="531" t="s">
        <v>116</v>
      </c>
      <c r="B109" s="532" t="s">
        <v>117</v>
      </c>
      <c r="C109" s="532" t="s">
        <v>254</v>
      </c>
      <c r="D109" s="463">
        <v>1318</v>
      </c>
      <c r="E109" s="463">
        <v>1255</v>
      </c>
      <c r="F109" s="463">
        <v>1220</v>
      </c>
      <c r="G109" s="1264">
        <v>1178</v>
      </c>
      <c r="H109" s="1264">
        <v>1001</v>
      </c>
      <c r="I109" s="1833">
        <v>1093</v>
      </c>
      <c r="J109" s="1833">
        <v>958</v>
      </c>
      <c r="K109" s="2261">
        <v>916</v>
      </c>
    </row>
    <row r="110" spans="1:11" x14ac:dyDescent="0.3">
      <c r="A110" s="531" t="s">
        <v>138</v>
      </c>
      <c r="B110" s="532" t="s">
        <v>139</v>
      </c>
      <c r="C110" s="532" t="s">
        <v>253</v>
      </c>
      <c r="D110" s="463">
        <v>2448</v>
      </c>
      <c r="E110" s="463">
        <v>2208</v>
      </c>
      <c r="F110" s="463">
        <v>2036</v>
      </c>
      <c r="G110" s="1264">
        <v>1818</v>
      </c>
      <c r="H110" s="1264">
        <v>1585</v>
      </c>
      <c r="I110" s="1833">
        <v>1396</v>
      </c>
      <c r="J110" s="1833">
        <v>1212</v>
      </c>
      <c r="K110" s="2261">
        <v>1056</v>
      </c>
    </row>
    <row r="111" spans="1:11" x14ac:dyDescent="0.3">
      <c r="A111" s="531" t="s">
        <v>142</v>
      </c>
      <c r="B111" s="532" t="s">
        <v>143</v>
      </c>
      <c r="C111" s="532" t="s">
        <v>255</v>
      </c>
      <c r="D111" s="463">
        <v>884</v>
      </c>
      <c r="E111" s="463">
        <v>690</v>
      </c>
      <c r="F111" s="463">
        <v>694</v>
      </c>
      <c r="G111" s="1264">
        <v>611</v>
      </c>
      <c r="H111" s="1264">
        <v>439</v>
      </c>
      <c r="I111" s="1833">
        <v>369</v>
      </c>
      <c r="J111" s="1833">
        <v>388</v>
      </c>
      <c r="K111" s="2261">
        <v>334</v>
      </c>
    </row>
    <row r="112" spans="1:11" x14ac:dyDescent="0.3">
      <c r="A112" s="531" t="s">
        <v>144</v>
      </c>
      <c r="B112" s="532" t="s">
        <v>145</v>
      </c>
      <c r="C112" s="532" t="s">
        <v>255</v>
      </c>
      <c r="D112" s="463">
        <v>211</v>
      </c>
      <c r="E112" s="463">
        <v>192</v>
      </c>
      <c r="F112" s="463">
        <v>168</v>
      </c>
      <c r="G112" s="1264">
        <v>131</v>
      </c>
      <c r="H112" s="1264">
        <v>101</v>
      </c>
      <c r="I112" s="1833">
        <v>143</v>
      </c>
      <c r="J112" s="1833">
        <v>91</v>
      </c>
      <c r="K112" s="2261">
        <v>66</v>
      </c>
    </row>
    <row r="113" spans="1:11" x14ac:dyDescent="0.3">
      <c r="A113" s="531" t="s">
        <v>158</v>
      </c>
      <c r="B113" s="532" t="s">
        <v>159</v>
      </c>
      <c r="C113" s="532" t="s">
        <v>252</v>
      </c>
      <c r="D113" s="463">
        <v>7873</v>
      </c>
      <c r="E113" s="463">
        <v>7299</v>
      </c>
      <c r="F113" s="463">
        <v>6520</v>
      </c>
      <c r="G113" s="1264">
        <v>5948</v>
      </c>
      <c r="H113" s="1264">
        <v>5730</v>
      </c>
      <c r="I113" s="1833">
        <v>5756</v>
      </c>
      <c r="J113" s="1833">
        <v>5465</v>
      </c>
      <c r="K113" s="2261">
        <v>4830</v>
      </c>
    </row>
    <row r="114" spans="1:11" x14ac:dyDescent="0.3">
      <c r="A114" s="531" t="s">
        <v>160</v>
      </c>
      <c r="B114" s="532" t="s">
        <v>161</v>
      </c>
      <c r="C114" s="532" t="s">
        <v>252</v>
      </c>
      <c r="D114" s="463">
        <v>9531</v>
      </c>
      <c r="E114" s="463">
        <v>8527</v>
      </c>
      <c r="F114" s="463">
        <v>7856</v>
      </c>
      <c r="G114" s="1264">
        <v>6642</v>
      </c>
      <c r="H114" s="1264">
        <v>5728</v>
      </c>
      <c r="I114" s="1833">
        <v>5206</v>
      </c>
      <c r="J114" s="1833">
        <v>4557</v>
      </c>
      <c r="K114" s="2261">
        <v>4154</v>
      </c>
    </row>
    <row r="115" spans="1:11" x14ac:dyDescent="0.3">
      <c r="A115" s="531" t="s">
        <v>166</v>
      </c>
      <c r="B115" s="532" t="s">
        <v>167</v>
      </c>
      <c r="C115" s="532" t="s">
        <v>256</v>
      </c>
      <c r="D115" s="463">
        <v>214</v>
      </c>
      <c r="E115" s="463">
        <v>197</v>
      </c>
      <c r="F115" s="463">
        <v>197</v>
      </c>
      <c r="G115" s="1264">
        <v>193</v>
      </c>
      <c r="H115" s="1264">
        <v>173</v>
      </c>
      <c r="I115" s="1833">
        <v>159</v>
      </c>
      <c r="J115" s="1833">
        <v>127</v>
      </c>
      <c r="K115" s="2261">
        <v>133</v>
      </c>
    </row>
    <row r="116" spans="1:11" x14ac:dyDescent="0.3">
      <c r="A116" s="531" t="s">
        <v>176</v>
      </c>
      <c r="B116" s="532" t="s">
        <v>177</v>
      </c>
      <c r="C116" s="532" t="s">
        <v>254</v>
      </c>
      <c r="D116" s="463">
        <v>2165</v>
      </c>
      <c r="E116" s="463">
        <v>1968</v>
      </c>
      <c r="F116" s="463">
        <v>1884</v>
      </c>
      <c r="G116" s="1264">
        <v>1872</v>
      </c>
      <c r="H116" s="1264">
        <v>1634</v>
      </c>
      <c r="I116" s="1833">
        <v>1443</v>
      </c>
      <c r="J116" s="1833">
        <v>1295</v>
      </c>
      <c r="K116" s="2261">
        <v>1238</v>
      </c>
    </row>
    <row r="117" spans="1:11" x14ac:dyDescent="0.3">
      <c r="A117" s="531" t="s">
        <v>180</v>
      </c>
      <c r="B117" s="532" t="s">
        <v>181</v>
      </c>
      <c r="C117" s="532" t="s">
        <v>252</v>
      </c>
      <c r="D117" s="463">
        <v>4725</v>
      </c>
      <c r="E117" s="463">
        <v>4360</v>
      </c>
      <c r="F117" s="463">
        <v>3998</v>
      </c>
      <c r="G117" s="1264">
        <v>3690</v>
      </c>
      <c r="H117" s="1264">
        <v>3237</v>
      </c>
      <c r="I117" s="1833">
        <v>3034</v>
      </c>
      <c r="J117" s="1833">
        <v>2551</v>
      </c>
      <c r="K117" s="2261">
        <v>2541</v>
      </c>
    </row>
    <row r="118" spans="1:11" x14ac:dyDescent="0.3">
      <c r="A118" s="531" t="s">
        <v>192</v>
      </c>
      <c r="B118" s="532" t="s">
        <v>193</v>
      </c>
      <c r="C118" s="532" t="s">
        <v>256</v>
      </c>
      <c r="D118" s="463">
        <v>351</v>
      </c>
      <c r="E118" s="463">
        <v>322</v>
      </c>
      <c r="F118" s="463">
        <v>346</v>
      </c>
      <c r="G118" s="1264">
        <v>266</v>
      </c>
      <c r="H118" s="1264">
        <v>215</v>
      </c>
      <c r="I118" s="1833">
        <v>240</v>
      </c>
      <c r="J118" s="1833">
        <v>223</v>
      </c>
      <c r="K118" s="2261">
        <v>166</v>
      </c>
    </row>
    <row r="119" spans="1:11" x14ac:dyDescent="0.3">
      <c r="A119" s="531" t="s">
        <v>196</v>
      </c>
      <c r="B119" s="532" t="s">
        <v>197</v>
      </c>
      <c r="C119" s="532" t="s">
        <v>254</v>
      </c>
      <c r="D119" s="463">
        <v>10755</v>
      </c>
      <c r="E119" s="463">
        <v>9624</v>
      </c>
      <c r="F119" s="463">
        <v>8595</v>
      </c>
      <c r="G119" s="1264">
        <v>7716</v>
      </c>
      <c r="H119" s="1264">
        <v>6690</v>
      </c>
      <c r="I119" s="1833">
        <v>6578</v>
      </c>
      <c r="J119" s="1833">
        <v>5701</v>
      </c>
      <c r="K119" s="2261">
        <v>4891</v>
      </c>
    </row>
    <row r="120" spans="1:11" x14ac:dyDescent="0.3">
      <c r="A120" s="531" t="s">
        <v>200</v>
      </c>
      <c r="B120" s="532" t="s">
        <v>201</v>
      </c>
      <c r="C120" s="532" t="s">
        <v>253</v>
      </c>
      <c r="D120" s="463">
        <v>5119</v>
      </c>
      <c r="E120" s="463">
        <v>4576</v>
      </c>
      <c r="F120" s="463">
        <v>4170</v>
      </c>
      <c r="G120" s="1264">
        <v>3697</v>
      </c>
      <c r="H120" s="1264">
        <v>3339</v>
      </c>
      <c r="I120" s="1833">
        <v>3246</v>
      </c>
      <c r="J120" s="1833">
        <v>2819</v>
      </c>
      <c r="K120" s="2261">
        <v>2410</v>
      </c>
    </row>
    <row r="121" spans="1:11" x14ac:dyDescent="0.3">
      <c r="A121" s="531" t="s">
        <v>222</v>
      </c>
      <c r="B121" s="532" t="s">
        <v>223</v>
      </c>
      <c r="C121" s="532" t="s">
        <v>252</v>
      </c>
      <c r="D121" s="463">
        <v>1611</v>
      </c>
      <c r="E121" s="463">
        <v>1613</v>
      </c>
      <c r="F121" s="463">
        <v>1559</v>
      </c>
      <c r="G121" s="1264">
        <v>1387</v>
      </c>
      <c r="H121" s="1264">
        <v>1349</v>
      </c>
      <c r="I121" s="1833">
        <v>1376</v>
      </c>
      <c r="J121" s="1833">
        <v>1161</v>
      </c>
      <c r="K121" s="2261">
        <v>1126</v>
      </c>
    </row>
    <row r="122" spans="1:11" x14ac:dyDescent="0.3">
      <c r="A122" s="531" t="s">
        <v>230</v>
      </c>
      <c r="B122" s="532" t="s">
        <v>231</v>
      </c>
      <c r="C122" s="532" t="s">
        <v>252</v>
      </c>
      <c r="D122" s="463">
        <v>4864</v>
      </c>
      <c r="E122" s="463">
        <v>4369</v>
      </c>
      <c r="F122" s="463">
        <v>3939</v>
      </c>
      <c r="G122" s="1264">
        <v>3303</v>
      </c>
      <c r="H122" s="1264">
        <v>2593</v>
      </c>
      <c r="I122" s="1833">
        <v>2446</v>
      </c>
      <c r="J122" s="1833">
        <v>2178</v>
      </c>
      <c r="K122" s="2261">
        <v>1884</v>
      </c>
    </row>
    <row r="123" spans="1:11" x14ac:dyDescent="0.3">
      <c r="A123" s="531" t="s">
        <v>238</v>
      </c>
      <c r="B123" s="532" t="s">
        <v>239</v>
      </c>
      <c r="C123" s="532" t="s">
        <v>252</v>
      </c>
      <c r="D123" s="463">
        <v>223</v>
      </c>
      <c r="E123" s="463">
        <v>208</v>
      </c>
      <c r="F123" s="463">
        <v>192</v>
      </c>
      <c r="G123" s="1264">
        <v>171</v>
      </c>
      <c r="H123" s="1264">
        <v>133</v>
      </c>
      <c r="I123" s="1833">
        <v>133</v>
      </c>
      <c r="J123" s="1833">
        <v>166</v>
      </c>
      <c r="K123" s="2261">
        <v>134</v>
      </c>
    </row>
    <row r="124" spans="1:11" x14ac:dyDescent="0.3">
      <c r="A124" s="464" t="s">
        <v>240</v>
      </c>
      <c r="B124" s="453" t="s">
        <v>241</v>
      </c>
      <c r="C124" s="453" t="s">
        <v>255</v>
      </c>
      <c r="D124" s="465">
        <v>685</v>
      </c>
      <c r="E124" s="465">
        <v>603</v>
      </c>
      <c r="F124" s="465">
        <v>454</v>
      </c>
      <c r="G124" s="1265">
        <v>380</v>
      </c>
      <c r="H124" s="1265">
        <v>384</v>
      </c>
      <c r="I124" s="1834">
        <v>366</v>
      </c>
      <c r="J124" s="1834">
        <v>362</v>
      </c>
      <c r="K124" s="1265">
        <v>358</v>
      </c>
    </row>
    <row r="126" spans="1:11" ht="63.75" customHeight="1" x14ac:dyDescent="0.3">
      <c r="A126" s="2737" t="s">
        <v>1166</v>
      </c>
      <c r="B126" s="2737"/>
      <c r="C126" s="2737"/>
      <c r="D126" s="2737"/>
      <c r="E126" s="2737"/>
      <c r="F126" s="2737"/>
      <c r="G126" s="2737"/>
      <c r="H126" s="2737"/>
      <c r="I126" s="1777"/>
      <c r="J126" s="1865"/>
      <c r="K126" s="2257"/>
    </row>
    <row r="128" spans="1:11" s="359" customFormat="1" x14ac:dyDescent="0.3">
      <c r="A128" s="359" t="s">
        <v>248</v>
      </c>
    </row>
    <row r="129" spans="1:3" s="359" customFormat="1" x14ac:dyDescent="0.3">
      <c r="A129" s="360" t="s">
        <v>249</v>
      </c>
      <c r="B129" s="361" t="s">
        <v>250</v>
      </c>
      <c r="C129" s="361"/>
    </row>
  </sheetData>
  <sortState ref="A5:L124">
    <sortCondition ref="A5:A124"/>
  </sortState>
  <mergeCells count="1">
    <mergeCell ref="A126:H126"/>
  </mergeCells>
  <hyperlinks>
    <hyperlink ref="B129" r:id="rId1"/>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P130"/>
  <sheetViews>
    <sheetView workbookViewId="0">
      <pane xSplit="3" ySplit="5" topLeftCell="D106" activePane="bottomRight" state="frozen"/>
      <selection pane="topRight" activeCell="D1" sqref="D1"/>
      <selection pane="bottomLeft" activeCell="A6" sqref="A6"/>
      <selection pane="bottomRight" activeCell="H129" sqref="H129"/>
    </sheetView>
  </sheetViews>
  <sheetFormatPr defaultColWidth="9" defaultRowHeight="15.6" x14ac:dyDescent="0.3"/>
  <cols>
    <col min="1" max="1" width="6.09765625" style="134" bestFit="1" customWidth="1"/>
    <col min="2" max="2" width="29.296875" style="157" customWidth="1"/>
    <col min="3" max="3" width="9.19921875" style="157" customWidth="1"/>
    <col min="4" max="8" width="15.19921875" style="667" customWidth="1"/>
    <col min="9" max="9" width="13.59765625" style="667" bestFit="1" customWidth="1"/>
    <col min="10" max="10" width="14.796875" style="667" customWidth="1"/>
    <col min="11" max="11" width="12.59765625" style="667" bestFit="1" customWidth="1"/>
    <col min="12" max="12" width="12.59765625" style="667" customWidth="1"/>
    <col min="13" max="13" width="13.59765625" style="667" bestFit="1" customWidth="1"/>
    <col min="14" max="14" width="14.796875" style="667" bestFit="1" customWidth="1"/>
    <col min="15" max="28" width="16" style="667" customWidth="1"/>
    <col min="29" max="29" width="3.19921875" style="667" customWidth="1"/>
    <col min="30" max="30" width="9" style="265" customWidth="1"/>
    <col min="31" max="33" width="9" style="265"/>
    <col min="34" max="34" width="11" style="265" customWidth="1"/>
    <col min="35" max="35" width="3.796875" style="621" customWidth="1"/>
    <col min="36" max="38" width="12.5" style="263" customWidth="1"/>
    <col min="39" max="39" width="4.09765625" style="621" customWidth="1"/>
    <col min="40" max="42" width="12.5" style="263" customWidth="1"/>
    <col min="43" max="16384" width="9" style="621"/>
  </cols>
  <sheetData>
    <row r="1" spans="1:42" x14ac:dyDescent="0.3">
      <c r="A1" s="620" t="s">
        <v>1153</v>
      </c>
      <c r="B1" s="621"/>
      <c r="C1" s="621"/>
    </row>
    <row r="3" spans="1:42" x14ac:dyDescent="0.3">
      <c r="D3" s="2674" t="s">
        <v>560</v>
      </c>
      <c r="E3" s="2675"/>
      <c r="F3" s="2676"/>
      <c r="G3" s="2675"/>
      <c r="H3" s="2677"/>
      <c r="I3" s="2678" t="s">
        <v>561</v>
      </c>
      <c r="J3" s="2679"/>
      <c r="K3" s="2679"/>
      <c r="L3" s="2680"/>
      <c r="M3" s="2681"/>
      <c r="N3" s="2682" t="s">
        <v>947</v>
      </c>
      <c r="O3" s="2683"/>
      <c r="P3" s="2683"/>
      <c r="Q3" s="2684"/>
      <c r="R3" s="2685"/>
      <c r="S3" s="2691" t="s">
        <v>1035</v>
      </c>
      <c r="T3" s="2676"/>
      <c r="U3" s="2676"/>
      <c r="V3" s="2676"/>
      <c r="W3" s="2692"/>
      <c r="X3" s="2687" t="s">
        <v>948</v>
      </c>
      <c r="Y3" s="2688"/>
      <c r="Z3" s="2688"/>
      <c r="AA3" s="2689"/>
      <c r="AB3" s="2690"/>
      <c r="AC3" s="668"/>
      <c r="AD3" s="2671" t="s">
        <v>556</v>
      </c>
      <c r="AE3" s="2672"/>
      <c r="AF3" s="2672"/>
      <c r="AG3" s="2686"/>
      <c r="AH3" s="2673"/>
      <c r="AJ3" s="2671" t="s">
        <v>780</v>
      </c>
      <c r="AK3" s="2672"/>
      <c r="AL3" s="2673"/>
      <c r="AN3" s="2671" t="s">
        <v>781</v>
      </c>
      <c r="AO3" s="2672"/>
      <c r="AP3" s="2673"/>
    </row>
    <row r="4" spans="1:42" ht="31.2" x14ac:dyDescent="0.3">
      <c r="A4" s="622" t="s">
        <v>4</v>
      </c>
      <c r="B4" s="179" t="s">
        <v>5</v>
      </c>
      <c r="C4" s="179" t="s">
        <v>251</v>
      </c>
      <c r="D4" s="1685" t="s">
        <v>302</v>
      </c>
      <c r="E4" s="1686" t="s">
        <v>303</v>
      </c>
      <c r="F4" s="1686" t="s">
        <v>304</v>
      </c>
      <c r="G4" s="1687" t="s">
        <v>292</v>
      </c>
      <c r="H4" s="1688" t="s">
        <v>269</v>
      </c>
      <c r="I4" s="1685" t="s">
        <v>302</v>
      </c>
      <c r="J4" s="1686" t="s">
        <v>303</v>
      </c>
      <c r="K4" s="1687" t="s">
        <v>304</v>
      </c>
      <c r="L4" s="1687" t="s">
        <v>292</v>
      </c>
      <c r="M4" s="1688" t="s">
        <v>269</v>
      </c>
      <c r="N4" s="1681" t="s">
        <v>302</v>
      </c>
      <c r="O4" s="1682" t="s">
        <v>303</v>
      </c>
      <c r="P4" s="1683" t="s">
        <v>304</v>
      </c>
      <c r="Q4" s="2076" t="s">
        <v>292</v>
      </c>
      <c r="R4" s="1684" t="s">
        <v>269</v>
      </c>
      <c r="S4" s="1674" t="s">
        <v>302</v>
      </c>
      <c r="T4" s="1675" t="s">
        <v>303</v>
      </c>
      <c r="U4" s="1675" t="s">
        <v>304</v>
      </c>
      <c r="V4" s="2080" t="s">
        <v>292</v>
      </c>
      <c r="W4" s="1676" t="s">
        <v>269</v>
      </c>
      <c r="X4" s="1674" t="s">
        <v>302</v>
      </c>
      <c r="Y4" s="1677" t="s">
        <v>303</v>
      </c>
      <c r="Z4" s="1675" t="s">
        <v>304</v>
      </c>
      <c r="AA4" s="2080" t="s">
        <v>292</v>
      </c>
      <c r="AB4" s="1676" t="s">
        <v>269</v>
      </c>
      <c r="AC4" s="669"/>
      <c r="AD4" s="1073" t="s">
        <v>557</v>
      </c>
      <c r="AE4" s="687" t="s">
        <v>558</v>
      </c>
      <c r="AF4" s="687" t="s">
        <v>559</v>
      </c>
      <c r="AG4" s="687" t="s">
        <v>1036</v>
      </c>
      <c r="AH4" s="680" t="s">
        <v>567</v>
      </c>
      <c r="AJ4" s="679" t="s">
        <v>564</v>
      </c>
      <c r="AK4" s="687" t="s">
        <v>565</v>
      </c>
      <c r="AL4" s="688" t="s">
        <v>566</v>
      </c>
      <c r="AN4" s="679" t="s">
        <v>564</v>
      </c>
      <c r="AO4" s="687" t="s">
        <v>565</v>
      </c>
      <c r="AP4" s="688" t="s">
        <v>566</v>
      </c>
    </row>
    <row r="5" spans="1:42" x14ac:dyDescent="0.3">
      <c r="A5" s="670" t="s">
        <v>8</v>
      </c>
      <c r="B5" s="671" t="s">
        <v>9</v>
      </c>
      <c r="C5" s="671"/>
      <c r="D5" s="674">
        <f>'Administration LASER'!D4+'Other Oper Exp. LASER'!D4</f>
        <v>341173709.11590004</v>
      </c>
      <c r="E5" s="675">
        <f>'Administration LASER'!E4+'Other Oper Exp. LASER'!E4</f>
        <v>124318479.13409998</v>
      </c>
      <c r="F5" s="2082">
        <f>'Administration LASER'!F4+'Other Oper Exp. LASER'!F4</f>
        <v>217085149.18000001</v>
      </c>
      <c r="G5" s="675">
        <f>'Administration LASER'!J4 + 'Other Oper Exp. LASER'!J4</f>
        <v>40271036.829999998</v>
      </c>
      <c r="H5" s="1662">
        <f>'Administration LASER'!I4+'Other Oper Exp. LASER'!I4</f>
        <v>722848374.25999975</v>
      </c>
      <c r="I5" s="674">
        <f>'Client Services LASER'!D4</f>
        <v>12276416.75</v>
      </c>
      <c r="J5" s="675">
        <f>'Client Services LASER'!E4</f>
        <v>8133023.4600000009</v>
      </c>
      <c r="K5" s="675">
        <f>'Client Services LASER'!F4</f>
        <v>4138339.3400000012</v>
      </c>
      <c r="L5" s="2082">
        <f>'Client Services LASER'!G4+'Client Services LASER'!H4</f>
        <v>4489742.1500000004</v>
      </c>
      <c r="M5" s="1662">
        <f>'Client Services LASER'!I4</f>
        <v>29037521.699999999</v>
      </c>
      <c r="N5" s="1663">
        <f>'Statewide Benefits'!D5</f>
        <v>6445308458.8074598</v>
      </c>
      <c r="O5" s="1664">
        <f>'Statewide Benefits'!E5</f>
        <v>5250228282.0447626</v>
      </c>
      <c r="P5" s="1664">
        <f>'Statewide Benefits'!F5</f>
        <v>157683789.44</v>
      </c>
      <c r="Q5" s="2077">
        <f>'Statewide Benefits'!G5</f>
        <v>0</v>
      </c>
      <c r="R5" s="1665">
        <f>'Statewide Benefits'!H5</f>
        <v>11853220530.292227</v>
      </c>
      <c r="S5" s="1672">
        <f>'Other Benefits LASER'!D4+'FC &amp; Adoptions LASER'!D4</f>
        <v>91341663.819999993</v>
      </c>
      <c r="T5" s="1673">
        <f>'Other Benefits LASER'!E4+'FC &amp; Adoptions LASER'!E4</f>
        <v>122622778.88</v>
      </c>
      <c r="U5" s="1673">
        <f>'Other Benefits LASER'!F4+'FC &amp; Adoptions LASER'!F4</f>
        <v>4727655.2499999991</v>
      </c>
      <c r="V5" s="2081">
        <f>'FC &amp; Adoptions LASER'!J4+'Other Benefits LASER'!J4</f>
        <v>1075464.58</v>
      </c>
      <c r="W5" s="1665">
        <f>'Other Benefits LASER'!I4+'FC &amp; Adoptions LASER'!I4</f>
        <v>219767562.53000003</v>
      </c>
      <c r="X5" s="1678">
        <f t="shared" ref="X5:AB5" si="0">SUM(X6:X125)</f>
        <v>6890100248.4933634</v>
      </c>
      <c r="Y5" s="1679">
        <f t="shared" si="0"/>
        <v>5505302563.5188608</v>
      </c>
      <c r="Z5" s="1679">
        <f>F5+K5+P5+U5</f>
        <v>383634933.21000004</v>
      </c>
      <c r="AA5" s="2083">
        <f>G5+L5+Q5+V5</f>
        <v>45836243.559999995</v>
      </c>
      <c r="AB5" s="1680">
        <f t="shared" si="0"/>
        <v>12824873988.782225</v>
      </c>
      <c r="AC5" s="672"/>
      <c r="AD5" s="681">
        <f t="shared" ref="AD5" si="1">D5/H5</f>
        <v>0.47198516489045045</v>
      </c>
      <c r="AE5" s="682">
        <f t="shared" ref="AE5" si="2">E5/H5</f>
        <v>0.17198417200753657</v>
      </c>
      <c r="AF5" s="682">
        <f>F5/H5</f>
        <v>0.30031906677833536</v>
      </c>
      <c r="AG5" s="2084">
        <f>G5/H5</f>
        <v>5.5711596323677968E-2</v>
      </c>
      <c r="AH5" s="683">
        <f>(D5+E5)/H5</f>
        <v>0.64396933689798708</v>
      </c>
      <c r="AJ5" s="1065">
        <f>H5/AB5</f>
        <v>5.6363000127117605E-2</v>
      </c>
      <c r="AK5" s="1066">
        <f>M5/AB5</f>
        <v>2.2641564919389304E-3</v>
      </c>
      <c r="AL5" s="1067">
        <f>(R5+W5)/AB5</f>
        <v>0.94137284338094362</v>
      </c>
      <c r="AN5" s="1065">
        <f>F5/Z5</f>
        <v>0.56586387314517206</v>
      </c>
      <c r="AO5" s="1066">
        <f>K5/Z5</f>
        <v>1.0787180680792416E-2</v>
      </c>
      <c r="AP5" s="1067">
        <f>(P5+U5)/Z5</f>
        <v>0.42334894617403546</v>
      </c>
    </row>
    <row r="6" spans="1:42" x14ac:dyDescent="0.3">
      <c r="A6" s="630" t="s">
        <v>10</v>
      </c>
      <c r="B6" s="500" t="s">
        <v>11</v>
      </c>
      <c r="C6" s="631" t="s">
        <v>252</v>
      </c>
      <c r="D6" s="676">
        <f>'Administration LASER'!D5+'Other Oper Exp. LASER'!D5</f>
        <v>1877594.3594016205</v>
      </c>
      <c r="E6" s="677">
        <f>'Administration LASER'!E5+'Other Oper Exp. LASER'!E5</f>
        <v>912748.93059837946</v>
      </c>
      <c r="F6" s="677">
        <f>'Administration LASER'!F5+'Other Oper Exp. LASER'!F5</f>
        <v>543403.94000000006</v>
      </c>
      <c r="G6" s="677">
        <f>'Administration LASER'!J5 + 'Other Oper Exp. LASER'!J5</f>
        <v>196115.83000000002</v>
      </c>
      <c r="H6" s="678">
        <f>'Administration LASER'!I5+'Other Oper Exp. LASER'!I5</f>
        <v>3529863.0599999996</v>
      </c>
      <c r="I6" s="676">
        <f>'Client Services LASER'!D5</f>
        <v>62569.990782588786</v>
      </c>
      <c r="J6" s="677">
        <f>'Client Services LASER'!E5</f>
        <v>7810.7092174112195</v>
      </c>
      <c r="K6" s="677">
        <f>'Client Services LASER'!F5</f>
        <v>18677.370000000003</v>
      </c>
      <c r="L6" s="677">
        <f>'Client Services LASER'!J5</f>
        <v>-0.17</v>
      </c>
      <c r="M6" s="678">
        <f>'Client Services LASER'!I5</f>
        <v>89057.900000000009</v>
      </c>
      <c r="N6" s="1666">
        <f>'Statewide Benefits'!D6</f>
        <v>41925371.179739952</v>
      </c>
      <c r="O6" s="1667">
        <f>'Statewide Benefits'!E6</f>
        <v>32361820.176644623</v>
      </c>
      <c r="P6" s="1667">
        <f>'Statewide Benefits'!F6</f>
        <v>212439.32</v>
      </c>
      <c r="Q6" s="2078">
        <f>'Statewide Benefits'!G6</f>
        <v>0</v>
      </c>
      <c r="R6" s="1668">
        <f t="shared" ref="R6:R36" si="3">SUM(N6:P6)</f>
        <v>74499630.676384568</v>
      </c>
      <c r="S6" s="1666">
        <f>'Other Benefits LASER'!D5+'FC &amp; Adoptions LASER'!D5</f>
        <v>120063.46999999999</v>
      </c>
      <c r="T6" s="1667">
        <f>'Other Benefits LASER'!E5 + 'FC &amp; Adoptions LASER'!E5</f>
        <v>246939.57</v>
      </c>
      <c r="U6" s="1667">
        <f>'Other Benefits LASER'!F5+'FC &amp; Adoptions LASER'!F5</f>
        <v>15409.8</v>
      </c>
      <c r="V6" s="2078">
        <f>'FC &amp; Adoptions LASER'!J5+'Other Benefits LASER'!J5</f>
        <v>-0.01</v>
      </c>
      <c r="W6" s="1668">
        <f>'Other Benefits LASER'!I5+'FC &amp; Adoptions LASER'!I5</f>
        <v>382412.83</v>
      </c>
      <c r="X6" s="1666">
        <f>D6+I6+N6+S6</f>
        <v>43985598.999924161</v>
      </c>
      <c r="Y6" s="1667">
        <f>E6+J6+O6+T6</f>
        <v>33529319.386460416</v>
      </c>
      <c r="Z6" s="1667">
        <f>F6+K6+P6+U6</f>
        <v>789930.43000000017</v>
      </c>
      <c r="AA6" s="2078">
        <f>G6+L6+Q6+V6</f>
        <v>196115.65</v>
      </c>
      <c r="AB6" s="1668">
        <f>H6+M6+R6+W6</f>
        <v>78500964.46638456</v>
      </c>
      <c r="AD6" s="523">
        <f t="shared" ref="AD6:AD69" si="4">D6/H6</f>
        <v>0.53191705385920007</v>
      </c>
      <c r="AE6" s="524">
        <f t="shared" ref="AE6:AE69" si="5">E6/H6</f>
        <v>0.25857913326484105</v>
      </c>
      <c r="AF6" s="524">
        <f t="shared" ref="AF6:AF69" si="6">F6/H6</f>
        <v>0.15394476521137343</v>
      </c>
      <c r="AG6" s="524">
        <f t="shared" ref="AG6:AG69" si="7">G6/H6</f>
        <v>5.5559047664585616E-2</v>
      </c>
      <c r="AH6" s="525">
        <f t="shared" ref="AH6:AH69" si="8">(D6+E6)/H6</f>
        <v>0.79049618712404113</v>
      </c>
      <c r="AJ6" s="1069">
        <f t="shared" ref="AJ6:AJ69" si="9">H6/AB6</f>
        <v>4.496585594832464E-2</v>
      </c>
      <c r="AK6" s="1047">
        <f t="shared" ref="AK6:AK69" si="10">M6/AB6</f>
        <v>1.1344816029379627E-3</v>
      </c>
      <c r="AL6" s="1071">
        <f t="shared" ref="AL6:AL69" si="11">(R6+W6)/AB6</f>
        <v>0.95389966244873747</v>
      </c>
      <c r="AN6" s="1069">
        <f t="shared" ref="AN6:AN69" si="12">F6/Z6</f>
        <v>0.68791366854926694</v>
      </c>
      <c r="AO6" s="1047">
        <f t="shared" ref="AO6:AO69" si="13">K6/Z6</f>
        <v>2.3644322703203116E-2</v>
      </c>
      <c r="AP6" s="1071">
        <f t="shared" ref="AP6:AP69" si="14">(P6+U6)/Z6</f>
        <v>0.28844200874752979</v>
      </c>
    </row>
    <row r="7" spans="1:42" x14ac:dyDescent="0.3">
      <c r="A7" s="630" t="s">
        <v>12</v>
      </c>
      <c r="B7" s="500" t="s">
        <v>13</v>
      </c>
      <c r="C7" s="631" t="s">
        <v>253</v>
      </c>
      <c r="D7" s="676">
        <f>'Administration LASER'!D6+'Other Oper Exp. LASER'!D6</f>
        <v>5236013.6899459735</v>
      </c>
      <c r="E7" s="677">
        <f>'Administration LASER'!E6+'Other Oper Exp. LASER'!E6</f>
        <v>969116.13005402579</v>
      </c>
      <c r="F7" s="677">
        <f>'Administration LASER'!F6+'Other Oper Exp. LASER'!F6</f>
        <v>5405936.3099999996</v>
      </c>
      <c r="G7" s="677">
        <f>'Administration LASER'!J6 + 'Other Oper Exp. LASER'!J6</f>
        <v>1179178.77</v>
      </c>
      <c r="H7" s="678">
        <f>'Administration LASER'!I6+'Other Oper Exp. LASER'!I6</f>
        <v>12790244.899999999</v>
      </c>
      <c r="I7" s="676">
        <f>'Client Services LASER'!D6</f>
        <v>182777.05894758142</v>
      </c>
      <c r="J7" s="677">
        <f>'Client Services LASER'!E6</f>
        <v>68490.481052418574</v>
      </c>
      <c r="K7" s="677">
        <f>'Client Services LASER'!F6</f>
        <v>50189.69</v>
      </c>
      <c r="L7" s="677">
        <f>'Client Services LASER'!J6</f>
        <v>35805.589999999997</v>
      </c>
      <c r="M7" s="678">
        <f>'Client Services LASER'!I6</f>
        <v>337262.82</v>
      </c>
      <c r="N7" s="1666">
        <f>'Statewide Benefits'!D7</f>
        <v>49824416.886633806</v>
      </c>
      <c r="O7" s="1667">
        <f>'Statewide Benefits'!E7</f>
        <v>45543926.195036426</v>
      </c>
      <c r="P7" s="1667">
        <f>'Statewide Benefits'!F7</f>
        <v>3614622.55</v>
      </c>
      <c r="Q7" s="2078">
        <f>'Statewide Benefits'!G7</f>
        <v>0</v>
      </c>
      <c r="R7" s="1668">
        <f t="shared" si="3"/>
        <v>98982965.631670222</v>
      </c>
      <c r="S7" s="1666">
        <f>'Other Benefits LASER'!D6+'FC &amp; Adoptions LASER'!D6</f>
        <v>1446542.0399999998</v>
      </c>
      <c r="T7" s="1667">
        <f>'Other Benefits LASER'!E6 + 'FC &amp; Adoptions LASER'!E6</f>
        <v>1741562.38</v>
      </c>
      <c r="U7" s="1667">
        <f>'Other Benefits LASER'!F6+'FC &amp; Adoptions LASER'!F6</f>
        <v>43726.36</v>
      </c>
      <c r="V7" s="2078">
        <f>'FC &amp; Adoptions LASER'!J6+'Other Benefits LASER'!J6</f>
        <v>3775.2</v>
      </c>
      <c r="W7" s="1668">
        <f>'Other Benefits LASER'!I6+'FC &amp; Adoptions LASER'!I6</f>
        <v>3235605.9799999995</v>
      </c>
      <c r="X7" s="1666">
        <f t="shared" ref="X7:X70" si="15">D7+I7+N7+S7</f>
        <v>56689749.675527357</v>
      </c>
      <c r="Y7" s="1667">
        <f t="shared" ref="Y7:Y70" si="16">E7+J7+O7+T7</f>
        <v>48323095.186142877</v>
      </c>
      <c r="Z7" s="1667">
        <f t="shared" ref="Z7:Z70" si="17">F7+K7+P7+U7</f>
        <v>9114474.9100000001</v>
      </c>
      <c r="AA7" s="2078">
        <f t="shared" ref="AA7:AA70" si="18">G7+L7+Q7+V7</f>
        <v>1218759.56</v>
      </c>
      <c r="AB7" s="1668">
        <f t="shared" ref="AB7:AB70" si="19">H7+M7+R7+W7</f>
        <v>115346079.33167022</v>
      </c>
      <c r="AD7" s="523">
        <f t="shared" si="4"/>
        <v>0.40937556167872707</v>
      </c>
      <c r="AE7" s="524">
        <f t="shared" si="5"/>
        <v>7.5769943236507209E-2</v>
      </c>
      <c r="AF7" s="524">
        <f t="shared" si="6"/>
        <v>0.4226608913485308</v>
      </c>
      <c r="AG7" s="524">
        <f t="shared" si="7"/>
        <v>9.2193603736234961E-2</v>
      </c>
      <c r="AH7" s="525">
        <f t="shared" si="8"/>
        <v>0.48514550491523428</v>
      </c>
      <c r="AJ7" s="1069">
        <f t="shared" si="9"/>
        <v>0.11088582268342621</v>
      </c>
      <c r="AK7" s="1047">
        <f t="shared" si="10"/>
        <v>2.9239209685681857E-3</v>
      </c>
      <c r="AL7" s="1071">
        <f t="shared" si="11"/>
        <v>0.88619025634800563</v>
      </c>
      <c r="AN7" s="1069">
        <f t="shared" si="12"/>
        <v>0.59311549632649097</v>
      </c>
      <c r="AO7" s="1047">
        <f t="shared" si="13"/>
        <v>5.5065914927182567E-3</v>
      </c>
      <c r="AP7" s="1071">
        <f t="shared" si="14"/>
        <v>0.40137791218079061</v>
      </c>
    </row>
    <row r="8" spans="1:42" x14ac:dyDescent="0.3">
      <c r="A8" s="630" t="s">
        <v>16</v>
      </c>
      <c r="B8" s="500" t="s">
        <v>285</v>
      </c>
      <c r="C8" s="631" t="s">
        <v>253</v>
      </c>
      <c r="D8" s="676">
        <f>'Administration LASER'!D7+'Other Oper Exp. LASER'!D7</f>
        <v>1112382.848372757</v>
      </c>
      <c r="E8" s="677">
        <f>'Administration LASER'!E7+'Other Oper Exp. LASER'!E7</f>
        <v>506778.741627243</v>
      </c>
      <c r="F8" s="677">
        <f>'Administration LASER'!F7+'Other Oper Exp. LASER'!F7</f>
        <v>385974.82</v>
      </c>
      <c r="G8" s="677">
        <f>'Administration LASER'!J7 + 'Other Oper Exp. LASER'!J7</f>
        <v>118056.76</v>
      </c>
      <c r="H8" s="678">
        <f>'Administration LASER'!I7+'Other Oper Exp. LASER'!I7</f>
        <v>2123193.17</v>
      </c>
      <c r="I8" s="676">
        <f>'Client Services LASER'!D7</f>
        <v>67416.715841006779</v>
      </c>
      <c r="J8" s="677">
        <f>'Client Services LASER'!E7</f>
        <v>10322.494158993211</v>
      </c>
      <c r="K8" s="677">
        <f>'Client Services LASER'!F7</f>
        <v>17197.11</v>
      </c>
      <c r="L8" s="677">
        <f>'Client Services LASER'!J7</f>
        <v>-5.2041704279304213E-18</v>
      </c>
      <c r="M8" s="678">
        <f>'Client Services LASER'!I7</f>
        <v>94936.319999999992</v>
      </c>
      <c r="N8" s="1666">
        <f>'Statewide Benefits'!D8</f>
        <v>26264194.444005325</v>
      </c>
      <c r="O8" s="1667">
        <f>'Statewide Benefits'!E8</f>
        <v>23691633.220893081</v>
      </c>
      <c r="P8" s="1667">
        <f>'Statewide Benefits'!F8</f>
        <v>822252.70000000007</v>
      </c>
      <c r="Q8" s="2078">
        <f>'Statewide Benefits'!G8</f>
        <v>0</v>
      </c>
      <c r="R8" s="1668">
        <f t="shared" si="3"/>
        <v>50778080.364898413</v>
      </c>
      <c r="S8" s="1666">
        <f>'Other Benefits LASER'!D7+'FC &amp; Adoptions LASER'!D7</f>
        <v>49056.49</v>
      </c>
      <c r="T8" s="1667">
        <f>'Other Benefits LASER'!E7 + 'FC &amp; Adoptions LASER'!E7</f>
        <v>119895.67</v>
      </c>
      <c r="U8" s="1667">
        <f>'Other Benefits LASER'!F7+'FC &amp; Adoptions LASER'!F7</f>
        <v>9984</v>
      </c>
      <c r="V8" s="2078">
        <f>'FC &amp; Adoptions LASER'!J7+'Other Benefits LASER'!J7</f>
        <v>723.95</v>
      </c>
      <c r="W8" s="1668">
        <f>'Other Benefits LASER'!I7+'FC &amp; Adoptions LASER'!I7</f>
        <v>179660.11000000002</v>
      </c>
      <c r="X8" s="1666">
        <f t="shared" si="15"/>
        <v>27493050.498219088</v>
      </c>
      <c r="Y8" s="1667">
        <f t="shared" si="16"/>
        <v>24328630.12667932</v>
      </c>
      <c r="Z8" s="1667">
        <f t="shared" si="17"/>
        <v>1235408.6300000001</v>
      </c>
      <c r="AA8" s="2078">
        <f t="shared" si="18"/>
        <v>118780.70999999999</v>
      </c>
      <c r="AB8" s="1668">
        <f t="shared" si="19"/>
        <v>53175869.964898415</v>
      </c>
      <c r="AD8" s="523">
        <f t="shared" si="4"/>
        <v>0.52391975637937693</v>
      </c>
      <c r="AE8" s="524">
        <f t="shared" si="5"/>
        <v>0.23868706285789484</v>
      </c>
      <c r="AF8" s="524">
        <f t="shared" si="6"/>
        <v>0.18178978034297277</v>
      </c>
      <c r="AG8" s="524">
        <f t="shared" si="7"/>
        <v>5.5603400419755492E-2</v>
      </c>
      <c r="AH8" s="525">
        <f t="shared" si="8"/>
        <v>0.76260681923727169</v>
      </c>
      <c r="AJ8" s="1069">
        <f t="shared" si="9"/>
        <v>3.9927756168381026E-2</v>
      </c>
      <c r="AK8" s="1047">
        <f t="shared" si="10"/>
        <v>1.7853270677596399E-3</v>
      </c>
      <c r="AL8" s="1071">
        <f t="shared" si="11"/>
        <v>0.95828691676385924</v>
      </c>
      <c r="AN8" s="1069">
        <f t="shared" si="12"/>
        <v>0.31242684454940223</v>
      </c>
      <c r="AO8" s="1047">
        <f t="shared" si="13"/>
        <v>1.3920179592723098E-2</v>
      </c>
      <c r="AP8" s="1071">
        <f t="shared" si="14"/>
        <v>0.67365297585787465</v>
      </c>
    </row>
    <row r="9" spans="1:42" x14ac:dyDescent="0.3">
      <c r="A9" s="630" t="s">
        <v>18</v>
      </c>
      <c r="B9" s="500" t="s">
        <v>19</v>
      </c>
      <c r="C9" s="631" t="s">
        <v>254</v>
      </c>
      <c r="D9" s="676">
        <f>'Administration LASER'!D8+'Other Oper Exp. LASER'!D8</f>
        <v>650461.55553337326</v>
      </c>
      <c r="E9" s="677">
        <f>'Administration LASER'!E8+'Other Oper Exp. LASER'!E8</f>
        <v>265834.03446662676</v>
      </c>
      <c r="F9" s="677">
        <f>'Administration LASER'!F8+'Other Oper Exp. LASER'!F8</f>
        <v>322839.40999999997</v>
      </c>
      <c r="G9" s="677">
        <f>'Administration LASER'!J8 + 'Other Oper Exp. LASER'!J8</f>
        <v>74096.419999999984</v>
      </c>
      <c r="H9" s="678">
        <f>'Administration LASER'!I8+'Other Oper Exp. LASER'!I8</f>
        <v>1313231.42</v>
      </c>
      <c r="I9" s="676">
        <f>'Client Services LASER'!D8</f>
        <v>12511.365356243461</v>
      </c>
      <c r="J9" s="677">
        <f>'Client Services LASER'!E8</f>
        <v>6881.9346437565382</v>
      </c>
      <c r="K9" s="677">
        <f>'Client Services LASER'!F8</f>
        <v>3589.9499999999994</v>
      </c>
      <c r="L9" s="677">
        <f>'Client Services LASER'!J8</f>
        <v>9.9999999999999967E-3</v>
      </c>
      <c r="M9" s="678">
        <f>'Client Services LASER'!I8</f>
        <v>22983.26</v>
      </c>
      <c r="N9" s="1666">
        <f>'Statewide Benefits'!D9</f>
        <v>12578225.896937393</v>
      </c>
      <c r="O9" s="1667">
        <f>'Statewide Benefits'!E9</f>
        <v>10297775.397921734</v>
      </c>
      <c r="P9" s="1667">
        <f>'Statewide Benefits'!F9</f>
        <v>206968.34</v>
      </c>
      <c r="Q9" s="2078">
        <f>'Statewide Benefits'!G9</f>
        <v>0</v>
      </c>
      <c r="R9" s="1668">
        <f t="shared" si="3"/>
        <v>23082969.634859126</v>
      </c>
      <c r="S9" s="1666">
        <f>'Other Benefits LASER'!D8+'FC &amp; Adoptions LASER'!D8</f>
        <v>30247.17</v>
      </c>
      <c r="T9" s="1667">
        <f>'Other Benefits LASER'!E8 + 'FC &amp; Adoptions LASER'!E8</f>
        <v>124723.17</v>
      </c>
      <c r="U9" s="1667">
        <f>'Other Benefits LASER'!F8+'FC &amp; Adoptions LASER'!F8</f>
        <v>15198</v>
      </c>
      <c r="V9" s="2078">
        <f>'FC &amp; Adoptions LASER'!J8+'Other Benefits LASER'!J8</f>
        <v>-0.01</v>
      </c>
      <c r="W9" s="1668">
        <f>'Other Benefits LASER'!I8+'FC &amp; Adoptions LASER'!I8</f>
        <v>170168.33000000002</v>
      </c>
      <c r="X9" s="1666">
        <f t="shared" si="15"/>
        <v>13271445.987827009</v>
      </c>
      <c r="Y9" s="1667">
        <f t="shared" si="16"/>
        <v>10695214.537032116</v>
      </c>
      <c r="Z9" s="1667">
        <f t="shared" si="17"/>
        <v>548595.69999999995</v>
      </c>
      <c r="AA9" s="2078">
        <f t="shared" si="18"/>
        <v>74096.419999999984</v>
      </c>
      <c r="AB9" s="1668">
        <f t="shared" si="19"/>
        <v>24589352.644859124</v>
      </c>
      <c r="AD9" s="523">
        <f t="shared" si="4"/>
        <v>0.49531373193414252</v>
      </c>
      <c r="AE9" s="524">
        <f t="shared" si="5"/>
        <v>0.20242740953199762</v>
      </c>
      <c r="AF9" s="524">
        <f t="shared" si="6"/>
        <v>0.24583588625986422</v>
      </c>
      <c r="AG9" s="524">
        <f t="shared" si="7"/>
        <v>5.6422972273995689E-2</v>
      </c>
      <c r="AH9" s="525">
        <f t="shared" si="8"/>
        <v>0.69774114146614019</v>
      </c>
      <c r="AJ9" s="1069">
        <f t="shared" si="9"/>
        <v>5.3406506424420089E-2</v>
      </c>
      <c r="AK9" s="1047">
        <f t="shared" si="10"/>
        <v>9.3468341082192298E-4</v>
      </c>
      <c r="AL9" s="1071">
        <f t="shared" si="11"/>
        <v>0.94565881016475795</v>
      </c>
      <c r="AN9" s="1069">
        <f t="shared" si="12"/>
        <v>0.5884833038246563</v>
      </c>
      <c r="AO9" s="1047">
        <f t="shared" si="13"/>
        <v>6.5438901544434269E-3</v>
      </c>
      <c r="AP9" s="1071">
        <f t="shared" si="14"/>
        <v>0.4049728060209003</v>
      </c>
    </row>
    <row r="10" spans="1:42" x14ac:dyDescent="0.3">
      <c r="A10" s="630" t="s">
        <v>20</v>
      </c>
      <c r="B10" s="500" t="s">
        <v>21</v>
      </c>
      <c r="C10" s="631" t="s">
        <v>253</v>
      </c>
      <c r="D10" s="676">
        <f>'Administration LASER'!D9+'Other Oper Exp. LASER'!D9</f>
        <v>1271725.02987859</v>
      </c>
      <c r="E10" s="677">
        <f>'Administration LASER'!E9+'Other Oper Exp. LASER'!E9</f>
        <v>503308.2001214099</v>
      </c>
      <c r="F10" s="677">
        <f>'Administration LASER'!F9+'Other Oper Exp. LASER'!F9</f>
        <v>709174.57000000007</v>
      </c>
      <c r="G10" s="677">
        <f>'Administration LASER'!J9 + 'Other Oper Exp. LASER'!J9</f>
        <v>136479.29</v>
      </c>
      <c r="H10" s="678">
        <f>'Administration LASER'!I9+'Other Oper Exp. LASER'!I9</f>
        <v>2620687.09</v>
      </c>
      <c r="I10" s="676">
        <f>'Client Services LASER'!D9</f>
        <v>41626.535426389572</v>
      </c>
      <c r="J10" s="677">
        <f>'Client Services LASER'!E9</f>
        <v>10360.054573610427</v>
      </c>
      <c r="K10" s="677">
        <f>'Client Services LASER'!F9</f>
        <v>10997.05</v>
      </c>
      <c r="L10" s="677">
        <f>'Client Services LASER'!J9</f>
        <v>-4.9999999999999996E-2</v>
      </c>
      <c r="M10" s="678">
        <f>'Client Services LASER'!I9</f>
        <v>62983.59</v>
      </c>
      <c r="N10" s="1666">
        <f>'Statewide Benefits'!D10</f>
        <v>33485252.239661694</v>
      </c>
      <c r="O10" s="1667">
        <f>'Statewide Benefits'!E10</f>
        <v>28347779.203747552</v>
      </c>
      <c r="P10" s="1667">
        <f>'Statewide Benefits'!F10</f>
        <v>530017.06999999995</v>
      </c>
      <c r="Q10" s="2078">
        <f>'Statewide Benefits'!G10</f>
        <v>0</v>
      </c>
      <c r="R10" s="1668">
        <f t="shared" si="3"/>
        <v>62363048.513409249</v>
      </c>
      <c r="S10" s="1666">
        <f>'Other Benefits LASER'!D9+'FC &amp; Adoptions LASER'!D9</f>
        <v>147945.25999999998</v>
      </c>
      <c r="T10" s="1667">
        <f>'Other Benefits LASER'!E9 + 'FC &amp; Adoptions LASER'!E9</f>
        <v>240948.95999999996</v>
      </c>
      <c r="U10" s="1667">
        <f>'Other Benefits LASER'!F9+'FC &amp; Adoptions LASER'!F9</f>
        <v>19119.8</v>
      </c>
      <c r="V10" s="2078">
        <f>'FC &amp; Adoptions LASER'!J9+'Other Benefits LASER'!J9</f>
        <v>-7.0000000000000007E-2</v>
      </c>
      <c r="W10" s="1668">
        <f>'Other Benefits LASER'!I9+'FC &amp; Adoptions LASER'!I9</f>
        <v>408013.94999999995</v>
      </c>
      <c r="X10" s="1666">
        <f t="shared" si="15"/>
        <v>34946549.064966671</v>
      </c>
      <c r="Y10" s="1667">
        <f t="shared" si="16"/>
        <v>29102396.418442573</v>
      </c>
      <c r="Z10" s="1667">
        <f t="shared" si="17"/>
        <v>1269308.49</v>
      </c>
      <c r="AA10" s="2078">
        <f t="shared" si="18"/>
        <v>136479.17000000001</v>
      </c>
      <c r="AB10" s="1668">
        <f t="shared" si="19"/>
        <v>65454733.143409252</v>
      </c>
      <c r="AD10" s="523">
        <f t="shared" si="4"/>
        <v>0.48526397322718529</v>
      </c>
      <c r="AE10" s="524">
        <f t="shared" si="5"/>
        <v>0.19205200118775337</v>
      </c>
      <c r="AF10" s="524">
        <f t="shared" si="6"/>
        <v>0.27060635079482154</v>
      </c>
      <c r="AG10" s="524">
        <f t="shared" si="7"/>
        <v>5.2077674790239843E-2</v>
      </c>
      <c r="AH10" s="525">
        <f t="shared" si="8"/>
        <v>0.67731597441493863</v>
      </c>
      <c r="AJ10" s="1069">
        <f t="shared" si="9"/>
        <v>4.003816017793789E-2</v>
      </c>
      <c r="AK10" s="1047">
        <f t="shared" si="10"/>
        <v>9.6224653245480262E-4</v>
      </c>
      <c r="AL10" s="1071">
        <f t="shared" si="11"/>
        <v>0.95899959328960727</v>
      </c>
      <c r="AN10" s="1069">
        <f t="shared" si="12"/>
        <v>0.55870938829062755</v>
      </c>
      <c r="AO10" s="1047">
        <f t="shared" si="13"/>
        <v>8.6638118996588444E-3</v>
      </c>
      <c r="AP10" s="1071">
        <f t="shared" si="14"/>
        <v>0.43262679980971369</v>
      </c>
    </row>
    <row r="11" spans="1:42" x14ac:dyDescent="0.3">
      <c r="A11" s="630" t="s">
        <v>22</v>
      </c>
      <c r="B11" s="500" t="s">
        <v>23</v>
      </c>
      <c r="C11" s="631" t="s">
        <v>253</v>
      </c>
      <c r="D11" s="676">
        <f>'Administration LASER'!D10+'Other Oper Exp. LASER'!D10</f>
        <v>642884.85640386131</v>
      </c>
      <c r="E11" s="677">
        <f>'Administration LASER'!E10+'Other Oper Exp. LASER'!E10</f>
        <v>303253.69359613868</v>
      </c>
      <c r="F11" s="677">
        <f>'Administration LASER'!F10+'Other Oper Exp. LASER'!F10</f>
        <v>199149.22</v>
      </c>
      <c r="G11" s="677">
        <f>'Administration LASER'!J10 + 'Other Oper Exp. LASER'!J10</f>
        <v>83989.35</v>
      </c>
      <c r="H11" s="678">
        <f>'Administration LASER'!I10+'Other Oper Exp. LASER'!I10</f>
        <v>1229277.1199999999</v>
      </c>
      <c r="I11" s="676">
        <f>'Client Services LASER'!D10</f>
        <v>20448.404174830892</v>
      </c>
      <c r="J11" s="677">
        <f>'Client Services LASER'!E10</f>
        <v>27158.995825169106</v>
      </c>
      <c r="K11" s="677">
        <f>'Client Services LASER'!F10</f>
        <v>8420.4600000000009</v>
      </c>
      <c r="L11" s="677">
        <f>'Client Services LASER'!J10</f>
        <v>-0.06</v>
      </c>
      <c r="M11" s="678">
        <f>'Client Services LASER'!I10</f>
        <v>56027.799999999996</v>
      </c>
      <c r="N11" s="1666">
        <f>'Statewide Benefits'!D11</f>
        <v>19363722.212818656</v>
      </c>
      <c r="O11" s="1667">
        <f>'Statewide Benefits'!E11</f>
        <v>16756796.861948475</v>
      </c>
      <c r="P11" s="1667">
        <f>'Statewide Benefits'!F11</f>
        <v>513519.99</v>
      </c>
      <c r="Q11" s="2078">
        <f>'Statewide Benefits'!G11</f>
        <v>0</v>
      </c>
      <c r="R11" s="1668">
        <f t="shared" si="3"/>
        <v>36634039.06476713</v>
      </c>
      <c r="S11" s="1666">
        <f>'Other Benefits LASER'!D10+'FC &amp; Adoptions LASER'!D10</f>
        <v>230990.01</v>
      </c>
      <c r="T11" s="1667">
        <f>'Other Benefits LASER'!E10 + 'FC &amp; Adoptions LASER'!E10</f>
        <v>316386.73000000004</v>
      </c>
      <c r="U11" s="1667">
        <f>'Other Benefits LASER'!F10+'FC &amp; Adoptions LASER'!F10</f>
        <v>13812.6</v>
      </c>
      <c r="V11" s="2078">
        <f>'FC &amp; Adoptions LASER'!J10+'Other Benefits LASER'!J10</f>
        <v>2015.9</v>
      </c>
      <c r="W11" s="1668">
        <f>'Other Benefits LASER'!I10+'FC &amp; Adoptions LASER'!I10</f>
        <v>563205.24</v>
      </c>
      <c r="X11" s="1666">
        <f t="shared" si="15"/>
        <v>20258045.48339735</v>
      </c>
      <c r="Y11" s="1667">
        <f t="shared" si="16"/>
        <v>17403596.281369783</v>
      </c>
      <c r="Z11" s="1667">
        <f t="shared" si="17"/>
        <v>734902.2699999999</v>
      </c>
      <c r="AA11" s="2078">
        <f t="shared" si="18"/>
        <v>86005.19</v>
      </c>
      <c r="AB11" s="1668">
        <f t="shared" si="19"/>
        <v>38482549.224767134</v>
      </c>
      <c r="AD11" s="523">
        <f t="shared" si="4"/>
        <v>0.52297797294385617</v>
      </c>
      <c r="AE11" s="524">
        <f t="shared" si="5"/>
        <v>0.2466927014765708</v>
      </c>
      <c r="AF11" s="524">
        <f t="shared" si="6"/>
        <v>0.16200514656939197</v>
      </c>
      <c r="AG11" s="524">
        <f t="shared" si="7"/>
        <v>6.8324179010181216E-2</v>
      </c>
      <c r="AH11" s="525">
        <f t="shared" si="8"/>
        <v>0.76967067442042703</v>
      </c>
      <c r="AJ11" s="1069">
        <f t="shared" si="9"/>
        <v>3.194375489056335E-2</v>
      </c>
      <c r="AK11" s="1047">
        <f t="shared" si="10"/>
        <v>1.4559274561764439E-3</v>
      </c>
      <c r="AL11" s="1071">
        <f t="shared" si="11"/>
        <v>0.96660031765326015</v>
      </c>
      <c r="AN11" s="1069">
        <f t="shared" si="12"/>
        <v>0.27098735182842754</v>
      </c>
      <c r="AO11" s="1047">
        <f t="shared" si="13"/>
        <v>1.1457931678452975E-2</v>
      </c>
      <c r="AP11" s="1071">
        <f t="shared" si="14"/>
        <v>0.71755471649311964</v>
      </c>
    </row>
    <row r="12" spans="1:42" x14ac:dyDescent="0.3">
      <c r="A12" s="630" t="s">
        <v>24</v>
      </c>
      <c r="B12" s="500" t="s">
        <v>25</v>
      </c>
      <c r="C12" s="631" t="s">
        <v>255</v>
      </c>
      <c r="D12" s="676">
        <f>'Administration LASER'!D11+'Other Oper Exp. LASER'!D11</f>
        <v>9214587.9255634528</v>
      </c>
      <c r="E12" s="677">
        <f>'Administration LASER'!E11+'Other Oper Exp. LASER'!E11</f>
        <v>2380786.4644365469</v>
      </c>
      <c r="F12" s="677">
        <f>'Administration LASER'!F11+'Other Oper Exp. LASER'!F11</f>
        <v>8326010.7699999996</v>
      </c>
      <c r="G12" s="677">
        <f>'Administration LASER'!J11 + 'Other Oper Exp. LASER'!J11</f>
        <v>1571350.11</v>
      </c>
      <c r="H12" s="678">
        <f>'Administration LASER'!I11+'Other Oper Exp. LASER'!I11</f>
        <v>21492735.27</v>
      </c>
      <c r="I12" s="676">
        <f>'Client Services LASER'!D11</f>
        <v>362672.81437970704</v>
      </c>
      <c r="J12" s="677">
        <f>'Client Services LASER'!E11</f>
        <v>77750.385620292975</v>
      </c>
      <c r="K12" s="677">
        <f>'Client Services LASER'!F11</f>
        <v>103785.57</v>
      </c>
      <c r="L12" s="677">
        <f>'Client Services LASER'!J11</f>
        <v>882621.88</v>
      </c>
      <c r="M12" s="678">
        <f>'Client Services LASER'!I11</f>
        <v>1426830.65</v>
      </c>
      <c r="N12" s="1666">
        <f>'Statewide Benefits'!D12</f>
        <v>77595912.049523503</v>
      </c>
      <c r="O12" s="1667">
        <f>'Statewide Benefits'!E12</f>
        <v>64608855.353579178</v>
      </c>
      <c r="P12" s="1667">
        <f>'Statewide Benefits'!F12</f>
        <v>1685103.9900000002</v>
      </c>
      <c r="Q12" s="2078">
        <f>'Statewide Benefits'!G12</f>
        <v>0</v>
      </c>
      <c r="R12" s="1668">
        <f t="shared" si="3"/>
        <v>143889871.39310271</v>
      </c>
      <c r="S12" s="1666">
        <f>'Other Benefits LASER'!D11+'FC &amp; Adoptions LASER'!D11</f>
        <v>1197388.82</v>
      </c>
      <c r="T12" s="1667">
        <f>'Other Benefits LASER'!E11 + 'FC &amp; Adoptions LASER'!E11</f>
        <v>1633379.47</v>
      </c>
      <c r="U12" s="1667">
        <f>'Other Benefits LASER'!F11+'FC &amp; Adoptions LASER'!F11</f>
        <v>108567.6</v>
      </c>
      <c r="V12" s="2078">
        <f>'FC &amp; Adoptions LASER'!J11+'Other Benefits LASER'!J11</f>
        <v>340715.80000000005</v>
      </c>
      <c r="W12" s="1668">
        <f>'Other Benefits LASER'!I11+'FC &amp; Adoptions LASER'!I11</f>
        <v>3280051.69</v>
      </c>
      <c r="X12" s="1666">
        <f t="shared" si="15"/>
        <v>88370561.609466657</v>
      </c>
      <c r="Y12" s="1667">
        <f t="shared" si="16"/>
        <v>68700771.673636019</v>
      </c>
      <c r="Z12" s="1667">
        <f t="shared" si="17"/>
        <v>10223467.93</v>
      </c>
      <c r="AA12" s="2078">
        <f t="shared" si="18"/>
        <v>2794687.79</v>
      </c>
      <c r="AB12" s="1668">
        <f t="shared" si="19"/>
        <v>170089489.00310269</v>
      </c>
      <c r="AD12" s="523">
        <f t="shared" si="4"/>
        <v>0.42873035050244923</v>
      </c>
      <c r="AE12" s="524">
        <f t="shared" si="5"/>
        <v>0.11077168329336366</v>
      </c>
      <c r="AF12" s="524">
        <f t="shared" si="6"/>
        <v>0.38738721086010935</v>
      </c>
      <c r="AG12" s="524">
        <f t="shared" si="7"/>
        <v>7.311075534407771E-2</v>
      </c>
      <c r="AH12" s="525">
        <f t="shared" si="8"/>
        <v>0.53950203379581296</v>
      </c>
      <c r="AJ12" s="1069">
        <f t="shared" si="9"/>
        <v>0.12636133717591413</v>
      </c>
      <c r="AK12" s="1047">
        <f t="shared" si="10"/>
        <v>8.3887056064585654E-3</v>
      </c>
      <c r="AL12" s="1071">
        <f t="shared" si="11"/>
        <v>0.86524995721762732</v>
      </c>
      <c r="AN12" s="1069">
        <f t="shared" si="12"/>
        <v>0.81440180836954024</v>
      </c>
      <c r="AO12" s="1047">
        <f t="shared" si="13"/>
        <v>1.0151699082015901E-2</v>
      </c>
      <c r="AP12" s="1071">
        <f t="shared" si="14"/>
        <v>0.17544649254844391</v>
      </c>
    </row>
    <row r="13" spans="1:42" x14ac:dyDescent="0.3">
      <c r="A13" s="630" t="s">
        <v>26</v>
      </c>
      <c r="B13" s="500" t="s">
        <v>286</v>
      </c>
      <c r="C13" s="631" t="s">
        <v>253</v>
      </c>
      <c r="D13" s="676">
        <f>'Administration LASER'!D12+'Other Oper Exp. LASER'!D12</f>
        <v>4966042.6248320565</v>
      </c>
      <c r="E13" s="677">
        <f>'Administration LASER'!E12+'Other Oper Exp. LASER'!E12</f>
        <v>1931347.6751679431</v>
      </c>
      <c r="F13" s="677">
        <f>'Administration LASER'!F12+'Other Oper Exp. LASER'!F12</f>
        <v>2886578.8099999996</v>
      </c>
      <c r="G13" s="677">
        <f>'Administration LASER'!J12 + 'Other Oper Exp. LASER'!J12</f>
        <v>259152.97999999998</v>
      </c>
      <c r="H13" s="678">
        <f>'Administration LASER'!I12+'Other Oper Exp. LASER'!I12</f>
        <v>10043122.09</v>
      </c>
      <c r="I13" s="676">
        <f>'Client Services LASER'!D12</f>
        <v>151709.43519693473</v>
      </c>
      <c r="J13" s="677">
        <f>'Client Services LASER'!E12</f>
        <v>182549.17480306528</v>
      </c>
      <c r="K13" s="677">
        <f>'Client Services LASER'!F12</f>
        <v>60485.22</v>
      </c>
      <c r="L13" s="677">
        <f>'Client Services LASER'!J12</f>
        <v>-0.18999999999999997</v>
      </c>
      <c r="M13" s="678">
        <f>'Client Services LASER'!I12</f>
        <v>394743.63999999996</v>
      </c>
      <c r="N13" s="1666">
        <f>'Statewide Benefits'!D13</f>
        <v>101323125.4203552</v>
      </c>
      <c r="O13" s="1667">
        <f>'Statewide Benefits'!E13</f>
        <v>88560464.788418666</v>
      </c>
      <c r="P13" s="1667">
        <f>'Statewide Benefits'!F13</f>
        <v>4167622.4400000004</v>
      </c>
      <c r="Q13" s="2078">
        <f>'Statewide Benefits'!G13</f>
        <v>0</v>
      </c>
      <c r="R13" s="1668">
        <f t="shared" si="3"/>
        <v>194051212.64877385</v>
      </c>
      <c r="S13" s="1666">
        <f>'Other Benefits LASER'!D12+'FC &amp; Adoptions LASER'!D12</f>
        <v>3093559.6</v>
      </c>
      <c r="T13" s="1667">
        <f>'Other Benefits LASER'!E12 + 'FC &amp; Adoptions LASER'!E12</f>
        <v>3409302.9800000004</v>
      </c>
      <c r="U13" s="1667">
        <f>'Other Benefits LASER'!F12+'FC &amp; Adoptions LASER'!F12</f>
        <v>79666.260000000009</v>
      </c>
      <c r="V13" s="2078">
        <f>'FC &amp; Adoptions LASER'!J12+'Other Benefits LASER'!J12</f>
        <v>26600.879999999997</v>
      </c>
      <c r="W13" s="1668">
        <f>'Other Benefits LASER'!I12+'FC &amp; Adoptions LASER'!I12</f>
        <v>6609129.7200000007</v>
      </c>
      <c r="X13" s="1666">
        <f t="shared" si="15"/>
        <v>109534437.08038418</v>
      </c>
      <c r="Y13" s="1667">
        <f t="shared" si="16"/>
        <v>94083664.618389681</v>
      </c>
      <c r="Z13" s="1667">
        <f t="shared" si="17"/>
        <v>7194352.7300000004</v>
      </c>
      <c r="AA13" s="2078">
        <f t="shared" si="18"/>
        <v>285753.67</v>
      </c>
      <c r="AB13" s="1668">
        <f t="shared" si="19"/>
        <v>211098208.09877384</v>
      </c>
      <c r="AD13" s="523">
        <f t="shared" si="4"/>
        <v>0.49447199589227103</v>
      </c>
      <c r="AE13" s="524">
        <f t="shared" si="5"/>
        <v>0.19230550598314425</v>
      </c>
      <c r="AF13" s="524">
        <f t="shared" si="6"/>
        <v>0.28741847247622176</v>
      </c>
      <c r="AG13" s="524">
        <f t="shared" si="7"/>
        <v>2.5804025648362896E-2</v>
      </c>
      <c r="AH13" s="525">
        <f t="shared" si="8"/>
        <v>0.68677750187541531</v>
      </c>
      <c r="AJ13" s="1069">
        <f t="shared" si="9"/>
        <v>4.757559138209632E-2</v>
      </c>
      <c r="AK13" s="1047">
        <f t="shared" si="10"/>
        <v>1.8699525853639533E-3</v>
      </c>
      <c r="AL13" s="1071">
        <f t="shared" si="11"/>
        <v>0.95055445603253974</v>
      </c>
      <c r="AN13" s="1069">
        <f t="shared" si="12"/>
        <v>0.40122842433943318</v>
      </c>
      <c r="AO13" s="1047">
        <f t="shared" si="13"/>
        <v>8.4073192224479662E-3</v>
      </c>
      <c r="AP13" s="1071">
        <f t="shared" si="14"/>
        <v>0.59036425643811874</v>
      </c>
    </row>
    <row r="14" spans="1:42" x14ac:dyDescent="0.3">
      <c r="A14" s="630" t="s">
        <v>27</v>
      </c>
      <c r="B14" s="500" t="s">
        <v>28</v>
      </c>
      <c r="C14" s="631" t="s">
        <v>253</v>
      </c>
      <c r="D14" s="676">
        <f>'Administration LASER'!D13+'Other Oper Exp. LASER'!D13</f>
        <v>317697.28987731074</v>
      </c>
      <c r="E14" s="677">
        <f>'Administration LASER'!E13+'Other Oper Exp. LASER'!E13</f>
        <v>135759.74012268928</v>
      </c>
      <c r="F14" s="677">
        <f>'Administration LASER'!F13+'Other Oper Exp. LASER'!F13</f>
        <v>143162.68</v>
      </c>
      <c r="G14" s="677">
        <f>'Administration LASER'!J13 + 'Other Oper Exp. LASER'!J13</f>
        <v>40178.050000000003</v>
      </c>
      <c r="H14" s="678">
        <f>'Administration LASER'!I13+'Other Oper Exp. LASER'!I13</f>
        <v>636797.76</v>
      </c>
      <c r="I14" s="676">
        <f>'Client Services LASER'!D13</f>
        <v>6461.27</v>
      </c>
      <c r="J14" s="677">
        <f>'Client Services LASER'!E13</f>
        <v>1026.67</v>
      </c>
      <c r="K14" s="677">
        <f>'Client Services LASER'!F13</f>
        <v>1373.52</v>
      </c>
      <c r="L14" s="677">
        <f>'Client Services LASER'!J13</f>
        <v>0.01</v>
      </c>
      <c r="M14" s="678">
        <f>'Client Services LASER'!I13</f>
        <v>8861.4700000000012</v>
      </c>
      <c r="N14" s="1666">
        <f>'Statewide Benefits'!D14</f>
        <v>2956931.7587511223</v>
      </c>
      <c r="O14" s="1667">
        <f>'Statewide Benefits'!E14</f>
        <v>2496226.8593759341</v>
      </c>
      <c r="P14" s="1667">
        <f>'Statewide Benefits'!F14</f>
        <v>45456.94</v>
      </c>
      <c r="Q14" s="2078">
        <f>'Statewide Benefits'!G14</f>
        <v>0</v>
      </c>
      <c r="R14" s="1668">
        <f t="shared" si="3"/>
        <v>5498615.5581270568</v>
      </c>
      <c r="S14" s="1666">
        <f>'Other Benefits LASER'!D13+'FC &amp; Adoptions LASER'!D13</f>
        <v>48896</v>
      </c>
      <c r="T14" s="1667">
        <f>'Other Benefits LASER'!E13 + 'FC &amp; Adoptions LASER'!E13</f>
        <v>48896</v>
      </c>
      <c r="U14" s="1667">
        <f>'Other Benefits LASER'!F13+'FC &amp; Adoptions LASER'!F13</f>
        <v>0</v>
      </c>
      <c r="V14" s="2078">
        <f>'FC &amp; Adoptions LASER'!J13+'Other Benefits LASER'!J13</f>
        <v>0</v>
      </c>
      <c r="W14" s="1668">
        <f>'Other Benefits LASER'!I13+'FC &amp; Adoptions LASER'!I13</f>
        <v>97792</v>
      </c>
      <c r="X14" s="1666">
        <f t="shared" si="15"/>
        <v>3329986.3186284332</v>
      </c>
      <c r="Y14" s="1667">
        <f t="shared" si="16"/>
        <v>2681909.2694986234</v>
      </c>
      <c r="Z14" s="1667">
        <f t="shared" si="17"/>
        <v>189993.13999999998</v>
      </c>
      <c r="AA14" s="2078">
        <f t="shared" si="18"/>
        <v>40178.060000000005</v>
      </c>
      <c r="AB14" s="1668">
        <f t="shared" si="19"/>
        <v>6242066.7881270573</v>
      </c>
      <c r="AD14" s="523">
        <f t="shared" si="4"/>
        <v>0.49889825284138994</v>
      </c>
      <c r="AE14" s="524">
        <f t="shared" si="5"/>
        <v>0.21319129659421113</v>
      </c>
      <c r="AF14" s="524">
        <f t="shared" si="6"/>
        <v>0.22481655714366833</v>
      </c>
      <c r="AG14" s="524">
        <f t="shared" si="7"/>
        <v>6.3093893420730629E-2</v>
      </c>
      <c r="AH14" s="525">
        <f t="shared" si="8"/>
        <v>0.7120895494356011</v>
      </c>
      <c r="AJ14" s="1069">
        <f t="shared" si="9"/>
        <v>0.10201713336538526</v>
      </c>
      <c r="AK14" s="1047">
        <f t="shared" si="10"/>
        <v>1.4196371651862604E-3</v>
      </c>
      <c r="AL14" s="1071">
        <f t="shared" si="11"/>
        <v>0.89656322946942846</v>
      </c>
      <c r="AN14" s="1069">
        <f t="shared" si="12"/>
        <v>0.75351499533088406</v>
      </c>
      <c r="AO14" s="1047">
        <f t="shared" si="13"/>
        <v>7.2293136478506544E-3</v>
      </c>
      <c r="AP14" s="1071">
        <f t="shared" si="14"/>
        <v>0.23925569102126532</v>
      </c>
    </row>
    <row r="15" spans="1:42" x14ac:dyDescent="0.3">
      <c r="A15" s="630" t="s">
        <v>29</v>
      </c>
      <c r="B15" s="500" t="s">
        <v>736</v>
      </c>
      <c r="C15" s="631" t="s">
        <v>253</v>
      </c>
      <c r="D15" s="676">
        <f>'Administration LASER'!D14+'Other Oper Exp. LASER'!D14</f>
        <v>2781530.5812754924</v>
      </c>
      <c r="E15" s="677">
        <f>'Administration LASER'!E14+'Other Oper Exp. LASER'!E14</f>
        <v>808355.39872450731</v>
      </c>
      <c r="F15" s="677">
        <f>'Administration LASER'!F14+'Other Oper Exp. LASER'!F14</f>
        <v>2513718.9600000004</v>
      </c>
      <c r="G15" s="677">
        <f>'Administration LASER'!J14 + 'Other Oper Exp. LASER'!J14</f>
        <v>140250.78000000003</v>
      </c>
      <c r="H15" s="678">
        <f>'Administration LASER'!I14+'Other Oper Exp. LASER'!I14</f>
        <v>6243855.7200000007</v>
      </c>
      <c r="I15" s="676">
        <f>'Client Services LASER'!D14</f>
        <v>116651.5070814519</v>
      </c>
      <c r="J15" s="677">
        <f>'Client Services LASER'!E14</f>
        <v>91503.032918548095</v>
      </c>
      <c r="K15" s="677">
        <f>'Client Services LASER'!F14</f>
        <v>37152.32</v>
      </c>
      <c r="L15" s="677">
        <f>'Client Services LASER'!J14</f>
        <v>254.48</v>
      </c>
      <c r="M15" s="678">
        <f>'Client Services LASER'!I14</f>
        <v>245561.34</v>
      </c>
      <c r="N15" s="1666">
        <f>'Statewide Benefits'!D15</f>
        <v>58908896.148004904</v>
      </c>
      <c r="O15" s="1667">
        <f>'Statewide Benefits'!E15</f>
        <v>51993359.942800455</v>
      </c>
      <c r="P15" s="1667">
        <f>'Statewide Benefits'!F15</f>
        <v>1798530.06</v>
      </c>
      <c r="Q15" s="2078">
        <f>'Statewide Benefits'!G15</f>
        <v>0</v>
      </c>
      <c r="R15" s="1668">
        <f t="shared" si="3"/>
        <v>112700786.15080535</v>
      </c>
      <c r="S15" s="1666">
        <f>'Other Benefits LASER'!D14+'FC &amp; Adoptions LASER'!D14</f>
        <v>1037519.24</v>
      </c>
      <c r="T15" s="1667">
        <f>'Other Benefits LASER'!E14 + 'FC &amp; Adoptions LASER'!E14</f>
        <v>1488347.06</v>
      </c>
      <c r="U15" s="1667">
        <f>'Other Benefits LASER'!F14+'FC &amp; Adoptions LASER'!F14</f>
        <v>28940.59</v>
      </c>
      <c r="V15" s="2078">
        <f>'FC &amp; Adoptions LASER'!J14+'Other Benefits LASER'!J14</f>
        <v>-0.36000000000000004</v>
      </c>
      <c r="W15" s="1668">
        <f>'Other Benefits LASER'!I14+'FC &amp; Adoptions LASER'!I14</f>
        <v>2554806.5299999998</v>
      </c>
      <c r="X15" s="1666">
        <f t="shared" si="15"/>
        <v>62844597.476361848</v>
      </c>
      <c r="Y15" s="1667">
        <f t="shared" si="16"/>
        <v>54381565.434443511</v>
      </c>
      <c r="Z15" s="1667">
        <f t="shared" si="17"/>
        <v>4378341.93</v>
      </c>
      <c r="AA15" s="2078">
        <f t="shared" si="18"/>
        <v>140504.90000000005</v>
      </c>
      <c r="AB15" s="1668">
        <f t="shared" si="19"/>
        <v>121745009.74080536</v>
      </c>
      <c r="AD15" s="523">
        <f t="shared" si="4"/>
        <v>0.44548284041314973</v>
      </c>
      <c r="AE15" s="524">
        <f t="shared" si="5"/>
        <v>0.12946413802215584</v>
      </c>
      <c r="AF15" s="524">
        <f t="shared" si="6"/>
        <v>0.40259081451036477</v>
      </c>
      <c r="AG15" s="524">
        <f t="shared" si="7"/>
        <v>2.2462207054329567E-2</v>
      </c>
      <c r="AH15" s="525">
        <f t="shared" si="8"/>
        <v>0.57494697843530551</v>
      </c>
      <c r="AJ15" s="1069">
        <f t="shared" si="9"/>
        <v>5.1286338005090679E-2</v>
      </c>
      <c r="AK15" s="1047">
        <f t="shared" si="10"/>
        <v>2.0170135968841691E-3</v>
      </c>
      <c r="AL15" s="1071">
        <f t="shared" si="11"/>
        <v>0.94669664839802514</v>
      </c>
      <c r="AN15" s="1069">
        <f t="shared" si="12"/>
        <v>0.57412577642148666</v>
      </c>
      <c r="AO15" s="1047">
        <f t="shared" si="13"/>
        <v>8.4854770582068265E-3</v>
      </c>
      <c r="AP15" s="1071">
        <f t="shared" si="14"/>
        <v>0.41738874652030666</v>
      </c>
    </row>
    <row r="16" spans="1:42" x14ac:dyDescent="0.3">
      <c r="A16" s="630" t="s">
        <v>30</v>
      </c>
      <c r="B16" s="500" t="s">
        <v>31</v>
      </c>
      <c r="C16" s="631" t="s">
        <v>256</v>
      </c>
      <c r="D16" s="676">
        <f>'Administration LASER'!D15+'Other Oper Exp. LASER'!D15</f>
        <v>436056.63491762918</v>
      </c>
      <c r="E16" s="677">
        <f>'Administration LASER'!E15+'Other Oper Exp. LASER'!E15</f>
        <v>180690.05508237082</v>
      </c>
      <c r="F16" s="677">
        <f>'Administration LASER'!F15+'Other Oper Exp. LASER'!F15</f>
        <v>203708.18000000002</v>
      </c>
      <c r="G16" s="677">
        <f>'Administration LASER'!J15 + 'Other Oper Exp. LASER'!J15</f>
        <v>65159.450000000004</v>
      </c>
      <c r="H16" s="678">
        <f>'Administration LASER'!I15+'Other Oper Exp. LASER'!I15</f>
        <v>885614.32000000018</v>
      </c>
      <c r="I16" s="676">
        <f>'Client Services LASER'!D15</f>
        <v>43944.289584246202</v>
      </c>
      <c r="J16" s="677">
        <f>'Client Services LASER'!E15</f>
        <v>5279.430415753799</v>
      </c>
      <c r="K16" s="677">
        <f>'Client Services LASER'!F15</f>
        <v>11308.810000000001</v>
      </c>
      <c r="L16" s="677">
        <f>'Client Services LASER'!J15</f>
        <v>1649.33</v>
      </c>
      <c r="M16" s="678">
        <f>'Client Services LASER'!I15</f>
        <v>62181.86</v>
      </c>
      <c r="N16" s="1666">
        <f>'Statewide Benefits'!D16</f>
        <v>4465298.9286887189</v>
      </c>
      <c r="O16" s="1667">
        <f>'Statewide Benefits'!E16</f>
        <v>3944282.5324754408</v>
      </c>
      <c r="P16" s="1667">
        <f>'Statewide Benefits'!F16</f>
        <v>76675.920000000013</v>
      </c>
      <c r="Q16" s="2078">
        <f>'Statewide Benefits'!G16</f>
        <v>0</v>
      </c>
      <c r="R16" s="1668">
        <f t="shared" si="3"/>
        <v>8486257.3811641596</v>
      </c>
      <c r="S16" s="1666">
        <f>'Other Benefits LASER'!D15+'FC &amp; Adoptions LASER'!D15</f>
        <v>121522.07999999999</v>
      </c>
      <c r="T16" s="1667">
        <f>'Other Benefits LASER'!E15 + 'FC &amp; Adoptions LASER'!E15</f>
        <v>146143.44999999998</v>
      </c>
      <c r="U16" s="1667">
        <f>'Other Benefits LASER'!F15+'FC &amp; Adoptions LASER'!F15</f>
        <v>914</v>
      </c>
      <c r="V16" s="2078">
        <f>'FC &amp; Adoptions LASER'!J15+'Other Benefits LASER'!J15</f>
        <v>-0.03</v>
      </c>
      <c r="W16" s="1668">
        <f>'Other Benefits LASER'!I15+'FC &amp; Adoptions LASER'!I15</f>
        <v>268579.49999999994</v>
      </c>
      <c r="X16" s="1666">
        <f t="shared" si="15"/>
        <v>5066821.9331905944</v>
      </c>
      <c r="Y16" s="1667">
        <f t="shared" si="16"/>
        <v>4276395.4679735657</v>
      </c>
      <c r="Z16" s="1667">
        <f t="shared" si="17"/>
        <v>292606.91000000003</v>
      </c>
      <c r="AA16" s="2078">
        <f t="shared" si="18"/>
        <v>66808.75</v>
      </c>
      <c r="AB16" s="1668">
        <f t="shared" si="19"/>
        <v>9702633.0611641593</v>
      </c>
      <c r="AD16" s="523">
        <f t="shared" si="4"/>
        <v>0.49237757912228552</v>
      </c>
      <c r="AE16" s="524">
        <f t="shared" si="5"/>
        <v>0.20402792841286801</v>
      </c>
      <c r="AF16" s="524">
        <f t="shared" si="6"/>
        <v>0.23001906744236023</v>
      </c>
      <c r="AG16" s="524">
        <f t="shared" si="7"/>
        <v>7.3575425022486082E-2</v>
      </c>
      <c r="AH16" s="525">
        <f t="shared" si="8"/>
        <v>0.69640550753515351</v>
      </c>
      <c r="AJ16" s="1069">
        <f t="shared" si="9"/>
        <v>9.1275668616673494E-2</v>
      </c>
      <c r="AK16" s="1047">
        <f t="shared" si="10"/>
        <v>6.4087613751868692E-3</v>
      </c>
      <c r="AL16" s="1071">
        <f t="shared" si="11"/>
        <v>0.90231557000813967</v>
      </c>
      <c r="AN16" s="1069">
        <f t="shared" si="12"/>
        <v>0.69618376408130622</v>
      </c>
      <c r="AO16" s="1047">
        <f t="shared" si="13"/>
        <v>3.8648472108878083E-2</v>
      </c>
      <c r="AP16" s="1071">
        <f t="shared" si="14"/>
        <v>0.26516776380981572</v>
      </c>
    </row>
    <row r="17" spans="1:42" x14ac:dyDescent="0.3">
      <c r="A17" s="630" t="s">
        <v>32</v>
      </c>
      <c r="B17" s="500" t="s">
        <v>33</v>
      </c>
      <c r="C17" s="631" t="s">
        <v>253</v>
      </c>
      <c r="D17" s="676">
        <f>'Administration LASER'!D16+'Other Oper Exp. LASER'!D16</f>
        <v>635546.22284611955</v>
      </c>
      <c r="E17" s="677">
        <f>'Administration LASER'!E16+'Other Oper Exp. LASER'!E16</f>
        <v>289340.4371538806</v>
      </c>
      <c r="F17" s="677">
        <f>'Administration LASER'!F16+'Other Oper Exp. LASER'!F16</f>
        <v>245249.19999999998</v>
      </c>
      <c r="G17" s="677">
        <f>'Administration LASER'!J16 + 'Other Oper Exp. LASER'!J16</f>
        <v>44149.65</v>
      </c>
      <c r="H17" s="678">
        <f>'Administration LASER'!I16+'Other Oper Exp. LASER'!I16</f>
        <v>1214285.51</v>
      </c>
      <c r="I17" s="676">
        <f>'Client Services LASER'!D16</f>
        <v>36845.770544606181</v>
      </c>
      <c r="J17" s="677">
        <f>'Client Services LASER'!E16</f>
        <v>10202.319455393817</v>
      </c>
      <c r="K17" s="677">
        <f>'Client Services LASER'!F16</f>
        <v>9590.73</v>
      </c>
      <c r="L17" s="677">
        <f>'Client Services LASER'!J16</f>
        <v>0.03</v>
      </c>
      <c r="M17" s="678">
        <f>'Client Services LASER'!I16</f>
        <v>56638.849999999991</v>
      </c>
      <c r="N17" s="1666">
        <f>'Statewide Benefits'!D17</f>
        <v>19203190.158801533</v>
      </c>
      <c r="O17" s="1667">
        <f>'Statewide Benefits'!E17</f>
        <v>17014031.59089756</v>
      </c>
      <c r="P17" s="1667">
        <f>'Statewide Benefits'!F17</f>
        <v>458436.86</v>
      </c>
      <c r="Q17" s="2078">
        <f>'Statewide Benefits'!G17</f>
        <v>0</v>
      </c>
      <c r="R17" s="1668">
        <f t="shared" si="3"/>
        <v>36675658.609699093</v>
      </c>
      <c r="S17" s="1666">
        <f>'Other Benefits LASER'!D16+'FC &amp; Adoptions LASER'!D16</f>
        <v>102416.53</v>
      </c>
      <c r="T17" s="1667">
        <f>'Other Benefits LASER'!E16 + 'FC &amp; Adoptions LASER'!E16</f>
        <v>161967.93</v>
      </c>
      <c r="U17" s="1667">
        <f>'Other Benefits LASER'!F16+'FC &amp; Adoptions LASER'!F16</f>
        <v>11122.6</v>
      </c>
      <c r="V17" s="2078">
        <f>'FC &amp; Adoptions LASER'!J16+'Other Benefits LASER'!J16</f>
        <v>-0.04</v>
      </c>
      <c r="W17" s="1668">
        <f>'Other Benefits LASER'!I16+'FC &amp; Adoptions LASER'!I16</f>
        <v>275507.02</v>
      </c>
      <c r="X17" s="1666">
        <f t="shared" si="15"/>
        <v>19977998.682192259</v>
      </c>
      <c r="Y17" s="1667">
        <f t="shared" si="16"/>
        <v>17475542.277506836</v>
      </c>
      <c r="Z17" s="1667">
        <f t="shared" si="17"/>
        <v>724399.39</v>
      </c>
      <c r="AA17" s="2078">
        <f t="shared" si="18"/>
        <v>44149.64</v>
      </c>
      <c r="AB17" s="1668">
        <f t="shared" si="19"/>
        <v>38222089.989699095</v>
      </c>
      <c r="AD17" s="523">
        <f t="shared" si="4"/>
        <v>0.52339109510260029</v>
      </c>
      <c r="AE17" s="524">
        <f t="shared" si="5"/>
        <v>0.23828040009625134</v>
      </c>
      <c r="AF17" s="524">
        <f t="shared" si="6"/>
        <v>0.2019699633902409</v>
      </c>
      <c r="AG17" s="524">
        <f t="shared" si="7"/>
        <v>3.6358541410907559E-2</v>
      </c>
      <c r="AH17" s="525">
        <f t="shared" si="8"/>
        <v>0.76167149519885169</v>
      </c>
      <c r="AJ17" s="1069">
        <f t="shared" si="9"/>
        <v>3.1769207553204219E-2</v>
      </c>
      <c r="AK17" s="1047">
        <f t="shared" si="10"/>
        <v>1.4818355044233383E-3</v>
      </c>
      <c r="AL17" s="1071">
        <f t="shared" si="11"/>
        <v>0.96674895694237251</v>
      </c>
      <c r="AN17" s="1069">
        <f t="shared" si="12"/>
        <v>0.3385552271102823</v>
      </c>
      <c r="AO17" s="1047">
        <f t="shared" si="13"/>
        <v>1.3239561121110275E-2</v>
      </c>
      <c r="AP17" s="1071">
        <f t="shared" si="14"/>
        <v>0.64820521176860735</v>
      </c>
    </row>
    <row r="18" spans="1:42" x14ac:dyDescent="0.3">
      <c r="A18" s="630" t="s">
        <v>36</v>
      </c>
      <c r="B18" s="500" t="s">
        <v>37</v>
      </c>
      <c r="C18" s="631" t="s">
        <v>252</v>
      </c>
      <c r="D18" s="676">
        <f>'Administration LASER'!D17+'Other Oper Exp. LASER'!D17</f>
        <v>1041964.5979361362</v>
      </c>
      <c r="E18" s="677">
        <f>'Administration LASER'!E17+'Other Oper Exp. LASER'!E17</f>
        <v>472269.83206386375</v>
      </c>
      <c r="F18" s="677">
        <f>'Administration LASER'!F17+'Other Oper Exp. LASER'!F17</f>
        <v>387864.02999999997</v>
      </c>
      <c r="G18" s="677">
        <f>'Administration LASER'!J17 + 'Other Oper Exp. LASER'!J17</f>
        <v>96345.210000000021</v>
      </c>
      <c r="H18" s="678">
        <f>'Administration LASER'!I17+'Other Oper Exp. LASER'!I17</f>
        <v>1998443.6699999997</v>
      </c>
      <c r="I18" s="676">
        <f>'Client Services LASER'!D17</f>
        <v>52808.191709979481</v>
      </c>
      <c r="J18" s="677">
        <f>'Client Services LASER'!E17</f>
        <v>26543.208290020517</v>
      </c>
      <c r="K18" s="677">
        <f>'Client Services LASER'!F17</f>
        <v>16357.08</v>
      </c>
      <c r="L18" s="677">
        <f>'Client Services LASER'!J17</f>
        <v>-3.9999999999999994E-2</v>
      </c>
      <c r="M18" s="678">
        <f>'Client Services LASER'!I17</f>
        <v>95708.44</v>
      </c>
      <c r="N18" s="1666">
        <f>'Statewide Benefits'!D18</f>
        <v>26187162.63731325</v>
      </c>
      <c r="O18" s="1667">
        <f>'Statewide Benefits'!E18</f>
        <v>21491401.658447631</v>
      </c>
      <c r="P18" s="1667">
        <f>'Statewide Benefits'!F18</f>
        <v>254168.08</v>
      </c>
      <c r="Q18" s="2078">
        <f>'Statewide Benefits'!G18</f>
        <v>0</v>
      </c>
      <c r="R18" s="1668">
        <f t="shared" si="3"/>
        <v>47932732.375760883</v>
      </c>
      <c r="S18" s="1666">
        <f>'Other Benefits LASER'!D17+'FC &amp; Adoptions LASER'!D17</f>
        <v>82850.92</v>
      </c>
      <c r="T18" s="1667">
        <f>'Other Benefits LASER'!E17 + 'FC &amp; Adoptions LASER'!E17</f>
        <v>195692.58000000002</v>
      </c>
      <c r="U18" s="1667">
        <f>'Other Benefits LASER'!F17+'FC &amp; Adoptions LASER'!F17</f>
        <v>32702</v>
      </c>
      <c r="V18" s="2078">
        <f>'FC &amp; Adoptions LASER'!J17+'Other Benefits LASER'!J17</f>
        <v>-0.03</v>
      </c>
      <c r="W18" s="1668">
        <f>'Other Benefits LASER'!I17+'FC &amp; Adoptions LASER'!I17</f>
        <v>311245.46999999997</v>
      </c>
      <c r="X18" s="1666">
        <f t="shared" si="15"/>
        <v>27364786.346959367</v>
      </c>
      <c r="Y18" s="1667">
        <f t="shared" si="16"/>
        <v>22185907.278801512</v>
      </c>
      <c r="Z18" s="1667">
        <f t="shared" si="17"/>
        <v>691091.19</v>
      </c>
      <c r="AA18" s="2078">
        <f t="shared" si="18"/>
        <v>96345.140000000029</v>
      </c>
      <c r="AB18" s="1668">
        <f t="shared" si="19"/>
        <v>50338129.955760881</v>
      </c>
      <c r="AD18" s="523">
        <f t="shared" si="4"/>
        <v>0.52138802488044922</v>
      </c>
      <c r="AE18" s="524">
        <f t="shared" si="5"/>
        <v>0.23631881105954006</v>
      </c>
      <c r="AF18" s="524">
        <f t="shared" si="6"/>
        <v>0.19408304363164763</v>
      </c>
      <c r="AG18" s="524">
        <f t="shared" si="7"/>
        <v>4.8210120428363153E-2</v>
      </c>
      <c r="AH18" s="525">
        <f t="shared" si="8"/>
        <v>0.75770683593998933</v>
      </c>
      <c r="AJ18" s="1069">
        <f t="shared" si="9"/>
        <v>3.9700395540245736E-2</v>
      </c>
      <c r="AK18" s="1047">
        <f t="shared" si="10"/>
        <v>1.9013109959410952E-3</v>
      </c>
      <c r="AL18" s="1071">
        <f t="shared" si="11"/>
        <v>0.95839829346381322</v>
      </c>
      <c r="AN18" s="1069">
        <f t="shared" si="12"/>
        <v>0.56123422728048378</v>
      </c>
      <c r="AO18" s="1047">
        <f t="shared" si="13"/>
        <v>2.3668482881398042E-2</v>
      </c>
      <c r="AP18" s="1071">
        <f t="shared" si="14"/>
        <v>0.41509728983811817</v>
      </c>
    </row>
    <row r="19" spans="1:42" x14ac:dyDescent="0.3">
      <c r="A19" s="630" t="s">
        <v>38</v>
      </c>
      <c r="B19" s="500" t="s">
        <v>39</v>
      </c>
      <c r="C19" s="631" t="s">
        <v>256</v>
      </c>
      <c r="D19" s="676">
        <f>'Administration LASER'!D18+'Other Oper Exp. LASER'!D18</f>
        <v>2183364.8662420032</v>
      </c>
      <c r="E19" s="677">
        <f>'Administration LASER'!E18+'Other Oper Exp. LASER'!E18</f>
        <v>946154.47375799634</v>
      </c>
      <c r="F19" s="677">
        <f>'Administration LASER'!F18+'Other Oper Exp. LASER'!F18</f>
        <v>982729.89</v>
      </c>
      <c r="G19" s="677">
        <f>'Administration LASER'!J18 + 'Other Oper Exp. LASER'!J18</f>
        <v>88715.85</v>
      </c>
      <c r="H19" s="678">
        <f>'Administration LASER'!I18+'Other Oper Exp. LASER'!I18</f>
        <v>4200965.08</v>
      </c>
      <c r="I19" s="676">
        <f>'Client Services LASER'!D18</f>
        <v>130114.29560593584</v>
      </c>
      <c r="J19" s="677">
        <f>'Client Services LASER'!E18</f>
        <v>26996.614394064156</v>
      </c>
      <c r="K19" s="677">
        <f>'Client Services LASER'!F18</f>
        <v>33619.949999999997</v>
      </c>
      <c r="L19" s="677">
        <f>'Client Services LASER'!J18</f>
        <v>-0.04</v>
      </c>
      <c r="M19" s="678">
        <f>'Client Services LASER'!I18</f>
        <v>190730.81999999998</v>
      </c>
      <c r="N19" s="1666">
        <f>'Statewide Benefits'!D19</f>
        <v>34601934.189699799</v>
      </c>
      <c r="O19" s="1667">
        <f>'Statewide Benefits'!E19</f>
        <v>26846233.743525077</v>
      </c>
      <c r="P19" s="1667">
        <f>'Statewide Benefits'!F19</f>
        <v>339846.65</v>
      </c>
      <c r="Q19" s="2078">
        <f>'Statewide Benefits'!G19</f>
        <v>0</v>
      </c>
      <c r="R19" s="1668">
        <f t="shared" si="3"/>
        <v>61788014.58322487</v>
      </c>
      <c r="S19" s="1666">
        <f>'Other Benefits LASER'!D18+'FC &amp; Adoptions LASER'!D18</f>
        <v>1137371.44</v>
      </c>
      <c r="T19" s="1667">
        <f>'Other Benefits LASER'!E18 + 'FC &amp; Adoptions LASER'!E18</f>
        <v>1268187.17</v>
      </c>
      <c r="U19" s="1667">
        <f>'Other Benefits LASER'!F18+'FC &amp; Adoptions LASER'!F18</f>
        <v>31218</v>
      </c>
      <c r="V19" s="2078">
        <f>'FC &amp; Adoptions LASER'!J18+'Other Benefits LASER'!J18</f>
        <v>4352.8500000000004</v>
      </c>
      <c r="W19" s="1668">
        <f>'Other Benefits LASER'!I18+'FC &amp; Adoptions LASER'!I18</f>
        <v>2441129.46</v>
      </c>
      <c r="X19" s="1666">
        <f t="shared" si="15"/>
        <v>38052784.791547738</v>
      </c>
      <c r="Y19" s="1667">
        <f t="shared" si="16"/>
        <v>29087572.001677141</v>
      </c>
      <c r="Z19" s="1667">
        <f t="shared" si="17"/>
        <v>1387414.49</v>
      </c>
      <c r="AA19" s="2078">
        <f t="shared" si="18"/>
        <v>93068.660000000018</v>
      </c>
      <c r="AB19" s="1668">
        <f t="shared" si="19"/>
        <v>68620839.943224862</v>
      </c>
      <c r="AD19" s="523">
        <f t="shared" si="4"/>
        <v>0.51972935377077767</v>
      </c>
      <c r="AE19" s="524">
        <f t="shared" si="5"/>
        <v>0.22522312272064787</v>
      </c>
      <c r="AF19" s="524">
        <f t="shared" si="6"/>
        <v>0.23392955458701409</v>
      </c>
      <c r="AG19" s="524">
        <f t="shared" si="7"/>
        <v>2.1117968921560284E-2</v>
      </c>
      <c r="AH19" s="525">
        <f t="shared" si="8"/>
        <v>0.74495247649142549</v>
      </c>
      <c r="AJ19" s="1069">
        <f t="shared" si="9"/>
        <v>6.1219960051141484E-2</v>
      </c>
      <c r="AK19" s="1047">
        <f t="shared" si="10"/>
        <v>2.7794882743756243E-3</v>
      </c>
      <c r="AL19" s="1071">
        <f t="shared" si="11"/>
        <v>0.93600055167448304</v>
      </c>
      <c r="AN19" s="1069">
        <f t="shared" si="12"/>
        <v>0.70831744736931501</v>
      </c>
      <c r="AO19" s="1047">
        <f t="shared" si="13"/>
        <v>2.4232087989797479E-2</v>
      </c>
      <c r="AP19" s="1071">
        <f t="shared" si="14"/>
        <v>0.26745046464088756</v>
      </c>
    </row>
    <row r="20" spans="1:42" x14ac:dyDescent="0.3">
      <c r="A20" s="630" t="s">
        <v>40</v>
      </c>
      <c r="B20" s="500" t="s">
        <v>41</v>
      </c>
      <c r="C20" s="631" t="s">
        <v>254</v>
      </c>
      <c r="D20" s="676">
        <f>'Administration LASER'!D19+'Other Oper Exp. LASER'!D19</f>
        <v>768802.04442611721</v>
      </c>
      <c r="E20" s="677">
        <f>'Administration LASER'!E19+'Other Oper Exp. LASER'!E19</f>
        <v>345733.40557388269</v>
      </c>
      <c r="F20" s="677">
        <f>'Administration LASER'!F19+'Other Oper Exp. LASER'!F19</f>
        <v>285312.34999999998</v>
      </c>
      <c r="G20" s="677">
        <f>'Administration LASER'!J19 + 'Other Oper Exp. LASER'!J19</f>
        <v>85924.360000000015</v>
      </c>
      <c r="H20" s="678">
        <f>'Administration LASER'!I19+'Other Oper Exp. LASER'!I19</f>
        <v>1485772.16</v>
      </c>
      <c r="I20" s="676">
        <f>'Client Services LASER'!D19</f>
        <v>19680.043114698885</v>
      </c>
      <c r="J20" s="677">
        <f>'Client Services LASER'!E19</f>
        <v>11592.606885301117</v>
      </c>
      <c r="K20" s="677">
        <f>'Client Services LASER'!F19</f>
        <v>6199.24</v>
      </c>
      <c r="L20" s="677">
        <f>'Client Services LASER'!J19</f>
        <v>3.4694469519536142E-18</v>
      </c>
      <c r="M20" s="678">
        <f>'Client Services LASER'!I19</f>
        <v>37471.89</v>
      </c>
      <c r="N20" s="1666">
        <f>'Statewide Benefits'!D20</f>
        <v>19311004.209743068</v>
      </c>
      <c r="O20" s="1667">
        <f>'Statewide Benefits'!E20</f>
        <v>15988981.488752343</v>
      </c>
      <c r="P20" s="1667">
        <f>'Statewide Benefits'!F20</f>
        <v>398843.51</v>
      </c>
      <c r="Q20" s="2078">
        <f>'Statewide Benefits'!G20</f>
        <v>0</v>
      </c>
      <c r="R20" s="1668">
        <f t="shared" si="3"/>
        <v>35698829.208495408</v>
      </c>
      <c r="S20" s="1666">
        <f>'Other Benefits LASER'!D19+'FC &amp; Adoptions LASER'!D19</f>
        <v>113414</v>
      </c>
      <c r="T20" s="1667">
        <f>'Other Benefits LASER'!E19 + 'FC &amp; Adoptions LASER'!E19</f>
        <v>196757.2</v>
      </c>
      <c r="U20" s="1667">
        <f>'Other Benefits LASER'!F19+'FC &amp; Adoptions LASER'!F19</f>
        <v>14819.8</v>
      </c>
      <c r="V20" s="2078">
        <f>'FC &amp; Adoptions LASER'!J19+'Other Benefits LASER'!J19</f>
        <v>-0.03</v>
      </c>
      <c r="W20" s="1668">
        <f>'Other Benefits LASER'!I19+'FC &amp; Adoptions LASER'!I19</f>
        <v>324990.96999999997</v>
      </c>
      <c r="X20" s="1666">
        <f t="shared" si="15"/>
        <v>20212900.297283884</v>
      </c>
      <c r="Y20" s="1667">
        <f t="shared" si="16"/>
        <v>16543064.701211525</v>
      </c>
      <c r="Z20" s="1667">
        <f t="shared" si="17"/>
        <v>705174.9</v>
      </c>
      <c r="AA20" s="2078">
        <f t="shared" si="18"/>
        <v>85924.330000000016</v>
      </c>
      <c r="AB20" s="1668">
        <f t="shared" si="19"/>
        <v>37547064.228495404</v>
      </c>
      <c r="AD20" s="523">
        <f t="shared" si="4"/>
        <v>0.51744275813198526</v>
      </c>
      <c r="AE20" s="524">
        <f t="shared" si="5"/>
        <v>0.23269611242001109</v>
      </c>
      <c r="AF20" s="524">
        <f t="shared" si="6"/>
        <v>0.19202967835929838</v>
      </c>
      <c r="AG20" s="524">
        <f t="shared" si="7"/>
        <v>5.7831451088705299E-2</v>
      </c>
      <c r="AH20" s="525">
        <f t="shared" si="8"/>
        <v>0.75013887055199635</v>
      </c>
      <c r="AJ20" s="1069">
        <f t="shared" si="9"/>
        <v>3.9570927595250188E-2</v>
      </c>
      <c r="AK20" s="1047">
        <f t="shared" si="10"/>
        <v>9.9799786667639518E-4</v>
      </c>
      <c r="AL20" s="1071">
        <f t="shared" si="11"/>
        <v>0.95943107453807353</v>
      </c>
      <c r="AN20" s="1069">
        <f t="shared" si="12"/>
        <v>0.40459799405792801</v>
      </c>
      <c r="AO20" s="1047">
        <f t="shared" si="13"/>
        <v>8.7910672940854813E-3</v>
      </c>
      <c r="AP20" s="1071">
        <f t="shared" si="14"/>
        <v>0.58661093864798641</v>
      </c>
    </row>
    <row r="21" spans="1:42" x14ac:dyDescent="0.3">
      <c r="A21" s="630" t="s">
        <v>42</v>
      </c>
      <c r="B21" s="500" t="s">
        <v>43</v>
      </c>
      <c r="C21" s="631" t="s">
        <v>253</v>
      </c>
      <c r="D21" s="676">
        <f>'Administration LASER'!D20+'Other Oper Exp. LASER'!D20</f>
        <v>2502305.3240858861</v>
      </c>
      <c r="E21" s="677">
        <f>'Administration LASER'!E20+'Other Oper Exp. LASER'!E20</f>
        <v>1071896.9159141139</v>
      </c>
      <c r="F21" s="677">
        <f>'Administration LASER'!F20+'Other Oper Exp. LASER'!F20</f>
        <v>1097169.5099999998</v>
      </c>
      <c r="G21" s="677">
        <f>'Administration LASER'!J20 + 'Other Oper Exp. LASER'!J20</f>
        <v>376679.48</v>
      </c>
      <c r="H21" s="678">
        <f>'Administration LASER'!I20+'Other Oper Exp. LASER'!I20</f>
        <v>5048051.2299999995</v>
      </c>
      <c r="I21" s="676">
        <f>'Client Services LASER'!D20</f>
        <v>154350.02468098525</v>
      </c>
      <c r="J21" s="677">
        <f>'Client Services LASER'!E20</f>
        <v>68434.615319014745</v>
      </c>
      <c r="K21" s="677">
        <f>'Client Services LASER'!F20</f>
        <v>46544.14</v>
      </c>
      <c r="L21" s="677">
        <f>'Client Services LASER'!J20</f>
        <v>41453.46</v>
      </c>
      <c r="M21" s="678">
        <f>'Client Services LASER'!I20</f>
        <v>310782.24000000005</v>
      </c>
      <c r="N21" s="1666">
        <f>'Statewide Benefits'!D21</f>
        <v>54246562.729027107</v>
      </c>
      <c r="O21" s="1667">
        <f>'Statewide Benefits'!E21</f>
        <v>45264452.130670249</v>
      </c>
      <c r="P21" s="1667">
        <f>'Statewide Benefits'!F21</f>
        <v>1219455.1400000001</v>
      </c>
      <c r="Q21" s="2078">
        <f>'Statewide Benefits'!G21</f>
        <v>0</v>
      </c>
      <c r="R21" s="1668">
        <f t="shared" si="3"/>
        <v>100730469.99969736</v>
      </c>
      <c r="S21" s="1666">
        <f>'Other Benefits LASER'!D20+'FC &amp; Adoptions LASER'!D20</f>
        <v>828453.35</v>
      </c>
      <c r="T21" s="1667">
        <f>'Other Benefits LASER'!E20 + 'FC &amp; Adoptions LASER'!E20</f>
        <v>1339123.9600000002</v>
      </c>
      <c r="U21" s="1667">
        <f>'Other Benefits LASER'!F20+'FC &amp; Adoptions LASER'!F20</f>
        <v>32044.74</v>
      </c>
      <c r="V21" s="2078">
        <f>'FC &amp; Adoptions LASER'!J20+'Other Benefits LASER'!J20</f>
        <v>229.62</v>
      </c>
      <c r="W21" s="1668">
        <f>'Other Benefits LASER'!I20+'FC &amp; Adoptions LASER'!I20</f>
        <v>2199851.67</v>
      </c>
      <c r="X21" s="1666">
        <f t="shared" si="15"/>
        <v>57731671.42779398</v>
      </c>
      <c r="Y21" s="1667">
        <f t="shared" si="16"/>
        <v>47743907.621903382</v>
      </c>
      <c r="Z21" s="1667">
        <f t="shared" si="17"/>
        <v>2395213.5300000003</v>
      </c>
      <c r="AA21" s="2078">
        <f t="shared" si="18"/>
        <v>418362.56</v>
      </c>
      <c r="AB21" s="1668">
        <f t="shared" si="19"/>
        <v>108289155.13969736</v>
      </c>
      <c r="AD21" s="523">
        <f t="shared" si="4"/>
        <v>0.49569729190047984</v>
      </c>
      <c r="AE21" s="524">
        <f t="shared" si="5"/>
        <v>0.21233875550706605</v>
      </c>
      <c r="AF21" s="524">
        <f t="shared" si="6"/>
        <v>0.21734516153077946</v>
      </c>
      <c r="AG21" s="524">
        <f t="shared" si="7"/>
        <v>7.4618791061674711E-2</v>
      </c>
      <c r="AH21" s="525">
        <f t="shared" si="8"/>
        <v>0.70803604740754589</v>
      </c>
      <c r="AJ21" s="1069">
        <f t="shared" si="9"/>
        <v>4.6616406079517482E-2</v>
      </c>
      <c r="AK21" s="1047">
        <f t="shared" si="10"/>
        <v>2.8699294920075651E-3</v>
      </c>
      <c r="AL21" s="1071">
        <f t="shared" si="11"/>
        <v>0.95051366442847496</v>
      </c>
      <c r="AN21" s="1069">
        <f t="shared" si="12"/>
        <v>0.45806751517473254</v>
      </c>
      <c r="AO21" s="1047">
        <f t="shared" si="13"/>
        <v>1.94321464107628E-2</v>
      </c>
      <c r="AP21" s="1071">
        <f t="shared" si="14"/>
        <v>0.52250033841450449</v>
      </c>
    </row>
    <row r="22" spans="1:42" x14ac:dyDescent="0.3">
      <c r="A22" s="630" t="s">
        <v>44</v>
      </c>
      <c r="B22" s="500" t="s">
        <v>45</v>
      </c>
      <c r="C22" s="631" t="s">
        <v>254</v>
      </c>
      <c r="D22" s="676">
        <f>'Administration LASER'!D21+'Other Oper Exp. LASER'!D21</f>
        <v>1234027.1720715214</v>
      </c>
      <c r="E22" s="677">
        <f>'Administration LASER'!E21+'Other Oper Exp. LASER'!E21</f>
        <v>500522.37792847864</v>
      </c>
      <c r="F22" s="677">
        <f>'Administration LASER'!F21+'Other Oper Exp. LASER'!F21</f>
        <v>639395.94000000006</v>
      </c>
      <c r="G22" s="677">
        <f>'Administration LASER'!J21 + 'Other Oper Exp. LASER'!J21</f>
        <v>123435.93</v>
      </c>
      <c r="H22" s="678">
        <f>'Administration LASER'!I21+'Other Oper Exp. LASER'!I21</f>
        <v>2497381.4200000004</v>
      </c>
      <c r="I22" s="676">
        <f>'Client Services LASER'!D21</f>
        <v>36828.451526379329</v>
      </c>
      <c r="J22" s="677">
        <f>'Client Services LASER'!E21</f>
        <v>43785.138473620667</v>
      </c>
      <c r="K22" s="677">
        <f>'Client Services LASER'!F21</f>
        <v>15638.130000000001</v>
      </c>
      <c r="L22" s="677">
        <f>'Client Services LASER'!J21</f>
        <v>-0.13</v>
      </c>
      <c r="M22" s="678">
        <f>'Client Services LASER'!I21</f>
        <v>96251.59</v>
      </c>
      <c r="N22" s="1666">
        <f>'Statewide Benefits'!D22</f>
        <v>27075373.368972708</v>
      </c>
      <c r="O22" s="1667">
        <f>'Statewide Benefits'!E22</f>
        <v>21171228.568980839</v>
      </c>
      <c r="P22" s="1667">
        <f>'Statewide Benefits'!F22</f>
        <v>522405.99</v>
      </c>
      <c r="Q22" s="2078">
        <f>'Statewide Benefits'!G22</f>
        <v>0</v>
      </c>
      <c r="R22" s="1668">
        <f t="shared" si="3"/>
        <v>48769007.927953549</v>
      </c>
      <c r="S22" s="1666">
        <f>'Other Benefits LASER'!D21+'FC &amp; Adoptions LASER'!D21</f>
        <v>324261.01000000007</v>
      </c>
      <c r="T22" s="1667">
        <f>'Other Benefits LASER'!E21 + 'FC &amp; Adoptions LASER'!E21</f>
        <v>348012.17</v>
      </c>
      <c r="U22" s="1667">
        <f>'Other Benefits LASER'!F21+'FC &amp; Adoptions LASER'!F21</f>
        <v>642.4</v>
      </c>
      <c r="V22" s="2078">
        <f>'FC &amp; Adoptions LASER'!J21+'Other Benefits LASER'!J21</f>
        <v>46.09</v>
      </c>
      <c r="W22" s="1668">
        <f>'Other Benefits LASER'!I21+'FC &amp; Adoptions LASER'!I21</f>
        <v>672961.67</v>
      </c>
      <c r="X22" s="1666">
        <f t="shared" si="15"/>
        <v>28670490.00257061</v>
      </c>
      <c r="Y22" s="1667">
        <f t="shared" si="16"/>
        <v>22063548.25538294</v>
      </c>
      <c r="Z22" s="1667">
        <f t="shared" si="17"/>
        <v>1178082.46</v>
      </c>
      <c r="AA22" s="2078">
        <f t="shared" si="18"/>
        <v>123481.88999999998</v>
      </c>
      <c r="AB22" s="1668">
        <f t="shared" si="19"/>
        <v>52035602.607953548</v>
      </c>
      <c r="AD22" s="523">
        <f t="shared" si="4"/>
        <v>0.49412843476328949</v>
      </c>
      <c r="AE22" s="524">
        <f t="shared" si="5"/>
        <v>0.20041887631584868</v>
      </c>
      <c r="AF22" s="524">
        <f t="shared" si="6"/>
        <v>0.25602654639754624</v>
      </c>
      <c r="AG22" s="524">
        <f t="shared" si="7"/>
        <v>4.9426142523315474E-2</v>
      </c>
      <c r="AH22" s="525">
        <f t="shared" si="8"/>
        <v>0.69454731107913814</v>
      </c>
      <c r="AJ22" s="1069">
        <f t="shared" si="9"/>
        <v>4.7993706132621591E-2</v>
      </c>
      <c r="AK22" s="1047">
        <f t="shared" si="10"/>
        <v>1.849725671963067E-3</v>
      </c>
      <c r="AL22" s="1071">
        <f t="shared" si="11"/>
        <v>0.95015656819541539</v>
      </c>
      <c r="AN22" s="1069">
        <f t="shared" si="12"/>
        <v>0.54274294178015359</v>
      </c>
      <c r="AO22" s="1047">
        <f t="shared" si="13"/>
        <v>1.3274223605705836E-2</v>
      </c>
      <c r="AP22" s="1071">
        <f t="shared" si="14"/>
        <v>0.44398283461414068</v>
      </c>
    </row>
    <row r="23" spans="1:42" x14ac:dyDescent="0.3">
      <c r="A23" s="630" t="s">
        <v>46</v>
      </c>
      <c r="B23" s="500" t="s">
        <v>47</v>
      </c>
      <c r="C23" s="631" t="s">
        <v>256</v>
      </c>
      <c r="D23" s="676">
        <f>'Administration LASER'!D22+'Other Oper Exp. LASER'!D22</f>
        <v>1343701.5214120524</v>
      </c>
      <c r="E23" s="677">
        <f>'Administration LASER'!E22+'Other Oper Exp. LASER'!E22</f>
        <v>593114.84858794732</v>
      </c>
      <c r="F23" s="677">
        <f>'Administration LASER'!F22+'Other Oper Exp. LASER'!F22</f>
        <v>547100.66</v>
      </c>
      <c r="G23" s="677">
        <f>'Administration LASER'!J22 + 'Other Oper Exp. LASER'!J22</f>
        <v>109332.95</v>
      </c>
      <c r="H23" s="678">
        <f>'Administration LASER'!I22+'Other Oper Exp. LASER'!I22</f>
        <v>2593249.98</v>
      </c>
      <c r="I23" s="676">
        <f>'Client Services LASER'!D22</f>
        <v>54878.354394750095</v>
      </c>
      <c r="J23" s="677">
        <f>'Client Services LASER'!E22</f>
        <v>60147.375605249908</v>
      </c>
      <c r="K23" s="677">
        <f>'Client Services LASER'!F22</f>
        <v>21964.65</v>
      </c>
      <c r="L23" s="677">
        <f>'Client Services LASER'!J22</f>
        <v>-0.26</v>
      </c>
      <c r="M23" s="678">
        <f>'Client Services LASER'!I22</f>
        <v>136990.12</v>
      </c>
      <c r="N23" s="1666">
        <f>'Statewide Benefits'!D23</f>
        <v>35924464.403774932</v>
      </c>
      <c r="O23" s="1667">
        <f>'Statewide Benefits'!E23</f>
        <v>30640031.271823879</v>
      </c>
      <c r="P23" s="1667">
        <f>'Statewide Benefits'!F23</f>
        <v>1138318.3600000001</v>
      </c>
      <c r="Q23" s="2078">
        <f>'Statewide Benefits'!G23</f>
        <v>0</v>
      </c>
      <c r="R23" s="1668">
        <f t="shared" si="3"/>
        <v>67702814.035598814</v>
      </c>
      <c r="S23" s="1666">
        <f>'Other Benefits LASER'!D22+'FC &amp; Adoptions LASER'!D22</f>
        <v>761064.48</v>
      </c>
      <c r="T23" s="1667">
        <f>'Other Benefits LASER'!E22 + 'FC &amp; Adoptions LASER'!E22</f>
        <v>1003946.88</v>
      </c>
      <c r="U23" s="1667">
        <f>'Other Benefits LASER'!F22+'FC &amp; Adoptions LASER'!F22</f>
        <v>38616.6</v>
      </c>
      <c r="V23" s="2078">
        <f>'FC &amp; Adoptions LASER'!J22+'Other Benefits LASER'!J22</f>
        <v>-579.9</v>
      </c>
      <c r="W23" s="1668">
        <f>'Other Benefits LASER'!I22+'FC &amp; Adoptions LASER'!I22</f>
        <v>1803048.06</v>
      </c>
      <c r="X23" s="1666">
        <f t="shared" si="15"/>
        <v>38084108.75958173</v>
      </c>
      <c r="Y23" s="1667">
        <f t="shared" si="16"/>
        <v>32297240.376017075</v>
      </c>
      <c r="Z23" s="1667">
        <f t="shared" si="17"/>
        <v>1746000.2700000003</v>
      </c>
      <c r="AA23" s="2078">
        <f t="shared" si="18"/>
        <v>108752.79000000001</v>
      </c>
      <c r="AB23" s="1668">
        <f t="shared" si="19"/>
        <v>72236102.195598811</v>
      </c>
      <c r="AD23" s="523">
        <f t="shared" si="4"/>
        <v>0.51815348762175728</v>
      </c>
      <c r="AE23" s="524">
        <f t="shared" si="5"/>
        <v>0.22871487637607052</v>
      </c>
      <c r="AF23" s="524">
        <f t="shared" si="6"/>
        <v>0.21097104568376399</v>
      </c>
      <c r="AG23" s="524">
        <f t="shared" si="7"/>
        <v>4.2160590318408096E-2</v>
      </c>
      <c r="AH23" s="525">
        <f t="shared" si="8"/>
        <v>0.74686836399782774</v>
      </c>
      <c r="AJ23" s="1069">
        <f t="shared" si="9"/>
        <v>3.5899638839566303E-2</v>
      </c>
      <c r="AK23" s="1047">
        <f t="shared" si="10"/>
        <v>1.8964218145251267E-3</v>
      </c>
      <c r="AL23" s="1071">
        <f t="shared" si="11"/>
        <v>0.96220393934590864</v>
      </c>
      <c r="AN23" s="1069">
        <f t="shared" si="12"/>
        <v>0.31334511763849837</v>
      </c>
      <c r="AO23" s="1047">
        <f t="shared" si="13"/>
        <v>1.2579980872511548E-2</v>
      </c>
      <c r="AP23" s="1071">
        <f t="shared" si="14"/>
        <v>0.67407490148899007</v>
      </c>
    </row>
    <row r="24" spans="1:42" x14ac:dyDescent="0.3">
      <c r="A24" s="630" t="s">
        <v>48</v>
      </c>
      <c r="B24" s="500" t="s">
        <v>257</v>
      </c>
      <c r="C24" s="631" t="s">
        <v>254</v>
      </c>
      <c r="D24" s="676">
        <f>'Administration LASER'!D23+'Other Oper Exp. LASER'!D23</f>
        <v>457636.01269953471</v>
      </c>
      <c r="E24" s="677">
        <f>'Administration LASER'!E23+'Other Oper Exp. LASER'!E23</f>
        <v>199720.4373004653</v>
      </c>
      <c r="F24" s="677">
        <f>'Administration LASER'!F23+'Other Oper Exp. LASER'!F23</f>
        <v>165077.01999999999</v>
      </c>
      <c r="G24" s="677">
        <f>'Administration LASER'!J23 + 'Other Oper Exp. LASER'!J23</f>
        <v>86620.209999999992</v>
      </c>
      <c r="H24" s="678">
        <f>'Administration LASER'!I23+'Other Oper Exp. LASER'!I23</f>
        <v>909053.68</v>
      </c>
      <c r="I24" s="676">
        <f>'Client Services LASER'!D23</f>
        <v>36555.107017371731</v>
      </c>
      <c r="J24" s="677">
        <f>'Client Services LASER'!E23</f>
        <v>5241.8629826282677</v>
      </c>
      <c r="K24" s="677">
        <f>'Client Services LASER'!F23</f>
        <v>9068.4699999999993</v>
      </c>
      <c r="L24" s="677">
        <f>'Client Services LASER'!J23</f>
        <v>-0.01</v>
      </c>
      <c r="M24" s="678">
        <f>'Client Services LASER'!I23</f>
        <v>50865.43</v>
      </c>
      <c r="N24" s="1666">
        <f>'Statewide Benefits'!D24</f>
        <v>7381942.4852125384</v>
      </c>
      <c r="O24" s="1667">
        <f>'Statewide Benefits'!E24</f>
        <v>6145744.470335531</v>
      </c>
      <c r="P24" s="1667">
        <f>'Statewide Benefits'!F24</f>
        <v>202649.21</v>
      </c>
      <c r="Q24" s="2078">
        <f>'Statewide Benefits'!G24</f>
        <v>0</v>
      </c>
      <c r="R24" s="1668">
        <f t="shared" si="3"/>
        <v>13730336.165548071</v>
      </c>
      <c r="S24" s="1666">
        <f>'Other Benefits LASER'!D23+'FC &amp; Adoptions LASER'!D23</f>
        <v>4200</v>
      </c>
      <c r="T24" s="1667">
        <f>'Other Benefits LASER'!E23 + 'FC &amp; Adoptions LASER'!E23</f>
        <v>26954.400000000001</v>
      </c>
      <c r="U24" s="1667">
        <f>'Other Benefits LASER'!F23+'FC &amp; Adoptions LASER'!F23</f>
        <v>4032.6</v>
      </c>
      <c r="V24" s="2078">
        <f>'FC &amp; Adoptions LASER'!J23+'Other Benefits LASER'!J23</f>
        <v>0</v>
      </c>
      <c r="W24" s="1668">
        <f>'Other Benefits LASER'!I23+'FC &amp; Adoptions LASER'!I23</f>
        <v>35187</v>
      </c>
      <c r="X24" s="1666">
        <f t="shared" si="15"/>
        <v>7880333.6049294453</v>
      </c>
      <c r="Y24" s="1667">
        <f t="shared" si="16"/>
        <v>6377661.1706186254</v>
      </c>
      <c r="Z24" s="1667">
        <f t="shared" si="17"/>
        <v>380827.29999999993</v>
      </c>
      <c r="AA24" s="2078">
        <f t="shared" si="18"/>
        <v>86620.2</v>
      </c>
      <c r="AB24" s="1668">
        <f t="shared" si="19"/>
        <v>14725442.275548071</v>
      </c>
      <c r="AD24" s="523">
        <f t="shared" si="4"/>
        <v>0.50342023003474856</v>
      </c>
      <c r="AE24" s="524">
        <f t="shared" si="5"/>
        <v>0.21970147824544892</v>
      </c>
      <c r="AF24" s="524">
        <f t="shared" si="6"/>
        <v>0.18159215856207742</v>
      </c>
      <c r="AG24" s="524">
        <f t="shared" si="7"/>
        <v>9.5286133157725064E-2</v>
      </c>
      <c r="AH24" s="525">
        <f t="shared" si="8"/>
        <v>0.72312170828019739</v>
      </c>
      <c r="AJ24" s="1069">
        <f t="shared" si="9"/>
        <v>6.1733540017979913E-2</v>
      </c>
      <c r="AK24" s="1047">
        <f t="shared" si="10"/>
        <v>3.4542548229239398E-3</v>
      </c>
      <c r="AL24" s="1071">
        <f t="shared" si="11"/>
        <v>0.93481220515909624</v>
      </c>
      <c r="AN24" s="1069">
        <f t="shared" si="12"/>
        <v>0.43346950179254484</v>
      </c>
      <c r="AO24" s="1047">
        <f t="shared" si="13"/>
        <v>2.3812552303892082E-2</v>
      </c>
      <c r="AP24" s="1071">
        <f t="shared" si="14"/>
        <v>0.54271794590356326</v>
      </c>
    </row>
    <row r="25" spans="1:42" x14ac:dyDescent="0.3">
      <c r="A25" s="630" t="s">
        <v>50</v>
      </c>
      <c r="B25" s="500" t="s">
        <v>51</v>
      </c>
      <c r="C25" s="631" t="s">
        <v>253</v>
      </c>
      <c r="D25" s="676">
        <f>'Administration LASER'!D24+'Other Oper Exp. LASER'!D24</f>
        <v>805594.22197026224</v>
      </c>
      <c r="E25" s="677">
        <f>'Administration LASER'!E24+'Other Oper Exp. LASER'!E24</f>
        <v>355723.218029738</v>
      </c>
      <c r="F25" s="677">
        <f>'Administration LASER'!F24+'Other Oper Exp. LASER'!F24</f>
        <v>319570.51</v>
      </c>
      <c r="G25" s="677">
        <f>'Administration LASER'!J24 + 'Other Oper Exp. LASER'!J24</f>
        <v>278512.65000000002</v>
      </c>
      <c r="H25" s="678">
        <f>'Administration LASER'!I24+'Other Oper Exp. LASER'!I24</f>
        <v>1759400.6000000003</v>
      </c>
      <c r="I25" s="676">
        <f>'Client Services LASER'!D24</f>
        <v>43034.89125057256</v>
      </c>
      <c r="J25" s="677">
        <f>'Client Services LASER'!E24</f>
        <v>2927.5687494274366</v>
      </c>
      <c r="K25" s="677">
        <f>'Client Services LASER'!F24</f>
        <v>11130.18</v>
      </c>
      <c r="L25" s="677">
        <f>'Client Services LASER'!J24</f>
        <v>0</v>
      </c>
      <c r="M25" s="678">
        <f>'Client Services LASER'!I24</f>
        <v>57092.639999999999</v>
      </c>
      <c r="N25" s="1666">
        <f>'Statewide Benefits'!D25</f>
        <v>14961264.810274461</v>
      </c>
      <c r="O25" s="1667">
        <f>'Statewide Benefits'!E25</f>
        <v>12379921.521607699</v>
      </c>
      <c r="P25" s="1667">
        <f>'Statewide Benefits'!F25</f>
        <v>262820.93</v>
      </c>
      <c r="Q25" s="2078">
        <f>'Statewide Benefits'!G25</f>
        <v>0</v>
      </c>
      <c r="R25" s="1668">
        <f t="shared" si="3"/>
        <v>27604007.26188216</v>
      </c>
      <c r="S25" s="1666">
        <f>'Other Benefits LASER'!D24+'FC &amp; Adoptions LASER'!D24</f>
        <v>369176.56</v>
      </c>
      <c r="T25" s="1667">
        <f>'Other Benefits LASER'!E24 + 'FC &amp; Adoptions LASER'!E24</f>
        <v>288782.31</v>
      </c>
      <c r="U25" s="1667">
        <f>'Other Benefits LASER'!F24+'FC &amp; Adoptions LASER'!F24</f>
        <v>12637.8</v>
      </c>
      <c r="V25" s="2078">
        <f>'FC &amp; Adoptions LASER'!J24+'Other Benefits LASER'!J24</f>
        <v>1306.4399999999998</v>
      </c>
      <c r="W25" s="1668">
        <f>'Other Benefits LASER'!I24+'FC &amp; Adoptions LASER'!I24</f>
        <v>671903.11</v>
      </c>
      <c r="X25" s="1666">
        <f t="shared" si="15"/>
        <v>16179070.483495297</v>
      </c>
      <c r="Y25" s="1667">
        <f t="shared" si="16"/>
        <v>13027354.618386865</v>
      </c>
      <c r="Z25" s="1667">
        <f t="shared" si="17"/>
        <v>606159.42000000004</v>
      </c>
      <c r="AA25" s="2078">
        <f t="shared" si="18"/>
        <v>279819.09000000003</v>
      </c>
      <c r="AB25" s="1668">
        <f t="shared" si="19"/>
        <v>30092403.611882158</v>
      </c>
      <c r="AD25" s="523">
        <f t="shared" si="4"/>
        <v>0.45787992909077224</v>
      </c>
      <c r="AE25" s="524">
        <f t="shared" si="5"/>
        <v>0.20218432233667416</v>
      </c>
      <c r="AF25" s="524">
        <f t="shared" si="6"/>
        <v>0.18163601285574185</v>
      </c>
      <c r="AG25" s="524">
        <f t="shared" si="7"/>
        <v>0.15829973571681172</v>
      </c>
      <c r="AH25" s="525">
        <f t="shared" si="8"/>
        <v>0.6600642514274464</v>
      </c>
      <c r="AJ25" s="1069">
        <f t="shared" si="9"/>
        <v>5.8466602491842525E-2</v>
      </c>
      <c r="AK25" s="1047">
        <f t="shared" si="10"/>
        <v>1.8972442592607207E-3</v>
      </c>
      <c r="AL25" s="1071">
        <f t="shared" si="11"/>
        <v>0.93963615324889682</v>
      </c>
      <c r="AN25" s="1069">
        <f t="shared" si="12"/>
        <v>0.52720538435251896</v>
      </c>
      <c r="AO25" s="1047">
        <f t="shared" si="13"/>
        <v>1.8361803236514908E-2</v>
      </c>
      <c r="AP25" s="1071">
        <f t="shared" si="14"/>
        <v>0.454432812410966</v>
      </c>
    </row>
    <row r="26" spans="1:42" x14ac:dyDescent="0.3">
      <c r="A26" s="630" t="s">
        <v>56</v>
      </c>
      <c r="B26" s="500" t="s">
        <v>283</v>
      </c>
      <c r="C26" s="631" t="s">
        <v>254</v>
      </c>
      <c r="D26" s="676">
        <f>'Administration LASER'!D25+'Other Oper Exp. LASER'!D25</f>
        <v>7560380.9571174327</v>
      </c>
      <c r="E26" s="677">
        <f>'Administration LASER'!E25+'Other Oper Exp. LASER'!E25</f>
        <v>2870707.7328825668</v>
      </c>
      <c r="F26" s="677">
        <f>'Administration LASER'!F25+'Other Oper Exp. LASER'!F25</f>
        <v>4496797.07</v>
      </c>
      <c r="G26" s="677">
        <f>'Administration LASER'!J25 + 'Other Oper Exp. LASER'!J25</f>
        <v>1080069.98</v>
      </c>
      <c r="H26" s="678">
        <f>'Administration LASER'!I25+'Other Oper Exp. LASER'!I25</f>
        <v>16007955.739999998</v>
      </c>
      <c r="I26" s="676">
        <f>'Client Services LASER'!D25</f>
        <v>268321.57823494554</v>
      </c>
      <c r="J26" s="677">
        <f>'Client Services LASER'!E25</f>
        <v>321146.10176505445</v>
      </c>
      <c r="K26" s="677">
        <f>'Client Services LASER'!F25</f>
        <v>110354.8</v>
      </c>
      <c r="L26" s="677">
        <f>'Client Services LASER'!J25</f>
        <v>-1452.9000000000008</v>
      </c>
      <c r="M26" s="678">
        <f>'Client Services LASER'!I25</f>
        <v>698369.58</v>
      </c>
      <c r="N26" s="1666">
        <f>'Statewide Benefits'!D26</f>
        <v>266894798.57645056</v>
      </c>
      <c r="O26" s="1667">
        <f>'Statewide Benefits'!E26</f>
        <v>216831121.66943935</v>
      </c>
      <c r="P26" s="1667">
        <f>'Statewide Benefits'!F26</f>
        <v>6005643.5599999996</v>
      </c>
      <c r="Q26" s="2078">
        <f>'Statewide Benefits'!G26</f>
        <v>0</v>
      </c>
      <c r="R26" s="1668">
        <f t="shared" si="3"/>
        <v>489731563.8058899</v>
      </c>
      <c r="S26" s="1666">
        <f>'Other Benefits LASER'!D25+'FC &amp; Adoptions LASER'!D25</f>
        <v>1616057.75</v>
      </c>
      <c r="T26" s="1667">
        <f>'Other Benefits LASER'!E25 + 'FC &amp; Adoptions LASER'!E25</f>
        <v>2486800.96</v>
      </c>
      <c r="U26" s="1667">
        <f>'Other Benefits LASER'!F25+'FC &amp; Adoptions LASER'!F25</f>
        <v>159951.85</v>
      </c>
      <c r="V26" s="2078">
        <f>'FC &amp; Adoptions LASER'!J25+'Other Benefits LASER'!J25</f>
        <v>19.45</v>
      </c>
      <c r="W26" s="1668">
        <f>'Other Benefits LASER'!I25+'FC &amp; Adoptions LASER'!I25</f>
        <v>4262830.01</v>
      </c>
      <c r="X26" s="1666">
        <f t="shared" si="15"/>
        <v>276339558.86180294</v>
      </c>
      <c r="Y26" s="1667">
        <f t="shared" si="16"/>
        <v>222509776.46408698</v>
      </c>
      <c r="Z26" s="1667">
        <f t="shared" si="17"/>
        <v>10772747.279999999</v>
      </c>
      <c r="AA26" s="2078">
        <f t="shared" si="18"/>
        <v>1078636.53</v>
      </c>
      <c r="AB26" s="1668">
        <f t="shared" si="19"/>
        <v>510700719.13588989</v>
      </c>
      <c r="AD26" s="523">
        <f t="shared" si="4"/>
        <v>0.4722889718033062</v>
      </c>
      <c r="AE26" s="524">
        <f t="shared" si="5"/>
        <v>0.17933006434477855</v>
      </c>
      <c r="AF26" s="524">
        <f t="shared" si="6"/>
        <v>0.28091013887323507</v>
      </c>
      <c r="AG26" s="524">
        <f t="shared" si="7"/>
        <v>6.7470824978680261E-2</v>
      </c>
      <c r="AH26" s="525">
        <f t="shared" si="8"/>
        <v>0.6516190361480847</v>
      </c>
      <c r="AJ26" s="1069">
        <f t="shared" si="9"/>
        <v>3.1345081649944803E-2</v>
      </c>
      <c r="AK26" s="1047">
        <f t="shared" si="10"/>
        <v>1.3674732653238622E-3</v>
      </c>
      <c r="AL26" s="1071">
        <f t="shared" si="11"/>
        <v>0.9672874450847313</v>
      </c>
      <c r="AN26" s="1069">
        <f t="shared" si="12"/>
        <v>0.41742342534559118</v>
      </c>
      <c r="AO26" s="1047">
        <f t="shared" si="13"/>
        <v>1.0243886460130532E-2</v>
      </c>
      <c r="AP26" s="1071">
        <f t="shared" si="14"/>
        <v>0.57233268819427829</v>
      </c>
    </row>
    <row r="27" spans="1:42" x14ac:dyDescent="0.3">
      <c r="A27" s="630" t="s">
        <v>58</v>
      </c>
      <c r="B27" s="500" t="s">
        <v>59</v>
      </c>
      <c r="C27" s="631" t="s">
        <v>255</v>
      </c>
      <c r="D27" s="676">
        <f>'Administration LASER'!D26+'Other Oper Exp. LASER'!D26</f>
        <v>602736.45950968552</v>
      </c>
      <c r="E27" s="677">
        <f>'Administration LASER'!E26+'Other Oper Exp. LASER'!E26</f>
        <v>180684.02049031455</v>
      </c>
      <c r="F27" s="677">
        <f>'Administration LASER'!F26+'Other Oper Exp. LASER'!F26</f>
        <v>500987.02</v>
      </c>
      <c r="G27" s="677">
        <f>'Administration LASER'!J26 + 'Other Oper Exp. LASER'!J26</f>
        <v>81361.540000000008</v>
      </c>
      <c r="H27" s="678">
        <f>'Administration LASER'!I26+'Other Oper Exp. LASER'!I26</f>
        <v>1365769.04</v>
      </c>
      <c r="I27" s="676">
        <f>'Client Services LASER'!D26</f>
        <v>17431.024951188003</v>
      </c>
      <c r="J27" s="677">
        <f>'Client Services LASER'!E26</f>
        <v>4272.595048811997</v>
      </c>
      <c r="K27" s="677">
        <f>'Client Services LASER'!F26</f>
        <v>4501.51</v>
      </c>
      <c r="L27" s="677">
        <f>'Client Services LASER'!J26</f>
        <v>7883.1500000000005</v>
      </c>
      <c r="M27" s="678">
        <f>'Client Services LASER'!I26</f>
        <v>34088.28</v>
      </c>
      <c r="N27" s="1666">
        <f>'Statewide Benefits'!D27</f>
        <v>6638868.8863283126</v>
      </c>
      <c r="O27" s="1667">
        <f>'Statewide Benefits'!E27</f>
        <v>5703230.6724702874</v>
      </c>
      <c r="P27" s="1667">
        <f>'Statewide Benefits'!F27</f>
        <v>83765.670000000013</v>
      </c>
      <c r="Q27" s="2078">
        <f>'Statewide Benefits'!G27</f>
        <v>0</v>
      </c>
      <c r="R27" s="1668">
        <f t="shared" si="3"/>
        <v>12425865.2287986</v>
      </c>
      <c r="S27" s="1666">
        <f>'Other Benefits LASER'!D26+'FC &amp; Adoptions LASER'!D26</f>
        <v>68261.56</v>
      </c>
      <c r="T27" s="1667">
        <f>'Other Benefits LASER'!E26 + 'FC &amp; Adoptions LASER'!E26</f>
        <v>161296.46</v>
      </c>
      <c r="U27" s="1667">
        <f>'Other Benefits LASER'!F26+'FC &amp; Adoptions LASER'!F26</f>
        <v>4097.6000000000004</v>
      </c>
      <c r="V27" s="2078">
        <f>'FC &amp; Adoptions LASER'!J26+'Other Benefits LASER'!J26</f>
        <v>409.46000000000004</v>
      </c>
      <c r="W27" s="1668">
        <f>'Other Benefits LASER'!I26+'FC &amp; Adoptions LASER'!I26</f>
        <v>234065.08</v>
      </c>
      <c r="X27" s="1666">
        <f t="shared" si="15"/>
        <v>7327297.9307891857</v>
      </c>
      <c r="Y27" s="1667">
        <f t="shared" si="16"/>
        <v>6049483.7480094135</v>
      </c>
      <c r="Z27" s="1667">
        <f t="shared" si="17"/>
        <v>593351.80000000005</v>
      </c>
      <c r="AA27" s="2078">
        <f t="shared" si="18"/>
        <v>89654.150000000009</v>
      </c>
      <c r="AB27" s="1668">
        <f t="shared" si="19"/>
        <v>14059787.6287986</v>
      </c>
      <c r="AD27" s="523">
        <f t="shared" si="4"/>
        <v>0.44131653438980101</v>
      </c>
      <c r="AE27" s="524">
        <f t="shared" si="5"/>
        <v>0.13229471103717108</v>
      </c>
      <c r="AF27" s="524">
        <f t="shared" si="6"/>
        <v>0.36681679356269492</v>
      </c>
      <c r="AG27" s="524">
        <f t="shared" si="7"/>
        <v>5.9571961010333054E-2</v>
      </c>
      <c r="AH27" s="525">
        <f t="shared" si="8"/>
        <v>0.57361124542697206</v>
      </c>
      <c r="AJ27" s="1069">
        <f t="shared" si="9"/>
        <v>9.7140090309934798E-2</v>
      </c>
      <c r="AK27" s="1047">
        <f t="shared" si="10"/>
        <v>2.4245231080288246E-3</v>
      </c>
      <c r="AL27" s="1071">
        <f t="shared" si="11"/>
        <v>0.90043538658203637</v>
      </c>
      <c r="AN27" s="1069">
        <f t="shared" si="12"/>
        <v>0.84433386736165628</v>
      </c>
      <c r="AO27" s="1047">
        <f t="shared" si="13"/>
        <v>7.5865784851415295E-3</v>
      </c>
      <c r="AP27" s="1071">
        <f t="shared" si="14"/>
        <v>0.14807955415320223</v>
      </c>
    </row>
    <row r="28" spans="1:42" x14ac:dyDescent="0.3">
      <c r="A28" s="630" t="s">
        <v>60</v>
      </c>
      <c r="B28" s="500" t="s">
        <v>61</v>
      </c>
      <c r="C28" s="631" t="s">
        <v>253</v>
      </c>
      <c r="D28" s="676">
        <f>'Administration LASER'!D27+'Other Oper Exp. LASER'!D27</f>
        <v>276859.63871016499</v>
      </c>
      <c r="E28" s="677">
        <f>'Administration LASER'!E27+'Other Oper Exp. LASER'!E27</f>
        <v>116122.13128983497</v>
      </c>
      <c r="F28" s="677">
        <f>'Administration LASER'!F27+'Other Oper Exp. LASER'!F27</f>
        <v>133595.06</v>
      </c>
      <c r="G28" s="677">
        <f>'Administration LASER'!J27 + 'Other Oper Exp. LASER'!J27</f>
        <v>24980.129999999997</v>
      </c>
      <c r="H28" s="678">
        <f>'Administration LASER'!I27+'Other Oper Exp. LASER'!I27</f>
        <v>551556.96</v>
      </c>
      <c r="I28" s="676">
        <f>'Client Services LASER'!D27</f>
        <v>13526.602503089587</v>
      </c>
      <c r="J28" s="677">
        <f>'Client Services LASER'!E27</f>
        <v>3014.8574969104129</v>
      </c>
      <c r="K28" s="677">
        <f>'Client Services LASER'!F27</f>
        <v>3061.5899999999997</v>
      </c>
      <c r="L28" s="677">
        <f>'Client Services LASER'!J27</f>
        <v>39.9</v>
      </c>
      <c r="M28" s="678">
        <f>'Client Services LASER'!I27</f>
        <v>19642.949999999997</v>
      </c>
      <c r="N28" s="1666">
        <f>'Statewide Benefits'!D28</f>
        <v>4126577.0336265392</v>
      </c>
      <c r="O28" s="1667">
        <f>'Statewide Benefits'!E28</f>
        <v>3594037.8129936359</v>
      </c>
      <c r="P28" s="1667">
        <f>'Statewide Benefits'!F28</f>
        <v>165044.76999999999</v>
      </c>
      <c r="Q28" s="2078">
        <f>'Statewide Benefits'!G28</f>
        <v>0</v>
      </c>
      <c r="R28" s="1668">
        <f t="shared" si="3"/>
        <v>7885659.6166201746</v>
      </c>
      <c r="S28" s="1666">
        <f>'Other Benefits LASER'!D27+'FC &amp; Adoptions LASER'!D27</f>
        <v>103796.84</v>
      </c>
      <c r="T28" s="1667">
        <f>'Other Benefits LASER'!E27 + 'FC &amp; Adoptions LASER'!E27</f>
        <v>141749.16</v>
      </c>
      <c r="U28" s="1667">
        <f>'Other Benefits LASER'!F27+'FC &amp; Adoptions LASER'!F27</f>
        <v>4344.3999999999996</v>
      </c>
      <c r="V28" s="2078">
        <f>'FC &amp; Adoptions LASER'!J27+'Other Benefits LASER'!J27</f>
        <v>-0.05</v>
      </c>
      <c r="W28" s="1668">
        <f>'Other Benefits LASER'!I27+'FC &amp; Adoptions LASER'!I27</f>
        <v>249890.35</v>
      </c>
      <c r="X28" s="1666">
        <f t="shared" si="15"/>
        <v>4520760.1148397932</v>
      </c>
      <c r="Y28" s="1667">
        <f t="shared" si="16"/>
        <v>3854923.9617803814</v>
      </c>
      <c r="Z28" s="1667">
        <f t="shared" si="17"/>
        <v>306045.82</v>
      </c>
      <c r="AA28" s="2078">
        <f t="shared" si="18"/>
        <v>25019.98</v>
      </c>
      <c r="AB28" s="1668">
        <f t="shared" si="19"/>
        <v>8706749.8766201735</v>
      </c>
      <c r="AD28" s="523">
        <f t="shared" si="4"/>
        <v>0.50196019412059456</v>
      </c>
      <c r="AE28" s="524">
        <f t="shared" si="5"/>
        <v>0.21053515722081537</v>
      </c>
      <c r="AF28" s="524">
        <f t="shared" si="6"/>
        <v>0.24221443964735756</v>
      </c>
      <c r="AG28" s="524">
        <f t="shared" si="7"/>
        <v>4.5290209011232492E-2</v>
      </c>
      <c r="AH28" s="525">
        <f t="shared" si="8"/>
        <v>0.71249535134140995</v>
      </c>
      <c r="AJ28" s="1069">
        <f t="shared" si="9"/>
        <v>6.3348203154551391E-2</v>
      </c>
      <c r="AK28" s="1047">
        <f t="shared" si="10"/>
        <v>2.2560599854540772E-3</v>
      </c>
      <c r="AL28" s="1071">
        <f t="shared" si="11"/>
        <v>0.93439573685999466</v>
      </c>
      <c r="AN28" s="1069">
        <f t="shared" si="12"/>
        <v>0.43651979955158349</v>
      </c>
      <c r="AO28" s="1047">
        <f t="shared" si="13"/>
        <v>1.0003698139056431E-2</v>
      </c>
      <c r="AP28" s="1071">
        <f t="shared" si="14"/>
        <v>0.55347650230935996</v>
      </c>
    </row>
    <row r="29" spans="1:42" x14ac:dyDescent="0.3">
      <c r="A29" s="630" t="s">
        <v>62</v>
      </c>
      <c r="B29" s="500" t="s">
        <v>63</v>
      </c>
      <c r="C29" s="631" t="s">
        <v>255</v>
      </c>
      <c r="D29" s="676">
        <f>'Administration LASER'!D28+'Other Oper Exp. LASER'!D28</f>
        <v>1955319.4187615928</v>
      </c>
      <c r="E29" s="677">
        <f>'Administration LASER'!E28+'Other Oper Exp. LASER'!E28</f>
        <v>680557.04123840737</v>
      </c>
      <c r="F29" s="677">
        <f>'Administration LASER'!F28+'Other Oper Exp. LASER'!F28</f>
        <v>1340933.6400000001</v>
      </c>
      <c r="G29" s="677">
        <f>'Administration LASER'!J28 + 'Other Oper Exp. LASER'!J28</f>
        <v>219324.41999999998</v>
      </c>
      <c r="H29" s="678">
        <f>'Administration LASER'!I28+'Other Oper Exp. LASER'!I28</f>
        <v>4196134.5200000005</v>
      </c>
      <c r="I29" s="676">
        <f>'Client Services LASER'!D28</f>
        <v>52784.473038417244</v>
      </c>
      <c r="J29" s="677">
        <f>'Client Services LASER'!E28</f>
        <v>40387.926961582758</v>
      </c>
      <c r="K29" s="677">
        <f>'Client Services LASER'!F28</f>
        <v>22252.48</v>
      </c>
      <c r="L29" s="677">
        <f>'Client Services LASER'!J28</f>
        <v>-4.0000000000000008E-2</v>
      </c>
      <c r="M29" s="678">
        <f>'Client Services LASER'!I28</f>
        <v>115424.84</v>
      </c>
      <c r="N29" s="1666">
        <f>'Statewide Benefits'!D29</f>
        <v>42582356.715771861</v>
      </c>
      <c r="O29" s="1667">
        <f>'Statewide Benefits'!E29</f>
        <v>35232593.661873721</v>
      </c>
      <c r="P29" s="1667">
        <f>'Statewide Benefits'!F29</f>
        <v>1283864.48</v>
      </c>
      <c r="Q29" s="2078">
        <f>'Statewide Benefits'!G29</f>
        <v>0</v>
      </c>
      <c r="R29" s="1668">
        <f t="shared" si="3"/>
        <v>79098814.857645586</v>
      </c>
      <c r="S29" s="1666">
        <f>'Other Benefits LASER'!D28+'FC &amp; Adoptions LASER'!D28</f>
        <v>858488.73</v>
      </c>
      <c r="T29" s="1667">
        <f>'Other Benefits LASER'!E28 + 'FC &amp; Adoptions LASER'!E28</f>
        <v>997643.31</v>
      </c>
      <c r="U29" s="1667">
        <f>'Other Benefits LASER'!F28+'FC &amp; Adoptions LASER'!F28</f>
        <v>11798</v>
      </c>
      <c r="V29" s="2078">
        <f>'FC &amp; Adoptions LASER'!J28+'Other Benefits LASER'!J28</f>
        <v>-0.25</v>
      </c>
      <c r="W29" s="1668">
        <f>'Other Benefits LASER'!I28+'FC &amp; Adoptions LASER'!I28</f>
        <v>1867929.79</v>
      </c>
      <c r="X29" s="1666">
        <f t="shared" si="15"/>
        <v>45448949.337571867</v>
      </c>
      <c r="Y29" s="1667">
        <f t="shared" si="16"/>
        <v>36951181.940073714</v>
      </c>
      <c r="Z29" s="1667">
        <f t="shared" si="17"/>
        <v>2658848.6</v>
      </c>
      <c r="AA29" s="2078">
        <f t="shared" si="18"/>
        <v>219324.12999999998</v>
      </c>
      <c r="AB29" s="1668">
        <f t="shared" si="19"/>
        <v>85278304.007645592</v>
      </c>
      <c r="AD29" s="523">
        <f t="shared" si="4"/>
        <v>0.46598110938578602</v>
      </c>
      <c r="AE29" s="524">
        <f t="shared" si="5"/>
        <v>0.16218665964941642</v>
      </c>
      <c r="AF29" s="524">
        <f t="shared" si="6"/>
        <v>0.31956402579772392</v>
      </c>
      <c r="AG29" s="524">
        <f t="shared" si="7"/>
        <v>5.2268205167073617E-2</v>
      </c>
      <c r="AH29" s="525">
        <f t="shared" si="8"/>
        <v>0.62816776903520233</v>
      </c>
      <c r="AJ29" s="1069">
        <f t="shared" si="9"/>
        <v>4.9205182593966661E-2</v>
      </c>
      <c r="AK29" s="1047">
        <f t="shared" si="10"/>
        <v>1.3535076868983185E-3</v>
      </c>
      <c r="AL29" s="1071">
        <f t="shared" si="11"/>
        <v>0.94944130971913498</v>
      </c>
      <c r="AN29" s="1069">
        <f t="shared" si="12"/>
        <v>0.50432869325466678</v>
      </c>
      <c r="AO29" s="1047">
        <f t="shared" si="13"/>
        <v>8.3692166601738813E-3</v>
      </c>
      <c r="AP29" s="1071">
        <f t="shared" si="14"/>
        <v>0.4873020900851594</v>
      </c>
    </row>
    <row r="30" spans="1:42" x14ac:dyDescent="0.3">
      <c r="A30" s="630" t="s">
        <v>64</v>
      </c>
      <c r="B30" s="500" t="s">
        <v>65</v>
      </c>
      <c r="C30" s="631" t="s">
        <v>254</v>
      </c>
      <c r="D30" s="676">
        <f>'Administration LASER'!D29+'Other Oper Exp. LASER'!D29</f>
        <v>554562.1103834915</v>
      </c>
      <c r="E30" s="677">
        <f>'Administration LASER'!E29+'Other Oper Exp. LASER'!E29</f>
        <v>248524.3296165085</v>
      </c>
      <c r="F30" s="677">
        <f>'Administration LASER'!F29+'Other Oper Exp. LASER'!F29</f>
        <v>205324.35</v>
      </c>
      <c r="G30" s="677">
        <f>'Administration LASER'!J29 + 'Other Oper Exp. LASER'!J29</f>
        <v>128624.29000000001</v>
      </c>
      <c r="H30" s="678">
        <f>'Administration LASER'!I29+'Other Oper Exp. LASER'!I29</f>
        <v>1137035.08</v>
      </c>
      <c r="I30" s="676">
        <f>'Client Services LASER'!D29</f>
        <v>23190.287589982428</v>
      </c>
      <c r="J30" s="677">
        <f>'Client Services LASER'!E29</f>
        <v>63481.292410017573</v>
      </c>
      <c r="K30" s="677">
        <f>'Client Services LASER'!F29</f>
        <v>16151.44</v>
      </c>
      <c r="L30" s="677">
        <f>'Client Services LASER'!J29</f>
        <v>-0.1</v>
      </c>
      <c r="M30" s="678">
        <f>'Client Services LASER'!I29</f>
        <v>102822.92</v>
      </c>
      <c r="N30" s="1666">
        <f>'Statewide Benefits'!D30</f>
        <v>14639524.308377596</v>
      </c>
      <c r="O30" s="1667">
        <f>'Statewide Benefits'!E30</f>
        <v>12209521.758167507</v>
      </c>
      <c r="P30" s="1667">
        <f>'Statewide Benefits'!F30</f>
        <v>393009.28</v>
      </c>
      <c r="Q30" s="2078">
        <f>'Statewide Benefits'!G30</f>
        <v>0</v>
      </c>
      <c r="R30" s="1668">
        <f t="shared" si="3"/>
        <v>27242055.346545104</v>
      </c>
      <c r="S30" s="1666">
        <f>'Other Benefits LASER'!D29+'FC &amp; Adoptions LASER'!D29</f>
        <v>161605.6</v>
      </c>
      <c r="T30" s="1667">
        <f>'Other Benefits LASER'!E29 + 'FC &amp; Adoptions LASER'!E29</f>
        <v>233992.99000000002</v>
      </c>
      <c r="U30" s="1667">
        <f>'Other Benefits LASER'!F29+'FC &amp; Adoptions LASER'!F29</f>
        <v>15987.4</v>
      </c>
      <c r="V30" s="2078">
        <f>'FC &amp; Adoptions LASER'!J29+'Other Benefits LASER'!J29</f>
        <v>-0.06</v>
      </c>
      <c r="W30" s="1668">
        <f>'Other Benefits LASER'!I29+'FC &amp; Adoptions LASER'!I29</f>
        <v>411585.93000000005</v>
      </c>
      <c r="X30" s="1666">
        <f t="shared" si="15"/>
        <v>15378882.306351069</v>
      </c>
      <c r="Y30" s="1667">
        <f t="shared" si="16"/>
        <v>12755520.370194033</v>
      </c>
      <c r="Z30" s="1667">
        <f t="shared" si="17"/>
        <v>630472.47000000009</v>
      </c>
      <c r="AA30" s="2078">
        <f t="shared" si="18"/>
        <v>128624.13</v>
      </c>
      <c r="AB30" s="1668">
        <f t="shared" si="19"/>
        <v>28893499.276545104</v>
      </c>
      <c r="AD30" s="523">
        <f t="shared" si="4"/>
        <v>0.48772647400068914</v>
      </c>
      <c r="AE30" s="524">
        <f t="shared" si="5"/>
        <v>0.21857226218254278</v>
      </c>
      <c r="AF30" s="524">
        <f t="shared" si="6"/>
        <v>0.18057872937394331</v>
      </c>
      <c r="AG30" s="524">
        <f t="shared" si="7"/>
        <v>0.11312253444282476</v>
      </c>
      <c r="AH30" s="525">
        <f t="shared" si="8"/>
        <v>0.7062987361832318</v>
      </c>
      <c r="AJ30" s="1069">
        <f t="shared" si="9"/>
        <v>3.9352626316294333E-2</v>
      </c>
      <c r="AK30" s="1047">
        <f t="shared" si="10"/>
        <v>3.5586869910031503E-3</v>
      </c>
      <c r="AL30" s="1071">
        <f t="shared" si="11"/>
        <v>0.95708868669270253</v>
      </c>
      <c r="AN30" s="1069">
        <f t="shared" si="12"/>
        <v>0.32566743160093886</v>
      </c>
      <c r="AO30" s="1047">
        <f t="shared" si="13"/>
        <v>2.561799407355566E-2</v>
      </c>
      <c r="AP30" s="1071">
        <f t="shared" si="14"/>
        <v>0.64871457432550539</v>
      </c>
    </row>
    <row r="31" spans="1:42" x14ac:dyDescent="0.3">
      <c r="A31" s="630" t="s">
        <v>68</v>
      </c>
      <c r="B31" s="500" t="s">
        <v>69</v>
      </c>
      <c r="C31" s="631" t="s">
        <v>256</v>
      </c>
      <c r="D31" s="676">
        <f>'Administration LASER'!D30+'Other Oper Exp. LASER'!D30</f>
        <v>1599126.1299372634</v>
      </c>
      <c r="E31" s="677">
        <f>'Administration LASER'!E30+'Other Oper Exp. LASER'!E30</f>
        <v>653542.6100627369</v>
      </c>
      <c r="F31" s="677">
        <f>'Administration LASER'!F30+'Other Oper Exp. LASER'!F30</f>
        <v>833568.6100000001</v>
      </c>
      <c r="G31" s="677">
        <f>'Administration LASER'!J30 + 'Other Oper Exp. LASER'!J30</f>
        <v>137776.79</v>
      </c>
      <c r="H31" s="678">
        <f>'Administration LASER'!I30+'Other Oper Exp. LASER'!I30</f>
        <v>3224014.1400000006</v>
      </c>
      <c r="I31" s="676">
        <f>'Client Services LASER'!D30</f>
        <v>53326.272265168947</v>
      </c>
      <c r="J31" s="677">
        <f>'Client Services LASER'!E30</f>
        <v>22904.007734831051</v>
      </c>
      <c r="K31" s="677">
        <f>'Client Services LASER'!F30</f>
        <v>15025.869999999999</v>
      </c>
      <c r="L31" s="677">
        <f>'Client Services LASER'!J30</f>
        <v>-4.9999999999999996E-2</v>
      </c>
      <c r="M31" s="678">
        <f>'Client Services LASER'!I30</f>
        <v>91256.099999999991</v>
      </c>
      <c r="N31" s="1666">
        <f>'Statewide Benefits'!D31</f>
        <v>21929195.852220707</v>
      </c>
      <c r="O31" s="1667">
        <f>'Statewide Benefits'!E31</f>
        <v>17815879.593438096</v>
      </c>
      <c r="P31" s="1667">
        <f>'Statewide Benefits'!F31</f>
        <v>464042.5</v>
      </c>
      <c r="Q31" s="2078">
        <f>'Statewide Benefits'!G31</f>
        <v>0</v>
      </c>
      <c r="R31" s="1668">
        <f t="shared" si="3"/>
        <v>40209117.945658803</v>
      </c>
      <c r="S31" s="1666">
        <f>'Other Benefits LASER'!D30+'FC &amp; Adoptions LASER'!D30</f>
        <v>778313.16999999993</v>
      </c>
      <c r="T31" s="1667">
        <f>'Other Benefits LASER'!E30 + 'FC &amp; Adoptions LASER'!E30</f>
        <v>1144022.8</v>
      </c>
      <c r="U31" s="1667">
        <f>'Other Benefits LASER'!F30+'FC &amp; Adoptions LASER'!F30</f>
        <v>11474.2</v>
      </c>
      <c r="V31" s="2078">
        <f>'FC &amp; Adoptions LASER'!J30+'Other Benefits LASER'!J30</f>
        <v>11694.359999999999</v>
      </c>
      <c r="W31" s="1668">
        <f>'Other Benefits LASER'!I30+'FC &amp; Adoptions LASER'!I30</f>
        <v>1945504.53</v>
      </c>
      <c r="X31" s="1666">
        <f t="shared" si="15"/>
        <v>24359961.424423136</v>
      </c>
      <c r="Y31" s="1667">
        <f t="shared" si="16"/>
        <v>19636349.011235666</v>
      </c>
      <c r="Z31" s="1667">
        <f t="shared" si="17"/>
        <v>1324111.18</v>
      </c>
      <c r="AA31" s="2078">
        <f t="shared" si="18"/>
        <v>149471.1</v>
      </c>
      <c r="AB31" s="1668">
        <f t="shared" si="19"/>
        <v>45469892.715658806</v>
      </c>
      <c r="AD31" s="523">
        <f t="shared" si="4"/>
        <v>0.49600468871928183</v>
      </c>
      <c r="AE31" s="524">
        <f t="shared" si="5"/>
        <v>0.20271083862638914</v>
      </c>
      <c r="AF31" s="524">
        <f t="shared" si="6"/>
        <v>0.25854992372955288</v>
      </c>
      <c r="AG31" s="524">
        <f t="shared" si="7"/>
        <v>4.2734548924776114E-2</v>
      </c>
      <c r="AH31" s="525">
        <f t="shared" si="8"/>
        <v>0.69871552734567099</v>
      </c>
      <c r="AJ31" s="1069">
        <f t="shared" si="9"/>
        <v>7.0904370946310205E-2</v>
      </c>
      <c r="AK31" s="1047">
        <f t="shared" si="10"/>
        <v>2.0069565716959222E-3</v>
      </c>
      <c r="AL31" s="1071">
        <f t="shared" si="11"/>
        <v>0.92708867248199378</v>
      </c>
      <c r="AN31" s="1069">
        <f t="shared" si="12"/>
        <v>0.62953067883619873</v>
      </c>
      <c r="AO31" s="1047">
        <f t="shared" si="13"/>
        <v>1.1347891496543364E-2</v>
      </c>
      <c r="AP31" s="1071">
        <f t="shared" si="14"/>
        <v>0.35912142966725802</v>
      </c>
    </row>
    <row r="32" spans="1:42" x14ac:dyDescent="0.3">
      <c r="A32" s="630" t="s">
        <v>70</v>
      </c>
      <c r="B32" s="500" t="s">
        <v>71</v>
      </c>
      <c r="C32" s="631" t="s">
        <v>252</v>
      </c>
      <c r="D32" s="676">
        <f>'Administration LASER'!D31+'Other Oper Exp. LASER'!D31</f>
        <v>1130518.7859618745</v>
      </c>
      <c r="E32" s="677">
        <f>'Administration LASER'!E31+'Other Oper Exp. LASER'!E31</f>
        <v>513734.7740381257</v>
      </c>
      <c r="F32" s="677">
        <f>'Administration LASER'!F31+'Other Oper Exp. LASER'!F31</f>
        <v>440211.1</v>
      </c>
      <c r="G32" s="677">
        <f>'Administration LASER'!J31 + 'Other Oper Exp. LASER'!J31</f>
        <v>60717.139999999992</v>
      </c>
      <c r="H32" s="678">
        <f>'Administration LASER'!I31+'Other Oper Exp. LASER'!I31</f>
        <v>2145181.8000000003</v>
      </c>
      <c r="I32" s="676">
        <f>'Client Services LASER'!D31</f>
        <v>57585.112157947791</v>
      </c>
      <c r="J32" s="677">
        <f>'Client Services LASER'!E31</f>
        <v>12854.297842052209</v>
      </c>
      <c r="K32" s="677">
        <f>'Client Services LASER'!F31</f>
        <v>15181.36</v>
      </c>
      <c r="L32" s="677">
        <f>'Client Services LASER'!J31</f>
        <v>81290.58</v>
      </c>
      <c r="M32" s="678">
        <f>'Client Services LASER'!I31</f>
        <v>166911.35</v>
      </c>
      <c r="N32" s="1666">
        <f>'Statewide Benefits'!D32</f>
        <v>29934605.150044832</v>
      </c>
      <c r="O32" s="1667">
        <f>'Statewide Benefits'!E32</f>
        <v>24083083.800244901</v>
      </c>
      <c r="P32" s="1667">
        <f>'Statewide Benefits'!F32</f>
        <v>810643.95000000007</v>
      </c>
      <c r="Q32" s="2078">
        <f>'Statewide Benefits'!G32</f>
        <v>0</v>
      </c>
      <c r="R32" s="1668">
        <f t="shared" si="3"/>
        <v>54828332.900289737</v>
      </c>
      <c r="S32" s="1666">
        <f>'Other Benefits LASER'!D31+'FC &amp; Adoptions LASER'!D31</f>
        <v>190511.12</v>
      </c>
      <c r="T32" s="1667">
        <f>'Other Benefits LASER'!E31 + 'FC &amp; Adoptions LASER'!E31</f>
        <v>350577.72</v>
      </c>
      <c r="U32" s="1667">
        <f>'Other Benefits LASER'!F31+'FC &amp; Adoptions LASER'!F31</f>
        <v>39908.400000000001</v>
      </c>
      <c r="V32" s="2078">
        <f>'FC &amp; Adoptions LASER'!J31+'Other Benefits LASER'!J31</f>
        <v>377.92999999999995</v>
      </c>
      <c r="W32" s="1668">
        <f>'Other Benefits LASER'!I31+'FC &amp; Adoptions LASER'!I31</f>
        <v>581375.16999999993</v>
      </c>
      <c r="X32" s="1666">
        <f t="shared" si="15"/>
        <v>31313220.168164656</v>
      </c>
      <c r="Y32" s="1667">
        <f t="shared" si="16"/>
        <v>24960250.592125077</v>
      </c>
      <c r="Z32" s="1667">
        <f t="shared" si="17"/>
        <v>1305944.81</v>
      </c>
      <c r="AA32" s="2078">
        <f t="shared" si="18"/>
        <v>142385.65</v>
      </c>
      <c r="AB32" s="1668">
        <f t="shared" si="19"/>
        <v>57721801.220289737</v>
      </c>
      <c r="AD32" s="523">
        <f t="shared" si="4"/>
        <v>0.52700371873464258</v>
      </c>
      <c r="AE32" s="524">
        <f t="shared" si="5"/>
        <v>0.23948309371174306</v>
      </c>
      <c r="AF32" s="524">
        <f t="shared" si="6"/>
        <v>0.20520922748831821</v>
      </c>
      <c r="AG32" s="524">
        <f t="shared" si="7"/>
        <v>2.8303960065296091E-2</v>
      </c>
      <c r="AH32" s="525">
        <f t="shared" si="8"/>
        <v>0.76648681244638572</v>
      </c>
      <c r="AJ32" s="1069">
        <f t="shared" si="9"/>
        <v>3.7164152099362233E-2</v>
      </c>
      <c r="AK32" s="1047">
        <f t="shared" si="10"/>
        <v>2.8916517931067117E-3</v>
      </c>
      <c r="AL32" s="1071">
        <f t="shared" si="11"/>
        <v>0.95994419610753112</v>
      </c>
      <c r="AN32" s="1069">
        <f t="shared" si="12"/>
        <v>0.33708246828593008</v>
      </c>
      <c r="AO32" s="1047">
        <f t="shared" si="13"/>
        <v>1.1624809780437811E-2</v>
      </c>
      <c r="AP32" s="1071">
        <f t="shared" si="14"/>
        <v>0.65129272193363219</v>
      </c>
    </row>
    <row r="33" spans="1:42" x14ac:dyDescent="0.3">
      <c r="A33" s="630" t="s">
        <v>72</v>
      </c>
      <c r="B33" s="500" t="s">
        <v>73</v>
      </c>
      <c r="C33" s="631" t="s">
        <v>254</v>
      </c>
      <c r="D33" s="676">
        <f>'Administration LASER'!D32+'Other Oper Exp. LASER'!D32</f>
        <v>623677.4775421134</v>
      </c>
      <c r="E33" s="677">
        <f>'Administration LASER'!E32+'Other Oper Exp. LASER'!E32</f>
        <v>240690.73245788648</v>
      </c>
      <c r="F33" s="677">
        <f>'Administration LASER'!F32+'Other Oper Exp. LASER'!F32</f>
        <v>371519.79</v>
      </c>
      <c r="G33" s="677">
        <f>'Administration LASER'!J32 + 'Other Oper Exp. LASER'!J32</f>
        <v>49257.599999999999</v>
      </c>
      <c r="H33" s="678">
        <f>'Administration LASER'!I32+'Other Oper Exp. LASER'!I32</f>
        <v>1285145.5999999999</v>
      </c>
      <c r="I33" s="676">
        <f>'Client Services LASER'!D32</f>
        <v>16944.772321438319</v>
      </c>
      <c r="J33" s="677">
        <f>'Client Services LASER'!E32</f>
        <v>16072.927678561686</v>
      </c>
      <c r="K33" s="677">
        <f>'Client Services LASER'!F32</f>
        <v>6051.9100000000008</v>
      </c>
      <c r="L33" s="677">
        <f>'Client Services LASER'!J32</f>
        <v>-0.1</v>
      </c>
      <c r="M33" s="678">
        <f>'Client Services LASER'!I32</f>
        <v>39069.510000000009</v>
      </c>
      <c r="N33" s="1666">
        <f>'Statewide Benefits'!D33</f>
        <v>13933654.976986006</v>
      </c>
      <c r="O33" s="1667">
        <f>'Statewide Benefits'!E33</f>
        <v>10881384.513189454</v>
      </c>
      <c r="P33" s="1667">
        <f>'Statewide Benefits'!F33</f>
        <v>470194.65</v>
      </c>
      <c r="Q33" s="2078">
        <f>'Statewide Benefits'!G33</f>
        <v>0</v>
      </c>
      <c r="R33" s="1668">
        <f t="shared" si="3"/>
        <v>25285234.140175458</v>
      </c>
      <c r="S33" s="1666">
        <f>'Other Benefits LASER'!D32+'FC &amp; Adoptions LASER'!D32</f>
        <v>274733.93000000005</v>
      </c>
      <c r="T33" s="1667">
        <f>'Other Benefits LASER'!E32 + 'FC &amp; Adoptions LASER'!E32</f>
        <v>344089.53</v>
      </c>
      <c r="U33" s="1667">
        <f>'Other Benefits LASER'!F32+'FC &amp; Adoptions LASER'!F32</f>
        <v>11388.4</v>
      </c>
      <c r="V33" s="2078">
        <f>'FC &amp; Adoptions LASER'!J32+'Other Benefits LASER'!J32</f>
        <v>5151.8599999999997</v>
      </c>
      <c r="W33" s="1668">
        <f>'Other Benefits LASER'!I32+'FC &amp; Adoptions LASER'!I32</f>
        <v>635363.72000000009</v>
      </c>
      <c r="X33" s="1666">
        <f t="shared" si="15"/>
        <v>14849011.156849558</v>
      </c>
      <c r="Y33" s="1667">
        <f t="shared" si="16"/>
        <v>11482237.703325901</v>
      </c>
      <c r="Z33" s="1667">
        <f t="shared" si="17"/>
        <v>859154.75</v>
      </c>
      <c r="AA33" s="2078">
        <f t="shared" si="18"/>
        <v>54409.36</v>
      </c>
      <c r="AB33" s="1668">
        <f t="shared" si="19"/>
        <v>27244812.970175456</v>
      </c>
      <c r="AD33" s="523">
        <f t="shared" si="4"/>
        <v>0.48529713484768844</v>
      </c>
      <c r="AE33" s="524">
        <f t="shared" si="5"/>
        <v>0.18728674202976417</v>
      </c>
      <c r="AF33" s="524">
        <f t="shared" si="6"/>
        <v>0.28908770336995282</v>
      </c>
      <c r="AG33" s="524">
        <f t="shared" si="7"/>
        <v>3.8328419752594572E-2</v>
      </c>
      <c r="AH33" s="525">
        <f t="shared" si="8"/>
        <v>0.67258387687745258</v>
      </c>
      <c r="AJ33" s="1069">
        <f t="shared" si="9"/>
        <v>4.7170285272533606E-2</v>
      </c>
      <c r="AK33" s="1047">
        <f t="shared" si="10"/>
        <v>1.4340164508660381E-3</v>
      </c>
      <c r="AL33" s="1071">
        <f t="shared" si="11"/>
        <v>0.95139569827660042</v>
      </c>
      <c r="AN33" s="1069">
        <f t="shared" si="12"/>
        <v>0.43242476399042196</v>
      </c>
      <c r="AO33" s="1047">
        <f t="shared" si="13"/>
        <v>7.0440278657599234E-3</v>
      </c>
      <c r="AP33" s="1071">
        <f t="shared" si="14"/>
        <v>0.56053120814381818</v>
      </c>
    </row>
    <row r="34" spans="1:42" x14ac:dyDescent="0.3">
      <c r="A34" s="630" t="s">
        <v>74</v>
      </c>
      <c r="B34" s="500" t="s">
        <v>472</v>
      </c>
      <c r="C34" s="631" t="s">
        <v>255</v>
      </c>
      <c r="D34" s="676">
        <f>'Administration LASER'!D33+'Other Oper Exp. LASER'!D33</f>
        <v>34260288.368202858</v>
      </c>
      <c r="E34" s="677">
        <f>'Administration LASER'!E33+'Other Oper Exp. LASER'!E33</f>
        <v>7323194.1617971379</v>
      </c>
      <c r="F34" s="677">
        <f>'Administration LASER'!F33+'Other Oper Exp. LASER'!F33</f>
        <v>38315898.159999996</v>
      </c>
      <c r="G34" s="677">
        <f>'Administration LASER'!J33 + 'Other Oper Exp. LASER'!J33</f>
        <v>2344515.02</v>
      </c>
      <c r="H34" s="678">
        <f>'Administration LASER'!I33+'Other Oper Exp. LASER'!I33</f>
        <v>82243895.710000008</v>
      </c>
      <c r="I34" s="676">
        <f>'Client Services LASER'!D33</f>
        <v>1078154.3552991813</v>
      </c>
      <c r="J34" s="677">
        <f>'Client Services LASER'!E33</f>
        <v>682656.23470081855</v>
      </c>
      <c r="K34" s="677">
        <f>'Client Services LASER'!F33</f>
        <v>411983.20000000007</v>
      </c>
      <c r="L34" s="677">
        <f>'Client Services LASER'!J33</f>
        <v>1918634.95</v>
      </c>
      <c r="M34" s="678">
        <f>'Client Services LASER'!I33</f>
        <v>4091428.74</v>
      </c>
      <c r="N34" s="1666">
        <f>'Statewide Benefits'!D34</f>
        <v>456804863.45334339</v>
      </c>
      <c r="O34" s="1667">
        <f>'Statewide Benefits'!E34</f>
        <v>371372497.51690966</v>
      </c>
      <c r="P34" s="1667">
        <f>'Statewide Benefits'!F34</f>
        <v>17233602.720000003</v>
      </c>
      <c r="Q34" s="2078">
        <f>'Statewide Benefits'!G34</f>
        <v>0</v>
      </c>
      <c r="R34" s="1668">
        <f t="shared" si="3"/>
        <v>845410963.69025302</v>
      </c>
      <c r="S34" s="1666">
        <f>'Other Benefits LASER'!D33+'FC &amp; Adoptions LASER'!D33</f>
        <v>4616461.67</v>
      </c>
      <c r="T34" s="1667">
        <f>'Other Benefits LASER'!E33 + 'FC &amp; Adoptions LASER'!E33</f>
        <v>6504188.9399999995</v>
      </c>
      <c r="U34" s="1667">
        <f>'Other Benefits LASER'!F33+'FC &amp; Adoptions LASER'!F33</f>
        <v>297463.76</v>
      </c>
      <c r="V34" s="2078">
        <f>'FC &amp; Adoptions LASER'!J33+'Other Benefits LASER'!J33</f>
        <v>29358.440000000002</v>
      </c>
      <c r="W34" s="1668">
        <f>'Other Benefits LASER'!I33+'FC &amp; Adoptions LASER'!I33</f>
        <v>11447472.810000002</v>
      </c>
      <c r="X34" s="1666">
        <f t="shared" si="15"/>
        <v>496759767.84684545</v>
      </c>
      <c r="Y34" s="1667">
        <f t="shared" si="16"/>
        <v>385882536.85340762</v>
      </c>
      <c r="Z34" s="1667">
        <f t="shared" si="17"/>
        <v>56258947.839999996</v>
      </c>
      <c r="AA34" s="2078">
        <f t="shared" si="18"/>
        <v>4292508.41</v>
      </c>
      <c r="AB34" s="1668">
        <f t="shared" si="19"/>
        <v>943193760.95025301</v>
      </c>
      <c r="AD34" s="523">
        <f t="shared" si="4"/>
        <v>0.41656937663809085</v>
      </c>
      <c r="AE34" s="524">
        <f t="shared" si="5"/>
        <v>8.9042403677221646E-2</v>
      </c>
      <c r="AF34" s="524">
        <f t="shared" si="6"/>
        <v>0.46588136212693021</v>
      </c>
      <c r="AG34" s="524">
        <f t="shared" si="7"/>
        <v>2.8506857557757094E-2</v>
      </c>
      <c r="AH34" s="525">
        <f t="shared" si="8"/>
        <v>0.50561178031531251</v>
      </c>
      <c r="AJ34" s="1069">
        <f t="shared" si="9"/>
        <v>8.719724314878903E-2</v>
      </c>
      <c r="AK34" s="1047">
        <f t="shared" si="10"/>
        <v>4.3378454241236172E-3</v>
      </c>
      <c r="AL34" s="1071">
        <f t="shared" si="11"/>
        <v>0.9084649114270873</v>
      </c>
      <c r="AN34" s="1069">
        <f t="shared" si="12"/>
        <v>0.68106318427728352</v>
      </c>
      <c r="AO34" s="1047">
        <f t="shared" si="13"/>
        <v>7.3229808913539774E-3</v>
      </c>
      <c r="AP34" s="1071">
        <f t="shared" si="14"/>
        <v>0.31161383483136262</v>
      </c>
    </row>
    <row r="35" spans="1:42" x14ac:dyDescent="0.3">
      <c r="A35" s="630" t="s">
        <v>76</v>
      </c>
      <c r="B35" s="500" t="s">
        <v>77</v>
      </c>
      <c r="C35" s="631" t="s">
        <v>255</v>
      </c>
      <c r="D35" s="676">
        <f>'Administration LASER'!D34+'Other Oper Exp. LASER'!D34</f>
        <v>1988817.1289906802</v>
      </c>
      <c r="E35" s="677">
        <f>'Administration LASER'!E34+'Other Oper Exp. LASER'!E34</f>
        <v>578605.31100931985</v>
      </c>
      <c r="F35" s="677">
        <f>'Administration LASER'!F34+'Other Oper Exp. LASER'!F34</f>
        <v>1804668</v>
      </c>
      <c r="G35" s="677">
        <f>'Administration LASER'!J34 + 'Other Oper Exp. LASER'!J34</f>
        <v>592396.49</v>
      </c>
      <c r="H35" s="678">
        <f>'Administration LASER'!I34+'Other Oper Exp. LASER'!I34</f>
        <v>4964486.93</v>
      </c>
      <c r="I35" s="676">
        <f>'Client Services LASER'!D34</f>
        <v>83546.301177407368</v>
      </c>
      <c r="J35" s="677">
        <f>'Client Services LASER'!E34</f>
        <v>33335.208822592635</v>
      </c>
      <c r="K35" s="677">
        <f>'Client Services LASER'!F34</f>
        <v>24059.82</v>
      </c>
      <c r="L35" s="677">
        <f>'Client Services LASER'!J34</f>
        <v>1397.8000000000002</v>
      </c>
      <c r="M35" s="678">
        <f>'Client Services LASER'!I34</f>
        <v>142339.13</v>
      </c>
      <c r="N35" s="1666">
        <f>'Statewide Benefits'!D35</f>
        <v>35092217.14181041</v>
      </c>
      <c r="O35" s="1667">
        <f>'Statewide Benefits'!E35</f>
        <v>31243506.618096054</v>
      </c>
      <c r="P35" s="1667">
        <f>'Statewide Benefits'!F35</f>
        <v>1948544.06</v>
      </c>
      <c r="Q35" s="2078">
        <f>'Statewide Benefits'!G35</f>
        <v>0</v>
      </c>
      <c r="R35" s="1668">
        <f t="shared" si="3"/>
        <v>68284267.819906458</v>
      </c>
      <c r="S35" s="1666">
        <f>'Other Benefits LASER'!D34+'FC &amp; Adoptions LASER'!D34</f>
        <v>937159.26</v>
      </c>
      <c r="T35" s="1667">
        <f>'Other Benefits LASER'!E34 + 'FC &amp; Adoptions LASER'!E34</f>
        <v>1104176.46</v>
      </c>
      <c r="U35" s="1667">
        <f>'Other Benefits LASER'!F34+'FC &amp; Adoptions LASER'!F34</f>
        <v>24184.129999999997</v>
      </c>
      <c r="V35" s="2078">
        <f>'FC &amp; Adoptions LASER'!J34+'Other Benefits LASER'!J34</f>
        <v>30384.84</v>
      </c>
      <c r="W35" s="1668">
        <f>'Other Benefits LASER'!I34+'FC &amp; Adoptions LASER'!I34</f>
        <v>2095904.6900000002</v>
      </c>
      <c r="X35" s="1666">
        <f t="shared" si="15"/>
        <v>38101739.831978492</v>
      </c>
      <c r="Y35" s="1667">
        <f t="shared" si="16"/>
        <v>32959623.597927965</v>
      </c>
      <c r="Z35" s="1667">
        <f t="shared" si="17"/>
        <v>3801456.01</v>
      </c>
      <c r="AA35" s="2078">
        <f t="shared" si="18"/>
        <v>624179.13</v>
      </c>
      <c r="AB35" s="1668">
        <f t="shared" si="19"/>
        <v>75486998.569906458</v>
      </c>
      <c r="AD35" s="523">
        <f t="shared" si="4"/>
        <v>0.40060879543713096</v>
      </c>
      <c r="AE35" s="524">
        <f t="shared" si="5"/>
        <v>0.11654886379352798</v>
      </c>
      <c r="AF35" s="524">
        <f t="shared" si="6"/>
        <v>0.36351551035305074</v>
      </c>
      <c r="AG35" s="524">
        <f t="shared" si="7"/>
        <v>0.11932683041629037</v>
      </c>
      <c r="AH35" s="525">
        <f t="shared" si="8"/>
        <v>0.51715765923065893</v>
      </c>
      <c r="AJ35" s="1069">
        <f t="shared" si="9"/>
        <v>6.5766118988060215E-2</v>
      </c>
      <c r="AK35" s="1047">
        <f t="shared" si="10"/>
        <v>1.885611200559042E-3</v>
      </c>
      <c r="AL35" s="1071">
        <f t="shared" si="11"/>
        <v>0.93234826981138075</v>
      </c>
      <c r="AN35" s="1069">
        <f t="shared" si="12"/>
        <v>0.47473073350124079</v>
      </c>
      <c r="AO35" s="1047">
        <f t="shared" si="13"/>
        <v>6.3291065151639099E-3</v>
      </c>
      <c r="AP35" s="1071">
        <f t="shared" si="14"/>
        <v>0.51894015998359533</v>
      </c>
    </row>
    <row r="36" spans="1:42" x14ac:dyDescent="0.3">
      <c r="A36" s="630" t="s">
        <v>78</v>
      </c>
      <c r="B36" s="500" t="s">
        <v>79</v>
      </c>
      <c r="C36" s="631" t="s">
        <v>256</v>
      </c>
      <c r="D36" s="676">
        <f>'Administration LASER'!D35+'Other Oper Exp. LASER'!D35</f>
        <v>533904.44265076879</v>
      </c>
      <c r="E36" s="677">
        <f>'Administration LASER'!E35+'Other Oper Exp. LASER'!E35</f>
        <v>238100.40734923122</v>
      </c>
      <c r="F36" s="677">
        <f>'Administration LASER'!F35+'Other Oper Exp. LASER'!F35</f>
        <v>215470.68999999997</v>
      </c>
      <c r="G36" s="677">
        <f>'Administration LASER'!J35 + 'Other Oper Exp. LASER'!J35</f>
        <v>48225.469999999994</v>
      </c>
      <c r="H36" s="678">
        <f>'Administration LASER'!I35+'Other Oper Exp. LASER'!I35</f>
        <v>1035701.01</v>
      </c>
      <c r="I36" s="676">
        <f>'Client Services LASER'!D35</f>
        <v>10319.727101176513</v>
      </c>
      <c r="J36" s="677">
        <f>'Client Services LASER'!E35</f>
        <v>14986.742898823486</v>
      </c>
      <c r="K36" s="677">
        <f>'Client Services LASER'!F35</f>
        <v>4641.71</v>
      </c>
      <c r="L36" s="677">
        <f>'Client Services LASER'!J35</f>
        <v>1.0408340855860843E-17</v>
      </c>
      <c r="M36" s="678">
        <f>'Client Services LASER'!I35</f>
        <v>29948.18</v>
      </c>
      <c r="N36" s="1666">
        <f>'Statewide Benefits'!D36</f>
        <v>16050293.909134159</v>
      </c>
      <c r="O36" s="1667">
        <f>'Statewide Benefits'!E36</f>
        <v>13499482.428620337</v>
      </c>
      <c r="P36" s="1667">
        <f>'Statewide Benefits'!F36</f>
        <v>224098.88</v>
      </c>
      <c r="Q36" s="2078">
        <f>'Statewide Benefits'!G36</f>
        <v>0</v>
      </c>
      <c r="R36" s="1668">
        <f t="shared" si="3"/>
        <v>29773875.217754494</v>
      </c>
      <c r="S36" s="1666">
        <f>'Other Benefits LASER'!D35+'FC &amp; Adoptions LASER'!D35</f>
        <v>245461.30000000002</v>
      </c>
      <c r="T36" s="1667">
        <f>'Other Benefits LASER'!E35 + 'FC &amp; Adoptions LASER'!E35</f>
        <v>278014.90000000002</v>
      </c>
      <c r="U36" s="1667">
        <f>'Other Benefits LASER'!F35+'FC &amp; Adoptions LASER'!F35</f>
        <v>8138.4</v>
      </c>
      <c r="V36" s="2078">
        <f>'FC &amp; Adoptions LASER'!J35+'Other Benefits LASER'!J35</f>
        <v>15.07</v>
      </c>
      <c r="W36" s="1668">
        <f>'Other Benefits LASER'!I35+'FC &amp; Adoptions LASER'!I35</f>
        <v>531629.67000000004</v>
      </c>
      <c r="X36" s="1666">
        <f t="shared" si="15"/>
        <v>16839979.378886104</v>
      </c>
      <c r="Y36" s="1667">
        <f t="shared" si="16"/>
        <v>14030584.478868391</v>
      </c>
      <c r="Z36" s="1667">
        <f t="shared" si="17"/>
        <v>452349.68</v>
      </c>
      <c r="AA36" s="2078">
        <f t="shared" si="18"/>
        <v>48240.539999999994</v>
      </c>
      <c r="AB36" s="1668">
        <f t="shared" si="19"/>
        <v>31371154.077754498</v>
      </c>
      <c r="AD36" s="523">
        <f t="shared" si="4"/>
        <v>0.51550055227885583</v>
      </c>
      <c r="AE36" s="524">
        <f t="shared" si="5"/>
        <v>0.22989299522767792</v>
      </c>
      <c r="AF36" s="524">
        <f t="shared" si="6"/>
        <v>0.20804333289198973</v>
      </c>
      <c r="AG36" s="524">
        <f t="shared" si="7"/>
        <v>4.6563119601476487E-2</v>
      </c>
      <c r="AH36" s="525">
        <f t="shared" si="8"/>
        <v>0.74539354750653375</v>
      </c>
      <c r="AJ36" s="1069">
        <f t="shared" si="9"/>
        <v>3.3014437640163923E-2</v>
      </c>
      <c r="AK36" s="1047">
        <f t="shared" si="10"/>
        <v>9.5464068442532889E-4</v>
      </c>
      <c r="AL36" s="1071">
        <f t="shared" si="11"/>
        <v>0.96603092167541071</v>
      </c>
      <c r="AN36" s="1069">
        <f t="shared" si="12"/>
        <v>0.47633655892052357</v>
      </c>
      <c r="AO36" s="1047">
        <f t="shared" si="13"/>
        <v>1.0261331454904533E-2</v>
      </c>
      <c r="AP36" s="1071">
        <f t="shared" si="14"/>
        <v>0.51340210962457189</v>
      </c>
    </row>
    <row r="37" spans="1:42" x14ac:dyDescent="0.3">
      <c r="A37" s="630" t="s">
        <v>80</v>
      </c>
      <c r="B37" s="500" t="s">
        <v>81</v>
      </c>
      <c r="C37" s="631" t="s">
        <v>254</v>
      </c>
      <c r="D37" s="676">
        <f>'Administration LASER'!D36+'Other Oper Exp. LASER'!D36</f>
        <v>1081566.9486889164</v>
      </c>
      <c r="E37" s="677">
        <f>'Administration LASER'!E36+'Other Oper Exp. LASER'!E36</f>
        <v>293536.93131108372</v>
      </c>
      <c r="F37" s="677">
        <f>'Administration LASER'!F36+'Other Oper Exp. LASER'!F36</f>
        <v>984282.44</v>
      </c>
      <c r="G37" s="677">
        <f>'Administration LASER'!J36 + 'Other Oper Exp. LASER'!J36</f>
        <v>146056.24999999997</v>
      </c>
      <c r="H37" s="678">
        <f>'Administration LASER'!I36+'Other Oper Exp. LASER'!I36</f>
        <v>2505442.5699999998</v>
      </c>
      <c r="I37" s="676">
        <f>'Client Services LASER'!D36</f>
        <v>46141.60327613874</v>
      </c>
      <c r="J37" s="677">
        <f>'Client Services LASER'!E36</f>
        <v>20391.03672386126</v>
      </c>
      <c r="K37" s="677">
        <f>'Client Services LASER'!F36</f>
        <v>9283.67</v>
      </c>
      <c r="L37" s="677">
        <f>'Client Services LASER'!J36</f>
        <v>6.9388939039072284E-18</v>
      </c>
      <c r="M37" s="678">
        <f>'Client Services LASER'!I36</f>
        <v>75816.31</v>
      </c>
      <c r="N37" s="1666">
        <f>'Statewide Benefits'!D37</f>
        <v>15762027.53357044</v>
      </c>
      <c r="O37" s="1667">
        <f>'Statewide Benefits'!E37</f>
        <v>14311139.447051099</v>
      </c>
      <c r="P37" s="1667">
        <f>'Statewide Benefits'!F37</f>
        <v>894439.85</v>
      </c>
      <c r="Q37" s="2078">
        <f>'Statewide Benefits'!G37</f>
        <v>0</v>
      </c>
      <c r="R37" s="1668">
        <f t="shared" ref="R37:R68" si="20">SUM(N37:P37)</f>
        <v>30967606.830621541</v>
      </c>
      <c r="S37" s="1666">
        <f>'Other Benefits LASER'!D36+'FC &amp; Adoptions LASER'!D36</f>
        <v>217844.66999999998</v>
      </c>
      <c r="T37" s="1667">
        <f>'Other Benefits LASER'!E36 + 'FC &amp; Adoptions LASER'!E36</f>
        <v>274002.13</v>
      </c>
      <c r="U37" s="1667">
        <f>'Other Benefits LASER'!F36+'FC &amp; Adoptions LASER'!F36</f>
        <v>3625.16</v>
      </c>
      <c r="V37" s="2078">
        <f>'FC &amp; Adoptions LASER'!J36+'Other Benefits LASER'!J36</f>
        <v>-10563.11</v>
      </c>
      <c r="W37" s="1668">
        <f>'Other Benefits LASER'!I36+'FC &amp; Adoptions LASER'!I36</f>
        <v>484908.85</v>
      </c>
      <c r="X37" s="1666">
        <f t="shared" si="15"/>
        <v>17107580.755535498</v>
      </c>
      <c r="Y37" s="1667">
        <f t="shared" si="16"/>
        <v>14899069.545086045</v>
      </c>
      <c r="Z37" s="1667">
        <f t="shared" si="17"/>
        <v>1891631.1199999999</v>
      </c>
      <c r="AA37" s="2078">
        <f t="shared" si="18"/>
        <v>135493.13999999996</v>
      </c>
      <c r="AB37" s="1668">
        <f t="shared" si="19"/>
        <v>34033774.560621537</v>
      </c>
      <c r="AD37" s="523">
        <f t="shared" si="4"/>
        <v>0.43168698482237272</v>
      </c>
      <c r="AE37" s="524">
        <f t="shared" si="5"/>
        <v>0.11715971254974077</v>
      </c>
      <c r="AF37" s="524">
        <f t="shared" si="6"/>
        <v>0.39285771375713474</v>
      </c>
      <c r="AG37" s="524">
        <f t="shared" si="7"/>
        <v>5.8295588870751876E-2</v>
      </c>
      <c r="AH37" s="525">
        <f t="shared" si="8"/>
        <v>0.54884669737211345</v>
      </c>
      <c r="AJ37" s="1069">
        <f t="shared" si="9"/>
        <v>7.3616359112247828E-2</v>
      </c>
      <c r="AK37" s="1047">
        <f t="shared" si="10"/>
        <v>2.2276785628039786E-3</v>
      </c>
      <c r="AL37" s="1071">
        <f t="shared" si="11"/>
        <v>0.92415596232494834</v>
      </c>
      <c r="AN37" s="1069">
        <f t="shared" si="12"/>
        <v>0.52033529666185652</v>
      </c>
      <c r="AO37" s="1047">
        <f t="shared" si="13"/>
        <v>4.907759182984894E-3</v>
      </c>
      <c r="AP37" s="1071">
        <f t="shared" si="14"/>
        <v>0.47475694415515857</v>
      </c>
    </row>
    <row r="38" spans="1:42" x14ac:dyDescent="0.3">
      <c r="A38" s="630" t="s">
        <v>84</v>
      </c>
      <c r="B38" s="500" t="s">
        <v>296</v>
      </c>
      <c r="C38" s="631" t="s">
        <v>253</v>
      </c>
      <c r="D38" s="676">
        <f>'Administration LASER'!D37+'Other Oper Exp. LASER'!D37</f>
        <v>2182140.5524380356</v>
      </c>
      <c r="E38" s="677">
        <f>'Administration LASER'!E37+'Other Oper Exp. LASER'!E37</f>
        <v>796095.69756196428</v>
      </c>
      <c r="F38" s="677">
        <f>'Administration LASER'!F37+'Other Oper Exp. LASER'!F37</f>
        <v>1428987</v>
      </c>
      <c r="G38" s="677">
        <f>'Administration LASER'!J37 + 'Other Oper Exp. LASER'!J37</f>
        <v>178488.04</v>
      </c>
      <c r="H38" s="678">
        <f>'Administration LASER'!I37+'Other Oper Exp. LASER'!I37</f>
        <v>4585711.29</v>
      </c>
      <c r="I38" s="676">
        <f>'Client Services LASER'!D37</f>
        <v>90636.902672465381</v>
      </c>
      <c r="J38" s="677">
        <f>'Client Services LASER'!E37</f>
        <v>52391.327327534636</v>
      </c>
      <c r="K38" s="677">
        <f>'Client Services LASER'!F37</f>
        <v>26221.510000000002</v>
      </c>
      <c r="L38" s="677">
        <f>'Client Services LASER'!J37</f>
        <v>-0.2</v>
      </c>
      <c r="M38" s="678">
        <f>'Client Services LASER'!I37</f>
        <v>169249.54</v>
      </c>
      <c r="N38" s="1666">
        <f>'Statewide Benefits'!D38</f>
        <v>50275135.031732626</v>
      </c>
      <c r="O38" s="1667">
        <f>'Statewide Benefits'!E38</f>
        <v>43955167.308029637</v>
      </c>
      <c r="P38" s="1667">
        <f>'Statewide Benefits'!F38</f>
        <v>2026307.45</v>
      </c>
      <c r="Q38" s="2078">
        <f>'Statewide Benefits'!G38</f>
        <v>0</v>
      </c>
      <c r="R38" s="1668">
        <f t="shared" si="20"/>
        <v>96256609.789762273</v>
      </c>
      <c r="S38" s="1666">
        <f>'Other Benefits LASER'!D37+'FC &amp; Adoptions LASER'!D37</f>
        <v>1242407.4700000002</v>
      </c>
      <c r="T38" s="1667">
        <f>'Other Benefits LASER'!E37 + 'FC &amp; Adoptions LASER'!E37</f>
        <v>1410740.87</v>
      </c>
      <c r="U38" s="1667">
        <f>'Other Benefits LASER'!F37+'FC &amp; Adoptions LASER'!F37</f>
        <v>31658.400000000001</v>
      </c>
      <c r="V38" s="2078">
        <f>'FC &amp; Adoptions LASER'!J37+'Other Benefits LASER'!J37</f>
        <v>-0.37000000000000005</v>
      </c>
      <c r="W38" s="1668">
        <f>'Other Benefits LASER'!I37+'FC &amp; Adoptions LASER'!I37</f>
        <v>2684806.37</v>
      </c>
      <c r="X38" s="1666">
        <f t="shared" si="15"/>
        <v>53790319.956843123</v>
      </c>
      <c r="Y38" s="1667">
        <f t="shared" si="16"/>
        <v>46214395.202919133</v>
      </c>
      <c r="Z38" s="1667">
        <f t="shared" si="17"/>
        <v>3513174.36</v>
      </c>
      <c r="AA38" s="2078">
        <f t="shared" si="18"/>
        <v>178487.47</v>
      </c>
      <c r="AB38" s="1668">
        <f t="shared" si="19"/>
        <v>103696376.98976228</v>
      </c>
      <c r="AD38" s="523">
        <f t="shared" si="4"/>
        <v>0.47585650609897762</v>
      </c>
      <c r="AE38" s="524">
        <f t="shared" si="5"/>
        <v>0.17360353655451438</v>
      </c>
      <c r="AF38" s="524">
        <f t="shared" si="6"/>
        <v>0.31161730637429641</v>
      </c>
      <c r="AG38" s="524">
        <f t="shared" si="7"/>
        <v>3.8922650972211557E-2</v>
      </c>
      <c r="AH38" s="525">
        <f t="shared" si="8"/>
        <v>0.649460042653492</v>
      </c>
      <c r="AJ38" s="1069">
        <f t="shared" si="9"/>
        <v>4.422248320645511E-2</v>
      </c>
      <c r="AK38" s="1047">
        <f t="shared" si="10"/>
        <v>1.6321644488766435E-3</v>
      </c>
      <c r="AL38" s="1071">
        <f t="shared" si="11"/>
        <v>0.95414535234466824</v>
      </c>
      <c r="AN38" s="1069">
        <f t="shared" si="12"/>
        <v>0.40675094759600833</v>
      </c>
      <c r="AO38" s="1047">
        <f t="shared" si="13"/>
        <v>7.4637656185103218E-3</v>
      </c>
      <c r="AP38" s="1071">
        <f t="shared" si="14"/>
        <v>0.58578528678548136</v>
      </c>
    </row>
    <row r="39" spans="1:42" x14ac:dyDescent="0.3">
      <c r="A39" s="630" t="s">
        <v>86</v>
      </c>
      <c r="B39" s="500" t="s">
        <v>87</v>
      </c>
      <c r="C39" s="631" t="s">
        <v>255</v>
      </c>
      <c r="D39" s="676">
        <f>'Administration LASER'!D38+'Other Oper Exp. LASER'!D38</f>
        <v>2810517.0862962143</v>
      </c>
      <c r="E39" s="677">
        <f>'Administration LASER'!E38+'Other Oper Exp. LASER'!E38</f>
        <v>765057.70370378555</v>
      </c>
      <c r="F39" s="677">
        <f>'Administration LASER'!F38+'Other Oper Exp. LASER'!F38</f>
        <v>2660255.3299999996</v>
      </c>
      <c r="G39" s="677">
        <f>'Administration LASER'!J38 + 'Other Oper Exp. LASER'!J38</f>
        <v>187817.78</v>
      </c>
      <c r="H39" s="678">
        <f>'Administration LASER'!I38+'Other Oper Exp. LASER'!I38</f>
        <v>6423647.8999999994</v>
      </c>
      <c r="I39" s="676">
        <f>'Client Services LASER'!D38</f>
        <v>132078.52907702926</v>
      </c>
      <c r="J39" s="677">
        <f>'Client Services LASER'!E38</f>
        <v>49722.800922970731</v>
      </c>
      <c r="K39" s="677">
        <f>'Client Services LASER'!F38</f>
        <v>38544.75</v>
      </c>
      <c r="L39" s="677">
        <f>'Client Services LASER'!J38</f>
        <v>10387.479999999998</v>
      </c>
      <c r="M39" s="678">
        <f>'Client Services LASER'!I38</f>
        <v>230733.56</v>
      </c>
      <c r="N39" s="1666">
        <f>'Statewide Benefits'!D39</f>
        <v>47563605.530740514</v>
      </c>
      <c r="O39" s="1667">
        <f>'Statewide Benefits'!E39</f>
        <v>39177799.521537721</v>
      </c>
      <c r="P39" s="1667">
        <f>'Statewide Benefits'!F39</f>
        <v>1586002.53</v>
      </c>
      <c r="Q39" s="2078">
        <f>'Statewide Benefits'!G39</f>
        <v>0</v>
      </c>
      <c r="R39" s="1668">
        <f t="shared" si="20"/>
        <v>88327407.582278237</v>
      </c>
      <c r="S39" s="1666">
        <f>'Other Benefits LASER'!D38+'FC &amp; Adoptions LASER'!D38</f>
        <v>651959.05999999994</v>
      </c>
      <c r="T39" s="1667">
        <f>'Other Benefits LASER'!E38 + 'FC &amp; Adoptions LASER'!E38</f>
        <v>779731.43999999983</v>
      </c>
      <c r="U39" s="1667">
        <f>'Other Benefits LASER'!F38+'FC &amp; Adoptions LASER'!F38</f>
        <v>15034.8</v>
      </c>
      <c r="V39" s="2078">
        <f>'FC &amp; Adoptions LASER'!J38+'Other Benefits LASER'!J38</f>
        <v>7782.6500000000005</v>
      </c>
      <c r="W39" s="1668">
        <f>'Other Benefits LASER'!I38+'FC &amp; Adoptions LASER'!I38</f>
        <v>1454507.9499999997</v>
      </c>
      <c r="X39" s="1666">
        <f t="shared" si="15"/>
        <v>51158160.206113763</v>
      </c>
      <c r="Y39" s="1667">
        <f t="shared" si="16"/>
        <v>40772311.466164477</v>
      </c>
      <c r="Z39" s="1667">
        <f t="shared" si="17"/>
        <v>4299837.4099999992</v>
      </c>
      <c r="AA39" s="2078">
        <f t="shared" si="18"/>
        <v>205987.91</v>
      </c>
      <c r="AB39" s="1668">
        <f t="shared" si="19"/>
        <v>96436296.992278233</v>
      </c>
      <c r="AD39" s="523">
        <f t="shared" si="4"/>
        <v>0.43752664063299834</v>
      </c>
      <c r="AE39" s="524">
        <f t="shared" si="5"/>
        <v>0.11910019285206862</v>
      </c>
      <c r="AF39" s="524">
        <f t="shared" si="6"/>
        <v>0.41413467416232447</v>
      </c>
      <c r="AG39" s="524">
        <f t="shared" si="7"/>
        <v>2.9238492352608558E-2</v>
      </c>
      <c r="AH39" s="525">
        <f t="shared" si="8"/>
        <v>0.55662683348506703</v>
      </c>
      <c r="AJ39" s="1069">
        <f t="shared" si="9"/>
        <v>6.661027123961788E-2</v>
      </c>
      <c r="AK39" s="1047">
        <f t="shared" si="10"/>
        <v>2.3926007861798664E-3</v>
      </c>
      <c r="AL39" s="1071">
        <f t="shared" si="11"/>
        <v>0.93099712797420231</v>
      </c>
      <c r="AN39" s="1069">
        <f t="shared" si="12"/>
        <v>0.618687423811218</v>
      </c>
      <c r="AO39" s="1047">
        <f t="shared" si="13"/>
        <v>8.9642343011290763E-3</v>
      </c>
      <c r="AP39" s="1071">
        <f t="shared" si="14"/>
        <v>0.37234834188765298</v>
      </c>
    </row>
    <row r="40" spans="1:42" x14ac:dyDescent="0.3">
      <c r="A40" s="630" t="s">
        <v>92</v>
      </c>
      <c r="B40" s="500" t="s">
        <v>93</v>
      </c>
      <c r="C40" s="631" t="s">
        <v>256</v>
      </c>
      <c r="D40" s="676">
        <f>'Administration LASER'!D39+'Other Oper Exp. LASER'!D39</f>
        <v>898121.33708488103</v>
      </c>
      <c r="E40" s="677">
        <f>'Administration LASER'!E39+'Other Oper Exp. LASER'!E39</f>
        <v>385748.71291511913</v>
      </c>
      <c r="F40" s="677">
        <f>'Administration LASER'!F39+'Other Oper Exp. LASER'!F39</f>
        <v>424207.71</v>
      </c>
      <c r="G40" s="677">
        <f>'Administration LASER'!J39 + 'Other Oper Exp. LASER'!J39</f>
        <v>50263.21</v>
      </c>
      <c r="H40" s="678">
        <f>'Administration LASER'!I39+'Other Oper Exp. LASER'!I39</f>
        <v>1758340.9700000002</v>
      </c>
      <c r="I40" s="676">
        <f>'Client Services LASER'!D39</f>
        <v>40354.209666444083</v>
      </c>
      <c r="J40" s="677">
        <f>'Client Services LASER'!E39</f>
        <v>16724.450333555917</v>
      </c>
      <c r="K40" s="677">
        <f>'Client Services LASER'!F39</f>
        <v>11046.890000000001</v>
      </c>
      <c r="L40" s="677">
        <f>'Client Services LASER'!J39</f>
        <v>-0.09</v>
      </c>
      <c r="M40" s="678">
        <f>'Client Services LASER'!I39</f>
        <v>68125.460000000006</v>
      </c>
      <c r="N40" s="1666">
        <f>'Statewide Benefits'!D40</f>
        <v>16910557.921414398</v>
      </c>
      <c r="O40" s="1667">
        <f>'Statewide Benefits'!E40</f>
        <v>15143689.888805609</v>
      </c>
      <c r="P40" s="1667">
        <f>'Statewide Benefits'!F40</f>
        <v>611051.68999999994</v>
      </c>
      <c r="Q40" s="2078">
        <f>'Statewide Benefits'!G40</f>
        <v>0</v>
      </c>
      <c r="R40" s="1668">
        <f t="shared" si="20"/>
        <v>32665299.500220008</v>
      </c>
      <c r="S40" s="1666">
        <f>'Other Benefits LASER'!D39+'FC &amp; Adoptions LASER'!D39</f>
        <v>802987.75</v>
      </c>
      <c r="T40" s="1667">
        <f>'Other Benefits LASER'!E39 + 'FC &amp; Adoptions LASER'!E39</f>
        <v>846845.95</v>
      </c>
      <c r="U40" s="1667">
        <f>'Other Benefits LASER'!F39+'FC &amp; Adoptions LASER'!F39</f>
        <v>2291.8000000000002</v>
      </c>
      <c r="V40" s="2078">
        <f>'FC &amp; Adoptions LASER'!J39+'Other Benefits LASER'!J39</f>
        <v>624.91</v>
      </c>
      <c r="W40" s="1668">
        <f>'Other Benefits LASER'!I39+'FC &amp; Adoptions LASER'!I39</f>
        <v>1652750.41</v>
      </c>
      <c r="X40" s="1666">
        <f t="shared" si="15"/>
        <v>18652021.218165722</v>
      </c>
      <c r="Y40" s="1667">
        <f t="shared" si="16"/>
        <v>16393009.002054283</v>
      </c>
      <c r="Z40" s="1667">
        <f t="shared" si="17"/>
        <v>1048598.0900000001</v>
      </c>
      <c r="AA40" s="2078">
        <f t="shared" si="18"/>
        <v>50888.030000000006</v>
      </c>
      <c r="AB40" s="1668">
        <f t="shared" si="19"/>
        <v>36144516.340220004</v>
      </c>
      <c r="AD40" s="523">
        <f t="shared" si="4"/>
        <v>0.51077768897398834</v>
      </c>
      <c r="AE40" s="524">
        <f t="shared" si="5"/>
        <v>0.21938220145954915</v>
      </c>
      <c r="AF40" s="524">
        <f t="shared" si="6"/>
        <v>0.24125452186898652</v>
      </c>
      <c r="AG40" s="524">
        <f t="shared" si="7"/>
        <v>2.8585587697475986E-2</v>
      </c>
      <c r="AH40" s="525">
        <f t="shared" si="8"/>
        <v>0.73015989043353757</v>
      </c>
      <c r="AJ40" s="1069">
        <f t="shared" si="9"/>
        <v>4.8647516913745414E-2</v>
      </c>
      <c r="AK40" s="1047">
        <f t="shared" si="10"/>
        <v>1.8848076250004495E-3</v>
      </c>
      <c r="AL40" s="1071">
        <f t="shared" si="11"/>
        <v>0.9494676754612541</v>
      </c>
      <c r="AN40" s="1069">
        <f t="shared" si="12"/>
        <v>0.40454747538210756</v>
      </c>
      <c r="AO40" s="1047">
        <f t="shared" si="13"/>
        <v>1.0534913333668194E-2</v>
      </c>
      <c r="AP40" s="1071">
        <f t="shared" si="14"/>
        <v>0.58491761128422415</v>
      </c>
    </row>
    <row r="41" spans="1:42" x14ac:dyDescent="0.3">
      <c r="A41" s="630" t="s">
        <v>94</v>
      </c>
      <c r="B41" s="500" t="s">
        <v>95</v>
      </c>
      <c r="C41" s="631" t="s">
        <v>252</v>
      </c>
      <c r="D41" s="676">
        <f>'Administration LASER'!D40+'Other Oper Exp. LASER'!D40</f>
        <v>1624686.8467326444</v>
      </c>
      <c r="E41" s="677">
        <f>'Administration LASER'!E40+'Other Oper Exp. LASER'!E40</f>
        <v>500157.95326735562</v>
      </c>
      <c r="F41" s="677">
        <f>'Administration LASER'!F40+'Other Oper Exp. LASER'!F40</f>
        <v>1320334.27</v>
      </c>
      <c r="G41" s="677">
        <f>'Administration LASER'!J40 + 'Other Oper Exp. LASER'!J40</f>
        <v>182252.52</v>
      </c>
      <c r="H41" s="678">
        <f>'Administration LASER'!I40+'Other Oper Exp. LASER'!I40</f>
        <v>3627431.59</v>
      </c>
      <c r="I41" s="676">
        <f>'Client Services LASER'!D40</f>
        <v>37497.420763101152</v>
      </c>
      <c r="J41" s="677">
        <f>'Client Services LASER'!E40</f>
        <v>15881.279236898845</v>
      </c>
      <c r="K41" s="677">
        <f>'Client Services LASER'!F40</f>
        <v>10021.32</v>
      </c>
      <c r="L41" s="677">
        <f>'Client Services LASER'!J40</f>
        <v>-0.14000000000000001</v>
      </c>
      <c r="M41" s="678">
        <f>'Client Services LASER'!I40</f>
        <v>63399.88</v>
      </c>
      <c r="N41" s="1666">
        <f>'Statewide Benefits'!D41</f>
        <v>28389645.354614392</v>
      </c>
      <c r="O41" s="1667">
        <f>'Statewide Benefits'!E41</f>
        <v>22835641.304615315</v>
      </c>
      <c r="P41" s="1667">
        <f>'Statewide Benefits'!F41</f>
        <v>345259.33</v>
      </c>
      <c r="Q41" s="2078">
        <f>'Statewide Benefits'!G41</f>
        <v>0</v>
      </c>
      <c r="R41" s="1668">
        <f t="shared" si="20"/>
        <v>51570545.989229709</v>
      </c>
      <c r="S41" s="1666">
        <f>'Other Benefits LASER'!D40+'FC &amp; Adoptions LASER'!D40</f>
        <v>394010.54</v>
      </c>
      <c r="T41" s="1667">
        <f>'Other Benefits LASER'!E40 + 'FC &amp; Adoptions LASER'!E40</f>
        <v>865241.97</v>
      </c>
      <c r="U41" s="1667">
        <f>'Other Benefits LASER'!F40+'FC &amp; Adoptions LASER'!F40</f>
        <v>36893.599999999999</v>
      </c>
      <c r="V41" s="2078">
        <f>'FC &amp; Adoptions LASER'!J40+'Other Benefits LASER'!J40</f>
        <v>-0.12</v>
      </c>
      <c r="W41" s="1668">
        <f>'Other Benefits LASER'!I40+'FC &amp; Adoptions LASER'!I40</f>
        <v>1296145.9899999998</v>
      </c>
      <c r="X41" s="1666">
        <f t="shared" si="15"/>
        <v>30445840.162110135</v>
      </c>
      <c r="Y41" s="1667">
        <f t="shared" si="16"/>
        <v>24216922.50711957</v>
      </c>
      <c r="Z41" s="1667">
        <f t="shared" si="17"/>
        <v>1712508.5200000003</v>
      </c>
      <c r="AA41" s="2078">
        <f t="shared" si="18"/>
        <v>182252.25999999998</v>
      </c>
      <c r="AB41" s="1668">
        <f t="shared" si="19"/>
        <v>56557523.44922971</v>
      </c>
      <c r="AD41" s="523">
        <f t="shared" si="4"/>
        <v>0.44788903840710181</v>
      </c>
      <c r="AE41" s="524">
        <f t="shared" si="5"/>
        <v>0.13788211875481726</v>
      </c>
      <c r="AF41" s="524">
        <f t="shared" si="6"/>
        <v>0.36398598767234092</v>
      </c>
      <c r="AG41" s="524">
        <f t="shared" si="7"/>
        <v>5.0242855165740008E-2</v>
      </c>
      <c r="AH41" s="525">
        <f t="shared" si="8"/>
        <v>0.58577115716191908</v>
      </c>
      <c r="AJ41" s="1069">
        <f t="shared" si="9"/>
        <v>6.4137030208832532E-2</v>
      </c>
      <c r="AK41" s="1047">
        <f t="shared" si="10"/>
        <v>1.120980483823916E-3</v>
      </c>
      <c r="AL41" s="1071">
        <f t="shared" si="11"/>
        <v>0.93474198930734353</v>
      </c>
      <c r="AN41" s="1069">
        <f t="shared" si="12"/>
        <v>0.77099427803138743</v>
      </c>
      <c r="AO41" s="1047">
        <f t="shared" si="13"/>
        <v>5.8518365794758198E-3</v>
      </c>
      <c r="AP41" s="1071">
        <f t="shared" si="14"/>
        <v>0.22315388538913661</v>
      </c>
    </row>
    <row r="42" spans="1:42" x14ac:dyDescent="0.3">
      <c r="A42" s="630" t="s">
        <v>96</v>
      </c>
      <c r="B42" s="500" t="s">
        <v>97</v>
      </c>
      <c r="C42" s="631" t="s">
        <v>254</v>
      </c>
      <c r="D42" s="676">
        <f>'Administration LASER'!D41+'Other Oper Exp. LASER'!D41</f>
        <v>901351.61467026791</v>
      </c>
      <c r="E42" s="677">
        <f>'Administration LASER'!E41+'Other Oper Exp. LASER'!E41</f>
        <v>286883.09532973205</v>
      </c>
      <c r="F42" s="677">
        <f>'Administration LASER'!F41+'Other Oper Exp. LASER'!F41</f>
        <v>673364.21000000008</v>
      </c>
      <c r="G42" s="677">
        <f>'Administration LASER'!J41 + 'Other Oper Exp. LASER'!J41</f>
        <v>206968.69</v>
      </c>
      <c r="H42" s="678">
        <f>'Administration LASER'!I41+'Other Oper Exp. LASER'!I41</f>
        <v>2068567.6099999999</v>
      </c>
      <c r="I42" s="676">
        <f>'Client Services LASER'!D41</f>
        <v>54607.621598586178</v>
      </c>
      <c r="J42" s="677">
        <f>'Client Services LASER'!E41</f>
        <v>6475.9784014138186</v>
      </c>
      <c r="K42" s="677">
        <f>'Client Services LASER'!F41</f>
        <v>16438.66</v>
      </c>
      <c r="L42" s="677">
        <f>'Client Services LASER'!J41</f>
        <v>19941.989999999998</v>
      </c>
      <c r="M42" s="678">
        <f>'Client Services LASER'!I41</f>
        <v>97464.25</v>
      </c>
      <c r="N42" s="1666">
        <f>'Statewide Benefits'!D42</f>
        <v>10817973.429073324</v>
      </c>
      <c r="O42" s="1667">
        <f>'Statewide Benefits'!E42</f>
        <v>9256153.5879022721</v>
      </c>
      <c r="P42" s="1667">
        <f>'Statewide Benefits'!F42</f>
        <v>498029</v>
      </c>
      <c r="Q42" s="2078">
        <f>'Statewide Benefits'!G42</f>
        <v>0</v>
      </c>
      <c r="R42" s="1668">
        <f t="shared" si="20"/>
        <v>20572156.016975597</v>
      </c>
      <c r="S42" s="1666">
        <f>'Other Benefits LASER'!D41+'FC &amp; Adoptions LASER'!D41</f>
        <v>160325.41</v>
      </c>
      <c r="T42" s="1667">
        <f>'Other Benefits LASER'!E41 + 'FC &amp; Adoptions LASER'!E41</f>
        <v>218875.42</v>
      </c>
      <c r="U42" s="1667">
        <f>'Other Benefits LASER'!F41+'FC &amp; Adoptions LASER'!F41</f>
        <v>4854.8</v>
      </c>
      <c r="V42" s="2078">
        <f>'FC &amp; Adoptions LASER'!J41+'Other Benefits LASER'!J41</f>
        <v>227473.3</v>
      </c>
      <c r="W42" s="1668">
        <f>'Other Benefits LASER'!I41+'FC &amp; Adoptions LASER'!I41</f>
        <v>611528.92999999993</v>
      </c>
      <c r="X42" s="1666">
        <f t="shared" si="15"/>
        <v>11934258.075342178</v>
      </c>
      <c r="Y42" s="1667">
        <f t="shared" si="16"/>
        <v>9768388.0816334188</v>
      </c>
      <c r="Z42" s="1667">
        <f t="shared" si="17"/>
        <v>1192686.6700000002</v>
      </c>
      <c r="AA42" s="2078">
        <f t="shared" si="18"/>
        <v>454383.98</v>
      </c>
      <c r="AB42" s="1668">
        <f t="shared" si="19"/>
        <v>23349716.806975596</v>
      </c>
      <c r="AD42" s="523">
        <f t="shared" si="4"/>
        <v>0.43573708217845875</v>
      </c>
      <c r="AE42" s="524">
        <f t="shared" si="5"/>
        <v>0.13868683524911815</v>
      </c>
      <c r="AF42" s="524">
        <f t="shared" si="6"/>
        <v>0.32552197314933307</v>
      </c>
      <c r="AG42" s="524">
        <f t="shared" si="7"/>
        <v>0.10005410942309012</v>
      </c>
      <c r="AH42" s="525">
        <f t="shared" si="8"/>
        <v>0.57442391742757692</v>
      </c>
      <c r="AJ42" s="1069">
        <f t="shared" si="9"/>
        <v>8.8590693715909524E-2</v>
      </c>
      <c r="AK42" s="1047">
        <f t="shared" si="10"/>
        <v>4.1741084401881526E-3</v>
      </c>
      <c r="AL42" s="1071">
        <f t="shared" si="11"/>
        <v>0.90723519784390239</v>
      </c>
      <c r="AN42" s="1069">
        <f t="shared" si="12"/>
        <v>0.56457762708121828</v>
      </c>
      <c r="AO42" s="1047">
        <f t="shared" si="13"/>
        <v>1.3782882305542995E-2</v>
      </c>
      <c r="AP42" s="1071">
        <f t="shared" si="14"/>
        <v>0.42163949061323869</v>
      </c>
    </row>
    <row r="43" spans="1:42" x14ac:dyDescent="0.3">
      <c r="A43" s="630" t="s">
        <v>98</v>
      </c>
      <c r="B43" s="500" t="s">
        <v>99</v>
      </c>
      <c r="C43" s="631" t="s">
        <v>256</v>
      </c>
      <c r="D43" s="676">
        <f>'Administration LASER'!D42+'Other Oper Exp. LASER'!D42</f>
        <v>852799.38698830013</v>
      </c>
      <c r="E43" s="677">
        <f>'Administration LASER'!E42+'Other Oper Exp. LASER'!E42</f>
        <v>368354.39301169995</v>
      </c>
      <c r="F43" s="677">
        <f>'Administration LASER'!F42+'Other Oper Exp. LASER'!F42</f>
        <v>351543.19</v>
      </c>
      <c r="G43" s="677">
        <f>'Administration LASER'!J42 + 'Other Oper Exp. LASER'!J42</f>
        <v>148780.36000000002</v>
      </c>
      <c r="H43" s="678">
        <f>'Administration LASER'!I42+'Other Oper Exp. LASER'!I42</f>
        <v>1721477.33</v>
      </c>
      <c r="I43" s="676">
        <f>'Client Services LASER'!D42</f>
        <v>25145.048506783452</v>
      </c>
      <c r="J43" s="677">
        <f>'Client Services LASER'!E42</f>
        <v>15565.06149321655</v>
      </c>
      <c r="K43" s="677">
        <f>'Client Services LASER'!F42</f>
        <v>6557.6600000000008</v>
      </c>
      <c r="L43" s="677">
        <f>'Client Services LASER'!J42</f>
        <v>-7.0000000000000007E-2</v>
      </c>
      <c r="M43" s="678">
        <f>'Client Services LASER'!I42</f>
        <v>47267.700000000004</v>
      </c>
      <c r="N43" s="1666">
        <f>'Statewide Benefits'!D43</f>
        <v>17812739.473694317</v>
      </c>
      <c r="O43" s="1667">
        <f>'Statewide Benefits'!E43</f>
        <v>14467104.181572232</v>
      </c>
      <c r="P43" s="1667">
        <f>'Statewide Benefits'!F43</f>
        <v>273466.90999999997</v>
      </c>
      <c r="Q43" s="2078">
        <f>'Statewide Benefits'!G43</f>
        <v>0</v>
      </c>
      <c r="R43" s="1668">
        <f t="shared" si="20"/>
        <v>32553310.56526655</v>
      </c>
      <c r="S43" s="1666">
        <f>'Other Benefits LASER'!D42+'FC &amp; Adoptions LASER'!D42</f>
        <v>358446.24</v>
      </c>
      <c r="T43" s="1667">
        <f>'Other Benefits LASER'!E42 + 'FC &amp; Adoptions LASER'!E42</f>
        <v>514065.04</v>
      </c>
      <c r="U43" s="1667">
        <f>'Other Benefits LASER'!F42+'FC &amp; Adoptions LASER'!F42</f>
        <v>32900.199999999997</v>
      </c>
      <c r="V43" s="2078">
        <f>'FC &amp; Adoptions LASER'!J42+'Other Benefits LASER'!J42</f>
        <v>-0.17</v>
      </c>
      <c r="W43" s="1668">
        <f>'Other Benefits LASER'!I42+'FC &amp; Adoptions LASER'!I42</f>
        <v>905411.30999999994</v>
      </c>
      <c r="X43" s="1666">
        <f t="shared" si="15"/>
        <v>19049130.149189398</v>
      </c>
      <c r="Y43" s="1667">
        <f t="shared" si="16"/>
        <v>15365088.676077148</v>
      </c>
      <c r="Z43" s="1667">
        <f t="shared" si="17"/>
        <v>664467.96</v>
      </c>
      <c r="AA43" s="2078">
        <f t="shared" si="18"/>
        <v>148780.12</v>
      </c>
      <c r="AB43" s="1668">
        <f t="shared" si="19"/>
        <v>35227466.905266553</v>
      </c>
      <c r="AD43" s="523">
        <f t="shared" si="4"/>
        <v>0.49538810190913179</v>
      </c>
      <c r="AE43" s="524">
        <f t="shared" si="5"/>
        <v>0.21397574431706279</v>
      </c>
      <c r="AF43" s="524">
        <f t="shared" si="6"/>
        <v>0.20421017684850953</v>
      </c>
      <c r="AG43" s="524">
        <f t="shared" si="7"/>
        <v>8.6425976925295911E-2</v>
      </c>
      <c r="AH43" s="525">
        <f t="shared" si="8"/>
        <v>0.70936384622619453</v>
      </c>
      <c r="AJ43" s="1069">
        <f t="shared" si="9"/>
        <v>4.8867474196466761E-2</v>
      </c>
      <c r="AK43" s="1047">
        <f t="shared" si="10"/>
        <v>1.3417853780719447E-3</v>
      </c>
      <c r="AL43" s="1071">
        <f t="shared" si="11"/>
        <v>0.94979074042546119</v>
      </c>
      <c r="AN43" s="1069">
        <f t="shared" si="12"/>
        <v>0.52905965548737677</v>
      </c>
      <c r="AO43" s="1047">
        <f t="shared" si="13"/>
        <v>9.8690386817146172E-3</v>
      </c>
      <c r="AP43" s="1071">
        <f t="shared" si="14"/>
        <v>0.46107130583090872</v>
      </c>
    </row>
    <row r="44" spans="1:42" x14ac:dyDescent="0.3">
      <c r="A44" s="630" t="s">
        <v>100</v>
      </c>
      <c r="B44" s="500" t="s">
        <v>101</v>
      </c>
      <c r="C44" s="631" t="s">
        <v>255</v>
      </c>
      <c r="D44" s="676">
        <f>'Administration LASER'!D43+'Other Oper Exp. LASER'!D43</f>
        <v>702731.66235598305</v>
      </c>
      <c r="E44" s="677">
        <f>'Administration LASER'!E43+'Other Oper Exp. LASER'!E43</f>
        <v>259801.92764401692</v>
      </c>
      <c r="F44" s="677">
        <f>'Administration LASER'!F43+'Other Oper Exp. LASER'!F43</f>
        <v>453933.51</v>
      </c>
      <c r="G44" s="677">
        <f>'Administration LASER'!J43 + 'Other Oper Exp. LASER'!J43</f>
        <v>51627.96</v>
      </c>
      <c r="H44" s="678">
        <f>'Administration LASER'!I43+'Other Oper Exp. LASER'!I43</f>
        <v>1468095.06</v>
      </c>
      <c r="I44" s="676">
        <f>'Client Services LASER'!D43</f>
        <v>10090.636302620494</v>
      </c>
      <c r="J44" s="677">
        <f>'Client Services LASER'!E43</f>
        <v>8362.5336973795074</v>
      </c>
      <c r="K44" s="677">
        <f>'Client Services LASER'!F43</f>
        <v>3138.39</v>
      </c>
      <c r="L44" s="677">
        <f>'Client Services LASER'!J43</f>
        <v>2.0000000000000004E-2</v>
      </c>
      <c r="M44" s="678">
        <f>'Client Services LASER'!I43</f>
        <v>21591.58</v>
      </c>
      <c r="N44" s="1666">
        <f>'Statewide Benefits'!D44</f>
        <v>15056346.993001154</v>
      </c>
      <c r="O44" s="1667">
        <f>'Statewide Benefits'!E44</f>
        <v>12134829.334379431</v>
      </c>
      <c r="P44" s="1667">
        <f>'Statewide Benefits'!F44</f>
        <v>351677.39</v>
      </c>
      <c r="Q44" s="2078">
        <f>'Statewide Benefits'!G44</f>
        <v>0</v>
      </c>
      <c r="R44" s="1668">
        <f t="shared" si="20"/>
        <v>27542853.717380583</v>
      </c>
      <c r="S44" s="1666">
        <f>'Other Benefits LASER'!D43+'FC &amp; Adoptions LASER'!D43</f>
        <v>87898.700000000012</v>
      </c>
      <c r="T44" s="1667">
        <f>'Other Benefits LASER'!E43 + 'FC &amp; Adoptions LASER'!E43</f>
        <v>102573.90000000001</v>
      </c>
      <c r="U44" s="1667">
        <f>'Other Benefits LASER'!F43+'FC &amp; Adoptions LASER'!F43</f>
        <v>1957.8</v>
      </c>
      <c r="V44" s="2078">
        <f>'FC &amp; Adoptions LASER'!J43+'Other Benefits LASER'!J43</f>
        <v>-0.02</v>
      </c>
      <c r="W44" s="1668">
        <f>'Other Benefits LASER'!I43+'FC &amp; Adoptions LASER'!I43</f>
        <v>192430.38000000003</v>
      </c>
      <c r="X44" s="1666">
        <f t="shared" si="15"/>
        <v>15857067.991659757</v>
      </c>
      <c r="Y44" s="1667">
        <f t="shared" si="16"/>
        <v>12505567.695720827</v>
      </c>
      <c r="Z44" s="1667">
        <f t="shared" si="17"/>
        <v>810707.09000000008</v>
      </c>
      <c r="AA44" s="2078">
        <f t="shared" si="18"/>
        <v>51627.96</v>
      </c>
      <c r="AB44" s="1668">
        <f t="shared" si="19"/>
        <v>29224970.737380583</v>
      </c>
      <c r="AD44" s="523">
        <f t="shared" si="4"/>
        <v>0.47866904637359314</v>
      </c>
      <c r="AE44" s="524">
        <f t="shared" si="5"/>
        <v>0.17696533059924396</v>
      </c>
      <c r="AF44" s="524">
        <f t="shared" si="6"/>
        <v>0.3091989901525859</v>
      </c>
      <c r="AG44" s="524">
        <f t="shared" si="7"/>
        <v>3.5166632874576935E-2</v>
      </c>
      <c r="AH44" s="525">
        <f t="shared" si="8"/>
        <v>0.65563437697283711</v>
      </c>
      <c r="AJ44" s="1069">
        <f t="shared" si="9"/>
        <v>5.0234269631695944E-2</v>
      </c>
      <c r="AK44" s="1047">
        <f t="shared" si="10"/>
        <v>7.3880587234884749E-4</v>
      </c>
      <c r="AL44" s="1071">
        <f t="shared" si="11"/>
        <v>0.94902692449595516</v>
      </c>
      <c r="AN44" s="1069">
        <f t="shared" si="12"/>
        <v>0.55992295565097372</v>
      </c>
      <c r="AO44" s="1047">
        <f t="shared" si="13"/>
        <v>3.8711762098935136E-3</v>
      </c>
      <c r="AP44" s="1071">
        <f t="shared" si="14"/>
        <v>0.4362058681391327</v>
      </c>
    </row>
    <row r="45" spans="1:42" x14ac:dyDescent="0.3">
      <c r="A45" s="630" t="s">
        <v>102</v>
      </c>
      <c r="B45" s="500" t="s">
        <v>270</v>
      </c>
      <c r="C45" s="631" t="s">
        <v>252</v>
      </c>
      <c r="D45" s="676">
        <f>'Administration LASER'!D44+'Other Oper Exp. LASER'!D44</f>
        <v>1216935.079849127</v>
      </c>
      <c r="E45" s="677">
        <f>'Administration LASER'!E44+'Other Oper Exp. LASER'!E44</f>
        <v>567292.31015087338</v>
      </c>
      <c r="F45" s="677">
        <f>'Administration LASER'!F44+'Other Oper Exp. LASER'!F44</f>
        <v>398709.19</v>
      </c>
      <c r="G45" s="677">
        <f>'Administration LASER'!J44 + 'Other Oper Exp. LASER'!J44</f>
        <v>189285.06</v>
      </c>
      <c r="H45" s="678">
        <f>'Administration LASER'!I44+'Other Oper Exp. LASER'!I44</f>
        <v>2372221.64</v>
      </c>
      <c r="I45" s="676">
        <f>'Client Services LASER'!D44</f>
        <v>64786.598962628937</v>
      </c>
      <c r="J45" s="677">
        <f>'Client Services LASER'!E44</f>
        <v>78214.751037371039</v>
      </c>
      <c r="K45" s="677">
        <f>'Client Services LASER'!F44</f>
        <v>27763.760000000002</v>
      </c>
      <c r="L45" s="677">
        <f>'Client Services LASER'!J44</f>
        <v>-0.08</v>
      </c>
      <c r="M45" s="678">
        <f>'Client Services LASER'!I44</f>
        <v>170765.03</v>
      </c>
      <c r="N45" s="1666">
        <f>'Statewide Benefits'!D45</f>
        <v>26206658.177165378</v>
      </c>
      <c r="O45" s="1667">
        <f>'Statewide Benefits'!E45</f>
        <v>20935272.51137441</v>
      </c>
      <c r="P45" s="1667">
        <f>'Statewide Benefits'!F45</f>
        <v>257983.79</v>
      </c>
      <c r="Q45" s="2078">
        <f>'Statewide Benefits'!G45</f>
        <v>0</v>
      </c>
      <c r="R45" s="1668">
        <f t="shared" si="20"/>
        <v>47399914.478539787</v>
      </c>
      <c r="S45" s="1666">
        <f>'Other Benefits LASER'!D44+'FC &amp; Adoptions LASER'!D44</f>
        <v>149124.81999999998</v>
      </c>
      <c r="T45" s="1667">
        <f>'Other Benefits LASER'!E44 + 'FC &amp; Adoptions LASER'!E44</f>
        <v>213366.45999999996</v>
      </c>
      <c r="U45" s="1667">
        <f>'Other Benefits LASER'!F44+'FC &amp; Adoptions LASER'!F44</f>
        <v>11017.8</v>
      </c>
      <c r="V45" s="2078">
        <f>'FC &amp; Adoptions LASER'!J44+'Other Benefits LASER'!J44</f>
        <v>-0.13</v>
      </c>
      <c r="W45" s="1668">
        <f>'Other Benefits LASER'!I44+'FC &amp; Adoptions LASER'!I44</f>
        <v>373508.94999999995</v>
      </c>
      <c r="X45" s="1666">
        <f t="shared" si="15"/>
        <v>27637504.675977133</v>
      </c>
      <c r="Y45" s="1667">
        <f t="shared" si="16"/>
        <v>21794146.032562654</v>
      </c>
      <c r="Z45" s="1667">
        <f t="shared" si="17"/>
        <v>695474.54</v>
      </c>
      <c r="AA45" s="2078">
        <f t="shared" si="18"/>
        <v>189284.85</v>
      </c>
      <c r="AB45" s="1668">
        <f t="shared" si="19"/>
        <v>50316410.098539792</v>
      </c>
      <c r="AD45" s="523">
        <f t="shared" si="4"/>
        <v>0.51299383638078899</v>
      </c>
      <c r="AE45" s="524">
        <f t="shared" si="5"/>
        <v>0.2391396742131032</v>
      </c>
      <c r="AF45" s="524">
        <f t="shared" si="6"/>
        <v>0.16807417286691642</v>
      </c>
      <c r="AG45" s="524">
        <f t="shared" si="7"/>
        <v>7.9792316539191499E-2</v>
      </c>
      <c r="AH45" s="525">
        <f t="shared" si="8"/>
        <v>0.75213351059389222</v>
      </c>
      <c r="AJ45" s="1069">
        <f t="shared" si="9"/>
        <v>4.7146082865495272E-2</v>
      </c>
      <c r="AK45" s="1047">
        <f t="shared" si="10"/>
        <v>3.3938237975557738E-3</v>
      </c>
      <c r="AL45" s="1071">
        <f t="shared" si="11"/>
        <v>0.94946009333694892</v>
      </c>
      <c r="AN45" s="1069">
        <f t="shared" si="12"/>
        <v>0.57329084972686417</v>
      </c>
      <c r="AO45" s="1047">
        <f t="shared" si="13"/>
        <v>3.9920598674970907E-2</v>
      </c>
      <c r="AP45" s="1071">
        <f t="shared" si="14"/>
        <v>0.38678855159816494</v>
      </c>
    </row>
    <row r="46" spans="1:42" x14ac:dyDescent="0.3">
      <c r="A46" s="630" t="s">
        <v>104</v>
      </c>
      <c r="B46" s="500" t="s">
        <v>465</v>
      </c>
      <c r="C46" s="631" t="s">
        <v>253</v>
      </c>
      <c r="D46" s="676">
        <f>'Administration LASER'!D45+'Other Oper Exp. LASER'!D45</f>
        <v>1880925.8855750097</v>
      </c>
      <c r="E46" s="677">
        <f>'Administration LASER'!E45+'Other Oper Exp. LASER'!E45</f>
        <v>861145.54442499008</v>
      </c>
      <c r="F46" s="677">
        <f>'Administration LASER'!F45+'Other Oper Exp. LASER'!F45</f>
        <v>636999.64</v>
      </c>
      <c r="G46" s="677">
        <f>'Administration LASER'!J45 + 'Other Oper Exp. LASER'!J45</f>
        <v>295710.17</v>
      </c>
      <c r="H46" s="678">
        <f>'Administration LASER'!I45+'Other Oper Exp. LASER'!I45</f>
        <v>3674781.24</v>
      </c>
      <c r="I46" s="676">
        <f>'Client Services LASER'!D45</f>
        <v>19697.619708353111</v>
      </c>
      <c r="J46" s="677">
        <f>'Client Services LASER'!E45</f>
        <v>17775.750291646887</v>
      </c>
      <c r="K46" s="677">
        <f>'Client Services LASER'!F45</f>
        <v>7021.5499999999993</v>
      </c>
      <c r="L46" s="677">
        <f>'Client Services LASER'!J45</f>
        <v>-0.05</v>
      </c>
      <c r="M46" s="678">
        <f>'Client Services LASER'!I45</f>
        <v>44494.869999999995</v>
      </c>
      <c r="N46" s="1666">
        <f>'Statewide Benefits'!D46</f>
        <v>48643282.356247231</v>
      </c>
      <c r="O46" s="1667">
        <f>'Statewide Benefits'!E46</f>
        <v>40922125.534323558</v>
      </c>
      <c r="P46" s="1667">
        <f>'Statewide Benefits'!F46</f>
        <v>927339.02</v>
      </c>
      <c r="Q46" s="2078">
        <f>'Statewide Benefits'!G46</f>
        <v>0</v>
      </c>
      <c r="R46" s="1668">
        <f t="shared" si="20"/>
        <v>90492746.910570785</v>
      </c>
      <c r="S46" s="1666">
        <f>'Other Benefits LASER'!D45+'FC &amp; Adoptions LASER'!D45</f>
        <v>382447.02</v>
      </c>
      <c r="T46" s="1667">
        <f>'Other Benefits LASER'!E45 + 'FC &amp; Adoptions LASER'!E45</f>
        <v>541751.22</v>
      </c>
      <c r="U46" s="1667">
        <f>'Other Benefits LASER'!F45+'FC &amp; Adoptions LASER'!F45</f>
        <v>38162</v>
      </c>
      <c r="V46" s="2078">
        <f>'FC &amp; Adoptions LASER'!J45+'Other Benefits LASER'!J45</f>
        <v>-4.9999999999999996E-2</v>
      </c>
      <c r="W46" s="1668">
        <f>'Other Benefits LASER'!I45+'FC &amp; Adoptions LASER'!I45</f>
        <v>962360.19</v>
      </c>
      <c r="X46" s="1666">
        <f t="shared" si="15"/>
        <v>50926352.881530598</v>
      </c>
      <c r="Y46" s="1667">
        <f t="shared" si="16"/>
        <v>42342798.049040191</v>
      </c>
      <c r="Z46" s="1667">
        <f t="shared" si="17"/>
        <v>1609522.21</v>
      </c>
      <c r="AA46" s="2078">
        <f t="shared" si="18"/>
        <v>295710.07</v>
      </c>
      <c r="AB46" s="1668">
        <f t="shared" si="19"/>
        <v>95174383.210570782</v>
      </c>
      <c r="AD46" s="523">
        <f t="shared" si="4"/>
        <v>0.51184703598166015</v>
      </c>
      <c r="AE46" s="524">
        <f t="shared" si="5"/>
        <v>0.23433926761446894</v>
      </c>
      <c r="AF46" s="524">
        <f t="shared" si="6"/>
        <v>0.17334355391451819</v>
      </c>
      <c r="AG46" s="524">
        <f t="shared" si="7"/>
        <v>8.0470142489352636E-2</v>
      </c>
      <c r="AH46" s="525">
        <f t="shared" si="8"/>
        <v>0.74618630359612903</v>
      </c>
      <c r="AJ46" s="1069">
        <f t="shared" si="9"/>
        <v>3.8611032885494459E-2</v>
      </c>
      <c r="AK46" s="1047">
        <f t="shared" si="10"/>
        <v>4.6750888736054409E-4</v>
      </c>
      <c r="AL46" s="1071">
        <f t="shared" si="11"/>
        <v>0.96092145822714503</v>
      </c>
      <c r="AN46" s="1069">
        <f t="shared" si="12"/>
        <v>0.39576940041106984</v>
      </c>
      <c r="AO46" s="1047">
        <f t="shared" si="13"/>
        <v>4.3625058146914289E-3</v>
      </c>
      <c r="AP46" s="1071">
        <f t="shared" si="14"/>
        <v>0.59986809377423878</v>
      </c>
    </row>
    <row r="47" spans="1:42" x14ac:dyDescent="0.3">
      <c r="A47" s="630" t="s">
        <v>108</v>
      </c>
      <c r="B47" s="500" t="s">
        <v>109</v>
      </c>
      <c r="C47" s="631" t="s">
        <v>254</v>
      </c>
      <c r="D47" s="676">
        <f>'Administration LASER'!D46+'Other Oper Exp. LASER'!D46</f>
        <v>2190869.0271074316</v>
      </c>
      <c r="E47" s="677">
        <f>'Administration LASER'!E46+'Other Oper Exp. LASER'!E46</f>
        <v>666025.50289256871</v>
      </c>
      <c r="F47" s="677">
        <f>'Administration LASER'!F46+'Other Oper Exp. LASER'!F46</f>
        <v>1738191.63</v>
      </c>
      <c r="G47" s="677">
        <f>'Administration LASER'!J46 + 'Other Oper Exp. LASER'!J46</f>
        <v>328449.5</v>
      </c>
      <c r="H47" s="678">
        <f>'Administration LASER'!I46+'Other Oper Exp. LASER'!I46</f>
        <v>4923535.66</v>
      </c>
      <c r="I47" s="676">
        <f>'Client Services LASER'!D46</f>
        <v>52248.924039265228</v>
      </c>
      <c r="J47" s="677">
        <f>'Client Services LASER'!E46</f>
        <v>66791.975960734766</v>
      </c>
      <c r="K47" s="677">
        <f>'Client Services LASER'!F46</f>
        <v>22268.97</v>
      </c>
      <c r="L47" s="677">
        <f>'Client Services LASER'!J46</f>
        <v>-0.10999999999999999</v>
      </c>
      <c r="M47" s="678">
        <f>'Client Services LASER'!I46</f>
        <v>141309.76000000001</v>
      </c>
      <c r="N47" s="1666">
        <f>'Statewide Benefits'!D47</f>
        <v>49493276.972350091</v>
      </c>
      <c r="O47" s="1667">
        <f>'Statewide Benefits'!E47</f>
        <v>42936964.558396377</v>
      </c>
      <c r="P47" s="1667">
        <f>'Statewide Benefits'!F47</f>
        <v>2643791.64</v>
      </c>
      <c r="Q47" s="2078">
        <f>'Statewide Benefits'!G47</f>
        <v>0</v>
      </c>
      <c r="R47" s="1668">
        <f t="shared" si="20"/>
        <v>95074033.170746461</v>
      </c>
      <c r="S47" s="1666">
        <f>'Other Benefits LASER'!D46+'FC &amp; Adoptions LASER'!D46</f>
        <v>470231.83999999997</v>
      </c>
      <c r="T47" s="1667">
        <f>'Other Benefits LASER'!E46 + 'FC &amp; Adoptions LASER'!E46</f>
        <v>583823.34</v>
      </c>
      <c r="U47" s="1667">
        <f>'Other Benefits LASER'!F46+'FC &amp; Adoptions LASER'!F46</f>
        <v>14335.8</v>
      </c>
      <c r="V47" s="2078">
        <f>'FC &amp; Adoptions LASER'!J46+'Other Benefits LASER'!J46</f>
        <v>1792</v>
      </c>
      <c r="W47" s="1668">
        <f>'Other Benefits LASER'!I46+'FC &amp; Adoptions LASER'!I46</f>
        <v>1070182.98</v>
      </c>
      <c r="X47" s="1666">
        <f t="shared" si="15"/>
        <v>52206626.763496794</v>
      </c>
      <c r="Y47" s="1667">
        <f t="shared" si="16"/>
        <v>44253605.37724968</v>
      </c>
      <c r="Z47" s="1667">
        <f t="shared" si="17"/>
        <v>4418588.04</v>
      </c>
      <c r="AA47" s="2078">
        <f t="shared" si="18"/>
        <v>330241.39</v>
      </c>
      <c r="AB47" s="1668">
        <f t="shared" si="19"/>
        <v>101209061.57074647</v>
      </c>
      <c r="AD47" s="523">
        <f t="shared" si="4"/>
        <v>0.44497880758873826</v>
      </c>
      <c r="AE47" s="524">
        <f t="shared" si="5"/>
        <v>0.13527382533318927</v>
      </c>
      <c r="AF47" s="524">
        <f t="shared" si="6"/>
        <v>0.35303727849916694</v>
      </c>
      <c r="AG47" s="524">
        <f t="shared" si="7"/>
        <v>6.6710088578905508E-2</v>
      </c>
      <c r="AH47" s="525">
        <f t="shared" si="8"/>
        <v>0.58025263292192752</v>
      </c>
      <c r="AJ47" s="1069">
        <f t="shared" si="9"/>
        <v>4.8647182214592355E-2</v>
      </c>
      <c r="AK47" s="1047">
        <f t="shared" si="10"/>
        <v>1.3962164830589069E-3</v>
      </c>
      <c r="AL47" s="1071">
        <f t="shared" si="11"/>
        <v>0.94995660130234871</v>
      </c>
      <c r="AN47" s="1069">
        <f t="shared" si="12"/>
        <v>0.3933816898667023</v>
      </c>
      <c r="AO47" s="1047">
        <f t="shared" si="13"/>
        <v>5.039838472925392E-3</v>
      </c>
      <c r="AP47" s="1071">
        <f t="shared" si="14"/>
        <v>0.60157847166037226</v>
      </c>
    </row>
    <row r="48" spans="1:42" x14ac:dyDescent="0.3">
      <c r="A48" s="630" t="s">
        <v>110</v>
      </c>
      <c r="B48" s="500" t="s">
        <v>111</v>
      </c>
      <c r="C48" s="631" t="s">
        <v>254</v>
      </c>
      <c r="D48" s="676">
        <f>'Administration LASER'!D47+'Other Oper Exp. LASER'!D47</f>
        <v>8117921.9365859786</v>
      </c>
      <c r="E48" s="677">
        <f>'Administration LASER'!E47+'Other Oper Exp. LASER'!E47</f>
        <v>2993026.5934140217</v>
      </c>
      <c r="F48" s="677">
        <f>'Administration LASER'!F47+'Other Oper Exp. LASER'!F47</f>
        <v>4916080.7799999993</v>
      </c>
      <c r="G48" s="677">
        <f>'Administration LASER'!J47 + 'Other Oper Exp. LASER'!J47</f>
        <v>887263.40000000014</v>
      </c>
      <c r="H48" s="678">
        <f>'Administration LASER'!I47+'Other Oper Exp. LASER'!I47</f>
        <v>16914292.710000001</v>
      </c>
      <c r="I48" s="676">
        <f>'Client Services LASER'!D47</f>
        <v>638912.23054185219</v>
      </c>
      <c r="J48" s="677">
        <f>'Client Services LASER'!E47</f>
        <v>1046708.2394581479</v>
      </c>
      <c r="K48" s="677">
        <f>'Client Services LASER'!F47</f>
        <v>317721.58</v>
      </c>
      <c r="L48" s="677">
        <f>'Client Services LASER'!J47</f>
        <v>-0.37999999999999995</v>
      </c>
      <c r="M48" s="678">
        <f>'Client Services LASER'!I47</f>
        <v>2003341.6700000004</v>
      </c>
      <c r="N48" s="1666">
        <f>'Statewide Benefits'!D48</f>
        <v>266496207.20975515</v>
      </c>
      <c r="O48" s="1667">
        <f>'Statewide Benefits'!E48</f>
        <v>213394686.94190454</v>
      </c>
      <c r="P48" s="1667">
        <f>'Statewide Benefits'!F48</f>
        <v>6818537.5700000003</v>
      </c>
      <c r="Q48" s="2078">
        <f>'Statewide Benefits'!G48</f>
        <v>0</v>
      </c>
      <c r="R48" s="1668">
        <f t="shared" si="20"/>
        <v>486709431.72165972</v>
      </c>
      <c r="S48" s="1666">
        <f>'Other Benefits LASER'!D47+'FC &amp; Adoptions LASER'!D47</f>
        <v>2010314.78</v>
      </c>
      <c r="T48" s="1667">
        <f>'Other Benefits LASER'!E47 + 'FC &amp; Adoptions LASER'!E47</f>
        <v>2211932.25</v>
      </c>
      <c r="U48" s="1667">
        <f>'Other Benefits LASER'!F47+'FC &amp; Adoptions LASER'!F47</f>
        <v>188133.18</v>
      </c>
      <c r="V48" s="2078">
        <f>'FC &amp; Adoptions LASER'!J47+'Other Benefits LASER'!J47</f>
        <v>-0.35</v>
      </c>
      <c r="W48" s="1668">
        <f>'Other Benefits LASER'!I47+'FC &amp; Adoptions LASER'!I47</f>
        <v>4410379.8600000003</v>
      </c>
      <c r="X48" s="1666">
        <f t="shared" si="15"/>
        <v>277263356.15688294</v>
      </c>
      <c r="Y48" s="1667">
        <f t="shared" si="16"/>
        <v>219646354.02477673</v>
      </c>
      <c r="Z48" s="1667">
        <f t="shared" si="17"/>
        <v>12240473.109999999</v>
      </c>
      <c r="AA48" s="2078">
        <f t="shared" si="18"/>
        <v>887262.67000000016</v>
      </c>
      <c r="AB48" s="1668">
        <f t="shared" si="19"/>
        <v>510037445.96165973</v>
      </c>
      <c r="AD48" s="523">
        <f t="shared" si="4"/>
        <v>0.47994451058462134</v>
      </c>
      <c r="AE48" s="524">
        <f t="shared" si="5"/>
        <v>0.17695251257207439</v>
      </c>
      <c r="AF48" s="524">
        <f t="shared" si="6"/>
        <v>0.29064654752566355</v>
      </c>
      <c r="AG48" s="524">
        <f t="shared" si="7"/>
        <v>5.2456429317640683E-2</v>
      </c>
      <c r="AH48" s="525">
        <f t="shared" si="8"/>
        <v>0.65689702315669574</v>
      </c>
      <c r="AJ48" s="1069">
        <f t="shared" si="9"/>
        <v>3.3162844892905122E-2</v>
      </c>
      <c r="AK48" s="1047">
        <f t="shared" si="10"/>
        <v>3.927832526536874E-3</v>
      </c>
      <c r="AL48" s="1071">
        <f t="shared" si="11"/>
        <v>0.96290932258055806</v>
      </c>
      <c r="AN48" s="1069">
        <f t="shared" si="12"/>
        <v>0.40162506267700954</v>
      </c>
      <c r="AO48" s="1047">
        <f t="shared" si="13"/>
        <v>2.5956642128516554E-2</v>
      </c>
      <c r="AP48" s="1071">
        <f t="shared" si="14"/>
        <v>0.57241829519447396</v>
      </c>
    </row>
    <row r="49" spans="1:42" x14ac:dyDescent="0.3">
      <c r="A49" s="630" t="s">
        <v>112</v>
      </c>
      <c r="B49" s="500" t="s">
        <v>288</v>
      </c>
      <c r="C49" s="631" t="s">
        <v>253</v>
      </c>
      <c r="D49" s="676">
        <f>'Administration LASER'!D48+'Other Oper Exp. LASER'!D48</f>
        <v>3100866.915652914</v>
      </c>
      <c r="E49" s="677">
        <f>'Administration LASER'!E48+'Other Oper Exp. LASER'!E48</f>
        <v>1534991.8043470867</v>
      </c>
      <c r="F49" s="677">
        <f>'Administration LASER'!F48+'Other Oper Exp. LASER'!F48</f>
        <v>823579.55</v>
      </c>
      <c r="G49" s="677">
        <f>'Administration LASER'!J48 + 'Other Oper Exp. LASER'!J48</f>
        <v>109597.5</v>
      </c>
      <c r="H49" s="678">
        <f>'Administration LASER'!I48+'Other Oper Exp. LASER'!I48</f>
        <v>5569035.7700000005</v>
      </c>
      <c r="I49" s="676">
        <f>'Client Services LASER'!D48</f>
        <v>77051.310916495204</v>
      </c>
      <c r="J49" s="677">
        <f>'Client Services LASER'!E48</f>
        <v>102196.02908350481</v>
      </c>
      <c r="K49" s="677">
        <f>'Client Services LASER'!F48</f>
        <v>32921.11</v>
      </c>
      <c r="L49" s="677">
        <f>'Client Services LASER'!J48</f>
        <v>-0.41</v>
      </c>
      <c r="M49" s="678">
        <f>'Client Services LASER'!I48</f>
        <v>212168.04</v>
      </c>
      <c r="N49" s="1666">
        <f>'Statewide Benefits'!D49</f>
        <v>108235834.21947889</v>
      </c>
      <c r="O49" s="1667">
        <f>'Statewide Benefits'!E49</f>
        <v>86733536.987667978</v>
      </c>
      <c r="P49" s="1667">
        <f>'Statewide Benefits'!F49</f>
        <v>705934.6</v>
      </c>
      <c r="Q49" s="2078">
        <f>'Statewide Benefits'!G49</f>
        <v>0</v>
      </c>
      <c r="R49" s="1668">
        <f t="shared" si="20"/>
        <v>195675305.80714688</v>
      </c>
      <c r="S49" s="1666">
        <f>'Other Benefits LASER'!D48+'FC &amp; Adoptions LASER'!D48</f>
        <v>568681.87</v>
      </c>
      <c r="T49" s="1667">
        <f>'Other Benefits LASER'!E48 + 'FC &amp; Adoptions LASER'!E48</f>
        <v>830208.85</v>
      </c>
      <c r="U49" s="1667">
        <f>'Other Benefits LASER'!F48+'FC &amp; Adoptions LASER'!F48</f>
        <v>49200.6</v>
      </c>
      <c r="V49" s="2078">
        <f>'FC &amp; Adoptions LASER'!J48+'Other Benefits LASER'!J48</f>
        <v>-0.22</v>
      </c>
      <c r="W49" s="1668">
        <f>'Other Benefits LASER'!I48+'FC &amp; Adoptions LASER'!I48</f>
        <v>1448091.1</v>
      </c>
      <c r="X49" s="1666">
        <f t="shared" si="15"/>
        <v>111982434.31604831</v>
      </c>
      <c r="Y49" s="1667">
        <f t="shared" si="16"/>
        <v>89200933.67109856</v>
      </c>
      <c r="Z49" s="1667">
        <f t="shared" si="17"/>
        <v>1611635.86</v>
      </c>
      <c r="AA49" s="2078">
        <f t="shared" si="18"/>
        <v>109596.87</v>
      </c>
      <c r="AB49" s="1668">
        <f t="shared" si="19"/>
        <v>202904600.71714687</v>
      </c>
      <c r="AD49" s="523">
        <f t="shared" si="4"/>
        <v>0.5568049916930079</v>
      </c>
      <c r="AE49" s="524">
        <f t="shared" si="5"/>
        <v>0.27562972617557574</v>
      </c>
      <c r="AF49" s="524">
        <f t="shared" si="6"/>
        <v>0.14788548395335588</v>
      </c>
      <c r="AG49" s="524">
        <f t="shared" si="7"/>
        <v>1.9679798178060544E-2</v>
      </c>
      <c r="AH49" s="525">
        <f t="shared" si="8"/>
        <v>0.83243471786858358</v>
      </c>
      <c r="AJ49" s="1069">
        <f t="shared" si="9"/>
        <v>2.7446572183759153E-2</v>
      </c>
      <c r="AK49" s="1047">
        <f t="shared" si="10"/>
        <v>1.0456541608722149E-3</v>
      </c>
      <c r="AL49" s="1071">
        <f t="shared" si="11"/>
        <v>0.97150777365536867</v>
      </c>
      <c r="AN49" s="1069">
        <f t="shared" si="12"/>
        <v>0.51102086422921866</v>
      </c>
      <c r="AO49" s="1047">
        <f t="shared" si="13"/>
        <v>2.0427139167777018E-2</v>
      </c>
      <c r="AP49" s="1071">
        <f t="shared" si="14"/>
        <v>0.46855199660300428</v>
      </c>
    </row>
    <row r="50" spans="1:42" x14ac:dyDescent="0.3">
      <c r="A50" s="630" t="s">
        <v>114</v>
      </c>
      <c r="B50" s="500" t="s">
        <v>115</v>
      </c>
      <c r="C50" s="631" t="s">
        <v>253</v>
      </c>
      <c r="D50" s="676">
        <f>'Administration LASER'!D49+'Other Oper Exp. LASER'!D49</f>
        <v>210216.12674689153</v>
      </c>
      <c r="E50" s="677">
        <f>'Administration LASER'!E49+'Other Oper Exp. LASER'!E49</f>
        <v>86711.103253108464</v>
      </c>
      <c r="F50" s="677">
        <f>'Administration LASER'!F49+'Other Oper Exp. LASER'!F49</f>
        <v>101771.97</v>
      </c>
      <c r="G50" s="677">
        <f>'Administration LASER'!J49 + 'Other Oper Exp. LASER'!J49</f>
        <v>34962.33</v>
      </c>
      <c r="H50" s="678">
        <f>'Administration LASER'!I49+'Other Oper Exp. LASER'!I49</f>
        <v>433661.52999999997</v>
      </c>
      <c r="I50" s="676">
        <f>'Client Services LASER'!D49</f>
        <v>20268.330000000002</v>
      </c>
      <c r="J50" s="677">
        <f>'Client Services LASER'!E49</f>
        <v>1716.99</v>
      </c>
      <c r="K50" s="677">
        <f>'Client Services LASER'!F49</f>
        <v>4310.54</v>
      </c>
      <c r="L50" s="677">
        <f>'Client Services LASER'!J49</f>
        <v>-0.04</v>
      </c>
      <c r="M50" s="678">
        <f>'Client Services LASER'!I49</f>
        <v>26295.820000000003</v>
      </c>
      <c r="N50" s="1666">
        <f>'Statewide Benefits'!D50</f>
        <v>1299499.8663665706</v>
      </c>
      <c r="O50" s="1667">
        <f>'Statewide Benefits'!E50</f>
        <v>1150011.7045469182</v>
      </c>
      <c r="P50" s="1667">
        <f>'Statewide Benefits'!F50</f>
        <v>35102.980000000003</v>
      </c>
      <c r="Q50" s="2078">
        <f>'Statewide Benefits'!G50</f>
        <v>0</v>
      </c>
      <c r="R50" s="1668">
        <f t="shared" si="20"/>
        <v>2484614.550913489</v>
      </c>
      <c r="S50" s="1666">
        <f>'Other Benefits LASER'!D49+'FC &amp; Adoptions LASER'!D49</f>
        <v>48787.69</v>
      </c>
      <c r="T50" s="1667">
        <f>'Other Benefits LASER'!E49 + 'FC &amp; Adoptions LASER'!E49</f>
        <v>48787.69</v>
      </c>
      <c r="U50" s="1667">
        <f>'Other Benefits LASER'!F49+'FC &amp; Adoptions LASER'!F49</f>
        <v>0</v>
      </c>
      <c r="V50" s="2078">
        <f>'FC &amp; Adoptions LASER'!J49+'Other Benefits LASER'!J49</f>
        <v>-0.02</v>
      </c>
      <c r="W50" s="1668">
        <f>'Other Benefits LASER'!I49+'FC &amp; Adoptions LASER'!I49</f>
        <v>97575.360000000001</v>
      </c>
      <c r="X50" s="1666">
        <f t="shared" si="15"/>
        <v>1578772.0131134621</v>
      </c>
      <c r="Y50" s="1667">
        <f t="shared" si="16"/>
        <v>1287227.4878000265</v>
      </c>
      <c r="Z50" s="1667">
        <f t="shared" si="17"/>
        <v>141185.49</v>
      </c>
      <c r="AA50" s="2078">
        <f t="shared" si="18"/>
        <v>34962.270000000004</v>
      </c>
      <c r="AB50" s="1668">
        <f t="shared" si="19"/>
        <v>3042147.2609134889</v>
      </c>
      <c r="AD50" s="523">
        <f t="shared" si="4"/>
        <v>0.48474700245348384</v>
      </c>
      <c r="AE50" s="524">
        <f t="shared" si="5"/>
        <v>0.19995110761406129</v>
      </c>
      <c r="AF50" s="524">
        <f t="shared" si="6"/>
        <v>0.23468065059863624</v>
      </c>
      <c r="AG50" s="524">
        <f t="shared" si="7"/>
        <v>8.062123933381872E-2</v>
      </c>
      <c r="AH50" s="525">
        <f t="shared" si="8"/>
        <v>0.68469811006754511</v>
      </c>
      <c r="AJ50" s="1069">
        <f t="shared" si="9"/>
        <v>0.14255113010860004</v>
      </c>
      <c r="AK50" s="1047">
        <f t="shared" si="10"/>
        <v>8.6438353388928173E-3</v>
      </c>
      <c r="AL50" s="1071">
        <f t="shared" si="11"/>
        <v>0.84880503455250711</v>
      </c>
      <c r="AN50" s="1069">
        <f t="shared" si="12"/>
        <v>0.72083873491532313</v>
      </c>
      <c r="AO50" s="1047">
        <f t="shared" si="13"/>
        <v>3.053104111477745E-2</v>
      </c>
      <c r="AP50" s="1071">
        <f t="shared" si="14"/>
        <v>0.24863022396989951</v>
      </c>
    </row>
    <row r="51" spans="1:42" x14ac:dyDescent="0.3">
      <c r="A51" s="630" t="s">
        <v>118</v>
      </c>
      <c r="B51" s="500" t="s">
        <v>119</v>
      </c>
      <c r="C51" s="631" t="s">
        <v>252</v>
      </c>
      <c r="D51" s="676">
        <f>'Administration LASER'!D50+'Other Oper Exp. LASER'!D50</f>
        <v>1451206.5384910414</v>
      </c>
      <c r="E51" s="677">
        <f>'Administration LASER'!E50+'Other Oper Exp. LASER'!E50</f>
        <v>571962.29150895867</v>
      </c>
      <c r="F51" s="677">
        <f>'Administration LASER'!F50+'Other Oper Exp. LASER'!F50</f>
        <v>788518.68</v>
      </c>
      <c r="G51" s="677">
        <f>'Administration LASER'!J50 + 'Other Oper Exp. LASER'!J50</f>
        <v>144937.79</v>
      </c>
      <c r="H51" s="678">
        <f>'Administration LASER'!I50+'Other Oper Exp. LASER'!I50</f>
        <v>2956625.3000000003</v>
      </c>
      <c r="I51" s="676">
        <f>'Client Services LASER'!D50</f>
        <v>47726.451966597568</v>
      </c>
      <c r="J51" s="677">
        <f>'Client Services LASER'!E50</f>
        <v>11217.418033402426</v>
      </c>
      <c r="K51" s="677">
        <f>'Client Services LASER'!F50</f>
        <v>12836.73</v>
      </c>
      <c r="L51" s="677">
        <f>'Client Services LASER'!J50</f>
        <v>26351.95</v>
      </c>
      <c r="M51" s="678">
        <f>'Client Services LASER'!I50</f>
        <v>98132.549999999988</v>
      </c>
      <c r="N51" s="1666">
        <f>'Statewide Benefits'!D51</f>
        <v>26102329.366142929</v>
      </c>
      <c r="O51" s="1667">
        <f>'Statewide Benefits'!E51</f>
        <v>21002324.847891215</v>
      </c>
      <c r="P51" s="1667">
        <f>'Statewide Benefits'!F51</f>
        <v>136205.60999999999</v>
      </c>
      <c r="Q51" s="2078">
        <f>'Statewide Benefits'!G51</f>
        <v>0</v>
      </c>
      <c r="R51" s="1668">
        <f t="shared" si="20"/>
        <v>47240859.82403414</v>
      </c>
      <c r="S51" s="1666">
        <f>'Other Benefits LASER'!D50+'FC &amp; Adoptions LASER'!D50</f>
        <v>186694.19</v>
      </c>
      <c r="T51" s="1667">
        <f>'Other Benefits LASER'!E50 + 'FC &amp; Adoptions LASER'!E50</f>
        <v>318900.28000000003</v>
      </c>
      <c r="U51" s="1667">
        <f>'Other Benefits LASER'!F50+'FC &amp; Adoptions LASER'!F50</f>
        <v>16777.45</v>
      </c>
      <c r="V51" s="2078">
        <f>'FC &amp; Adoptions LASER'!J50+'Other Benefits LASER'!J50</f>
        <v>-0.11</v>
      </c>
      <c r="W51" s="1668">
        <f>'Other Benefits LASER'!I50+'FC &amp; Adoptions LASER'!I50</f>
        <v>522371.81</v>
      </c>
      <c r="X51" s="1666">
        <f t="shared" si="15"/>
        <v>27787956.546600569</v>
      </c>
      <c r="Y51" s="1667">
        <f t="shared" si="16"/>
        <v>21904404.837433577</v>
      </c>
      <c r="Z51" s="1667">
        <f t="shared" si="17"/>
        <v>954338.47</v>
      </c>
      <c r="AA51" s="2078">
        <f t="shared" si="18"/>
        <v>171289.63000000003</v>
      </c>
      <c r="AB51" s="1668">
        <f t="shared" si="19"/>
        <v>50817989.484034143</v>
      </c>
      <c r="AD51" s="523">
        <f t="shared" si="4"/>
        <v>0.49083207753483044</v>
      </c>
      <c r="AE51" s="524">
        <f t="shared" si="5"/>
        <v>0.19345105770046633</v>
      </c>
      <c r="AF51" s="524">
        <f t="shared" si="6"/>
        <v>0.26669550585256779</v>
      </c>
      <c r="AG51" s="524">
        <f t="shared" si="7"/>
        <v>4.9021358912135396E-2</v>
      </c>
      <c r="AH51" s="525">
        <f t="shared" si="8"/>
        <v>0.68428313523529682</v>
      </c>
      <c r="AJ51" s="1069">
        <f t="shared" si="9"/>
        <v>5.8180682274510384E-2</v>
      </c>
      <c r="AK51" s="1047">
        <f t="shared" si="10"/>
        <v>1.9310592763775317E-3</v>
      </c>
      <c r="AL51" s="1071">
        <f t="shared" si="11"/>
        <v>0.93988825844911206</v>
      </c>
      <c r="AN51" s="1069">
        <f t="shared" si="12"/>
        <v>0.82624635261743151</v>
      </c>
      <c r="AO51" s="1047">
        <f t="shared" si="13"/>
        <v>1.3450919567352242E-2</v>
      </c>
      <c r="AP51" s="1071">
        <f t="shared" si="14"/>
        <v>0.16030272781521634</v>
      </c>
    </row>
    <row r="52" spans="1:42" x14ac:dyDescent="0.3">
      <c r="A52" s="630" t="s">
        <v>120</v>
      </c>
      <c r="B52" s="500" t="s">
        <v>121</v>
      </c>
      <c r="C52" s="631" t="s">
        <v>252</v>
      </c>
      <c r="D52" s="676">
        <f>'Administration LASER'!D51+'Other Oper Exp. LASER'!D51</f>
        <v>1950078.1322520133</v>
      </c>
      <c r="E52" s="677">
        <f>'Administration LASER'!E51+'Other Oper Exp. LASER'!E51</f>
        <v>650914.08774798678</v>
      </c>
      <c r="F52" s="677">
        <f>'Administration LASER'!F51+'Other Oper Exp. LASER'!F51</f>
        <v>1354351.21</v>
      </c>
      <c r="G52" s="677">
        <f>'Administration LASER'!J51 + 'Other Oper Exp. LASER'!J51</f>
        <v>657358.16</v>
      </c>
      <c r="H52" s="678">
        <f>'Administration LASER'!I51+'Other Oper Exp. LASER'!I51</f>
        <v>4612701.59</v>
      </c>
      <c r="I52" s="676">
        <f>'Client Services LASER'!D51</f>
        <v>72171.903236012411</v>
      </c>
      <c r="J52" s="677">
        <f>'Client Services LASER'!E51</f>
        <v>69843.926763987591</v>
      </c>
      <c r="K52" s="677">
        <f>'Client Services LASER'!F51</f>
        <v>32384.38</v>
      </c>
      <c r="L52" s="677">
        <f>'Client Services LASER'!J51</f>
        <v>-0.2</v>
      </c>
      <c r="M52" s="678">
        <f>'Client Services LASER'!I51</f>
        <v>174400.01</v>
      </c>
      <c r="N52" s="1666">
        <f>'Statewide Benefits'!D52</f>
        <v>28611083.548423801</v>
      </c>
      <c r="O52" s="1667">
        <f>'Statewide Benefits'!E52</f>
        <v>21667231.967209231</v>
      </c>
      <c r="P52" s="1667">
        <f>'Statewide Benefits'!F52</f>
        <v>694963.43</v>
      </c>
      <c r="Q52" s="2078">
        <f>'Statewide Benefits'!G52</f>
        <v>0</v>
      </c>
      <c r="R52" s="1668">
        <f t="shared" si="20"/>
        <v>50973278.945633031</v>
      </c>
      <c r="S52" s="1666">
        <f>'Other Benefits LASER'!D51+'FC &amp; Adoptions LASER'!D51</f>
        <v>312761.82</v>
      </c>
      <c r="T52" s="1667">
        <f>'Other Benefits LASER'!E51 + 'FC &amp; Adoptions LASER'!E51</f>
        <v>435822.78</v>
      </c>
      <c r="U52" s="1667">
        <f>'Other Benefits LASER'!F51+'FC &amp; Adoptions LASER'!F51</f>
        <v>23625.3</v>
      </c>
      <c r="V52" s="2078">
        <f>'FC &amp; Adoptions LASER'!J51+'Other Benefits LASER'!J51</f>
        <v>-0.08</v>
      </c>
      <c r="W52" s="1668">
        <f>'Other Benefits LASER'!I51+'FC &amp; Adoptions LASER'!I51</f>
        <v>772209.82000000007</v>
      </c>
      <c r="X52" s="1666">
        <f t="shared" si="15"/>
        <v>30946095.403911825</v>
      </c>
      <c r="Y52" s="1667">
        <f t="shared" si="16"/>
        <v>22823812.761721205</v>
      </c>
      <c r="Z52" s="1667">
        <f t="shared" si="17"/>
        <v>2105324.3199999998</v>
      </c>
      <c r="AA52" s="2078">
        <f t="shared" si="18"/>
        <v>657357.88000000012</v>
      </c>
      <c r="AB52" s="1668">
        <f t="shared" si="19"/>
        <v>56532590.365633033</v>
      </c>
      <c r="AD52" s="523">
        <f t="shared" si="4"/>
        <v>0.42276268997752647</v>
      </c>
      <c r="AE52" s="524">
        <f t="shared" si="5"/>
        <v>0.14111341803664929</v>
      </c>
      <c r="AF52" s="524">
        <f t="shared" si="6"/>
        <v>0.29361344617135748</v>
      </c>
      <c r="AG52" s="524">
        <f t="shared" si="7"/>
        <v>0.14251044581446684</v>
      </c>
      <c r="AH52" s="525">
        <f t="shared" si="8"/>
        <v>0.56387610801417576</v>
      </c>
      <c r="AJ52" s="1069">
        <f t="shared" si="9"/>
        <v>8.1593671193318021E-2</v>
      </c>
      <c r="AK52" s="1047">
        <f t="shared" si="10"/>
        <v>3.0849463799914652E-3</v>
      </c>
      <c r="AL52" s="1071">
        <f t="shared" si="11"/>
        <v>0.91532138242669048</v>
      </c>
      <c r="AN52" s="1069">
        <f t="shared" si="12"/>
        <v>0.64329813565256311</v>
      </c>
      <c r="AO52" s="1047">
        <f t="shared" si="13"/>
        <v>1.5382133618254124E-2</v>
      </c>
      <c r="AP52" s="1071">
        <f t="shared" si="14"/>
        <v>0.34131973072918292</v>
      </c>
    </row>
    <row r="53" spans="1:42" x14ac:dyDescent="0.3">
      <c r="A53" s="630" t="s">
        <v>122</v>
      </c>
      <c r="B53" s="500" t="s">
        <v>259</v>
      </c>
      <c r="C53" s="631" t="s">
        <v>254</v>
      </c>
      <c r="D53" s="676">
        <f>'Administration LASER'!D52+'Other Oper Exp. LASER'!D52</f>
        <v>540831.22198257502</v>
      </c>
      <c r="E53" s="677">
        <f>'Administration LASER'!E52+'Other Oper Exp. LASER'!E52</f>
        <v>225922.51801742506</v>
      </c>
      <c r="F53" s="677">
        <f>'Administration LASER'!F52+'Other Oper Exp. LASER'!F52</f>
        <v>251564.37</v>
      </c>
      <c r="G53" s="677">
        <f>'Administration LASER'!J52 + 'Other Oper Exp. LASER'!J52</f>
        <v>64605.49</v>
      </c>
      <c r="H53" s="678">
        <f>'Administration LASER'!I52+'Other Oper Exp. LASER'!I52</f>
        <v>1082923.6000000001</v>
      </c>
      <c r="I53" s="676">
        <f>'Client Services LASER'!D52</f>
        <v>13005.538081730214</v>
      </c>
      <c r="J53" s="677">
        <f>'Client Services LASER'!E52</f>
        <v>2490.1319182697848</v>
      </c>
      <c r="K53" s="677">
        <f>'Client Services LASER'!F52</f>
        <v>2842.12</v>
      </c>
      <c r="L53" s="677">
        <f>'Client Services LASER'!J52</f>
        <v>492.23</v>
      </c>
      <c r="M53" s="678">
        <f>'Client Services LASER'!I52</f>
        <v>18830.019999999997</v>
      </c>
      <c r="N53" s="1666">
        <f>'Statewide Benefits'!D53</f>
        <v>7317740.3449575994</v>
      </c>
      <c r="O53" s="1667">
        <f>'Statewide Benefits'!E53</f>
        <v>5806722.7494163001</v>
      </c>
      <c r="P53" s="1667">
        <f>'Statewide Benefits'!F53</f>
        <v>139110.85999999999</v>
      </c>
      <c r="Q53" s="2078">
        <f>'Statewide Benefits'!G53</f>
        <v>0</v>
      </c>
      <c r="R53" s="1668">
        <f t="shared" si="20"/>
        <v>13263573.9543739</v>
      </c>
      <c r="S53" s="1666">
        <f>'Other Benefits LASER'!D52+'FC &amp; Adoptions LASER'!D52</f>
        <v>87463.1</v>
      </c>
      <c r="T53" s="1667">
        <f>'Other Benefits LASER'!E52 + 'FC &amp; Adoptions LASER'!E52</f>
        <v>122582.29000000001</v>
      </c>
      <c r="U53" s="1667">
        <f>'Other Benefits LASER'!F52+'FC &amp; Adoptions LASER'!F52</f>
        <v>1099.4000000000001</v>
      </c>
      <c r="V53" s="2078">
        <f>'FC &amp; Adoptions LASER'!J52+'Other Benefits LASER'!J52</f>
        <v>0</v>
      </c>
      <c r="W53" s="1668">
        <f>'Other Benefits LASER'!I52+'FC &amp; Adoptions LASER'!I52</f>
        <v>211144.79</v>
      </c>
      <c r="X53" s="1666">
        <f t="shared" si="15"/>
        <v>7959040.2050219048</v>
      </c>
      <c r="Y53" s="1667">
        <f t="shared" si="16"/>
        <v>6157717.6893519945</v>
      </c>
      <c r="Z53" s="1667">
        <f t="shared" si="17"/>
        <v>394616.75</v>
      </c>
      <c r="AA53" s="2078">
        <f t="shared" si="18"/>
        <v>65097.72</v>
      </c>
      <c r="AB53" s="1668">
        <f t="shared" si="19"/>
        <v>14576472.3643739</v>
      </c>
      <c r="AD53" s="523">
        <f t="shared" si="4"/>
        <v>0.49941770775202882</v>
      </c>
      <c r="AE53" s="524">
        <f t="shared" si="5"/>
        <v>0.2086227671254233</v>
      </c>
      <c r="AF53" s="524">
        <f t="shared" si="6"/>
        <v>0.23230112447452431</v>
      </c>
      <c r="AG53" s="524">
        <f t="shared" si="7"/>
        <v>5.9658400648023545E-2</v>
      </c>
      <c r="AH53" s="525">
        <f t="shared" si="8"/>
        <v>0.70804047487745214</v>
      </c>
      <c r="AJ53" s="1069">
        <f t="shared" si="9"/>
        <v>7.4292570447068842E-2</v>
      </c>
      <c r="AK53" s="1047">
        <f t="shared" si="10"/>
        <v>1.2918091242722154E-3</v>
      </c>
      <c r="AL53" s="1071">
        <f t="shared" si="11"/>
        <v>0.92441562042865888</v>
      </c>
      <c r="AN53" s="1069">
        <f t="shared" si="12"/>
        <v>0.63749034981409181</v>
      </c>
      <c r="AO53" s="1047">
        <f t="shared" si="13"/>
        <v>7.2022284913146736E-3</v>
      </c>
      <c r="AP53" s="1071">
        <f t="shared" si="14"/>
        <v>0.35530742169459351</v>
      </c>
    </row>
    <row r="54" spans="1:42" x14ac:dyDescent="0.3">
      <c r="A54" s="630" t="s">
        <v>124</v>
      </c>
      <c r="B54" s="500" t="s">
        <v>125</v>
      </c>
      <c r="C54" s="631" t="s">
        <v>255</v>
      </c>
      <c r="D54" s="676">
        <f>'Administration LASER'!D53+'Other Oper Exp. LASER'!D53</f>
        <v>794482.65417833615</v>
      </c>
      <c r="E54" s="677">
        <f>'Administration LASER'!E53+'Other Oper Exp. LASER'!E53</f>
        <v>283820.0258216639</v>
      </c>
      <c r="F54" s="677">
        <f>'Administration LASER'!F53+'Other Oper Exp. LASER'!F53</f>
        <v>547390.71</v>
      </c>
      <c r="G54" s="677">
        <f>'Administration LASER'!J53 + 'Other Oper Exp. LASER'!J53</f>
        <v>139890.27000000002</v>
      </c>
      <c r="H54" s="678">
        <f>'Administration LASER'!I53+'Other Oper Exp. LASER'!I53</f>
        <v>1765583.66</v>
      </c>
      <c r="I54" s="676">
        <f>'Client Services LASER'!D53</f>
        <v>25140.259241022308</v>
      </c>
      <c r="J54" s="677">
        <f>'Client Services LASER'!E53</f>
        <v>6111.5707589776875</v>
      </c>
      <c r="K54" s="677">
        <f>'Client Services LASER'!F53</f>
        <v>6037.03</v>
      </c>
      <c r="L54" s="677">
        <f>'Client Services LASER'!J53</f>
        <v>-0.04</v>
      </c>
      <c r="M54" s="678">
        <f>'Client Services LASER'!I53</f>
        <v>37288.819999999992</v>
      </c>
      <c r="N54" s="1666">
        <f>'Statewide Benefits'!D54</f>
        <v>15877152.14454457</v>
      </c>
      <c r="O54" s="1667">
        <f>'Statewide Benefits'!E54</f>
        <v>13455996.881194539</v>
      </c>
      <c r="P54" s="1667">
        <f>'Statewide Benefits'!F54</f>
        <v>946235.92</v>
      </c>
      <c r="Q54" s="2078">
        <f>'Statewide Benefits'!G54</f>
        <v>0</v>
      </c>
      <c r="R54" s="1668">
        <f t="shared" si="20"/>
        <v>30279384.945739113</v>
      </c>
      <c r="S54" s="1666">
        <f>'Other Benefits LASER'!D53+'FC &amp; Adoptions LASER'!D53</f>
        <v>199512.38</v>
      </c>
      <c r="T54" s="1667">
        <f>'Other Benefits LASER'!E53 + 'FC &amp; Adoptions LASER'!E53</f>
        <v>247821.28</v>
      </c>
      <c r="U54" s="1667">
        <f>'Other Benefits LASER'!F53+'FC &amp; Adoptions LASER'!F53</f>
        <v>1543.6</v>
      </c>
      <c r="V54" s="2078">
        <f>'FC &amp; Adoptions LASER'!J53+'Other Benefits LASER'!J53</f>
        <v>8063.99</v>
      </c>
      <c r="W54" s="1668">
        <f>'Other Benefits LASER'!I53+'FC &amp; Adoptions LASER'!I53</f>
        <v>456941.25</v>
      </c>
      <c r="X54" s="1666">
        <f t="shared" si="15"/>
        <v>16896287.437963929</v>
      </c>
      <c r="Y54" s="1667">
        <f t="shared" si="16"/>
        <v>13993749.75777518</v>
      </c>
      <c r="Z54" s="1667">
        <f t="shared" si="17"/>
        <v>1501207.2600000002</v>
      </c>
      <c r="AA54" s="2078">
        <f t="shared" si="18"/>
        <v>147954.22</v>
      </c>
      <c r="AB54" s="1668">
        <f t="shared" si="19"/>
        <v>32539198.675739113</v>
      </c>
      <c r="AD54" s="523">
        <f t="shared" si="4"/>
        <v>0.44998301251742223</v>
      </c>
      <c r="AE54" s="524">
        <f t="shared" si="5"/>
        <v>0.16075138904585462</v>
      </c>
      <c r="AF54" s="524">
        <f t="shared" si="6"/>
        <v>0.31003385588650045</v>
      </c>
      <c r="AG54" s="524">
        <f t="shared" si="7"/>
        <v>7.923174255022275E-2</v>
      </c>
      <c r="AH54" s="525">
        <f t="shared" si="8"/>
        <v>0.61073440156327696</v>
      </c>
      <c r="AJ54" s="1069">
        <f t="shared" si="9"/>
        <v>5.4260207130312668E-2</v>
      </c>
      <c r="AK54" s="1047">
        <f t="shared" si="10"/>
        <v>1.1459661429155644E-3</v>
      </c>
      <c r="AL54" s="1071">
        <f t="shared" si="11"/>
        <v>0.94459382672677172</v>
      </c>
      <c r="AN54" s="1069">
        <f t="shared" si="12"/>
        <v>0.36463366823845489</v>
      </c>
      <c r="AO54" s="1047">
        <f t="shared" si="13"/>
        <v>4.0214500428142072E-3</v>
      </c>
      <c r="AP54" s="1071">
        <f t="shared" si="14"/>
        <v>0.63134488171873071</v>
      </c>
    </row>
    <row r="55" spans="1:42" x14ac:dyDescent="0.3">
      <c r="A55" s="630" t="s">
        <v>126</v>
      </c>
      <c r="B55" s="500" t="s">
        <v>127</v>
      </c>
      <c r="C55" s="631" t="s">
        <v>254</v>
      </c>
      <c r="D55" s="676">
        <f>'Administration LASER'!D54+'Other Oper Exp. LASER'!D54</f>
        <v>523771.14612375828</v>
      </c>
      <c r="E55" s="677">
        <f>'Administration LASER'!E54+'Other Oper Exp. LASER'!E54</f>
        <v>216184.06387624179</v>
      </c>
      <c r="F55" s="677">
        <f>'Administration LASER'!F54+'Other Oper Exp. LASER'!F54</f>
        <v>265217.2</v>
      </c>
      <c r="G55" s="677">
        <f>'Administration LASER'!J54 + 'Other Oper Exp. LASER'!J54</f>
        <v>50180.82</v>
      </c>
      <c r="H55" s="678">
        <f>'Administration LASER'!I54+'Other Oper Exp. LASER'!I54</f>
        <v>1055353.23</v>
      </c>
      <c r="I55" s="676">
        <f>'Client Services LASER'!D54</f>
        <v>19852.000118829157</v>
      </c>
      <c r="J55" s="677">
        <f>'Client Services LASER'!E54</f>
        <v>6700.1398811708432</v>
      </c>
      <c r="K55" s="677">
        <f>'Client Services LASER'!F54</f>
        <v>4745.29</v>
      </c>
      <c r="L55" s="677">
        <f>'Client Services LASER'!J54</f>
        <v>-5.000000000000001E-2</v>
      </c>
      <c r="M55" s="678">
        <f>'Client Services LASER'!I54</f>
        <v>31297.38</v>
      </c>
      <c r="N55" s="1666">
        <f>'Statewide Benefits'!D55</f>
        <v>10920110.524459139</v>
      </c>
      <c r="O55" s="1667">
        <f>'Statewide Benefits'!E55</f>
        <v>9033070.0941612441</v>
      </c>
      <c r="P55" s="1667">
        <f>'Statewide Benefits'!F55</f>
        <v>435593.2</v>
      </c>
      <c r="Q55" s="2078">
        <f>'Statewide Benefits'!G55</f>
        <v>0</v>
      </c>
      <c r="R55" s="1668">
        <f t="shared" si="20"/>
        <v>20388773.81862038</v>
      </c>
      <c r="S55" s="1666">
        <f>'Other Benefits LASER'!D54+'FC &amp; Adoptions LASER'!D54</f>
        <v>50982.53</v>
      </c>
      <c r="T55" s="1667">
        <f>'Other Benefits LASER'!E54 + 'FC &amp; Adoptions LASER'!E54</f>
        <v>106896.94</v>
      </c>
      <c r="U55" s="1667">
        <f>'Other Benefits LASER'!F54+'FC &amp; Adoptions LASER'!F54</f>
        <v>9429.56</v>
      </c>
      <c r="V55" s="2078">
        <f>'FC &amp; Adoptions LASER'!J54+'Other Benefits LASER'!J54</f>
        <v>-0.18</v>
      </c>
      <c r="W55" s="1668">
        <f>'Other Benefits LASER'!I54+'FC &amp; Adoptions LASER'!I54</f>
        <v>167308.85</v>
      </c>
      <c r="X55" s="1666">
        <f t="shared" si="15"/>
        <v>11514716.200701725</v>
      </c>
      <c r="Y55" s="1667">
        <f t="shared" si="16"/>
        <v>9362851.2379186563</v>
      </c>
      <c r="Z55" s="1667">
        <f t="shared" si="17"/>
        <v>714985.25</v>
      </c>
      <c r="AA55" s="2078">
        <f t="shared" si="18"/>
        <v>50180.59</v>
      </c>
      <c r="AB55" s="1668">
        <f t="shared" si="19"/>
        <v>21642733.278620381</v>
      </c>
      <c r="AD55" s="523">
        <f t="shared" si="4"/>
        <v>0.4962993727927078</v>
      </c>
      <c r="AE55" s="524">
        <f t="shared" si="5"/>
        <v>0.2048452193359391</v>
      </c>
      <c r="AF55" s="524">
        <f t="shared" si="6"/>
        <v>0.2513065696496708</v>
      </c>
      <c r="AG55" s="524">
        <f t="shared" si="7"/>
        <v>4.7548838221682425E-2</v>
      </c>
      <c r="AH55" s="525">
        <f t="shared" si="8"/>
        <v>0.70114459212864688</v>
      </c>
      <c r="AJ55" s="1069">
        <f t="shared" si="9"/>
        <v>4.8762474518064827E-2</v>
      </c>
      <c r="AK55" s="1047">
        <f t="shared" si="10"/>
        <v>1.4460918404847179E-3</v>
      </c>
      <c r="AL55" s="1071">
        <f t="shared" si="11"/>
        <v>0.94979143364145047</v>
      </c>
      <c r="AN55" s="1069">
        <f t="shared" si="12"/>
        <v>0.37094079912837363</v>
      </c>
      <c r="AO55" s="1047">
        <f t="shared" si="13"/>
        <v>6.6369061459659482E-3</v>
      </c>
      <c r="AP55" s="1071">
        <f t="shared" si="14"/>
        <v>0.62242229472566046</v>
      </c>
    </row>
    <row r="56" spans="1:42" x14ac:dyDescent="0.3">
      <c r="A56" s="630" t="s">
        <v>128</v>
      </c>
      <c r="B56" s="500" t="s">
        <v>129</v>
      </c>
      <c r="C56" s="631" t="s">
        <v>254</v>
      </c>
      <c r="D56" s="676">
        <f>'Administration LASER'!D55+'Other Oper Exp. LASER'!D55</f>
        <v>761566.65995687176</v>
      </c>
      <c r="E56" s="677">
        <f>'Administration LASER'!E55+'Other Oper Exp. LASER'!E55</f>
        <v>327142.42004312814</v>
      </c>
      <c r="F56" s="677">
        <f>'Administration LASER'!F55+'Other Oper Exp. LASER'!F55</f>
        <v>343439.10000000003</v>
      </c>
      <c r="G56" s="677">
        <f>'Administration LASER'!J55 + 'Other Oper Exp. LASER'!J55</f>
        <v>137098.21999999997</v>
      </c>
      <c r="H56" s="678">
        <f>'Administration LASER'!I55+'Other Oper Exp. LASER'!I55</f>
        <v>1569246.4</v>
      </c>
      <c r="I56" s="676">
        <f>'Client Services LASER'!D55</f>
        <v>21287.585840159081</v>
      </c>
      <c r="J56" s="677">
        <f>'Client Services LASER'!E55</f>
        <v>3534.9241598409162</v>
      </c>
      <c r="K56" s="677">
        <f>'Client Services LASER'!F55</f>
        <v>4885.41</v>
      </c>
      <c r="L56" s="677">
        <f>'Client Services LASER'!J55</f>
        <v>3000.0099999999998</v>
      </c>
      <c r="M56" s="678">
        <f>'Client Services LASER'!I55</f>
        <v>32707.929999999997</v>
      </c>
      <c r="N56" s="1666">
        <f>'Statewide Benefits'!D56</f>
        <v>11030616.842920329</v>
      </c>
      <c r="O56" s="1667">
        <f>'Statewide Benefits'!E56</f>
        <v>8766365.8702514954</v>
      </c>
      <c r="P56" s="1667">
        <f>'Statewide Benefits'!F56</f>
        <v>371086.46</v>
      </c>
      <c r="Q56" s="2078">
        <f>'Statewide Benefits'!G56</f>
        <v>0</v>
      </c>
      <c r="R56" s="1668">
        <f t="shared" si="20"/>
        <v>20168069.173171826</v>
      </c>
      <c r="S56" s="1666">
        <f>'Other Benefits LASER'!D55+'FC &amp; Adoptions LASER'!D55</f>
        <v>64604.729999999996</v>
      </c>
      <c r="T56" s="1667">
        <f>'Other Benefits LASER'!E55 + 'FC &amp; Adoptions LASER'!E55</f>
        <v>120465.53</v>
      </c>
      <c r="U56" s="1667">
        <f>'Other Benefits LASER'!F55+'FC &amp; Adoptions LASER'!F55</f>
        <v>8822.2000000000007</v>
      </c>
      <c r="V56" s="2078">
        <f>'FC &amp; Adoptions LASER'!J55+'Other Benefits LASER'!J55</f>
        <v>2015.96</v>
      </c>
      <c r="W56" s="1668">
        <f>'Other Benefits LASER'!I55+'FC &amp; Adoptions LASER'!I55</f>
        <v>195908.41999999998</v>
      </c>
      <c r="X56" s="1666">
        <f t="shared" si="15"/>
        <v>11878075.81871736</v>
      </c>
      <c r="Y56" s="1667">
        <f t="shared" si="16"/>
        <v>9217508.7444544639</v>
      </c>
      <c r="Z56" s="1667">
        <f t="shared" si="17"/>
        <v>728233.16999999993</v>
      </c>
      <c r="AA56" s="2078">
        <f t="shared" si="18"/>
        <v>142114.18999999997</v>
      </c>
      <c r="AB56" s="1668">
        <f t="shared" si="19"/>
        <v>21965931.923171826</v>
      </c>
      <c r="AD56" s="523">
        <f t="shared" si="4"/>
        <v>0.48530725318654344</v>
      </c>
      <c r="AE56" s="524">
        <f t="shared" si="5"/>
        <v>0.20847103427678926</v>
      </c>
      <c r="AF56" s="524">
        <f t="shared" si="6"/>
        <v>0.21885607002189081</v>
      </c>
      <c r="AG56" s="524">
        <f t="shared" si="7"/>
        <v>8.7365642514776506E-2</v>
      </c>
      <c r="AH56" s="525">
        <f t="shared" si="8"/>
        <v>0.6937782874633327</v>
      </c>
      <c r="AJ56" s="1069">
        <f t="shared" si="9"/>
        <v>7.144001017068638E-2</v>
      </c>
      <c r="AK56" s="1047">
        <f t="shared" si="10"/>
        <v>1.4890299266336364E-3</v>
      </c>
      <c r="AL56" s="1071">
        <f t="shared" si="11"/>
        <v>0.92707095990268007</v>
      </c>
      <c r="AN56" s="1069">
        <f t="shared" si="12"/>
        <v>0.47160595554855056</v>
      </c>
      <c r="AO56" s="1047">
        <f t="shared" si="13"/>
        <v>6.7085793414216497E-3</v>
      </c>
      <c r="AP56" s="1071">
        <f t="shared" si="14"/>
        <v>0.521685465110028</v>
      </c>
    </row>
    <row r="57" spans="1:42" x14ac:dyDescent="0.3">
      <c r="A57" s="630" t="s">
        <v>130</v>
      </c>
      <c r="B57" s="500" t="s">
        <v>131</v>
      </c>
      <c r="C57" s="631" t="s">
        <v>256</v>
      </c>
      <c r="D57" s="676">
        <f>'Administration LASER'!D56+'Other Oper Exp. LASER'!D56</f>
        <v>1948733.0296950382</v>
      </c>
      <c r="E57" s="677">
        <f>'Administration LASER'!E56+'Other Oper Exp. LASER'!E56</f>
        <v>938019.5203049616</v>
      </c>
      <c r="F57" s="677">
        <f>'Administration LASER'!F56+'Other Oper Exp. LASER'!F56</f>
        <v>585443.43000000005</v>
      </c>
      <c r="G57" s="677">
        <f>'Administration LASER'!J56 + 'Other Oper Exp. LASER'!J56</f>
        <v>101252.89</v>
      </c>
      <c r="H57" s="678">
        <f>'Administration LASER'!I56+'Other Oper Exp. LASER'!I56</f>
        <v>3573448.8699999996</v>
      </c>
      <c r="I57" s="676">
        <f>'Client Services LASER'!D56</f>
        <v>118559.01639064931</v>
      </c>
      <c r="J57" s="677">
        <f>'Client Services LASER'!E56</f>
        <v>86429.393609350693</v>
      </c>
      <c r="K57" s="677">
        <f>'Client Services LASER'!F56</f>
        <v>40965.430000000008</v>
      </c>
      <c r="L57" s="677">
        <f>'Client Services LASER'!J56</f>
        <v>-0.22</v>
      </c>
      <c r="M57" s="678">
        <f>'Client Services LASER'!I56</f>
        <v>245953.62000000002</v>
      </c>
      <c r="N57" s="1666">
        <f>'Statewide Benefits'!D57</f>
        <v>40840156.361915156</v>
      </c>
      <c r="O57" s="1667">
        <f>'Statewide Benefits'!E57</f>
        <v>32281521.849096637</v>
      </c>
      <c r="P57" s="1667">
        <f>'Statewide Benefits'!F57</f>
        <v>339486.95</v>
      </c>
      <c r="Q57" s="2078">
        <f>'Statewide Benefits'!G57</f>
        <v>0</v>
      </c>
      <c r="R57" s="1668">
        <f t="shared" si="20"/>
        <v>73461165.1610118</v>
      </c>
      <c r="S57" s="1666">
        <f>'Other Benefits LASER'!D56+'FC &amp; Adoptions LASER'!D56</f>
        <v>1033576.2100000001</v>
      </c>
      <c r="T57" s="1667">
        <f>'Other Benefits LASER'!E56 + 'FC &amp; Adoptions LASER'!E56</f>
        <v>1603634.92</v>
      </c>
      <c r="U57" s="1667">
        <f>'Other Benefits LASER'!F56+'FC &amp; Adoptions LASER'!F56</f>
        <v>103140.2</v>
      </c>
      <c r="V57" s="2078">
        <f>'FC &amp; Adoptions LASER'!J56+'Other Benefits LASER'!J56</f>
        <v>40890.300000000003</v>
      </c>
      <c r="W57" s="1668">
        <f>'Other Benefits LASER'!I56+'FC &amp; Adoptions LASER'!I56</f>
        <v>2781241.6299999994</v>
      </c>
      <c r="X57" s="1666">
        <f t="shared" si="15"/>
        <v>43941024.618000843</v>
      </c>
      <c r="Y57" s="1667">
        <f t="shared" si="16"/>
        <v>34909605.683010951</v>
      </c>
      <c r="Z57" s="1667">
        <f t="shared" si="17"/>
        <v>1069036.01</v>
      </c>
      <c r="AA57" s="2078">
        <f t="shared" si="18"/>
        <v>142142.97</v>
      </c>
      <c r="AB57" s="1668">
        <f t="shared" si="19"/>
        <v>80061809.28101179</v>
      </c>
      <c r="AD57" s="523">
        <f t="shared" si="4"/>
        <v>0.5453367602528586</v>
      </c>
      <c r="AE57" s="524">
        <f t="shared" si="5"/>
        <v>0.26249697545132683</v>
      </c>
      <c r="AF57" s="524">
        <f t="shared" si="6"/>
        <v>0.16383148361655447</v>
      </c>
      <c r="AG57" s="524">
        <f t="shared" si="7"/>
        <v>2.8334780679260149E-2</v>
      </c>
      <c r="AH57" s="525">
        <f t="shared" si="8"/>
        <v>0.80783373570418548</v>
      </c>
      <c r="AJ57" s="1069">
        <f t="shared" si="9"/>
        <v>4.463362622067938E-2</v>
      </c>
      <c r="AK57" s="1047">
        <f t="shared" si="10"/>
        <v>3.0720467374990073E-3</v>
      </c>
      <c r="AL57" s="1071">
        <f t="shared" si="11"/>
        <v>0.95229432704182171</v>
      </c>
      <c r="AN57" s="1069">
        <f t="shared" si="12"/>
        <v>0.54763677231041086</v>
      </c>
      <c r="AO57" s="1047">
        <f t="shared" si="13"/>
        <v>3.8319972027883335E-2</v>
      </c>
      <c r="AP57" s="1071">
        <f t="shared" si="14"/>
        <v>0.41404325566170591</v>
      </c>
    </row>
    <row r="58" spans="1:42" x14ac:dyDescent="0.3">
      <c r="A58" s="630" t="s">
        <v>132</v>
      </c>
      <c r="B58" s="500" t="s">
        <v>133</v>
      </c>
      <c r="C58" s="631" t="s">
        <v>255</v>
      </c>
      <c r="D58" s="676">
        <f>'Administration LASER'!D57+'Other Oper Exp. LASER'!D57</f>
        <v>6020533.4466969315</v>
      </c>
      <c r="E58" s="677">
        <f>'Administration LASER'!E57+'Other Oper Exp. LASER'!E57</f>
        <v>1117969.0233030675</v>
      </c>
      <c r="F58" s="677">
        <f>'Administration LASER'!F57+'Other Oper Exp. LASER'!F57</f>
        <v>6894150.3799999999</v>
      </c>
      <c r="G58" s="677">
        <f>'Administration LASER'!J57 + 'Other Oper Exp. LASER'!J57</f>
        <v>1087911.42</v>
      </c>
      <c r="H58" s="678">
        <f>'Administration LASER'!I57+'Other Oper Exp. LASER'!I57</f>
        <v>15120564.27</v>
      </c>
      <c r="I58" s="676">
        <f>'Client Services LASER'!D57</f>
        <v>335247.66099538386</v>
      </c>
      <c r="J58" s="677">
        <f>'Client Services LASER'!E57</f>
        <v>208060.70900461604</v>
      </c>
      <c r="K58" s="677">
        <f>'Client Services LASER'!F57</f>
        <v>121593.16</v>
      </c>
      <c r="L58" s="677">
        <f>'Client Services LASER'!J57</f>
        <v>866294.8</v>
      </c>
      <c r="M58" s="678">
        <f>'Client Services LASER'!I57</f>
        <v>1531196.33</v>
      </c>
      <c r="N58" s="1666">
        <f>'Statewide Benefits'!D58</f>
        <v>114395134.42136849</v>
      </c>
      <c r="O58" s="1667">
        <f>'Statewide Benefits'!E58</f>
        <v>93549390.124189198</v>
      </c>
      <c r="P58" s="1667">
        <f>'Statewide Benefits'!F58</f>
        <v>3217445.06</v>
      </c>
      <c r="Q58" s="2078">
        <f>'Statewide Benefits'!G58</f>
        <v>0</v>
      </c>
      <c r="R58" s="1668">
        <f t="shared" si="20"/>
        <v>211161969.60555768</v>
      </c>
      <c r="S58" s="1666">
        <f>'Other Benefits LASER'!D57+'FC &amp; Adoptions LASER'!D57</f>
        <v>729086.92999999993</v>
      </c>
      <c r="T58" s="1667">
        <f>'Other Benefits LASER'!E57 + 'FC &amp; Adoptions LASER'!E57</f>
        <v>957302.90999999992</v>
      </c>
      <c r="U58" s="1667">
        <f>'Other Benefits LASER'!F57+'FC &amp; Adoptions LASER'!F57</f>
        <v>29337.53</v>
      </c>
      <c r="V58" s="2078">
        <f>'FC &amp; Adoptions LASER'!J57+'Other Benefits LASER'!J57</f>
        <v>-0.24</v>
      </c>
      <c r="W58" s="1668">
        <f>'Other Benefits LASER'!I57+'FC &amp; Adoptions LASER'!I57</f>
        <v>1715727.13</v>
      </c>
      <c r="X58" s="1666">
        <f t="shared" si="15"/>
        <v>121480002.45906082</v>
      </c>
      <c r="Y58" s="1667">
        <f t="shared" si="16"/>
        <v>95832722.766496882</v>
      </c>
      <c r="Z58" s="1667">
        <f t="shared" si="17"/>
        <v>10262526.129999999</v>
      </c>
      <c r="AA58" s="2078">
        <f t="shared" si="18"/>
        <v>1954205.98</v>
      </c>
      <c r="AB58" s="1668">
        <f t="shared" si="19"/>
        <v>229529457.33555767</v>
      </c>
      <c r="AD58" s="523">
        <f t="shared" si="4"/>
        <v>0.39816856958453523</v>
      </c>
      <c r="AE58" s="524">
        <f t="shared" si="5"/>
        <v>7.3936990931031413E-2</v>
      </c>
      <c r="AF58" s="524">
        <f t="shared" si="6"/>
        <v>0.45594531109386965</v>
      </c>
      <c r="AG58" s="524">
        <f t="shared" si="7"/>
        <v>7.1949128390563694E-2</v>
      </c>
      <c r="AH58" s="525">
        <f t="shared" si="8"/>
        <v>0.47210556051556657</v>
      </c>
      <c r="AJ58" s="1069">
        <f t="shared" si="9"/>
        <v>6.5876356113606288E-2</v>
      </c>
      <c r="AK58" s="1047">
        <f t="shared" si="10"/>
        <v>6.6710231783517317E-3</v>
      </c>
      <c r="AL58" s="1071">
        <f t="shared" si="11"/>
        <v>0.92745262070804202</v>
      </c>
      <c r="AN58" s="1069">
        <f t="shared" si="12"/>
        <v>0.67177908174544165</v>
      </c>
      <c r="AO58" s="1047">
        <f t="shared" si="13"/>
        <v>1.1848268005335644E-2</v>
      </c>
      <c r="AP58" s="1071">
        <f t="shared" si="14"/>
        <v>0.31637265024922284</v>
      </c>
    </row>
    <row r="59" spans="1:42" x14ac:dyDescent="0.3">
      <c r="A59" s="630" t="s">
        <v>134</v>
      </c>
      <c r="B59" s="500" t="s">
        <v>135</v>
      </c>
      <c r="C59" s="631" t="s">
        <v>255</v>
      </c>
      <c r="D59" s="676">
        <f>'Administration LASER'!D58+'Other Oper Exp. LASER'!D58</f>
        <v>1313048.7837294366</v>
      </c>
      <c r="E59" s="677">
        <f>'Administration LASER'!E58+'Other Oper Exp. LASER'!E58</f>
        <v>504835.06627056317</v>
      </c>
      <c r="F59" s="677">
        <f>'Administration LASER'!F58+'Other Oper Exp. LASER'!F58</f>
        <v>768149.91999999993</v>
      </c>
      <c r="G59" s="677">
        <f>'Administration LASER'!J58 + 'Other Oper Exp. LASER'!J58</f>
        <v>125103.47</v>
      </c>
      <c r="H59" s="678">
        <f>'Administration LASER'!I58+'Other Oper Exp. LASER'!I58</f>
        <v>2711137.24</v>
      </c>
      <c r="I59" s="676">
        <f>'Client Services LASER'!D58</f>
        <v>38929.118318442241</v>
      </c>
      <c r="J59" s="677">
        <f>'Client Services LASER'!E58</f>
        <v>39795.541681557748</v>
      </c>
      <c r="K59" s="677">
        <f>'Client Services LASER'!F58</f>
        <v>15959.810000000001</v>
      </c>
      <c r="L59" s="677">
        <f>'Client Services LASER'!J58</f>
        <v>-6.0000000000000005E-2</v>
      </c>
      <c r="M59" s="678">
        <f>'Client Services LASER'!I58</f>
        <v>94684.409999999989</v>
      </c>
      <c r="N59" s="1666">
        <f>'Statewide Benefits'!D59</f>
        <v>30014500.393608976</v>
      </c>
      <c r="O59" s="1667">
        <f>'Statewide Benefits'!E59</f>
        <v>25489355.333225578</v>
      </c>
      <c r="P59" s="1667">
        <f>'Statewide Benefits'!F59</f>
        <v>1424491.43</v>
      </c>
      <c r="Q59" s="2078">
        <f>'Statewide Benefits'!G59</f>
        <v>0</v>
      </c>
      <c r="R59" s="1668">
        <f t="shared" si="20"/>
        <v>56928347.15683455</v>
      </c>
      <c r="S59" s="1666">
        <f>'Other Benefits LASER'!D58+'FC &amp; Adoptions LASER'!D58</f>
        <v>631227.02</v>
      </c>
      <c r="T59" s="1667">
        <f>'Other Benefits LASER'!E58 + 'FC &amp; Adoptions LASER'!E58</f>
        <v>1272666.9100000001</v>
      </c>
      <c r="U59" s="1667">
        <f>'Other Benefits LASER'!F58+'FC &amp; Adoptions LASER'!F58</f>
        <v>7568.4</v>
      </c>
      <c r="V59" s="2078">
        <f>'FC &amp; Adoptions LASER'!J58+'Other Benefits LASER'!J58</f>
        <v>3739.54</v>
      </c>
      <c r="W59" s="1668">
        <f>'Other Benefits LASER'!I58+'FC &amp; Adoptions LASER'!I58</f>
        <v>1915201.87</v>
      </c>
      <c r="X59" s="1666">
        <f t="shared" si="15"/>
        <v>31997705.315656856</v>
      </c>
      <c r="Y59" s="1667">
        <f t="shared" si="16"/>
        <v>27306652.8511777</v>
      </c>
      <c r="Z59" s="1667">
        <f t="shared" si="17"/>
        <v>2216169.56</v>
      </c>
      <c r="AA59" s="2078">
        <f t="shared" si="18"/>
        <v>128842.95</v>
      </c>
      <c r="AB59" s="1668">
        <f t="shared" si="19"/>
        <v>61649370.676834546</v>
      </c>
      <c r="AD59" s="523">
        <f t="shared" si="4"/>
        <v>0.48431660498656148</v>
      </c>
      <c r="AE59" s="524">
        <f t="shared" si="5"/>
        <v>0.18620786097518366</v>
      </c>
      <c r="AF59" s="524">
        <f t="shared" si="6"/>
        <v>0.28333125622220434</v>
      </c>
      <c r="AG59" s="524">
        <f t="shared" si="7"/>
        <v>4.6144277816050357E-2</v>
      </c>
      <c r="AH59" s="525">
        <f t="shared" si="8"/>
        <v>0.67052446596174509</v>
      </c>
      <c r="AJ59" s="1069">
        <f t="shared" si="9"/>
        <v>4.3976722069260975E-2</v>
      </c>
      <c r="AK59" s="1047">
        <f t="shared" si="10"/>
        <v>1.5358536341974166E-3</v>
      </c>
      <c r="AL59" s="1071">
        <f t="shared" si="11"/>
        <v>0.95448742429654165</v>
      </c>
      <c r="AN59" s="1069">
        <f t="shared" si="12"/>
        <v>0.34661152912866466</v>
      </c>
      <c r="AO59" s="1047">
        <f t="shared" si="13"/>
        <v>7.2015292909266386E-3</v>
      </c>
      <c r="AP59" s="1071">
        <f t="shared" si="14"/>
        <v>0.64618694158040857</v>
      </c>
    </row>
    <row r="60" spans="1:42" x14ac:dyDescent="0.3">
      <c r="A60" s="630" t="s">
        <v>136</v>
      </c>
      <c r="B60" s="500" t="s">
        <v>137</v>
      </c>
      <c r="C60" s="631" t="s">
        <v>254</v>
      </c>
      <c r="D60" s="676">
        <f>'Administration LASER'!D59+'Other Oper Exp. LASER'!D59</f>
        <v>410785.08118552173</v>
      </c>
      <c r="E60" s="677">
        <f>'Administration LASER'!E59+'Other Oper Exp. LASER'!E59</f>
        <v>196570.52881447828</v>
      </c>
      <c r="F60" s="677">
        <f>'Administration LASER'!F59+'Other Oper Exp. LASER'!F59</f>
        <v>122044.67</v>
      </c>
      <c r="G60" s="677">
        <f>'Administration LASER'!J59 + 'Other Oper Exp. LASER'!J59</f>
        <v>40402.889999999992</v>
      </c>
      <c r="H60" s="678">
        <f>'Administration LASER'!I59+'Other Oper Exp. LASER'!I59</f>
        <v>769803.17</v>
      </c>
      <c r="I60" s="676">
        <f>'Client Services LASER'!D59</f>
        <v>3842.0232166998185</v>
      </c>
      <c r="J60" s="677">
        <f>'Client Services LASER'!E59</f>
        <v>6126.8067833001824</v>
      </c>
      <c r="K60" s="677">
        <f>'Client Services LASER'!F59</f>
        <v>1683.2699999999998</v>
      </c>
      <c r="L60" s="677">
        <f>'Client Services LASER'!J59</f>
        <v>-0.02</v>
      </c>
      <c r="M60" s="678">
        <f>'Client Services LASER'!I59</f>
        <v>11652.080000000002</v>
      </c>
      <c r="N60" s="1666">
        <f>'Statewide Benefits'!D60</f>
        <v>16841498.329901174</v>
      </c>
      <c r="O60" s="1667">
        <f>'Statewide Benefits'!E60</f>
        <v>14223554.935680112</v>
      </c>
      <c r="P60" s="1667">
        <f>'Statewide Benefits'!F60</f>
        <v>211942.79</v>
      </c>
      <c r="Q60" s="2078">
        <f>'Statewide Benefits'!G60</f>
        <v>0</v>
      </c>
      <c r="R60" s="1668">
        <f t="shared" si="20"/>
        <v>31276996.055581287</v>
      </c>
      <c r="S60" s="1666">
        <f>'Other Benefits LASER'!D59+'FC &amp; Adoptions LASER'!D59</f>
        <v>109823.66</v>
      </c>
      <c r="T60" s="1667">
        <f>'Other Benefits LASER'!E59 + 'FC &amp; Adoptions LASER'!E59</f>
        <v>184198.06</v>
      </c>
      <c r="U60" s="1667">
        <f>'Other Benefits LASER'!F59+'FC &amp; Adoptions LASER'!F59</f>
        <v>18593.599999999999</v>
      </c>
      <c r="V60" s="2078">
        <f>'FC &amp; Adoptions LASER'!J59+'Other Benefits LASER'!J59</f>
        <v>-0.01</v>
      </c>
      <c r="W60" s="1668">
        <f>'Other Benefits LASER'!I59+'FC &amp; Adoptions LASER'!I59</f>
        <v>312615.31</v>
      </c>
      <c r="X60" s="1666">
        <f t="shared" si="15"/>
        <v>17365949.094303396</v>
      </c>
      <c r="Y60" s="1667">
        <f t="shared" si="16"/>
        <v>14610450.33127789</v>
      </c>
      <c r="Z60" s="1667">
        <f t="shared" si="17"/>
        <v>354264.32999999996</v>
      </c>
      <c r="AA60" s="2078">
        <f t="shared" si="18"/>
        <v>40402.859999999993</v>
      </c>
      <c r="AB60" s="1668">
        <f t="shared" si="19"/>
        <v>32371066.615581285</v>
      </c>
      <c r="AD60" s="523">
        <f t="shared" si="4"/>
        <v>0.5336235250700796</v>
      </c>
      <c r="AE60" s="524">
        <f t="shared" si="5"/>
        <v>0.25535167491513222</v>
      </c>
      <c r="AF60" s="524">
        <f t="shared" si="6"/>
        <v>0.15854009798374821</v>
      </c>
      <c r="AG60" s="524">
        <f t="shared" si="7"/>
        <v>5.248470203103995E-2</v>
      </c>
      <c r="AH60" s="525">
        <f t="shared" si="8"/>
        <v>0.78897519998521171</v>
      </c>
      <c r="AJ60" s="1069">
        <f t="shared" si="9"/>
        <v>2.378059330394346E-2</v>
      </c>
      <c r="AK60" s="1047">
        <f t="shared" si="10"/>
        <v>3.5995353932488167E-4</v>
      </c>
      <c r="AL60" s="1071">
        <f t="shared" si="11"/>
        <v>0.97585945315673162</v>
      </c>
      <c r="AN60" s="1069">
        <f t="shared" si="12"/>
        <v>0.34450171712178873</v>
      </c>
      <c r="AO60" s="1047">
        <f t="shared" si="13"/>
        <v>4.7514521148657556E-3</v>
      </c>
      <c r="AP60" s="1071">
        <f t="shared" si="14"/>
        <v>0.65074683076334572</v>
      </c>
    </row>
    <row r="61" spans="1:42" x14ac:dyDescent="0.3">
      <c r="A61" s="630" t="s">
        <v>140</v>
      </c>
      <c r="B61" s="500" t="s">
        <v>141</v>
      </c>
      <c r="C61" s="631" t="s">
        <v>255</v>
      </c>
      <c r="D61" s="676">
        <f>'Administration LASER'!D60+'Other Oper Exp. LASER'!D60</f>
        <v>640449.67033365287</v>
      </c>
      <c r="E61" s="677">
        <f>'Administration LASER'!E60+'Other Oper Exp. LASER'!E60</f>
        <v>238022.83966634696</v>
      </c>
      <c r="F61" s="677">
        <f>'Administration LASER'!F60+'Other Oper Exp. LASER'!F60</f>
        <v>415566.57</v>
      </c>
      <c r="G61" s="677">
        <f>'Administration LASER'!J60 + 'Other Oper Exp. LASER'!J60</f>
        <v>45125.820000000007</v>
      </c>
      <c r="H61" s="678">
        <f>'Administration LASER'!I60+'Other Oper Exp. LASER'!I60</f>
        <v>1339164.8999999999</v>
      </c>
      <c r="I61" s="676">
        <f>'Client Services LASER'!D60</f>
        <v>32464.930567281062</v>
      </c>
      <c r="J61" s="677">
        <f>'Client Services LASER'!E60</f>
        <v>9892.42943271894</v>
      </c>
      <c r="K61" s="677">
        <f>'Client Services LASER'!F60</f>
        <v>4519.99</v>
      </c>
      <c r="L61" s="677">
        <f>'Client Services LASER'!J60</f>
        <v>4.9999999999999996E-2</v>
      </c>
      <c r="M61" s="678">
        <f>'Client Services LASER'!I60</f>
        <v>46877.4</v>
      </c>
      <c r="N61" s="1666">
        <f>'Statewide Benefits'!D61</f>
        <v>9580048.3994603232</v>
      </c>
      <c r="O61" s="1667">
        <f>'Statewide Benefits'!E61</f>
        <v>9032526.7606094293</v>
      </c>
      <c r="P61" s="1667">
        <f>'Statewide Benefits'!F61</f>
        <v>683190.72</v>
      </c>
      <c r="Q61" s="2078">
        <f>'Statewide Benefits'!G61</f>
        <v>0</v>
      </c>
      <c r="R61" s="1668">
        <f t="shared" si="20"/>
        <v>19295765.880069751</v>
      </c>
      <c r="S61" s="1666">
        <f>'Other Benefits LASER'!D60+'FC &amp; Adoptions LASER'!D60</f>
        <v>384649.67000000004</v>
      </c>
      <c r="T61" s="1667">
        <f>'Other Benefits LASER'!E60 + 'FC &amp; Adoptions LASER'!E60</f>
        <v>549605.95000000007</v>
      </c>
      <c r="U61" s="1667">
        <f>'Other Benefits LASER'!F60+'FC &amp; Adoptions LASER'!F60</f>
        <v>3487.2</v>
      </c>
      <c r="V61" s="2078">
        <f>'FC &amp; Adoptions LASER'!J60+'Other Benefits LASER'!J60</f>
        <v>499.78</v>
      </c>
      <c r="W61" s="1668">
        <f>'Other Benefits LASER'!I60+'FC &amp; Adoptions LASER'!I60</f>
        <v>938242.60000000009</v>
      </c>
      <c r="X61" s="1666">
        <f t="shared" si="15"/>
        <v>10637612.670361256</v>
      </c>
      <c r="Y61" s="1667">
        <f t="shared" si="16"/>
        <v>9830047.9797084946</v>
      </c>
      <c r="Z61" s="1667">
        <f t="shared" si="17"/>
        <v>1106764.48</v>
      </c>
      <c r="AA61" s="2078">
        <f t="shared" si="18"/>
        <v>45625.650000000009</v>
      </c>
      <c r="AB61" s="1668">
        <f t="shared" si="19"/>
        <v>21620050.780069754</v>
      </c>
      <c r="AD61" s="523">
        <f t="shared" si="4"/>
        <v>0.4782455620914593</v>
      </c>
      <c r="AE61" s="524">
        <f t="shared" si="5"/>
        <v>0.17773975383191942</v>
      </c>
      <c r="AF61" s="524">
        <f t="shared" si="6"/>
        <v>0.31031769873896786</v>
      </c>
      <c r="AG61" s="524">
        <f t="shared" si="7"/>
        <v>3.3696985337653348E-2</v>
      </c>
      <c r="AH61" s="525">
        <f t="shared" si="8"/>
        <v>0.65598531592337872</v>
      </c>
      <c r="AJ61" s="1069">
        <f t="shared" si="9"/>
        <v>6.1940876717759462E-2</v>
      </c>
      <c r="AK61" s="1047">
        <f t="shared" si="10"/>
        <v>2.1682372755208097E-3</v>
      </c>
      <c r="AL61" s="1071">
        <f t="shared" si="11"/>
        <v>0.93589088600671966</v>
      </c>
      <c r="AN61" s="1069">
        <f t="shared" si="12"/>
        <v>0.37547877394836526</v>
      </c>
      <c r="AO61" s="1047">
        <f t="shared" si="13"/>
        <v>4.0839673495846199E-3</v>
      </c>
      <c r="AP61" s="1071">
        <f t="shared" si="14"/>
        <v>0.62043725870205013</v>
      </c>
    </row>
    <row r="62" spans="1:42" x14ac:dyDescent="0.3">
      <c r="A62" s="630" t="s">
        <v>146</v>
      </c>
      <c r="B62" s="500" t="s">
        <v>147</v>
      </c>
      <c r="C62" s="631" t="s">
        <v>252</v>
      </c>
      <c r="D62" s="676">
        <f>'Administration LASER'!D61+'Other Oper Exp. LASER'!D61</f>
        <v>529601.50144124485</v>
      </c>
      <c r="E62" s="677">
        <f>'Administration LASER'!E61+'Other Oper Exp. LASER'!E61</f>
        <v>199409.18855875518</v>
      </c>
      <c r="F62" s="677">
        <f>'Administration LASER'!F61+'Other Oper Exp. LASER'!F61</f>
        <v>314412.18</v>
      </c>
      <c r="G62" s="677">
        <f>'Administration LASER'!J61 + 'Other Oper Exp. LASER'!J61</f>
        <v>70232.229999999981</v>
      </c>
      <c r="H62" s="678">
        <f>'Administration LASER'!I61+'Other Oper Exp. LASER'!I61</f>
        <v>1113655.1000000001</v>
      </c>
      <c r="I62" s="676">
        <f>'Client Services LASER'!D61</f>
        <v>32766.859293221318</v>
      </c>
      <c r="J62" s="677">
        <f>'Client Services LASER'!E61</f>
        <v>5251.9807067786824</v>
      </c>
      <c r="K62" s="677">
        <f>'Client Services LASER'!F61</f>
        <v>8557.89</v>
      </c>
      <c r="L62" s="677">
        <f>'Client Services LASER'!J61</f>
        <v>1165.2199999999998</v>
      </c>
      <c r="M62" s="678">
        <f>'Client Services LASER'!I61</f>
        <v>47741.95</v>
      </c>
      <c r="N62" s="1666">
        <f>'Statewide Benefits'!D62</f>
        <v>8042570.4054839853</v>
      </c>
      <c r="O62" s="1667">
        <f>'Statewide Benefits'!E62</f>
        <v>7022224.0436806399</v>
      </c>
      <c r="P62" s="1667">
        <f>'Statewide Benefits'!F62</f>
        <v>219096.53</v>
      </c>
      <c r="Q62" s="2078">
        <f>'Statewide Benefits'!G62</f>
        <v>0</v>
      </c>
      <c r="R62" s="1668">
        <f t="shared" si="20"/>
        <v>15283890.979164625</v>
      </c>
      <c r="S62" s="1666">
        <f>'Other Benefits LASER'!D61+'FC &amp; Adoptions LASER'!D61</f>
        <v>162000.93</v>
      </c>
      <c r="T62" s="1667">
        <f>'Other Benefits LASER'!E61 + 'FC &amp; Adoptions LASER'!E61</f>
        <v>204335.33</v>
      </c>
      <c r="U62" s="1667">
        <f>'Other Benefits LASER'!F61+'FC &amp; Adoptions LASER'!F61</f>
        <v>2957.6</v>
      </c>
      <c r="V62" s="2078">
        <f>'FC &amp; Adoptions LASER'!J61+'Other Benefits LASER'!J61</f>
        <v>-0.09</v>
      </c>
      <c r="W62" s="1668">
        <f>'Other Benefits LASER'!I61+'FC &amp; Adoptions LASER'!I61</f>
        <v>369293.76999999996</v>
      </c>
      <c r="X62" s="1666">
        <f t="shared" si="15"/>
        <v>8766939.6962184515</v>
      </c>
      <c r="Y62" s="1667">
        <f t="shared" si="16"/>
        <v>7431220.5429461738</v>
      </c>
      <c r="Z62" s="1667">
        <f t="shared" si="17"/>
        <v>545024.19999999995</v>
      </c>
      <c r="AA62" s="2078">
        <f t="shared" si="18"/>
        <v>71397.359999999986</v>
      </c>
      <c r="AB62" s="1668">
        <f t="shared" si="19"/>
        <v>16814581.799164627</v>
      </c>
      <c r="AD62" s="523">
        <f t="shared" si="4"/>
        <v>0.47555253097771905</v>
      </c>
      <c r="AE62" s="524">
        <f t="shared" si="5"/>
        <v>0.17905829961067404</v>
      </c>
      <c r="AF62" s="524">
        <f t="shared" si="6"/>
        <v>0.28232455452320915</v>
      </c>
      <c r="AG62" s="524">
        <f t="shared" si="7"/>
        <v>6.3064614888397652E-2</v>
      </c>
      <c r="AH62" s="525">
        <f t="shared" si="8"/>
        <v>0.65461083058839309</v>
      </c>
      <c r="AJ62" s="1069">
        <f t="shared" si="9"/>
        <v>6.6231507467841289E-2</v>
      </c>
      <c r="AK62" s="1047">
        <f t="shared" si="10"/>
        <v>2.8393183113463987E-3</v>
      </c>
      <c r="AL62" s="1071">
        <f t="shared" si="11"/>
        <v>0.93092917422081212</v>
      </c>
      <c r="AN62" s="1069">
        <f t="shared" si="12"/>
        <v>0.57687746709228693</v>
      </c>
      <c r="AO62" s="1047">
        <f t="shared" si="13"/>
        <v>1.5701853238810314E-2</v>
      </c>
      <c r="AP62" s="1071">
        <f t="shared" si="14"/>
        <v>0.40742067966890283</v>
      </c>
    </row>
    <row r="63" spans="1:42" x14ac:dyDescent="0.3">
      <c r="A63" s="630" t="s">
        <v>148</v>
      </c>
      <c r="B63" s="500" t="s">
        <v>149</v>
      </c>
      <c r="C63" s="631" t="s">
        <v>253</v>
      </c>
      <c r="D63" s="676">
        <f>'Administration LASER'!D62+'Other Oper Exp. LASER'!D62</f>
        <v>1289755.1100400765</v>
      </c>
      <c r="E63" s="677">
        <f>'Administration LASER'!E62+'Other Oper Exp. LASER'!E62</f>
        <v>581543.14995992347</v>
      </c>
      <c r="F63" s="677">
        <f>'Administration LASER'!F62+'Other Oper Exp. LASER'!F62</f>
        <v>472085.55</v>
      </c>
      <c r="G63" s="677">
        <f>'Administration LASER'!J62 + 'Other Oper Exp. LASER'!J62</f>
        <v>508575.75</v>
      </c>
      <c r="H63" s="678">
        <f>'Administration LASER'!I62+'Other Oper Exp. LASER'!I62</f>
        <v>2851959.56</v>
      </c>
      <c r="I63" s="676">
        <f>'Client Services LASER'!D62</f>
        <v>29787.176292761007</v>
      </c>
      <c r="J63" s="677">
        <f>'Client Services LASER'!E62</f>
        <v>23098.293707238994</v>
      </c>
      <c r="K63" s="677">
        <f>'Client Services LASER'!F62</f>
        <v>9807.5299999999988</v>
      </c>
      <c r="L63" s="677">
        <f>'Client Services LASER'!J62</f>
        <v>-0.13</v>
      </c>
      <c r="M63" s="678">
        <f>'Client Services LASER'!I62</f>
        <v>62692.87</v>
      </c>
      <c r="N63" s="1666">
        <f>'Statewide Benefits'!D63</f>
        <v>36090147.844103955</v>
      </c>
      <c r="O63" s="1667">
        <f>'Statewide Benefits'!E63</f>
        <v>30342966.941102047</v>
      </c>
      <c r="P63" s="1667">
        <f>'Statewide Benefits'!F63</f>
        <v>596420.02</v>
      </c>
      <c r="Q63" s="2078">
        <f>'Statewide Benefits'!G63</f>
        <v>0</v>
      </c>
      <c r="R63" s="1668">
        <f t="shared" si="20"/>
        <v>67029534.805206008</v>
      </c>
      <c r="S63" s="1666">
        <f>'Other Benefits LASER'!D62+'FC &amp; Adoptions LASER'!D62</f>
        <v>228418.98</v>
      </c>
      <c r="T63" s="1667">
        <f>'Other Benefits LASER'!E62 + 'FC &amp; Adoptions LASER'!E62</f>
        <v>410236.68999999994</v>
      </c>
      <c r="U63" s="1667">
        <f>'Other Benefits LASER'!F62+'FC &amp; Adoptions LASER'!F62</f>
        <v>41568.199999999997</v>
      </c>
      <c r="V63" s="2078">
        <f>'FC &amp; Adoptions LASER'!J62+'Other Benefits LASER'!J62</f>
        <v>-7.0000000000000007E-2</v>
      </c>
      <c r="W63" s="1668">
        <f>'Other Benefits LASER'!I62+'FC &amp; Adoptions LASER'!I62</f>
        <v>680223.8</v>
      </c>
      <c r="X63" s="1666">
        <f t="shared" si="15"/>
        <v>37638109.11043679</v>
      </c>
      <c r="Y63" s="1667">
        <f t="shared" si="16"/>
        <v>31357845.07476921</v>
      </c>
      <c r="Z63" s="1667">
        <f t="shared" si="17"/>
        <v>1119881.3</v>
      </c>
      <c r="AA63" s="2078">
        <f t="shared" si="18"/>
        <v>508575.55</v>
      </c>
      <c r="AB63" s="1668">
        <f t="shared" si="19"/>
        <v>70624411.035206005</v>
      </c>
      <c r="AD63" s="523">
        <f t="shared" si="4"/>
        <v>0.45223471192560549</v>
      </c>
      <c r="AE63" s="524">
        <f t="shared" si="5"/>
        <v>0.20391002667650851</v>
      </c>
      <c r="AF63" s="524">
        <f t="shared" si="6"/>
        <v>0.16553023984673892</v>
      </c>
      <c r="AG63" s="524">
        <f t="shared" si="7"/>
        <v>0.1783250215511471</v>
      </c>
      <c r="AH63" s="525">
        <f t="shared" si="8"/>
        <v>0.65614473860211397</v>
      </c>
      <c r="AJ63" s="1069">
        <f t="shared" si="9"/>
        <v>4.0382065042330884E-2</v>
      </c>
      <c r="AK63" s="1047">
        <f t="shared" si="10"/>
        <v>8.8769405763607491E-4</v>
      </c>
      <c r="AL63" s="1071">
        <f t="shared" si="11"/>
        <v>0.95873024090003311</v>
      </c>
      <c r="AN63" s="1069">
        <f t="shared" si="12"/>
        <v>0.42154963209047241</v>
      </c>
      <c r="AO63" s="1047">
        <f t="shared" si="13"/>
        <v>8.7576513689441894E-3</v>
      </c>
      <c r="AP63" s="1071">
        <f t="shared" si="14"/>
        <v>0.56969271654058329</v>
      </c>
    </row>
    <row r="64" spans="1:42" x14ac:dyDescent="0.3">
      <c r="A64" s="630" t="s">
        <v>150</v>
      </c>
      <c r="B64" s="500" t="s">
        <v>151</v>
      </c>
      <c r="C64" s="631" t="s">
        <v>254</v>
      </c>
      <c r="D64" s="676">
        <f>'Administration LASER'!D63+'Other Oper Exp. LASER'!D63</f>
        <v>509372.89567720098</v>
      </c>
      <c r="E64" s="677">
        <f>'Administration LASER'!E63+'Other Oper Exp. LASER'!E63</f>
        <v>230742.76432279899</v>
      </c>
      <c r="F64" s="677">
        <f>'Administration LASER'!F63+'Other Oper Exp. LASER'!F63</f>
        <v>178975.75999999998</v>
      </c>
      <c r="G64" s="677">
        <f>'Administration LASER'!J63 + 'Other Oper Exp. LASER'!J63</f>
        <v>77084.509999999995</v>
      </c>
      <c r="H64" s="678">
        <f>'Administration LASER'!I63+'Other Oper Exp. LASER'!I63</f>
        <v>996175.93</v>
      </c>
      <c r="I64" s="676">
        <f>'Client Services LASER'!D63</f>
        <v>47815.303261090005</v>
      </c>
      <c r="J64" s="677">
        <f>'Client Services LASER'!E63</f>
        <v>24049.706738909994</v>
      </c>
      <c r="K64" s="677">
        <f>'Client Services LASER'!F63</f>
        <v>14852.68</v>
      </c>
      <c r="L64" s="677">
        <f>'Client Services LASER'!J63</f>
        <v>-7.0000000000000007E-2</v>
      </c>
      <c r="M64" s="678">
        <f>'Client Services LASER'!I63</f>
        <v>86717.62</v>
      </c>
      <c r="N64" s="1666">
        <f>'Statewide Benefits'!D64</f>
        <v>11582010.124053514</v>
      </c>
      <c r="O64" s="1667">
        <f>'Statewide Benefits'!E64</f>
        <v>9432381.0335152913</v>
      </c>
      <c r="P64" s="1667">
        <f>'Statewide Benefits'!F64</f>
        <v>349239.47</v>
      </c>
      <c r="Q64" s="2078">
        <f>'Statewide Benefits'!G64</f>
        <v>0</v>
      </c>
      <c r="R64" s="1668">
        <f t="shared" si="20"/>
        <v>21363630.627568804</v>
      </c>
      <c r="S64" s="1666">
        <f>'Other Benefits LASER'!D63+'FC &amp; Adoptions LASER'!D63</f>
        <v>160265.95000000001</v>
      </c>
      <c r="T64" s="1667">
        <f>'Other Benefits LASER'!E63 + 'FC &amp; Adoptions LASER'!E63</f>
        <v>229464.60000000003</v>
      </c>
      <c r="U64" s="1667">
        <f>'Other Benefits LASER'!F63+'FC &amp; Adoptions LASER'!F63</f>
        <v>6700.8</v>
      </c>
      <c r="V64" s="2078">
        <f>'FC &amp; Adoptions LASER'!J63+'Other Benefits LASER'!J63</f>
        <v>293.39</v>
      </c>
      <c r="W64" s="1668">
        <f>'Other Benefits LASER'!I63+'FC &amp; Adoptions LASER'!I63</f>
        <v>396724.74000000005</v>
      </c>
      <c r="X64" s="1666">
        <f t="shared" si="15"/>
        <v>12299464.272991804</v>
      </c>
      <c r="Y64" s="1667">
        <f t="shared" si="16"/>
        <v>9916638.1045769993</v>
      </c>
      <c r="Z64" s="1667">
        <f t="shared" si="17"/>
        <v>549768.71</v>
      </c>
      <c r="AA64" s="2078">
        <f t="shared" si="18"/>
        <v>77377.829999999987</v>
      </c>
      <c r="AB64" s="1668">
        <f t="shared" si="19"/>
        <v>22843248.917568803</v>
      </c>
      <c r="AD64" s="523">
        <f t="shared" si="4"/>
        <v>0.51132825070085863</v>
      </c>
      <c r="AE64" s="524">
        <f t="shared" si="5"/>
        <v>0.23162852802797493</v>
      </c>
      <c r="AF64" s="524">
        <f t="shared" si="6"/>
        <v>0.17966280313558666</v>
      </c>
      <c r="AG64" s="524">
        <f t="shared" si="7"/>
        <v>7.738041813557972E-2</v>
      </c>
      <c r="AH64" s="525">
        <f t="shared" si="8"/>
        <v>0.74295677872883348</v>
      </c>
      <c r="AJ64" s="1069">
        <f t="shared" si="9"/>
        <v>4.3609205222722873E-2</v>
      </c>
      <c r="AK64" s="1047">
        <f t="shared" si="10"/>
        <v>3.7962034346745331E-3</v>
      </c>
      <c r="AL64" s="1071">
        <f t="shared" si="11"/>
        <v>0.9525945913426026</v>
      </c>
      <c r="AN64" s="1069">
        <f t="shared" si="12"/>
        <v>0.32554737427672081</v>
      </c>
      <c r="AO64" s="1047">
        <f t="shared" si="13"/>
        <v>2.7016233790387964E-2</v>
      </c>
      <c r="AP64" s="1071">
        <f t="shared" si="14"/>
        <v>0.64743639193289115</v>
      </c>
    </row>
    <row r="65" spans="1:42" x14ac:dyDescent="0.3">
      <c r="A65" s="630" t="s">
        <v>152</v>
      </c>
      <c r="B65" s="500" t="s">
        <v>153</v>
      </c>
      <c r="C65" s="631" t="s">
        <v>256</v>
      </c>
      <c r="D65" s="676">
        <f>'Administration LASER'!D64+'Other Oper Exp. LASER'!D64</f>
        <v>2399251.8844666886</v>
      </c>
      <c r="E65" s="677">
        <f>'Administration LASER'!E64+'Other Oper Exp. LASER'!E64</f>
        <v>1052095.4955333115</v>
      </c>
      <c r="F65" s="677">
        <f>'Administration LASER'!F64+'Other Oper Exp. LASER'!F64</f>
        <v>979068.35</v>
      </c>
      <c r="G65" s="677">
        <f>'Administration LASER'!J64 + 'Other Oper Exp. LASER'!J64</f>
        <v>229253.67</v>
      </c>
      <c r="H65" s="678">
        <f>'Administration LASER'!I64+'Other Oper Exp. LASER'!I64</f>
        <v>4659669.4000000004</v>
      </c>
      <c r="I65" s="676">
        <f>'Client Services LASER'!D64</f>
        <v>70712.901464245602</v>
      </c>
      <c r="J65" s="677">
        <f>'Client Services LASER'!E64</f>
        <v>55760.468535754393</v>
      </c>
      <c r="K65" s="677">
        <f>'Client Services LASER'!F64</f>
        <v>23955.100000000002</v>
      </c>
      <c r="L65" s="677">
        <f>'Client Services LASER'!J64</f>
        <v>-0.14000000000000001</v>
      </c>
      <c r="M65" s="678">
        <f>'Client Services LASER'!I64</f>
        <v>150428.32999999999</v>
      </c>
      <c r="N65" s="1666">
        <f>'Statewide Benefits'!D65</f>
        <v>50633808.963597648</v>
      </c>
      <c r="O65" s="1667">
        <f>'Statewide Benefits'!E65</f>
        <v>40134927.552304037</v>
      </c>
      <c r="P65" s="1667">
        <f>'Statewide Benefits'!F65</f>
        <v>232778.68</v>
      </c>
      <c r="Q65" s="2078">
        <f>'Statewide Benefits'!G65</f>
        <v>0</v>
      </c>
      <c r="R65" s="1668">
        <f t="shared" si="20"/>
        <v>91001515.195901692</v>
      </c>
      <c r="S65" s="1666">
        <f>'Other Benefits LASER'!D64+'FC &amp; Adoptions LASER'!D64</f>
        <v>654662.67999999993</v>
      </c>
      <c r="T65" s="1667">
        <f>'Other Benefits LASER'!E64 + 'FC &amp; Adoptions LASER'!E64</f>
        <v>914660.13</v>
      </c>
      <c r="U65" s="1667">
        <f>'Other Benefits LASER'!F64+'FC &amp; Adoptions LASER'!F64</f>
        <v>34571</v>
      </c>
      <c r="V65" s="2078">
        <f>'FC &amp; Adoptions LASER'!J64+'Other Benefits LASER'!J64</f>
        <v>-0.16</v>
      </c>
      <c r="W65" s="1668">
        <f>'Other Benefits LASER'!I64+'FC &amp; Adoptions LASER'!I64</f>
        <v>1603893.6500000001</v>
      </c>
      <c r="X65" s="1666">
        <f t="shared" si="15"/>
        <v>53758436.429528579</v>
      </c>
      <c r="Y65" s="1667">
        <f t="shared" si="16"/>
        <v>42157443.646373108</v>
      </c>
      <c r="Z65" s="1667">
        <f t="shared" si="17"/>
        <v>1270373.1299999999</v>
      </c>
      <c r="AA65" s="2078">
        <f t="shared" si="18"/>
        <v>229253.37</v>
      </c>
      <c r="AB65" s="1668">
        <f t="shared" si="19"/>
        <v>97415506.575901702</v>
      </c>
      <c r="AD65" s="523">
        <f t="shared" si="4"/>
        <v>0.51489744840410534</v>
      </c>
      <c r="AE65" s="524">
        <f t="shared" si="5"/>
        <v>0.22578758388595369</v>
      </c>
      <c r="AF65" s="524">
        <f t="shared" si="6"/>
        <v>0.21011541076283222</v>
      </c>
      <c r="AG65" s="524">
        <f t="shared" si="7"/>
        <v>4.9199556947108737E-2</v>
      </c>
      <c r="AH65" s="525">
        <f t="shared" si="8"/>
        <v>0.740685032290059</v>
      </c>
      <c r="AJ65" s="1069">
        <f t="shared" si="9"/>
        <v>4.7832933008148955E-2</v>
      </c>
      <c r="AK65" s="1047">
        <f t="shared" si="10"/>
        <v>1.5441928629996203E-3</v>
      </c>
      <c r="AL65" s="1071">
        <f t="shared" si="11"/>
        <v>0.95062287412885138</v>
      </c>
      <c r="AN65" s="1069">
        <f t="shared" si="12"/>
        <v>0.77069352844388328</v>
      </c>
      <c r="AO65" s="1047">
        <f t="shared" si="13"/>
        <v>1.885674329399584E-2</v>
      </c>
      <c r="AP65" s="1071">
        <f t="shared" si="14"/>
        <v>0.21044972826212091</v>
      </c>
    </row>
    <row r="66" spans="1:42" x14ac:dyDescent="0.3">
      <c r="A66" s="630" t="s">
        <v>154</v>
      </c>
      <c r="B66" s="500" t="s">
        <v>155</v>
      </c>
      <c r="C66" s="631" t="s">
        <v>253</v>
      </c>
      <c r="D66" s="676">
        <f>'Administration LASER'!D65+'Other Oper Exp. LASER'!D65</f>
        <v>551634.32352705277</v>
      </c>
      <c r="E66" s="677">
        <f>'Administration LASER'!E65+'Other Oper Exp. LASER'!E65</f>
        <v>268786.70647294726</v>
      </c>
      <c r="F66" s="677">
        <f>'Administration LASER'!F65+'Other Oper Exp. LASER'!F65</f>
        <v>177609.71</v>
      </c>
      <c r="G66" s="677">
        <f>'Administration LASER'!J65 + 'Other Oper Exp. LASER'!J65</f>
        <v>40412.6</v>
      </c>
      <c r="H66" s="678">
        <f>'Administration LASER'!I65+'Other Oper Exp. LASER'!I65</f>
        <v>1038443.34</v>
      </c>
      <c r="I66" s="676">
        <f>'Client Services LASER'!D65</f>
        <v>16028.857576662536</v>
      </c>
      <c r="J66" s="677">
        <f>'Client Services LASER'!E65</f>
        <v>6613.612423337464</v>
      </c>
      <c r="K66" s="677">
        <f>'Client Services LASER'!F65</f>
        <v>2410.42</v>
      </c>
      <c r="L66" s="677">
        <f>'Client Services LASER'!J65</f>
        <v>-0.01</v>
      </c>
      <c r="M66" s="678">
        <f>'Client Services LASER'!I65</f>
        <v>25052.880000000001</v>
      </c>
      <c r="N66" s="1666">
        <f>'Statewide Benefits'!D66</f>
        <v>14862093.759349197</v>
      </c>
      <c r="O66" s="1667">
        <f>'Statewide Benefits'!E66</f>
        <v>12740201.50530366</v>
      </c>
      <c r="P66" s="1667">
        <f>'Statewide Benefits'!F66</f>
        <v>433593.5</v>
      </c>
      <c r="Q66" s="2078">
        <f>'Statewide Benefits'!G66</f>
        <v>0</v>
      </c>
      <c r="R66" s="1668">
        <f t="shared" si="20"/>
        <v>28035888.764652856</v>
      </c>
      <c r="S66" s="1666">
        <f>'Other Benefits LASER'!D65+'FC &amp; Adoptions LASER'!D65</f>
        <v>123192.13</v>
      </c>
      <c r="T66" s="1667">
        <f>'Other Benefits LASER'!E65 + 'FC &amp; Adoptions LASER'!E65</f>
        <v>189848.93</v>
      </c>
      <c r="U66" s="1667">
        <f>'Other Benefits LASER'!F65+'FC &amp; Adoptions LASER'!F65</f>
        <v>13336.2</v>
      </c>
      <c r="V66" s="2078">
        <f>'FC &amp; Adoptions LASER'!J65+'Other Benefits LASER'!J65</f>
        <v>-0.06</v>
      </c>
      <c r="W66" s="1668">
        <f>'Other Benefits LASER'!I65+'FC &amp; Adoptions LASER'!I65</f>
        <v>326377.2</v>
      </c>
      <c r="X66" s="1666">
        <f t="shared" si="15"/>
        <v>15552949.070452914</v>
      </c>
      <c r="Y66" s="1667">
        <f t="shared" si="16"/>
        <v>13205450.754199944</v>
      </c>
      <c r="Z66" s="1667">
        <f t="shared" si="17"/>
        <v>626949.82999999996</v>
      </c>
      <c r="AA66" s="2078">
        <f t="shared" si="18"/>
        <v>40412.53</v>
      </c>
      <c r="AB66" s="1668">
        <f t="shared" si="19"/>
        <v>29425762.184652854</v>
      </c>
      <c r="AD66" s="523">
        <f t="shared" si="4"/>
        <v>0.53121273186368823</v>
      </c>
      <c r="AE66" s="524">
        <f t="shared" si="5"/>
        <v>0.25883617923048868</v>
      </c>
      <c r="AF66" s="524">
        <f t="shared" si="6"/>
        <v>0.17103456987841051</v>
      </c>
      <c r="AG66" s="524">
        <f t="shared" si="7"/>
        <v>3.8916519027412701E-2</v>
      </c>
      <c r="AH66" s="525">
        <f t="shared" si="8"/>
        <v>0.79004891109417685</v>
      </c>
      <c r="AJ66" s="1069">
        <f t="shared" si="9"/>
        <v>3.5290278412621882E-2</v>
      </c>
      <c r="AK66" s="1047">
        <f t="shared" si="10"/>
        <v>8.5139273004341924E-4</v>
      </c>
      <c r="AL66" s="1071">
        <f t="shared" si="11"/>
        <v>0.96385832885733469</v>
      </c>
      <c r="AN66" s="1069">
        <f t="shared" si="12"/>
        <v>0.28329174281776265</v>
      </c>
      <c r="AO66" s="1047">
        <f t="shared" si="13"/>
        <v>3.8446776514797047E-3</v>
      </c>
      <c r="AP66" s="1071">
        <f t="shared" si="14"/>
        <v>0.71286357953075774</v>
      </c>
    </row>
    <row r="67" spans="1:42" x14ac:dyDescent="0.3">
      <c r="A67" s="630" t="s">
        <v>156</v>
      </c>
      <c r="B67" s="500" t="s">
        <v>157</v>
      </c>
      <c r="C67" s="631" t="s">
        <v>254</v>
      </c>
      <c r="D67" s="676">
        <f>'Administration LASER'!D66+'Other Oper Exp. LASER'!D66</f>
        <v>624656.6451642774</v>
      </c>
      <c r="E67" s="677">
        <f>'Administration LASER'!E66+'Other Oper Exp. LASER'!E66</f>
        <v>230335.37483572261</v>
      </c>
      <c r="F67" s="677">
        <f>'Administration LASER'!F66+'Other Oper Exp. LASER'!F66</f>
        <v>393955.80000000005</v>
      </c>
      <c r="G67" s="677">
        <f>'Administration LASER'!J66 + 'Other Oper Exp. LASER'!J66</f>
        <v>70271.73</v>
      </c>
      <c r="H67" s="678">
        <f>'Administration LASER'!I66+'Other Oper Exp. LASER'!I66</f>
        <v>1319219.5500000003</v>
      </c>
      <c r="I67" s="676">
        <f>'Client Services LASER'!D66</f>
        <v>11191.961999757146</v>
      </c>
      <c r="J67" s="677">
        <f>'Client Services LASER'!E66</f>
        <v>16684.418000242855</v>
      </c>
      <c r="K67" s="677">
        <f>'Client Services LASER'!F66</f>
        <v>5475.3200000000006</v>
      </c>
      <c r="L67" s="677">
        <f>'Client Services LASER'!J66</f>
        <v>0</v>
      </c>
      <c r="M67" s="678">
        <f>'Client Services LASER'!I66</f>
        <v>33351.700000000004</v>
      </c>
      <c r="N67" s="1666">
        <f>'Statewide Benefits'!D67</f>
        <v>10565636.047744822</v>
      </c>
      <c r="O67" s="1667">
        <f>'Statewide Benefits'!E67</f>
        <v>8814803.5685514752</v>
      </c>
      <c r="P67" s="1667">
        <f>'Statewide Benefits'!F67</f>
        <v>236691.31</v>
      </c>
      <c r="Q67" s="2078">
        <f>'Statewide Benefits'!G67</f>
        <v>0</v>
      </c>
      <c r="R67" s="1668">
        <f t="shared" si="20"/>
        <v>19617130.926296297</v>
      </c>
      <c r="S67" s="1666">
        <f>'Other Benefits LASER'!D66+'FC &amp; Adoptions LASER'!D66</f>
        <v>133790.23000000001</v>
      </c>
      <c r="T67" s="1667">
        <f>'Other Benefits LASER'!E66 + 'FC &amp; Adoptions LASER'!E66</f>
        <v>146835.83000000002</v>
      </c>
      <c r="U67" s="1667">
        <f>'Other Benefits LASER'!F66+'FC &amp; Adoptions LASER'!F66</f>
        <v>1049.4000000000001</v>
      </c>
      <c r="V67" s="2078">
        <f>'FC &amp; Adoptions LASER'!J66+'Other Benefits LASER'!J66</f>
        <v>-0.04</v>
      </c>
      <c r="W67" s="1668">
        <f>'Other Benefits LASER'!I66+'FC &amp; Adoptions LASER'!I66</f>
        <v>281675.42000000004</v>
      </c>
      <c r="X67" s="1666">
        <f t="shared" si="15"/>
        <v>11335274.884908857</v>
      </c>
      <c r="Y67" s="1667">
        <f t="shared" si="16"/>
        <v>9208659.191387441</v>
      </c>
      <c r="Z67" s="1667">
        <f t="shared" si="17"/>
        <v>637171.83000000007</v>
      </c>
      <c r="AA67" s="2078">
        <f t="shared" si="18"/>
        <v>70271.69</v>
      </c>
      <c r="AB67" s="1668">
        <f t="shared" si="19"/>
        <v>21251377.596296299</v>
      </c>
      <c r="AD67" s="523">
        <f t="shared" si="4"/>
        <v>0.47350469083351387</v>
      </c>
      <c r="AE67" s="524">
        <f t="shared" si="5"/>
        <v>0.17459972817695324</v>
      </c>
      <c r="AF67" s="524">
        <f t="shared" si="6"/>
        <v>0.29862792739843791</v>
      </c>
      <c r="AG67" s="524">
        <f t="shared" si="7"/>
        <v>5.326765359109481E-2</v>
      </c>
      <c r="AH67" s="525">
        <f t="shared" si="8"/>
        <v>0.64810441901046711</v>
      </c>
      <c r="AJ67" s="1069">
        <f t="shared" si="9"/>
        <v>6.2076895675220345E-2</v>
      </c>
      <c r="AK67" s="1047">
        <f t="shared" si="10"/>
        <v>1.5693900241936576E-3</v>
      </c>
      <c r="AL67" s="1071">
        <f t="shared" si="11"/>
        <v>0.936353714300586</v>
      </c>
      <c r="AN67" s="1069">
        <f t="shared" si="12"/>
        <v>0.61828816255106567</v>
      </c>
      <c r="AO67" s="1047">
        <f t="shared" si="13"/>
        <v>8.5931608118959054E-3</v>
      </c>
      <c r="AP67" s="1071">
        <f t="shared" si="14"/>
        <v>0.37311867663703835</v>
      </c>
    </row>
    <row r="68" spans="1:42" x14ac:dyDescent="0.3">
      <c r="A68" s="630" t="s">
        <v>162</v>
      </c>
      <c r="B68" s="500" t="s">
        <v>163</v>
      </c>
      <c r="C68" s="631" t="s">
        <v>252</v>
      </c>
      <c r="D68" s="676">
        <f>'Administration LASER'!D67+'Other Oper Exp. LASER'!D67</f>
        <v>1285257.9891986626</v>
      </c>
      <c r="E68" s="677">
        <f>'Administration LASER'!E67+'Other Oper Exp. LASER'!E67</f>
        <v>581065.07080133737</v>
      </c>
      <c r="F68" s="677">
        <f>'Administration LASER'!F67+'Other Oper Exp. LASER'!F67</f>
        <v>458799.6</v>
      </c>
      <c r="G68" s="677">
        <f>'Administration LASER'!J67 + 'Other Oper Exp. LASER'!J67</f>
        <v>152880.33000000002</v>
      </c>
      <c r="H68" s="678">
        <f>'Administration LASER'!I67+'Other Oper Exp. LASER'!I67</f>
        <v>2478002.9900000002</v>
      </c>
      <c r="I68" s="676">
        <f>'Client Services LASER'!D67</f>
        <v>58631.856858342238</v>
      </c>
      <c r="J68" s="677">
        <f>'Client Services LASER'!E67</f>
        <v>8669.0831416577657</v>
      </c>
      <c r="K68" s="677">
        <f>'Client Services LASER'!F67</f>
        <v>13954.400000000001</v>
      </c>
      <c r="L68" s="677">
        <f>'Client Services LASER'!J67</f>
        <v>-0.13</v>
      </c>
      <c r="M68" s="678">
        <f>'Client Services LASER'!I67</f>
        <v>81255.209999999992</v>
      </c>
      <c r="N68" s="1666">
        <f>'Statewide Benefits'!D68</f>
        <v>21805962.658068378</v>
      </c>
      <c r="O68" s="1667">
        <f>'Statewide Benefits'!E68</f>
        <v>18192485.379227299</v>
      </c>
      <c r="P68" s="1667">
        <f>'Statewide Benefits'!F68</f>
        <v>140201.26999999999</v>
      </c>
      <c r="Q68" s="2078">
        <f>'Statewide Benefits'!G68</f>
        <v>0</v>
      </c>
      <c r="R68" s="1668">
        <f t="shared" si="20"/>
        <v>40138649.30729568</v>
      </c>
      <c r="S68" s="1666">
        <f>'Other Benefits LASER'!D67+'FC &amp; Adoptions LASER'!D67</f>
        <v>0</v>
      </c>
      <c r="T68" s="1667">
        <f>'Other Benefits LASER'!E67 + 'FC &amp; Adoptions LASER'!E67</f>
        <v>59310.400000000001</v>
      </c>
      <c r="U68" s="1667">
        <f>'Other Benefits LASER'!F67+'FC &amp; Adoptions LASER'!F67</f>
        <v>14827.6</v>
      </c>
      <c r="V68" s="2078">
        <f>'FC &amp; Adoptions LASER'!J67+'Other Benefits LASER'!J67</f>
        <v>0</v>
      </c>
      <c r="W68" s="1668">
        <f>'Other Benefits LASER'!I67+'FC &amp; Adoptions LASER'!I67</f>
        <v>74138</v>
      </c>
      <c r="X68" s="1666">
        <f t="shared" si="15"/>
        <v>23149852.504125383</v>
      </c>
      <c r="Y68" s="1667">
        <f t="shared" si="16"/>
        <v>18841529.933170293</v>
      </c>
      <c r="Z68" s="1667">
        <f t="shared" si="17"/>
        <v>627782.87</v>
      </c>
      <c r="AA68" s="2078">
        <f t="shared" si="18"/>
        <v>152880.20000000001</v>
      </c>
      <c r="AB68" s="1668">
        <f t="shared" si="19"/>
        <v>42772045.507295683</v>
      </c>
      <c r="AD68" s="523">
        <f t="shared" si="4"/>
        <v>0.51866684357740123</v>
      </c>
      <c r="AE68" s="524">
        <f t="shared" si="5"/>
        <v>0.23448925330043177</v>
      </c>
      <c r="AF68" s="524">
        <f t="shared" si="6"/>
        <v>0.18514892913829775</v>
      </c>
      <c r="AG68" s="524">
        <f t="shared" si="7"/>
        <v>6.1694973983869167E-2</v>
      </c>
      <c r="AH68" s="525">
        <f t="shared" si="8"/>
        <v>0.75315609687783303</v>
      </c>
      <c r="AJ68" s="1069">
        <f t="shared" si="9"/>
        <v>5.7935105992939336E-2</v>
      </c>
      <c r="AK68" s="1047">
        <f t="shared" si="10"/>
        <v>1.8997270071205779E-3</v>
      </c>
      <c r="AL68" s="1071">
        <f t="shared" si="11"/>
        <v>0.94016516699994002</v>
      </c>
      <c r="AN68" s="1069">
        <f t="shared" si="12"/>
        <v>0.73082529314633893</v>
      </c>
      <c r="AO68" s="1047">
        <f t="shared" si="13"/>
        <v>2.2228067484542868E-2</v>
      </c>
      <c r="AP68" s="1071">
        <f t="shared" si="14"/>
        <v>0.24694663936911818</v>
      </c>
    </row>
    <row r="69" spans="1:42" x14ac:dyDescent="0.3">
      <c r="A69" s="630" t="s">
        <v>164</v>
      </c>
      <c r="B69" s="500" t="s">
        <v>165</v>
      </c>
      <c r="C69" s="631" t="s">
        <v>254</v>
      </c>
      <c r="D69" s="676">
        <f>'Administration LASER'!D68+'Other Oper Exp. LASER'!D68</f>
        <v>622290.90724535042</v>
      </c>
      <c r="E69" s="677">
        <f>'Administration LASER'!E68+'Other Oper Exp. LASER'!E68</f>
        <v>237444.88275464962</v>
      </c>
      <c r="F69" s="677">
        <f>'Administration LASER'!F68+'Other Oper Exp. LASER'!F68</f>
        <v>384086.8</v>
      </c>
      <c r="G69" s="677">
        <f>'Administration LASER'!J68 + 'Other Oper Exp. LASER'!J68</f>
        <v>38322.620000000003</v>
      </c>
      <c r="H69" s="678">
        <f>'Administration LASER'!I68+'Other Oper Exp. LASER'!I68</f>
        <v>1282145.21</v>
      </c>
      <c r="I69" s="676">
        <f>'Client Services LASER'!D68</f>
        <v>23497.831143737643</v>
      </c>
      <c r="J69" s="677">
        <f>'Client Services LASER'!E68</f>
        <v>5598.1588562623547</v>
      </c>
      <c r="K69" s="677">
        <f>'Client Services LASER'!F68</f>
        <v>5824.65</v>
      </c>
      <c r="L69" s="677">
        <f>'Client Services LASER'!J68</f>
        <v>-0.01</v>
      </c>
      <c r="M69" s="678">
        <f>'Client Services LASER'!I68</f>
        <v>34920.629999999997</v>
      </c>
      <c r="N69" s="1666">
        <f>'Statewide Benefits'!D69</f>
        <v>11102759.445689494</v>
      </c>
      <c r="O69" s="1667">
        <f>'Statewide Benefits'!E69</f>
        <v>8508087.9122837167</v>
      </c>
      <c r="P69" s="1667">
        <f>'Statewide Benefits'!F69</f>
        <v>163870.74</v>
      </c>
      <c r="Q69" s="2078">
        <f>'Statewide Benefits'!G69</f>
        <v>0</v>
      </c>
      <c r="R69" s="1668">
        <f t="shared" ref="R69:R100" si="21">SUM(N69:P69)</f>
        <v>19774718.097973209</v>
      </c>
      <c r="S69" s="1666">
        <f>'Other Benefits LASER'!D68+'FC &amp; Adoptions LASER'!D68</f>
        <v>100669.91</v>
      </c>
      <c r="T69" s="1667">
        <f>'Other Benefits LASER'!E68 + 'FC &amp; Adoptions LASER'!E68</f>
        <v>160053.54999999999</v>
      </c>
      <c r="U69" s="1667">
        <f>'Other Benefits LASER'!F68+'FC &amp; Adoptions LASER'!F68</f>
        <v>3450.6</v>
      </c>
      <c r="V69" s="2078">
        <f>'FC &amp; Adoptions LASER'!J68+'Other Benefits LASER'!J68</f>
        <v>0</v>
      </c>
      <c r="W69" s="1668">
        <f>'Other Benefits LASER'!I68+'FC &amp; Adoptions LASER'!I68</f>
        <v>264174.06</v>
      </c>
      <c r="X69" s="1666">
        <f t="shared" si="15"/>
        <v>11849218.094078582</v>
      </c>
      <c r="Y69" s="1667">
        <f t="shared" si="16"/>
        <v>8911184.503894629</v>
      </c>
      <c r="Z69" s="1667">
        <f t="shared" si="17"/>
        <v>557232.78999999992</v>
      </c>
      <c r="AA69" s="2078">
        <f t="shared" si="18"/>
        <v>38322.61</v>
      </c>
      <c r="AB69" s="1668">
        <f t="shared" si="19"/>
        <v>21355957.997973207</v>
      </c>
      <c r="AD69" s="523">
        <f t="shared" si="4"/>
        <v>0.48535134896721288</v>
      </c>
      <c r="AE69" s="524">
        <f t="shared" si="5"/>
        <v>0.18519344057343523</v>
      </c>
      <c r="AF69" s="524">
        <f t="shared" si="6"/>
        <v>0.29956575667431617</v>
      </c>
      <c r="AG69" s="524">
        <f t="shared" si="7"/>
        <v>2.9889453785035786E-2</v>
      </c>
      <c r="AH69" s="525">
        <f t="shared" si="8"/>
        <v>0.67054478954064811</v>
      </c>
      <c r="AJ69" s="1069">
        <f t="shared" si="9"/>
        <v>6.0036885730983466E-2</v>
      </c>
      <c r="AK69" s="1047">
        <f t="shared" si="10"/>
        <v>1.6351703821160422E-3</v>
      </c>
      <c r="AL69" s="1071">
        <f t="shared" si="11"/>
        <v>0.93832794388690044</v>
      </c>
      <c r="AN69" s="1069">
        <f t="shared" si="12"/>
        <v>0.68927530269710091</v>
      </c>
      <c r="AO69" s="1047">
        <f t="shared" si="13"/>
        <v>1.0452812728411047E-2</v>
      </c>
      <c r="AP69" s="1071">
        <f t="shared" si="14"/>
        <v>0.30027188457448822</v>
      </c>
    </row>
    <row r="70" spans="1:42" x14ac:dyDescent="0.3">
      <c r="A70" s="630" t="s">
        <v>168</v>
      </c>
      <c r="B70" s="500" t="s">
        <v>169</v>
      </c>
      <c r="C70" s="631" t="s">
        <v>254</v>
      </c>
      <c r="D70" s="676">
        <f>'Administration LASER'!D69+'Other Oper Exp. LASER'!D69</f>
        <v>681881.39929516905</v>
      </c>
      <c r="E70" s="677">
        <f>'Administration LASER'!E69+'Other Oper Exp. LASER'!E69</f>
        <v>330872.63070483098</v>
      </c>
      <c r="F70" s="677">
        <f>'Administration LASER'!F69+'Other Oper Exp. LASER'!F69</f>
        <v>194605.38</v>
      </c>
      <c r="G70" s="677">
        <f>'Administration LASER'!J69 + 'Other Oper Exp. LASER'!J69</f>
        <v>41576.71</v>
      </c>
      <c r="H70" s="678">
        <f>'Administration LASER'!I69+'Other Oper Exp. LASER'!I69</f>
        <v>1248936.1199999999</v>
      </c>
      <c r="I70" s="676">
        <f>'Client Services LASER'!D69</f>
        <v>43327.411271177843</v>
      </c>
      <c r="J70" s="677">
        <f>'Client Services LASER'!E69</f>
        <v>33459.808728822158</v>
      </c>
      <c r="K70" s="677">
        <f>'Client Services LASER'!F69</f>
        <v>15417.260000000002</v>
      </c>
      <c r="L70" s="677">
        <f>'Client Services LASER'!J69</f>
        <v>-0.05</v>
      </c>
      <c r="M70" s="678">
        <f>'Client Services LASER'!I69</f>
        <v>92204.430000000008</v>
      </c>
      <c r="N70" s="1666">
        <f>'Statewide Benefits'!D70</f>
        <v>20525156.178333484</v>
      </c>
      <c r="O70" s="1667">
        <f>'Statewide Benefits'!E70</f>
        <v>16257093.306670042</v>
      </c>
      <c r="P70" s="1667">
        <f>'Statewide Benefits'!F70</f>
        <v>416756.55000000005</v>
      </c>
      <c r="Q70" s="2078">
        <f>'Statewide Benefits'!G70</f>
        <v>0</v>
      </c>
      <c r="R70" s="1668">
        <f t="shared" si="21"/>
        <v>37199006.035003521</v>
      </c>
      <c r="S70" s="1666">
        <f>'Other Benefits LASER'!D69+'FC &amp; Adoptions LASER'!D69</f>
        <v>99499.510000000009</v>
      </c>
      <c r="T70" s="1667">
        <f>'Other Benefits LASER'!E69 + 'FC &amp; Adoptions LASER'!E69</f>
        <v>158467.51</v>
      </c>
      <c r="U70" s="1667">
        <f>'Other Benefits LASER'!F69+'FC &amp; Adoptions LASER'!F69</f>
        <v>17619</v>
      </c>
      <c r="V70" s="2078">
        <f>'FC &amp; Adoptions LASER'!J69+'Other Benefits LASER'!J69</f>
        <v>0</v>
      </c>
      <c r="W70" s="1668">
        <f>'Other Benefits LASER'!I69+'FC &amp; Adoptions LASER'!I69</f>
        <v>275586.02</v>
      </c>
      <c r="X70" s="1666">
        <f t="shared" si="15"/>
        <v>21349864.498899832</v>
      </c>
      <c r="Y70" s="1667">
        <f t="shared" si="16"/>
        <v>16779893.256103694</v>
      </c>
      <c r="Z70" s="1667">
        <f t="shared" si="17"/>
        <v>644398.19000000006</v>
      </c>
      <c r="AA70" s="2078">
        <f t="shared" si="18"/>
        <v>41576.659999999996</v>
      </c>
      <c r="AB70" s="1668">
        <f t="shared" si="19"/>
        <v>38815732.605003521</v>
      </c>
      <c r="AD70" s="523">
        <f t="shared" ref="AD70:AD125" si="22">D70/H70</f>
        <v>0.54596979651382738</v>
      </c>
      <c r="AE70" s="524">
        <f t="shared" ref="AE70:AE125" si="23">E70/H70</f>
        <v>0.26492358208427108</v>
      </c>
      <c r="AF70" s="524">
        <f t="shared" ref="AF70:AF125" si="24">F70/H70</f>
        <v>0.15581692040422374</v>
      </c>
      <c r="AG70" s="524">
        <f t="shared" ref="AG70:AG125" si="25">G70/H70</f>
        <v>3.3289700997677932E-2</v>
      </c>
      <c r="AH70" s="525">
        <f t="shared" ref="AH70:AH125" si="26">(D70+E70)/H70</f>
        <v>0.8108933785980984</v>
      </c>
      <c r="AJ70" s="1069">
        <f t="shared" ref="AJ70:AJ125" si="27">H70/AB70</f>
        <v>3.2176028537433982E-2</v>
      </c>
      <c r="AK70" s="1047">
        <f t="shared" ref="AK70:AK125" si="28">M70/AB70</f>
        <v>2.3754396429481392E-3</v>
      </c>
      <c r="AL70" s="1071">
        <f t="shared" ref="AL70:AL125" si="29">(R70+W70)/AB70</f>
        <v>0.96544853181961798</v>
      </c>
      <c r="AN70" s="1069">
        <f t="shared" ref="AN70:AN125" si="30">F70/Z70</f>
        <v>0.30199554098685472</v>
      </c>
      <c r="AO70" s="1047">
        <f t="shared" ref="AO70:AO125" si="31">K70/Z70</f>
        <v>2.3925051682718104E-2</v>
      </c>
      <c r="AP70" s="1071">
        <f t="shared" ref="AP70:AP125" si="32">(P70+U70)/Z70</f>
        <v>0.67407940733042715</v>
      </c>
    </row>
    <row r="71" spans="1:42" x14ac:dyDescent="0.3">
      <c r="A71" s="630" t="s">
        <v>170</v>
      </c>
      <c r="B71" s="500" t="s">
        <v>171</v>
      </c>
      <c r="C71" s="631" t="s">
        <v>255</v>
      </c>
      <c r="D71" s="676">
        <f>'Administration LASER'!D70+'Other Oper Exp. LASER'!D70</f>
        <v>1220049.9235556633</v>
      </c>
      <c r="E71" s="677">
        <f>'Administration LASER'!E70+'Other Oper Exp. LASER'!E70</f>
        <v>428103.88644433639</v>
      </c>
      <c r="F71" s="677">
        <f>'Administration LASER'!F70+'Other Oper Exp. LASER'!F70</f>
        <v>861067.03</v>
      </c>
      <c r="G71" s="677">
        <f>'Administration LASER'!J70 + 'Other Oper Exp. LASER'!J70</f>
        <v>100999.36</v>
      </c>
      <c r="H71" s="678">
        <f>'Administration LASER'!I70+'Other Oper Exp. LASER'!I70</f>
        <v>2610220.1999999997</v>
      </c>
      <c r="I71" s="676">
        <f>'Client Services LASER'!D70</f>
        <v>46143.013156532681</v>
      </c>
      <c r="J71" s="677">
        <f>'Client Services LASER'!E70</f>
        <v>16509.036843467322</v>
      </c>
      <c r="K71" s="677">
        <f>'Client Services LASER'!F70</f>
        <v>12329.579999999998</v>
      </c>
      <c r="L71" s="677">
        <f>'Client Services LASER'!J70</f>
        <v>-1.999999999999999E-2</v>
      </c>
      <c r="M71" s="678">
        <f>'Client Services LASER'!I70</f>
        <v>74981.61</v>
      </c>
      <c r="N71" s="1666">
        <f>'Statewide Benefits'!D71</f>
        <v>29239309.449037731</v>
      </c>
      <c r="O71" s="1667">
        <f>'Statewide Benefits'!E71</f>
        <v>25298603.609371293</v>
      </c>
      <c r="P71" s="1667">
        <f>'Statewide Benefits'!F71</f>
        <v>1292174.3700000001</v>
      </c>
      <c r="Q71" s="2078">
        <f>'Statewide Benefits'!G71</f>
        <v>0</v>
      </c>
      <c r="R71" s="1668">
        <f t="shared" si="21"/>
        <v>55830087.428409018</v>
      </c>
      <c r="S71" s="1666">
        <f>'Other Benefits LASER'!D70+'FC &amp; Adoptions LASER'!D70</f>
        <v>352291.91</v>
      </c>
      <c r="T71" s="1667">
        <f>'Other Benefits LASER'!E70 + 'FC &amp; Adoptions LASER'!E70</f>
        <v>613488.07999999996</v>
      </c>
      <c r="U71" s="1667">
        <f>'Other Benefits LASER'!F70+'FC &amp; Adoptions LASER'!F70</f>
        <v>12226.2</v>
      </c>
      <c r="V71" s="2078">
        <f>'FC &amp; Adoptions LASER'!J70+'Other Benefits LASER'!J70</f>
        <v>-256.75</v>
      </c>
      <c r="W71" s="1668">
        <f>'Other Benefits LASER'!I70+'FC &amp; Adoptions LASER'!I70</f>
        <v>977749.44</v>
      </c>
      <c r="X71" s="1666">
        <f t="shared" ref="X71:X125" si="33">D71+I71+N71+S71</f>
        <v>30857794.295749929</v>
      </c>
      <c r="Y71" s="1667">
        <f t="shared" ref="Y71:Y125" si="34">E71+J71+O71+T71</f>
        <v>26356704.612659097</v>
      </c>
      <c r="Z71" s="1667">
        <f t="shared" ref="Z71:Z125" si="35">F71+K71+P71+U71</f>
        <v>2177797.1800000002</v>
      </c>
      <c r="AA71" s="2078">
        <f t="shared" ref="AA71:AA125" si="36">G71+L71+Q71+V71</f>
        <v>100742.59</v>
      </c>
      <c r="AB71" s="1668">
        <f t="shared" ref="AB71:AB125" si="37">H71+M71+R71+W71</f>
        <v>59493038.678409018</v>
      </c>
      <c r="AD71" s="523">
        <f t="shared" si="22"/>
        <v>0.46741264340673766</v>
      </c>
      <c r="AE71" s="524">
        <f t="shared" si="23"/>
        <v>0.16401064034533808</v>
      </c>
      <c r="AF71" s="524">
        <f t="shared" si="24"/>
        <v>0.32988290796309067</v>
      </c>
      <c r="AG71" s="524">
        <f t="shared" si="25"/>
        <v>3.8693808284833597E-2</v>
      </c>
      <c r="AH71" s="525">
        <f t="shared" si="26"/>
        <v>0.63142328375207568</v>
      </c>
      <c r="AJ71" s="1069">
        <f t="shared" si="27"/>
        <v>4.3874380229754352E-2</v>
      </c>
      <c r="AK71" s="1047">
        <f t="shared" si="28"/>
        <v>1.260342582353455E-3</v>
      </c>
      <c r="AL71" s="1071">
        <f t="shared" si="29"/>
        <v>0.95486527718789216</v>
      </c>
      <c r="AN71" s="1069">
        <f t="shared" si="30"/>
        <v>0.39538439938653974</v>
      </c>
      <c r="AO71" s="1047">
        <f t="shared" si="31"/>
        <v>5.6614913974679668E-3</v>
      </c>
      <c r="AP71" s="1071">
        <f t="shared" si="32"/>
        <v>0.59895410921599224</v>
      </c>
    </row>
    <row r="72" spans="1:42" x14ac:dyDescent="0.3">
      <c r="A72" s="630" t="s">
        <v>172</v>
      </c>
      <c r="B72" s="500" t="s">
        <v>173</v>
      </c>
      <c r="C72" s="631" t="s">
        <v>255</v>
      </c>
      <c r="D72" s="676">
        <f>'Administration LASER'!D71+'Other Oper Exp. LASER'!D71</f>
        <v>947193.51007314515</v>
      </c>
      <c r="E72" s="677">
        <f>'Administration LASER'!E71+'Other Oper Exp. LASER'!E71</f>
        <v>419616.81992685481</v>
      </c>
      <c r="F72" s="677">
        <f>'Administration LASER'!F71+'Other Oper Exp. LASER'!F71</f>
        <v>416029.36</v>
      </c>
      <c r="G72" s="677">
        <f>'Administration LASER'!J71 + 'Other Oper Exp. LASER'!J71</f>
        <v>73349.430000000008</v>
      </c>
      <c r="H72" s="678">
        <f>'Administration LASER'!I71+'Other Oper Exp. LASER'!I71</f>
        <v>1856189.1199999999</v>
      </c>
      <c r="I72" s="676">
        <f>'Client Services LASER'!D71</f>
        <v>28555.3983177595</v>
      </c>
      <c r="J72" s="677">
        <f>'Client Services LASER'!E71</f>
        <v>7972.5316822405002</v>
      </c>
      <c r="K72" s="677">
        <f>'Client Services LASER'!F71</f>
        <v>8946.01</v>
      </c>
      <c r="L72" s="677">
        <f>'Client Services LASER'!J71</f>
        <v>765.74</v>
      </c>
      <c r="M72" s="678">
        <f>'Client Services LASER'!I71</f>
        <v>46239.68</v>
      </c>
      <c r="N72" s="1666">
        <f>'Statewide Benefits'!D72</f>
        <v>22114523.560625821</v>
      </c>
      <c r="O72" s="1667">
        <f>'Statewide Benefits'!E72</f>
        <v>18042583.173988611</v>
      </c>
      <c r="P72" s="1667">
        <f>'Statewide Benefits'!F72</f>
        <v>370289.83</v>
      </c>
      <c r="Q72" s="2078">
        <f>'Statewide Benefits'!G72</f>
        <v>0</v>
      </c>
      <c r="R72" s="1668">
        <f t="shared" si="21"/>
        <v>40527396.56461443</v>
      </c>
      <c r="S72" s="1666">
        <f>'Other Benefits LASER'!D71+'FC &amp; Adoptions LASER'!D71</f>
        <v>228024.15</v>
      </c>
      <c r="T72" s="1667">
        <f>'Other Benefits LASER'!E71 + 'FC &amp; Adoptions LASER'!E71</f>
        <v>286977.52</v>
      </c>
      <c r="U72" s="1667">
        <f>'Other Benefits LASER'!F71+'FC &amp; Adoptions LASER'!F71</f>
        <v>16673.599999999999</v>
      </c>
      <c r="V72" s="2078">
        <f>'FC &amp; Adoptions LASER'!J71+'Other Benefits LASER'!J71</f>
        <v>287.87</v>
      </c>
      <c r="W72" s="1668">
        <f>'Other Benefits LASER'!I71+'FC &amp; Adoptions LASER'!I71</f>
        <v>531963.14</v>
      </c>
      <c r="X72" s="1666">
        <f t="shared" si="33"/>
        <v>23318296.619016726</v>
      </c>
      <c r="Y72" s="1667">
        <f t="shared" si="34"/>
        <v>18757150.045597706</v>
      </c>
      <c r="Z72" s="1667">
        <f t="shared" si="35"/>
        <v>811938.79999999993</v>
      </c>
      <c r="AA72" s="2078">
        <f t="shared" si="36"/>
        <v>74403.040000000008</v>
      </c>
      <c r="AB72" s="1668">
        <f t="shared" si="37"/>
        <v>42961788.504614428</v>
      </c>
      <c r="AD72" s="523">
        <f t="shared" si="22"/>
        <v>0.51028933413484567</v>
      </c>
      <c r="AE72" s="524">
        <f t="shared" si="23"/>
        <v>0.2260636135647939</v>
      </c>
      <c r="AF72" s="524">
        <f t="shared" si="24"/>
        <v>0.22413091183294945</v>
      </c>
      <c r="AG72" s="524">
        <f t="shared" si="25"/>
        <v>3.9516140467410997E-2</v>
      </c>
      <c r="AH72" s="525">
        <f t="shared" si="26"/>
        <v>0.73635294769963966</v>
      </c>
      <c r="AJ72" s="1069">
        <f t="shared" si="27"/>
        <v>4.3205583021773658E-2</v>
      </c>
      <c r="AK72" s="1047">
        <f t="shared" si="28"/>
        <v>1.0762978360417538E-3</v>
      </c>
      <c r="AL72" s="1071">
        <f t="shared" si="29"/>
        <v>0.95571811914218463</v>
      </c>
      <c r="AN72" s="1069">
        <f t="shared" si="30"/>
        <v>0.51239004713163117</v>
      </c>
      <c r="AO72" s="1047">
        <f t="shared" si="31"/>
        <v>1.1018084121611137E-2</v>
      </c>
      <c r="AP72" s="1071">
        <f t="shared" si="32"/>
        <v>0.4765918687467578</v>
      </c>
    </row>
    <row r="73" spans="1:42" x14ac:dyDescent="0.3">
      <c r="A73" s="630" t="s">
        <v>174</v>
      </c>
      <c r="B73" s="500" t="s">
        <v>175</v>
      </c>
      <c r="C73" s="631" t="s">
        <v>256</v>
      </c>
      <c r="D73" s="676">
        <f>'Administration LASER'!D72+'Other Oper Exp. LASER'!D72</f>
        <v>836086.13104051386</v>
      </c>
      <c r="E73" s="677">
        <f>'Administration LASER'!E72+'Other Oper Exp. LASER'!E72</f>
        <v>367532.55895948608</v>
      </c>
      <c r="F73" s="677">
        <f>'Administration LASER'!F72+'Other Oper Exp. LASER'!F72</f>
        <v>372179.32</v>
      </c>
      <c r="G73" s="677">
        <f>'Administration LASER'!J72 + 'Other Oper Exp. LASER'!J72</f>
        <v>52103.25</v>
      </c>
      <c r="H73" s="678">
        <f>'Administration LASER'!I72+'Other Oper Exp. LASER'!I72</f>
        <v>1627901.26</v>
      </c>
      <c r="I73" s="676">
        <f>'Client Services LASER'!D72</f>
        <v>41697.787523069048</v>
      </c>
      <c r="J73" s="677">
        <f>'Client Services LASER'!E72</f>
        <v>28622.162476930949</v>
      </c>
      <c r="K73" s="677">
        <f>'Client Services LASER'!F72</f>
        <v>13153.3</v>
      </c>
      <c r="L73" s="677">
        <f>'Client Services LASER'!J72</f>
        <v>-0.14000000000000001</v>
      </c>
      <c r="M73" s="678">
        <f>'Client Services LASER'!I72</f>
        <v>83473.11</v>
      </c>
      <c r="N73" s="1666">
        <f>'Statewide Benefits'!D73</f>
        <v>20784911.275842022</v>
      </c>
      <c r="O73" s="1667">
        <f>'Statewide Benefits'!E73</f>
        <v>16892723.571461637</v>
      </c>
      <c r="P73" s="1667">
        <f>'Statewide Benefits'!F73</f>
        <v>183125.86</v>
      </c>
      <c r="Q73" s="2078">
        <f>'Statewide Benefits'!G73</f>
        <v>0</v>
      </c>
      <c r="R73" s="1668">
        <f t="shared" si="21"/>
        <v>37860760.707303658</v>
      </c>
      <c r="S73" s="1666">
        <f>'Other Benefits LASER'!D72+'FC &amp; Adoptions LASER'!D72</f>
        <v>100529.31</v>
      </c>
      <c r="T73" s="1667">
        <f>'Other Benefits LASER'!E72 + 'FC &amp; Adoptions LASER'!E72</f>
        <v>162560.51</v>
      </c>
      <c r="U73" s="1667">
        <f>'Other Benefits LASER'!F72+'FC &amp; Adoptions LASER'!F72</f>
        <v>15507.8</v>
      </c>
      <c r="V73" s="2078">
        <f>'FC &amp; Adoptions LASER'!J72+'Other Benefits LASER'!J72</f>
        <v>-0.08</v>
      </c>
      <c r="W73" s="1668">
        <f>'Other Benefits LASER'!I72+'FC &amp; Adoptions LASER'!I72</f>
        <v>278597.54000000004</v>
      </c>
      <c r="X73" s="1666">
        <f t="shared" si="33"/>
        <v>21763224.504405603</v>
      </c>
      <c r="Y73" s="1667">
        <f t="shared" si="34"/>
        <v>17451438.802898057</v>
      </c>
      <c r="Z73" s="1667">
        <f t="shared" si="35"/>
        <v>583966.28</v>
      </c>
      <c r="AA73" s="2078">
        <f t="shared" si="36"/>
        <v>52103.03</v>
      </c>
      <c r="AB73" s="1668">
        <f t="shared" si="37"/>
        <v>39850732.617303655</v>
      </c>
      <c r="AD73" s="523">
        <f t="shared" si="22"/>
        <v>0.51359756981852445</v>
      </c>
      <c r="AE73" s="524">
        <f t="shared" si="23"/>
        <v>0.22577079334620459</v>
      </c>
      <c r="AF73" s="524">
        <f t="shared" si="24"/>
        <v>0.22862524229510087</v>
      </c>
      <c r="AG73" s="524">
        <f t="shared" si="25"/>
        <v>3.2006394540170083E-2</v>
      </c>
      <c r="AH73" s="525">
        <f t="shared" si="26"/>
        <v>0.73936836316472898</v>
      </c>
      <c r="AJ73" s="1069">
        <f t="shared" si="27"/>
        <v>4.0849970705259912E-2</v>
      </c>
      <c r="AK73" s="1047">
        <f t="shared" si="28"/>
        <v>2.0946443018152947E-3</v>
      </c>
      <c r="AL73" s="1071">
        <f t="shared" si="29"/>
        <v>0.95705538499292486</v>
      </c>
      <c r="AN73" s="1069">
        <f t="shared" si="30"/>
        <v>0.63733015543294724</v>
      </c>
      <c r="AO73" s="1047">
        <f t="shared" si="31"/>
        <v>2.2524074506493762E-2</v>
      </c>
      <c r="AP73" s="1071">
        <f t="shared" si="32"/>
        <v>0.34014577006055891</v>
      </c>
    </row>
    <row r="74" spans="1:42" x14ac:dyDescent="0.3">
      <c r="A74" s="630" t="s">
        <v>178</v>
      </c>
      <c r="B74" s="500" t="s">
        <v>179</v>
      </c>
      <c r="C74" s="631" t="s">
        <v>253</v>
      </c>
      <c r="D74" s="676">
        <f>'Administration LASER'!D73+'Other Oper Exp. LASER'!D73</f>
        <v>2212162.012911926</v>
      </c>
      <c r="E74" s="677">
        <f>'Administration LASER'!E73+'Other Oper Exp. LASER'!E73</f>
        <v>1047812.5170880738</v>
      </c>
      <c r="F74" s="677">
        <f>'Administration LASER'!F73+'Other Oper Exp. LASER'!F73</f>
        <v>644906.72</v>
      </c>
      <c r="G74" s="677">
        <f>'Administration LASER'!J73 + 'Other Oper Exp. LASER'!J73</f>
        <v>223627.09999999998</v>
      </c>
      <c r="H74" s="678">
        <f>'Administration LASER'!I73+'Other Oper Exp. LASER'!I73</f>
        <v>4128508.35</v>
      </c>
      <c r="I74" s="676">
        <f>'Client Services LASER'!D73</f>
        <v>78866.854026038258</v>
      </c>
      <c r="J74" s="677">
        <f>'Client Services LASER'!E73</f>
        <v>25197.125973961738</v>
      </c>
      <c r="K74" s="677">
        <f>'Client Services LASER'!F73</f>
        <v>20836.490000000002</v>
      </c>
      <c r="L74" s="677">
        <f>'Client Services LASER'!J73</f>
        <v>-0.21000000000000002</v>
      </c>
      <c r="M74" s="678">
        <f>'Client Services LASER'!I73</f>
        <v>124900.26</v>
      </c>
      <c r="N74" s="1666">
        <f>'Statewide Benefits'!D74</f>
        <v>69665341.546974003</v>
      </c>
      <c r="O74" s="1667">
        <f>'Statewide Benefits'!E74</f>
        <v>59383130.752771176</v>
      </c>
      <c r="P74" s="1667">
        <f>'Statewide Benefits'!F74</f>
        <v>1337881.06</v>
      </c>
      <c r="Q74" s="2078">
        <f>'Statewide Benefits'!G74</f>
        <v>0</v>
      </c>
      <c r="R74" s="1668">
        <f t="shared" si="21"/>
        <v>130386353.35974517</v>
      </c>
      <c r="S74" s="1666">
        <f>'Other Benefits LASER'!D73+'FC &amp; Adoptions LASER'!D73</f>
        <v>238710.88999999998</v>
      </c>
      <c r="T74" s="1667">
        <f>'Other Benefits LASER'!E73 + 'FC &amp; Adoptions LASER'!E73</f>
        <v>442278.49</v>
      </c>
      <c r="U74" s="1667">
        <f>'Other Benefits LASER'!F73+'FC &amp; Adoptions LASER'!F73</f>
        <v>21122.400000000001</v>
      </c>
      <c r="V74" s="2078">
        <f>'FC &amp; Adoptions LASER'!J73+'Other Benefits LASER'!J73</f>
        <v>-0.27</v>
      </c>
      <c r="W74" s="1668">
        <f>'Other Benefits LASER'!I73+'FC &amp; Adoptions LASER'!I73</f>
        <v>702111.51</v>
      </c>
      <c r="X74" s="1666">
        <f t="shared" si="33"/>
        <v>72195081.303911969</v>
      </c>
      <c r="Y74" s="1667">
        <f t="shared" si="34"/>
        <v>60898418.885833211</v>
      </c>
      <c r="Z74" s="1667">
        <f t="shared" si="35"/>
        <v>2024746.67</v>
      </c>
      <c r="AA74" s="2078">
        <f t="shared" si="36"/>
        <v>223626.62</v>
      </c>
      <c r="AB74" s="1668">
        <f t="shared" si="37"/>
        <v>135341873.47974518</v>
      </c>
      <c r="AD74" s="523">
        <f t="shared" si="22"/>
        <v>0.53582597523677677</v>
      </c>
      <c r="AE74" s="524">
        <f t="shared" si="23"/>
        <v>0.25379929704830895</v>
      </c>
      <c r="AF74" s="524">
        <f t="shared" si="24"/>
        <v>0.15620816656456563</v>
      </c>
      <c r="AG74" s="524">
        <f t="shared" si="25"/>
        <v>5.4166561150348638E-2</v>
      </c>
      <c r="AH74" s="525">
        <f t="shared" si="26"/>
        <v>0.78962527228508561</v>
      </c>
      <c r="AJ74" s="1069">
        <f t="shared" si="27"/>
        <v>3.050429437581163E-2</v>
      </c>
      <c r="AK74" s="1047">
        <f t="shared" si="28"/>
        <v>9.228500891018932E-4</v>
      </c>
      <c r="AL74" s="1071">
        <f t="shared" si="29"/>
        <v>0.96857285553508643</v>
      </c>
      <c r="AN74" s="1069">
        <f t="shared" si="30"/>
        <v>0.31851230060301816</v>
      </c>
      <c r="AO74" s="1047">
        <f t="shared" si="31"/>
        <v>1.0290912097166212E-2</v>
      </c>
      <c r="AP74" s="1071">
        <f t="shared" si="32"/>
        <v>0.67119678729981569</v>
      </c>
    </row>
    <row r="75" spans="1:42" x14ac:dyDescent="0.3">
      <c r="A75" s="630" t="s">
        <v>182</v>
      </c>
      <c r="B75" s="500" t="s">
        <v>183</v>
      </c>
      <c r="C75" s="631" t="s">
        <v>254</v>
      </c>
      <c r="D75" s="676">
        <f>'Administration LASER'!D74+'Other Oper Exp. LASER'!D74</f>
        <v>712850.89656378457</v>
      </c>
      <c r="E75" s="677">
        <f>'Administration LASER'!E74+'Other Oper Exp. LASER'!E74</f>
        <v>213219.39343621535</v>
      </c>
      <c r="F75" s="677">
        <f>'Administration LASER'!F74+'Other Oper Exp. LASER'!F74</f>
        <v>598945.13</v>
      </c>
      <c r="G75" s="677">
        <f>'Administration LASER'!J74 + 'Other Oper Exp. LASER'!J74</f>
        <v>81199.61</v>
      </c>
      <c r="H75" s="678">
        <f>'Administration LASER'!I74+'Other Oper Exp. LASER'!I74</f>
        <v>1606215.0299999998</v>
      </c>
      <c r="I75" s="676">
        <f>'Client Services LASER'!D74</f>
        <v>17968.682240443399</v>
      </c>
      <c r="J75" s="677">
        <f>'Client Services LASER'!E74</f>
        <v>7948.9077595566005</v>
      </c>
      <c r="K75" s="677">
        <f>'Client Services LASER'!F74</f>
        <v>4772.84</v>
      </c>
      <c r="L75" s="677">
        <f>'Client Services LASER'!J74</f>
        <v>430.30999999999995</v>
      </c>
      <c r="M75" s="678">
        <f>'Client Services LASER'!I74</f>
        <v>31120.739999999998</v>
      </c>
      <c r="N75" s="1666">
        <f>'Statewide Benefits'!D75</f>
        <v>12358503.814289134</v>
      </c>
      <c r="O75" s="1667">
        <f>'Statewide Benefits'!E75</f>
        <v>10962215.129965898</v>
      </c>
      <c r="P75" s="1667">
        <f>'Statewide Benefits'!F75</f>
        <v>752681.98</v>
      </c>
      <c r="Q75" s="2078">
        <f>'Statewide Benefits'!G75</f>
        <v>0</v>
      </c>
      <c r="R75" s="1668">
        <f t="shared" si="21"/>
        <v>24073400.924255032</v>
      </c>
      <c r="S75" s="1666">
        <f>'Other Benefits LASER'!D74+'FC &amp; Adoptions LASER'!D74</f>
        <v>136157.04</v>
      </c>
      <c r="T75" s="1667">
        <f>'Other Benefits LASER'!E74 + 'FC &amp; Adoptions LASER'!E74</f>
        <v>179047.84000000003</v>
      </c>
      <c r="U75" s="1667">
        <f>'Other Benefits LASER'!F74+'FC &amp; Adoptions LASER'!F74</f>
        <v>11097.2</v>
      </c>
      <c r="V75" s="2078">
        <f>'FC &amp; Adoptions LASER'!J74+'Other Benefits LASER'!J74</f>
        <v>-0.04</v>
      </c>
      <c r="W75" s="1668">
        <f>'Other Benefits LASER'!I74+'FC &amp; Adoptions LASER'!I74</f>
        <v>326302.04000000004</v>
      </c>
      <c r="X75" s="1666">
        <f t="shared" si="33"/>
        <v>13225480.433093362</v>
      </c>
      <c r="Y75" s="1667">
        <f t="shared" si="34"/>
        <v>11362431.27116167</v>
      </c>
      <c r="Z75" s="1667">
        <f t="shared" si="35"/>
        <v>1367497.15</v>
      </c>
      <c r="AA75" s="2078">
        <f t="shared" si="36"/>
        <v>81629.88</v>
      </c>
      <c r="AB75" s="1668">
        <f t="shared" si="37"/>
        <v>26037038.734255031</v>
      </c>
      <c r="AD75" s="523">
        <f t="shared" si="22"/>
        <v>0.44380788577466163</v>
      </c>
      <c r="AE75" s="524">
        <f t="shared" si="23"/>
        <v>0.13274648129535643</v>
      </c>
      <c r="AF75" s="524">
        <f t="shared" si="24"/>
        <v>0.37289224594044551</v>
      </c>
      <c r="AG75" s="524">
        <f t="shared" si="25"/>
        <v>5.0553386989536521E-2</v>
      </c>
      <c r="AH75" s="525">
        <f t="shared" si="26"/>
        <v>0.57655436707001806</v>
      </c>
      <c r="AJ75" s="1069">
        <f t="shared" si="27"/>
        <v>6.1689620175078508E-2</v>
      </c>
      <c r="AK75" s="1047">
        <f t="shared" si="28"/>
        <v>1.1952488267821606E-3</v>
      </c>
      <c r="AL75" s="1071">
        <f t="shared" si="29"/>
        <v>0.93711513099813937</v>
      </c>
      <c r="AN75" s="1069">
        <f t="shared" si="30"/>
        <v>0.43798638264072437</v>
      </c>
      <c r="AO75" s="1047">
        <f t="shared" si="31"/>
        <v>3.4902010581886775E-3</v>
      </c>
      <c r="AP75" s="1071">
        <f t="shared" si="32"/>
        <v>0.55852341630108693</v>
      </c>
    </row>
    <row r="76" spans="1:42" x14ac:dyDescent="0.3">
      <c r="A76" s="630" t="s">
        <v>184</v>
      </c>
      <c r="B76" s="500" t="s">
        <v>185</v>
      </c>
      <c r="C76" s="631" t="s">
        <v>254</v>
      </c>
      <c r="D76" s="676">
        <f>'Administration LASER'!D75+'Other Oper Exp. LASER'!D75</f>
        <v>1160245.4237653555</v>
      </c>
      <c r="E76" s="677">
        <f>'Administration LASER'!E75+'Other Oper Exp. LASER'!E75</f>
        <v>473378.46623464458</v>
      </c>
      <c r="F76" s="677">
        <f>'Administration LASER'!F75+'Other Oper Exp. LASER'!F75</f>
        <v>598443.39</v>
      </c>
      <c r="G76" s="677">
        <f>'Administration LASER'!J75 + 'Other Oper Exp. LASER'!J75</f>
        <v>98395.41</v>
      </c>
      <c r="H76" s="678">
        <f>'Administration LASER'!I75+'Other Oper Exp. LASER'!I75</f>
        <v>2330462.69</v>
      </c>
      <c r="I76" s="676">
        <f>'Client Services LASER'!D75</f>
        <v>25350.310748251573</v>
      </c>
      <c r="J76" s="677">
        <f>'Client Services LASER'!E75</f>
        <v>42731.319251748435</v>
      </c>
      <c r="K76" s="677">
        <f>'Client Services LASER'!F75</f>
        <v>12691.51</v>
      </c>
      <c r="L76" s="677">
        <f>'Client Services LASER'!J75</f>
        <v>-0.05</v>
      </c>
      <c r="M76" s="678">
        <f>'Client Services LASER'!I75</f>
        <v>80773.09</v>
      </c>
      <c r="N76" s="1666">
        <f>'Statewide Benefits'!D76</f>
        <v>24927967.592924133</v>
      </c>
      <c r="O76" s="1667">
        <f>'Statewide Benefits'!E76</f>
        <v>20201180.791890219</v>
      </c>
      <c r="P76" s="1667">
        <f>'Statewide Benefits'!F76</f>
        <v>133723.30000000002</v>
      </c>
      <c r="Q76" s="2078">
        <f>'Statewide Benefits'!G76</f>
        <v>0</v>
      </c>
      <c r="R76" s="1668">
        <f t="shared" si="21"/>
        <v>45262871.684814349</v>
      </c>
      <c r="S76" s="1666">
        <f>'Other Benefits LASER'!D75+'FC &amp; Adoptions LASER'!D75</f>
        <v>321757.86</v>
      </c>
      <c r="T76" s="1667">
        <f>'Other Benefits LASER'!E75 + 'FC &amp; Adoptions LASER'!E75</f>
        <v>570812.46</v>
      </c>
      <c r="U76" s="1667">
        <f>'Other Benefits LASER'!F75+'FC &amp; Adoptions LASER'!F75</f>
        <v>20787.400000000001</v>
      </c>
      <c r="V76" s="2078">
        <f>'FC &amp; Adoptions LASER'!J75+'Other Benefits LASER'!J75</f>
        <v>-0.02</v>
      </c>
      <c r="W76" s="1668">
        <f>'Other Benefits LASER'!I75+'FC &amp; Adoptions LASER'!I75</f>
        <v>913357.7</v>
      </c>
      <c r="X76" s="1666">
        <f t="shared" si="33"/>
        <v>26435321.187437739</v>
      </c>
      <c r="Y76" s="1667">
        <f t="shared" si="34"/>
        <v>21288103.037376612</v>
      </c>
      <c r="Z76" s="1667">
        <f t="shared" si="35"/>
        <v>765645.60000000009</v>
      </c>
      <c r="AA76" s="2078">
        <f t="shared" si="36"/>
        <v>98395.34</v>
      </c>
      <c r="AB76" s="1668">
        <f t="shared" si="37"/>
        <v>48587465.164814353</v>
      </c>
      <c r="AD76" s="523">
        <f t="shared" si="22"/>
        <v>0.49786054449357242</v>
      </c>
      <c r="AE76" s="524">
        <f t="shared" si="23"/>
        <v>0.20312638698997776</v>
      </c>
      <c r="AF76" s="524">
        <f t="shared" si="24"/>
        <v>0.25679166311819396</v>
      </c>
      <c r="AG76" s="524">
        <f t="shared" si="25"/>
        <v>4.2221405398255918E-2</v>
      </c>
      <c r="AH76" s="525">
        <f t="shared" si="26"/>
        <v>0.70098693148355018</v>
      </c>
      <c r="AJ76" s="1069">
        <f t="shared" si="27"/>
        <v>4.7964278072436965E-2</v>
      </c>
      <c r="AK76" s="1047">
        <f t="shared" si="28"/>
        <v>1.6624265070426755E-3</v>
      </c>
      <c r="AL76" s="1071">
        <f t="shared" si="29"/>
        <v>0.95037329542052029</v>
      </c>
      <c r="AN76" s="1069">
        <f t="shared" si="30"/>
        <v>0.78161931577743016</v>
      </c>
      <c r="AO76" s="1047">
        <f t="shared" si="31"/>
        <v>1.657622012064067E-2</v>
      </c>
      <c r="AP76" s="1071">
        <f t="shared" si="32"/>
        <v>0.20180446410192912</v>
      </c>
    </row>
    <row r="77" spans="1:42" x14ac:dyDescent="0.3">
      <c r="A77" s="630" t="s">
        <v>186</v>
      </c>
      <c r="B77" s="500" t="s">
        <v>187</v>
      </c>
      <c r="C77" s="631" t="s">
        <v>252</v>
      </c>
      <c r="D77" s="676">
        <f>'Administration LASER'!D76+'Other Oper Exp. LASER'!D76</f>
        <v>1042102.4459284015</v>
      </c>
      <c r="E77" s="677">
        <f>'Administration LASER'!E76+'Other Oper Exp. LASER'!E76</f>
        <v>378807.6240715984</v>
      </c>
      <c r="F77" s="677">
        <f>'Administration LASER'!F76+'Other Oper Exp. LASER'!F76</f>
        <v>673433.78</v>
      </c>
      <c r="G77" s="677">
        <f>'Administration LASER'!J76 + 'Other Oper Exp. LASER'!J76</f>
        <v>108601.04999999997</v>
      </c>
      <c r="H77" s="678">
        <f>'Administration LASER'!I76+'Other Oper Exp. LASER'!I76</f>
        <v>2202944.9</v>
      </c>
      <c r="I77" s="676">
        <f>'Client Services LASER'!D76</f>
        <v>17105.679077194232</v>
      </c>
      <c r="J77" s="677">
        <f>'Client Services LASER'!E76</f>
        <v>10299.710922805767</v>
      </c>
      <c r="K77" s="677">
        <f>'Client Services LASER'!F76</f>
        <v>5044.8500000000004</v>
      </c>
      <c r="L77" s="677">
        <f>'Client Services LASER'!J76</f>
        <v>-7.0000000000000007E-2</v>
      </c>
      <c r="M77" s="678">
        <f>'Client Services LASER'!I76</f>
        <v>32450.17</v>
      </c>
      <c r="N77" s="1666">
        <f>'Statewide Benefits'!D77</f>
        <v>23203742.337544039</v>
      </c>
      <c r="O77" s="1667">
        <f>'Statewide Benefits'!E77</f>
        <v>18953482.864886139</v>
      </c>
      <c r="P77" s="1667">
        <f>'Statewide Benefits'!F77</f>
        <v>869724.87</v>
      </c>
      <c r="Q77" s="2078">
        <f>'Statewide Benefits'!G77</f>
        <v>0</v>
      </c>
      <c r="R77" s="1668">
        <f t="shared" si="21"/>
        <v>43026950.072430171</v>
      </c>
      <c r="S77" s="1666">
        <f>'Other Benefits LASER'!D76+'FC &amp; Adoptions LASER'!D76</f>
        <v>181513.89</v>
      </c>
      <c r="T77" s="1667">
        <f>'Other Benefits LASER'!E76 + 'FC &amp; Adoptions LASER'!E76</f>
        <v>268587.29000000004</v>
      </c>
      <c r="U77" s="1667">
        <f>'Other Benefits LASER'!F76+'FC &amp; Adoptions LASER'!F76</f>
        <v>10305.6</v>
      </c>
      <c r="V77" s="2078">
        <f>'FC &amp; Adoptions LASER'!J76+'Other Benefits LASER'!J76</f>
        <v>-0.06</v>
      </c>
      <c r="W77" s="1668">
        <f>'Other Benefits LASER'!I76+'FC &amp; Adoptions LASER'!I76</f>
        <v>460406.72000000003</v>
      </c>
      <c r="X77" s="1666">
        <f t="shared" si="33"/>
        <v>24444464.352549635</v>
      </c>
      <c r="Y77" s="1667">
        <f t="shared" si="34"/>
        <v>19611177.489880543</v>
      </c>
      <c r="Z77" s="1667">
        <f t="shared" si="35"/>
        <v>1558509.1</v>
      </c>
      <c r="AA77" s="2078">
        <f t="shared" si="36"/>
        <v>108600.91999999997</v>
      </c>
      <c r="AB77" s="1668">
        <f t="shared" si="37"/>
        <v>45722751.86243017</v>
      </c>
      <c r="AD77" s="523">
        <f t="shared" si="22"/>
        <v>0.47304970992619999</v>
      </c>
      <c r="AE77" s="524">
        <f t="shared" si="23"/>
        <v>0.1719551061270749</v>
      </c>
      <c r="AF77" s="524">
        <f t="shared" si="24"/>
        <v>0.30569706033046951</v>
      </c>
      <c r="AG77" s="524">
        <f t="shared" si="25"/>
        <v>4.9298123616255664E-2</v>
      </c>
      <c r="AH77" s="525">
        <f t="shared" si="26"/>
        <v>0.64500481605327487</v>
      </c>
      <c r="AJ77" s="1069">
        <f t="shared" si="27"/>
        <v>4.8180496804483303E-2</v>
      </c>
      <c r="AK77" s="1047">
        <f t="shared" si="28"/>
        <v>7.0971603147674731E-4</v>
      </c>
      <c r="AL77" s="1071">
        <f t="shared" si="29"/>
        <v>0.95110978716403993</v>
      </c>
      <c r="AN77" s="1069">
        <f t="shared" si="30"/>
        <v>0.43210128192385916</v>
      </c>
      <c r="AO77" s="1047">
        <f t="shared" si="31"/>
        <v>3.2369717956731853E-3</v>
      </c>
      <c r="AP77" s="1071">
        <f t="shared" si="32"/>
        <v>0.56466174628046761</v>
      </c>
    </row>
    <row r="78" spans="1:42" x14ac:dyDescent="0.3">
      <c r="A78" s="630" t="s">
        <v>188</v>
      </c>
      <c r="B78" s="500" t="s">
        <v>189</v>
      </c>
      <c r="C78" s="631" t="s">
        <v>255</v>
      </c>
      <c r="D78" s="676">
        <f>'Administration LASER'!D77+'Other Oper Exp. LASER'!D77</f>
        <v>12306112.548883662</v>
      </c>
      <c r="E78" s="677">
        <f>'Administration LASER'!E77+'Other Oper Exp. LASER'!E77</f>
        <v>3485816.2211163417</v>
      </c>
      <c r="F78" s="677">
        <f>'Administration LASER'!F77+'Other Oper Exp. LASER'!F77</f>
        <v>10626401.579999998</v>
      </c>
      <c r="G78" s="677">
        <f>'Administration LASER'!J77 + 'Other Oper Exp. LASER'!J77</f>
        <v>1733988.4600000002</v>
      </c>
      <c r="H78" s="678">
        <f>'Administration LASER'!I77+'Other Oper Exp. LASER'!I77</f>
        <v>28152318.809999999</v>
      </c>
      <c r="I78" s="676">
        <f>'Client Services LASER'!D77</f>
        <v>376145.10974365257</v>
      </c>
      <c r="J78" s="677">
        <f>'Client Services LASER'!E77</f>
        <v>215246.31025634741</v>
      </c>
      <c r="K78" s="677">
        <f>'Client Services LASER'!F77</f>
        <v>123119.65</v>
      </c>
      <c r="L78" s="677">
        <f>'Client Services LASER'!J77</f>
        <v>98599.07</v>
      </c>
      <c r="M78" s="678">
        <f>'Client Services LASER'!I77</f>
        <v>813110.1399999999</v>
      </c>
      <c r="N78" s="1666">
        <f>'Statewide Benefits'!D78</f>
        <v>244837898.2414996</v>
      </c>
      <c r="O78" s="1667">
        <f>'Statewide Benefits'!E78</f>
        <v>197265160.82334659</v>
      </c>
      <c r="P78" s="1667">
        <f>'Statewide Benefits'!F78</f>
        <v>6483612.7300000004</v>
      </c>
      <c r="Q78" s="2078">
        <f>'Statewide Benefits'!G78</f>
        <v>0</v>
      </c>
      <c r="R78" s="1668">
        <f t="shared" si="21"/>
        <v>448586671.79484618</v>
      </c>
      <c r="S78" s="1666">
        <f>'Other Benefits LASER'!D77+'FC &amp; Adoptions LASER'!D77</f>
        <v>1283692.42</v>
      </c>
      <c r="T78" s="1667">
        <f>'Other Benefits LASER'!E77 + 'FC &amp; Adoptions LASER'!E77</f>
        <v>1972673.31</v>
      </c>
      <c r="U78" s="1667">
        <f>'Other Benefits LASER'!F77+'FC &amp; Adoptions LASER'!F77</f>
        <v>82119.600000000006</v>
      </c>
      <c r="V78" s="2078">
        <f>'FC &amp; Adoptions LASER'!J77+'Other Benefits LASER'!J77</f>
        <v>-0.29000000000000004</v>
      </c>
      <c r="W78" s="1668">
        <f>'Other Benefits LASER'!I77+'FC &amp; Adoptions LASER'!I77</f>
        <v>3338485.04</v>
      </c>
      <c r="X78" s="1666">
        <f t="shared" si="33"/>
        <v>258803848.32012689</v>
      </c>
      <c r="Y78" s="1667">
        <f t="shared" si="34"/>
        <v>202938896.66471928</v>
      </c>
      <c r="Z78" s="1667">
        <f t="shared" si="35"/>
        <v>17315253.560000002</v>
      </c>
      <c r="AA78" s="2078">
        <f t="shared" si="36"/>
        <v>1832587.2400000002</v>
      </c>
      <c r="AB78" s="1668">
        <f t="shared" si="37"/>
        <v>480890585.78484619</v>
      </c>
      <c r="AD78" s="523">
        <f t="shared" si="22"/>
        <v>0.43712607234727685</v>
      </c>
      <c r="AE78" s="524">
        <f t="shared" si="23"/>
        <v>0.12381986168322814</v>
      </c>
      <c r="AF78" s="524">
        <f t="shared" si="24"/>
        <v>0.37746097050539895</v>
      </c>
      <c r="AG78" s="524">
        <f t="shared" si="25"/>
        <v>6.1593095464096172E-2</v>
      </c>
      <c r="AH78" s="525">
        <f t="shared" si="26"/>
        <v>0.56094593403050497</v>
      </c>
      <c r="AJ78" s="1069">
        <f t="shared" si="27"/>
        <v>5.8542046033306094E-2</v>
      </c>
      <c r="AK78" s="1047">
        <f t="shared" si="28"/>
        <v>1.6908422914392238E-3</v>
      </c>
      <c r="AL78" s="1071">
        <f t="shared" si="29"/>
        <v>0.93976711167525473</v>
      </c>
      <c r="AN78" s="1069">
        <f t="shared" si="30"/>
        <v>0.61370175973328323</v>
      </c>
      <c r="AO78" s="1047">
        <f t="shared" si="31"/>
        <v>7.1104734085106853E-3</v>
      </c>
      <c r="AP78" s="1071">
        <f t="shared" si="32"/>
        <v>0.37918776685820588</v>
      </c>
    </row>
    <row r="79" spans="1:42" x14ac:dyDescent="0.3">
      <c r="A79" s="630" t="s">
        <v>190</v>
      </c>
      <c r="B79" s="500" t="s">
        <v>191</v>
      </c>
      <c r="C79" s="631" t="s">
        <v>256</v>
      </c>
      <c r="D79" s="676">
        <f>'Administration LASER'!D78+'Other Oper Exp. LASER'!D78</f>
        <v>2010720.3043036412</v>
      </c>
      <c r="E79" s="677">
        <f>'Administration LASER'!E78+'Other Oper Exp. LASER'!E78</f>
        <v>982130.88569635851</v>
      </c>
      <c r="F79" s="677">
        <f>'Administration LASER'!F78+'Other Oper Exp. LASER'!F78</f>
        <v>579733.00999999989</v>
      </c>
      <c r="G79" s="677">
        <f>'Administration LASER'!J78 + 'Other Oper Exp. LASER'!J78</f>
        <v>116969.57999999999</v>
      </c>
      <c r="H79" s="678">
        <f>'Administration LASER'!I78+'Other Oper Exp. LASER'!I78</f>
        <v>3689553.7799999993</v>
      </c>
      <c r="I79" s="676">
        <f>'Client Services LASER'!D78</f>
        <v>40695.363042528654</v>
      </c>
      <c r="J79" s="677">
        <f>'Client Services LASER'!E78</f>
        <v>15219.916957471345</v>
      </c>
      <c r="K79" s="677">
        <f>'Client Services LASER'!F78</f>
        <v>9618.93</v>
      </c>
      <c r="L79" s="677">
        <f>'Client Services LASER'!J78</f>
        <v>83.110000000000014</v>
      </c>
      <c r="M79" s="678">
        <f>'Client Services LASER'!I78</f>
        <v>65617.319999999992</v>
      </c>
      <c r="N79" s="1666">
        <f>'Statewide Benefits'!D79</f>
        <v>39011072.108302228</v>
      </c>
      <c r="O79" s="1667">
        <f>'Statewide Benefits'!E79</f>
        <v>32325800.371396642</v>
      </c>
      <c r="P79" s="1667">
        <f>'Statewide Benefits'!F79</f>
        <v>808371.79</v>
      </c>
      <c r="Q79" s="2078">
        <f>'Statewide Benefits'!G79</f>
        <v>0</v>
      </c>
      <c r="R79" s="1668">
        <f t="shared" si="21"/>
        <v>72145244.269698873</v>
      </c>
      <c r="S79" s="1666">
        <f>'Other Benefits LASER'!D78+'FC &amp; Adoptions LASER'!D78</f>
        <v>1037213.25</v>
      </c>
      <c r="T79" s="1667">
        <f>'Other Benefits LASER'!E78 + 'FC &amp; Adoptions LASER'!E78</f>
        <v>1201056.1099999999</v>
      </c>
      <c r="U79" s="1667">
        <f>'Other Benefits LASER'!F78+'FC &amp; Adoptions LASER'!F78</f>
        <v>35164.800000000003</v>
      </c>
      <c r="V79" s="2078">
        <f>'FC &amp; Adoptions LASER'!J78+'Other Benefits LASER'!J78</f>
        <v>4365.25</v>
      </c>
      <c r="W79" s="1668">
        <f>'Other Benefits LASER'!I78+'FC &amp; Adoptions LASER'!I78</f>
        <v>2277799.41</v>
      </c>
      <c r="X79" s="1666">
        <f t="shared" si="33"/>
        <v>42099701.0256484</v>
      </c>
      <c r="Y79" s="1667">
        <f t="shared" si="34"/>
        <v>34524207.284050472</v>
      </c>
      <c r="Z79" s="1667">
        <f t="shared" si="35"/>
        <v>1432888.53</v>
      </c>
      <c r="AA79" s="2078">
        <f t="shared" si="36"/>
        <v>121417.93999999999</v>
      </c>
      <c r="AB79" s="1668">
        <f t="shared" si="37"/>
        <v>78178214.779698864</v>
      </c>
      <c r="AD79" s="523">
        <f t="shared" si="22"/>
        <v>0.5449765538594864</v>
      </c>
      <c r="AE79" s="524">
        <f t="shared" si="23"/>
        <v>0.26619232141843413</v>
      </c>
      <c r="AF79" s="524">
        <f t="shared" si="24"/>
        <v>0.1571282178193375</v>
      </c>
      <c r="AG79" s="524">
        <f t="shared" si="25"/>
        <v>3.1702906902742044E-2</v>
      </c>
      <c r="AH79" s="525">
        <f t="shared" si="26"/>
        <v>0.81116887527792048</v>
      </c>
      <c r="AJ79" s="1069">
        <f t="shared" si="27"/>
        <v>4.7194142132778581E-2</v>
      </c>
      <c r="AK79" s="1047">
        <f t="shared" si="28"/>
        <v>8.3932998706743743E-4</v>
      </c>
      <c r="AL79" s="1071">
        <f t="shared" si="29"/>
        <v>0.95196652788015401</v>
      </c>
      <c r="AN79" s="1069">
        <f t="shared" si="30"/>
        <v>0.4045904464040897</v>
      </c>
      <c r="AO79" s="1047">
        <f t="shared" si="31"/>
        <v>6.7129646156076075E-3</v>
      </c>
      <c r="AP79" s="1071">
        <f t="shared" si="32"/>
        <v>0.58869658898030264</v>
      </c>
    </row>
    <row r="80" spans="1:42" x14ac:dyDescent="0.3">
      <c r="A80" s="630" t="s">
        <v>194</v>
      </c>
      <c r="B80" s="500" t="s">
        <v>195</v>
      </c>
      <c r="C80" s="631" t="s">
        <v>255</v>
      </c>
      <c r="D80" s="676">
        <f>'Administration LASER'!D79+'Other Oper Exp. LASER'!D79</f>
        <v>504936.41055606265</v>
      </c>
      <c r="E80" s="677">
        <f>'Administration LASER'!E79+'Other Oper Exp. LASER'!E79</f>
        <v>163556.27944393738</v>
      </c>
      <c r="F80" s="677">
        <f>'Administration LASER'!F79+'Other Oper Exp. LASER'!F79</f>
        <v>391848.32</v>
      </c>
      <c r="G80" s="677">
        <f>'Administration LASER'!J79 + 'Other Oper Exp. LASER'!J79</f>
        <v>44500.36</v>
      </c>
      <c r="H80" s="678">
        <f>'Administration LASER'!I79+'Other Oper Exp. LASER'!I79</f>
        <v>1104841.3700000001</v>
      </c>
      <c r="I80" s="676">
        <f>'Client Services LASER'!D79</f>
        <v>17010.080986248668</v>
      </c>
      <c r="J80" s="677">
        <f>'Client Services LASER'!E79</f>
        <v>3248.719013751333</v>
      </c>
      <c r="K80" s="677">
        <f>'Client Services LASER'!F79</f>
        <v>3264.2200000000003</v>
      </c>
      <c r="L80" s="677">
        <f>'Client Services LASER'!J79</f>
        <v>-7.0000000000000007E-2</v>
      </c>
      <c r="M80" s="678">
        <f>'Client Services LASER'!I79</f>
        <v>23522.95</v>
      </c>
      <c r="N80" s="1666">
        <f>'Statewide Benefits'!D80</f>
        <v>3331347.2222830858</v>
      </c>
      <c r="O80" s="1667">
        <f>'Statewide Benefits'!E80</f>
        <v>3331361.5437651048</v>
      </c>
      <c r="P80" s="1667">
        <f>'Statewide Benefits'!F80</f>
        <v>671606.24</v>
      </c>
      <c r="Q80" s="2078">
        <f>'Statewide Benefits'!G80</f>
        <v>0</v>
      </c>
      <c r="R80" s="1668">
        <f t="shared" si="21"/>
        <v>7334315.0060481913</v>
      </c>
      <c r="S80" s="1666">
        <f>'Other Benefits LASER'!D79+'FC &amp; Adoptions LASER'!D79</f>
        <v>211358.09</v>
      </c>
      <c r="T80" s="1667">
        <f>'Other Benefits LASER'!E79 + 'FC &amp; Adoptions LASER'!E79</f>
        <v>225539.88999999998</v>
      </c>
      <c r="U80" s="1667">
        <f>'Other Benefits LASER'!F79+'FC &amp; Adoptions LASER'!F79</f>
        <v>1440.2</v>
      </c>
      <c r="V80" s="2078">
        <f>'FC &amp; Adoptions LASER'!J79+'Other Benefits LASER'!J79</f>
        <v>5811.91</v>
      </c>
      <c r="W80" s="1668">
        <f>'Other Benefits LASER'!I79+'FC &amp; Adoptions LASER'!I79</f>
        <v>444150.08999999997</v>
      </c>
      <c r="X80" s="1666">
        <f t="shared" si="33"/>
        <v>4064651.803825397</v>
      </c>
      <c r="Y80" s="1667">
        <f t="shared" si="34"/>
        <v>3723706.4322227938</v>
      </c>
      <c r="Z80" s="1667">
        <f t="shared" si="35"/>
        <v>1068158.98</v>
      </c>
      <c r="AA80" s="2078">
        <f t="shared" si="36"/>
        <v>50312.2</v>
      </c>
      <c r="AB80" s="1668">
        <f t="shared" si="37"/>
        <v>8906829.4160481915</v>
      </c>
      <c r="AD80" s="523">
        <f t="shared" si="22"/>
        <v>0.45702163610696672</v>
      </c>
      <c r="AE80" s="524">
        <f t="shared" si="23"/>
        <v>0.14803598406523949</v>
      </c>
      <c r="AF80" s="524">
        <f t="shared" si="24"/>
        <v>0.35466477870936347</v>
      </c>
      <c r="AG80" s="524">
        <f t="shared" si="25"/>
        <v>4.0277601118430241E-2</v>
      </c>
      <c r="AH80" s="525">
        <f t="shared" si="26"/>
        <v>0.60505762017220621</v>
      </c>
      <c r="AJ80" s="1069">
        <f t="shared" si="27"/>
        <v>0.1240442943713858</v>
      </c>
      <c r="AK80" s="1047">
        <f t="shared" si="28"/>
        <v>2.6410015170624805E-3</v>
      </c>
      <c r="AL80" s="1071">
        <f t="shared" si="29"/>
        <v>0.87331470411155165</v>
      </c>
      <c r="AN80" s="1069">
        <f t="shared" si="30"/>
        <v>0.36684456839935942</v>
      </c>
      <c r="AO80" s="1047">
        <f t="shared" si="31"/>
        <v>3.0559308690172697E-3</v>
      </c>
      <c r="AP80" s="1071">
        <f t="shared" si="32"/>
        <v>0.63009950073162324</v>
      </c>
    </row>
    <row r="81" spans="1:42" x14ac:dyDescent="0.3">
      <c r="A81" s="630" t="s">
        <v>198</v>
      </c>
      <c r="B81" s="500" t="s">
        <v>199</v>
      </c>
      <c r="C81" s="631" t="s">
        <v>254</v>
      </c>
      <c r="D81" s="676">
        <f>'Administration LASER'!D80+'Other Oper Exp. LASER'!D80</f>
        <v>455307.7052488582</v>
      </c>
      <c r="E81" s="677">
        <f>'Administration LASER'!E80+'Other Oper Exp. LASER'!E80</f>
        <v>200275.9647511419</v>
      </c>
      <c r="F81" s="677">
        <f>'Administration LASER'!F80+'Other Oper Exp. LASER'!F80</f>
        <v>202995.61</v>
      </c>
      <c r="G81" s="677">
        <f>'Administration LASER'!J80 + 'Other Oper Exp. LASER'!J80</f>
        <v>23230.249999999996</v>
      </c>
      <c r="H81" s="678">
        <f>'Administration LASER'!I80+'Other Oper Exp. LASER'!I80</f>
        <v>881809.53000000014</v>
      </c>
      <c r="I81" s="676">
        <f>'Client Services LASER'!D80</f>
        <v>7268.2100000000009</v>
      </c>
      <c r="J81" s="677">
        <f>'Client Services LASER'!E80</f>
        <v>1255.8900000000001</v>
      </c>
      <c r="K81" s="677">
        <f>'Client Services LASER'!F80</f>
        <v>1554.08</v>
      </c>
      <c r="L81" s="677">
        <f>'Client Services LASER'!J80</f>
        <v>-0.02</v>
      </c>
      <c r="M81" s="678">
        <f>'Client Services LASER'!I80</f>
        <v>10078.16</v>
      </c>
      <c r="N81" s="1666">
        <f>'Statewide Benefits'!D81</f>
        <v>9051875.4525288511</v>
      </c>
      <c r="O81" s="1667">
        <f>'Statewide Benefits'!E81</f>
        <v>6800020.321483735</v>
      </c>
      <c r="P81" s="1667">
        <f>'Statewide Benefits'!F81</f>
        <v>191337.82</v>
      </c>
      <c r="Q81" s="2078">
        <f>'Statewide Benefits'!G81</f>
        <v>0</v>
      </c>
      <c r="R81" s="1668">
        <f t="shared" si="21"/>
        <v>16043233.594012586</v>
      </c>
      <c r="S81" s="1666">
        <f>'Other Benefits LASER'!D80+'FC &amp; Adoptions LASER'!D80</f>
        <v>49592.04</v>
      </c>
      <c r="T81" s="1667">
        <f>'Other Benefits LASER'!E80 + 'FC &amp; Adoptions LASER'!E80</f>
        <v>105646.44</v>
      </c>
      <c r="U81" s="1667">
        <f>'Other Benefits LASER'!F80+'FC &amp; Adoptions LASER'!F80</f>
        <v>3325.6</v>
      </c>
      <c r="V81" s="2078">
        <f>'FC &amp; Adoptions LASER'!J80+'Other Benefits LASER'!J80</f>
        <v>-0.01</v>
      </c>
      <c r="W81" s="1668">
        <f>'Other Benefits LASER'!I80+'FC &amp; Adoptions LASER'!I80</f>
        <v>158564.07</v>
      </c>
      <c r="X81" s="1666">
        <f t="shared" si="33"/>
        <v>9564043.407777708</v>
      </c>
      <c r="Y81" s="1667">
        <f t="shared" si="34"/>
        <v>7107198.6162348771</v>
      </c>
      <c r="Z81" s="1667">
        <f t="shared" si="35"/>
        <v>399213.11</v>
      </c>
      <c r="AA81" s="2078">
        <f t="shared" si="36"/>
        <v>23230.219999999998</v>
      </c>
      <c r="AB81" s="1668">
        <f t="shared" si="37"/>
        <v>17093685.354012586</v>
      </c>
      <c r="AD81" s="523">
        <f t="shared" si="22"/>
        <v>0.51633339146250568</v>
      </c>
      <c r="AE81" s="524">
        <f t="shared" si="23"/>
        <v>0.22711930177386705</v>
      </c>
      <c r="AF81" s="524">
        <f t="shared" si="24"/>
        <v>0.23020346582101461</v>
      </c>
      <c r="AG81" s="524">
        <f t="shared" si="25"/>
        <v>2.634384094261262E-2</v>
      </c>
      <c r="AH81" s="525">
        <f t="shared" si="26"/>
        <v>0.74345269323637275</v>
      </c>
      <c r="AJ81" s="1069">
        <f t="shared" si="27"/>
        <v>5.1586858640346005E-2</v>
      </c>
      <c r="AK81" s="1047">
        <f t="shared" si="28"/>
        <v>5.8958380192918687E-4</v>
      </c>
      <c r="AL81" s="1071">
        <f t="shared" si="29"/>
        <v>0.94782355755772485</v>
      </c>
      <c r="AN81" s="1069">
        <f t="shared" si="30"/>
        <v>0.50848933793782469</v>
      </c>
      <c r="AO81" s="1047">
        <f t="shared" si="31"/>
        <v>3.8928581278305213E-3</v>
      </c>
      <c r="AP81" s="1071">
        <f t="shared" si="32"/>
        <v>0.48761780393434478</v>
      </c>
    </row>
    <row r="82" spans="1:42" x14ac:dyDescent="0.3">
      <c r="A82" s="630" t="s">
        <v>202</v>
      </c>
      <c r="B82" s="500" t="s">
        <v>474</v>
      </c>
      <c r="C82" s="631" t="s">
        <v>253</v>
      </c>
      <c r="D82" s="676">
        <f>'Administration LASER'!D81+'Other Oper Exp. LASER'!D81</f>
        <v>3514742.3136011921</v>
      </c>
      <c r="E82" s="677">
        <f>'Administration LASER'!E81+'Other Oper Exp. LASER'!E81</f>
        <v>1120931.8763988076</v>
      </c>
      <c r="F82" s="677">
        <f>'Administration LASER'!F81+'Other Oper Exp. LASER'!F81</f>
        <v>2657142.8199999998</v>
      </c>
      <c r="G82" s="677">
        <f>'Administration LASER'!J81 + 'Other Oper Exp. LASER'!J81</f>
        <v>581361.36</v>
      </c>
      <c r="H82" s="678">
        <f>'Administration LASER'!I81+'Other Oper Exp. LASER'!I81</f>
        <v>7874178.3700000001</v>
      </c>
      <c r="I82" s="676">
        <f>'Client Services LASER'!D81</f>
        <v>187566.63556432212</v>
      </c>
      <c r="J82" s="677">
        <f>'Client Services LASER'!E81</f>
        <v>127658.26443567788</v>
      </c>
      <c r="K82" s="677">
        <f>'Client Services LASER'!F81</f>
        <v>62131.069999999992</v>
      </c>
      <c r="L82" s="677">
        <f>'Client Services LASER'!J81</f>
        <v>23.570000000000004</v>
      </c>
      <c r="M82" s="678">
        <f>'Client Services LASER'!I81</f>
        <v>377379.54000000004</v>
      </c>
      <c r="N82" s="1666">
        <f>'Statewide Benefits'!D82</f>
        <v>69858725.696163118</v>
      </c>
      <c r="O82" s="1667">
        <f>'Statewide Benefits'!E82</f>
        <v>61796699.962294966</v>
      </c>
      <c r="P82" s="1667">
        <f>'Statewide Benefits'!F82</f>
        <v>3997871.3000000003</v>
      </c>
      <c r="Q82" s="2078">
        <f>'Statewide Benefits'!G82</f>
        <v>0</v>
      </c>
      <c r="R82" s="1668">
        <f t="shared" si="21"/>
        <v>135653296.9584581</v>
      </c>
      <c r="S82" s="1666">
        <f>'Other Benefits LASER'!D81+'FC &amp; Adoptions LASER'!D81</f>
        <v>1693785.85</v>
      </c>
      <c r="T82" s="1667">
        <f>'Other Benefits LASER'!E81 + 'FC &amp; Adoptions LASER'!E81</f>
        <v>2423792.5000000005</v>
      </c>
      <c r="U82" s="1667">
        <f>'Other Benefits LASER'!F81+'FC &amp; Adoptions LASER'!F81</f>
        <v>44755.6</v>
      </c>
      <c r="V82" s="2078">
        <f>'FC &amp; Adoptions LASER'!J81+'Other Benefits LASER'!J81</f>
        <v>25818.45</v>
      </c>
      <c r="W82" s="1668">
        <f>'Other Benefits LASER'!I81+'FC &amp; Adoptions LASER'!I81</f>
        <v>4188152.4000000004</v>
      </c>
      <c r="X82" s="1666">
        <f t="shared" si="33"/>
        <v>75254820.49532862</v>
      </c>
      <c r="Y82" s="1667">
        <f t="shared" si="34"/>
        <v>65469082.603129454</v>
      </c>
      <c r="Z82" s="1667">
        <f t="shared" si="35"/>
        <v>6761900.7899999991</v>
      </c>
      <c r="AA82" s="2078">
        <f t="shared" si="36"/>
        <v>607203.37999999989</v>
      </c>
      <c r="AB82" s="1668">
        <f t="shared" si="37"/>
        <v>148093007.2684581</v>
      </c>
      <c r="AD82" s="523">
        <f t="shared" si="22"/>
        <v>0.44636305509563812</v>
      </c>
      <c r="AE82" s="524">
        <f t="shared" si="23"/>
        <v>0.14235540823782578</v>
      </c>
      <c r="AF82" s="524">
        <f t="shared" si="24"/>
        <v>0.33745016878503858</v>
      </c>
      <c r="AG82" s="524">
        <f t="shared" si="25"/>
        <v>7.3831367881497453E-2</v>
      </c>
      <c r="AH82" s="525">
        <f t="shared" si="26"/>
        <v>0.58871846333346389</v>
      </c>
      <c r="AJ82" s="1069">
        <f t="shared" si="27"/>
        <v>5.317049410527501E-2</v>
      </c>
      <c r="AK82" s="1047">
        <f t="shared" si="28"/>
        <v>2.5482603598959868E-3</v>
      </c>
      <c r="AL82" s="1071">
        <f t="shared" si="29"/>
        <v>0.94428124553482906</v>
      </c>
      <c r="AN82" s="1069">
        <f t="shared" si="30"/>
        <v>0.39295797180721431</v>
      </c>
      <c r="AO82" s="1047">
        <f t="shared" si="31"/>
        <v>9.1884030732725386E-3</v>
      </c>
      <c r="AP82" s="1071">
        <f t="shared" si="32"/>
        <v>0.59785362511951334</v>
      </c>
    </row>
    <row r="83" spans="1:42" x14ac:dyDescent="0.3">
      <c r="A83" s="630" t="s">
        <v>204</v>
      </c>
      <c r="B83" s="500" t="s">
        <v>281</v>
      </c>
      <c r="C83" s="631" t="s">
        <v>253</v>
      </c>
      <c r="D83" s="676">
        <f>'Administration LASER'!D82+'Other Oper Exp. LASER'!D82</f>
        <v>1035737.7910964625</v>
      </c>
      <c r="E83" s="677">
        <f>'Administration LASER'!E82+'Other Oper Exp. LASER'!E82</f>
        <v>508987.95890353742</v>
      </c>
      <c r="F83" s="677">
        <f>'Administration LASER'!F82+'Other Oper Exp. LASER'!F82</f>
        <v>294331.17</v>
      </c>
      <c r="G83" s="677">
        <f>'Administration LASER'!J82 + 'Other Oper Exp. LASER'!J82</f>
        <v>61652.89</v>
      </c>
      <c r="H83" s="678">
        <f>'Administration LASER'!I82+'Other Oper Exp. LASER'!I82</f>
        <v>1900709.8099999998</v>
      </c>
      <c r="I83" s="676">
        <f>'Client Services LASER'!D82</f>
        <v>27365.664171457771</v>
      </c>
      <c r="J83" s="677">
        <f>'Client Services LASER'!E82</f>
        <v>13317.495828542229</v>
      </c>
      <c r="K83" s="677">
        <f>'Client Services LASER'!F82</f>
        <v>8008.6100000000006</v>
      </c>
      <c r="L83" s="677">
        <f>'Client Services LASER'!J82</f>
        <v>-0.08</v>
      </c>
      <c r="M83" s="678">
        <f>'Client Services LASER'!I82</f>
        <v>48691.69</v>
      </c>
      <c r="N83" s="1666">
        <f>'Statewide Benefits'!D83</f>
        <v>29843147.216357194</v>
      </c>
      <c r="O83" s="1667">
        <f>'Statewide Benefits'!E83</f>
        <v>29038937.010020126</v>
      </c>
      <c r="P83" s="1667">
        <f>'Statewide Benefits'!F83</f>
        <v>1858027</v>
      </c>
      <c r="Q83" s="2078">
        <f>'Statewide Benefits'!G83</f>
        <v>0</v>
      </c>
      <c r="R83" s="1668">
        <f t="shared" si="21"/>
        <v>60740111.226377323</v>
      </c>
      <c r="S83" s="1666">
        <f>'Other Benefits LASER'!D82+'FC &amp; Adoptions LASER'!D82</f>
        <v>359898.43</v>
      </c>
      <c r="T83" s="1667">
        <f>'Other Benefits LASER'!E82 + 'FC &amp; Adoptions LASER'!E82</f>
        <v>472007.83</v>
      </c>
      <c r="U83" s="1667">
        <f>'Other Benefits LASER'!F82+'FC &amp; Adoptions LASER'!F82</f>
        <v>24298.600000000002</v>
      </c>
      <c r="V83" s="2078">
        <f>'FC &amp; Adoptions LASER'!J82+'Other Benefits LASER'!J82</f>
        <v>-9.0000000000000011E-2</v>
      </c>
      <c r="W83" s="1668">
        <f>'Other Benefits LASER'!I82+'FC &amp; Adoptions LASER'!I82</f>
        <v>856204.77</v>
      </c>
      <c r="X83" s="1666">
        <f t="shared" si="33"/>
        <v>31266149.101625115</v>
      </c>
      <c r="Y83" s="1667">
        <f t="shared" si="34"/>
        <v>30033250.294752203</v>
      </c>
      <c r="Z83" s="1667">
        <f t="shared" si="35"/>
        <v>2184665.38</v>
      </c>
      <c r="AA83" s="2078">
        <f t="shared" si="36"/>
        <v>61652.72</v>
      </c>
      <c r="AB83" s="1668">
        <f t="shared" si="37"/>
        <v>63545717.496377327</v>
      </c>
      <c r="AD83" s="523">
        <f t="shared" si="22"/>
        <v>0.54492157911073369</v>
      </c>
      <c r="AE83" s="524">
        <f t="shared" si="23"/>
        <v>0.26778835792063255</v>
      </c>
      <c r="AF83" s="524">
        <f t="shared" si="24"/>
        <v>0.15485329136066278</v>
      </c>
      <c r="AG83" s="524">
        <f t="shared" si="25"/>
        <v>3.2436771607971024E-2</v>
      </c>
      <c r="AH83" s="525">
        <f t="shared" si="26"/>
        <v>0.81270993703136629</v>
      </c>
      <c r="AJ83" s="1069">
        <f t="shared" si="27"/>
        <v>2.9910903281694115E-2</v>
      </c>
      <c r="AK83" s="1047">
        <f t="shared" si="28"/>
        <v>7.6624660037516868E-4</v>
      </c>
      <c r="AL83" s="1071">
        <f t="shared" si="29"/>
        <v>0.96932285011793073</v>
      </c>
      <c r="AN83" s="1069">
        <f t="shared" si="30"/>
        <v>0.13472597345777504</v>
      </c>
      <c r="AO83" s="1047">
        <f t="shared" si="31"/>
        <v>3.6658291348947917E-3</v>
      </c>
      <c r="AP83" s="1071">
        <f t="shared" si="32"/>
        <v>0.8616081974073303</v>
      </c>
    </row>
    <row r="84" spans="1:42" x14ac:dyDescent="0.3">
      <c r="A84" s="630" t="s">
        <v>206</v>
      </c>
      <c r="B84" s="500" t="s">
        <v>282</v>
      </c>
      <c r="C84" s="631" t="s">
        <v>255</v>
      </c>
      <c r="D84" s="676">
        <f>'Administration LASER'!D83+'Other Oper Exp. LASER'!D83</f>
        <v>4457581.0420905296</v>
      </c>
      <c r="E84" s="677">
        <f>'Administration LASER'!E83+'Other Oper Exp. LASER'!E83</f>
        <v>1455440.4079094715</v>
      </c>
      <c r="F84" s="677">
        <f>'Administration LASER'!F83+'Other Oper Exp. LASER'!F83</f>
        <v>3440664.37</v>
      </c>
      <c r="G84" s="677">
        <f>'Administration LASER'!J83 + 'Other Oper Exp. LASER'!J83</f>
        <v>397311.08000000007</v>
      </c>
      <c r="H84" s="678">
        <f>'Administration LASER'!I83+'Other Oper Exp. LASER'!I83</f>
        <v>9750996.9000000004</v>
      </c>
      <c r="I84" s="676">
        <f>'Client Services LASER'!D83</f>
        <v>137895.77354792581</v>
      </c>
      <c r="J84" s="677">
        <f>'Client Services LASER'!E83</f>
        <v>160602.59645207421</v>
      </c>
      <c r="K84" s="677">
        <f>'Client Services LASER'!F83</f>
        <v>55713.49</v>
      </c>
      <c r="L84" s="677">
        <f>'Client Services LASER'!J83</f>
        <v>-0.27</v>
      </c>
      <c r="M84" s="678">
        <f>'Client Services LASER'!I83</f>
        <v>354211.58999999997</v>
      </c>
      <c r="N84" s="1666">
        <f>'Statewide Benefits'!D84</f>
        <v>80912135.342330009</v>
      </c>
      <c r="O84" s="1667">
        <f>'Statewide Benefits'!E84</f>
        <v>68412962.675497562</v>
      </c>
      <c r="P84" s="1667">
        <f>'Statewide Benefits'!F84</f>
        <v>3968624.74</v>
      </c>
      <c r="Q84" s="2078">
        <f>'Statewide Benefits'!G84</f>
        <v>0</v>
      </c>
      <c r="R84" s="1668">
        <f t="shared" si="21"/>
        <v>153293722.75782758</v>
      </c>
      <c r="S84" s="1666">
        <f>'Other Benefits LASER'!D83+'FC &amp; Adoptions LASER'!D83</f>
        <v>2875287.13</v>
      </c>
      <c r="T84" s="1667">
        <f>'Other Benefits LASER'!E83 + 'FC &amp; Adoptions LASER'!E83</f>
        <v>3815881.4</v>
      </c>
      <c r="U84" s="1667">
        <f>'Other Benefits LASER'!F83+'FC &amp; Adoptions LASER'!F83</f>
        <v>47957.8</v>
      </c>
      <c r="V84" s="2078">
        <f>'FC &amp; Adoptions LASER'!J83+'Other Benefits LASER'!J83</f>
        <v>-0.7400000000000001</v>
      </c>
      <c r="W84" s="1668">
        <f>'Other Benefits LASER'!I83+'FC &amp; Adoptions LASER'!I83</f>
        <v>6739125.5899999999</v>
      </c>
      <c r="X84" s="1666">
        <f t="shared" si="33"/>
        <v>88382899.287968457</v>
      </c>
      <c r="Y84" s="1667">
        <f t="shared" si="34"/>
        <v>73844887.079859108</v>
      </c>
      <c r="Z84" s="1667">
        <f t="shared" si="35"/>
        <v>7512960.4000000004</v>
      </c>
      <c r="AA84" s="2078">
        <f t="shared" si="36"/>
        <v>397310.07000000007</v>
      </c>
      <c r="AB84" s="1668">
        <f t="shared" si="37"/>
        <v>170138056.83782759</v>
      </c>
      <c r="AD84" s="523">
        <f t="shared" si="22"/>
        <v>0.45714105827379858</v>
      </c>
      <c r="AE84" s="524">
        <f t="shared" si="23"/>
        <v>0.1492606779425262</v>
      </c>
      <c r="AF84" s="524">
        <f t="shared" si="24"/>
        <v>0.35285257551461224</v>
      </c>
      <c r="AG84" s="524">
        <f t="shared" si="25"/>
        <v>4.0745688269063038E-2</v>
      </c>
      <c r="AH84" s="525">
        <f t="shared" si="26"/>
        <v>0.60640173621632476</v>
      </c>
      <c r="AJ84" s="1069">
        <f t="shared" si="27"/>
        <v>5.7312262060771432E-2</v>
      </c>
      <c r="AK84" s="1047">
        <f t="shared" si="28"/>
        <v>2.0819068736492494E-3</v>
      </c>
      <c r="AL84" s="1071">
        <f t="shared" si="29"/>
        <v>0.94060583106557927</v>
      </c>
      <c r="AN84" s="1069">
        <f t="shared" si="30"/>
        <v>0.45796386335272043</v>
      </c>
      <c r="AO84" s="1047">
        <f t="shared" si="31"/>
        <v>7.4156506934337091E-3</v>
      </c>
      <c r="AP84" s="1071">
        <f t="shared" si="32"/>
        <v>0.53462048595384581</v>
      </c>
    </row>
    <row r="85" spans="1:42" x14ac:dyDescent="0.3">
      <c r="A85" s="630" t="s">
        <v>208</v>
      </c>
      <c r="B85" s="500" t="s">
        <v>209</v>
      </c>
      <c r="C85" s="631" t="s">
        <v>256</v>
      </c>
      <c r="D85" s="676">
        <f>'Administration LASER'!D84+'Other Oper Exp. LASER'!D84</f>
        <v>1595129.2456529608</v>
      </c>
      <c r="E85" s="677">
        <f>'Administration LASER'!E84+'Other Oper Exp. LASER'!E84</f>
        <v>771861.87434703903</v>
      </c>
      <c r="F85" s="677">
        <f>'Administration LASER'!F84+'Other Oper Exp. LASER'!F84</f>
        <v>464886.41</v>
      </c>
      <c r="G85" s="677">
        <f>'Administration LASER'!J84 + 'Other Oper Exp. LASER'!J84</f>
        <v>97522.080000000016</v>
      </c>
      <c r="H85" s="678">
        <f>'Administration LASER'!I84+'Other Oper Exp. LASER'!I84</f>
        <v>2929399.61</v>
      </c>
      <c r="I85" s="676">
        <f>'Client Services LASER'!D84</f>
        <v>74682.627605498274</v>
      </c>
      <c r="J85" s="677">
        <f>'Client Services LASER'!E84</f>
        <v>32069.072394501723</v>
      </c>
      <c r="K85" s="677">
        <f>'Client Services LASER'!F84</f>
        <v>19770.53</v>
      </c>
      <c r="L85" s="677">
        <f>'Client Services LASER'!J84</f>
        <v>-9.9999999999999978E-2</v>
      </c>
      <c r="M85" s="678">
        <f>'Client Services LASER'!I84</f>
        <v>126522.12999999999</v>
      </c>
      <c r="N85" s="1666">
        <f>'Statewide Benefits'!D85</f>
        <v>34238469.621630736</v>
      </c>
      <c r="O85" s="1667">
        <f>'Statewide Benefits'!E85</f>
        <v>26383219.640518021</v>
      </c>
      <c r="P85" s="1667">
        <f>'Statewide Benefits'!F85</f>
        <v>345319.53</v>
      </c>
      <c r="Q85" s="2078">
        <f>'Statewide Benefits'!G85</f>
        <v>0</v>
      </c>
      <c r="R85" s="1668">
        <f t="shared" si="21"/>
        <v>60967008.792148754</v>
      </c>
      <c r="S85" s="1666">
        <f>'Other Benefits LASER'!D84+'FC &amp; Adoptions LASER'!D84</f>
        <v>1063252.8999999999</v>
      </c>
      <c r="T85" s="1667">
        <f>'Other Benefits LASER'!E84 + 'FC &amp; Adoptions LASER'!E84</f>
        <v>1607409.9900000002</v>
      </c>
      <c r="U85" s="1667">
        <f>'Other Benefits LASER'!F84+'FC &amp; Adoptions LASER'!F84</f>
        <v>50839.6</v>
      </c>
      <c r="V85" s="2078">
        <f>'FC &amp; Adoptions LASER'!J84+'Other Benefits LASER'!J84</f>
        <v>7294.5599999999995</v>
      </c>
      <c r="W85" s="1668">
        <f>'Other Benefits LASER'!I84+'FC &amp; Adoptions LASER'!I84</f>
        <v>2728797.0500000003</v>
      </c>
      <c r="X85" s="1666">
        <f t="shared" si="33"/>
        <v>36971534.394889191</v>
      </c>
      <c r="Y85" s="1667">
        <f t="shared" si="34"/>
        <v>28794560.577259563</v>
      </c>
      <c r="Z85" s="1667">
        <f t="shared" si="35"/>
        <v>880816.07</v>
      </c>
      <c r="AA85" s="2078">
        <f t="shared" si="36"/>
        <v>104816.54000000001</v>
      </c>
      <c r="AB85" s="1668">
        <f t="shared" si="37"/>
        <v>66751727.582148753</v>
      </c>
      <c r="AD85" s="523">
        <f t="shared" si="22"/>
        <v>0.54452429098703981</v>
      </c>
      <c r="AE85" s="524">
        <f t="shared" si="23"/>
        <v>0.26348807848275746</v>
      </c>
      <c r="AF85" s="524">
        <f t="shared" si="24"/>
        <v>0.15869682252057102</v>
      </c>
      <c r="AG85" s="524">
        <f t="shared" si="25"/>
        <v>3.3290808009631717E-2</v>
      </c>
      <c r="AH85" s="525">
        <f t="shared" si="26"/>
        <v>0.80801236946979738</v>
      </c>
      <c r="AJ85" s="1069">
        <f t="shared" si="27"/>
        <v>4.3885000674999786E-2</v>
      </c>
      <c r="AK85" s="1047">
        <f t="shared" si="28"/>
        <v>1.8954135658031343E-3</v>
      </c>
      <c r="AL85" s="1071">
        <f t="shared" si="29"/>
        <v>0.95421958575919708</v>
      </c>
      <c r="AN85" s="1069">
        <f t="shared" si="30"/>
        <v>0.52779056358497178</v>
      </c>
      <c r="AO85" s="1047">
        <f t="shared" si="31"/>
        <v>2.2445696296163171E-2</v>
      </c>
      <c r="AP85" s="1071">
        <f t="shared" si="32"/>
        <v>0.44976374011886505</v>
      </c>
    </row>
    <row r="86" spans="1:42" x14ac:dyDescent="0.3">
      <c r="A86" s="630" t="s">
        <v>210</v>
      </c>
      <c r="B86" s="500" t="s">
        <v>211</v>
      </c>
      <c r="C86" s="631" t="s">
        <v>256</v>
      </c>
      <c r="D86" s="676">
        <f>'Administration LASER'!D85+'Other Oper Exp. LASER'!D85</f>
        <v>1328729.7713977564</v>
      </c>
      <c r="E86" s="677">
        <f>'Administration LASER'!E85+'Other Oper Exp. LASER'!E85</f>
        <v>636214.69860224356</v>
      </c>
      <c r="F86" s="677">
        <f>'Administration LASER'!F85+'Other Oper Exp. LASER'!F85</f>
        <v>409156.73</v>
      </c>
      <c r="G86" s="677">
        <f>'Administration LASER'!J85 + 'Other Oper Exp. LASER'!J85</f>
        <v>95102.44</v>
      </c>
      <c r="H86" s="678">
        <f>'Administration LASER'!I85+'Other Oper Exp. LASER'!I85</f>
        <v>2469203.6399999997</v>
      </c>
      <c r="I86" s="676">
        <f>'Client Services LASER'!D85</f>
        <v>36273.751577805859</v>
      </c>
      <c r="J86" s="677">
        <f>'Client Services LASER'!E85</f>
        <v>44678.308422194139</v>
      </c>
      <c r="K86" s="677">
        <f>'Client Services LASER'!F85</f>
        <v>14198.85</v>
      </c>
      <c r="L86" s="677">
        <f>'Client Services LASER'!J85</f>
        <v>-0.01</v>
      </c>
      <c r="M86" s="678">
        <f>'Client Services LASER'!I85</f>
        <v>95150.900000000009</v>
      </c>
      <c r="N86" s="1666">
        <f>'Statewide Benefits'!D86</f>
        <v>24513569.938389625</v>
      </c>
      <c r="O86" s="1667">
        <f>'Statewide Benefits'!E86</f>
        <v>19837913.900077473</v>
      </c>
      <c r="P86" s="1667">
        <f>'Statewide Benefits'!F86</f>
        <v>373534.04</v>
      </c>
      <c r="Q86" s="2078">
        <f>'Statewide Benefits'!G86</f>
        <v>0</v>
      </c>
      <c r="R86" s="1668">
        <f t="shared" si="21"/>
        <v>44725017.878467098</v>
      </c>
      <c r="S86" s="1666">
        <f>'Other Benefits LASER'!D85+'FC &amp; Adoptions LASER'!D85</f>
        <v>493518.52000000008</v>
      </c>
      <c r="T86" s="1667">
        <f>'Other Benefits LASER'!E85 + 'FC &amp; Adoptions LASER'!E85</f>
        <v>687238.4</v>
      </c>
      <c r="U86" s="1667">
        <f>'Other Benefits LASER'!F85+'FC &amp; Adoptions LASER'!F85</f>
        <v>43415</v>
      </c>
      <c r="V86" s="2078">
        <f>'FC &amp; Adoptions LASER'!J85+'Other Benefits LASER'!J85</f>
        <v>-0.13000000000000003</v>
      </c>
      <c r="W86" s="1668">
        <f>'Other Benefits LASER'!I85+'FC &amp; Adoptions LASER'!I85</f>
        <v>1224171.79</v>
      </c>
      <c r="X86" s="1666">
        <f t="shared" si="33"/>
        <v>26372091.981365189</v>
      </c>
      <c r="Y86" s="1667">
        <f t="shared" si="34"/>
        <v>21206045.307101909</v>
      </c>
      <c r="Z86" s="1667">
        <f t="shared" si="35"/>
        <v>840304.61999999988</v>
      </c>
      <c r="AA86" s="2078">
        <f t="shared" si="36"/>
        <v>95102.3</v>
      </c>
      <c r="AB86" s="1668">
        <f t="shared" si="37"/>
        <v>48513544.208467096</v>
      </c>
      <c r="AD86" s="523">
        <f t="shared" si="22"/>
        <v>0.53812077297835048</v>
      </c>
      <c r="AE86" s="524">
        <f t="shared" si="23"/>
        <v>0.25765987393500023</v>
      </c>
      <c r="AF86" s="524">
        <f t="shared" si="24"/>
        <v>0.16570392306727688</v>
      </c>
      <c r="AG86" s="524">
        <f t="shared" si="25"/>
        <v>3.8515430019372569E-2</v>
      </c>
      <c r="AH86" s="525">
        <f t="shared" si="26"/>
        <v>0.79578064691335071</v>
      </c>
      <c r="AJ86" s="1069">
        <f t="shared" si="27"/>
        <v>5.0897201601878599E-2</v>
      </c>
      <c r="AK86" s="1047">
        <f t="shared" si="28"/>
        <v>1.9613265027829748E-3</v>
      </c>
      <c r="AL86" s="1071">
        <f t="shared" si="29"/>
        <v>0.94714147189533848</v>
      </c>
      <c r="AN86" s="1069">
        <f t="shared" si="30"/>
        <v>0.48691476907505288</v>
      </c>
      <c r="AO86" s="1047">
        <f t="shared" si="31"/>
        <v>1.6897265184618409E-2</v>
      </c>
      <c r="AP86" s="1071">
        <f t="shared" si="32"/>
        <v>0.49618796574032881</v>
      </c>
    </row>
    <row r="87" spans="1:42" x14ac:dyDescent="0.3">
      <c r="A87" s="630" t="s">
        <v>212</v>
      </c>
      <c r="B87" s="500" t="s">
        <v>213</v>
      </c>
      <c r="C87" s="631" t="s">
        <v>255</v>
      </c>
      <c r="D87" s="676">
        <f>'Administration LASER'!D86+'Other Oper Exp. LASER'!D86</f>
        <v>1554913.7935696945</v>
      </c>
      <c r="E87" s="677">
        <f>'Administration LASER'!E86+'Other Oper Exp. LASER'!E86</f>
        <v>546858.17643030535</v>
      </c>
      <c r="F87" s="677">
        <f>'Administration LASER'!F86+'Other Oper Exp. LASER'!F86</f>
        <v>1113547.47</v>
      </c>
      <c r="G87" s="677">
        <f>'Administration LASER'!J86 + 'Other Oper Exp. LASER'!J86</f>
        <v>214531.96000000002</v>
      </c>
      <c r="H87" s="678">
        <f>'Administration LASER'!I86+'Other Oper Exp. LASER'!I86</f>
        <v>3429851.4000000004</v>
      </c>
      <c r="I87" s="676">
        <f>'Client Services LASER'!D86</f>
        <v>48212.575010009343</v>
      </c>
      <c r="J87" s="677">
        <f>'Client Services LASER'!E86</f>
        <v>40981.11498999066</v>
      </c>
      <c r="K87" s="677">
        <f>'Client Services LASER'!F86</f>
        <v>16520.419999999998</v>
      </c>
      <c r="L87" s="677">
        <f>'Client Services LASER'!J86</f>
        <v>-0.13</v>
      </c>
      <c r="M87" s="678">
        <f>'Client Services LASER'!I86</f>
        <v>105713.98</v>
      </c>
      <c r="N87" s="1666">
        <f>'Statewide Benefits'!D87</f>
        <v>39958055.138547882</v>
      </c>
      <c r="O87" s="1667">
        <f>'Statewide Benefits'!E87</f>
        <v>34354671.08153642</v>
      </c>
      <c r="P87" s="1667">
        <f>'Statewide Benefits'!F87</f>
        <v>1347471.06</v>
      </c>
      <c r="Q87" s="2078">
        <f>'Statewide Benefits'!G87</f>
        <v>0</v>
      </c>
      <c r="R87" s="1668">
        <f t="shared" si="21"/>
        <v>75660197.280084312</v>
      </c>
      <c r="S87" s="1666">
        <f>'Other Benefits LASER'!D86+'FC &amp; Adoptions LASER'!D86</f>
        <v>217432.97999999998</v>
      </c>
      <c r="T87" s="1667">
        <f>'Other Benefits LASER'!E86 + 'FC &amp; Adoptions LASER'!E86</f>
        <v>539545.57999999996</v>
      </c>
      <c r="U87" s="1667">
        <f>'Other Benefits LASER'!F86+'FC &amp; Adoptions LASER'!F86</f>
        <v>36332.400000000001</v>
      </c>
      <c r="V87" s="2078">
        <f>'FC &amp; Adoptions LASER'!J86+'Other Benefits LASER'!J86</f>
        <v>-6.9999999999999993E-2</v>
      </c>
      <c r="W87" s="1668">
        <f>'Other Benefits LASER'!I86+'FC &amp; Adoptions LASER'!I86</f>
        <v>793310.89</v>
      </c>
      <c r="X87" s="1666">
        <f t="shared" si="33"/>
        <v>41778614.48712758</v>
      </c>
      <c r="Y87" s="1667">
        <f t="shared" si="34"/>
        <v>35482055.952956714</v>
      </c>
      <c r="Z87" s="1667">
        <f t="shared" si="35"/>
        <v>2513871.35</v>
      </c>
      <c r="AA87" s="2078">
        <f t="shared" si="36"/>
        <v>214531.76</v>
      </c>
      <c r="AB87" s="1668">
        <f t="shared" si="37"/>
        <v>79989073.550084308</v>
      </c>
      <c r="AD87" s="523">
        <f t="shared" si="22"/>
        <v>0.45334727725221402</v>
      </c>
      <c r="AE87" s="524">
        <f t="shared" si="23"/>
        <v>0.15944077823030622</v>
      </c>
      <c r="AF87" s="524">
        <f t="shared" si="24"/>
        <v>0.324663473758659</v>
      </c>
      <c r="AG87" s="524">
        <f t="shared" si="25"/>
        <v>6.2548470758820626E-2</v>
      </c>
      <c r="AH87" s="525">
        <f t="shared" si="26"/>
        <v>0.61278805548252013</v>
      </c>
      <c r="AJ87" s="1069">
        <f t="shared" si="27"/>
        <v>4.2878998940429472E-2</v>
      </c>
      <c r="AK87" s="1047">
        <f t="shared" si="28"/>
        <v>1.3216052556704299E-3</v>
      </c>
      <c r="AL87" s="1071">
        <f t="shared" si="29"/>
        <v>0.95579939580390016</v>
      </c>
      <c r="AN87" s="1069">
        <f t="shared" si="30"/>
        <v>0.44296120006300238</v>
      </c>
      <c r="AO87" s="1047">
        <f t="shared" si="31"/>
        <v>6.5717046339702299E-3</v>
      </c>
      <c r="AP87" s="1071">
        <f t="shared" si="32"/>
        <v>0.55046709530302729</v>
      </c>
    </row>
    <row r="88" spans="1:42" x14ac:dyDescent="0.3">
      <c r="A88" s="630" t="s">
        <v>214</v>
      </c>
      <c r="B88" s="500" t="s">
        <v>215</v>
      </c>
      <c r="C88" s="631" t="s">
        <v>256</v>
      </c>
      <c r="D88" s="676">
        <f>'Administration LASER'!D87+'Other Oper Exp. LASER'!D87</f>
        <v>2045995.827359454</v>
      </c>
      <c r="E88" s="677">
        <f>'Administration LASER'!E87+'Other Oper Exp. LASER'!E87</f>
        <v>951804.89264054608</v>
      </c>
      <c r="F88" s="677">
        <f>'Administration LASER'!F87+'Other Oper Exp. LASER'!F87</f>
        <v>703975.73</v>
      </c>
      <c r="G88" s="677">
        <f>'Administration LASER'!J87 + 'Other Oper Exp. LASER'!J87</f>
        <v>108328.29</v>
      </c>
      <c r="H88" s="678">
        <f>'Administration LASER'!I87+'Other Oper Exp. LASER'!I87</f>
        <v>3810104.7399999998</v>
      </c>
      <c r="I88" s="676">
        <f>'Client Services LASER'!D87</f>
        <v>88291.042824756252</v>
      </c>
      <c r="J88" s="677">
        <f>'Client Services LASER'!E87</f>
        <v>40678.437175243736</v>
      </c>
      <c r="K88" s="677">
        <f>'Client Services LASER'!F87</f>
        <v>27148.03</v>
      </c>
      <c r="L88" s="677">
        <f>'Client Services LASER'!J87</f>
        <v>0.01</v>
      </c>
      <c r="M88" s="678">
        <f>'Client Services LASER'!I87</f>
        <v>156117.51999999999</v>
      </c>
      <c r="N88" s="1666">
        <f>'Statewide Benefits'!D88</f>
        <v>40023213.212343775</v>
      </c>
      <c r="O88" s="1667">
        <f>'Statewide Benefits'!E88</f>
        <v>31535802.752530467</v>
      </c>
      <c r="P88" s="1667">
        <f>'Statewide Benefits'!F88</f>
        <v>442437.88999999996</v>
      </c>
      <c r="Q88" s="2078">
        <f>'Statewide Benefits'!G88</f>
        <v>0</v>
      </c>
      <c r="R88" s="1668">
        <f t="shared" si="21"/>
        <v>72001453.854874238</v>
      </c>
      <c r="S88" s="1666">
        <f>'Other Benefits LASER'!D87+'FC &amp; Adoptions LASER'!D87</f>
        <v>395808.66</v>
      </c>
      <c r="T88" s="1667">
        <f>'Other Benefits LASER'!E87 + 'FC &amp; Adoptions LASER'!E87</f>
        <v>644806.92000000004</v>
      </c>
      <c r="U88" s="1667">
        <f>'Other Benefits LASER'!F87+'FC &amp; Adoptions LASER'!F87</f>
        <v>63317.8</v>
      </c>
      <c r="V88" s="2078">
        <f>'FC &amp; Adoptions LASER'!J87+'Other Benefits LASER'!J87</f>
        <v>307.36</v>
      </c>
      <c r="W88" s="1668">
        <f>'Other Benefits LASER'!I87+'FC &amp; Adoptions LASER'!I87</f>
        <v>1104240.74</v>
      </c>
      <c r="X88" s="1666">
        <f t="shared" si="33"/>
        <v>42553308.742527984</v>
      </c>
      <c r="Y88" s="1667">
        <f t="shared" si="34"/>
        <v>33173093.002346259</v>
      </c>
      <c r="Z88" s="1667">
        <f t="shared" si="35"/>
        <v>1236879.45</v>
      </c>
      <c r="AA88" s="2078">
        <f t="shared" si="36"/>
        <v>108635.65999999999</v>
      </c>
      <c r="AB88" s="1668">
        <f t="shared" si="37"/>
        <v>77071916.854874238</v>
      </c>
      <c r="AD88" s="523">
        <f t="shared" si="22"/>
        <v>0.53699201648704653</v>
      </c>
      <c r="AE88" s="524">
        <f t="shared" si="23"/>
        <v>0.2498106896243871</v>
      </c>
      <c r="AF88" s="524">
        <f t="shared" si="24"/>
        <v>0.18476545345574935</v>
      </c>
      <c r="AG88" s="524">
        <f t="shared" si="25"/>
        <v>2.8431840432817077E-2</v>
      </c>
      <c r="AH88" s="525">
        <f t="shared" si="26"/>
        <v>0.78680270611143366</v>
      </c>
      <c r="AJ88" s="1069">
        <f t="shared" si="27"/>
        <v>4.9435707524627864E-2</v>
      </c>
      <c r="AK88" s="1047">
        <f t="shared" si="28"/>
        <v>2.0256083716455107E-3</v>
      </c>
      <c r="AL88" s="1071">
        <f t="shared" si="29"/>
        <v>0.94853868410372655</v>
      </c>
      <c r="AN88" s="1069">
        <f t="shared" si="30"/>
        <v>0.5691546819700174</v>
      </c>
      <c r="AO88" s="1047">
        <f t="shared" si="31"/>
        <v>2.1948808349916395E-2</v>
      </c>
      <c r="AP88" s="1071">
        <f t="shared" si="32"/>
        <v>0.40889650968006619</v>
      </c>
    </row>
    <row r="89" spans="1:42" x14ac:dyDescent="0.3">
      <c r="A89" s="630" t="s">
        <v>216</v>
      </c>
      <c r="B89" s="500" t="s">
        <v>217</v>
      </c>
      <c r="C89" s="631" t="s">
        <v>252</v>
      </c>
      <c r="D89" s="676">
        <f>'Administration LASER'!D88+'Other Oper Exp. LASER'!D88</f>
        <v>1163527.9352838269</v>
      </c>
      <c r="E89" s="677">
        <f>'Administration LASER'!E88+'Other Oper Exp. LASER'!E88</f>
        <v>557519.94471617276</v>
      </c>
      <c r="F89" s="677">
        <f>'Administration LASER'!F88+'Other Oper Exp. LASER'!F88</f>
        <v>347842.38</v>
      </c>
      <c r="G89" s="677">
        <f>'Administration LASER'!J88 + 'Other Oper Exp. LASER'!J88</f>
        <v>87259.53</v>
      </c>
      <c r="H89" s="678">
        <f>'Administration LASER'!I88+'Other Oper Exp. LASER'!I88</f>
        <v>2156149.79</v>
      </c>
      <c r="I89" s="676">
        <f>'Client Services LASER'!D88</f>
        <v>55867.842113405917</v>
      </c>
      <c r="J89" s="677">
        <f>'Client Services LASER'!E88</f>
        <v>22206.117886594082</v>
      </c>
      <c r="K89" s="677">
        <f>'Client Services LASER'!F88</f>
        <v>16092.93</v>
      </c>
      <c r="L89" s="677">
        <f>'Client Services LASER'!J88</f>
        <v>3389.95</v>
      </c>
      <c r="M89" s="678">
        <f>'Client Services LASER'!I88</f>
        <v>97556.839999999982</v>
      </c>
      <c r="N89" s="1666">
        <f>'Statewide Benefits'!D89</f>
        <v>20483844.655099694</v>
      </c>
      <c r="O89" s="1667">
        <f>'Statewide Benefits'!E89</f>
        <v>16602769.255798664</v>
      </c>
      <c r="P89" s="1667">
        <f>'Statewide Benefits'!F89</f>
        <v>169283.30000000002</v>
      </c>
      <c r="Q89" s="2078">
        <f>'Statewide Benefits'!G89</f>
        <v>0</v>
      </c>
      <c r="R89" s="1668">
        <f t="shared" si="21"/>
        <v>37255897.210898355</v>
      </c>
      <c r="S89" s="1666">
        <f>'Other Benefits LASER'!D88+'FC &amp; Adoptions LASER'!D88</f>
        <v>113099.09</v>
      </c>
      <c r="T89" s="1667">
        <f>'Other Benefits LASER'!E88 + 'FC &amp; Adoptions LASER'!E88</f>
        <v>148642.75</v>
      </c>
      <c r="U89" s="1667">
        <f>'Other Benefits LASER'!F88+'FC &amp; Adoptions LASER'!F88</f>
        <v>8879.2000000000007</v>
      </c>
      <c r="V89" s="2078">
        <f>'FC &amp; Adoptions LASER'!J88+'Other Benefits LASER'!J88</f>
        <v>-6.9999999999999993E-2</v>
      </c>
      <c r="W89" s="1668">
        <f>'Other Benefits LASER'!I88+'FC &amp; Adoptions LASER'!I88</f>
        <v>270620.96999999997</v>
      </c>
      <c r="X89" s="1666">
        <f t="shared" si="33"/>
        <v>21816339.522496928</v>
      </c>
      <c r="Y89" s="1667">
        <f t="shared" si="34"/>
        <v>17331138.06840143</v>
      </c>
      <c r="Z89" s="1667">
        <f t="shared" si="35"/>
        <v>542097.80999999994</v>
      </c>
      <c r="AA89" s="2078">
        <f t="shared" si="36"/>
        <v>90649.409999999989</v>
      </c>
      <c r="AB89" s="1668">
        <f t="shared" si="37"/>
        <v>39780224.810898356</v>
      </c>
      <c r="AD89" s="523">
        <f t="shared" si="22"/>
        <v>0.53963223737058963</v>
      </c>
      <c r="AE89" s="524">
        <f t="shared" si="23"/>
        <v>0.2585719912883106</v>
      </c>
      <c r="AF89" s="524">
        <f t="shared" si="24"/>
        <v>0.16132570270083138</v>
      </c>
      <c r="AG89" s="524">
        <f t="shared" si="25"/>
        <v>4.047006864026826E-2</v>
      </c>
      <c r="AH89" s="525">
        <f t="shared" si="26"/>
        <v>0.79820422865890017</v>
      </c>
      <c r="AJ89" s="1069">
        <f t="shared" si="27"/>
        <v>5.4201548640049217E-2</v>
      </c>
      <c r="AK89" s="1047">
        <f t="shared" si="28"/>
        <v>2.4523953915230991E-3</v>
      </c>
      <c r="AL89" s="1071">
        <f t="shared" si="29"/>
        <v>0.94334605596842758</v>
      </c>
      <c r="AN89" s="1069">
        <f t="shared" si="30"/>
        <v>0.64165981412099793</v>
      </c>
      <c r="AO89" s="1047">
        <f t="shared" si="31"/>
        <v>2.9686395523346613E-2</v>
      </c>
      <c r="AP89" s="1071">
        <f t="shared" si="32"/>
        <v>0.32865379035565567</v>
      </c>
    </row>
    <row r="90" spans="1:42" x14ac:dyDescent="0.3">
      <c r="A90" s="630" t="s">
        <v>218</v>
      </c>
      <c r="B90" s="500" t="s">
        <v>219</v>
      </c>
      <c r="C90" s="631" t="s">
        <v>255</v>
      </c>
      <c r="D90" s="676">
        <f>'Administration LASER'!D89+'Other Oper Exp. LASER'!D89</f>
        <v>3606941.555379821</v>
      </c>
      <c r="E90" s="677">
        <f>'Administration LASER'!E89+'Other Oper Exp. LASER'!E89</f>
        <v>1158666.8546201787</v>
      </c>
      <c r="F90" s="677">
        <f>'Administration LASER'!F89+'Other Oper Exp. LASER'!F89</f>
        <v>2784097.33</v>
      </c>
      <c r="G90" s="677">
        <f>'Administration LASER'!J89 + 'Other Oper Exp. LASER'!J89</f>
        <v>420256.63999999996</v>
      </c>
      <c r="H90" s="678">
        <f>'Administration LASER'!I89+'Other Oper Exp. LASER'!I89</f>
        <v>7969962.379999999</v>
      </c>
      <c r="I90" s="676">
        <f>'Client Services LASER'!D89</f>
        <v>143969.58231291335</v>
      </c>
      <c r="J90" s="677">
        <f>'Client Services LASER'!E89</f>
        <v>111412.63768708667</v>
      </c>
      <c r="K90" s="677">
        <f>'Client Services LASER'!F89</f>
        <v>49840.89</v>
      </c>
      <c r="L90" s="677">
        <f>'Client Services LASER'!J89</f>
        <v>862.81000000000006</v>
      </c>
      <c r="M90" s="678">
        <f>'Client Services LASER'!I89</f>
        <v>306085.92000000004</v>
      </c>
      <c r="N90" s="1666">
        <f>'Statewide Benefits'!D90</f>
        <v>97898923.168792486</v>
      </c>
      <c r="O90" s="1667">
        <f>'Statewide Benefits'!E90</f>
        <v>83668658.965567246</v>
      </c>
      <c r="P90" s="1667">
        <f>'Statewide Benefits'!F90</f>
        <v>5797703.6900000004</v>
      </c>
      <c r="Q90" s="2078">
        <f>'Statewide Benefits'!G90</f>
        <v>0</v>
      </c>
      <c r="R90" s="1668">
        <f t="shared" si="21"/>
        <v>187365285.82435971</v>
      </c>
      <c r="S90" s="1666">
        <f>'Other Benefits LASER'!D89+'FC &amp; Adoptions LASER'!D89</f>
        <v>1844739.19</v>
      </c>
      <c r="T90" s="1667">
        <f>'Other Benefits LASER'!E89 + 'FC &amp; Adoptions LASER'!E89</f>
        <v>2258425.0300000003</v>
      </c>
      <c r="U90" s="1667">
        <f>'Other Benefits LASER'!F89+'FC &amp; Adoptions LASER'!F89</f>
        <v>19434.599999999999</v>
      </c>
      <c r="V90" s="2078">
        <f>'FC &amp; Adoptions LASER'!J89+'Other Benefits LASER'!J89</f>
        <v>-0.42000000000000004</v>
      </c>
      <c r="W90" s="1668">
        <f>'Other Benefits LASER'!I89+'FC &amp; Adoptions LASER'!I89</f>
        <v>4122598.4000000004</v>
      </c>
      <c r="X90" s="1666">
        <f t="shared" si="33"/>
        <v>103494573.49648522</v>
      </c>
      <c r="Y90" s="1667">
        <f t="shared" si="34"/>
        <v>87197163.487874508</v>
      </c>
      <c r="Z90" s="1667">
        <f t="shared" si="35"/>
        <v>8651076.5099999998</v>
      </c>
      <c r="AA90" s="2078">
        <f t="shared" si="36"/>
        <v>421119.02999999997</v>
      </c>
      <c r="AB90" s="1668">
        <f t="shared" si="37"/>
        <v>199763932.52435973</v>
      </c>
      <c r="AD90" s="523">
        <f t="shared" si="22"/>
        <v>0.45256694867608915</v>
      </c>
      <c r="AE90" s="524">
        <f t="shared" si="23"/>
        <v>0.14537921252022007</v>
      </c>
      <c r="AF90" s="524">
        <f t="shared" si="24"/>
        <v>0.34932377309414608</v>
      </c>
      <c r="AG90" s="524">
        <f t="shared" si="25"/>
        <v>5.2730065709544791E-2</v>
      </c>
      <c r="AH90" s="525">
        <f t="shared" si="26"/>
        <v>0.59794616119630928</v>
      </c>
      <c r="AJ90" s="1069">
        <f t="shared" si="27"/>
        <v>3.9896903706719535E-2</v>
      </c>
      <c r="AK90" s="1047">
        <f t="shared" si="28"/>
        <v>1.5322381579701587E-3</v>
      </c>
      <c r="AL90" s="1071">
        <f t="shared" si="29"/>
        <v>0.95857085813531029</v>
      </c>
      <c r="AN90" s="1069">
        <f t="shared" si="30"/>
        <v>0.32182091174223126</v>
      </c>
      <c r="AO90" s="1047">
        <f t="shared" si="31"/>
        <v>5.7612356037295065E-3</v>
      </c>
      <c r="AP90" s="1071">
        <f t="shared" si="32"/>
        <v>0.67241785265403931</v>
      </c>
    </row>
    <row r="91" spans="1:42" x14ac:dyDescent="0.3">
      <c r="A91" s="630" t="s">
        <v>220</v>
      </c>
      <c r="B91" s="500" t="s">
        <v>221</v>
      </c>
      <c r="C91" s="631" t="s">
        <v>255</v>
      </c>
      <c r="D91" s="676">
        <f>'Administration LASER'!D90+'Other Oper Exp. LASER'!D90</f>
        <v>2846072.0452497937</v>
      </c>
      <c r="E91" s="677">
        <f>'Administration LASER'!E90+'Other Oper Exp. LASER'!E90</f>
        <v>1081427.0747502064</v>
      </c>
      <c r="F91" s="677">
        <f>'Administration LASER'!F90+'Other Oper Exp. LASER'!F90</f>
        <v>1730106.56</v>
      </c>
      <c r="G91" s="677">
        <f>'Administration LASER'!J90 + 'Other Oper Exp. LASER'!J90</f>
        <v>253913.96</v>
      </c>
      <c r="H91" s="678">
        <f>'Administration LASER'!I90+'Other Oper Exp. LASER'!I90</f>
        <v>5911519.6399999997</v>
      </c>
      <c r="I91" s="676">
        <f>'Client Services LASER'!D90</f>
        <v>20705.803434537378</v>
      </c>
      <c r="J91" s="677">
        <f>'Client Services LASER'!E90</f>
        <v>27488.45656546262</v>
      </c>
      <c r="K91" s="677">
        <f>'Client Services LASER'!F90</f>
        <v>9604.119999999999</v>
      </c>
      <c r="L91" s="677">
        <f>'Client Services LASER'!J90</f>
        <v>24916.720000000001</v>
      </c>
      <c r="M91" s="678">
        <f>'Client Services LASER'!I90</f>
        <v>82715.099999999991</v>
      </c>
      <c r="N91" s="1666">
        <f>'Statewide Benefits'!D91</f>
        <v>79682354.295910567</v>
      </c>
      <c r="O91" s="1667">
        <f>'Statewide Benefits'!E91</f>
        <v>65064647.021094315</v>
      </c>
      <c r="P91" s="1667">
        <f>'Statewide Benefits'!F91</f>
        <v>2908944.44</v>
      </c>
      <c r="Q91" s="2078">
        <f>'Statewide Benefits'!G91</f>
        <v>0</v>
      </c>
      <c r="R91" s="1668">
        <f t="shared" si="21"/>
        <v>147655945.75700489</v>
      </c>
      <c r="S91" s="1666">
        <f>'Other Benefits LASER'!D90+'FC &amp; Adoptions LASER'!D90</f>
        <v>651577.36</v>
      </c>
      <c r="T91" s="1667">
        <f>'Other Benefits LASER'!E90 + 'FC &amp; Adoptions LASER'!E90</f>
        <v>865177.64</v>
      </c>
      <c r="U91" s="1667">
        <f>'Other Benefits LASER'!F90+'FC &amp; Adoptions LASER'!F90</f>
        <v>8456.67</v>
      </c>
      <c r="V91" s="2078">
        <f>'FC &amp; Adoptions LASER'!J90+'Other Benefits LASER'!J90</f>
        <v>-0.18999999999999997</v>
      </c>
      <c r="W91" s="1668">
        <f>'Other Benefits LASER'!I90+'FC &amp; Adoptions LASER'!I90</f>
        <v>1525211.4800000002</v>
      </c>
      <c r="X91" s="1666">
        <f t="shared" si="33"/>
        <v>83200709.504594892</v>
      </c>
      <c r="Y91" s="1667">
        <f t="shared" si="34"/>
        <v>67038740.192409985</v>
      </c>
      <c r="Z91" s="1667">
        <f t="shared" si="35"/>
        <v>4657111.79</v>
      </c>
      <c r="AA91" s="2078">
        <f t="shared" si="36"/>
        <v>278830.49</v>
      </c>
      <c r="AB91" s="1668">
        <f t="shared" si="37"/>
        <v>155175391.97700489</v>
      </c>
      <c r="AD91" s="523">
        <f t="shared" si="22"/>
        <v>0.48144507987286222</v>
      </c>
      <c r="AE91" s="524">
        <f t="shared" si="23"/>
        <v>0.18293554629046391</v>
      </c>
      <c r="AF91" s="524">
        <f t="shared" si="24"/>
        <v>0.29266697319134682</v>
      </c>
      <c r="AG91" s="524">
        <f t="shared" si="25"/>
        <v>4.2952400645327134E-2</v>
      </c>
      <c r="AH91" s="525">
        <f t="shared" si="26"/>
        <v>0.66438062616332616</v>
      </c>
      <c r="AJ91" s="1069">
        <f t="shared" si="27"/>
        <v>3.8095728740778788E-2</v>
      </c>
      <c r="AK91" s="1047">
        <f t="shared" si="28"/>
        <v>5.3304263611757058E-4</v>
      </c>
      <c r="AL91" s="1071">
        <f t="shared" si="29"/>
        <v>0.96137122862310354</v>
      </c>
      <c r="AN91" s="1069">
        <f t="shared" si="30"/>
        <v>0.37149775182871442</v>
      </c>
      <c r="AO91" s="1047">
        <f t="shared" si="31"/>
        <v>2.0622481127943889E-3</v>
      </c>
      <c r="AP91" s="1071">
        <f t="shared" si="32"/>
        <v>0.62644000005849121</v>
      </c>
    </row>
    <row r="92" spans="1:42" x14ac:dyDescent="0.3">
      <c r="A92" s="630" t="s">
        <v>224</v>
      </c>
      <c r="B92" s="500" t="s">
        <v>225</v>
      </c>
      <c r="C92" s="631" t="s">
        <v>252</v>
      </c>
      <c r="D92" s="676">
        <f>'Administration LASER'!D91+'Other Oper Exp. LASER'!D91</f>
        <v>728397.79617894953</v>
      </c>
      <c r="E92" s="677">
        <f>'Administration LASER'!E91+'Other Oper Exp. LASER'!E91</f>
        <v>317653.07382105029</v>
      </c>
      <c r="F92" s="677">
        <f>'Administration LASER'!F91+'Other Oper Exp. LASER'!F91</f>
        <v>289961.83999999997</v>
      </c>
      <c r="G92" s="677">
        <f>'Administration LASER'!J91 + 'Other Oper Exp. LASER'!J91</f>
        <v>307717.45999999996</v>
      </c>
      <c r="H92" s="678">
        <f>'Administration LASER'!I91+'Other Oper Exp. LASER'!I91</f>
        <v>1643730.17</v>
      </c>
      <c r="I92" s="676">
        <f>'Client Services LASER'!D91</f>
        <v>77100.40002321158</v>
      </c>
      <c r="J92" s="677">
        <f>'Client Services LASER'!E91</f>
        <v>13623.199976788423</v>
      </c>
      <c r="K92" s="677">
        <f>'Client Services LASER'!F91</f>
        <v>20251.88</v>
      </c>
      <c r="L92" s="677">
        <f>'Client Services LASER'!J91</f>
        <v>1658.53</v>
      </c>
      <c r="M92" s="678">
        <f>'Client Services LASER'!I91</f>
        <v>112634.01000000001</v>
      </c>
      <c r="N92" s="1666">
        <f>'Statewide Benefits'!D92</f>
        <v>6186540.2573320828</v>
      </c>
      <c r="O92" s="1667">
        <f>'Statewide Benefits'!E92</f>
        <v>4844668.4200741202</v>
      </c>
      <c r="P92" s="1667">
        <f>'Statewide Benefits'!F92</f>
        <v>92184.99</v>
      </c>
      <c r="Q92" s="2078">
        <f>'Statewide Benefits'!G92</f>
        <v>0</v>
      </c>
      <c r="R92" s="1668">
        <f t="shared" si="21"/>
        <v>11123393.667406203</v>
      </c>
      <c r="S92" s="1666">
        <f>'Other Benefits LASER'!D91+'FC &amp; Adoptions LASER'!D91</f>
        <v>8713</v>
      </c>
      <c r="T92" s="1667">
        <f>'Other Benefits LASER'!E91 + 'FC &amp; Adoptions LASER'!E91</f>
        <v>51437.8</v>
      </c>
      <c r="U92" s="1667">
        <f>'Other Benefits LASER'!F91+'FC &amp; Adoptions LASER'!F91</f>
        <v>10681.2</v>
      </c>
      <c r="V92" s="2078">
        <f>'FC &amp; Adoptions LASER'!J91+'Other Benefits LASER'!J91</f>
        <v>0</v>
      </c>
      <c r="W92" s="1668">
        <f>'Other Benefits LASER'!I91+'FC &amp; Adoptions LASER'!I91</f>
        <v>70832</v>
      </c>
      <c r="X92" s="1666">
        <f t="shared" si="33"/>
        <v>7000751.4535342436</v>
      </c>
      <c r="Y92" s="1667">
        <f t="shared" si="34"/>
        <v>5227382.4938719589</v>
      </c>
      <c r="Z92" s="1667">
        <f t="shared" si="35"/>
        <v>413079.91</v>
      </c>
      <c r="AA92" s="2078">
        <f t="shared" si="36"/>
        <v>309375.99</v>
      </c>
      <c r="AB92" s="1668">
        <f t="shared" si="37"/>
        <v>12950589.847406203</v>
      </c>
      <c r="AD92" s="523">
        <f t="shared" si="22"/>
        <v>0.44313708507214999</v>
      </c>
      <c r="AE92" s="524">
        <f t="shared" si="23"/>
        <v>0.19325134965494387</v>
      </c>
      <c r="AF92" s="524">
        <f t="shared" si="24"/>
        <v>0.17640476842984515</v>
      </c>
      <c r="AG92" s="524">
        <f t="shared" si="25"/>
        <v>0.18720679684306091</v>
      </c>
      <c r="AH92" s="525">
        <f t="shared" si="26"/>
        <v>0.63638843472709383</v>
      </c>
      <c r="AJ92" s="1069">
        <f t="shared" si="27"/>
        <v>0.12692318955103138</v>
      </c>
      <c r="AK92" s="1047">
        <f t="shared" si="28"/>
        <v>8.6972108087075908E-3</v>
      </c>
      <c r="AL92" s="1071">
        <f t="shared" si="29"/>
        <v>0.86437959964026101</v>
      </c>
      <c r="AN92" s="1069">
        <f t="shared" si="30"/>
        <v>0.70195096149798231</v>
      </c>
      <c r="AO92" s="1047">
        <f t="shared" si="31"/>
        <v>4.90265430725014E-2</v>
      </c>
      <c r="AP92" s="1071">
        <f t="shared" si="32"/>
        <v>0.24902249542951632</v>
      </c>
    </row>
    <row r="93" spans="1:42" x14ac:dyDescent="0.3">
      <c r="A93" s="630" t="s">
        <v>226</v>
      </c>
      <c r="B93" s="500" t="s">
        <v>227</v>
      </c>
      <c r="C93" s="631" t="s">
        <v>252</v>
      </c>
      <c r="D93" s="676">
        <f>'Administration LASER'!D92+'Other Oper Exp. LASER'!D92</f>
        <v>847222.1272522572</v>
      </c>
      <c r="E93" s="677">
        <f>'Administration LASER'!E92+'Other Oper Exp. LASER'!E92</f>
        <v>387944.48274774279</v>
      </c>
      <c r="F93" s="677">
        <f>'Administration LASER'!F92+'Other Oper Exp. LASER'!F92</f>
        <v>279815.57</v>
      </c>
      <c r="G93" s="677">
        <f>'Administration LASER'!J92 + 'Other Oper Exp. LASER'!J92</f>
        <v>143323.31</v>
      </c>
      <c r="H93" s="678">
        <f>'Administration LASER'!I92+'Other Oper Exp. LASER'!I92</f>
        <v>1658305.4900000002</v>
      </c>
      <c r="I93" s="676">
        <f>'Client Services LASER'!D92</f>
        <v>42701.736085878467</v>
      </c>
      <c r="J93" s="677">
        <f>'Client Services LASER'!E92</f>
        <v>21572.323914121534</v>
      </c>
      <c r="K93" s="677">
        <f>'Client Services LASER'!F92</f>
        <v>12785.759999999998</v>
      </c>
      <c r="L93" s="677">
        <f>'Client Services LASER'!J92</f>
        <v>-0.03</v>
      </c>
      <c r="M93" s="678">
        <f>'Client Services LASER'!I92</f>
        <v>77059.789999999994</v>
      </c>
      <c r="N93" s="1666">
        <f>'Statewide Benefits'!D93</f>
        <v>14184726.54838717</v>
      </c>
      <c r="O93" s="1667">
        <f>'Statewide Benefits'!E93</f>
        <v>11651061.795836121</v>
      </c>
      <c r="P93" s="1667">
        <f>'Statewide Benefits'!F93</f>
        <v>123568.23999999999</v>
      </c>
      <c r="Q93" s="2078">
        <f>'Statewide Benefits'!G93</f>
        <v>0</v>
      </c>
      <c r="R93" s="1668">
        <f t="shared" si="21"/>
        <v>25959356.584223289</v>
      </c>
      <c r="S93" s="1666">
        <f>'Other Benefits LASER'!D92+'FC &amp; Adoptions LASER'!D92</f>
        <v>45850.49</v>
      </c>
      <c r="T93" s="1667">
        <f>'Other Benefits LASER'!E92 + 'FC &amp; Adoptions LASER'!E92</f>
        <v>109350.09</v>
      </c>
      <c r="U93" s="1667">
        <f>'Other Benefits LASER'!F92+'FC &amp; Adoptions LASER'!F92</f>
        <v>9059.7999999999993</v>
      </c>
      <c r="V93" s="2078">
        <f>'FC &amp; Adoptions LASER'!J92+'Other Benefits LASER'!J92</f>
        <v>-0.04</v>
      </c>
      <c r="W93" s="1668">
        <f>'Other Benefits LASER'!I92+'FC &amp; Adoptions LASER'!I92</f>
        <v>164260.34000000003</v>
      </c>
      <c r="X93" s="1666">
        <f t="shared" si="33"/>
        <v>15120500.901725305</v>
      </c>
      <c r="Y93" s="1667">
        <f t="shared" si="34"/>
        <v>12169928.692497985</v>
      </c>
      <c r="Z93" s="1667">
        <f t="shared" si="35"/>
        <v>425229.37</v>
      </c>
      <c r="AA93" s="2078">
        <f t="shared" si="36"/>
        <v>143323.24</v>
      </c>
      <c r="AB93" s="1668">
        <f t="shared" si="37"/>
        <v>27858982.20422329</v>
      </c>
      <c r="AD93" s="523">
        <f t="shared" si="22"/>
        <v>0.5108962928490679</v>
      </c>
      <c r="AE93" s="524">
        <f t="shared" si="23"/>
        <v>0.23394029935204685</v>
      </c>
      <c r="AF93" s="524">
        <f t="shared" si="24"/>
        <v>0.16873584010145198</v>
      </c>
      <c r="AG93" s="524">
        <f t="shared" si="25"/>
        <v>8.6427567697433108E-2</v>
      </c>
      <c r="AH93" s="525">
        <f t="shared" si="26"/>
        <v>0.74483659220111476</v>
      </c>
      <c r="AJ93" s="1069">
        <f t="shared" si="27"/>
        <v>5.9524984719241072E-2</v>
      </c>
      <c r="AK93" s="1047">
        <f t="shared" si="28"/>
        <v>2.7660662344052931E-3</v>
      </c>
      <c r="AL93" s="1071">
        <f t="shared" si="29"/>
        <v>0.9377089490463536</v>
      </c>
      <c r="AN93" s="1069">
        <f t="shared" si="30"/>
        <v>0.65803443915456739</v>
      </c>
      <c r="AO93" s="1047">
        <f t="shared" si="31"/>
        <v>3.0067913700316605E-2</v>
      </c>
      <c r="AP93" s="1071">
        <f t="shared" si="32"/>
        <v>0.31189764714511603</v>
      </c>
    </row>
    <row r="94" spans="1:42" x14ac:dyDescent="0.3">
      <c r="A94" s="630" t="s">
        <v>228</v>
      </c>
      <c r="B94" s="500" t="s">
        <v>229</v>
      </c>
      <c r="C94" s="631" t="s">
        <v>256</v>
      </c>
      <c r="D94" s="676">
        <f>'Administration LASER'!D93+'Other Oper Exp. LASER'!D93</f>
        <v>2604345.6423301836</v>
      </c>
      <c r="E94" s="677">
        <f>'Administration LASER'!E93+'Other Oper Exp. LASER'!E93</f>
        <v>1135202.3476698166</v>
      </c>
      <c r="F94" s="677">
        <f>'Administration LASER'!F93+'Other Oper Exp. LASER'!F93</f>
        <v>1087835.58</v>
      </c>
      <c r="G94" s="677">
        <f>'Administration LASER'!J93 + 'Other Oper Exp. LASER'!J93</f>
        <v>268024.64999999997</v>
      </c>
      <c r="H94" s="678">
        <f>'Administration LASER'!I93+'Other Oper Exp. LASER'!I93</f>
        <v>5095408.2200000007</v>
      </c>
      <c r="I94" s="676">
        <f>'Client Services LASER'!D93</f>
        <v>94573.687266654524</v>
      </c>
      <c r="J94" s="677">
        <f>'Client Services LASER'!E93</f>
        <v>79160.632733345454</v>
      </c>
      <c r="K94" s="677">
        <f>'Client Services LASER'!F93</f>
        <v>30906.270000000004</v>
      </c>
      <c r="L94" s="677">
        <f>'Client Services LASER'!J93</f>
        <v>-0.13</v>
      </c>
      <c r="M94" s="678">
        <f>'Client Services LASER'!I93</f>
        <v>204640.45999999996</v>
      </c>
      <c r="N94" s="1666">
        <f>'Statewide Benefits'!D94</f>
        <v>50802435.945568472</v>
      </c>
      <c r="O94" s="1667">
        <f>'Statewide Benefits'!E94</f>
        <v>39515122.69675719</v>
      </c>
      <c r="P94" s="1667">
        <f>'Statewide Benefits'!F94</f>
        <v>618519.02</v>
      </c>
      <c r="Q94" s="2078">
        <f>'Statewide Benefits'!G94</f>
        <v>0</v>
      </c>
      <c r="R94" s="1668">
        <f t="shared" si="21"/>
        <v>90936077.662325665</v>
      </c>
      <c r="S94" s="1666">
        <f>'Other Benefits LASER'!D93+'FC &amp; Adoptions LASER'!D93</f>
        <v>1117589.8900000001</v>
      </c>
      <c r="T94" s="1667">
        <f>'Other Benefits LASER'!E93 + 'FC &amp; Adoptions LASER'!E93</f>
        <v>1743327.8099999998</v>
      </c>
      <c r="U94" s="1667">
        <f>'Other Benefits LASER'!F93+'FC &amp; Adoptions LASER'!F93</f>
        <v>60010.39</v>
      </c>
      <c r="V94" s="2078">
        <f>'FC &amp; Adoptions LASER'!J93+'Other Benefits LASER'!J93</f>
        <v>38650.539999999994</v>
      </c>
      <c r="W94" s="1668">
        <f>'Other Benefits LASER'!I93+'FC &amp; Adoptions LASER'!I93</f>
        <v>2959578.63</v>
      </c>
      <c r="X94" s="1666">
        <f t="shared" si="33"/>
        <v>54618945.165165313</v>
      </c>
      <c r="Y94" s="1667">
        <f t="shared" si="34"/>
        <v>42472813.487160355</v>
      </c>
      <c r="Z94" s="1667">
        <f t="shared" si="35"/>
        <v>1797271.26</v>
      </c>
      <c r="AA94" s="2078">
        <f t="shared" si="36"/>
        <v>306675.05999999994</v>
      </c>
      <c r="AB94" s="1668">
        <f t="shared" si="37"/>
        <v>99195704.972325668</v>
      </c>
      <c r="AD94" s="523">
        <f t="shared" si="22"/>
        <v>0.51111619126174412</v>
      </c>
      <c r="AE94" s="524">
        <f t="shared" si="23"/>
        <v>0.22278928373472232</v>
      </c>
      <c r="AF94" s="524">
        <f t="shared" si="24"/>
        <v>0.21349331261235041</v>
      </c>
      <c r="AG94" s="524">
        <f t="shared" si="25"/>
        <v>5.2601212391183046E-2</v>
      </c>
      <c r="AH94" s="525">
        <f t="shared" si="26"/>
        <v>0.73390547499646652</v>
      </c>
      <c r="AJ94" s="1069">
        <f t="shared" si="27"/>
        <v>5.1367226246555278E-2</v>
      </c>
      <c r="AK94" s="1047">
        <f t="shared" si="28"/>
        <v>2.0629971837701241E-3</v>
      </c>
      <c r="AL94" s="1071">
        <f t="shared" si="29"/>
        <v>0.94656977656967456</v>
      </c>
      <c r="AN94" s="1069">
        <f t="shared" si="30"/>
        <v>0.60527067016027403</v>
      </c>
      <c r="AO94" s="1047">
        <f t="shared" si="31"/>
        <v>1.7196218894636975E-2</v>
      </c>
      <c r="AP94" s="1071">
        <f t="shared" si="32"/>
        <v>0.37753311094508907</v>
      </c>
    </row>
    <row r="95" spans="1:42" x14ac:dyDescent="0.3">
      <c r="A95" s="630" t="s">
        <v>232</v>
      </c>
      <c r="B95" s="500" t="s">
        <v>233</v>
      </c>
      <c r="C95" s="631" t="s">
        <v>255</v>
      </c>
      <c r="D95" s="676">
        <f>'Administration LASER'!D94+'Other Oper Exp. LASER'!D94</f>
        <v>1448542.8848099806</v>
      </c>
      <c r="E95" s="677">
        <f>'Administration LASER'!E94+'Other Oper Exp. LASER'!E94</f>
        <v>559901.35519001947</v>
      </c>
      <c r="F95" s="677">
        <f>'Administration LASER'!F94+'Other Oper Exp. LASER'!F94</f>
        <v>860319.52999999991</v>
      </c>
      <c r="G95" s="677">
        <f>'Administration LASER'!J94 + 'Other Oper Exp. LASER'!J94</f>
        <v>108804.45999999999</v>
      </c>
      <c r="H95" s="678">
        <f>'Administration LASER'!I94+'Other Oper Exp. LASER'!I94</f>
        <v>2977568.23</v>
      </c>
      <c r="I95" s="676">
        <f>'Client Services LASER'!D94</f>
        <v>33220.638500531626</v>
      </c>
      <c r="J95" s="677">
        <f>'Client Services LASER'!E94</f>
        <v>68688.051499468376</v>
      </c>
      <c r="K95" s="677">
        <f>'Client Services LASER'!F94</f>
        <v>18830.68</v>
      </c>
      <c r="L95" s="677">
        <f>'Client Services LASER'!J94</f>
        <v>-0.10999999999999999</v>
      </c>
      <c r="M95" s="678">
        <f>'Client Services LASER'!I94</f>
        <v>120739.26</v>
      </c>
      <c r="N95" s="1666">
        <f>'Statewide Benefits'!D95</f>
        <v>31927508.995394327</v>
      </c>
      <c r="O95" s="1667">
        <f>'Statewide Benefits'!E95</f>
        <v>25498707.300941523</v>
      </c>
      <c r="P95" s="1667">
        <f>'Statewide Benefits'!F95</f>
        <v>709428.03</v>
      </c>
      <c r="Q95" s="2078">
        <f>'Statewide Benefits'!G95</f>
        <v>0</v>
      </c>
      <c r="R95" s="1668">
        <f t="shared" si="21"/>
        <v>58135644.326335847</v>
      </c>
      <c r="S95" s="1666">
        <f>'Other Benefits LASER'!D94+'FC &amp; Adoptions LASER'!D94</f>
        <v>318142.58999999997</v>
      </c>
      <c r="T95" s="1667">
        <f>'Other Benefits LASER'!E94 + 'FC &amp; Adoptions LASER'!E94</f>
        <v>533680.41</v>
      </c>
      <c r="U95" s="1667">
        <f>'Other Benefits LASER'!F94+'FC &amp; Adoptions LASER'!F94</f>
        <v>20090.75</v>
      </c>
      <c r="V95" s="2078">
        <f>'FC &amp; Adoptions LASER'!J94+'Other Benefits LASER'!J94</f>
        <v>-0.05</v>
      </c>
      <c r="W95" s="1668">
        <f>'Other Benefits LASER'!I94+'FC &amp; Adoptions LASER'!I94</f>
        <v>871913.7</v>
      </c>
      <c r="X95" s="1666">
        <f t="shared" si="33"/>
        <v>33727415.108704843</v>
      </c>
      <c r="Y95" s="1667">
        <f t="shared" si="34"/>
        <v>26660977.117631011</v>
      </c>
      <c r="Z95" s="1667">
        <f t="shared" si="35"/>
        <v>1608668.99</v>
      </c>
      <c r="AA95" s="2078">
        <f t="shared" si="36"/>
        <v>108804.29999999999</v>
      </c>
      <c r="AB95" s="1668">
        <f t="shared" si="37"/>
        <v>62105865.516335852</v>
      </c>
      <c r="AD95" s="523">
        <f t="shared" si="22"/>
        <v>0.4864852029973401</v>
      </c>
      <c r="AE95" s="524">
        <f t="shared" si="23"/>
        <v>0.18803980696355679</v>
      </c>
      <c r="AF95" s="524">
        <f t="shared" si="24"/>
        <v>0.28893360740888879</v>
      </c>
      <c r="AG95" s="524">
        <f t="shared" si="25"/>
        <v>3.6541382630214315E-2</v>
      </c>
      <c r="AH95" s="525">
        <f t="shared" si="26"/>
        <v>0.67452500996089693</v>
      </c>
      <c r="AJ95" s="1069">
        <f t="shared" si="27"/>
        <v>4.7943430225874613E-2</v>
      </c>
      <c r="AK95" s="1047">
        <f t="shared" si="28"/>
        <v>1.944087873121125E-3</v>
      </c>
      <c r="AL95" s="1071">
        <f t="shared" si="29"/>
        <v>0.95011248190100428</v>
      </c>
      <c r="AN95" s="1069">
        <f t="shared" si="30"/>
        <v>0.53480208504547599</v>
      </c>
      <c r="AO95" s="1047">
        <f t="shared" si="31"/>
        <v>1.1705751846437967E-2</v>
      </c>
      <c r="AP95" s="1071">
        <f t="shared" si="32"/>
        <v>0.45349216310808604</v>
      </c>
    </row>
    <row r="96" spans="1:42" x14ac:dyDescent="0.3">
      <c r="A96" s="630" t="s">
        <v>234</v>
      </c>
      <c r="B96" s="500" t="s">
        <v>235</v>
      </c>
      <c r="C96" s="631" t="s">
        <v>256</v>
      </c>
      <c r="D96" s="676">
        <f>'Administration LASER'!D95+'Other Oper Exp. LASER'!D95</f>
        <v>1952870.4191829448</v>
      </c>
      <c r="E96" s="677">
        <f>'Administration LASER'!E95+'Other Oper Exp. LASER'!E95</f>
        <v>919996.68081705505</v>
      </c>
      <c r="F96" s="677">
        <f>'Administration LASER'!F95+'Other Oper Exp. LASER'!F95</f>
        <v>646235.48</v>
      </c>
      <c r="G96" s="677">
        <f>'Administration LASER'!J95 + 'Other Oper Exp. LASER'!J95</f>
        <v>111756.57999999999</v>
      </c>
      <c r="H96" s="678">
        <f>'Administration LASER'!I95+'Other Oper Exp. LASER'!I95</f>
        <v>3630859.1599999992</v>
      </c>
      <c r="I96" s="676">
        <f>'Client Services LASER'!D95</f>
        <v>81833.136864876054</v>
      </c>
      <c r="J96" s="677">
        <f>'Client Services LASER'!E95</f>
        <v>35920.503135123945</v>
      </c>
      <c r="K96" s="677">
        <f>'Client Services LASER'!F95</f>
        <v>24203.9</v>
      </c>
      <c r="L96" s="677">
        <f>'Client Services LASER'!J95</f>
        <v>53.989999999999995</v>
      </c>
      <c r="M96" s="678">
        <f>'Client Services LASER'!I95</f>
        <v>142011.53</v>
      </c>
      <c r="N96" s="1666">
        <f>'Statewide Benefits'!D96</f>
        <v>48530948.811350293</v>
      </c>
      <c r="O96" s="1667">
        <f>'Statewide Benefits'!E96</f>
        <v>38249508.222255036</v>
      </c>
      <c r="P96" s="1667">
        <f>'Statewide Benefits'!F96</f>
        <v>507734.69</v>
      </c>
      <c r="Q96" s="2078">
        <f>'Statewide Benefits'!G96</f>
        <v>0</v>
      </c>
      <c r="R96" s="1668">
        <f t="shared" si="21"/>
        <v>87288191.723605335</v>
      </c>
      <c r="S96" s="1666">
        <f>'Other Benefits LASER'!D95+'FC &amp; Adoptions LASER'!D95</f>
        <v>678092.41999999993</v>
      </c>
      <c r="T96" s="1667">
        <f>'Other Benefits LASER'!E95 + 'FC &amp; Adoptions LASER'!E95</f>
        <v>1457354.88</v>
      </c>
      <c r="U96" s="1667">
        <f>'Other Benefits LASER'!F95+'FC &amp; Adoptions LASER'!F95</f>
        <v>156128.4</v>
      </c>
      <c r="V96" s="2078">
        <f>'FC &amp; Adoptions LASER'!J95+'Other Benefits LASER'!J95</f>
        <v>4185.63</v>
      </c>
      <c r="W96" s="1668">
        <f>'Other Benefits LASER'!I95+'FC &amp; Adoptions LASER'!I95</f>
        <v>2295761.33</v>
      </c>
      <c r="X96" s="1666">
        <f t="shared" si="33"/>
        <v>51243744.787398115</v>
      </c>
      <c r="Y96" s="1667">
        <f t="shared" si="34"/>
        <v>40662780.286207221</v>
      </c>
      <c r="Z96" s="1667">
        <f t="shared" si="35"/>
        <v>1334302.47</v>
      </c>
      <c r="AA96" s="2078">
        <f t="shared" si="36"/>
        <v>115996.2</v>
      </c>
      <c r="AB96" s="1668">
        <f t="shared" si="37"/>
        <v>93356823.743605331</v>
      </c>
      <c r="AD96" s="523">
        <f t="shared" si="22"/>
        <v>0.53785353083839949</v>
      </c>
      <c r="AE96" s="524">
        <f t="shared" si="23"/>
        <v>0.25338264038229874</v>
      </c>
      <c r="AF96" s="524">
        <f t="shared" si="24"/>
        <v>0.17798417716648643</v>
      </c>
      <c r="AG96" s="524">
        <f t="shared" si="25"/>
        <v>3.0779651612815522E-2</v>
      </c>
      <c r="AH96" s="525">
        <f t="shared" si="26"/>
        <v>0.79123617122069811</v>
      </c>
      <c r="AJ96" s="1069">
        <f t="shared" si="27"/>
        <v>3.8892273905673687E-2</v>
      </c>
      <c r="AK96" s="1047">
        <f t="shared" si="28"/>
        <v>1.5211692547512079E-3</v>
      </c>
      <c r="AL96" s="1071">
        <f t="shared" si="29"/>
        <v>0.95958655683957517</v>
      </c>
      <c r="AN96" s="1069">
        <f t="shared" si="30"/>
        <v>0.48432457747005442</v>
      </c>
      <c r="AO96" s="1047">
        <f t="shared" si="31"/>
        <v>1.8139740084570182E-2</v>
      </c>
      <c r="AP96" s="1071">
        <f t="shared" si="32"/>
        <v>0.49753568244537538</v>
      </c>
    </row>
    <row r="97" spans="1:42" x14ac:dyDescent="0.3">
      <c r="A97" s="630" t="s">
        <v>236</v>
      </c>
      <c r="B97" s="500" t="s">
        <v>237</v>
      </c>
      <c r="C97" s="631" t="s">
        <v>254</v>
      </c>
      <c r="D97" s="676">
        <f>'Administration LASER'!D96+'Other Oper Exp. LASER'!D96</f>
        <v>980309.14546033763</v>
      </c>
      <c r="E97" s="677">
        <f>'Administration LASER'!E96+'Other Oper Exp. LASER'!E96</f>
        <v>402856.52453966235</v>
      </c>
      <c r="F97" s="677">
        <f>'Administration LASER'!F96+'Other Oper Exp. LASER'!F96</f>
        <v>504021.43000000005</v>
      </c>
      <c r="G97" s="677">
        <f>'Administration LASER'!J96 + 'Other Oper Exp. LASER'!J96</f>
        <v>144391.10999999999</v>
      </c>
      <c r="H97" s="678">
        <f>'Administration LASER'!I96+'Other Oper Exp. LASER'!I96</f>
        <v>2031578.21</v>
      </c>
      <c r="I97" s="676">
        <f>'Client Services LASER'!D96</f>
        <v>30919.432133377133</v>
      </c>
      <c r="J97" s="677">
        <f>'Client Services LASER'!E96</f>
        <v>26328.787866622861</v>
      </c>
      <c r="K97" s="677">
        <f>'Client Services LASER'!F96</f>
        <v>10872.29</v>
      </c>
      <c r="L97" s="677">
        <f>'Client Services LASER'!J96</f>
        <v>-0.2</v>
      </c>
      <c r="M97" s="678">
        <f>'Client Services LASER'!I96</f>
        <v>68120.31</v>
      </c>
      <c r="N97" s="1666">
        <f>'Statewide Benefits'!D97</f>
        <v>20249827.489306785</v>
      </c>
      <c r="O97" s="1667">
        <f>'Statewide Benefits'!E97</f>
        <v>16361741.754075753</v>
      </c>
      <c r="P97" s="1667">
        <f>'Statewide Benefits'!F97</f>
        <v>683105.08000000007</v>
      </c>
      <c r="Q97" s="2078">
        <f>'Statewide Benefits'!G97</f>
        <v>0</v>
      </c>
      <c r="R97" s="1668">
        <f t="shared" si="21"/>
        <v>37294674.323382534</v>
      </c>
      <c r="S97" s="1666">
        <f>'Other Benefits LASER'!D96+'FC &amp; Adoptions LASER'!D96</f>
        <v>77343.929999999993</v>
      </c>
      <c r="T97" s="1667">
        <f>'Other Benefits LASER'!E96 + 'FC &amp; Adoptions LASER'!E96</f>
        <v>115733.62999999999</v>
      </c>
      <c r="U97" s="1667">
        <f>'Other Benefits LASER'!F96+'FC &amp; Adoptions LASER'!F96</f>
        <v>7215.8</v>
      </c>
      <c r="V97" s="2078">
        <f>'FC &amp; Adoptions LASER'!J96+'Other Benefits LASER'!J96</f>
        <v>2290.96</v>
      </c>
      <c r="W97" s="1668">
        <f>'Other Benefits LASER'!I96+'FC &amp; Adoptions LASER'!I96</f>
        <v>202584.31999999998</v>
      </c>
      <c r="X97" s="1666">
        <f t="shared" si="33"/>
        <v>21338399.996900499</v>
      </c>
      <c r="Y97" s="1667">
        <f t="shared" si="34"/>
        <v>16906660.696482036</v>
      </c>
      <c r="Z97" s="1667">
        <f t="shared" si="35"/>
        <v>1205214.6000000001</v>
      </c>
      <c r="AA97" s="2078">
        <f t="shared" si="36"/>
        <v>146681.86999999997</v>
      </c>
      <c r="AB97" s="1668">
        <f t="shared" si="37"/>
        <v>39596957.163382538</v>
      </c>
      <c r="AD97" s="523">
        <f t="shared" si="22"/>
        <v>0.48253576487234406</v>
      </c>
      <c r="AE97" s="524">
        <f t="shared" si="23"/>
        <v>0.19829732498443284</v>
      </c>
      <c r="AF97" s="524">
        <f t="shared" si="24"/>
        <v>0.24809354004638592</v>
      </c>
      <c r="AG97" s="524">
        <f t="shared" si="25"/>
        <v>7.1073370096837174E-2</v>
      </c>
      <c r="AH97" s="525">
        <f t="shared" si="26"/>
        <v>0.68083308985677693</v>
      </c>
      <c r="AJ97" s="1069">
        <f t="shared" si="27"/>
        <v>5.1306422400525034E-2</v>
      </c>
      <c r="AK97" s="1047">
        <f t="shared" si="28"/>
        <v>1.7203420383774984E-3</v>
      </c>
      <c r="AL97" s="1071">
        <f t="shared" si="29"/>
        <v>0.94697323556109736</v>
      </c>
      <c r="AN97" s="1069">
        <f t="shared" si="30"/>
        <v>0.41820056776610576</v>
      </c>
      <c r="AO97" s="1047">
        <f t="shared" si="31"/>
        <v>9.0210407341563895E-3</v>
      </c>
      <c r="AP97" s="1071">
        <f t="shared" si="32"/>
        <v>0.57277839149973797</v>
      </c>
    </row>
    <row r="98" spans="1:42" x14ac:dyDescent="0.3">
      <c r="A98" s="630" t="s">
        <v>242</v>
      </c>
      <c r="B98" s="500" t="s">
        <v>243</v>
      </c>
      <c r="C98" s="631" t="s">
        <v>256</v>
      </c>
      <c r="D98" s="676">
        <f>'Administration LASER'!D97+'Other Oper Exp. LASER'!D97</f>
        <v>2809400.8109278339</v>
      </c>
      <c r="E98" s="677">
        <f>'Administration LASER'!E97+'Other Oper Exp. LASER'!E97</f>
        <v>1362687.6390721663</v>
      </c>
      <c r="F98" s="677">
        <f>'Administration LASER'!F97+'Other Oper Exp. LASER'!F97</f>
        <v>815362.25</v>
      </c>
      <c r="G98" s="677">
        <f>'Administration LASER'!J97 + 'Other Oper Exp. LASER'!J97</f>
        <v>230193.76</v>
      </c>
      <c r="H98" s="678">
        <f>'Administration LASER'!I97+'Other Oper Exp. LASER'!I97</f>
        <v>5217644.46</v>
      </c>
      <c r="I98" s="676">
        <f>'Client Services LASER'!D97</f>
        <v>223415.23261744963</v>
      </c>
      <c r="J98" s="677">
        <f>'Client Services LASER'!E97</f>
        <v>140166.01738255034</v>
      </c>
      <c r="K98" s="677">
        <f>'Client Services LASER'!F97</f>
        <v>73691.399999999994</v>
      </c>
      <c r="L98" s="677">
        <f>'Client Services LASER'!J97</f>
        <v>-0.17</v>
      </c>
      <c r="M98" s="678">
        <f>'Client Services LASER'!I97</f>
        <v>437272.48000000004</v>
      </c>
      <c r="N98" s="1666">
        <f>'Statewide Benefits'!D98</f>
        <v>54493450.119380563</v>
      </c>
      <c r="O98" s="1667">
        <f>'Statewide Benefits'!E98</f>
        <v>43178165.671006612</v>
      </c>
      <c r="P98" s="1667">
        <f>'Statewide Benefits'!F98</f>
        <v>432204.36</v>
      </c>
      <c r="Q98" s="2078">
        <f>'Statewide Benefits'!G98</f>
        <v>0</v>
      </c>
      <c r="R98" s="1668">
        <f t="shared" si="21"/>
        <v>98103820.150387183</v>
      </c>
      <c r="S98" s="1666">
        <f>'Other Benefits LASER'!D97+'FC &amp; Adoptions LASER'!D97</f>
        <v>1497813.23</v>
      </c>
      <c r="T98" s="1667">
        <f>'Other Benefits LASER'!E97 + 'FC &amp; Adoptions LASER'!E97</f>
        <v>1963844.37</v>
      </c>
      <c r="U98" s="1667">
        <f>'Other Benefits LASER'!F97+'FC &amp; Adoptions LASER'!F97</f>
        <v>34464.6</v>
      </c>
      <c r="V98" s="2078">
        <f>'FC &amp; Adoptions LASER'!J97+'Other Benefits LASER'!J97</f>
        <v>10233.07</v>
      </c>
      <c r="W98" s="1668">
        <f>'Other Benefits LASER'!I97+'FC &amp; Adoptions LASER'!I97</f>
        <v>3506355.27</v>
      </c>
      <c r="X98" s="1666">
        <f t="shared" si="33"/>
        <v>59024079.392925844</v>
      </c>
      <c r="Y98" s="1667">
        <f t="shared" si="34"/>
        <v>46644863.697461329</v>
      </c>
      <c r="Z98" s="1667">
        <f t="shared" si="35"/>
        <v>1355722.61</v>
      </c>
      <c r="AA98" s="2078">
        <f t="shared" si="36"/>
        <v>240426.66</v>
      </c>
      <c r="AB98" s="1668">
        <f t="shared" si="37"/>
        <v>107265092.36038718</v>
      </c>
      <c r="AD98" s="523">
        <f t="shared" si="22"/>
        <v>0.53844236273006496</v>
      </c>
      <c r="AE98" s="524">
        <f t="shared" si="23"/>
        <v>0.26116912517112489</v>
      </c>
      <c r="AF98" s="524">
        <f t="shared" si="24"/>
        <v>0.15627018211969163</v>
      </c>
      <c r="AG98" s="524">
        <f t="shared" si="25"/>
        <v>4.411832997911859E-2</v>
      </c>
      <c r="AH98" s="525">
        <f t="shared" si="26"/>
        <v>0.79961148790118985</v>
      </c>
      <c r="AJ98" s="1069">
        <f t="shared" si="27"/>
        <v>4.8642520555241396E-2</v>
      </c>
      <c r="AK98" s="1047">
        <f t="shared" si="28"/>
        <v>4.0765590219310156E-3</v>
      </c>
      <c r="AL98" s="1071">
        <f t="shared" si="29"/>
        <v>0.94728092042282763</v>
      </c>
      <c r="AN98" s="1069">
        <f t="shared" si="30"/>
        <v>0.60142262435233707</v>
      </c>
      <c r="AO98" s="1047">
        <f t="shared" si="31"/>
        <v>5.4355809556056595E-2</v>
      </c>
      <c r="AP98" s="1071">
        <f t="shared" si="32"/>
        <v>0.34422156609160626</v>
      </c>
    </row>
    <row r="99" spans="1:42" x14ac:dyDescent="0.3">
      <c r="A99" s="630" t="s">
        <v>244</v>
      </c>
      <c r="B99" s="500" t="s">
        <v>245</v>
      </c>
      <c r="C99" s="631" t="s">
        <v>256</v>
      </c>
      <c r="D99" s="676">
        <f>'Administration LASER'!D98+'Other Oper Exp. LASER'!D98</f>
        <v>1605332.033478701</v>
      </c>
      <c r="E99" s="677">
        <f>'Administration LASER'!E98+'Other Oper Exp. LASER'!E98</f>
        <v>667404.5565212993</v>
      </c>
      <c r="F99" s="677">
        <f>'Administration LASER'!F98+'Other Oper Exp. LASER'!F98</f>
        <v>785300.99999999988</v>
      </c>
      <c r="G99" s="677">
        <f>'Administration LASER'!J98 + 'Other Oper Exp. LASER'!J98</f>
        <v>144267.13000000003</v>
      </c>
      <c r="H99" s="678">
        <f>'Administration LASER'!I98+'Other Oper Exp. LASER'!I98</f>
        <v>3202304.72</v>
      </c>
      <c r="I99" s="676">
        <f>'Client Services LASER'!D98</f>
        <v>95696.448648766658</v>
      </c>
      <c r="J99" s="677">
        <f>'Client Services LASER'!E98</f>
        <v>35585.901351233348</v>
      </c>
      <c r="K99" s="677">
        <f>'Client Services LASER'!F98</f>
        <v>24386.79</v>
      </c>
      <c r="L99" s="677">
        <f>'Client Services LASER'!J98</f>
        <v>894.31000000000006</v>
      </c>
      <c r="M99" s="678">
        <f>'Client Services LASER'!I98</f>
        <v>156563.45000000001</v>
      </c>
      <c r="N99" s="1666">
        <f>'Statewide Benefits'!D99</f>
        <v>32667737.074036691</v>
      </c>
      <c r="O99" s="1667">
        <f>'Statewide Benefits'!E99</f>
        <v>27617109.419023078</v>
      </c>
      <c r="P99" s="1667">
        <f>'Statewide Benefits'!F99</f>
        <v>622530.8600000001</v>
      </c>
      <c r="Q99" s="2078">
        <f>'Statewide Benefits'!G99</f>
        <v>0</v>
      </c>
      <c r="R99" s="1668">
        <f t="shared" si="21"/>
        <v>60907377.353059769</v>
      </c>
      <c r="S99" s="1666">
        <f>'Other Benefits LASER'!D98+'FC &amp; Adoptions LASER'!D98</f>
        <v>640359.97000000009</v>
      </c>
      <c r="T99" s="1667">
        <f>'Other Benefits LASER'!E98 + 'FC &amp; Adoptions LASER'!E98</f>
        <v>937374.46000000008</v>
      </c>
      <c r="U99" s="1667">
        <f>'Other Benefits LASER'!F98+'FC &amp; Adoptions LASER'!F98</f>
        <v>30503.4</v>
      </c>
      <c r="V99" s="2078">
        <f>'FC &amp; Adoptions LASER'!J98+'Other Benefits LASER'!J98</f>
        <v>7473.9800000000005</v>
      </c>
      <c r="W99" s="1668">
        <f>'Other Benefits LASER'!I98+'FC &amp; Adoptions LASER'!I98</f>
        <v>1615711.81</v>
      </c>
      <c r="X99" s="1666">
        <f t="shared" si="33"/>
        <v>35009125.526164159</v>
      </c>
      <c r="Y99" s="1667">
        <f t="shared" si="34"/>
        <v>29257474.336895611</v>
      </c>
      <c r="Z99" s="1667">
        <f t="shared" si="35"/>
        <v>1462722.0499999998</v>
      </c>
      <c r="AA99" s="2078">
        <f t="shared" si="36"/>
        <v>152635.42000000004</v>
      </c>
      <c r="AB99" s="1668">
        <f t="shared" si="37"/>
        <v>65881957.333059773</v>
      </c>
      <c r="AD99" s="523">
        <f t="shared" si="22"/>
        <v>0.5013052079187208</v>
      </c>
      <c r="AE99" s="524">
        <f t="shared" si="23"/>
        <v>0.20841381907006629</v>
      </c>
      <c r="AF99" s="524">
        <f t="shared" si="24"/>
        <v>0.24522994176519211</v>
      </c>
      <c r="AG99" s="524">
        <f t="shared" si="25"/>
        <v>4.5051031246020841E-2</v>
      </c>
      <c r="AH99" s="525">
        <f t="shared" si="26"/>
        <v>0.70971902698878708</v>
      </c>
      <c r="AJ99" s="1069">
        <f t="shared" si="27"/>
        <v>4.8606702800450555E-2</v>
      </c>
      <c r="AK99" s="1047">
        <f t="shared" si="28"/>
        <v>2.3764237787974158E-3</v>
      </c>
      <c r="AL99" s="1071">
        <f t="shared" si="29"/>
        <v>0.94901687342075203</v>
      </c>
      <c r="AN99" s="1069">
        <f t="shared" si="30"/>
        <v>0.53687643527353679</v>
      </c>
      <c r="AO99" s="1047">
        <f t="shared" si="31"/>
        <v>1.6672196881150458E-2</v>
      </c>
      <c r="AP99" s="1071">
        <f t="shared" si="32"/>
        <v>0.44645136784531292</v>
      </c>
    </row>
    <row r="100" spans="1:42" x14ac:dyDescent="0.3">
      <c r="A100" s="630" t="s">
        <v>246</v>
      </c>
      <c r="B100" s="500" t="s">
        <v>247</v>
      </c>
      <c r="C100" s="631" t="s">
        <v>252</v>
      </c>
      <c r="D100" s="676">
        <f>'Administration LASER'!D99+'Other Oper Exp. LASER'!D99</f>
        <v>2615312.9730877113</v>
      </c>
      <c r="E100" s="677">
        <f>'Administration LASER'!E99+'Other Oper Exp. LASER'!E99</f>
        <v>801666.09691228881</v>
      </c>
      <c r="F100" s="677">
        <f>'Administration LASER'!F99+'Other Oper Exp. LASER'!F99</f>
        <v>2154758.9699999997</v>
      </c>
      <c r="G100" s="677">
        <f>'Administration LASER'!J99 + 'Other Oper Exp. LASER'!J99</f>
        <v>243256.99000000002</v>
      </c>
      <c r="H100" s="678">
        <f>'Administration LASER'!I99+'Other Oper Exp. LASER'!I99</f>
        <v>5814995.0300000003</v>
      </c>
      <c r="I100" s="676">
        <f>'Client Services LASER'!D99</f>
        <v>95140.673449562775</v>
      </c>
      <c r="J100" s="677">
        <f>'Client Services LASER'!E99</f>
        <v>60310.446550437249</v>
      </c>
      <c r="K100" s="677">
        <f>'Client Services LASER'!F99</f>
        <v>35380.26</v>
      </c>
      <c r="L100" s="677">
        <f>'Client Services LASER'!J99</f>
        <v>-5.0000000000011369E-2</v>
      </c>
      <c r="M100" s="678">
        <f>'Client Services LASER'!I99</f>
        <v>190831.33000000005</v>
      </c>
      <c r="N100" s="1666">
        <f>'Statewide Benefits'!D100</f>
        <v>25360361.334267706</v>
      </c>
      <c r="O100" s="1667">
        <f>'Statewide Benefits'!E100</f>
        <v>21251641.213496316</v>
      </c>
      <c r="P100" s="1667">
        <f>'Statewide Benefits'!F100</f>
        <v>857086.34000000008</v>
      </c>
      <c r="Q100" s="2078">
        <f>'Statewide Benefits'!G100</f>
        <v>0</v>
      </c>
      <c r="R100" s="1668">
        <f t="shared" si="21"/>
        <v>47469088.887764022</v>
      </c>
      <c r="S100" s="1666">
        <f>'Other Benefits LASER'!D99+'FC &amp; Adoptions LASER'!D99</f>
        <v>123856.96000000001</v>
      </c>
      <c r="T100" s="1667">
        <f>'Other Benefits LASER'!E99 + 'FC &amp; Adoptions LASER'!E99</f>
        <v>228775.64</v>
      </c>
      <c r="U100" s="1667">
        <f>'Other Benefits LASER'!F99+'FC &amp; Adoptions LASER'!F99</f>
        <v>17294.8</v>
      </c>
      <c r="V100" s="2078">
        <f>'FC &amp; Adoptions LASER'!J99+'Other Benefits LASER'!J99</f>
        <v>70.760000000000005</v>
      </c>
      <c r="W100" s="1668">
        <f>'Other Benefits LASER'!I99+'FC &amp; Adoptions LASER'!I99</f>
        <v>369998.16</v>
      </c>
      <c r="X100" s="1666">
        <f t="shared" si="33"/>
        <v>28194671.940804981</v>
      </c>
      <c r="Y100" s="1667">
        <f t="shared" si="34"/>
        <v>22342393.396959044</v>
      </c>
      <c r="Z100" s="1667">
        <f t="shared" si="35"/>
        <v>3064520.3699999992</v>
      </c>
      <c r="AA100" s="2078">
        <f t="shared" si="36"/>
        <v>243327.70000000004</v>
      </c>
      <c r="AB100" s="1668">
        <f t="shared" si="37"/>
        <v>53844913.407764018</v>
      </c>
      <c r="AD100" s="523">
        <f t="shared" si="22"/>
        <v>0.44975326025131807</v>
      </c>
      <c r="AE100" s="524">
        <f t="shared" si="23"/>
        <v>0.13786187138190706</v>
      </c>
      <c r="AF100" s="524">
        <f t="shared" si="24"/>
        <v>0.37055216021397008</v>
      </c>
      <c r="AG100" s="524">
        <f t="shared" si="25"/>
        <v>4.1832708152804737E-2</v>
      </c>
      <c r="AH100" s="525">
        <f t="shared" si="26"/>
        <v>0.58761513163322521</v>
      </c>
      <c r="AJ100" s="1069">
        <f t="shared" si="27"/>
        <v>0.10799525269849396</v>
      </c>
      <c r="AK100" s="1047">
        <f t="shared" si="28"/>
        <v>3.5440920585171494E-3</v>
      </c>
      <c r="AL100" s="1071">
        <f t="shared" si="29"/>
        <v>0.88846065524298889</v>
      </c>
      <c r="AN100" s="1069">
        <f t="shared" si="30"/>
        <v>0.70313090136189904</v>
      </c>
      <c r="AO100" s="1047">
        <f t="shared" si="31"/>
        <v>1.1545121496451339E-2</v>
      </c>
      <c r="AP100" s="1071">
        <f t="shared" si="32"/>
        <v>0.28532397714164986</v>
      </c>
    </row>
    <row r="101" spans="1:42" x14ac:dyDescent="0.3">
      <c r="A101" s="630" t="s">
        <v>14</v>
      </c>
      <c r="B101" s="500" t="s">
        <v>15</v>
      </c>
      <c r="C101" s="631" t="s">
        <v>255</v>
      </c>
      <c r="D101" s="676">
        <f>'Administration LASER'!D100+'Other Oper Exp. LASER'!D100</f>
        <v>9327746.2812020257</v>
      </c>
      <c r="E101" s="677">
        <f>'Administration LASER'!E100+'Other Oper Exp. LASER'!E100</f>
        <v>2393715.1687979726</v>
      </c>
      <c r="F101" s="677">
        <f>'Administration LASER'!F100+'Other Oper Exp. LASER'!F100</f>
        <v>8719473.7800000012</v>
      </c>
      <c r="G101" s="677">
        <f>'Administration LASER'!J100 + 'Other Oper Exp. LASER'!J100</f>
        <v>2285557.09</v>
      </c>
      <c r="H101" s="678">
        <f>'Administration LASER'!I100+'Other Oper Exp. LASER'!I100</f>
        <v>22726492.320000004</v>
      </c>
      <c r="I101" s="676">
        <f>'Client Services LASER'!D100</f>
        <v>309458.66032464796</v>
      </c>
      <c r="J101" s="677">
        <f>'Client Services LASER'!E100</f>
        <v>131799.26967535212</v>
      </c>
      <c r="K101" s="677">
        <f>'Client Services LASER'!F100</f>
        <v>94053.180000000008</v>
      </c>
      <c r="L101" s="677">
        <f>'Client Services LASER'!J100</f>
        <v>200679.58000000002</v>
      </c>
      <c r="M101" s="678">
        <f>'Client Services LASER'!I100</f>
        <v>735990.69000000018</v>
      </c>
      <c r="N101" s="1666">
        <f>'Statewide Benefits'!D101</f>
        <v>82096397.315547928</v>
      </c>
      <c r="O101" s="1667">
        <f>'Statewide Benefits'!E101</f>
        <v>64717173.531234697</v>
      </c>
      <c r="P101" s="1667">
        <f>'Statewide Benefits'!F101</f>
        <v>4052219.41</v>
      </c>
      <c r="Q101" s="2078">
        <f>'Statewide Benefits'!G101</f>
        <v>0</v>
      </c>
      <c r="R101" s="1668">
        <f t="shared" ref="R101:R125" si="38">SUM(N101:P101)</f>
        <v>150865790.25678262</v>
      </c>
      <c r="S101" s="1666">
        <f>'Other Benefits LASER'!D100+'FC &amp; Adoptions LASER'!D100</f>
        <v>2134307.5300000003</v>
      </c>
      <c r="T101" s="1667">
        <f>'Other Benefits LASER'!E100 + 'FC &amp; Adoptions LASER'!E100</f>
        <v>2410362.8899999997</v>
      </c>
      <c r="U101" s="1667">
        <f>'Other Benefits LASER'!F100+'FC &amp; Adoptions LASER'!F100</f>
        <v>36616.400000000001</v>
      </c>
      <c r="V101" s="2078">
        <f>'FC &amp; Adoptions LASER'!J100+'Other Benefits LASER'!J100</f>
        <v>37230.69</v>
      </c>
      <c r="W101" s="1668">
        <f>'Other Benefits LASER'!I100+'FC &amp; Adoptions LASER'!I100</f>
        <v>4618517.51</v>
      </c>
      <c r="X101" s="1666">
        <f t="shared" si="33"/>
        <v>93867909.787074596</v>
      </c>
      <c r="Y101" s="1667">
        <f t="shared" si="34"/>
        <v>69653050.859708026</v>
      </c>
      <c r="Z101" s="1667">
        <f t="shared" si="35"/>
        <v>12902362.770000001</v>
      </c>
      <c r="AA101" s="2078">
        <f t="shared" si="36"/>
        <v>2523467.36</v>
      </c>
      <c r="AB101" s="1668">
        <f t="shared" si="37"/>
        <v>178946790.77678263</v>
      </c>
      <c r="AD101" s="523">
        <f t="shared" si="22"/>
        <v>0.41043492985467561</v>
      </c>
      <c r="AE101" s="524">
        <f t="shared" si="23"/>
        <v>0.10532708414009981</v>
      </c>
      <c r="AF101" s="524">
        <f t="shared" si="24"/>
        <v>0.3836700207504789</v>
      </c>
      <c r="AG101" s="524">
        <f t="shared" si="25"/>
        <v>0.10056796525474546</v>
      </c>
      <c r="AH101" s="525">
        <f t="shared" si="26"/>
        <v>0.5157620139947755</v>
      </c>
      <c r="AJ101" s="1069">
        <f t="shared" si="27"/>
        <v>0.12700139645616176</v>
      </c>
      <c r="AK101" s="1047">
        <f t="shared" si="28"/>
        <v>4.1129024264987876E-3</v>
      </c>
      <c r="AL101" s="1071">
        <f t="shared" si="29"/>
        <v>0.86888570111733932</v>
      </c>
      <c r="AN101" s="1069">
        <f t="shared" si="30"/>
        <v>0.67580441934822455</v>
      </c>
      <c r="AO101" s="1047">
        <f t="shared" si="31"/>
        <v>7.2896090178682831E-3</v>
      </c>
      <c r="AP101" s="1071">
        <f t="shared" si="32"/>
        <v>0.31690597163390716</v>
      </c>
    </row>
    <row r="102" spans="1:42" x14ac:dyDescent="0.3">
      <c r="A102" s="630" t="s">
        <v>34</v>
      </c>
      <c r="B102" s="500" t="s">
        <v>35</v>
      </c>
      <c r="C102" s="631" t="s">
        <v>256</v>
      </c>
      <c r="D102" s="676">
        <f>'Administration LASER'!D101+'Other Oper Exp. LASER'!D101</f>
        <v>1491940.2296605369</v>
      </c>
      <c r="E102" s="677">
        <f>'Administration LASER'!E101+'Other Oper Exp. LASER'!E101</f>
        <v>722722.30033946305</v>
      </c>
      <c r="F102" s="677">
        <f>'Administration LASER'!F101+'Other Oper Exp. LASER'!F101</f>
        <v>434136.3</v>
      </c>
      <c r="G102" s="677">
        <f>'Administration LASER'!J101 + 'Other Oper Exp. LASER'!J101</f>
        <v>82157.06</v>
      </c>
      <c r="H102" s="678">
        <f>'Administration LASER'!I101+'Other Oper Exp. LASER'!I101</f>
        <v>2730955.89</v>
      </c>
      <c r="I102" s="676">
        <f>'Client Services LASER'!D101</f>
        <v>75444.187600151708</v>
      </c>
      <c r="J102" s="677">
        <f>'Client Services LASER'!E101</f>
        <v>93578.22239984828</v>
      </c>
      <c r="K102" s="677">
        <f>'Client Services LASER'!F101</f>
        <v>31678.17</v>
      </c>
      <c r="L102" s="677">
        <f>'Client Services LASER'!J101</f>
        <v>-0.27</v>
      </c>
      <c r="M102" s="678">
        <f>'Client Services LASER'!I101</f>
        <v>200700.30999999997</v>
      </c>
      <c r="N102" s="1666">
        <f>'Statewide Benefits'!D102</f>
        <v>25861885.212543346</v>
      </c>
      <c r="O102" s="1667">
        <f>'Statewide Benefits'!E102</f>
        <v>20418996.927570395</v>
      </c>
      <c r="P102" s="1667">
        <f>'Statewide Benefits'!F102</f>
        <v>636988.88</v>
      </c>
      <c r="Q102" s="2078">
        <f>'Statewide Benefits'!G102</f>
        <v>0</v>
      </c>
      <c r="R102" s="1668">
        <f t="shared" si="38"/>
        <v>46917871.020113744</v>
      </c>
      <c r="S102" s="1666">
        <f>'Other Benefits LASER'!D101+'FC &amp; Adoptions LASER'!D101</f>
        <v>1001630.32</v>
      </c>
      <c r="T102" s="1667">
        <f>'Other Benefits LASER'!E101 + 'FC &amp; Adoptions LASER'!E101</f>
        <v>1300587.25</v>
      </c>
      <c r="U102" s="1667">
        <f>'Other Benefits LASER'!F101+'FC &amp; Adoptions LASER'!F101</f>
        <v>56812.6</v>
      </c>
      <c r="V102" s="2078">
        <f>'FC &amp; Adoptions LASER'!J101+'Other Benefits LASER'!J101</f>
        <v>-0.32999999999999996</v>
      </c>
      <c r="W102" s="1668">
        <f>'Other Benefits LASER'!I101+'FC &amp; Adoptions LASER'!I101</f>
        <v>2359029.84</v>
      </c>
      <c r="X102" s="1666">
        <f t="shared" si="33"/>
        <v>28430899.949804034</v>
      </c>
      <c r="Y102" s="1667">
        <f t="shared" si="34"/>
        <v>22535884.700309705</v>
      </c>
      <c r="Z102" s="1667">
        <f t="shared" si="35"/>
        <v>1159615.9500000002</v>
      </c>
      <c r="AA102" s="2078">
        <f t="shared" si="36"/>
        <v>82156.459999999992</v>
      </c>
      <c r="AB102" s="1668">
        <f t="shared" si="37"/>
        <v>52208557.060113743</v>
      </c>
      <c r="AD102" s="523">
        <f t="shared" si="22"/>
        <v>0.5463069671405556</v>
      </c>
      <c r="AE102" s="524">
        <f t="shared" si="23"/>
        <v>0.26464078126851875</v>
      </c>
      <c r="AF102" s="524">
        <f t="shared" si="24"/>
        <v>0.15896862398608713</v>
      </c>
      <c r="AG102" s="524">
        <f t="shared" si="25"/>
        <v>3.0083627604838389E-2</v>
      </c>
      <c r="AH102" s="525">
        <f t="shared" si="26"/>
        <v>0.81094774840907435</v>
      </c>
      <c r="AJ102" s="1069">
        <f t="shared" si="27"/>
        <v>5.2308587782947821E-2</v>
      </c>
      <c r="AK102" s="1047">
        <f t="shared" si="28"/>
        <v>3.8442033509738741E-3</v>
      </c>
      <c r="AL102" s="1071">
        <f t="shared" si="29"/>
        <v>0.9438472088660782</v>
      </c>
      <c r="AN102" s="1069">
        <f t="shared" si="30"/>
        <v>0.3743793796558248</v>
      </c>
      <c r="AO102" s="1047">
        <f t="shared" si="31"/>
        <v>2.7317811556489883E-2</v>
      </c>
      <c r="AP102" s="1071">
        <f t="shared" si="32"/>
        <v>0.59830280878768516</v>
      </c>
    </row>
    <row r="103" spans="1:42" x14ac:dyDescent="0.3">
      <c r="A103" s="630" t="s">
        <v>52</v>
      </c>
      <c r="B103" s="500" t="s">
        <v>53</v>
      </c>
      <c r="C103" s="631" t="s">
        <v>253</v>
      </c>
      <c r="D103" s="676">
        <f>'Administration LASER'!D102+'Other Oper Exp. LASER'!D102</f>
        <v>4203072.1162320562</v>
      </c>
      <c r="E103" s="677">
        <f>'Administration LASER'!E102+'Other Oper Exp. LASER'!E102</f>
        <v>1412456.0337679447</v>
      </c>
      <c r="F103" s="677">
        <f>'Administration LASER'!F102+'Other Oper Exp. LASER'!F102</f>
        <v>3174533.1</v>
      </c>
      <c r="G103" s="677">
        <f>'Administration LASER'!J102 + 'Other Oper Exp. LASER'!J102</f>
        <v>253723.2</v>
      </c>
      <c r="H103" s="678">
        <f>'Administration LASER'!I102+'Other Oper Exp. LASER'!I102</f>
        <v>9043784.4500000011</v>
      </c>
      <c r="I103" s="676">
        <f>'Client Services LASER'!D102</f>
        <v>153824.80612975286</v>
      </c>
      <c r="J103" s="677">
        <f>'Client Services LASER'!E102</f>
        <v>95009.723870247137</v>
      </c>
      <c r="K103" s="677">
        <f>'Client Services LASER'!F102</f>
        <v>54430.889999999992</v>
      </c>
      <c r="L103" s="677">
        <f>'Client Services LASER'!J102</f>
        <v>-0.32</v>
      </c>
      <c r="M103" s="678">
        <f>'Client Services LASER'!I102</f>
        <v>303265.09999999998</v>
      </c>
      <c r="N103" s="1666">
        <f>'Statewide Benefits'!D103</f>
        <v>37553886.206001006</v>
      </c>
      <c r="O103" s="1667">
        <f>'Statewide Benefits'!E103</f>
        <v>37205437.437399134</v>
      </c>
      <c r="P103" s="1667">
        <f>'Statewide Benefits'!F103</f>
        <v>2628451</v>
      </c>
      <c r="Q103" s="2078">
        <f>'Statewide Benefits'!G103</f>
        <v>0</v>
      </c>
      <c r="R103" s="1668">
        <f t="shared" si="38"/>
        <v>77387774.643400133</v>
      </c>
      <c r="S103" s="1666">
        <f>'Other Benefits LASER'!D102+'FC &amp; Adoptions LASER'!D102</f>
        <v>2043059.86</v>
      </c>
      <c r="T103" s="1667">
        <f>'Other Benefits LASER'!E102 + 'FC &amp; Adoptions LASER'!E102</f>
        <v>2290760.71</v>
      </c>
      <c r="U103" s="1667">
        <f>'Other Benefits LASER'!F102+'FC &amp; Adoptions LASER'!F102</f>
        <v>43324.53</v>
      </c>
      <c r="V103" s="2078">
        <f>'FC &amp; Adoptions LASER'!J102+'Other Benefits LASER'!J102</f>
        <v>7223.01</v>
      </c>
      <c r="W103" s="1668">
        <f>'Other Benefits LASER'!I102+'FC &amp; Adoptions LASER'!I102</f>
        <v>4384368.1100000003</v>
      </c>
      <c r="X103" s="1666">
        <f t="shared" si="33"/>
        <v>43953842.988362812</v>
      </c>
      <c r="Y103" s="1667">
        <f t="shared" si="34"/>
        <v>41003663.905037329</v>
      </c>
      <c r="Z103" s="1667">
        <f t="shared" si="35"/>
        <v>5900739.5200000005</v>
      </c>
      <c r="AA103" s="2078">
        <f t="shared" si="36"/>
        <v>260945.89</v>
      </c>
      <c r="AB103" s="1668">
        <f t="shared" si="37"/>
        <v>91119192.303400129</v>
      </c>
      <c r="AD103" s="523">
        <f t="shared" si="22"/>
        <v>0.46474704693255442</v>
      </c>
      <c r="AE103" s="524">
        <f t="shared" si="23"/>
        <v>0.15617975434696971</v>
      </c>
      <c r="AF103" s="524">
        <f t="shared" si="24"/>
        <v>0.35101821782141213</v>
      </c>
      <c r="AG103" s="524">
        <f t="shared" si="25"/>
        <v>2.8054980899063775E-2</v>
      </c>
      <c r="AH103" s="525">
        <f t="shared" si="26"/>
        <v>0.62092680127952404</v>
      </c>
      <c r="AJ103" s="1069">
        <f t="shared" si="27"/>
        <v>9.925224556300781E-2</v>
      </c>
      <c r="AK103" s="1047">
        <f t="shared" si="28"/>
        <v>3.3282241900281155E-3</v>
      </c>
      <c r="AL103" s="1071">
        <f t="shared" si="29"/>
        <v>0.89741953024696408</v>
      </c>
      <c r="AN103" s="1069">
        <f t="shared" si="30"/>
        <v>0.53798902480616528</v>
      </c>
      <c r="AO103" s="1047">
        <f t="shared" si="31"/>
        <v>9.2244183657847669E-3</v>
      </c>
      <c r="AP103" s="1071">
        <f t="shared" si="32"/>
        <v>0.45278655682804986</v>
      </c>
    </row>
    <row r="104" spans="1:42" x14ac:dyDescent="0.3">
      <c r="A104" s="630" t="s">
        <v>54</v>
      </c>
      <c r="B104" s="500" t="s">
        <v>55</v>
      </c>
      <c r="C104" s="631" t="s">
        <v>252</v>
      </c>
      <c r="D104" s="676">
        <f>'Administration LASER'!D103+'Other Oper Exp. LASER'!D103</f>
        <v>8034776.5984908193</v>
      </c>
      <c r="E104" s="677">
        <f>'Administration LASER'!E103+'Other Oper Exp. LASER'!E103</f>
        <v>2954934.9715091805</v>
      </c>
      <c r="F104" s="677">
        <f>'Administration LASER'!F103+'Other Oper Exp. LASER'!F103</f>
        <v>5232180.4000000004</v>
      </c>
      <c r="G104" s="677">
        <f>'Administration LASER'!J103 + 'Other Oper Exp. LASER'!J103</f>
        <v>836478.34000000008</v>
      </c>
      <c r="H104" s="678">
        <f>'Administration LASER'!I103+'Other Oper Exp. LASER'!I103</f>
        <v>17058370.310000002</v>
      </c>
      <c r="I104" s="676">
        <f>'Client Services LASER'!D103</f>
        <v>213329.71310049418</v>
      </c>
      <c r="J104" s="677">
        <f>'Client Services LASER'!E103</f>
        <v>175775.1368995058</v>
      </c>
      <c r="K104" s="677">
        <f>'Client Services LASER'!F103</f>
        <v>74364.62</v>
      </c>
      <c r="L104" s="677">
        <f>'Client Services LASER'!J103</f>
        <v>-0.13</v>
      </c>
      <c r="M104" s="678">
        <f>'Client Services LASER'!I103</f>
        <v>463469.33999999997</v>
      </c>
      <c r="N104" s="1666">
        <f>'Statewide Benefits'!D104</f>
        <v>171743228.59765509</v>
      </c>
      <c r="O104" s="1667">
        <f>'Statewide Benefits'!E104</f>
        <v>136119113.98727432</v>
      </c>
      <c r="P104" s="1667">
        <f>'Statewide Benefits'!F104</f>
        <v>2023907.18</v>
      </c>
      <c r="Q104" s="2078">
        <f>'Statewide Benefits'!G104</f>
        <v>0</v>
      </c>
      <c r="R104" s="1668">
        <f t="shared" si="38"/>
        <v>309886249.76492941</v>
      </c>
      <c r="S104" s="1666">
        <f>'Other Benefits LASER'!D103+'FC &amp; Adoptions LASER'!D103</f>
        <v>1220228.74</v>
      </c>
      <c r="T104" s="1667">
        <f>'Other Benefits LASER'!E103 + 'FC &amp; Adoptions LASER'!E103</f>
        <v>1759424.67</v>
      </c>
      <c r="U104" s="1667">
        <f>'Other Benefits LASER'!F103+'FC &amp; Adoptions LASER'!F103</f>
        <v>105111.6</v>
      </c>
      <c r="V104" s="2078">
        <f>'FC &amp; Adoptions LASER'!J103+'Other Benefits LASER'!J103</f>
        <v>9905.5400000000009</v>
      </c>
      <c r="W104" s="1668">
        <f>'Other Benefits LASER'!I103+'FC &amp; Adoptions LASER'!I103</f>
        <v>3094670.55</v>
      </c>
      <c r="X104" s="1666">
        <f t="shared" si="33"/>
        <v>181211563.64924642</v>
      </c>
      <c r="Y104" s="1667">
        <f t="shared" si="34"/>
        <v>141009248.765683</v>
      </c>
      <c r="Z104" s="1667">
        <f t="shared" si="35"/>
        <v>7435563.7999999998</v>
      </c>
      <c r="AA104" s="2078">
        <f t="shared" si="36"/>
        <v>846383.75000000012</v>
      </c>
      <c r="AB104" s="1668">
        <f t="shared" si="37"/>
        <v>330502759.9649294</v>
      </c>
      <c r="AD104" s="523">
        <f t="shared" si="22"/>
        <v>0.47101665941562143</v>
      </c>
      <c r="AE104" s="524">
        <f t="shared" si="23"/>
        <v>0.17322492816192006</v>
      </c>
      <c r="AF104" s="524">
        <f t="shared" si="24"/>
        <v>0.30672217245353023</v>
      </c>
      <c r="AG104" s="524">
        <f t="shared" si="25"/>
        <v>4.903623996892819E-2</v>
      </c>
      <c r="AH104" s="525">
        <f t="shared" si="26"/>
        <v>0.64424158757754146</v>
      </c>
      <c r="AJ104" s="1069">
        <f t="shared" si="27"/>
        <v>5.1613397454865775E-2</v>
      </c>
      <c r="AK104" s="1047">
        <f t="shared" si="28"/>
        <v>1.4023160957844347E-3</v>
      </c>
      <c r="AL104" s="1071">
        <f t="shared" si="29"/>
        <v>0.94698428644934984</v>
      </c>
      <c r="AN104" s="1069">
        <f t="shared" si="30"/>
        <v>0.70366962623600926</v>
      </c>
      <c r="AO104" s="1047">
        <f t="shared" si="31"/>
        <v>1.0001207978337836E-2</v>
      </c>
      <c r="AP104" s="1071">
        <f t="shared" si="32"/>
        <v>0.28632916578565298</v>
      </c>
    </row>
    <row r="105" spans="1:42" x14ac:dyDescent="0.3">
      <c r="A105" s="630" t="s">
        <v>66</v>
      </c>
      <c r="B105" s="500" t="s">
        <v>67</v>
      </c>
      <c r="C105" s="631" t="s">
        <v>253</v>
      </c>
      <c r="D105" s="676">
        <f>'Administration LASER'!D104+'Other Oper Exp. LASER'!D104</f>
        <v>3171717.3568258407</v>
      </c>
      <c r="E105" s="677">
        <f>'Administration LASER'!E104+'Other Oper Exp. LASER'!E104</f>
        <v>1456688.9531741592</v>
      </c>
      <c r="F105" s="677">
        <f>'Administration LASER'!F104+'Other Oper Exp. LASER'!F104</f>
        <v>1056118.47</v>
      </c>
      <c r="G105" s="677">
        <f>'Administration LASER'!J104 + 'Other Oper Exp. LASER'!J104</f>
        <v>292655.14</v>
      </c>
      <c r="H105" s="678">
        <f>'Administration LASER'!I104+'Other Oper Exp. LASER'!I104</f>
        <v>5977179.919999999</v>
      </c>
      <c r="I105" s="676">
        <f>'Client Services LASER'!D104</f>
        <v>99038.545867085762</v>
      </c>
      <c r="J105" s="677">
        <f>'Client Services LASER'!E104</f>
        <v>41347.95413291423</v>
      </c>
      <c r="K105" s="677">
        <f>'Client Services LASER'!F104</f>
        <v>25589.870000000003</v>
      </c>
      <c r="L105" s="677">
        <f>'Client Services LASER'!J104</f>
        <v>-0.16</v>
      </c>
      <c r="M105" s="678">
        <f>'Client Services LASER'!I104</f>
        <v>165976.21</v>
      </c>
      <c r="N105" s="1666">
        <f>'Statewide Benefits'!D105</f>
        <v>90689527.517233238</v>
      </c>
      <c r="O105" s="1667">
        <f>'Statewide Benefits'!E105</f>
        <v>73332198.355108857</v>
      </c>
      <c r="P105" s="1667">
        <f>'Statewide Benefits'!F105</f>
        <v>1047169.15</v>
      </c>
      <c r="Q105" s="2078">
        <f>'Statewide Benefits'!G105</f>
        <v>0</v>
      </c>
      <c r="R105" s="1668">
        <f t="shared" si="38"/>
        <v>165068895.02234212</v>
      </c>
      <c r="S105" s="1666">
        <f>'Other Benefits LASER'!D104+'FC &amp; Adoptions LASER'!D104</f>
        <v>798200.86</v>
      </c>
      <c r="T105" s="1667">
        <f>'Other Benefits LASER'!E104 + 'FC &amp; Adoptions LASER'!E104</f>
        <v>1041554.11</v>
      </c>
      <c r="U105" s="1667">
        <f>'Other Benefits LASER'!F104+'FC &amp; Adoptions LASER'!F104</f>
        <v>37059.599999999999</v>
      </c>
      <c r="V105" s="2078">
        <f>'FC &amp; Adoptions LASER'!J104+'Other Benefits LASER'!J104</f>
        <v>-0.26</v>
      </c>
      <c r="W105" s="1668">
        <f>'Other Benefits LASER'!I104+'FC &amp; Adoptions LASER'!I104</f>
        <v>1876814.31</v>
      </c>
      <c r="X105" s="1666">
        <f t="shared" si="33"/>
        <v>94758484.279926166</v>
      </c>
      <c r="Y105" s="1667">
        <f t="shared" si="34"/>
        <v>75871789.37241593</v>
      </c>
      <c r="Z105" s="1667">
        <f t="shared" si="35"/>
        <v>2165937.0900000003</v>
      </c>
      <c r="AA105" s="2078">
        <f t="shared" si="36"/>
        <v>292654.72000000003</v>
      </c>
      <c r="AB105" s="1668">
        <f t="shared" si="37"/>
        <v>173088865.46234211</v>
      </c>
      <c r="AD105" s="523">
        <f t="shared" si="22"/>
        <v>0.53063775882219744</v>
      </c>
      <c r="AE105" s="524">
        <f t="shared" si="23"/>
        <v>0.2437083997254276</v>
      </c>
      <c r="AF105" s="524">
        <f t="shared" si="24"/>
        <v>0.17669176503557554</v>
      </c>
      <c r="AG105" s="524">
        <f t="shared" si="25"/>
        <v>4.8962076416799588E-2</v>
      </c>
      <c r="AH105" s="525">
        <f t="shared" si="26"/>
        <v>0.77434615854762501</v>
      </c>
      <c r="AJ105" s="1069">
        <f t="shared" si="27"/>
        <v>3.4532434562062675E-2</v>
      </c>
      <c r="AK105" s="1047">
        <f t="shared" si="28"/>
        <v>9.5890749273014569E-4</v>
      </c>
      <c r="AL105" s="1071">
        <f t="shared" si="29"/>
        <v>0.96450865794520724</v>
      </c>
      <c r="AN105" s="1069">
        <f t="shared" si="30"/>
        <v>0.48760348344189436</v>
      </c>
      <c r="AO105" s="1047">
        <f t="shared" si="31"/>
        <v>1.1814687563247739E-2</v>
      </c>
      <c r="AP105" s="1071">
        <f t="shared" si="32"/>
        <v>0.50058182899485781</v>
      </c>
    </row>
    <row r="106" spans="1:42" x14ac:dyDescent="0.3">
      <c r="A106" s="630" t="s">
        <v>82</v>
      </c>
      <c r="B106" s="500" t="s">
        <v>299</v>
      </c>
      <c r="C106" s="631" t="s">
        <v>252</v>
      </c>
      <c r="D106" s="676">
        <f>'Administration LASER'!D105+'Other Oper Exp. LASER'!D105</f>
        <v>794362.98937001289</v>
      </c>
      <c r="E106" s="677">
        <f>'Administration LASER'!E105+'Other Oper Exp. LASER'!E105</f>
        <v>339320.3506299872</v>
      </c>
      <c r="F106" s="677">
        <f>'Administration LASER'!F105+'Other Oper Exp. LASER'!F105</f>
        <v>383543.17</v>
      </c>
      <c r="G106" s="677">
        <f>'Administration LASER'!J105 + 'Other Oper Exp. LASER'!J105</f>
        <v>32614.880000000001</v>
      </c>
      <c r="H106" s="678">
        <f>'Administration LASER'!I105+'Other Oper Exp. LASER'!I105</f>
        <v>1549841.3900000001</v>
      </c>
      <c r="I106" s="676">
        <f>'Client Services LASER'!D105</f>
        <v>16301.88929895169</v>
      </c>
      <c r="J106" s="677">
        <f>'Client Services LASER'!E105</f>
        <v>19212.300701048312</v>
      </c>
      <c r="K106" s="677">
        <f>'Client Services LASER'!F105</f>
        <v>6703.6800000000012</v>
      </c>
      <c r="L106" s="677">
        <f>'Client Services LASER'!J105</f>
        <v>-7.9999999999999988E-2</v>
      </c>
      <c r="M106" s="678">
        <f>'Client Services LASER'!I105</f>
        <v>42217.79</v>
      </c>
      <c r="N106" s="1666">
        <f>'Statewide Benefits'!D106</f>
        <v>18892631.779490575</v>
      </c>
      <c r="O106" s="1667">
        <f>'Statewide Benefits'!E106</f>
        <v>14813525.408773523</v>
      </c>
      <c r="P106" s="1667">
        <f>'Statewide Benefits'!F106</f>
        <v>66181.86</v>
      </c>
      <c r="Q106" s="2078">
        <f>'Statewide Benefits'!G106</f>
        <v>0</v>
      </c>
      <c r="R106" s="1668">
        <f t="shared" si="38"/>
        <v>33772339.048264101</v>
      </c>
      <c r="S106" s="1666">
        <f>'Other Benefits LASER'!D105+'FC &amp; Adoptions LASER'!D105</f>
        <v>36944.800000000003</v>
      </c>
      <c r="T106" s="1667">
        <f>'Other Benefits LASER'!E105 + 'FC &amp; Adoptions LASER'!E105</f>
        <v>109135.6</v>
      </c>
      <c r="U106" s="1667">
        <f>'Other Benefits LASER'!F105+'FC &amp; Adoptions LASER'!F105</f>
        <v>15715.2</v>
      </c>
      <c r="V106" s="2078">
        <f>'FC &amp; Adoptions LASER'!J105+'Other Benefits LASER'!J105</f>
        <v>-0.09</v>
      </c>
      <c r="W106" s="1668">
        <f>'Other Benefits LASER'!I105+'FC &amp; Adoptions LASER'!I105</f>
        <v>161795.51</v>
      </c>
      <c r="X106" s="1666">
        <f t="shared" si="33"/>
        <v>19740241.45815954</v>
      </c>
      <c r="Y106" s="1667">
        <f t="shared" si="34"/>
        <v>15281193.660104558</v>
      </c>
      <c r="Z106" s="1667">
        <f t="shared" si="35"/>
        <v>472143.91</v>
      </c>
      <c r="AA106" s="2078">
        <f t="shared" si="36"/>
        <v>32614.71</v>
      </c>
      <c r="AB106" s="1668">
        <f t="shared" si="37"/>
        <v>35526193.738264099</v>
      </c>
      <c r="AD106" s="523">
        <f t="shared" si="22"/>
        <v>0.51254469940953951</v>
      </c>
      <c r="AE106" s="524">
        <f t="shared" si="23"/>
        <v>0.21893875903648899</v>
      </c>
      <c r="AF106" s="524">
        <f t="shared" si="24"/>
        <v>0.24747253007612602</v>
      </c>
      <c r="AG106" s="524">
        <f t="shared" si="25"/>
        <v>2.1044011477845483E-2</v>
      </c>
      <c r="AH106" s="525">
        <f t="shared" si="26"/>
        <v>0.73148345844602847</v>
      </c>
      <c r="AJ106" s="1069">
        <f t="shared" si="27"/>
        <v>4.362531492729875E-2</v>
      </c>
      <c r="AK106" s="1047">
        <f t="shared" si="28"/>
        <v>1.18835669002527E-3</v>
      </c>
      <c r="AL106" s="1071">
        <f t="shared" si="29"/>
        <v>0.95518632838267603</v>
      </c>
      <c r="AN106" s="1069">
        <f t="shared" si="30"/>
        <v>0.81234378306393917</v>
      </c>
      <c r="AO106" s="1047">
        <f t="shared" si="31"/>
        <v>1.4198382861699945E-2</v>
      </c>
      <c r="AP106" s="1071">
        <f t="shared" si="32"/>
        <v>0.17345783407436094</v>
      </c>
    </row>
    <row r="107" spans="1:42" x14ac:dyDescent="0.3">
      <c r="A107" s="630" t="s">
        <v>88</v>
      </c>
      <c r="B107" s="500" t="s">
        <v>89</v>
      </c>
      <c r="C107" s="631" t="s">
        <v>255</v>
      </c>
      <c r="D107" s="676">
        <f>'Administration LASER'!D106+'Other Oper Exp. LASER'!D106</f>
        <v>1739343.7550954958</v>
      </c>
      <c r="E107" s="677">
        <f>'Administration LASER'!E106+'Other Oper Exp. LASER'!E106</f>
        <v>624297.7949045042</v>
      </c>
      <c r="F107" s="677">
        <f>'Administration LASER'!F106+'Other Oper Exp. LASER'!F106</f>
        <v>1009706.71</v>
      </c>
      <c r="G107" s="677">
        <f>'Administration LASER'!J106 + 'Other Oper Exp. LASER'!J106</f>
        <v>141745.71000000002</v>
      </c>
      <c r="H107" s="678">
        <f>'Administration LASER'!I106+'Other Oper Exp. LASER'!I106</f>
        <v>3515093.97</v>
      </c>
      <c r="I107" s="676">
        <f>'Client Services LASER'!D106</f>
        <v>65908.112251913</v>
      </c>
      <c r="J107" s="677">
        <f>'Client Services LASER'!E106</f>
        <v>49660.50774808701</v>
      </c>
      <c r="K107" s="677">
        <f>'Client Services LASER'!F106</f>
        <v>26915</v>
      </c>
      <c r="L107" s="677">
        <f>'Client Services LASER'!J106</f>
        <v>-0.18</v>
      </c>
      <c r="M107" s="678">
        <f>'Client Services LASER'!I106</f>
        <v>142483.44</v>
      </c>
      <c r="N107" s="1666">
        <f>'Statewide Benefits'!D107</f>
        <v>31021894.769062903</v>
      </c>
      <c r="O107" s="1667">
        <f>'Statewide Benefits'!E107</f>
        <v>25551015.717223585</v>
      </c>
      <c r="P107" s="1667">
        <f>'Statewide Benefits'!F107</f>
        <v>1170669.1299999999</v>
      </c>
      <c r="Q107" s="2078">
        <f>'Statewide Benefits'!G107</f>
        <v>0</v>
      </c>
      <c r="R107" s="1668">
        <f t="shared" si="38"/>
        <v>57743579.616286494</v>
      </c>
      <c r="S107" s="1666">
        <f>'Other Benefits LASER'!D106+'FC &amp; Adoptions LASER'!D106</f>
        <v>928023.37</v>
      </c>
      <c r="T107" s="1667">
        <f>'Other Benefits LASER'!E106 + 'FC &amp; Adoptions LASER'!E106</f>
        <v>1259066.8800000001</v>
      </c>
      <c r="U107" s="1667">
        <f>'Other Benefits LASER'!F106+'FC &amp; Adoptions LASER'!F106</f>
        <v>22276.799999999999</v>
      </c>
      <c r="V107" s="2078">
        <f>'FC &amp; Adoptions LASER'!J106+'Other Benefits LASER'!J106</f>
        <v>642.79999999999995</v>
      </c>
      <c r="W107" s="1668">
        <f>'Other Benefits LASER'!I106+'FC &amp; Adoptions LASER'!I106</f>
        <v>2210009.8500000006</v>
      </c>
      <c r="X107" s="1666">
        <f t="shared" si="33"/>
        <v>33755170.006410308</v>
      </c>
      <c r="Y107" s="1667">
        <f t="shared" si="34"/>
        <v>27484040.899876174</v>
      </c>
      <c r="Z107" s="1667">
        <f t="shared" si="35"/>
        <v>2229567.6399999997</v>
      </c>
      <c r="AA107" s="2078">
        <f t="shared" si="36"/>
        <v>142388.33000000002</v>
      </c>
      <c r="AB107" s="1668">
        <f t="shared" si="37"/>
        <v>63611166.876286499</v>
      </c>
      <c r="AD107" s="523">
        <f t="shared" si="22"/>
        <v>0.49482141016431935</v>
      </c>
      <c r="AE107" s="524">
        <f t="shared" si="23"/>
        <v>0.1776048663940851</v>
      </c>
      <c r="AF107" s="524">
        <f t="shared" si="24"/>
        <v>0.28724885269567912</v>
      </c>
      <c r="AG107" s="524">
        <f t="shared" si="25"/>
        <v>4.0324870745916362E-2</v>
      </c>
      <c r="AH107" s="525">
        <f t="shared" si="26"/>
        <v>0.67242627655840437</v>
      </c>
      <c r="AJ107" s="1069">
        <f t="shared" si="27"/>
        <v>5.5259070735745083E-2</v>
      </c>
      <c r="AK107" s="1047">
        <f t="shared" si="28"/>
        <v>2.2399123769747441E-3</v>
      </c>
      <c r="AL107" s="1071">
        <f t="shared" si="29"/>
        <v>0.94250101688728016</v>
      </c>
      <c r="AN107" s="1069">
        <f t="shared" si="30"/>
        <v>0.45287108221574301</v>
      </c>
      <c r="AO107" s="1047">
        <f t="shared" si="31"/>
        <v>1.2071847257345376E-2</v>
      </c>
      <c r="AP107" s="1071">
        <f t="shared" si="32"/>
        <v>0.53505707052691176</v>
      </c>
    </row>
    <row r="108" spans="1:42" x14ac:dyDescent="0.3">
      <c r="A108" s="630" t="s">
        <v>90</v>
      </c>
      <c r="B108" s="500" t="s">
        <v>91</v>
      </c>
      <c r="C108" s="631" t="s">
        <v>256</v>
      </c>
      <c r="D108" s="676">
        <f>'Administration LASER'!D107+'Other Oper Exp. LASER'!D107</f>
        <v>582649.90252690774</v>
      </c>
      <c r="E108" s="677">
        <f>'Administration LASER'!E107+'Other Oper Exp. LASER'!E107</f>
        <v>271873.31747309235</v>
      </c>
      <c r="F108" s="677">
        <f>'Administration LASER'!F107+'Other Oper Exp. LASER'!F107</f>
        <v>197540.75</v>
      </c>
      <c r="G108" s="677">
        <f>'Administration LASER'!J107 + 'Other Oper Exp. LASER'!J107</f>
        <v>77438.26999999999</v>
      </c>
      <c r="H108" s="678">
        <f>'Administration LASER'!I107+'Other Oper Exp. LASER'!I107</f>
        <v>1129502.2400000002</v>
      </c>
      <c r="I108" s="676">
        <f>'Client Services LASER'!D107</f>
        <v>14984.727163270411</v>
      </c>
      <c r="J108" s="677">
        <f>'Client Services LASER'!E107</f>
        <v>8174.6928367295895</v>
      </c>
      <c r="K108" s="677">
        <f>'Client Services LASER'!F107</f>
        <v>4203.87</v>
      </c>
      <c r="L108" s="677">
        <f>'Client Services LASER'!J107</f>
        <v>-1.0000000000000002E-2</v>
      </c>
      <c r="M108" s="678">
        <f>'Client Services LASER'!I107</f>
        <v>27363.279999999999</v>
      </c>
      <c r="N108" s="1666">
        <f>'Statewide Benefits'!D108</f>
        <v>13636891.369851451</v>
      </c>
      <c r="O108" s="1667">
        <f>'Statewide Benefits'!E108</f>
        <v>11709871.365971847</v>
      </c>
      <c r="P108" s="1667">
        <f>'Statewide Benefits'!F108</f>
        <v>460104.32</v>
      </c>
      <c r="Q108" s="2078">
        <f>'Statewide Benefits'!G108</f>
        <v>0</v>
      </c>
      <c r="R108" s="1668">
        <f t="shared" si="38"/>
        <v>25806867.055823296</v>
      </c>
      <c r="S108" s="1666">
        <f>'Other Benefits LASER'!D107+'FC &amp; Adoptions LASER'!D107</f>
        <v>287122.11</v>
      </c>
      <c r="T108" s="1667">
        <f>'Other Benefits LASER'!E107 + 'FC &amp; Adoptions LASER'!E107</f>
        <v>339655.67</v>
      </c>
      <c r="U108" s="1667">
        <f>'Other Benefits LASER'!F107+'FC &amp; Adoptions LASER'!F107</f>
        <v>13755.6</v>
      </c>
      <c r="V108" s="2078">
        <f>'FC &amp; Adoptions LASER'!J107+'Other Benefits LASER'!J107</f>
        <v>4831.88</v>
      </c>
      <c r="W108" s="1668">
        <f>'Other Benefits LASER'!I107+'FC &amp; Adoptions LASER'!I107</f>
        <v>645365.26</v>
      </c>
      <c r="X108" s="1666">
        <f t="shared" si="33"/>
        <v>14521648.109541629</v>
      </c>
      <c r="Y108" s="1667">
        <f t="shared" si="34"/>
        <v>12329575.046281667</v>
      </c>
      <c r="Z108" s="1667">
        <f t="shared" si="35"/>
        <v>675604.53999999992</v>
      </c>
      <c r="AA108" s="2078">
        <f t="shared" si="36"/>
        <v>82270.14</v>
      </c>
      <c r="AB108" s="1668">
        <f t="shared" si="37"/>
        <v>27609097.835823298</v>
      </c>
      <c r="AD108" s="523">
        <f t="shared" si="22"/>
        <v>0.51584661091677664</v>
      </c>
      <c r="AE108" s="524">
        <f t="shared" si="23"/>
        <v>0.24070188428585346</v>
      </c>
      <c r="AF108" s="524">
        <f t="shared" si="24"/>
        <v>0.17489186210024688</v>
      </c>
      <c r="AG108" s="524">
        <f t="shared" si="25"/>
        <v>6.8559642697122919E-2</v>
      </c>
      <c r="AH108" s="525">
        <f t="shared" si="26"/>
        <v>0.75654849520263012</v>
      </c>
      <c r="AJ108" s="1069">
        <f t="shared" si="27"/>
        <v>4.0910508800995699E-2</v>
      </c>
      <c r="AK108" s="1047">
        <f t="shared" si="28"/>
        <v>9.9109649155198587E-4</v>
      </c>
      <c r="AL108" s="1071">
        <f t="shared" si="29"/>
        <v>0.95809839470745239</v>
      </c>
      <c r="AN108" s="1069">
        <f t="shared" si="30"/>
        <v>0.29239109316820167</v>
      </c>
      <c r="AO108" s="1047">
        <f t="shared" si="31"/>
        <v>6.2223826974282916E-3</v>
      </c>
      <c r="AP108" s="1071">
        <f t="shared" si="32"/>
        <v>0.70138652413437019</v>
      </c>
    </row>
    <row r="109" spans="1:42" x14ac:dyDescent="0.3">
      <c r="A109" s="630" t="s">
        <v>106</v>
      </c>
      <c r="B109" s="500" t="s">
        <v>107</v>
      </c>
      <c r="C109" s="631" t="s">
        <v>252</v>
      </c>
      <c r="D109" s="676">
        <f>'Administration LASER'!D108+'Other Oper Exp. LASER'!D108</f>
        <v>7140204.0815737955</v>
      </c>
      <c r="E109" s="677">
        <f>'Administration LASER'!E108+'Other Oper Exp. LASER'!E108</f>
        <v>3239243.7684262046</v>
      </c>
      <c r="F109" s="677">
        <f>'Administration LASER'!F108+'Other Oper Exp. LASER'!F108</f>
        <v>2760806.0700000003</v>
      </c>
      <c r="G109" s="677">
        <f>'Administration LASER'!J108 + 'Other Oper Exp. LASER'!J108</f>
        <v>591861.24</v>
      </c>
      <c r="H109" s="678">
        <f>'Administration LASER'!I108+'Other Oper Exp. LASER'!I108</f>
        <v>13732115.16</v>
      </c>
      <c r="I109" s="676">
        <f>'Client Services LASER'!D108</f>
        <v>413463.84706312564</v>
      </c>
      <c r="J109" s="677">
        <f>'Client Services LASER'!E108</f>
        <v>301540.68293687428</v>
      </c>
      <c r="K109" s="677">
        <f>'Client Services LASER'!F108</f>
        <v>145961.39000000001</v>
      </c>
      <c r="L109" s="677">
        <f>'Client Services LASER'!J108</f>
        <v>-870.08999999999992</v>
      </c>
      <c r="M109" s="678">
        <f>'Client Services LASER'!I108</f>
        <v>860095.83</v>
      </c>
      <c r="N109" s="1666">
        <f>'Statewide Benefits'!D109</f>
        <v>142869447.55086473</v>
      </c>
      <c r="O109" s="1667">
        <f>'Statewide Benefits'!E109</f>
        <v>113358108.83042291</v>
      </c>
      <c r="P109" s="1667">
        <f>'Statewide Benefits'!F109</f>
        <v>1354621.09</v>
      </c>
      <c r="Q109" s="2078">
        <f>'Statewide Benefits'!G109</f>
        <v>0</v>
      </c>
      <c r="R109" s="1668">
        <f t="shared" si="38"/>
        <v>257582177.47128764</v>
      </c>
      <c r="S109" s="1666">
        <f>'Other Benefits LASER'!D108+'FC &amp; Adoptions LASER'!D108</f>
        <v>1559884.46</v>
      </c>
      <c r="T109" s="1667">
        <f>'Other Benefits LASER'!E108 + 'FC &amp; Adoptions LASER'!E108</f>
        <v>1955940.81</v>
      </c>
      <c r="U109" s="1667">
        <f>'Other Benefits LASER'!F108+'FC &amp; Adoptions LASER'!F108</f>
        <v>101452.19</v>
      </c>
      <c r="V109" s="2078">
        <f>'FC &amp; Adoptions LASER'!J108+'Other Benefits LASER'!J108</f>
        <v>-0.2</v>
      </c>
      <c r="W109" s="1668">
        <f>'Other Benefits LASER'!I108+'FC &amp; Adoptions LASER'!I108</f>
        <v>3617277.26</v>
      </c>
      <c r="X109" s="1666">
        <f t="shared" si="33"/>
        <v>151982999.93950164</v>
      </c>
      <c r="Y109" s="1667">
        <f t="shared" si="34"/>
        <v>118854834.09178598</v>
      </c>
      <c r="Z109" s="1667">
        <f t="shared" si="35"/>
        <v>4362840.7400000012</v>
      </c>
      <c r="AA109" s="2078">
        <f t="shared" si="36"/>
        <v>590990.95000000007</v>
      </c>
      <c r="AB109" s="1668">
        <f t="shared" si="37"/>
        <v>275791665.72128761</v>
      </c>
      <c r="AD109" s="523">
        <f t="shared" si="22"/>
        <v>0.51996389473723259</v>
      </c>
      <c r="AE109" s="524">
        <f t="shared" si="23"/>
        <v>0.23588818843157769</v>
      </c>
      <c r="AF109" s="524">
        <f t="shared" si="24"/>
        <v>0.20104740149877975</v>
      </c>
      <c r="AG109" s="524">
        <f t="shared" si="25"/>
        <v>4.3100515332410015E-2</v>
      </c>
      <c r="AH109" s="525">
        <f t="shared" si="26"/>
        <v>0.75585208316881025</v>
      </c>
      <c r="AJ109" s="1069">
        <f t="shared" si="27"/>
        <v>4.979162486323116E-2</v>
      </c>
      <c r="AK109" s="1047">
        <f t="shared" si="28"/>
        <v>3.1186432981959813E-3</v>
      </c>
      <c r="AL109" s="1071">
        <f t="shared" si="29"/>
        <v>0.94708973183857292</v>
      </c>
      <c r="AN109" s="1069">
        <f t="shared" si="30"/>
        <v>0.63280010308146151</v>
      </c>
      <c r="AO109" s="1047">
        <f t="shared" si="31"/>
        <v>3.3455585179118862E-2</v>
      </c>
      <c r="AP109" s="1071">
        <f t="shared" si="32"/>
        <v>0.33374431173941949</v>
      </c>
    </row>
    <row r="110" spans="1:42" x14ac:dyDescent="0.3">
      <c r="A110" s="630" t="s">
        <v>116</v>
      </c>
      <c r="B110" s="500" t="s">
        <v>117</v>
      </c>
      <c r="C110" s="631" t="s">
        <v>254</v>
      </c>
      <c r="D110" s="676">
        <f>'Administration LASER'!D109+'Other Oper Exp. LASER'!D109</f>
        <v>2094069.3874754377</v>
      </c>
      <c r="E110" s="677">
        <f>'Administration LASER'!E109+'Other Oper Exp. LASER'!E109</f>
        <v>892868.75252456206</v>
      </c>
      <c r="F110" s="677">
        <f>'Administration LASER'!F109+'Other Oper Exp. LASER'!F109</f>
        <v>928150.81</v>
      </c>
      <c r="G110" s="677">
        <f>'Administration LASER'!J109 + 'Other Oper Exp. LASER'!J109</f>
        <v>206675.29</v>
      </c>
      <c r="H110" s="678">
        <f>'Administration LASER'!I109+'Other Oper Exp. LASER'!I109</f>
        <v>4121764.2399999993</v>
      </c>
      <c r="I110" s="676">
        <f>'Client Services LASER'!D109</f>
        <v>61852.064128117636</v>
      </c>
      <c r="J110" s="677">
        <f>'Client Services LASER'!E109</f>
        <v>63090.255871882371</v>
      </c>
      <c r="K110" s="677">
        <f>'Client Services LASER'!F109</f>
        <v>24726.330000000005</v>
      </c>
      <c r="L110" s="677">
        <f>'Client Services LASER'!J109</f>
        <v>-0.18999999999999997</v>
      </c>
      <c r="M110" s="678">
        <f>'Client Services LASER'!I109</f>
        <v>149668.46000000002</v>
      </c>
      <c r="N110" s="1666">
        <f>'Statewide Benefits'!D110</f>
        <v>42399160.059194721</v>
      </c>
      <c r="O110" s="1667">
        <f>'Statewide Benefits'!E110</f>
        <v>32925107.40242774</v>
      </c>
      <c r="P110" s="1667">
        <f>'Statewide Benefits'!F110</f>
        <v>934171.42999999993</v>
      </c>
      <c r="Q110" s="2078">
        <f>'Statewide Benefits'!G110</f>
        <v>0</v>
      </c>
      <c r="R110" s="1668">
        <f t="shared" si="38"/>
        <v>76258438.891622469</v>
      </c>
      <c r="S110" s="1666">
        <f>'Other Benefits LASER'!D109+'FC &amp; Adoptions LASER'!D109</f>
        <v>505886.86</v>
      </c>
      <c r="T110" s="1667">
        <f>'Other Benefits LASER'!E109 + 'FC &amp; Adoptions LASER'!E109</f>
        <v>605504.67999999993</v>
      </c>
      <c r="U110" s="1667">
        <f>'Other Benefits LASER'!F109+'FC &amp; Adoptions LASER'!F109</f>
        <v>15875.8</v>
      </c>
      <c r="V110" s="2078">
        <f>'FC &amp; Adoptions LASER'!J109+'Other Benefits LASER'!J109</f>
        <v>57.45</v>
      </c>
      <c r="W110" s="1668">
        <f>'Other Benefits LASER'!I109+'FC &amp; Adoptions LASER'!I109</f>
        <v>1127324.79</v>
      </c>
      <c r="X110" s="1666">
        <f t="shared" si="33"/>
        <v>45060968.370798275</v>
      </c>
      <c r="Y110" s="1667">
        <f t="shared" si="34"/>
        <v>34486571.090824187</v>
      </c>
      <c r="Z110" s="1667">
        <f t="shared" si="35"/>
        <v>1902924.3699999999</v>
      </c>
      <c r="AA110" s="2078">
        <f t="shared" si="36"/>
        <v>206732.55000000002</v>
      </c>
      <c r="AB110" s="1668">
        <f t="shared" si="37"/>
        <v>81657196.381622478</v>
      </c>
      <c r="AD110" s="523">
        <f t="shared" si="22"/>
        <v>0.50805171415515948</v>
      </c>
      <c r="AE110" s="524">
        <f t="shared" si="23"/>
        <v>0.21662295573813853</v>
      </c>
      <c r="AF110" s="524">
        <f t="shared" si="24"/>
        <v>0.22518289643854064</v>
      </c>
      <c r="AG110" s="524">
        <f t="shared" si="25"/>
        <v>5.0142433668161485E-2</v>
      </c>
      <c r="AH110" s="525">
        <f t="shared" si="26"/>
        <v>0.72467466989329798</v>
      </c>
      <c r="AJ110" s="1069">
        <f t="shared" si="27"/>
        <v>5.0476435913095238E-2</v>
      </c>
      <c r="AK110" s="1047">
        <f t="shared" si="28"/>
        <v>1.8328875669515877E-3</v>
      </c>
      <c r="AL110" s="1071">
        <f t="shared" si="29"/>
        <v>0.94769067651995309</v>
      </c>
      <c r="AN110" s="1069">
        <f t="shared" si="30"/>
        <v>0.4877497101999908</v>
      </c>
      <c r="AO110" s="1047">
        <f t="shared" si="31"/>
        <v>1.2993858500009649E-2</v>
      </c>
      <c r="AP110" s="1071">
        <f t="shared" si="32"/>
        <v>0.49925643129999964</v>
      </c>
    </row>
    <row r="111" spans="1:42" x14ac:dyDescent="0.3">
      <c r="A111" s="630" t="s">
        <v>138</v>
      </c>
      <c r="B111" s="500" t="s">
        <v>139</v>
      </c>
      <c r="C111" s="631" t="s">
        <v>253</v>
      </c>
      <c r="D111" s="676">
        <f>'Administration LASER'!D110+'Other Oper Exp. LASER'!D110</f>
        <v>5159034.001863949</v>
      </c>
      <c r="E111" s="677">
        <f>'Administration LASER'!E110+'Other Oper Exp. LASER'!E110</f>
        <v>1982550.4181360507</v>
      </c>
      <c r="F111" s="677">
        <f>'Administration LASER'!F110+'Other Oper Exp. LASER'!F110</f>
        <v>2799058.3599999994</v>
      </c>
      <c r="G111" s="677">
        <f>'Administration LASER'!J110 + 'Other Oper Exp. LASER'!J110</f>
        <v>835727.25999999989</v>
      </c>
      <c r="H111" s="678">
        <f>'Administration LASER'!I110+'Other Oper Exp. LASER'!I110</f>
        <v>10776370.039999999</v>
      </c>
      <c r="I111" s="676">
        <f>'Client Services LASER'!D110</f>
        <v>194652.78017566056</v>
      </c>
      <c r="J111" s="677">
        <f>'Client Services LASER'!E110</f>
        <v>100236.13982433945</v>
      </c>
      <c r="K111" s="677">
        <f>'Client Services LASER'!F110</f>
        <v>55909.78</v>
      </c>
      <c r="L111" s="677">
        <f>'Client Services LASER'!J110</f>
        <v>-4.0000000000000008E-2</v>
      </c>
      <c r="M111" s="678">
        <f>'Client Services LASER'!I110</f>
        <v>350798.66000000009</v>
      </c>
      <c r="N111" s="1666">
        <f>'Statewide Benefits'!D111</f>
        <v>86462290.248377919</v>
      </c>
      <c r="O111" s="1667">
        <f>'Statewide Benefits'!E111</f>
        <v>70843607.010702804</v>
      </c>
      <c r="P111" s="1667">
        <f>'Statewide Benefits'!F111</f>
        <v>1895569.78</v>
      </c>
      <c r="Q111" s="2078">
        <f>'Statewide Benefits'!G111</f>
        <v>0</v>
      </c>
      <c r="R111" s="1668">
        <f t="shared" si="38"/>
        <v>159201467.03908071</v>
      </c>
      <c r="S111" s="1666">
        <f>'Other Benefits LASER'!D110+'FC &amp; Adoptions LASER'!D110</f>
        <v>3305621.7800000003</v>
      </c>
      <c r="T111" s="1667">
        <f>'Other Benefits LASER'!E110 + 'FC &amp; Adoptions LASER'!E110</f>
        <v>4311937.33</v>
      </c>
      <c r="U111" s="1667">
        <f>'Other Benefits LASER'!F110+'FC &amp; Adoptions LASER'!F110</f>
        <v>79576</v>
      </c>
      <c r="V111" s="2078">
        <f>'FC &amp; Adoptions LASER'!J110+'Other Benefits LASER'!J110</f>
        <v>-0.52</v>
      </c>
      <c r="W111" s="1668">
        <f>'Other Benefits LASER'!I110+'FC &amp; Adoptions LASER'!I110</f>
        <v>7697134.5900000008</v>
      </c>
      <c r="X111" s="1666">
        <f t="shared" si="33"/>
        <v>95121598.810417533</v>
      </c>
      <c r="Y111" s="1667">
        <f t="shared" si="34"/>
        <v>77238330.898663193</v>
      </c>
      <c r="Z111" s="1667">
        <f t="shared" si="35"/>
        <v>4830113.919999999</v>
      </c>
      <c r="AA111" s="2078">
        <f t="shared" si="36"/>
        <v>835726.69999999984</v>
      </c>
      <c r="AB111" s="1668">
        <f t="shared" si="37"/>
        <v>178025770.3290807</v>
      </c>
      <c r="AD111" s="523">
        <f t="shared" si="22"/>
        <v>0.47873578790580851</v>
      </c>
      <c r="AE111" s="524">
        <f t="shared" si="23"/>
        <v>0.18397200641562703</v>
      </c>
      <c r="AF111" s="524">
        <f t="shared" si="24"/>
        <v>0.25974037172168224</v>
      </c>
      <c r="AG111" s="524">
        <f t="shared" si="25"/>
        <v>7.7551833956882199E-2</v>
      </c>
      <c r="AH111" s="525">
        <f t="shared" si="26"/>
        <v>0.66270779432143556</v>
      </c>
      <c r="AJ111" s="1069">
        <f t="shared" si="27"/>
        <v>6.0532640977089304E-2</v>
      </c>
      <c r="AK111" s="1047">
        <f t="shared" si="28"/>
        <v>1.9704937063412149E-3</v>
      </c>
      <c r="AL111" s="1071">
        <f t="shared" si="29"/>
        <v>0.93749686531656951</v>
      </c>
      <c r="AN111" s="1069">
        <f t="shared" si="30"/>
        <v>0.57950152032853086</v>
      </c>
      <c r="AO111" s="1047">
        <f t="shared" si="31"/>
        <v>1.1575250796569207E-2</v>
      </c>
      <c r="AP111" s="1071">
        <f t="shared" si="32"/>
        <v>0.40892322887490001</v>
      </c>
    </row>
    <row r="112" spans="1:42" x14ac:dyDescent="0.3">
      <c r="A112" s="630" t="s">
        <v>142</v>
      </c>
      <c r="B112" s="500" t="s">
        <v>143</v>
      </c>
      <c r="C112" s="631" t="s">
        <v>255</v>
      </c>
      <c r="D112" s="676">
        <f>'Administration LASER'!D111+'Other Oper Exp. LASER'!D111</f>
        <v>1712429.533974888</v>
      </c>
      <c r="E112" s="677">
        <f>'Administration LASER'!E111+'Other Oper Exp. LASER'!E111</f>
        <v>527614.66602511192</v>
      </c>
      <c r="F112" s="677">
        <f>'Administration LASER'!F111+'Other Oper Exp. LASER'!F111</f>
        <v>1446405.91</v>
      </c>
      <c r="G112" s="677">
        <f>'Administration LASER'!J111 + 'Other Oper Exp. LASER'!J111</f>
        <v>212390.09</v>
      </c>
      <c r="H112" s="678">
        <f>'Administration LASER'!I111+'Other Oper Exp. LASER'!I111</f>
        <v>3898840.2</v>
      </c>
      <c r="I112" s="676">
        <f>'Client Services LASER'!D111</f>
        <v>29702.38706925531</v>
      </c>
      <c r="J112" s="677">
        <f>'Client Services LASER'!E111</f>
        <v>15987.402930744691</v>
      </c>
      <c r="K112" s="677">
        <f>'Client Services LASER'!F111</f>
        <v>8721.6400000000012</v>
      </c>
      <c r="L112" s="677">
        <f>'Client Services LASER'!J111</f>
        <v>-4.9999999999999996E-2</v>
      </c>
      <c r="M112" s="678">
        <f>'Client Services LASER'!I111</f>
        <v>54411.38</v>
      </c>
      <c r="N112" s="1666">
        <f>'Statewide Benefits'!D112</f>
        <v>27890318.349160235</v>
      </c>
      <c r="O112" s="1667">
        <f>'Statewide Benefits'!E112</f>
        <v>20102416.956317212</v>
      </c>
      <c r="P112" s="1667">
        <f>'Statewide Benefits'!F112</f>
        <v>535525.88</v>
      </c>
      <c r="Q112" s="2078">
        <f>'Statewide Benefits'!G112</f>
        <v>0</v>
      </c>
      <c r="R112" s="1668">
        <f t="shared" si="38"/>
        <v>48528261.18547745</v>
      </c>
      <c r="S112" s="1666">
        <f>'Other Benefits LASER'!D111+'FC &amp; Adoptions LASER'!D111</f>
        <v>212267.41</v>
      </c>
      <c r="T112" s="1667">
        <f>'Other Benefits LASER'!E111 + 'FC &amp; Adoptions LASER'!E111</f>
        <v>239347.61000000002</v>
      </c>
      <c r="U112" s="1667">
        <f>'Other Benefits LASER'!F111+'FC &amp; Adoptions LASER'!F111</f>
        <v>2499.8000000000002</v>
      </c>
      <c r="V112" s="2078">
        <f>'FC &amp; Adoptions LASER'!J111+'Other Benefits LASER'!J111</f>
        <v>3809.9199999999996</v>
      </c>
      <c r="W112" s="1668">
        <f>'Other Benefits LASER'!I111+'FC &amp; Adoptions LASER'!I111</f>
        <v>457924.74</v>
      </c>
      <c r="X112" s="1666">
        <f t="shared" si="33"/>
        <v>29844717.68020438</v>
      </c>
      <c r="Y112" s="1667">
        <f t="shared" si="34"/>
        <v>20885366.635273069</v>
      </c>
      <c r="Z112" s="1667">
        <f t="shared" si="35"/>
        <v>1993153.2299999997</v>
      </c>
      <c r="AA112" s="2078">
        <f t="shared" si="36"/>
        <v>216199.96000000002</v>
      </c>
      <c r="AB112" s="1668">
        <f t="shared" si="37"/>
        <v>52939437.505477451</v>
      </c>
      <c r="AD112" s="523">
        <f t="shared" si="22"/>
        <v>0.43921511170806332</v>
      </c>
      <c r="AE112" s="524">
        <f t="shared" si="23"/>
        <v>0.13532605568833314</v>
      </c>
      <c r="AF112" s="524">
        <f t="shared" si="24"/>
        <v>0.37098363508204307</v>
      </c>
      <c r="AG112" s="524">
        <f t="shared" si="25"/>
        <v>5.4475197521560381E-2</v>
      </c>
      <c r="AH112" s="525">
        <f t="shared" si="26"/>
        <v>0.57454116739639649</v>
      </c>
      <c r="AJ112" s="1069">
        <f t="shared" si="27"/>
        <v>7.3647178430949548E-2</v>
      </c>
      <c r="AK112" s="1047">
        <f t="shared" si="28"/>
        <v>1.027804271520079E-3</v>
      </c>
      <c r="AL112" s="1071">
        <f t="shared" si="29"/>
        <v>0.92532501729753036</v>
      </c>
      <c r="AN112" s="1069">
        <f t="shared" si="30"/>
        <v>0.72568726188703525</v>
      </c>
      <c r="AO112" s="1047">
        <f t="shared" si="31"/>
        <v>4.3758000482481728E-3</v>
      </c>
      <c r="AP112" s="1071">
        <f t="shared" si="32"/>
        <v>0.26993693806471675</v>
      </c>
    </row>
    <row r="113" spans="1:42" x14ac:dyDescent="0.3">
      <c r="A113" s="630" t="s">
        <v>144</v>
      </c>
      <c r="B113" s="500" t="s">
        <v>145</v>
      </c>
      <c r="C113" s="631" t="s">
        <v>255</v>
      </c>
      <c r="D113" s="676">
        <f>'Administration LASER'!D112+'Other Oper Exp. LASER'!D112</f>
        <v>748879.85754478653</v>
      </c>
      <c r="E113" s="677">
        <f>'Administration LASER'!E112+'Other Oper Exp. LASER'!E112</f>
        <v>229662.72245521352</v>
      </c>
      <c r="F113" s="677">
        <f>'Administration LASER'!F112+'Other Oper Exp. LASER'!F112</f>
        <v>592789.18999999994</v>
      </c>
      <c r="G113" s="677">
        <f>'Administration LASER'!J112 + 'Other Oper Exp. LASER'!J112</f>
        <v>123455.12</v>
      </c>
      <c r="H113" s="678">
        <f>'Administration LASER'!I112+'Other Oper Exp. LASER'!I112</f>
        <v>1694786.8900000001</v>
      </c>
      <c r="I113" s="676">
        <f>'Client Services LASER'!D112</f>
        <v>16634.190604760046</v>
      </c>
      <c r="J113" s="677">
        <f>'Client Services LASER'!E112</f>
        <v>3129.3693952399544</v>
      </c>
      <c r="K113" s="677">
        <f>'Client Services LASER'!F112</f>
        <v>3920.9799999999996</v>
      </c>
      <c r="L113" s="677">
        <f>'Client Services LASER'!J112</f>
        <v>-0.04</v>
      </c>
      <c r="M113" s="678">
        <f>'Client Services LASER'!I112</f>
        <v>23684.5</v>
      </c>
      <c r="N113" s="1666">
        <f>'Statewide Benefits'!D113</f>
        <v>10723064.217110762</v>
      </c>
      <c r="O113" s="1667">
        <f>'Statewide Benefits'!E113</f>
        <v>8400542.0084571633</v>
      </c>
      <c r="P113" s="1667">
        <f>'Statewide Benefits'!F113</f>
        <v>385488.93</v>
      </c>
      <c r="Q113" s="2078">
        <f>'Statewide Benefits'!G113</f>
        <v>0</v>
      </c>
      <c r="R113" s="1668">
        <f t="shared" si="38"/>
        <v>19509095.155567925</v>
      </c>
      <c r="S113" s="1666">
        <f>'Other Benefits LASER'!D112+'FC &amp; Adoptions LASER'!D112</f>
        <v>21335.64</v>
      </c>
      <c r="T113" s="1667">
        <f>'Other Benefits LASER'!E112 + 'FC &amp; Adoptions LASER'!E112</f>
        <v>24400.44</v>
      </c>
      <c r="U113" s="1667">
        <f>'Other Benefits LASER'!F112+'FC &amp; Adoptions LASER'!F112</f>
        <v>766.2</v>
      </c>
      <c r="V113" s="2078">
        <f>'FC &amp; Adoptions LASER'!J112+'Other Benefits LASER'!J112</f>
        <v>0</v>
      </c>
      <c r="W113" s="1668">
        <f>'Other Benefits LASER'!I112+'FC &amp; Adoptions LASER'!I112</f>
        <v>46502.28</v>
      </c>
      <c r="X113" s="1666">
        <f t="shared" si="33"/>
        <v>11509913.90526031</v>
      </c>
      <c r="Y113" s="1667">
        <f t="shared" si="34"/>
        <v>8657734.5403076168</v>
      </c>
      <c r="Z113" s="1667">
        <f t="shared" si="35"/>
        <v>982965.29999999981</v>
      </c>
      <c r="AA113" s="2078">
        <f t="shared" si="36"/>
        <v>123455.08</v>
      </c>
      <c r="AB113" s="1668">
        <f t="shared" si="37"/>
        <v>21274068.825567927</v>
      </c>
      <c r="AD113" s="523">
        <f t="shared" si="22"/>
        <v>0.44187258112716843</v>
      </c>
      <c r="AE113" s="524">
        <f t="shared" si="23"/>
        <v>0.13551126918099626</v>
      </c>
      <c r="AF113" s="524">
        <f t="shared" si="24"/>
        <v>0.34977211205592929</v>
      </c>
      <c r="AG113" s="524">
        <f t="shared" si="25"/>
        <v>7.2844037635905939E-2</v>
      </c>
      <c r="AH113" s="525">
        <f t="shared" si="26"/>
        <v>0.57738385030816475</v>
      </c>
      <c r="AJ113" s="1069">
        <f t="shared" si="27"/>
        <v>7.9664445193631472E-2</v>
      </c>
      <c r="AK113" s="1047">
        <f t="shared" si="28"/>
        <v>1.1133037217372886E-3</v>
      </c>
      <c r="AL113" s="1071">
        <f t="shared" si="29"/>
        <v>0.91922225108463118</v>
      </c>
      <c r="AN113" s="1069">
        <f t="shared" si="30"/>
        <v>0.60306217320184141</v>
      </c>
      <c r="AO113" s="1047">
        <f t="shared" si="31"/>
        <v>3.9889302297853244E-3</v>
      </c>
      <c r="AP113" s="1071">
        <f t="shared" si="32"/>
        <v>0.39294889656837334</v>
      </c>
    </row>
    <row r="114" spans="1:42" x14ac:dyDescent="0.3">
      <c r="A114" s="630" t="s">
        <v>158</v>
      </c>
      <c r="B114" s="500" t="s">
        <v>159</v>
      </c>
      <c r="C114" s="631" t="s">
        <v>252</v>
      </c>
      <c r="D114" s="676">
        <f>'Administration LASER'!D113+'Other Oper Exp. LASER'!D113</f>
        <v>14613741.570840469</v>
      </c>
      <c r="E114" s="677">
        <f>'Administration LASER'!E113+'Other Oper Exp. LASER'!E113</f>
        <v>4976075.2891595289</v>
      </c>
      <c r="F114" s="677">
        <f>'Administration LASER'!F113+'Other Oper Exp. LASER'!F113</f>
        <v>10382086.219999999</v>
      </c>
      <c r="G114" s="677">
        <f>'Administration LASER'!J113 + 'Other Oper Exp. LASER'!J113</f>
        <v>1318280.05</v>
      </c>
      <c r="H114" s="678">
        <f>'Administration LASER'!I113+'Other Oper Exp. LASER'!I113</f>
        <v>31290183.129999995</v>
      </c>
      <c r="I114" s="676">
        <f>'Client Services LASER'!D113</f>
        <v>487626.84564038285</v>
      </c>
      <c r="J114" s="677">
        <f>'Client Services LASER'!E113</f>
        <v>398364.18435961724</v>
      </c>
      <c r="K114" s="677">
        <f>'Client Services LASER'!F113</f>
        <v>180322.38999999998</v>
      </c>
      <c r="L114" s="677">
        <f>'Client Services LASER'!J113</f>
        <v>-0.30000000000000004</v>
      </c>
      <c r="M114" s="678">
        <f>'Client Services LASER'!I113</f>
        <v>1066313.1199999999</v>
      </c>
      <c r="N114" s="1666">
        <f>'Statewide Benefits'!D114</f>
        <v>202533308.68566039</v>
      </c>
      <c r="O114" s="1667">
        <f>'Statewide Benefits'!E114</f>
        <v>151958769.12320608</v>
      </c>
      <c r="P114" s="1667">
        <f>'Statewide Benefits'!F114</f>
        <v>2308135</v>
      </c>
      <c r="Q114" s="2078">
        <f>'Statewide Benefits'!G114</f>
        <v>0</v>
      </c>
      <c r="R114" s="1668">
        <f t="shared" si="38"/>
        <v>356800212.8088665</v>
      </c>
      <c r="S114" s="1666">
        <f>'Other Benefits LASER'!D113+'FC &amp; Adoptions LASER'!D113</f>
        <v>2384307.4699999997</v>
      </c>
      <c r="T114" s="1667">
        <f>'Other Benefits LASER'!E113 + 'FC &amp; Adoptions LASER'!E113</f>
        <v>2944061.78</v>
      </c>
      <c r="U114" s="1667">
        <f>'Other Benefits LASER'!F113+'FC &amp; Adoptions LASER'!F113</f>
        <v>101785.01000000001</v>
      </c>
      <c r="V114" s="2078">
        <f>'FC &amp; Adoptions LASER'!J113+'Other Benefits LASER'!J113</f>
        <v>-0.74</v>
      </c>
      <c r="W114" s="1668">
        <f>'Other Benefits LASER'!I113+'FC &amp; Adoptions LASER'!I113</f>
        <v>5430153.5199999996</v>
      </c>
      <c r="X114" s="1666">
        <f t="shared" si="33"/>
        <v>220018984.57214123</v>
      </c>
      <c r="Y114" s="1667">
        <f t="shared" si="34"/>
        <v>160277270.37672523</v>
      </c>
      <c r="Z114" s="1667">
        <f t="shared" si="35"/>
        <v>12972328.619999999</v>
      </c>
      <c r="AA114" s="2078">
        <f t="shared" si="36"/>
        <v>1318279.01</v>
      </c>
      <c r="AB114" s="1668">
        <f t="shared" si="37"/>
        <v>394586862.57886648</v>
      </c>
      <c r="AD114" s="523">
        <f t="shared" si="22"/>
        <v>0.46703918318807458</v>
      </c>
      <c r="AE114" s="524">
        <f t="shared" si="23"/>
        <v>0.15902991901599425</v>
      </c>
      <c r="AF114" s="524">
        <f t="shared" si="24"/>
        <v>0.33180011049682856</v>
      </c>
      <c r="AG114" s="524">
        <f t="shared" si="25"/>
        <v>4.2130787299102655E-2</v>
      </c>
      <c r="AH114" s="525">
        <f t="shared" si="26"/>
        <v>0.62606910220406886</v>
      </c>
      <c r="AJ114" s="1069">
        <f t="shared" si="27"/>
        <v>7.9298593281842966E-2</v>
      </c>
      <c r="AK114" s="1047">
        <f t="shared" si="28"/>
        <v>2.7023533247685729E-3</v>
      </c>
      <c r="AL114" s="1071">
        <f t="shared" si="29"/>
        <v>0.9179990533933885</v>
      </c>
      <c r="AN114" s="1069">
        <f t="shared" si="30"/>
        <v>0.80032556406206734</v>
      </c>
      <c r="AO114" s="1047">
        <f t="shared" si="31"/>
        <v>1.3900541320082593E-2</v>
      </c>
      <c r="AP114" s="1071">
        <f t="shared" si="32"/>
        <v>0.18577389461785004</v>
      </c>
    </row>
    <row r="115" spans="1:42" x14ac:dyDescent="0.3">
      <c r="A115" s="630" t="s">
        <v>160</v>
      </c>
      <c r="B115" s="500" t="s">
        <v>161</v>
      </c>
      <c r="C115" s="631" t="s">
        <v>252</v>
      </c>
      <c r="D115" s="676">
        <f>'Administration LASER'!D114+'Other Oper Exp. LASER'!D114</f>
        <v>16013017.949526884</v>
      </c>
      <c r="E115" s="677">
        <f>'Administration LASER'!E114+'Other Oper Exp. LASER'!E114</f>
        <v>7583377.4704731172</v>
      </c>
      <c r="F115" s="677">
        <f>'Administration LASER'!F114+'Other Oper Exp. LASER'!F114</f>
        <v>4859038.2299999995</v>
      </c>
      <c r="G115" s="677">
        <f>'Administration LASER'!J114 + 'Other Oper Exp. LASER'!J114</f>
        <v>1609334.6399999997</v>
      </c>
      <c r="H115" s="678">
        <f>'Administration LASER'!I114+'Other Oper Exp. LASER'!I114</f>
        <v>30064768.289999999</v>
      </c>
      <c r="I115" s="676">
        <f>'Client Services LASER'!D114</f>
        <v>409763.27277136472</v>
      </c>
      <c r="J115" s="677">
        <f>'Client Services LASER'!E114</f>
        <v>350176.22722863534</v>
      </c>
      <c r="K115" s="677">
        <f>'Client Services LASER'!F114</f>
        <v>143496.4</v>
      </c>
      <c r="L115" s="677">
        <f>'Client Services LASER'!J114</f>
        <v>-0.43</v>
      </c>
      <c r="M115" s="678">
        <f>'Client Services LASER'!I114</f>
        <v>903435.47</v>
      </c>
      <c r="N115" s="1666">
        <f>'Statewide Benefits'!D115</f>
        <v>283114437.32342052</v>
      </c>
      <c r="O115" s="1667">
        <f>'Statewide Benefits'!E115</f>
        <v>224103597.22930673</v>
      </c>
      <c r="P115" s="1667">
        <f>'Statewide Benefits'!F115</f>
        <v>2796932.38</v>
      </c>
      <c r="Q115" s="2078">
        <f>'Statewide Benefits'!G115</f>
        <v>0</v>
      </c>
      <c r="R115" s="1668">
        <f t="shared" si="38"/>
        <v>510014966.93272722</v>
      </c>
      <c r="S115" s="1666">
        <f>'Other Benefits LASER'!D114+'FC &amp; Adoptions LASER'!D114</f>
        <v>3785058.62</v>
      </c>
      <c r="T115" s="1667">
        <f>'Other Benefits LASER'!E114 + 'FC &amp; Adoptions LASER'!E114</f>
        <v>4542207.87</v>
      </c>
      <c r="U115" s="1667">
        <f>'Other Benefits LASER'!F114+'FC &amp; Adoptions LASER'!F114</f>
        <v>173607.37999999998</v>
      </c>
      <c r="V115" s="2078">
        <f>'FC &amp; Adoptions LASER'!J114+'Other Benefits LASER'!J114</f>
        <v>-0.61</v>
      </c>
      <c r="W115" s="1668">
        <f>'Other Benefits LASER'!I114+'FC &amp; Adoptions LASER'!I114</f>
        <v>8500873.2599999998</v>
      </c>
      <c r="X115" s="1666">
        <f t="shared" si="33"/>
        <v>303322277.16571879</v>
      </c>
      <c r="Y115" s="1667">
        <f t="shared" si="34"/>
        <v>236579358.79700848</v>
      </c>
      <c r="Z115" s="1667">
        <f t="shared" si="35"/>
        <v>7973074.3899999997</v>
      </c>
      <c r="AA115" s="2078">
        <f t="shared" si="36"/>
        <v>1609333.5999999996</v>
      </c>
      <c r="AB115" s="1668">
        <f t="shared" si="37"/>
        <v>549484043.9527272</v>
      </c>
      <c r="AD115" s="523">
        <f t="shared" si="22"/>
        <v>0.53261737443202106</v>
      </c>
      <c r="AE115" s="524">
        <f t="shared" si="23"/>
        <v>0.25223468870024401</v>
      </c>
      <c r="AF115" s="524">
        <f t="shared" si="24"/>
        <v>0.16161901475941826</v>
      </c>
      <c r="AG115" s="524">
        <f t="shared" si="25"/>
        <v>5.3528922108316696E-2</v>
      </c>
      <c r="AH115" s="525">
        <f t="shared" si="26"/>
        <v>0.78485206313226508</v>
      </c>
      <c r="AJ115" s="1069">
        <f t="shared" si="27"/>
        <v>5.4714542889595735E-2</v>
      </c>
      <c r="AK115" s="1047">
        <f t="shared" si="28"/>
        <v>1.6441523278840171E-3</v>
      </c>
      <c r="AL115" s="1071">
        <f t="shared" si="29"/>
        <v>0.94364130478252028</v>
      </c>
      <c r="AN115" s="1069">
        <f t="shared" si="30"/>
        <v>0.60943094123068875</v>
      </c>
      <c r="AO115" s="1047">
        <f t="shared" si="31"/>
        <v>1.7997624627706502E-2</v>
      </c>
      <c r="AP115" s="1071">
        <f t="shared" si="32"/>
        <v>0.37257143414160465</v>
      </c>
    </row>
    <row r="116" spans="1:42" x14ac:dyDescent="0.3">
      <c r="A116" s="630" t="s">
        <v>166</v>
      </c>
      <c r="B116" s="500" t="s">
        <v>167</v>
      </c>
      <c r="C116" s="631" t="s">
        <v>256</v>
      </c>
      <c r="D116" s="676">
        <f>'Administration LASER'!D115+'Other Oper Exp. LASER'!D115</f>
        <v>461956.17846186174</v>
      </c>
      <c r="E116" s="677">
        <f>'Administration LASER'!E115+'Other Oper Exp. LASER'!E115</f>
        <v>211270.84153813822</v>
      </c>
      <c r="F116" s="677">
        <f>'Administration LASER'!F115+'Other Oper Exp. LASER'!F115</f>
        <v>171440.44</v>
      </c>
      <c r="G116" s="677">
        <f>'Administration LASER'!J115 + 'Other Oper Exp. LASER'!J115</f>
        <v>34515.320000000007</v>
      </c>
      <c r="H116" s="678">
        <f>'Administration LASER'!I115+'Other Oper Exp. LASER'!I115</f>
        <v>879182.78</v>
      </c>
      <c r="I116" s="676">
        <f>'Client Services LASER'!D115</f>
        <v>22439.996024472959</v>
      </c>
      <c r="J116" s="677">
        <f>'Client Services LASER'!E115</f>
        <v>18657.473975527038</v>
      </c>
      <c r="K116" s="677">
        <f>'Client Services LASER'!F115</f>
        <v>8007.18</v>
      </c>
      <c r="L116" s="677">
        <f>'Client Services LASER'!J115</f>
        <v>115</v>
      </c>
      <c r="M116" s="678">
        <f>'Client Services LASER'!I115</f>
        <v>49219.65</v>
      </c>
      <c r="N116" s="1666">
        <f>'Statewide Benefits'!D116</f>
        <v>5453006.4142551022</v>
      </c>
      <c r="O116" s="1667">
        <f>'Statewide Benefits'!E116</f>
        <v>4100683.1837567529</v>
      </c>
      <c r="P116" s="1667">
        <f>'Statewide Benefits'!F116</f>
        <v>45368.880000000005</v>
      </c>
      <c r="Q116" s="2078">
        <f>'Statewide Benefits'!G116</f>
        <v>0</v>
      </c>
      <c r="R116" s="1668">
        <f t="shared" si="38"/>
        <v>9599058.4780118559</v>
      </c>
      <c r="S116" s="1666">
        <f>'Other Benefits LASER'!D115+'FC &amp; Adoptions LASER'!D115</f>
        <v>70489.27</v>
      </c>
      <c r="T116" s="1667">
        <f>'Other Benefits LASER'!E115 + 'FC &amp; Adoptions LASER'!E115</f>
        <v>131449.27000000002</v>
      </c>
      <c r="U116" s="1667">
        <f>'Other Benefits LASER'!F115+'FC &amp; Adoptions LASER'!F115</f>
        <v>8755</v>
      </c>
      <c r="V116" s="2078">
        <f>'FC &amp; Adoptions LASER'!J115+'Other Benefits LASER'!J115</f>
        <v>5762.29</v>
      </c>
      <c r="W116" s="1668">
        <f>'Other Benefits LASER'!I115+'FC &amp; Adoptions LASER'!I115</f>
        <v>216455.83000000002</v>
      </c>
      <c r="X116" s="1666">
        <f t="shared" si="33"/>
        <v>6007891.8587414362</v>
      </c>
      <c r="Y116" s="1667">
        <f t="shared" si="34"/>
        <v>4462060.7692704182</v>
      </c>
      <c r="Z116" s="1667">
        <f t="shared" si="35"/>
        <v>233571.5</v>
      </c>
      <c r="AA116" s="2078">
        <f t="shared" si="36"/>
        <v>40392.610000000008</v>
      </c>
      <c r="AB116" s="1668">
        <f t="shared" si="37"/>
        <v>10743916.738011856</v>
      </c>
      <c r="AD116" s="523">
        <f t="shared" si="22"/>
        <v>0.52543815571758778</v>
      </c>
      <c r="AE116" s="524">
        <f t="shared" si="23"/>
        <v>0.24030366192811262</v>
      </c>
      <c r="AF116" s="524">
        <f t="shared" si="24"/>
        <v>0.19499977012743583</v>
      </c>
      <c r="AG116" s="524">
        <f t="shared" si="25"/>
        <v>3.9258412226863687E-2</v>
      </c>
      <c r="AH116" s="525">
        <f t="shared" si="26"/>
        <v>0.76574181764570048</v>
      </c>
      <c r="AJ116" s="1069">
        <f t="shared" si="27"/>
        <v>8.1830751432525661E-2</v>
      </c>
      <c r="AK116" s="1047">
        <f t="shared" si="28"/>
        <v>4.5811645045480886E-3</v>
      </c>
      <c r="AL116" s="1071">
        <f t="shared" si="29"/>
        <v>0.91358808406292624</v>
      </c>
      <c r="AN116" s="1069">
        <f t="shared" si="30"/>
        <v>0.73399554312062898</v>
      </c>
      <c r="AO116" s="1047">
        <f t="shared" si="31"/>
        <v>3.4281494103518627E-2</v>
      </c>
      <c r="AP116" s="1071">
        <f t="shared" si="32"/>
        <v>0.23172296277585239</v>
      </c>
    </row>
    <row r="117" spans="1:42" x14ac:dyDescent="0.3">
      <c r="A117" s="630" t="s">
        <v>176</v>
      </c>
      <c r="B117" s="500" t="s">
        <v>177</v>
      </c>
      <c r="C117" s="631" t="s">
        <v>254</v>
      </c>
      <c r="D117" s="676">
        <f>'Administration LASER'!D116+'Other Oper Exp. LASER'!D116</f>
        <v>3670910.3820850579</v>
      </c>
      <c r="E117" s="677">
        <f>'Administration LASER'!E116+'Other Oper Exp. LASER'!E116</f>
        <v>1704637.4579149426</v>
      </c>
      <c r="F117" s="677">
        <f>'Administration LASER'!F116+'Other Oper Exp. LASER'!F116</f>
        <v>1173884.74</v>
      </c>
      <c r="G117" s="677">
        <f>'Administration LASER'!J116 + 'Other Oper Exp. LASER'!J116</f>
        <v>488604.95999999996</v>
      </c>
      <c r="H117" s="678">
        <f>'Administration LASER'!I116+'Other Oper Exp. LASER'!I116</f>
        <v>7038037.540000001</v>
      </c>
      <c r="I117" s="676">
        <f>'Client Services LASER'!D116</f>
        <v>99133.415615765116</v>
      </c>
      <c r="J117" s="677">
        <f>'Client Services LASER'!E116</f>
        <v>135488.11438423488</v>
      </c>
      <c r="K117" s="677">
        <f>'Client Services LASER'!F116</f>
        <v>45448.19</v>
      </c>
      <c r="L117" s="677">
        <f>'Client Services LASER'!J116</f>
        <v>-0.1</v>
      </c>
      <c r="M117" s="678">
        <f>'Client Services LASER'!I116</f>
        <v>280069.62</v>
      </c>
      <c r="N117" s="1666">
        <f>'Statewide Benefits'!D117</f>
        <v>76910099.253765106</v>
      </c>
      <c r="O117" s="1667">
        <f>'Statewide Benefits'!E117</f>
        <v>61897039.483615406</v>
      </c>
      <c r="P117" s="1667">
        <f>'Statewide Benefits'!F117</f>
        <v>1514864.6</v>
      </c>
      <c r="Q117" s="2078">
        <f>'Statewide Benefits'!G117</f>
        <v>0</v>
      </c>
      <c r="R117" s="1668">
        <f t="shared" si="38"/>
        <v>140322003.3373805</v>
      </c>
      <c r="S117" s="1666">
        <f>'Other Benefits LASER'!D116+'FC &amp; Adoptions LASER'!D116</f>
        <v>1173476.6399999999</v>
      </c>
      <c r="T117" s="1667">
        <f>'Other Benefits LASER'!E116 + 'FC &amp; Adoptions LASER'!E116</f>
        <v>1883267.99</v>
      </c>
      <c r="U117" s="1667">
        <f>'Other Benefits LASER'!F116+'FC &amp; Adoptions LASER'!F116</f>
        <v>121290.8</v>
      </c>
      <c r="V117" s="2078">
        <f>'FC &amp; Adoptions LASER'!J116+'Other Benefits LASER'!J116</f>
        <v>-0.11</v>
      </c>
      <c r="W117" s="1668">
        <f>'Other Benefits LASER'!I116+'FC &amp; Adoptions LASER'!I116</f>
        <v>3178035.3200000003</v>
      </c>
      <c r="X117" s="1666">
        <f t="shared" si="33"/>
        <v>81853619.691465929</v>
      </c>
      <c r="Y117" s="1667">
        <f t="shared" si="34"/>
        <v>65620433.045914583</v>
      </c>
      <c r="Z117" s="1667">
        <f t="shared" si="35"/>
        <v>2855488.33</v>
      </c>
      <c r="AA117" s="2078">
        <f t="shared" si="36"/>
        <v>488604.75</v>
      </c>
      <c r="AB117" s="1668">
        <f t="shared" si="37"/>
        <v>150818145.81738049</v>
      </c>
      <c r="AD117" s="523">
        <f t="shared" si="22"/>
        <v>0.5215815291154382</v>
      </c>
      <c r="AE117" s="524">
        <f t="shared" si="23"/>
        <v>0.24220351883984728</v>
      </c>
      <c r="AF117" s="524">
        <f t="shared" si="24"/>
        <v>0.16679148602552066</v>
      </c>
      <c r="AG117" s="524">
        <f t="shared" si="25"/>
        <v>6.9423466019193733E-2</v>
      </c>
      <c r="AH117" s="525">
        <f t="shared" si="26"/>
        <v>0.76378504795528557</v>
      </c>
      <c r="AJ117" s="1069">
        <f t="shared" si="27"/>
        <v>4.666572116940141E-2</v>
      </c>
      <c r="AK117" s="1047">
        <f t="shared" si="28"/>
        <v>1.8570021430917526E-3</v>
      </c>
      <c r="AL117" s="1071">
        <f t="shared" si="29"/>
        <v>0.95147727668750692</v>
      </c>
      <c r="AN117" s="1069">
        <f t="shared" si="30"/>
        <v>0.41109771931724193</v>
      </c>
      <c r="AO117" s="1047">
        <f t="shared" si="31"/>
        <v>1.5916083257114907E-2</v>
      </c>
      <c r="AP117" s="1071">
        <f t="shared" si="32"/>
        <v>0.57298619742564316</v>
      </c>
    </row>
    <row r="118" spans="1:42" x14ac:dyDescent="0.3">
      <c r="A118" s="630" t="s">
        <v>180</v>
      </c>
      <c r="B118" s="500" t="s">
        <v>181</v>
      </c>
      <c r="C118" s="631" t="s">
        <v>252</v>
      </c>
      <c r="D118" s="676">
        <f>'Administration LASER'!D117+'Other Oper Exp. LASER'!D117</f>
        <v>7876432.9484491376</v>
      </c>
      <c r="E118" s="677">
        <f>'Administration LASER'!E117+'Other Oper Exp. LASER'!E117</f>
        <v>3489520.5715508619</v>
      </c>
      <c r="F118" s="677">
        <f>'Administration LASER'!F117+'Other Oper Exp. LASER'!F117</f>
        <v>3243718.62</v>
      </c>
      <c r="G118" s="677">
        <f>'Administration LASER'!J117 + 'Other Oper Exp. LASER'!J117</f>
        <v>1275472.07</v>
      </c>
      <c r="H118" s="678">
        <f>'Administration LASER'!I117+'Other Oper Exp. LASER'!I117</f>
        <v>15885144.210000001</v>
      </c>
      <c r="I118" s="676">
        <f>'Client Services LASER'!D117</f>
        <v>139676.52114672452</v>
      </c>
      <c r="J118" s="677">
        <f>'Client Services LASER'!E117</f>
        <v>53315.678853275465</v>
      </c>
      <c r="K118" s="677">
        <f>'Client Services LASER'!F117</f>
        <v>35513.440000000002</v>
      </c>
      <c r="L118" s="677">
        <f>'Client Services LASER'!J117</f>
        <v>-0.14000000000000001</v>
      </c>
      <c r="M118" s="678">
        <f>'Client Services LASER'!I117</f>
        <v>228505.49999999997</v>
      </c>
      <c r="N118" s="1666">
        <f>'Statewide Benefits'!D118</f>
        <v>144782529.64772245</v>
      </c>
      <c r="O118" s="1667">
        <f>'Statewide Benefits'!E118</f>
        <v>108609286.43816364</v>
      </c>
      <c r="P118" s="1667">
        <f>'Statewide Benefits'!F118</f>
        <v>461117.93</v>
      </c>
      <c r="Q118" s="2078">
        <f>'Statewide Benefits'!G118</f>
        <v>0</v>
      </c>
      <c r="R118" s="1668">
        <f t="shared" si="38"/>
        <v>253852934.0158861</v>
      </c>
      <c r="S118" s="1666">
        <f>'Other Benefits LASER'!D117+'FC &amp; Adoptions LASER'!D117</f>
        <v>1413290.26</v>
      </c>
      <c r="T118" s="1667">
        <f>'Other Benefits LASER'!E117 + 'FC &amp; Adoptions LASER'!E117</f>
        <v>2068531.05</v>
      </c>
      <c r="U118" s="1667">
        <f>'Other Benefits LASER'!F117+'FC &amp; Adoptions LASER'!F117</f>
        <v>98196.05</v>
      </c>
      <c r="V118" s="2078">
        <f>'FC &amp; Adoptions LASER'!J117+'Other Benefits LASER'!J117</f>
        <v>786.38</v>
      </c>
      <c r="W118" s="1668">
        <f>'Other Benefits LASER'!I117+'FC &amp; Adoptions LASER'!I117</f>
        <v>3580803.74</v>
      </c>
      <c r="X118" s="1666">
        <f t="shared" si="33"/>
        <v>154211929.37731829</v>
      </c>
      <c r="Y118" s="1667">
        <f t="shared" si="34"/>
        <v>114220653.73856777</v>
      </c>
      <c r="Z118" s="1667">
        <f t="shared" si="35"/>
        <v>3838546.04</v>
      </c>
      <c r="AA118" s="2078">
        <f t="shared" si="36"/>
        <v>1276258.31</v>
      </c>
      <c r="AB118" s="1668">
        <f t="shared" si="37"/>
        <v>273547387.46588612</v>
      </c>
      <c r="AD118" s="523">
        <f t="shared" si="22"/>
        <v>0.49583641447150179</v>
      </c>
      <c r="AE118" s="524">
        <f t="shared" si="23"/>
        <v>0.21967194791685568</v>
      </c>
      <c r="AF118" s="524">
        <f t="shared" si="24"/>
        <v>0.20419824819456264</v>
      </c>
      <c r="AG118" s="524">
        <f t="shared" si="25"/>
        <v>8.0293389417079766E-2</v>
      </c>
      <c r="AH118" s="525">
        <f t="shared" si="26"/>
        <v>0.71550836238835747</v>
      </c>
      <c r="AJ118" s="1069">
        <f t="shared" si="27"/>
        <v>5.8070904486269406E-2</v>
      </c>
      <c r="AK118" s="1047">
        <f t="shared" si="28"/>
        <v>8.3534155495634821E-4</v>
      </c>
      <c r="AL118" s="1071">
        <f t="shared" si="29"/>
        <v>0.94109375395877426</v>
      </c>
      <c r="AN118" s="1069">
        <f t="shared" si="30"/>
        <v>0.84503835207353672</v>
      </c>
      <c r="AO118" s="1047">
        <f t="shared" si="31"/>
        <v>9.2517947238168335E-3</v>
      </c>
      <c r="AP118" s="1071">
        <f t="shared" si="32"/>
        <v>0.14570985320264648</v>
      </c>
    </row>
    <row r="119" spans="1:42" x14ac:dyDescent="0.3">
      <c r="A119" s="630" t="s">
        <v>192</v>
      </c>
      <c r="B119" s="500" t="s">
        <v>193</v>
      </c>
      <c r="C119" s="631" t="s">
        <v>256</v>
      </c>
      <c r="D119" s="676">
        <f>'Administration LASER'!D118+'Other Oper Exp. LASER'!D118</f>
        <v>650808.94890200801</v>
      </c>
      <c r="E119" s="677">
        <f>'Administration LASER'!E118+'Other Oper Exp. LASER'!E118</f>
        <v>274339.34109799197</v>
      </c>
      <c r="F119" s="677">
        <f>'Administration LASER'!F118+'Other Oper Exp. LASER'!F118</f>
        <v>318935.86</v>
      </c>
      <c r="G119" s="677">
        <f>'Administration LASER'!J118 + 'Other Oper Exp. LASER'!J118</f>
        <v>49408.23</v>
      </c>
      <c r="H119" s="678">
        <f>'Administration LASER'!I118+'Other Oper Exp. LASER'!I118</f>
        <v>1293492.3799999999</v>
      </c>
      <c r="I119" s="676">
        <f>'Client Services LASER'!D118</f>
        <v>11009.483295266678</v>
      </c>
      <c r="J119" s="677">
        <f>'Client Services LASER'!E118</f>
        <v>12294.846704733322</v>
      </c>
      <c r="K119" s="677">
        <f>'Client Services LASER'!F118</f>
        <v>4115.67</v>
      </c>
      <c r="L119" s="677">
        <f>'Client Services LASER'!J118</f>
        <v>-0.12</v>
      </c>
      <c r="M119" s="678">
        <f>'Client Services LASER'!I118</f>
        <v>27419.88</v>
      </c>
      <c r="N119" s="1666">
        <f>'Statewide Benefits'!D119</f>
        <v>11091499.397368515</v>
      </c>
      <c r="O119" s="1667">
        <f>'Statewide Benefits'!E119</f>
        <v>9151780.8791298512</v>
      </c>
      <c r="P119" s="1667">
        <f>'Statewide Benefits'!F119</f>
        <v>145280.54999999999</v>
      </c>
      <c r="Q119" s="2078">
        <f>'Statewide Benefits'!G119</f>
        <v>0</v>
      </c>
      <c r="R119" s="1668">
        <f t="shared" si="38"/>
        <v>20388560.826498367</v>
      </c>
      <c r="S119" s="1666">
        <f>'Other Benefits LASER'!D118+'FC &amp; Adoptions LASER'!D118</f>
        <v>374858.73</v>
      </c>
      <c r="T119" s="1667">
        <f>'Other Benefits LASER'!E118 + 'FC &amp; Adoptions LASER'!E118</f>
        <v>442205.98</v>
      </c>
      <c r="U119" s="1667">
        <f>'Other Benefits LASER'!F118+'FC &amp; Adoptions LASER'!F118</f>
        <v>18143.599999999999</v>
      </c>
      <c r="V119" s="2078">
        <f>'FC &amp; Adoptions LASER'!J118+'Other Benefits LASER'!J118</f>
        <v>1.5499999999999998</v>
      </c>
      <c r="W119" s="1668">
        <f>'Other Benefits LASER'!I118+'FC &amp; Adoptions LASER'!I118</f>
        <v>835209.8600000001</v>
      </c>
      <c r="X119" s="1666">
        <f t="shared" si="33"/>
        <v>12128176.55956579</v>
      </c>
      <c r="Y119" s="1667">
        <f t="shared" si="34"/>
        <v>9880621.0469325762</v>
      </c>
      <c r="Z119" s="1667">
        <f t="shared" si="35"/>
        <v>486475.67999999993</v>
      </c>
      <c r="AA119" s="2078">
        <f t="shared" si="36"/>
        <v>49409.66</v>
      </c>
      <c r="AB119" s="1668">
        <f t="shared" si="37"/>
        <v>22544682.946498364</v>
      </c>
      <c r="AD119" s="523">
        <f t="shared" si="22"/>
        <v>0.50314092217691153</v>
      </c>
      <c r="AE119" s="524">
        <f t="shared" si="23"/>
        <v>0.21209196539525962</v>
      </c>
      <c r="AF119" s="524">
        <f t="shared" si="24"/>
        <v>0.24656957005034696</v>
      </c>
      <c r="AG119" s="524">
        <f t="shared" si="25"/>
        <v>3.8197542377481963E-2</v>
      </c>
      <c r="AH119" s="525">
        <f t="shared" si="26"/>
        <v>0.71523288757217118</v>
      </c>
      <c r="AJ119" s="1069">
        <f t="shared" si="27"/>
        <v>5.7374609484180168E-2</v>
      </c>
      <c r="AK119" s="1047">
        <f t="shared" si="28"/>
        <v>1.2162459798202153E-3</v>
      </c>
      <c r="AL119" s="1071">
        <f t="shared" si="29"/>
        <v>0.94140914453599966</v>
      </c>
      <c r="AN119" s="1069">
        <f t="shared" si="30"/>
        <v>0.65560494206000186</v>
      </c>
      <c r="AO119" s="1047">
        <f t="shared" si="31"/>
        <v>8.460176262048702E-3</v>
      </c>
      <c r="AP119" s="1071">
        <f t="shared" si="32"/>
        <v>0.33593488167794949</v>
      </c>
    </row>
    <row r="120" spans="1:42" x14ac:dyDescent="0.3">
      <c r="A120" s="630" t="s">
        <v>196</v>
      </c>
      <c r="B120" s="500" t="s">
        <v>300</v>
      </c>
      <c r="C120" s="631" t="s">
        <v>254</v>
      </c>
      <c r="D120" s="676">
        <f>'Administration LASER'!D119+'Other Oper Exp. LASER'!D119</f>
        <v>17226717.872596152</v>
      </c>
      <c r="E120" s="677">
        <f>'Administration LASER'!E119+'Other Oper Exp. LASER'!E119</f>
        <v>8025664.0674038501</v>
      </c>
      <c r="F120" s="677">
        <f>'Administration LASER'!F119+'Other Oper Exp. LASER'!F119</f>
        <v>5374791.0199999996</v>
      </c>
      <c r="G120" s="677">
        <f>'Administration LASER'!J119 + 'Other Oper Exp. LASER'!J119</f>
        <v>2166194.46</v>
      </c>
      <c r="H120" s="678">
        <f>'Administration LASER'!I119+'Other Oper Exp. LASER'!I119</f>
        <v>32793367.420000006</v>
      </c>
      <c r="I120" s="676">
        <f>'Client Services LASER'!D119</f>
        <v>485595.86338979955</v>
      </c>
      <c r="J120" s="677">
        <f>'Client Services LASER'!E119</f>
        <v>106581.12661020043</v>
      </c>
      <c r="K120" s="677">
        <f>'Client Services LASER'!F119</f>
        <v>111942.7</v>
      </c>
      <c r="L120" s="677">
        <f>'Client Services LASER'!J119</f>
        <v>-0.30000000000000004</v>
      </c>
      <c r="M120" s="678">
        <f>'Client Services LASER'!I119</f>
        <v>704119.3899999999</v>
      </c>
      <c r="N120" s="1666">
        <f>'Statewide Benefits'!D120</f>
        <v>313376746.67810392</v>
      </c>
      <c r="O120" s="1667">
        <f>'Statewide Benefits'!E120</f>
        <v>250892109.03562656</v>
      </c>
      <c r="P120" s="1667">
        <f>'Statewide Benefits'!F120</f>
        <v>6617736.9900000002</v>
      </c>
      <c r="Q120" s="2078">
        <f>'Statewide Benefits'!G120</f>
        <v>0</v>
      </c>
      <c r="R120" s="1668">
        <f t="shared" si="38"/>
        <v>570886592.70373046</v>
      </c>
      <c r="S120" s="1666">
        <f>'Other Benefits LASER'!D119+'FC &amp; Adoptions LASER'!D119</f>
        <v>5148605.5099999988</v>
      </c>
      <c r="T120" s="1667">
        <f>'Other Benefits LASER'!E119 + 'FC &amp; Adoptions LASER'!E119</f>
        <v>7941558.21</v>
      </c>
      <c r="U120" s="1667">
        <f>'Other Benefits LASER'!F119+'FC &amp; Adoptions LASER'!F119</f>
        <v>472568.7</v>
      </c>
      <c r="V120" s="2078">
        <f>'FC &amp; Adoptions LASER'!J119+'Other Benefits LASER'!J119</f>
        <v>70678.86</v>
      </c>
      <c r="W120" s="1668">
        <f>'Other Benefits LASER'!I119+'FC &amp; Adoptions LASER'!I119</f>
        <v>13633411.280000001</v>
      </c>
      <c r="X120" s="1666">
        <f t="shared" si="33"/>
        <v>336237665.92408985</v>
      </c>
      <c r="Y120" s="1667">
        <f t="shared" si="34"/>
        <v>266965912.43964061</v>
      </c>
      <c r="Z120" s="1667">
        <f t="shared" si="35"/>
        <v>12577039.41</v>
      </c>
      <c r="AA120" s="2078">
        <f t="shared" si="36"/>
        <v>2236873.02</v>
      </c>
      <c r="AB120" s="1668">
        <f t="shared" si="37"/>
        <v>618017490.7937305</v>
      </c>
      <c r="AD120" s="523">
        <f t="shared" si="22"/>
        <v>0.52531103780729538</v>
      </c>
      <c r="AE120" s="524">
        <f t="shared" si="23"/>
        <v>0.24473436852688576</v>
      </c>
      <c r="AF120" s="524">
        <f t="shared" si="24"/>
        <v>0.16389872229840063</v>
      </c>
      <c r="AG120" s="524">
        <f t="shared" si="25"/>
        <v>6.6055871367418098E-2</v>
      </c>
      <c r="AH120" s="525">
        <f t="shared" si="26"/>
        <v>0.77004540633418117</v>
      </c>
      <c r="AJ120" s="1069">
        <f t="shared" si="27"/>
        <v>5.3062199546946347E-2</v>
      </c>
      <c r="AK120" s="1047">
        <f t="shared" si="28"/>
        <v>1.1393195184422487E-3</v>
      </c>
      <c r="AL120" s="1071">
        <f t="shared" si="29"/>
        <v>0.94579848093461127</v>
      </c>
      <c r="AN120" s="1069">
        <f t="shared" si="30"/>
        <v>0.42734946156935033</v>
      </c>
      <c r="AO120" s="1047">
        <f t="shared" si="31"/>
        <v>8.9005604857208594E-3</v>
      </c>
      <c r="AP120" s="1071">
        <f t="shared" si="32"/>
        <v>0.56374997794492876</v>
      </c>
    </row>
    <row r="121" spans="1:42" x14ac:dyDescent="0.3">
      <c r="A121" s="630" t="s">
        <v>200</v>
      </c>
      <c r="B121" s="500" t="s">
        <v>301</v>
      </c>
      <c r="C121" s="631" t="s">
        <v>253</v>
      </c>
      <c r="D121" s="676">
        <f>'Administration LASER'!D120+'Other Oper Exp. LASER'!D120</f>
        <v>8040767.5471302262</v>
      </c>
      <c r="E121" s="677">
        <f>'Administration LASER'!E120+'Other Oper Exp. LASER'!E120</f>
        <v>3361769.6728697736</v>
      </c>
      <c r="F121" s="677">
        <f>'Administration LASER'!F120+'Other Oper Exp. LASER'!F120</f>
        <v>3441098.8</v>
      </c>
      <c r="G121" s="677">
        <f>'Administration LASER'!J120 + 'Other Oper Exp. LASER'!J120</f>
        <v>963020.94999999972</v>
      </c>
      <c r="H121" s="678">
        <f>'Administration LASER'!I120+'Other Oper Exp. LASER'!I120</f>
        <v>15806656.969999999</v>
      </c>
      <c r="I121" s="676">
        <f>'Client Services LASER'!D120</f>
        <v>238401.95872911057</v>
      </c>
      <c r="J121" s="677">
        <f>'Client Services LASER'!E120</f>
        <v>162291.40127088942</v>
      </c>
      <c r="K121" s="677">
        <f>'Client Services LASER'!F120</f>
        <v>76944.789999999979</v>
      </c>
      <c r="L121" s="677">
        <f>'Client Services LASER'!J120</f>
        <v>6498.46</v>
      </c>
      <c r="M121" s="678">
        <f>'Client Services LASER'!I120</f>
        <v>484136.61</v>
      </c>
      <c r="N121" s="1666">
        <f>'Statewide Benefits'!D121</f>
        <v>153474665.13476527</v>
      </c>
      <c r="O121" s="1667">
        <f>'Statewide Benefits'!E121</f>
        <v>123603372.29936382</v>
      </c>
      <c r="P121" s="1667">
        <f>'Statewide Benefits'!F121</f>
        <v>3747632.76</v>
      </c>
      <c r="Q121" s="2078">
        <f>'Statewide Benefits'!G121</f>
        <v>0</v>
      </c>
      <c r="R121" s="1668">
        <f t="shared" si="38"/>
        <v>280825670.19412911</v>
      </c>
      <c r="S121" s="1666">
        <f>'Other Benefits LASER'!D120+'FC &amp; Adoptions LASER'!D120</f>
        <v>5392887</v>
      </c>
      <c r="T121" s="1667">
        <f>'Other Benefits LASER'!E120 + 'FC &amp; Adoptions LASER'!E120</f>
        <v>6538208.1899999995</v>
      </c>
      <c r="U121" s="1667">
        <f>'Other Benefits LASER'!F120+'FC &amp; Adoptions LASER'!F120</f>
        <v>144658.6</v>
      </c>
      <c r="V121" s="2078">
        <f>'FC &amp; Adoptions LASER'!J120+'Other Benefits LASER'!J120</f>
        <v>3981.29</v>
      </c>
      <c r="W121" s="1668">
        <f>'Other Benefits LASER'!I120+'FC &amp; Adoptions LASER'!I120</f>
        <v>12079735.08</v>
      </c>
      <c r="X121" s="1666">
        <f t="shared" si="33"/>
        <v>167146721.64062461</v>
      </c>
      <c r="Y121" s="1667">
        <f t="shared" si="34"/>
        <v>133665641.56350449</v>
      </c>
      <c r="Z121" s="1667">
        <f t="shared" si="35"/>
        <v>7410334.9499999993</v>
      </c>
      <c r="AA121" s="2078">
        <f t="shared" si="36"/>
        <v>973500.69999999972</v>
      </c>
      <c r="AB121" s="1668">
        <f t="shared" si="37"/>
        <v>309196198.85412908</v>
      </c>
      <c r="AD121" s="523">
        <f t="shared" si="22"/>
        <v>0.50869501137344075</v>
      </c>
      <c r="AE121" s="524">
        <f t="shared" si="23"/>
        <v>0.21268062432494059</v>
      </c>
      <c r="AF121" s="524">
        <f t="shared" si="24"/>
        <v>0.21769934063420115</v>
      </c>
      <c r="AG121" s="524">
        <f t="shared" si="25"/>
        <v>6.0925023667417498E-2</v>
      </c>
      <c r="AH121" s="525">
        <f t="shared" si="26"/>
        <v>0.72137563569838126</v>
      </c>
      <c r="AJ121" s="1069">
        <f t="shared" si="27"/>
        <v>5.1121770023625612E-2</v>
      </c>
      <c r="AK121" s="1047">
        <f t="shared" si="28"/>
        <v>1.5657909501934186E-3</v>
      </c>
      <c r="AL121" s="1071">
        <f t="shared" si="29"/>
        <v>0.94731243902618101</v>
      </c>
      <c r="AN121" s="1069">
        <f t="shared" si="30"/>
        <v>0.46436481255142187</v>
      </c>
      <c r="AO121" s="1047">
        <f t="shared" si="31"/>
        <v>1.0383442923858656E-2</v>
      </c>
      <c r="AP121" s="1071">
        <f t="shared" si="32"/>
        <v>0.52525174452471957</v>
      </c>
    </row>
    <row r="122" spans="1:42" x14ac:dyDescent="0.3">
      <c r="A122" s="630" t="s">
        <v>222</v>
      </c>
      <c r="B122" s="500" t="s">
        <v>223</v>
      </c>
      <c r="C122" s="631" t="s">
        <v>252</v>
      </c>
      <c r="D122" s="676">
        <f>'Administration LASER'!D121+'Other Oper Exp. LASER'!D121</f>
        <v>4768181.7456666809</v>
      </c>
      <c r="E122" s="677">
        <f>'Administration LASER'!E121+'Other Oper Exp. LASER'!E121</f>
        <v>1908270.5143333192</v>
      </c>
      <c r="F122" s="677">
        <f>'Administration LASER'!F121+'Other Oper Exp. LASER'!F121</f>
        <v>2665283.0800000005</v>
      </c>
      <c r="G122" s="677">
        <f>'Administration LASER'!J121 + 'Other Oper Exp. LASER'!J121</f>
        <v>880878.03</v>
      </c>
      <c r="H122" s="678">
        <f>'Administration LASER'!I121+'Other Oper Exp. LASER'!I121</f>
        <v>10222613.370000001</v>
      </c>
      <c r="I122" s="676">
        <f>'Client Services LASER'!D121</f>
        <v>170996.44791773718</v>
      </c>
      <c r="J122" s="677">
        <f>'Client Services LASER'!E121</f>
        <v>42385.762082262823</v>
      </c>
      <c r="K122" s="677">
        <f>'Client Services LASER'!F121</f>
        <v>53200.44</v>
      </c>
      <c r="L122" s="677">
        <f>'Client Services LASER'!J121</f>
        <v>45390.63</v>
      </c>
      <c r="M122" s="678">
        <f>'Client Services LASER'!I121</f>
        <v>311973.28000000003</v>
      </c>
      <c r="N122" s="1666">
        <f>'Statewide Benefits'!D122</f>
        <v>91591807.030597806</v>
      </c>
      <c r="O122" s="1667">
        <f>'Statewide Benefits'!E122</f>
        <v>73848135.270527571</v>
      </c>
      <c r="P122" s="1667">
        <f>'Statewide Benefits'!F122</f>
        <v>445116.91</v>
      </c>
      <c r="Q122" s="2078">
        <f>'Statewide Benefits'!G122</f>
        <v>0</v>
      </c>
      <c r="R122" s="1668">
        <f t="shared" si="38"/>
        <v>165885059.21112537</v>
      </c>
      <c r="S122" s="1666">
        <f>'Other Benefits LASER'!D121+'FC &amp; Adoptions LASER'!D121</f>
        <v>217750.98</v>
      </c>
      <c r="T122" s="1667">
        <f>'Other Benefits LASER'!E121 + 'FC &amp; Adoptions LASER'!E121</f>
        <v>391948.7</v>
      </c>
      <c r="U122" s="1667">
        <f>'Other Benefits LASER'!F121+'FC &amp; Adoptions LASER'!F121</f>
        <v>29705.4</v>
      </c>
      <c r="V122" s="2078">
        <f>'FC &amp; Adoptions LASER'!J121+'Other Benefits LASER'!J121</f>
        <v>6149.93</v>
      </c>
      <c r="W122" s="1668">
        <f>'Other Benefits LASER'!I121+'FC &amp; Adoptions LASER'!I121</f>
        <v>645555.01</v>
      </c>
      <c r="X122" s="1666">
        <f t="shared" si="33"/>
        <v>96748736.204182222</v>
      </c>
      <c r="Y122" s="1667">
        <f t="shared" si="34"/>
        <v>76190740.246943161</v>
      </c>
      <c r="Z122" s="1667">
        <f t="shared" si="35"/>
        <v>3193305.8300000005</v>
      </c>
      <c r="AA122" s="2078">
        <f t="shared" si="36"/>
        <v>932418.59000000008</v>
      </c>
      <c r="AB122" s="1668">
        <f t="shared" si="37"/>
        <v>177065200.87112537</v>
      </c>
      <c r="AD122" s="523">
        <f t="shared" si="22"/>
        <v>0.46643471420524635</v>
      </c>
      <c r="AE122" s="524">
        <f t="shared" si="23"/>
        <v>0.18667149438845684</v>
      </c>
      <c r="AF122" s="524">
        <f t="shared" si="24"/>
        <v>0.26072423787656174</v>
      </c>
      <c r="AG122" s="524">
        <f t="shared" si="25"/>
        <v>8.616955352973503E-2</v>
      </c>
      <c r="AH122" s="525">
        <f t="shared" si="26"/>
        <v>0.65310620859370316</v>
      </c>
      <c r="AJ122" s="1069">
        <f t="shared" si="27"/>
        <v>5.7733610668311945E-2</v>
      </c>
      <c r="AK122" s="1047">
        <f t="shared" si="28"/>
        <v>1.7619118746380084E-3</v>
      </c>
      <c r="AL122" s="1071">
        <f t="shared" si="29"/>
        <v>0.94050447745705001</v>
      </c>
      <c r="AN122" s="1069">
        <f t="shared" si="30"/>
        <v>0.83464698400027659</v>
      </c>
      <c r="AO122" s="1047">
        <f t="shared" si="31"/>
        <v>1.6659988999550349E-2</v>
      </c>
      <c r="AP122" s="1071">
        <f t="shared" si="32"/>
        <v>0.14869302700017303</v>
      </c>
    </row>
    <row r="123" spans="1:42" x14ac:dyDescent="0.3">
      <c r="A123" s="630" t="s">
        <v>230</v>
      </c>
      <c r="B123" s="500" t="s">
        <v>231</v>
      </c>
      <c r="C123" s="631" t="s">
        <v>252</v>
      </c>
      <c r="D123" s="676">
        <f>'Administration LASER'!D122+'Other Oper Exp. LASER'!D122</f>
        <v>13786567.704428412</v>
      </c>
      <c r="E123" s="677">
        <f>'Administration LASER'!E122+'Other Oper Exp. LASER'!E122</f>
        <v>4758486.3855715897</v>
      </c>
      <c r="F123" s="677">
        <f>'Administration LASER'!F122+'Other Oper Exp. LASER'!F122</f>
        <v>9649104.5299999993</v>
      </c>
      <c r="G123" s="677">
        <f>'Administration LASER'!J122 + 'Other Oper Exp. LASER'!J122</f>
        <v>1357031.18</v>
      </c>
      <c r="H123" s="678">
        <f>'Administration LASER'!I122+'Other Oper Exp. LASER'!I122</f>
        <v>29551189.800000001</v>
      </c>
      <c r="I123" s="676">
        <f>'Client Services LASER'!D122</f>
        <v>508651.19044966245</v>
      </c>
      <c r="J123" s="677">
        <f>'Client Services LASER'!E122</f>
        <v>113527.0395503375</v>
      </c>
      <c r="K123" s="677">
        <f>'Client Services LASER'!F122</f>
        <v>140901.85</v>
      </c>
      <c r="L123" s="677">
        <f>'Client Services LASER'!J122</f>
        <v>193910.12000000002</v>
      </c>
      <c r="M123" s="678">
        <f>'Client Services LASER'!I122</f>
        <v>956990.2</v>
      </c>
      <c r="N123" s="1666">
        <f>'Statewide Benefits'!D123</f>
        <v>267685254.32101876</v>
      </c>
      <c r="O123" s="1667">
        <f>'Statewide Benefits'!E123</f>
        <v>216790598.00538903</v>
      </c>
      <c r="P123" s="1667">
        <f>'Statewide Benefits'!F123</f>
        <v>4759186.09</v>
      </c>
      <c r="Q123" s="2078">
        <f>'Statewide Benefits'!G123</f>
        <v>0</v>
      </c>
      <c r="R123" s="1668">
        <f t="shared" si="38"/>
        <v>489235038.41640776</v>
      </c>
      <c r="S123" s="1666">
        <f>'Other Benefits LASER'!D122+'FC &amp; Adoptions LASER'!D122</f>
        <v>4205629.43</v>
      </c>
      <c r="T123" s="1667">
        <f>'Other Benefits LASER'!E122 + 'FC &amp; Adoptions LASER'!E122</f>
        <v>4656323.1999999993</v>
      </c>
      <c r="U123" s="1667">
        <f>'Other Benefits LASER'!F122+'FC &amp; Adoptions LASER'!F122</f>
        <v>170269.31</v>
      </c>
      <c r="V123" s="2078">
        <f>'FC &amp; Adoptions LASER'!J122+'Other Benefits LASER'!J122</f>
        <v>48601.15</v>
      </c>
      <c r="W123" s="1668">
        <f>'Other Benefits LASER'!I122+'FC &amp; Adoptions LASER'!I122</f>
        <v>9080823.0899999999</v>
      </c>
      <c r="X123" s="1666">
        <f t="shared" si="33"/>
        <v>286186102.64589685</v>
      </c>
      <c r="Y123" s="1667">
        <f t="shared" si="34"/>
        <v>226318934.63051096</v>
      </c>
      <c r="Z123" s="1667">
        <f t="shared" si="35"/>
        <v>14719461.779999999</v>
      </c>
      <c r="AA123" s="2078">
        <f t="shared" si="36"/>
        <v>1599542.45</v>
      </c>
      <c r="AB123" s="1668">
        <f t="shared" si="37"/>
        <v>528824041.50640774</v>
      </c>
      <c r="AD123" s="523">
        <f t="shared" si="22"/>
        <v>0.46653173011762833</v>
      </c>
      <c r="AE123" s="524">
        <f t="shared" si="23"/>
        <v>0.16102520466271006</v>
      </c>
      <c r="AF123" s="524">
        <f t="shared" si="24"/>
        <v>0.32652169321453173</v>
      </c>
      <c r="AG123" s="524">
        <f t="shared" si="25"/>
        <v>4.5921372005129892E-2</v>
      </c>
      <c r="AH123" s="525">
        <f t="shared" si="26"/>
        <v>0.62755693478033847</v>
      </c>
      <c r="AJ123" s="1069">
        <f t="shared" si="27"/>
        <v>5.5880949957986981E-2</v>
      </c>
      <c r="AK123" s="1047">
        <f t="shared" si="28"/>
        <v>1.8096571352427897E-3</v>
      </c>
      <c r="AL123" s="1071">
        <f t="shared" si="29"/>
        <v>0.94230939290677018</v>
      </c>
      <c r="AN123" s="1069">
        <f t="shared" si="30"/>
        <v>0.65553378745890534</v>
      </c>
      <c r="AO123" s="1047">
        <f t="shared" si="31"/>
        <v>9.572486555958843E-3</v>
      </c>
      <c r="AP123" s="1071">
        <f t="shared" si="32"/>
        <v>0.33489372598513584</v>
      </c>
    </row>
    <row r="124" spans="1:42" x14ac:dyDescent="0.3">
      <c r="A124" s="630" t="s">
        <v>238</v>
      </c>
      <c r="B124" s="500" t="s">
        <v>239</v>
      </c>
      <c r="C124" s="631" t="s">
        <v>252</v>
      </c>
      <c r="D124" s="676">
        <f>'Administration LASER'!D123+'Other Oper Exp. LASER'!D123</f>
        <v>572892.6191262604</v>
      </c>
      <c r="E124" s="677">
        <f>'Administration LASER'!E123+'Other Oper Exp. LASER'!E123</f>
        <v>186949.35087373958</v>
      </c>
      <c r="F124" s="677">
        <f>'Administration LASER'!F123+'Other Oper Exp. LASER'!F123</f>
        <v>390790.54</v>
      </c>
      <c r="G124" s="677">
        <f>'Administration LASER'!J123 + 'Other Oper Exp. LASER'!J123</f>
        <v>477707.69999999995</v>
      </c>
      <c r="H124" s="678">
        <f>'Administration LASER'!I123+'Other Oper Exp. LASER'!I123</f>
        <v>1628340.21</v>
      </c>
      <c r="I124" s="676">
        <f>'Client Services LASER'!D123</f>
        <v>24272.613920561198</v>
      </c>
      <c r="J124" s="677">
        <f>'Client Services LASER'!E123</f>
        <v>31282.966079438804</v>
      </c>
      <c r="K124" s="677">
        <f>'Client Services LASER'!F123</f>
        <v>11082.45</v>
      </c>
      <c r="L124" s="677">
        <f>'Client Services LASER'!J123</f>
        <v>-0.06</v>
      </c>
      <c r="M124" s="678">
        <f>'Client Services LASER'!I123</f>
        <v>66637.97</v>
      </c>
      <c r="N124" s="1666">
        <f>'Statewide Benefits'!D124</f>
        <v>7480121.5266801948</v>
      </c>
      <c r="O124" s="1667">
        <f>'Statewide Benefits'!E124</f>
        <v>5491569.664620813</v>
      </c>
      <c r="P124" s="1667">
        <f>'Statewide Benefits'!F124</f>
        <v>241552.16</v>
      </c>
      <c r="Q124" s="2078">
        <f>'Statewide Benefits'!G124</f>
        <v>0</v>
      </c>
      <c r="R124" s="1668">
        <f t="shared" si="38"/>
        <v>13213243.351301007</v>
      </c>
      <c r="S124" s="1666">
        <f>'Other Benefits LASER'!D123+'FC &amp; Adoptions LASER'!D123</f>
        <v>86346.69</v>
      </c>
      <c r="T124" s="1667">
        <f>'Other Benefits LASER'!E123 + 'FC &amp; Adoptions LASER'!E123</f>
        <v>200617.43</v>
      </c>
      <c r="U124" s="1667">
        <f>'Other Benefits LASER'!F123+'FC &amp; Adoptions LASER'!F123</f>
        <v>23283.4</v>
      </c>
      <c r="V124" s="2078">
        <f>'FC &amp; Adoptions LASER'!J123+'Other Benefits LASER'!J123</f>
        <v>21635.02</v>
      </c>
      <c r="W124" s="1668">
        <f>'Other Benefits LASER'!I123+'FC &amp; Adoptions LASER'!I123</f>
        <v>331882.54000000004</v>
      </c>
      <c r="X124" s="1666">
        <f t="shared" si="33"/>
        <v>8163633.4497270165</v>
      </c>
      <c r="Y124" s="1667">
        <f t="shared" si="34"/>
        <v>5910419.4115739912</v>
      </c>
      <c r="Z124" s="1667">
        <f t="shared" si="35"/>
        <v>666708.55000000005</v>
      </c>
      <c r="AA124" s="2078">
        <f t="shared" si="36"/>
        <v>499342.66</v>
      </c>
      <c r="AB124" s="1668">
        <f t="shared" si="37"/>
        <v>15240104.071301006</v>
      </c>
      <c r="AD124" s="523">
        <f t="shared" si="22"/>
        <v>0.3518261206153353</v>
      </c>
      <c r="AE124" s="524">
        <f t="shared" si="23"/>
        <v>0.11480976132975282</v>
      </c>
      <c r="AF124" s="524">
        <f t="shared" si="24"/>
        <v>0.23999317685583652</v>
      </c>
      <c r="AG124" s="524">
        <f t="shared" si="25"/>
        <v>0.29337094119907531</v>
      </c>
      <c r="AH124" s="525">
        <f t="shared" si="26"/>
        <v>0.46663588194508809</v>
      </c>
      <c r="AJ124" s="1069">
        <f t="shared" si="27"/>
        <v>0.10684574084151861</v>
      </c>
      <c r="AK124" s="1047">
        <f t="shared" si="28"/>
        <v>4.3725403506585962E-3</v>
      </c>
      <c r="AL124" s="1071">
        <f t="shared" si="29"/>
        <v>0.88878171880782286</v>
      </c>
      <c r="AN124" s="1069">
        <f t="shared" si="30"/>
        <v>0.58614898519000536</v>
      </c>
      <c r="AO124" s="1047">
        <f t="shared" si="31"/>
        <v>1.6622630683227325E-2</v>
      </c>
      <c r="AP124" s="1071">
        <f t="shared" si="32"/>
        <v>0.3972283841267672</v>
      </c>
    </row>
    <row r="125" spans="1:42" x14ac:dyDescent="0.3">
      <c r="A125" s="632" t="s">
        <v>240</v>
      </c>
      <c r="B125" s="633" t="s">
        <v>241</v>
      </c>
      <c r="C125" s="634" t="s">
        <v>255</v>
      </c>
      <c r="D125" s="676">
        <f>'Administration LASER'!D124+'Other Oper Exp. LASER'!D124</f>
        <v>1955665.365715727</v>
      </c>
      <c r="E125" s="677">
        <f>'Administration LASER'!E124+'Other Oper Exp. LASER'!E124</f>
        <v>619486.63428427302</v>
      </c>
      <c r="F125" s="677">
        <f>'Administration LASER'!F124+'Other Oper Exp. LASER'!F124</f>
        <v>1575412.1500000001</v>
      </c>
      <c r="G125" s="677">
        <f>'Administration LASER'!J124 + 'Other Oper Exp. LASER'!J124</f>
        <v>261197.90000000002</v>
      </c>
      <c r="H125" s="678">
        <f>'Administration LASER'!I124+'Other Oper Exp. LASER'!I124</f>
        <v>4411762.0500000007</v>
      </c>
      <c r="I125" s="676">
        <f>'Client Services LASER'!D124</f>
        <v>41495.401285538181</v>
      </c>
      <c r="J125" s="677">
        <f>'Client Services LASER'!E124</f>
        <v>44993.38871446182</v>
      </c>
      <c r="K125" s="677">
        <f>'Client Services LASER'!F124</f>
        <v>15991.25</v>
      </c>
      <c r="L125" s="677">
        <f>'Client Services LASER'!J124</f>
        <v>15137.03</v>
      </c>
      <c r="M125" s="678">
        <f>'Client Services LASER'!I124</f>
        <v>117617.07</v>
      </c>
      <c r="N125" s="1669">
        <f>'Statewide Benefits'!D125</f>
        <v>29717384.404203087</v>
      </c>
      <c r="O125" s="1670">
        <f>'Statewide Benefits'!E125</f>
        <v>24845312.289447121</v>
      </c>
      <c r="P125" s="1670">
        <f>'Statewide Benefits'!F125</f>
        <v>1543755.88</v>
      </c>
      <c r="Q125" s="2079">
        <f>'Statewide Benefits'!G125</f>
        <v>0</v>
      </c>
      <c r="R125" s="1671">
        <f t="shared" si="38"/>
        <v>56106452.573650211</v>
      </c>
      <c r="S125" s="1669">
        <f>'Other Benefits LASER'!D124+'FC &amp; Adoptions LASER'!D124</f>
        <v>581306.22</v>
      </c>
      <c r="T125" s="1670">
        <f>'Other Benefits LASER'!E124 + 'FC &amp; Adoptions LASER'!E124</f>
        <v>674684.87</v>
      </c>
      <c r="U125" s="1670">
        <f>'Other Benefits LASER'!F124+'FC &amp; Adoptions LASER'!F124</f>
        <v>20160</v>
      </c>
      <c r="V125" s="2078">
        <f>'FC &amp; Adoptions LASER'!J124+'Other Benefits LASER'!J124</f>
        <v>8431.1400000000012</v>
      </c>
      <c r="W125" s="1671">
        <f>'Other Benefits LASER'!I124+'FC &amp; Adoptions LASER'!I124</f>
        <v>1284582.23</v>
      </c>
      <c r="X125" s="1666">
        <f t="shared" si="33"/>
        <v>32295851.39120435</v>
      </c>
      <c r="Y125" s="1667">
        <f t="shared" si="34"/>
        <v>26184477.182445858</v>
      </c>
      <c r="Z125" s="1667">
        <f t="shared" si="35"/>
        <v>3155319.2800000003</v>
      </c>
      <c r="AA125" s="2078">
        <f t="shared" si="36"/>
        <v>284766.07000000007</v>
      </c>
      <c r="AB125" s="1668">
        <f t="shared" si="37"/>
        <v>61920413.923650213</v>
      </c>
      <c r="AD125" s="684">
        <f t="shared" si="22"/>
        <v>0.44328441641945004</v>
      </c>
      <c r="AE125" s="685">
        <f t="shared" si="23"/>
        <v>0.14041705496883561</v>
      </c>
      <c r="AF125" s="685">
        <f t="shared" si="24"/>
        <v>0.35709363563703528</v>
      </c>
      <c r="AG125" s="2085">
        <f t="shared" si="25"/>
        <v>5.9204892974678902E-2</v>
      </c>
      <c r="AH125" s="686">
        <f t="shared" si="26"/>
        <v>0.58370147138828565</v>
      </c>
      <c r="AJ125" s="1070">
        <f t="shared" si="27"/>
        <v>7.1248910826724118E-2</v>
      </c>
      <c r="AK125" s="1068">
        <f t="shared" si="28"/>
        <v>1.8994877867745763E-3</v>
      </c>
      <c r="AL125" s="1072">
        <f t="shared" si="29"/>
        <v>0.92685160138650124</v>
      </c>
      <c r="AN125" s="1070">
        <f t="shared" si="30"/>
        <v>0.49928771392034849</v>
      </c>
      <c r="AO125" s="1068">
        <f t="shared" si="31"/>
        <v>5.0680291219213792E-3</v>
      </c>
      <c r="AP125" s="1072">
        <f t="shared" si="32"/>
        <v>0.49564425695773007</v>
      </c>
    </row>
    <row r="126" spans="1:42" x14ac:dyDescent="0.3">
      <c r="A126" s="635"/>
      <c r="B126" s="635"/>
      <c r="C126" s="635"/>
    </row>
    <row r="127" spans="1:42" x14ac:dyDescent="0.3">
      <c r="A127" s="1269" t="s">
        <v>1154</v>
      </c>
      <c r="B127" s="635"/>
      <c r="C127" s="635"/>
      <c r="R127" s="669" t="s">
        <v>562</v>
      </c>
      <c r="S127" s="669"/>
      <c r="T127" s="669"/>
      <c r="U127" s="669"/>
      <c r="V127" s="669"/>
      <c r="W127" s="669"/>
      <c r="X127" s="669"/>
      <c r="Y127" s="669"/>
      <c r="Z127" s="669"/>
      <c r="AA127" s="669"/>
      <c r="AB127" s="669"/>
      <c r="AC127" s="669"/>
      <c r="AD127" s="673">
        <f>MIN(AD6:AD125)</f>
        <v>0.3518261206153353</v>
      </c>
      <c r="AE127" s="673">
        <f>MIN(AE6:AE125)</f>
        <v>7.3936990931031413E-2</v>
      </c>
      <c r="AF127" s="673">
        <f>MIN(AF6:AF125)</f>
        <v>0.14788548395335588</v>
      </c>
      <c r="AG127" s="673"/>
      <c r="AH127" s="673">
        <f>MIN(AH6:AH125)</f>
        <v>0.46663588194508809</v>
      </c>
      <c r="AJ127" s="673">
        <f>MIN(AJ6:AJ125)</f>
        <v>2.378059330394346E-2</v>
      </c>
      <c r="AK127" s="673">
        <f>MIN(AK6:AK125)</f>
        <v>3.5995353932488167E-4</v>
      </c>
      <c r="AL127" s="673">
        <f>MIN(AL6:AL125)</f>
        <v>0.84880503455250711</v>
      </c>
      <c r="AN127" s="673">
        <f>MIN(AN6:AN125)</f>
        <v>0.13472597345777504</v>
      </c>
      <c r="AO127" s="673">
        <f>MIN(AO6:AO125)</f>
        <v>2.0622481127943889E-3</v>
      </c>
      <c r="AP127" s="673">
        <f>MIN(AP6:AP125)</f>
        <v>0.14570985320264648</v>
      </c>
    </row>
    <row r="128" spans="1:42" x14ac:dyDescent="0.3">
      <c r="A128" s="621"/>
      <c r="B128" s="621"/>
      <c r="C128" s="621"/>
      <c r="R128" s="669" t="s">
        <v>563</v>
      </c>
      <c r="S128" s="669"/>
      <c r="T128" s="669"/>
      <c r="U128" s="669"/>
      <c r="V128" s="669"/>
      <c r="W128" s="669"/>
      <c r="X128" s="669"/>
      <c r="Y128" s="669"/>
      <c r="Z128" s="669"/>
      <c r="AA128" s="669"/>
      <c r="AB128" s="669"/>
      <c r="AC128" s="669"/>
      <c r="AD128" s="673">
        <f>MAX(AD6:AD125)</f>
        <v>0.5568049916930079</v>
      </c>
      <c r="AE128" s="673">
        <f>MAX(AE6:AE125)</f>
        <v>0.27562972617557574</v>
      </c>
      <c r="AF128" s="673">
        <f>MAX(AF6:AF125)</f>
        <v>0.46588136212693021</v>
      </c>
      <c r="AG128" s="673"/>
      <c r="AH128" s="673">
        <f>MAX(AH6:AH125)</f>
        <v>0.83243471786858358</v>
      </c>
      <c r="AJ128" s="673">
        <f>MAX(AJ6:AJ125)</f>
        <v>0.14255113010860004</v>
      </c>
      <c r="AK128" s="673">
        <f>MAX(AK6:AK125)</f>
        <v>8.6972108087075908E-3</v>
      </c>
      <c r="AL128" s="673">
        <f>MAX(AL6:AL125)</f>
        <v>0.97585945315673162</v>
      </c>
      <c r="AN128" s="673">
        <f>MAX(AN6:AN125)</f>
        <v>0.84503835207353672</v>
      </c>
      <c r="AO128" s="673">
        <f>MAX(AO6:AO125)</f>
        <v>5.4355809556056595E-2</v>
      </c>
      <c r="AP128" s="673">
        <f>MAX(AP6:AP125)</f>
        <v>0.8616081974073303</v>
      </c>
    </row>
    <row r="129" spans="1:3" x14ac:dyDescent="0.3">
      <c r="A129" s="134" t="s">
        <v>248</v>
      </c>
      <c r="B129" s="636"/>
      <c r="C129" s="636"/>
    </row>
    <row r="130" spans="1:3" x14ac:dyDescent="0.3">
      <c r="A130" s="134" t="s">
        <v>249</v>
      </c>
      <c r="B130" s="361" t="s">
        <v>250</v>
      </c>
      <c r="C130" s="637"/>
    </row>
  </sheetData>
  <autoFilter ref="A4:C4"/>
  <mergeCells count="8">
    <mergeCell ref="AN3:AP3"/>
    <mergeCell ref="D3:H3"/>
    <mergeCell ref="I3:M3"/>
    <mergeCell ref="N3:R3"/>
    <mergeCell ref="AJ3:AL3"/>
    <mergeCell ref="AD3:AH3"/>
    <mergeCell ref="X3:AB3"/>
    <mergeCell ref="S3:W3"/>
  </mergeCells>
  <hyperlinks>
    <hyperlink ref="B130"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32"/>
  <sheetViews>
    <sheetView workbookViewId="0">
      <pane ySplit="4" topLeftCell="A101" activePane="bottomLeft" state="frozen"/>
      <selection pane="bottomLeft" sqref="A1:XFD1048576"/>
    </sheetView>
  </sheetViews>
  <sheetFormatPr defaultColWidth="9" defaultRowHeight="15.6" x14ac:dyDescent="0.3"/>
  <cols>
    <col min="1" max="1" width="5.796875" style="441" customWidth="1"/>
    <col min="2" max="2" width="29.5" style="441" customWidth="1"/>
    <col min="3" max="3" width="16.19921875" style="441" customWidth="1"/>
    <col min="4" max="10" width="11.296875" style="441" customWidth="1"/>
    <col min="11" max="11" width="3.796875" style="441" customWidth="1"/>
    <col min="12" max="16384" width="9" style="441"/>
  </cols>
  <sheetData>
    <row r="1" spans="1:10" x14ac:dyDescent="0.3">
      <c r="A1" s="253" t="s">
        <v>807</v>
      </c>
    </row>
    <row r="3" spans="1:10" ht="31.2" x14ac:dyDescent="0.3">
      <c r="A3" s="536" t="s">
        <v>4</v>
      </c>
      <c r="B3" s="503" t="s">
        <v>5</v>
      </c>
      <c r="C3" s="503" t="s">
        <v>251</v>
      </c>
      <c r="D3" s="542" t="s">
        <v>612</v>
      </c>
      <c r="E3" s="542" t="s">
        <v>613</v>
      </c>
      <c r="F3" s="542" t="s">
        <v>614</v>
      </c>
      <c r="G3" s="542" t="s">
        <v>615</v>
      </c>
      <c r="H3" s="542" t="s">
        <v>674</v>
      </c>
      <c r="I3" s="542" t="s">
        <v>704</v>
      </c>
      <c r="J3" s="1128" t="s">
        <v>806</v>
      </c>
    </row>
    <row r="4" spans="1:10" x14ac:dyDescent="0.3">
      <c r="A4" s="539">
        <v>999</v>
      </c>
      <c r="B4" s="540" t="s">
        <v>642</v>
      </c>
      <c r="C4" s="540"/>
      <c r="D4" s="541">
        <f>SUM(D5:D124)</f>
        <v>1063886</v>
      </c>
      <c r="E4" s="541">
        <f>SUM(E5:E124)</f>
        <v>1129713</v>
      </c>
      <c r="F4" s="541">
        <f>SUM(F5:F124)</f>
        <v>1188712</v>
      </c>
      <c r="G4" s="541">
        <f>SUM(G5:G124)</f>
        <v>1236732</v>
      </c>
      <c r="H4" s="815">
        <f>SUM(H5:H124)</f>
        <v>1291480</v>
      </c>
      <c r="I4" s="815">
        <v>1313599</v>
      </c>
      <c r="J4" s="1129">
        <v>1389412</v>
      </c>
    </row>
    <row r="5" spans="1:10" s="535" customFormat="1" x14ac:dyDescent="0.3">
      <c r="A5" s="531" t="s">
        <v>10</v>
      </c>
      <c r="B5" s="532" t="s">
        <v>11</v>
      </c>
      <c r="C5" s="532" t="s">
        <v>252</v>
      </c>
      <c r="D5" s="533">
        <v>7838</v>
      </c>
      <c r="E5" s="533">
        <v>7933</v>
      </c>
      <c r="F5" s="533">
        <v>8275</v>
      </c>
      <c r="G5" s="534">
        <v>8453</v>
      </c>
      <c r="H5" s="816">
        <v>8723</v>
      </c>
      <c r="I5" s="816">
        <v>8834</v>
      </c>
      <c r="J5" s="1130">
        <v>9118</v>
      </c>
    </row>
    <row r="6" spans="1:10" s="535" customFormat="1" x14ac:dyDescent="0.3">
      <c r="A6" s="531" t="s">
        <v>12</v>
      </c>
      <c r="B6" s="532" t="s">
        <v>13</v>
      </c>
      <c r="C6" s="532" t="s">
        <v>253</v>
      </c>
      <c r="D6" s="533">
        <v>8176</v>
      </c>
      <c r="E6" s="533">
        <v>8802</v>
      </c>
      <c r="F6" s="533">
        <v>9342</v>
      </c>
      <c r="G6" s="534">
        <v>9739</v>
      </c>
      <c r="H6" s="816">
        <v>10033</v>
      </c>
      <c r="I6" s="816">
        <v>10311</v>
      </c>
      <c r="J6" s="1130">
        <v>11019</v>
      </c>
    </row>
    <row r="7" spans="1:10" s="535" customFormat="1" x14ac:dyDescent="0.3">
      <c r="A7" s="531" t="s">
        <v>16</v>
      </c>
      <c r="B7" s="532" t="s">
        <v>285</v>
      </c>
      <c r="C7" s="532" t="s">
        <v>253</v>
      </c>
      <c r="D7" s="533">
        <v>4828</v>
      </c>
      <c r="E7" s="533">
        <v>4948</v>
      </c>
      <c r="F7" s="533">
        <v>5104</v>
      </c>
      <c r="G7" s="534">
        <v>5268</v>
      </c>
      <c r="H7" s="816">
        <v>5201</v>
      </c>
      <c r="I7" s="816">
        <v>5268</v>
      </c>
      <c r="J7" s="1130">
        <v>5544</v>
      </c>
    </row>
    <row r="8" spans="1:10" s="535" customFormat="1" x14ac:dyDescent="0.3">
      <c r="A8" s="531" t="s">
        <v>18</v>
      </c>
      <c r="B8" s="532" t="s">
        <v>19</v>
      </c>
      <c r="C8" s="532" t="s">
        <v>254</v>
      </c>
      <c r="D8" s="533">
        <v>2246</v>
      </c>
      <c r="E8" s="533">
        <v>2521</v>
      </c>
      <c r="F8" s="533">
        <v>2605</v>
      </c>
      <c r="G8" s="534">
        <v>2798</v>
      </c>
      <c r="H8" s="816">
        <v>2751</v>
      </c>
      <c r="I8" s="816">
        <v>2678</v>
      </c>
      <c r="J8" s="1130">
        <v>2712</v>
      </c>
    </row>
    <row r="9" spans="1:10" s="535" customFormat="1" x14ac:dyDescent="0.3">
      <c r="A9" s="531" t="s">
        <v>20</v>
      </c>
      <c r="B9" s="532" t="s">
        <v>21</v>
      </c>
      <c r="C9" s="532" t="s">
        <v>253</v>
      </c>
      <c r="D9" s="533">
        <v>5174</v>
      </c>
      <c r="E9" s="533">
        <v>5467</v>
      </c>
      <c r="F9" s="533">
        <v>5594</v>
      </c>
      <c r="G9" s="534">
        <v>5642</v>
      </c>
      <c r="H9" s="816">
        <v>5907</v>
      </c>
      <c r="I9" s="816">
        <v>5814</v>
      </c>
      <c r="J9" s="1130">
        <v>6134</v>
      </c>
    </row>
    <row r="10" spans="1:10" s="535" customFormat="1" x14ac:dyDescent="0.3">
      <c r="A10" s="531" t="s">
        <v>22</v>
      </c>
      <c r="B10" s="532" t="s">
        <v>23</v>
      </c>
      <c r="C10" s="532" t="s">
        <v>253</v>
      </c>
      <c r="D10" s="533">
        <v>2975</v>
      </c>
      <c r="E10" s="533">
        <v>3152</v>
      </c>
      <c r="F10" s="533">
        <v>3225</v>
      </c>
      <c r="G10" s="534">
        <v>3410</v>
      </c>
      <c r="H10" s="816">
        <v>3595</v>
      </c>
      <c r="I10" s="816">
        <v>3521</v>
      </c>
      <c r="J10" s="1130">
        <v>3731</v>
      </c>
    </row>
    <row r="11" spans="1:10" s="535" customFormat="1" x14ac:dyDescent="0.3">
      <c r="A11" s="531" t="s">
        <v>24</v>
      </c>
      <c r="B11" s="532" t="s">
        <v>25</v>
      </c>
      <c r="C11" s="532" t="s">
        <v>255</v>
      </c>
      <c r="D11" s="533">
        <v>12005</v>
      </c>
      <c r="E11" s="533">
        <v>12767</v>
      </c>
      <c r="F11" s="533">
        <v>13291</v>
      </c>
      <c r="G11" s="534">
        <v>13920</v>
      </c>
      <c r="H11" s="816">
        <v>14811</v>
      </c>
      <c r="I11" s="816">
        <v>15509</v>
      </c>
      <c r="J11" s="1130">
        <v>16707</v>
      </c>
    </row>
    <row r="12" spans="1:10" s="535" customFormat="1" x14ac:dyDescent="0.3">
      <c r="A12" s="531" t="s">
        <v>26</v>
      </c>
      <c r="B12" s="532" t="s">
        <v>547</v>
      </c>
      <c r="C12" s="532" t="s">
        <v>253</v>
      </c>
      <c r="D12" s="533">
        <v>18094</v>
      </c>
      <c r="E12" s="533">
        <v>19350</v>
      </c>
      <c r="F12" s="533">
        <v>20252</v>
      </c>
      <c r="G12" s="534">
        <v>21261</v>
      </c>
      <c r="H12" s="816">
        <v>22605</v>
      </c>
      <c r="I12" s="816">
        <v>22667</v>
      </c>
      <c r="J12" s="1130">
        <v>23088</v>
      </c>
    </row>
    <row r="13" spans="1:10" s="535" customFormat="1" x14ac:dyDescent="0.3">
      <c r="A13" s="531" t="s">
        <v>27</v>
      </c>
      <c r="B13" s="532" t="s">
        <v>28</v>
      </c>
      <c r="C13" s="532" t="s">
        <v>253</v>
      </c>
      <c r="D13" s="533">
        <v>581</v>
      </c>
      <c r="E13" s="533">
        <v>645</v>
      </c>
      <c r="F13" s="533">
        <v>700</v>
      </c>
      <c r="G13" s="534">
        <v>711</v>
      </c>
      <c r="H13" s="816">
        <v>794</v>
      </c>
      <c r="I13" s="816">
        <v>736</v>
      </c>
      <c r="J13" s="1130">
        <v>847</v>
      </c>
    </row>
    <row r="14" spans="1:10" s="535" customFormat="1" x14ac:dyDescent="0.3">
      <c r="A14" s="531" t="s">
        <v>29</v>
      </c>
      <c r="B14" s="532" t="s">
        <v>736</v>
      </c>
      <c r="C14" s="532" t="s">
        <v>253</v>
      </c>
      <c r="D14" s="533">
        <v>8794</v>
      </c>
      <c r="E14" s="533">
        <v>9666</v>
      </c>
      <c r="F14" s="533">
        <v>10011</v>
      </c>
      <c r="G14" s="534">
        <v>10434</v>
      </c>
      <c r="H14" s="816">
        <v>10773</v>
      </c>
      <c r="I14" s="816">
        <v>11727</v>
      </c>
      <c r="J14" s="1130">
        <v>11159</v>
      </c>
    </row>
    <row r="15" spans="1:10" s="535" customFormat="1" x14ac:dyDescent="0.3">
      <c r="A15" s="531" t="s">
        <v>30</v>
      </c>
      <c r="B15" s="532" t="s">
        <v>31</v>
      </c>
      <c r="C15" s="532" t="s">
        <v>256</v>
      </c>
      <c r="D15" s="533">
        <v>1012</v>
      </c>
      <c r="E15" s="533">
        <v>1033</v>
      </c>
      <c r="F15" s="533">
        <v>1013</v>
      </c>
      <c r="G15" s="534">
        <v>1072</v>
      </c>
      <c r="H15" s="816">
        <v>1141</v>
      </c>
      <c r="I15" s="816">
        <v>1071</v>
      </c>
      <c r="J15" s="1130">
        <v>1135</v>
      </c>
    </row>
    <row r="16" spans="1:10" s="535" customFormat="1" x14ac:dyDescent="0.3">
      <c r="A16" s="531" t="s">
        <v>32</v>
      </c>
      <c r="B16" s="532" t="s">
        <v>33</v>
      </c>
      <c r="C16" s="532" t="s">
        <v>253</v>
      </c>
      <c r="D16" s="533">
        <v>2552</v>
      </c>
      <c r="E16" s="533">
        <v>2753</v>
      </c>
      <c r="F16" s="533">
        <v>2765</v>
      </c>
      <c r="G16" s="534">
        <v>2911</v>
      </c>
      <c r="H16" s="816">
        <v>3022</v>
      </c>
      <c r="I16" s="816">
        <v>3149</v>
      </c>
      <c r="J16" s="1130">
        <v>3509</v>
      </c>
    </row>
    <row r="17" spans="1:10" s="535" customFormat="1" x14ac:dyDescent="0.3">
      <c r="A17" s="531" t="s">
        <v>36</v>
      </c>
      <c r="B17" s="532" t="s">
        <v>37</v>
      </c>
      <c r="C17" s="532" t="s">
        <v>252</v>
      </c>
      <c r="D17" s="533">
        <v>4252</v>
      </c>
      <c r="E17" s="533">
        <v>4356</v>
      </c>
      <c r="F17" s="533">
        <v>4431</v>
      </c>
      <c r="G17" s="534">
        <v>4447</v>
      </c>
      <c r="H17" s="816">
        <v>4598</v>
      </c>
      <c r="I17" s="816">
        <v>4694</v>
      </c>
      <c r="J17" s="1130">
        <v>4883</v>
      </c>
    </row>
    <row r="18" spans="1:10" s="535" customFormat="1" x14ac:dyDescent="0.3">
      <c r="A18" s="531" t="s">
        <v>38</v>
      </c>
      <c r="B18" s="532" t="s">
        <v>39</v>
      </c>
      <c r="C18" s="532" t="s">
        <v>256</v>
      </c>
      <c r="D18" s="533">
        <v>6675</v>
      </c>
      <c r="E18" s="533">
        <v>6666</v>
      </c>
      <c r="F18" s="533">
        <v>6581</v>
      </c>
      <c r="G18" s="534">
        <v>6599</v>
      </c>
      <c r="H18" s="816">
        <v>6789</v>
      </c>
      <c r="I18" s="816">
        <v>6755</v>
      </c>
      <c r="J18" s="1130">
        <v>6989</v>
      </c>
    </row>
    <row r="19" spans="1:10" s="535" customFormat="1" x14ac:dyDescent="0.3">
      <c r="A19" s="531" t="s">
        <v>40</v>
      </c>
      <c r="B19" s="532" t="s">
        <v>41</v>
      </c>
      <c r="C19" s="532" t="s">
        <v>254</v>
      </c>
      <c r="D19" s="533">
        <v>3183</v>
      </c>
      <c r="E19" s="533">
        <v>3390</v>
      </c>
      <c r="F19" s="533">
        <v>3515</v>
      </c>
      <c r="G19" s="534">
        <v>3661</v>
      </c>
      <c r="H19" s="816">
        <v>3855</v>
      </c>
      <c r="I19" s="816">
        <v>3873</v>
      </c>
      <c r="J19" s="1130">
        <v>4087</v>
      </c>
    </row>
    <row r="20" spans="1:10" s="535" customFormat="1" x14ac:dyDescent="0.3">
      <c r="A20" s="531" t="s">
        <v>42</v>
      </c>
      <c r="B20" s="532" t="s">
        <v>43</v>
      </c>
      <c r="C20" s="532" t="s">
        <v>253</v>
      </c>
      <c r="D20" s="533">
        <v>9260</v>
      </c>
      <c r="E20" s="533">
        <v>9829</v>
      </c>
      <c r="F20" s="533">
        <v>10297</v>
      </c>
      <c r="G20" s="534">
        <v>10702</v>
      </c>
      <c r="H20" s="816">
        <v>11112</v>
      </c>
      <c r="I20" s="816">
        <v>11215</v>
      </c>
      <c r="J20" s="1130">
        <v>11752</v>
      </c>
    </row>
    <row r="21" spans="1:10" s="535" customFormat="1" x14ac:dyDescent="0.3">
      <c r="A21" s="531" t="s">
        <v>44</v>
      </c>
      <c r="B21" s="532" t="s">
        <v>45</v>
      </c>
      <c r="C21" s="532" t="s">
        <v>254</v>
      </c>
      <c r="D21" s="533">
        <v>4948</v>
      </c>
      <c r="E21" s="533">
        <v>5235</v>
      </c>
      <c r="F21" s="533">
        <v>5427</v>
      </c>
      <c r="G21" s="534">
        <v>5688</v>
      </c>
      <c r="H21" s="816">
        <v>5852</v>
      </c>
      <c r="I21" s="816">
        <v>5813</v>
      </c>
      <c r="J21" s="1130">
        <v>6396</v>
      </c>
    </row>
    <row r="22" spans="1:10" s="535" customFormat="1" x14ac:dyDescent="0.3">
      <c r="A22" s="531" t="s">
        <v>46</v>
      </c>
      <c r="B22" s="532" t="s">
        <v>47</v>
      </c>
      <c r="C22" s="532" t="s">
        <v>256</v>
      </c>
      <c r="D22" s="533">
        <v>6445</v>
      </c>
      <c r="E22" s="533">
        <v>6690</v>
      </c>
      <c r="F22" s="533">
        <v>6980</v>
      </c>
      <c r="G22" s="534">
        <v>7218</v>
      </c>
      <c r="H22" s="816">
        <v>7309</v>
      </c>
      <c r="I22" s="816">
        <v>7237</v>
      </c>
      <c r="J22" s="1130">
        <v>7486</v>
      </c>
    </row>
    <row r="23" spans="1:10" s="535" customFormat="1" x14ac:dyDescent="0.3">
      <c r="A23" s="531" t="s">
        <v>48</v>
      </c>
      <c r="B23" s="532" t="s">
        <v>257</v>
      </c>
      <c r="C23" s="532" t="s">
        <v>254</v>
      </c>
      <c r="D23" s="533">
        <v>1111</v>
      </c>
      <c r="E23" s="533">
        <v>1161</v>
      </c>
      <c r="F23" s="533">
        <v>1216</v>
      </c>
      <c r="G23" s="534">
        <v>1224</v>
      </c>
      <c r="H23" s="816">
        <v>1262</v>
      </c>
      <c r="I23" s="816">
        <v>1227</v>
      </c>
      <c r="J23" s="1130">
        <v>1344</v>
      </c>
    </row>
    <row r="24" spans="1:10" s="535" customFormat="1" x14ac:dyDescent="0.3">
      <c r="A24" s="531" t="s">
        <v>50</v>
      </c>
      <c r="B24" s="532" t="s">
        <v>51</v>
      </c>
      <c r="C24" s="532" t="s">
        <v>253</v>
      </c>
      <c r="D24" s="533">
        <v>3207</v>
      </c>
      <c r="E24" s="533">
        <v>3258</v>
      </c>
      <c r="F24" s="533">
        <v>3332</v>
      </c>
      <c r="G24" s="534">
        <v>3389</v>
      </c>
      <c r="H24" s="816">
        <v>3384</v>
      </c>
      <c r="I24" s="816">
        <v>3295</v>
      </c>
      <c r="J24" s="1130">
        <v>3441</v>
      </c>
    </row>
    <row r="25" spans="1:10" s="535" customFormat="1" x14ac:dyDescent="0.3">
      <c r="A25" s="531" t="s">
        <v>56</v>
      </c>
      <c r="B25" s="532" t="s">
        <v>283</v>
      </c>
      <c r="C25" s="532" t="s">
        <v>254</v>
      </c>
      <c r="D25" s="533">
        <v>35855</v>
      </c>
      <c r="E25" s="533">
        <v>39703</v>
      </c>
      <c r="F25" s="533">
        <v>42522</v>
      </c>
      <c r="G25" s="534">
        <v>44327</v>
      </c>
      <c r="H25" s="816">
        <v>46644</v>
      </c>
      <c r="I25" s="816">
        <v>47977</v>
      </c>
      <c r="J25" s="1130">
        <v>52998</v>
      </c>
    </row>
    <row r="26" spans="1:10" s="535" customFormat="1" x14ac:dyDescent="0.3">
      <c r="A26" s="531" t="s">
        <v>58</v>
      </c>
      <c r="B26" s="532" t="s">
        <v>59</v>
      </c>
      <c r="C26" s="532" t="s">
        <v>255</v>
      </c>
      <c r="D26" s="533">
        <v>1146</v>
      </c>
      <c r="E26" s="533">
        <v>1243</v>
      </c>
      <c r="F26" s="533">
        <v>1250</v>
      </c>
      <c r="G26" s="534">
        <v>1266</v>
      </c>
      <c r="H26" s="816">
        <v>1329</v>
      </c>
      <c r="I26" s="816">
        <v>1366</v>
      </c>
      <c r="J26" s="1130">
        <v>1380</v>
      </c>
    </row>
    <row r="27" spans="1:10" s="535" customFormat="1" x14ac:dyDescent="0.3">
      <c r="A27" s="531" t="s">
        <v>60</v>
      </c>
      <c r="B27" s="532" t="s">
        <v>61</v>
      </c>
      <c r="C27" s="532" t="s">
        <v>253</v>
      </c>
      <c r="D27" s="533">
        <v>768</v>
      </c>
      <c r="E27" s="533">
        <v>856</v>
      </c>
      <c r="F27" s="533">
        <v>908</v>
      </c>
      <c r="G27" s="534">
        <v>931</v>
      </c>
      <c r="H27" s="816">
        <v>1004</v>
      </c>
      <c r="I27" s="816">
        <v>992</v>
      </c>
      <c r="J27" s="1130">
        <v>1091</v>
      </c>
    </row>
    <row r="28" spans="1:10" s="535" customFormat="1" x14ac:dyDescent="0.3">
      <c r="A28" s="531" t="s">
        <v>62</v>
      </c>
      <c r="B28" s="532" t="s">
        <v>63</v>
      </c>
      <c r="C28" s="532" t="s">
        <v>255</v>
      </c>
      <c r="D28" s="533">
        <v>6626</v>
      </c>
      <c r="E28" s="533">
        <v>7181</v>
      </c>
      <c r="F28" s="533">
        <v>7680</v>
      </c>
      <c r="G28" s="534">
        <v>8058</v>
      </c>
      <c r="H28" s="816">
        <v>8468</v>
      </c>
      <c r="I28" s="816">
        <v>8570</v>
      </c>
      <c r="J28" s="1130">
        <v>9104</v>
      </c>
    </row>
    <row r="29" spans="1:10" s="535" customFormat="1" x14ac:dyDescent="0.3">
      <c r="A29" s="531" t="s">
        <v>64</v>
      </c>
      <c r="B29" s="532" t="s">
        <v>65</v>
      </c>
      <c r="C29" s="532" t="s">
        <v>254</v>
      </c>
      <c r="D29" s="533">
        <v>2383</v>
      </c>
      <c r="E29" s="533">
        <v>2460</v>
      </c>
      <c r="F29" s="533">
        <v>2552</v>
      </c>
      <c r="G29" s="534">
        <v>2632</v>
      </c>
      <c r="H29" s="816">
        <v>2756</v>
      </c>
      <c r="I29" s="816">
        <v>2814</v>
      </c>
      <c r="J29" s="1130">
        <v>2900</v>
      </c>
    </row>
    <row r="30" spans="1:10" s="535" customFormat="1" x14ac:dyDescent="0.3">
      <c r="A30" s="531" t="s">
        <v>68</v>
      </c>
      <c r="B30" s="532" t="s">
        <v>69</v>
      </c>
      <c r="C30" s="532" t="s">
        <v>256</v>
      </c>
      <c r="D30" s="533">
        <v>4826</v>
      </c>
      <c r="E30" s="533">
        <v>4741</v>
      </c>
      <c r="F30" s="533">
        <v>4783</v>
      </c>
      <c r="G30" s="534">
        <v>4812</v>
      </c>
      <c r="H30" s="816">
        <v>4986</v>
      </c>
      <c r="I30" s="816">
        <v>4913</v>
      </c>
      <c r="J30" s="1130">
        <v>5086</v>
      </c>
    </row>
    <row r="31" spans="1:10" s="535" customFormat="1" x14ac:dyDescent="0.3">
      <c r="A31" s="531" t="s">
        <v>70</v>
      </c>
      <c r="B31" s="532" t="s">
        <v>71</v>
      </c>
      <c r="C31" s="532" t="s">
        <v>252</v>
      </c>
      <c r="D31" s="533">
        <v>4897</v>
      </c>
      <c r="E31" s="533">
        <v>5141</v>
      </c>
      <c r="F31" s="533">
        <v>5363</v>
      </c>
      <c r="G31" s="534">
        <v>5597</v>
      </c>
      <c r="H31" s="816">
        <v>5744</v>
      </c>
      <c r="I31" s="816">
        <v>5702</v>
      </c>
      <c r="J31" s="1130">
        <v>6145</v>
      </c>
    </row>
    <row r="32" spans="1:10" s="535" customFormat="1" x14ac:dyDescent="0.3">
      <c r="A32" s="531" t="s">
        <v>72</v>
      </c>
      <c r="B32" s="532" t="s">
        <v>73</v>
      </c>
      <c r="C32" s="532" t="s">
        <v>254</v>
      </c>
      <c r="D32" s="533">
        <v>2500</v>
      </c>
      <c r="E32" s="533">
        <v>2606</v>
      </c>
      <c r="F32" s="533">
        <v>2734</v>
      </c>
      <c r="G32" s="534">
        <v>2886</v>
      </c>
      <c r="H32" s="816">
        <v>2966</v>
      </c>
      <c r="I32" s="816">
        <v>2901</v>
      </c>
      <c r="J32" s="1130">
        <v>3036</v>
      </c>
    </row>
    <row r="33" spans="1:10" s="535" customFormat="1" x14ac:dyDescent="0.3">
      <c r="A33" s="531" t="s">
        <v>74</v>
      </c>
      <c r="B33" s="532" t="s">
        <v>284</v>
      </c>
      <c r="C33" s="532" t="s">
        <v>255</v>
      </c>
      <c r="D33" s="533">
        <v>75812</v>
      </c>
      <c r="E33" s="533">
        <v>84858</v>
      </c>
      <c r="F33" s="533">
        <v>92407</v>
      </c>
      <c r="G33" s="534">
        <v>93029</v>
      </c>
      <c r="H33" s="816">
        <v>98429</v>
      </c>
      <c r="I33" s="816">
        <v>100667</v>
      </c>
      <c r="J33" s="1130">
        <v>109634</v>
      </c>
    </row>
    <row r="34" spans="1:10" s="535" customFormat="1" x14ac:dyDescent="0.3">
      <c r="A34" s="531" t="s">
        <v>76</v>
      </c>
      <c r="B34" s="532" t="s">
        <v>77</v>
      </c>
      <c r="C34" s="532" t="s">
        <v>255</v>
      </c>
      <c r="D34" s="533">
        <v>5699</v>
      </c>
      <c r="E34" s="533">
        <v>6253</v>
      </c>
      <c r="F34" s="533">
        <v>6341</v>
      </c>
      <c r="G34" s="534">
        <v>6717</v>
      </c>
      <c r="H34" s="816">
        <v>7064</v>
      </c>
      <c r="I34" s="816">
        <v>7051</v>
      </c>
      <c r="J34" s="1130">
        <v>7690</v>
      </c>
    </row>
    <row r="35" spans="1:10" s="535" customFormat="1" x14ac:dyDescent="0.3">
      <c r="A35" s="531" t="s">
        <v>78</v>
      </c>
      <c r="B35" s="532" t="s">
        <v>79</v>
      </c>
      <c r="C35" s="532" t="s">
        <v>256</v>
      </c>
      <c r="D35" s="533">
        <v>2390</v>
      </c>
      <c r="E35" s="533">
        <v>2606</v>
      </c>
      <c r="F35" s="533">
        <v>2757</v>
      </c>
      <c r="G35" s="534">
        <v>2879</v>
      </c>
      <c r="H35" s="816">
        <v>2997</v>
      </c>
      <c r="I35" s="816">
        <v>2979</v>
      </c>
      <c r="J35" s="1130">
        <v>3154</v>
      </c>
    </row>
    <row r="36" spans="1:10" s="535" customFormat="1" x14ac:dyDescent="0.3">
      <c r="A36" s="531" t="s">
        <v>80</v>
      </c>
      <c r="B36" s="532" t="s">
        <v>81</v>
      </c>
      <c r="C36" s="532" t="s">
        <v>254</v>
      </c>
      <c r="D36" s="533">
        <v>2221</v>
      </c>
      <c r="E36" s="533">
        <v>2414</v>
      </c>
      <c r="F36" s="533">
        <v>2576</v>
      </c>
      <c r="G36" s="534">
        <v>2788</v>
      </c>
      <c r="H36" s="816">
        <v>3055</v>
      </c>
      <c r="I36" s="816">
        <v>3091</v>
      </c>
      <c r="J36" s="1130">
        <v>3269</v>
      </c>
    </row>
    <row r="37" spans="1:10" s="535" customFormat="1" x14ac:dyDescent="0.3">
      <c r="A37" s="531" t="s">
        <v>84</v>
      </c>
      <c r="B37" s="532" t="s">
        <v>85</v>
      </c>
      <c r="C37" s="532" t="s">
        <v>253</v>
      </c>
      <c r="D37" s="533">
        <v>9262</v>
      </c>
      <c r="E37" s="533">
        <v>9646</v>
      </c>
      <c r="F37" s="533">
        <v>9931</v>
      </c>
      <c r="G37" s="534">
        <v>10534</v>
      </c>
      <c r="H37" s="816">
        <v>10836</v>
      </c>
      <c r="I37" s="816">
        <v>10648</v>
      </c>
      <c r="J37" s="1130">
        <v>11100</v>
      </c>
    </row>
    <row r="38" spans="1:10" s="535" customFormat="1" x14ac:dyDescent="0.3">
      <c r="A38" s="531" t="s">
        <v>86</v>
      </c>
      <c r="B38" s="532" t="s">
        <v>87</v>
      </c>
      <c r="C38" s="532" t="s">
        <v>255</v>
      </c>
      <c r="D38" s="533">
        <v>8033</v>
      </c>
      <c r="E38" s="533">
        <v>9008</v>
      </c>
      <c r="F38" s="533">
        <v>10014</v>
      </c>
      <c r="G38" s="534">
        <v>10594</v>
      </c>
      <c r="H38" s="816">
        <v>11299</v>
      </c>
      <c r="I38" s="816">
        <v>11379</v>
      </c>
      <c r="J38" s="1130">
        <v>11993</v>
      </c>
    </row>
    <row r="39" spans="1:10" s="535" customFormat="1" x14ac:dyDescent="0.3">
      <c r="A39" s="531" t="s">
        <v>92</v>
      </c>
      <c r="B39" s="532" t="s">
        <v>93</v>
      </c>
      <c r="C39" s="532" t="s">
        <v>256</v>
      </c>
      <c r="D39" s="533">
        <v>3194</v>
      </c>
      <c r="E39" s="533">
        <v>3335</v>
      </c>
      <c r="F39" s="533">
        <v>3529</v>
      </c>
      <c r="G39" s="534">
        <v>3525</v>
      </c>
      <c r="H39" s="816">
        <v>3480</v>
      </c>
      <c r="I39" s="816">
        <v>3563</v>
      </c>
      <c r="J39" s="1130">
        <v>3854</v>
      </c>
    </row>
    <row r="40" spans="1:10" s="535" customFormat="1" x14ac:dyDescent="0.3">
      <c r="A40" s="531" t="s">
        <v>94</v>
      </c>
      <c r="B40" s="532" t="s">
        <v>95</v>
      </c>
      <c r="C40" s="532" t="s">
        <v>252</v>
      </c>
      <c r="D40" s="533">
        <v>4441</v>
      </c>
      <c r="E40" s="533">
        <v>4854</v>
      </c>
      <c r="F40" s="533">
        <v>5019</v>
      </c>
      <c r="G40" s="534">
        <v>5270</v>
      </c>
      <c r="H40" s="816">
        <v>5430</v>
      </c>
      <c r="I40" s="816">
        <v>5549</v>
      </c>
      <c r="J40" s="1130">
        <v>5882</v>
      </c>
    </row>
    <row r="41" spans="1:10" s="535" customFormat="1" x14ac:dyDescent="0.3">
      <c r="A41" s="531" t="s">
        <v>96</v>
      </c>
      <c r="B41" s="532" t="s">
        <v>97</v>
      </c>
      <c r="C41" s="532" t="s">
        <v>254</v>
      </c>
      <c r="D41" s="533">
        <v>1610</v>
      </c>
      <c r="E41" s="533">
        <v>1710</v>
      </c>
      <c r="F41" s="533">
        <v>1846</v>
      </c>
      <c r="G41" s="534">
        <v>1847</v>
      </c>
      <c r="H41" s="816">
        <v>1930</v>
      </c>
      <c r="I41" s="816">
        <v>1965</v>
      </c>
      <c r="J41" s="1130">
        <v>2153</v>
      </c>
    </row>
    <row r="42" spans="1:10" s="535" customFormat="1" x14ac:dyDescent="0.3">
      <c r="A42" s="531" t="s">
        <v>98</v>
      </c>
      <c r="B42" s="532" t="s">
        <v>99</v>
      </c>
      <c r="C42" s="532" t="s">
        <v>256</v>
      </c>
      <c r="D42" s="533">
        <v>3701</v>
      </c>
      <c r="E42" s="533">
        <v>3745</v>
      </c>
      <c r="F42" s="533">
        <v>3855</v>
      </c>
      <c r="G42" s="534">
        <v>3956</v>
      </c>
      <c r="H42" s="816">
        <v>4123</v>
      </c>
      <c r="I42" s="816">
        <v>4094</v>
      </c>
      <c r="J42" s="1130">
        <v>4204</v>
      </c>
    </row>
    <row r="43" spans="1:10" s="535" customFormat="1" x14ac:dyDescent="0.3">
      <c r="A43" s="531" t="s">
        <v>100</v>
      </c>
      <c r="B43" s="532" t="s">
        <v>101</v>
      </c>
      <c r="C43" s="532" t="s">
        <v>255</v>
      </c>
      <c r="D43" s="533">
        <v>2456</v>
      </c>
      <c r="E43" s="533">
        <v>2711</v>
      </c>
      <c r="F43" s="533">
        <v>2814</v>
      </c>
      <c r="G43" s="534">
        <v>2943</v>
      </c>
      <c r="H43" s="816">
        <v>3142</v>
      </c>
      <c r="I43" s="816">
        <v>3216</v>
      </c>
      <c r="J43" s="1130">
        <v>3371</v>
      </c>
    </row>
    <row r="44" spans="1:10" s="535" customFormat="1" x14ac:dyDescent="0.3">
      <c r="A44" s="531" t="s">
        <v>102</v>
      </c>
      <c r="B44" s="532" t="s">
        <v>270</v>
      </c>
      <c r="C44" s="532" t="s">
        <v>252</v>
      </c>
      <c r="D44" s="533">
        <v>4538</v>
      </c>
      <c r="E44" s="533">
        <v>4651</v>
      </c>
      <c r="F44" s="533">
        <v>4913</v>
      </c>
      <c r="G44" s="534">
        <v>5090</v>
      </c>
      <c r="H44" s="816">
        <v>5264</v>
      </c>
      <c r="I44" s="816">
        <v>5214</v>
      </c>
      <c r="J44" s="1130">
        <v>5555</v>
      </c>
    </row>
    <row r="45" spans="1:10" s="535" customFormat="1" x14ac:dyDescent="0.3">
      <c r="A45" s="531" t="s">
        <v>104</v>
      </c>
      <c r="B45" s="532" t="s">
        <v>105</v>
      </c>
      <c r="C45" s="532" t="s">
        <v>253</v>
      </c>
      <c r="D45" s="533">
        <v>8753</v>
      </c>
      <c r="E45" s="533">
        <v>9055</v>
      </c>
      <c r="F45" s="533">
        <v>9295</v>
      </c>
      <c r="G45" s="534">
        <v>9493</v>
      </c>
      <c r="H45" s="816">
        <v>9608</v>
      </c>
      <c r="I45" s="816">
        <v>9623</v>
      </c>
      <c r="J45" s="1130">
        <v>10065</v>
      </c>
    </row>
    <row r="46" spans="1:10" s="535" customFormat="1" x14ac:dyDescent="0.3">
      <c r="A46" s="531" t="s">
        <v>108</v>
      </c>
      <c r="B46" s="532" t="s">
        <v>109</v>
      </c>
      <c r="C46" s="532" t="s">
        <v>254</v>
      </c>
      <c r="D46" s="533">
        <v>6854</v>
      </c>
      <c r="E46" s="533">
        <v>7567</v>
      </c>
      <c r="F46" s="533">
        <v>8063</v>
      </c>
      <c r="G46" s="534">
        <v>8392</v>
      </c>
      <c r="H46" s="816">
        <v>8666</v>
      </c>
      <c r="I46" s="816">
        <v>8913</v>
      </c>
      <c r="J46" s="1130">
        <v>9663</v>
      </c>
    </row>
    <row r="47" spans="1:10" s="535" customFormat="1" x14ac:dyDescent="0.3">
      <c r="A47" s="531" t="s">
        <v>110</v>
      </c>
      <c r="B47" s="532" t="s">
        <v>111</v>
      </c>
      <c r="C47" s="532" t="s">
        <v>254</v>
      </c>
      <c r="D47" s="533">
        <v>35618</v>
      </c>
      <c r="E47" s="533">
        <v>39553</v>
      </c>
      <c r="F47" s="533">
        <v>42070</v>
      </c>
      <c r="G47" s="534">
        <v>44367</v>
      </c>
      <c r="H47" s="816">
        <v>46486</v>
      </c>
      <c r="I47" s="816">
        <v>47798</v>
      </c>
      <c r="J47" s="1130">
        <v>49934</v>
      </c>
    </row>
    <row r="48" spans="1:10" s="535" customFormat="1" x14ac:dyDescent="0.3">
      <c r="A48" s="531" t="s">
        <v>112</v>
      </c>
      <c r="B48" s="532" t="s">
        <v>288</v>
      </c>
      <c r="C48" s="532" t="s">
        <v>253</v>
      </c>
      <c r="D48" s="533">
        <v>17644</v>
      </c>
      <c r="E48" s="533">
        <v>18295</v>
      </c>
      <c r="F48" s="533">
        <v>18853</v>
      </c>
      <c r="G48" s="534">
        <v>20095</v>
      </c>
      <c r="H48" s="816">
        <v>20770</v>
      </c>
      <c r="I48" s="816">
        <v>20831</v>
      </c>
      <c r="J48" s="1130">
        <v>21857</v>
      </c>
    </row>
    <row r="49" spans="1:10" s="535" customFormat="1" x14ac:dyDescent="0.3">
      <c r="A49" s="531" t="s">
        <v>114</v>
      </c>
      <c r="B49" s="532" t="s">
        <v>115</v>
      </c>
      <c r="C49" s="532" t="s">
        <v>253</v>
      </c>
      <c r="D49" s="533">
        <v>275</v>
      </c>
      <c r="E49" s="533">
        <v>261</v>
      </c>
      <c r="F49" s="533">
        <v>287</v>
      </c>
      <c r="G49" s="534">
        <v>295</v>
      </c>
      <c r="H49" s="816">
        <v>267</v>
      </c>
      <c r="I49" s="816">
        <v>351</v>
      </c>
      <c r="J49" s="1130">
        <v>442</v>
      </c>
    </row>
    <row r="50" spans="1:10" s="535" customFormat="1" x14ac:dyDescent="0.3">
      <c r="A50" s="531" t="s">
        <v>118</v>
      </c>
      <c r="B50" s="532" t="s">
        <v>258</v>
      </c>
      <c r="C50" s="532" t="s">
        <v>252</v>
      </c>
      <c r="D50" s="533">
        <v>4709</v>
      </c>
      <c r="E50" s="533">
        <v>4874</v>
      </c>
      <c r="F50" s="533">
        <v>5101</v>
      </c>
      <c r="G50" s="534">
        <v>5242</v>
      </c>
      <c r="H50" s="816">
        <v>5453</v>
      </c>
      <c r="I50" s="816">
        <v>5323</v>
      </c>
      <c r="J50" s="1130">
        <v>5693</v>
      </c>
    </row>
    <row r="51" spans="1:10" s="535" customFormat="1" x14ac:dyDescent="0.3">
      <c r="A51" s="531" t="s">
        <v>120</v>
      </c>
      <c r="B51" s="532" t="s">
        <v>121</v>
      </c>
      <c r="C51" s="532" t="s">
        <v>252</v>
      </c>
      <c r="D51" s="533">
        <v>5508</v>
      </c>
      <c r="E51" s="533">
        <v>5830</v>
      </c>
      <c r="F51" s="533">
        <v>6130</v>
      </c>
      <c r="G51" s="534">
        <v>6540</v>
      </c>
      <c r="H51" s="816">
        <v>6928</v>
      </c>
      <c r="I51" s="816">
        <v>7079</v>
      </c>
      <c r="J51" s="1130">
        <v>7542</v>
      </c>
    </row>
    <row r="52" spans="1:10" s="535" customFormat="1" x14ac:dyDescent="0.3">
      <c r="A52" s="531" t="s">
        <v>122</v>
      </c>
      <c r="B52" s="532" t="s">
        <v>275</v>
      </c>
      <c r="C52" s="532" t="s">
        <v>254</v>
      </c>
      <c r="D52" s="533">
        <v>1384</v>
      </c>
      <c r="E52" s="533">
        <v>1512</v>
      </c>
      <c r="F52" s="533">
        <v>1551</v>
      </c>
      <c r="G52" s="534">
        <v>1573</v>
      </c>
      <c r="H52" s="816">
        <v>1638</v>
      </c>
      <c r="I52" s="816">
        <v>1720</v>
      </c>
      <c r="J52" s="1130">
        <v>1765</v>
      </c>
    </row>
    <row r="53" spans="1:10" s="535" customFormat="1" x14ac:dyDescent="0.3">
      <c r="A53" s="531" t="s">
        <v>124</v>
      </c>
      <c r="B53" s="532" t="s">
        <v>125</v>
      </c>
      <c r="C53" s="532" t="s">
        <v>255</v>
      </c>
      <c r="D53" s="533">
        <v>2611</v>
      </c>
      <c r="E53" s="533">
        <v>2863</v>
      </c>
      <c r="F53" s="533">
        <v>3263</v>
      </c>
      <c r="G53" s="534">
        <v>3559</v>
      </c>
      <c r="H53" s="816">
        <v>3685</v>
      </c>
      <c r="I53" s="816">
        <v>3720</v>
      </c>
      <c r="J53" s="1130">
        <v>3985</v>
      </c>
    </row>
    <row r="54" spans="1:10" s="535" customFormat="1" x14ac:dyDescent="0.3">
      <c r="A54" s="531" t="s">
        <v>126</v>
      </c>
      <c r="B54" s="532" t="s">
        <v>127</v>
      </c>
      <c r="C54" s="532" t="s">
        <v>254</v>
      </c>
      <c r="D54" s="533">
        <v>1893</v>
      </c>
      <c r="E54" s="533">
        <v>2108</v>
      </c>
      <c r="F54" s="533">
        <v>2304</v>
      </c>
      <c r="G54" s="534">
        <v>2499</v>
      </c>
      <c r="H54" s="816">
        <v>2536</v>
      </c>
      <c r="I54" s="816">
        <v>2563</v>
      </c>
      <c r="J54" s="1130">
        <v>2623</v>
      </c>
    </row>
    <row r="55" spans="1:10" s="535" customFormat="1" x14ac:dyDescent="0.3">
      <c r="A55" s="531" t="s">
        <v>128</v>
      </c>
      <c r="B55" s="532" t="s">
        <v>129</v>
      </c>
      <c r="C55" s="532" t="s">
        <v>254</v>
      </c>
      <c r="D55" s="533">
        <v>1959</v>
      </c>
      <c r="E55" s="533">
        <v>2012</v>
      </c>
      <c r="F55" s="533">
        <v>2116</v>
      </c>
      <c r="G55" s="534">
        <v>2213</v>
      </c>
      <c r="H55" s="816">
        <v>2298</v>
      </c>
      <c r="I55" s="816">
        <v>2289</v>
      </c>
      <c r="J55" s="1130">
        <v>2376</v>
      </c>
    </row>
    <row r="56" spans="1:10" s="535" customFormat="1" x14ac:dyDescent="0.3">
      <c r="A56" s="531" t="s">
        <v>130</v>
      </c>
      <c r="B56" s="532" t="s">
        <v>131</v>
      </c>
      <c r="C56" s="532" t="s">
        <v>256</v>
      </c>
      <c r="D56" s="533">
        <v>7825</v>
      </c>
      <c r="E56" s="533">
        <v>7866</v>
      </c>
      <c r="F56" s="533">
        <v>7907</v>
      </c>
      <c r="G56" s="534">
        <v>8111</v>
      </c>
      <c r="H56" s="816">
        <v>8264</v>
      </c>
      <c r="I56" s="816">
        <v>8287</v>
      </c>
      <c r="J56" s="1130">
        <v>8384</v>
      </c>
    </row>
    <row r="57" spans="1:10" s="535" customFormat="1" x14ac:dyDescent="0.3">
      <c r="A57" s="531" t="s">
        <v>132</v>
      </c>
      <c r="B57" s="532" t="s">
        <v>133</v>
      </c>
      <c r="C57" s="532" t="s">
        <v>255</v>
      </c>
      <c r="D57" s="533">
        <v>13527</v>
      </c>
      <c r="E57" s="533">
        <v>15547</v>
      </c>
      <c r="F57" s="533">
        <v>17321</v>
      </c>
      <c r="G57" s="534">
        <v>18721</v>
      </c>
      <c r="H57" s="816">
        <v>20358</v>
      </c>
      <c r="I57" s="816">
        <v>21076</v>
      </c>
      <c r="J57" s="1130">
        <v>24210</v>
      </c>
    </row>
    <row r="58" spans="1:10" s="535" customFormat="1" x14ac:dyDescent="0.3">
      <c r="A58" s="531" t="s">
        <v>134</v>
      </c>
      <c r="B58" s="532" t="s">
        <v>135</v>
      </c>
      <c r="C58" s="532" t="s">
        <v>255</v>
      </c>
      <c r="D58" s="533">
        <v>4734</v>
      </c>
      <c r="E58" s="533">
        <v>5158</v>
      </c>
      <c r="F58" s="533">
        <v>5533</v>
      </c>
      <c r="G58" s="534">
        <v>5794</v>
      </c>
      <c r="H58" s="816">
        <v>6083</v>
      </c>
      <c r="I58" s="816">
        <v>6281</v>
      </c>
      <c r="J58" s="1130">
        <v>6853</v>
      </c>
    </row>
    <row r="59" spans="1:10" s="535" customFormat="1" x14ac:dyDescent="0.3">
      <c r="A59" s="531" t="s">
        <v>136</v>
      </c>
      <c r="B59" s="532" t="s">
        <v>137</v>
      </c>
      <c r="C59" s="532" t="s">
        <v>254</v>
      </c>
      <c r="D59" s="533">
        <v>2964</v>
      </c>
      <c r="E59" s="533">
        <v>2969</v>
      </c>
      <c r="F59" s="533">
        <v>3156</v>
      </c>
      <c r="G59" s="534">
        <v>3163</v>
      </c>
      <c r="H59" s="816">
        <v>3160</v>
      </c>
      <c r="I59" s="816">
        <v>3264</v>
      </c>
      <c r="J59" s="1130">
        <v>3422</v>
      </c>
    </row>
    <row r="60" spans="1:10" s="535" customFormat="1" x14ac:dyDescent="0.3">
      <c r="A60" s="531" t="s">
        <v>140</v>
      </c>
      <c r="B60" s="532" t="s">
        <v>141</v>
      </c>
      <c r="C60" s="532" t="s">
        <v>255</v>
      </c>
      <c r="D60" s="533">
        <v>1705</v>
      </c>
      <c r="E60" s="533">
        <v>1925</v>
      </c>
      <c r="F60" s="533">
        <v>2021</v>
      </c>
      <c r="G60" s="534">
        <v>2143</v>
      </c>
      <c r="H60" s="816">
        <v>2306</v>
      </c>
      <c r="I60" s="816">
        <v>2312</v>
      </c>
      <c r="J60" s="1130">
        <v>2483</v>
      </c>
    </row>
    <row r="61" spans="1:10" s="535" customFormat="1" x14ac:dyDescent="0.3">
      <c r="A61" s="531" t="s">
        <v>146</v>
      </c>
      <c r="B61" s="532" t="s">
        <v>147</v>
      </c>
      <c r="C61" s="532" t="s">
        <v>252</v>
      </c>
      <c r="D61" s="533">
        <v>1066</v>
      </c>
      <c r="E61" s="533">
        <v>1162</v>
      </c>
      <c r="F61" s="533">
        <v>1164</v>
      </c>
      <c r="G61" s="534">
        <v>1206</v>
      </c>
      <c r="H61" s="816">
        <v>1249</v>
      </c>
      <c r="I61" s="816">
        <v>1254</v>
      </c>
      <c r="J61" s="1130">
        <v>1352</v>
      </c>
    </row>
    <row r="62" spans="1:10" s="535" customFormat="1" x14ac:dyDescent="0.3">
      <c r="A62" s="531" t="s">
        <v>148</v>
      </c>
      <c r="B62" s="532" t="s">
        <v>149</v>
      </c>
      <c r="C62" s="532" t="s">
        <v>253</v>
      </c>
      <c r="D62" s="533">
        <v>6628</v>
      </c>
      <c r="E62" s="533">
        <v>6924</v>
      </c>
      <c r="F62" s="533">
        <v>7151</v>
      </c>
      <c r="G62" s="534">
        <v>7468</v>
      </c>
      <c r="H62" s="816">
        <v>7722</v>
      </c>
      <c r="I62" s="816">
        <v>7792</v>
      </c>
      <c r="J62" s="1130">
        <v>7996</v>
      </c>
    </row>
    <row r="63" spans="1:10" s="535" customFormat="1" x14ac:dyDescent="0.3">
      <c r="A63" s="531" t="s">
        <v>150</v>
      </c>
      <c r="B63" s="532" t="s">
        <v>151</v>
      </c>
      <c r="C63" s="532" t="s">
        <v>254</v>
      </c>
      <c r="D63" s="533">
        <v>1547</v>
      </c>
      <c r="E63" s="533">
        <v>1614</v>
      </c>
      <c r="F63" s="533">
        <v>1767</v>
      </c>
      <c r="G63" s="534">
        <v>2018</v>
      </c>
      <c r="H63" s="816">
        <v>2100</v>
      </c>
      <c r="I63" s="816">
        <v>2108</v>
      </c>
      <c r="J63" s="1130">
        <v>2268</v>
      </c>
    </row>
    <row r="64" spans="1:10" s="535" customFormat="1" x14ac:dyDescent="0.3">
      <c r="A64" s="531" t="s">
        <v>152</v>
      </c>
      <c r="B64" s="532" t="s">
        <v>153</v>
      </c>
      <c r="C64" s="532" t="s">
        <v>256</v>
      </c>
      <c r="D64" s="533">
        <v>9697</v>
      </c>
      <c r="E64" s="533">
        <v>10197</v>
      </c>
      <c r="F64" s="533">
        <v>10461</v>
      </c>
      <c r="G64" s="534">
        <v>10787</v>
      </c>
      <c r="H64" s="816">
        <v>11158</v>
      </c>
      <c r="I64" s="816">
        <v>11243</v>
      </c>
      <c r="J64" s="1130">
        <v>11453</v>
      </c>
    </row>
    <row r="65" spans="1:10" s="535" customFormat="1" x14ac:dyDescent="0.3">
      <c r="A65" s="531" t="s">
        <v>154</v>
      </c>
      <c r="B65" s="532" t="s">
        <v>155</v>
      </c>
      <c r="C65" s="532" t="s">
        <v>253</v>
      </c>
      <c r="D65" s="533">
        <v>2711</v>
      </c>
      <c r="E65" s="533">
        <v>2812</v>
      </c>
      <c r="F65" s="533">
        <v>2904</v>
      </c>
      <c r="G65" s="534">
        <v>3017</v>
      </c>
      <c r="H65" s="816">
        <v>3094</v>
      </c>
      <c r="I65" s="816">
        <v>3113</v>
      </c>
      <c r="J65" s="1130">
        <v>3327</v>
      </c>
    </row>
    <row r="66" spans="1:10" s="535" customFormat="1" x14ac:dyDescent="0.3">
      <c r="A66" s="531" t="s">
        <v>156</v>
      </c>
      <c r="B66" s="532" t="s">
        <v>157</v>
      </c>
      <c r="C66" s="532" t="s">
        <v>254</v>
      </c>
      <c r="D66" s="533">
        <v>1293</v>
      </c>
      <c r="E66" s="533">
        <v>1499</v>
      </c>
      <c r="F66" s="533">
        <v>1602</v>
      </c>
      <c r="G66" s="534">
        <v>1778</v>
      </c>
      <c r="H66" s="816">
        <v>1812</v>
      </c>
      <c r="I66" s="816">
        <v>1879</v>
      </c>
      <c r="J66" s="1130">
        <v>2187</v>
      </c>
    </row>
    <row r="67" spans="1:10" s="535" customFormat="1" x14ac:dyDescent="0.3">
      <c r="A67" s="531" t="s">
        <v>162</v>
      </c>
      <c r="B67" s="532" t="s">
        <v>163</v>
      </c>
      <c r="C67" s="532" t="s">
        <v>252</v>
      </c>
      <c r="D67" s="533">
        <v>3586</v>
      </c>
      <c r="E67" s="533">
        <v>3602</v>
      </c>
      <c r="F67" s="533">
        <v>3685</v>
      </c>
      <c r="G67" s="534">
        <v>3771</v>
      </c>
      <c r="H67" s="816">
        <v>3905</v>
      </c>
      <c r="I67" s="816">
        <v>3874</v>
      </c>
      <c r="J67" s="1130">
        <v>3933</v>
      </c>
    </row>
    <row r="68" spans="1:10" s="535" customFormat="1" x14ac:dyDescent="0.3">
      <c r="A68" s="531" t="s">
        <v>164</v>
      </c>
      <c r="B68" s="532" t="s">
        <v>165</v>
      </c>
      <c r="C68" s="532" t="s">
        <v>254</v>
      </c>
      <c r="D68" s="533">
        <v>1835</v>
      </c>
      <c r="E68" s="533">
        <v>1998</v>
      </c>
      <c r="F68" s="533">
        <v>2101</v>
      </c>
      <c r="G68" s="534">
        <v>2234</v>
      </c>
      <c r="H68" s="816">
        <v>2458</v>
      </c>
      <c r="I68" s="816">
        <v>2492</v>
      </c>
      <c r="J68" s="1130">
        <v>2579</v>
      </c>
    </row>
    <row r="69" spans="1:10" s="535" customFormat="1" x14ac:dyDescent="0.3">
      <c r="A69" s="531" t="s">
        <v>168</v>
      </c>
      <c r="B69" s="532" t="s">
        <v>169</v>
      </c>
      <c r="C69" s="532" t="s">
        <v>254</v>
      </c>
      <c r="D69" s="533">
        <v>3728</v>
      </c>
      <c r="E69" s="533">
        <v>3802</v>
      </c>
      <c r="F69" s="533">
        <v>4039</v>
      </c>
      <c r="G69" s="534">
        <v>4252</v>
      </c>
      <c r="H69" s="816">
        <v>4410</v>
      </c>
      <c r="I69" s="816">
        <v>4431</v>
      </c>
      <c r="J69" s="1130">
        <v>4600</v>
      </c>
    </row>
    <row r="70" spans="1:10" s="535" customFormat="1" x14ac:dyDescent="0.3">
      <c r="A70" s="531" t="s">
        <v>170</v>
      </c>
      <c r="B70" s="532" t="s">
        <v>171</v>
      </c>
      <c r="C70" s="532" t="s">
        <v>255</v>
      </c>
      <c r="D70" s="533">
        <v>4386</v>
      </c>
      <c r="E70" s="533">
        <v>4670</v>
      </c>
      <c r="F70" s="533">
        <v>4928</v>
      </c>
      <c r="G70" s="534">
        <v>5150</v>
      </c>
      <c r="H70" s="816">
        <v>5445</v>
      </c>
      <c r="I70" s="816">
        <v>5604</v>
      </c>
      <c r="J70" s="1130">
        <v>6030</v>
      </c>
    </row>
    <row r="71" spans="1:10" s="535" customFormat="1" x14ac:dyDescent="0.3">
      <c r="A71" s="531" t="s">
        <v>172</v>
      </c>
      <c r="B71" s="532" t="s">
        <v>173</v>
      </c>
      <c r="C71" s="532" t="s">
        <v>255</v>
      </c>
      <c r="D71" s="533">
        <v>4471</v>
      </c>
      <c r="E71" s="533">
        <v>4781</v>
      </c>
      <c r="F71" s="533">
        <v>4859</v>
      </c>
      <c r="G71" s="534">
        <v>5128</v>
      </c>
      <c r="H71" s="816">
        <v>5306</v>
      </c>
      <c r="I71" s="816">
        <v>5237</v>
      </c>
      <c r="J71" s="1130">
        <v>5512</v>
      </c>
    </row>
    <row r="72" spans="1:10" s="535" customFormat="1" x14ac:dyDescent="0.3">
      <c r="A72" s="531" t="s">
        <v>174</v>
      </c>
      <c r="B72" s="532" t="s">
        <v>175</v>
      </c>
      <c r="C72" s="532" t="s">
        <v>256</v>
      </c>
      <c r="D72" s="533">
        <v>4334</v>
      </c>
      <c r="E72" s="533">
        <v>4332</v>
      </c>
      <c r="F72" s="533">
        <v>4497</v>
      </c>
      <c r="G72" s="534">
        <v>4727</v>
      </c>
      <c r="H72" s="816">
        <v>4850</v>
      </c>
      <c r="I72" s="816">
        <v>4753</v>
      </c>
      <c r="J72" s="1130">
        <v>4882</v>
      </c>
    </row>
    <row r="73" spans="1:10" s="535" customFormat="1" x14ac:dyDescent="0.3">
      <c r="A73" s="531" t="s">
        <v>178</v>
      </c>
      <c r="B73" s="532" t="s">
        <v>179</v>
      </c>
      <c r="C73" s="532" t="s">
        <v>253</v>
      </c>
      <c r="D73" s="533">
        <v>12093</v>
      </c>
      <c r="E73" s="533">
        <v>12723</v>
      </c>
      <c r="F73" s="533">
        <v>13387</v>
      </c>
      <c r="G73" s="534">
        <v>13553</v>
      </c>
      <c r="H73" s="816">
        <v>14060</v>
      </c>
      <c r="I73" s="816">
        <v>14469</v>
      </c>
      <c r="J73" s="1130">
        <v>15185</v>
      </c>
    </row>
    <row r="74" spans="1:10" s="535" customFormat="1" x14ac:dyDescent="0.3">
      <c r="A74" s="531" t="s">
        <v>182</v>
      </c>
      <c r="B74" s="532" t="s">
        <v>183</v>
      </c>
      <c r="C74" s="532" t="s">
        <v>254</v>
      </c>
      <c r="D74" s="533">
        <v>1774</v>
      </c>
      <c r="E74" s="533">
        <v>1994</v>
      </c>
      <c r="F74" s="533">
        <v>2185</v>
      </c>
      <c r="G74" s="534">
        <v>2340</v>
      </c>
      <c r="H74" s="816">
        <v>2414</v>
      </c>
      <c r="I74" s="816">
        <v>2398</v>
      </c>
      <c r="J74" s="1130">
        <v>2552</v>
      </c>
    </row>
    <row r="75" spans="1:10" s="535" customFormat="1" x14ac:dyDescent="0.3">
      <c r="A75" s="531" t="s">
        <v>184</v>
      </c>
      <c r="B75" s="532" t="s">
        <v>185</v>
      </c>
      <c r="C75" s="532" t="s">
        <v>254</v>
      </c>
      <c r="D75" s="533">
        <v>4344</v>
      </c>
      <c r="E75" s="533">
        <v>4516</v>
      </c>
      <c r="F75" s="533">
        <v>4758</v>
      </c>
      <c r="G75" s="534">
        <v>4873</v>
      </c>
      <c r="H75" s="816">
        <v>4999</v>
      </c>
      <c r="I75" s="816">
        <v>5166</v>
      </c>
      <c r="J75" s="1130">
        <v>5249</v>
      </c>
    </row>
    <row r="76" spans="1:10" s="535" customFormat="1" x14ac:dyDescent="0.3">
      <c r="A76" s="531" t="s">
        <v>186</v>
      </c>
      <c r="B76" s="532" t="s">
        <v>187</v>
      </c>
      <c r="C76" s="532" t="s">
        <v>252</v>
      </c>
      <c r="D76" s="533">
        <v>3101</v>
      </c>
      <c r="E76" s="533">
        <v>3307</v>
      </c>
      <c r="F76" s="533">
        <v>3567</v>
      </c>
      <c r="G76" s="534">
        <v>3756</v>
      </c>
      <c r="H76" s="816">
        <v>3948</v>
      </c>
      <c r="I76" s="816">
        <v>4265</v>
      </c>
      <c r="J76" s="1130">
        <v>4774</v>
      </c>
    </row>
    <row r="77" spans="1:10" s="535" customFormat="1" x14ac:dyDescent="0.3">
      <c r="A77" s="531" t="s">
        <v>188</v>
      </c>
      <c r="B77" s="532" t="s">
        <v>189</v>
      </c>
      <c r="C77" s="532" t="s">
        <v>255</v>
      </c>
      <c r="D77" s="533">
        <v>41210</v>
      </c>
      <c r="E77" s="533">
        <v>45513</v>
      </c>
      <c r="F77" s="533">
        <v>49733</v>
      </c>
      <c r="G77" s="534">
        <v>52912</v>
      </c>
      <c r="H77" s="816">
        <v>56295</v>
      </c>
      <c r="I77" s="816">
        <v>57308</v>
      </c>
      <c r="J77" s="1130">
        <v>61561</v>
      </c>
    </row>
    <row r="78" spans="1:10" s="535" customFormat="1" x14ac:dyDescent="0.3">
      <c r="A78" s="531" t="s">
        <v>190</v>
      </c>
      <c r="B78" s="532" t="s">
        <v>191</v>
      </c>
      <c r="C78" s="532" t="s">
        <v>256</v>
      </c>
      <c r="D78" s="533">
        <v>6537</v>
      </c>
      <c r="E78" s="533">
        <v>6915</v>
      </c>
      <c r="F78" s="533">
        <v>7262</v>
      </c>
      <c r="G78" s="534">
        <v>7440</v>
      </c>
      <c r="H78" s="816">
        <v>7718</v>
      </c>
      <c r="I78" s="816">
        <v>7885</v>
      </c>
      <c r="J78" s="1130">
        <v>8022</v>
      </c>
    </row>
    <row r="79" spans="1:10" s="535" customFormat="1" x14ac:dyDescent="0.3">
      <c r="A79" s="531" t="s">
        <v>194</v>
      </c>
      <c r="B79" s="532" t="s">
        <v>195</v>
      </c>
      <c r="C79" s="532" t="s">
        <v>255</v>
      </c>
      <c r="D79" s="533">
        <v>750</v>
      </c>
      <c r="E79" s="533">
        <v>778</v>
      </c>
      <c r="F79" s="533">
        <v>857</v>
      </c>
      <c r="G79" s="534">
        <v>972</v>
      </c>
      <c r="H79" s="816">
        <v>986</v>
      </c>
      <c r="I79" s="816">
        <v>977</v>
      </c>
      <c r="J79" s="1130">
        <v>1027</v>
      </c>
    </row>
    <row r="80" spans="1:10" s="535" customFormat="1" x14ac:dyDescent="0.3">
      <c r="A80" s="531" t="s">
        <v>198</v>
      </c>
      <c r="B80" s="532" t="s">
        <v>260</v>
      </c>
      <c r="C80" s="532" t="s">
        <v>254</v>
      </c>
      <c r="D80" s="533">
        <v>1605</v>
      </c>
      <c r="E80" s="533">
        <v>1668</v>
      </c>
      <c r="F80" s="533">
        <v>1752</v>
      </c>
      <c r="G80" s="534">
        <v>1755</v>
      </c>
      <c r="H80" s="816">
        <v>1874</v>
      </c>
      <c r="I80" s="816">
        <v>1914</v>
      </c>
      <c r="J80" s="1130">
        <v>2077</v>
      </c>
    </row>
    <row r="81" spans="1:10" s="535" customFormat="1" x14ac:dyDescent="0.3">
      <c r="A81" s="531" t="s">
        <v>202</v>
      </c>
      <c r="B81" s="532" t="s">
        <v>289</v>
      </c>
      <c r="C81" s="532" t="s">
        <v>253</v>
      </c>
      <c r="D81" s="533">
        <v>11187</v>
      </c>
      <c r="E81" s="533">
        <v>12292</v>
      </c>
      <c r="F81" s="533">
        <v>13171</v>
      </c>
      <c r="G81" s="534">
        <v>13784</v>
      </c>
      <c r="H81" s="816">
        <v>14474</v>
      </c>
      <c r="I81" s="816">
        <v>14703</v>
      </c>
      <c r="J81" s="1130">
        <v>15407</v>
      </c>
    </row>
    <row r="82" spans="1:10" s="535" customFormat="1" x14ac:dyDescent="0.3">
      <c r="A82" s="531" t="s">
        <v>204</v>
      </c>
      <c r="B82" s="532" t="s">
        <v>281</v>
      </c>
      <c r="C82" s="532" t="s">
        <v>253</v>
      </c>
      <c r="D82" s="533">
        <v>5155</v>
      </c>
      <c r="E82" s="533">
        <v>5260</v>
      </c>
      <c r="F82" s="533">
        <v>5506</v>
      </c>
      <c r="G82" s="534">
        <v>5785</v>
      </c>
      <c r="H82" s="816">
        <v>6052</v>
      </c>
      <c r="I82" s="816">
        <v>6236</v>
      </c>
      <c r="J82" s="1130">
        <v>6453</v>
      </c>
    </row>
    <row r="83" spans="1:10" s="535" customFormat="1" x14ac:dyDescent="0.3">
      <c r="A83" s="531" t="s">
        <v>206</v>
      </c>
      <c r="B83" s="532" t="s">
        <v>282</v>
      </c>
      <c r="C83" s="532" t="s">
        <v>255</v>
      </c>
      <c r="D83" s="533">
        <v>15002</v>
      </c>
      <c r="E83" s="533">
        <v>16315</v>
      </c>
      <c r="F83" s="533">
        <v>17090</v>
      </c>
      <c r="G83" s="534">
        <v>17852</v>
      </c>
      <c r="H83" s="816">
        <v>18900</v>
      </c>
      <c r="I83" s="816">
        <v>19327</v>
      </c>
      <c r="J83" s="1130">
        <v>20248</v>
      </c>
    </row>
    <row r="84" spans="1:10" s="535" customFormat="1" x14ac:dyDescent="0.3">
      <c r="A84" s="531" t="s">
        <v>208</v>
      </c>
      <c r="B84" s="532" t="s">
        <v>209</v>
      </c>
      <c r="C84" s="532" t="s">
        <v>256</v>
      </c>
      <c r="D84" s="533">
        <v>7701</v>
      </c>
      <c r="E84" s="533">
        <v>7806</v>
      </c>
      <c r="F84" s="533">
        <v>7863</v>
      </c>
      <c r="G84" s="534">
        <v>7829</v>
      </c>
      <c r="H84" s="816">
        <v>8019</v>
      </c>
      <c r="I84" s="816">
        <v>8260</v>
      </c>
      <c r="J84" s="1130">
        <v>8420</v>
      </c>
    </row>
    <row r="85" spans="1:10" s="535" customFormat="1" x14ac:dyDescent="0.3">
      <c r="A85" s="531" t="s">
        <v>210</v>
      </c>
      <c r="B85" s="532" t="s">
        <v>211</v>
      </c>
      <c r="C85" s="532" t="s">
        <v>256</v>
      </c>
      <c r="D85" s="533">
        <v>5369</v>
      </c>
      <c r="E85" s="533">
        <v>5449</v>
      </c>
      <c r="F85" s="533">
        <v>5614</v>
      </c>
      <c r="G85" s="534">
        <v>5825</v>
      </c>
      <c r="H85" s="816">
        <v>6025</v>
      </c>
      <c r="I85" s="816">
        <v>6067</v>
      </c>
      <c r="J85" s="1130">
        <v>6114</v>
      </c>
    </row>
    <row r="86" spans="1:10" s="535" customFormat="1" x14ac:dyDescent="0.3">
      <c r="A86" s="531" t="s">
        <v>212</v>
      </c>
      <c r="B86" s="532" t="s">
        <v>213</v>
      </c>
      <c r="C86" s="532" t="s">
        <v>255</v>
      </c>
      <c r="D86" s="533">
        <v>6009</v>
      </c>
      <c r="E86" s="533">
        <v>6355</v>
      </c>
      <c r="F86" s="533">
        <v>6712</v>
      </c>
      <c r="G86" s="534">
        <v>7275</v>
      </c>
      <c r="H86" s="816">
        <v>7645</v>
      </c>
      <c r="I86" s="816">
        <v>7718</v>
      </c>
      <c r="J86" s="1130">
        <v>7931</v>
      </c>
    </row>
    <row r="87" spans="1:10" s="535" customFormat="1" x14ac:dyDescent="0.3">
      <c r="A87" s="531" t="s">
        <v>214</v>
      </c>
      <c r="B87" s="532" t="s">
        <v>215</v>
      </c>
      <c r="C87" s="532" t="s">
        <v>256</v>
      </c>
      <c r="D87" s="533">
        <v>7664</v>
      </c>
      <c r="E87" s="533">
        <v>7866</v>
      </c>
      <c r="F87" s="533">
        <v>8130</v>
      </c>
      <c r="G87" s="534">
        <v>8383</v>
      </c>
      <c r="H87" s="816">
        <v>8746</v>
      </c>
      <c r="I87" s="816">
        <v>8726</v>
      </c>
      <c r="J87" s="1130">
        <v>8822</v>
      </c>
    </row>
    <row r="88" spans="1:10" s="535" customFormat="1" x14ac:dyDescent="0.3">
      <c r="A88" s="531" t="s">
        <v>216</v>
      </c>
      <c r="B88" s="532" t="s">
        <v>217</v>
      </c>
      <c r="C88" s="532" t="s">
        <v>252</v>
      </c>
      <c r="D88" s="533">
        <v>3635</v>
      </c>
      <c r="E88" s="533">
        <v>3656</v>
      </c>
      <c r="F88" s="533">
        <v>3702</v>
      </c>
      <c r="G88" s="534">
        <v>3898</v>
      </c>
      <c r="H88" s="816">
        <v>3971</v>
      </c>
      <c r="I88" s="816">
        <v>4048</v>
      </c>
      <c r="J88" s="1130">
        <v>4156</v>
      </c>
    </row>
    <row r="89" spans="1:10" s="535" customFormat="1" x14ac:dyDescent="0.3">
      <c r="A89" s="531" t="s">
        <v>218</v>
      </c>
      <c r="B89" s="532" t="s">
        <v>219</v>
      </c>
      <c r="C89" s="532" t="s">
        <v>255</v>
      </c>
      <c r="D89" s="533">
        <v>13315</v>
      </c>
      <c r="E89" s="533">
        <v>14447</v>
      </c>
      <c r="F89" s="533">
        <v>15933</v>
      </c>
      <c r="G89" s="534">
        <v>16451</v>
      </c>
      <c r="H89" s="816">
        <v>17598</v>
      </c>
      <c r="I89" s="816">
        <v>18481</v>
      </c>
      <c r="J89" s="1130">
        <v>20416</v>
      </c>
    </row>
    <row r="90" spans="1:10" s="535" customFormat="1" x14ac:dyDescent="0.3">
      <c r="A90" s="531" t="s">
        <v>220</v>
      </c>
      <c r="B90" s="532" t="s">
        <v>221</v>
      </c>
      <c r="C90" s="532" t="s">
        <v>255</v>
      </c>
      <c r="D90" s="533">
        <v>11208</v>
      </c>
      <c r="E90" s="533">
        <v>12273</v>
      </c>
      <c r="F90" s="533">
        <v>13088</v>
      </c>
      <c r="G90" s="534">
        <v>13923</v>
      </c>
      <c r="H90" s="816">
        <v>14780</v>
      </c>
      <c r="I90" s="816">
        <v>15224</v>
      </c>
      <c r="J90" s="1130">
        <v>16832</v>
      </c>
    </row>
    <row r="91" spans="1:10" s="535" customFormat="1" x14ac:dyDescent="0.3">
      <c r="A91" s="531" t="s">
        <v>224</v>
      </c>
      <c r="B91" s="532" t="s">
        <v>225</v>
      </c>
      <c r="C91" s="532" t="s">
        <v>252</v>
      </c>
      <c r="D91" s="533">
        <v>1186</v>
      </c>
      <c r="E91" s="533">
        <v>1276</v>
      </c>
      <c r="F91" s="533">
        <v>1312</v>
      </c>
      <c r="G91" s="534">
        <v>1314</v>
      </c>
      <c r="H91" s="816">
        <v>1369</v>
      </c>
      <c r="I91" s="816">
        <v>1407</v>
      </c>
      <c r="J91" s="1130">
        <v>1433</v>
      </c>
    </row>
    <row r="92" spans="1:10" s="535" customFormat="1" x14ac:dyDescent="0.3">
      <c r="A92" s="531" t="s">
        <v>226</v>
      </c>
      <c r="B92" s="532" t="s">
        <v>227</v>
      </c>
      <c r="C92" s="532" t="s">
        <v>252</v>
      </c>
      <c r="D92" s="533">
        <v>2270</v>
      </c>
      <c r="E92" s="533">
        <v>2364</v>
      </c>
      <c r="F92" s="533">
        <v>2319</v>
      </c>
      <c r="G92" s="534">
        <v>2430</v>
      </c>
      <c r="H92" s="816">
        <v>2579</v>
      </c>
      <c r="I92" s="816">
        <v>2575</v>
      </c>
      <c r="J92" s="1130">
        <v>2658</v>
      </c>
    </row>
    <row r="93" spans="1:10" s="535" customFormat="1" x14ac:dyDescent="0.3">
      <c r="A93" s="531" t="s">
        <v>228</v>
      </c>
      <c r="B93" s="532" t="s">
        <v>229</v>
      </c>
      <c r="C93" s="532" t="s">
        <v>256</v>
      </c>
      <c r="D93" s="533">
        <v>10056</v>
      </c>
      <c r="E93" s="533">
        <v>10416</v>
      </c>
      <c r="F93" s="533">
        <v>10534</v>
      </c>
      <c r="G93" s="534">
        <v>10662</v>
      </c>
      <c r="H93" s="816">
        <v>11056</v>
      </c>
      <c r="I93" s="816">
        <v>11169</v>
      </c>
      <c r="J93" s="1130">
        <v>11591</v>
      </c>
    </row>
    <row r="94" spans="1:10" s="535" customFormat="1" x14ac:dyDescent="0.3">
      <c r="A94" s="531" t="s">
        <v>232</v>
      </c>
      <c r="B94" s="532" t="s">
        <v>233</v>
      </c>
      <c r="C94" s="532" t="s">
        <v>255</v>
      </c>
      <c r="D94" s="533">
        <v>5021</v>
      </c>
      <c r="E94" s="533">
        <v>5496</v>
      </c>
      <c r="F94" s="533">
        <v>5898</v>
      </c>
      <c r="G94" s="534">
        <v>6197</v>
      </c>
      <c r="H94" s="816">
        <v>6615</v>
      </c>
      <c r="I94" s="816">
        <v>6678</v>
      </c>
      <c r="J94" s="1130">
        <v>7167</v>
      </c>
    </row>
    <row r="95" spans="1:10" s="535" customFormat="1" x14ac:dyDescent="0.3">
      <c r="A95" s="531" t="s">
        <v>234</v>
      </c>
      <c r="B95" s="532" t="s">
        <v>235</v>
      </c>
      <c r="C95" s="532" t="s">
        <v>256</v>
      </c>
      <c r="D95" s="533">
        <v>9268</v>
      </c>
      <c r="E95" s="533">
        <v>9845</v>
      </c>
      <c r="F95" s="533">
        <v>10107</v>
      </c>
      <c r="G95" s="534">
        <v>10502</v>
      </c>
      <c r="H95" s="816">
        <v>11157</v>
      </c>
      <c r="I95" s="816">
        <v>11412</v>
      </c>
      <c r="J95" s="1130">
        <v>11609</v>
      </c>
    </row>
    <row r="96" spans="1:10" s="535" customFormat="1" x14ac:dyDescent="0.3">
      <c r="A96" s="531" t="s">
        <v>236</v>
      </c>
      <c r="B96" s="532" t="s">
        <v>237</v>
      </c>
      <c r="C96" s="532" t="s">
        <v>254</v>
      </c>
      <c r="D96" s="533">
        <v>3399</v>
      </c>
      <c r="E96" s="533">
        <v>3659</v>
      </c>
      <c r="F96" s="533">
        <v>3951</v>
      </c>
      <c r="G96" s="534">
        <v>4039</v>
      </c>
      <c r="H96" s="816">
        <v>4123</v>
      </c>
      <c r="I96" s="816">
        <v>4117</v>
      </c>
      <c r="J96" s="1130">
        <v>4495</v>
      </c>
    </row>
    <row r="97" spans="1:10" s="535" customFormat="1" x14ac:dyDescent="0.3">
      <c r="A97" s="531" t="s">
        <v>242</v>
      </c>
      <c r="B97" s="532" t="s">
        <v>243</v>
      </c>
      <c r="C97" s="532" t="s">
        <v>256</v>
      </c>
      <c r="D97" s="533">
        <v>11363</v>
      </c>
      <c r="E97" s="533">
        <v>11376</v>
      </c>
      <c r="F97" s="533">
        <v>11483</v>
      </c>
      <c r="G97" s="534">
        <v>11654</v>
      </c>
      <c r="H97" s="816">
        <v>12033</v>
      </c>
      <c r="I97" s="816">
        <v>12226</v>
      </c>
      <c r="J97" s="1130">
        <v>12301</v>
      </c>
    </row>
    <row r="98" spans="1:10" s="535" customFormat="1" x14ac:dyDescent="0.3">
      <c r="A98" s="531" t="s">
        <v>244</v>
      </c>
      <c r="B98" s="532" t="s">
        <v>245</v>
      </c>
      <c r="C98" s="532" t="s">
        <v>256</v>
      </c>
      <c r="D98" s="533">
        <v>5811</v>
      </c>
      <c r="E98" s="533">
        <v>5977</v>
      </c>
      <c r="F98" s="533">
        <v>6171</v>
      </c>
      <c r="G98" s="534">
        <v>6459</v>
      </c>
      <c r="H98" s="816">
        <v>6701</v>
      </c>
      <c r="I98" s="816">
        <v>6669</v>
      </c>
      <c r="J98" s="1130">
        <v>6866</v>
      </c>
    </row>
    <row r="99" spans="1:10" s="535" customFormat="1" x14ac:dyDescent="0.3">
      <c r="A99" s="531" t="s">
        <v>246</v>
      </c>
      <c r="B99" s="532" t="s">
        <v>247</v>
      </c>
      <c r="C99" s="532" t="s">
        <v>252</v>
      </c>
      <c r="D99" s="533">
        <v>4081</v>
      </c>
      <c r="E99" s="533">
        <v>4442</v>
      </c>
      <c r="F99" s="533">
        <v>4995</v>
      </c>
      <c r="G99" s="534">
        <v>5306</v>
      </c>
      <c r="H99" s="816">
        <v>5520</v>
      </c>
      <c r="I99" s="816">
        <v>5698</v>
      </c>
      <c r="J99" s="1130">
        <v>6071</v>
      </c>
    </row>
    <row r="100" spans="1:10" s="535" customFormat="1" x14ac:dyDescent="0.3">
      <c r="A100" s="531" t="s">
        <v>14</v>
      </c>
      <c r="B100" s="532" t="s">
        <v>15</v>
      </c>
      <c r="C100" s="532" t="s">
        <v>255</v>
      </c>
      <c r="D100" s="533">
        <v>13029</v>
      </c>
      <c r="E100" s="533">
        <v>14056</v>
      </c>
      <c r="F100" s="533">
        <v>14657</v>
      </c>
      <c r="G100" s="534">
        <v>15158</v>
      </c>
      <c r="H100" s="816">
        <v>16053</v>
      </c>
      <c r="I100" s="816">
        <v>16347</v>
      </c>
      <c r="J100" s="1130">
        <v>18338</v>
      </c>
    </row>
    <row r="101" spans="1:10" s="535" customFormat="1" x14ac:dyDescent="0.3">
      <c r="A101" s="531" t="s">
        <v>34</v>
      </c>
      <c r="B101" s="532" t="s">
        <v>35</v>
      </c>
      <c r="C101" s="532" t="s">
        <v>256</v>
      </c>
      <c r="D101" s="533">
        <v>5372</v>
      </c>
      <c r="E101" s="533">
        <v>5548</v>
      </c>
      <c r="F101" s="533">
        <v>5763</v>
      </c>
      <c r="G101" s="534">
        <v>5907</v>
      </c>
      <c r="H101" s="816">
        <v>6229</v>
      </c>
      <c r="I101" s="816">
        <v>6006</v>
      </c>
      <c r="J101" s="1130">
        <v>5833</v>
      </c>
    </row>
    <row r="102" spans="1:10" s="535" customFormat="1" x14ac:dyDescent="0.3">
      <c r="A102" s="531" t="s">
        <v>52</v>
      </c>
      <c r="B102" s="532" t="s">
        <v>53</v>
      </c>
      <c r="C102" s="532" t="s">
        <v>253</v>
      </c>
      <c r="D102" s="533">
        <v>7041</v>
      </c>
      <c r="E102" s="533">
        <v>7248</v>
      </c>
      <c r="F102" s="533">
        <v>7391</v>
      </c>
      <c r="G102" s="534">
        <v>7564</v>
      </c>
      <c r="H102" s="816">
        <v>7765</v>
      </c>
      <c r="I102" s="816">
        <v>7497</v>
      </c>
      <c r="J102" s="1130">
        <v>7686</v>
      </c>
    </row>
    <row r="103" spans="1:10" s="535" customFormat="1" x14ac:dyDescent="0.3">
      <c r="A103" s="531" t="s">
        <v>54</v>
      </c>
      <c r="B103" s="532" t="s">
        <v>55</v>
      </c>
      <c r="C103" s="532" t="s">
        <v>252</v>
      </c>
      <c r="D103" s="533">
        <v>26544</v>
      </c>
      <c r="E103" s="533">
        <v>28694</v>
      </c>
      <c r="F103" s="533">
        <v>30023</v>
      </c>
      <c r="G103" s="534">
        <v>31405</v>
      </c>
      <c r="H103" s="816">
        <v>33054</v>
      </c>
      <c r="I103" s="816">
        <v>34104</v>
      </c>
      <c r="J103" s="1130">
        <v>35837</v>
      </c>
    </row>
    <row r="104" spans="1:10" s="535" customFormat="1" x14ac:dyDescent="0.3">
      <c r="A104" s="531" t="s">
        <v>66</v>
      </c>
      <c r="B104" s="532" t="s">
        <v>67</v>
      </c>
      <c r="C104" s="532" t="s">
        <v>253</v>
      </c>
      <c r="D104" s="533">
        <v>14027</v>
      </c>
      <c r="E104" s="533">
        <v>14616</v>
      </c>
      <c r="F104" s="533">
        <v>15065</v>
      </c>
      <c r="G104" s="534">
        <v>15726</v>
      </c>
      <c r="H104" s="816">
        <v>16291</v>
      </c>
      <c r="I104" s="816">
        <v>16561</v>
      </c>
      <c r="J104" s="1130">
        <v>17125</v>
      </c>
    </row>
    <row r="105" spans="1:10" s="535" customFormat="1" x14ac:dyDescent="0.3">
      <c r="A105" s="531" t="s">
        <v>82</v>
      </c>
      <c r="B105" s="532" t="s">
        <v>83</v>
      </c>
      <c r="C105" s="532" t="s">
        <v>252</v>
      </c>
      <c r="D105" s="533">
        <v>2546</v>
      </c>
      <c r="E105" s="533">
        <v>2688</v>
      </c>
      <c r="F105" s="533">
        <v>2894</v>
      </c>
      <c r="G105" s="534">
        <v>3194</v>
      </c>
      <c r="H105" s="816">
        <v>3315</v>
      </c>
      <c r="I105" s="816">
        <v>3311</v>
      </c>
      <c r="J105" s="1130">
        <v>3374</v>
      </c>
    </row>
    <row r="106" spans="1:10" s="535" customFormat="1" x14ac:dyDescent="0.3">
      <c r="A106" s="531" t="s">
        <v>88</v>
      </c>
      <c r="B106" s="532" t="s">
        <v>89</v>
      </c>
      <c r="C106" s="532" t="s">
        <v>255</v>
      </c>
      <c r="D106" s="533">
        <v>4846</v>
      </c>
      <c r="E106" s="533">
        <v>5187</v>
      </c>
      <c r="F106" s="533">
        <v>5534</v>
      </c>
      <c r="G106" s="534">
        <v>5906</v>
      </c>
      <c r="H106" s="816">
        <v>6094</v>
      </c>
      <c r="I106" s="816">
        <v>6324</v>
      </c>
      <c r="J106" s="1130">
        <v>6788</v>
      </c>
    </row>
    <row r="107" spans="1:10" s="535" customFormat="1" x14ac:dyDescent="0.3">
      <c r="A107" s="531" t="s">
        <v>90</v>
      </c>
      <c r="B107" s="532" t="s">
        <v>91</v>
      </c>
      <c r="C107" s="532" t="s">
        <v>256</v>
      </c>
      <c r="D107" s="533">
        <v>2525</v>
      </c>
      <c r="E107" s="533">
        <v>2574</v>
      </c>
      <c r="F107" s="533">
        <v>2486</v>
      </c>
      <c r="G107" s="534">
        <v>2518</v>
      </c>
      <c r="H107" s="816">
        <v>2566</v>
      </c>
      <c r="I107" s="816">
        <v>2682</v>
      </c>
      <c r="J107" s="1130">
        <v>2661</v>
      </c>
    </row>
    <row r="108" spans="1:10" s="535" customFormat="1" x14ac:dyDescent="0.3">
      <c r="A108" s="531" t="s">
        <v>106</v>
      </c>
      <c r="B108" s="532" t="s">
        <v>107</v>
      </c>
      <c r="C108" s="532" t="s">
        <v>252</v>
      </c>
      <c r="D108" s="533">
        <v>23612</v>
      </c>
      <c r="E108" s="533">
        <v>24651</v>
      </c>
      <c r="F108" s="533">
        <v>26228</v>
      </c>
      <c r="G108" s="534">
        <v>27614</v>
      </c>
      <c r="H108" s="816">
        <v>28769</v>
      </c>
      <c r="I108" s="816">
        <v>29538</v>
      </c>
      <c r="J108" s="1130">
        <v>31530</v>
      </c>
    </row>
    <row r="109" spans="1:10" s="535" customFormat="1" x14ac:dyDescent="0.3">
      <c r="A109" s="531" t="s">
        <v>116</v>
      </c>
      <c r="B109" s="532" t="s">
        <v>117</v>
      </c>
      <c r="C109" s="532" t="s">
        <v>254</v>
      </c>
      <c r="D109" s="533">
        <v>6711</v>
      </c>
      <c r="E109" s="533">
        <v>6971</v>
      </c>
      <c r="F109" s="533">
        <v>7303</v>
      </c>
      <c r="G109" s="534">
        <v>7704</v>
      </c>
      <c r="H109" s="816">
        <v>8056</v>
      </c>
      <c r="I109" s="816">
        <v>8292</v>
      </c>
      <c r="J109" s="1130">
        <v>9004</v>
      </c>
    </row>
    <row r="110" spans="1:10" s="535" customFormat="1" x14ac:dyDescent="0.3">
      <c r="A110" s="531" t="s">
        <v>138</v>
      </c>
      <c r="B110" s="532" t="s">
        <v>139</v>
      </c>
      <c r="C110" s="532" t="s">
        <v>253</v>
      </c>
      <c r="D110" s="533">
        <v>14716</v>
      </c>
      <c r="E110" s="533">
        <v>15489</v>
      </c>
      <c r="F110" s="533">
        <v>16122</v>
      </c>
      <c r="G110" s="534">
        <v>16822</v>
      </c>
      <c r="H110" s="816">
        <v>17494</v>
      </c>
      <c r="I110" s="816">
        <v>17725</v>
      </c>
      <c r="J110" s="1130">
        <v>18584</v>
      </c>
    </row>
    <row r="111" spans="1:10" s="535" customFormat="1" x14ac:dyDescent="0.3">
      <c r="A111" s="531" t="s">
        <v>142</v>
      </c>
      <c r="B111" s="532" t="s">
        <v>143</v>
      </c>
      <c r="C111" s="532" t="s">
        <v>255</v>
      </c>
      <c r="D111" s="533">
        <v>6165</v>
      </c>
      <c r="E111" s="533">
        <v>6953</v>
      </c>
      <c r="F111" s="533">
        <v>7318</v>
      </c>
      <c r="G111" s="534">
        <v>7505</v>
      </c>
      <c r="H111" s="816">
        <v>7934</v>
      </c>
      <c r="I111" s="816">
        <v>8376</v>
      </c>
      <c r="J111" s="1130">
        <v>8943</v>
      </c>
    </row>
    <row r="112" spans="1:10" s="535" customFormat="1" x14ac:dyDescent="0.3">
      <c r="A112" s="531" t="s">
        <v>144</v>
      </c>
      <c r="B112" s="532" t="s">
        <v>145</v>
      </c>
      <c r="C112" s="532" t="s">
        <v>255</v>
      </c>
      <c r="D112" s="533">
        <v>2321</v>
      </c>
      <c r="E112" s="533">
        <v>2366</v>
      </c>
      <c r="F112" s="533">
        <v>2460</v>
      </c>
      <c r="G112" s="534">
        <v>2507</v>
      </c>
      <c r="H112" s="816">
        <v>2804</v>
      </c>
      <c r="I112" s="816">
        <v>2748</v>
      </c>
      <c r="J112" s="1130">
        <v>3220</v>
      </c>
    </row>
    <row r="113" spans="1:11" s="535" customFormat="1" x14ac:dyDescent="0.3">
      <c r="A113" s="531" t="s">
        <v>158</v>
      </c>
      <c r="B113" s="532" t="s">
        <v>159</v>
      </c>
      <c r="C113" s="532" t="s">
        <v>252</v>
      </c>
      <c r="D113" s="533">
        <v>36779</v>
      </c>
      <c r="E113" s="533">
        <v>38337</v>
      </c>
      <c r="F113" s="533">
        <v>40818</v>
      </c>
      <c r="G113" s="534">
        <v>42505</v>
      </c>
      <c r="H113" s="816">
        <v>43949</v>
      </c>
      <c r="I113" s="816">
        <v>44162</v>
      </c>
      <c r="J113" s="1130">
        <v>45837</v>
      </c>
    </row>
    <row r="114" spans="1:11" s="535" customFormat="1" x14ac:dyDescent="0.3">
      <c r="A114" s="531" t="s">
        <v>160</v>
      </c>
      <c r="B114" s="532" t="s">
        <v>161</v>
      </c>
      <c r="C114" s="532" t="s">
        <v>252</v>
      </c>
      <c r="D114" s="533">
        <v>50442</v>
      </c>
      <c r="E114" s="533">
        <v>50455</v>
      </c>
      <c r="F114" s="533">
        <v>52054</v>
      </c>
      <c r="G114" s="534">
        <v>54448</v>
      </c>
      <c r="H114" s="816">
        <v>56361</v>
      </c>
      <c r="I114" s="816">
        <v>57649</v>
      </c>
      <c r="J114" s="1130">
        <v>60128</v>
      </c>
    </row>
    <row r="115" spans="1:11" s="535" customFormat="1" x14ac:dyDescent="0.3">
      <c r="A115" s="531" t="s">
        <v>166</v>
      </c>
      <c r="B115" s="532" t="s">
        <v>167</v>
      </c>
      <c r="C115" s="532" t="s">
        <v>256</v>
      </c>
      <c r="D115" s="533">
        <v>1419</v>
      </c>
      <c r="E115" s="533">
        <v>1377</v>
      </c>
      <c r="F115" s="533">
        <v>1392</v>
      </c>
      <c r="G115" s="534">
        <v>1494</v>
      </c>
      <c r="H115" s="816">
        <v>1503</v>
      </c>
      <c r="I115" s="816">
        <v>1494</v>
      </c>
      <c r="J115" s="1130">
        <v>1486</v>
      </c>
    </row>
    <row r="116" spans="1:11" s="535" customFormat="1" x14ac:dyDescent="0.3">
      <c r="A116" s="531" t="s">
        <v>176</v>
      </c>
      <c r="B116" s="532" t="s">
        <v>177</v>
      </c>
      <c r="C116" s="532" t="s">
        <v>254</v>
      </c>
      <c r="D116" s="533">
        <v>11093</v>
      </c>
      <c r="E116" s="533">
        <v>11308</v>
      </c>
      <c r="F116" s="533">
        <v>11830</v>
      </c>
      <c r="G116" s="534">
        <v>11991</v>
      </c>
      <c r="H116" s="816">
        <v>12152</v>
      </c>
      <c r="I116" s="816">
        <v>12186</v>
      </c>
      <c r="J116" s="1130">
        <v>12744</v>
      </c>
    </row>
    <row r="117" spans="1:11" s="535" customFormat="1" x14ac:dyDescent="0.3">
      <c r="A117" s="531" t="s">
        <v>180</v>
      </c>
      <c r="B117" s="532" t="s">
        <v>181</v>
      </c>
      <c r="C117" s="532" t="s">
        <v>252</v>
      </c>
      <c r="D117" s="533">
        <v>23479</v>
      </c>
      <c r="E117" s="533">
        <v>24259</v>
      </c>
      <c r="F117" s="533">
        <v>25241</v>
      </c>
      <c r="G117" s="534">
        <v>26822</v>
      </c>
      <c r="H117" s="816">
        <v>27875</v>
      </c>
      <c r="I117" s="816">
        <v>28467</v>
      </c>
      <c r="J117" s="1130">
        <v>30501</v>
      </c>
    </row>
    <row r="118" spans="1:11" s="535" customFormat="1" x14ac:dyDescent="0.3">
      <c r="A118" s="531" t="s">
        <v>192</v>
      </c>
      <c r="B118" s="532" t="s">
        <v>193</v>
      </c>
      <c r="C118" s="532" t="s">
        <v>256</v>
      </c>
      <c r="D118" s="533">
        <v>2076</v>
      </c>
      <c r="E118" s="533">
        <v>2127</v>
      </c>
      <c r="F118" s="533">
        <v>2238</v>
      </c>
      <c r="G118" s="534">
        <v>2314</v>
      </c>
      <c r="H118" s="816">
        <v>2371</v>
      </c>
      <c r="I118" s="816">
        <v>2467</v>
      </c>
      <c r="J118" s="1130">
        <v>2540</v>
      </c>
    </row>
    <row r="119" spans="1:11" s="535" customFormat="1" x14ac:dyDescent="0.3">
      <c r="A119" s="531" t="s">
        <v>196</v>
      </c>
      <c r="B119" s="532" t="s">
        <v>197</v>
      </c>
      <c r="C119" s="532" t="s">
        <v>254</v>
      </c>
      <c r="D119" s="533">
        <v>53763</v>
      </c>
      <c r="E119" s="533">
        <v>54660</v>
      </c>
      <c r="F119" s="533">
        <v>55559</v>
      </c>
      <c r="G119" s="534">
        <v>56264</v>
      </c>
      <c r="H119" s="816">
        <v>57781</v>
      </c>
      <c r="I119" s="816">
        <v>58266</v>
      </c>
      <c r="J119" s="1130">
        <v>60000</v>
      </c>
    </row>
    <row r="120" spans="1:11" s="535" customFormat="1" x14ac:dyDescent="0.3">
      <c r="A120" s="531" t="s">
        <v>200</v>
      </c>
      <c r="B120" s="532" t="s">
        <v>201</v>
      </c>
      <c r="C120" s="532" t="s">
        <v>253</v>
      </c>
      <c r="D120" s="533">
        <v>26027</v>
      </c>
      <c r="E120" s="533">
        <v>27247</v>
      </c>
      <c r="F120" s="533">
        <v>28258</v>
      </c>
      <c r="G120" s="534">
        <v>29646</v>
      </c>
      <c r="H120" s="816">
        <v>30805</v>
      </c>
      <c r="I120" s="816">
        <v>31083</v>
      </c>
      <c r="J120" s="1130">
        <v>31771</v>
      </c>
    </row>
    <row r="121" spans="1:11" s="535" customFormat="1" x14ac:dyDescent="0.3">
      <c r="A121" s="531" t="s">
        <v>222</v>
      </c>
      <c r="B121" s="532" t="s">
        <v>223</v>
      </c>
      <c r="C121" s="532" t="s">
        <v>252</v>
      </c>
      <c r="D121" s="533">
        <v>13356</v>
      </c>
      <c r="E121" s="533">
        <v>14165</v>
      </c>
      <c r="F121" s="533">
        <v>15116</v>
      </c>
      <c r="G121" s="534">
        <v>15757</v>
      </c>
      <c r="H121" s="816">
        <v>16510</v>
      </c>
      <c r="I121" s="816">
        <v>16884</v>
      </c>
      <c r="J121" s="1130">
        <v>17519</v>
      </c>
    </row>
    <row r="122" spans="1:11" s="535" customFormat="1" x14ac:dyDescent="0.3">
      <c r="A122" s="531" t="s">
        <v>230</v>
      </c>
      <c r="B122" s="532" t="s">
        <v>231</v>
      </c>
      <c r="C122" s="532" t="s">
        <v>252</v>
      </c>
      <c r="D122" s="533">
        <v>40826</v>
      </c>
      <c r="E122" s="533">
        <v>43882</v>
      </c>
      <c r="F122" s="533">
        <v>46581</v>
      </c>
      <c r="G122" s="534">
        <v>49219</v>
      </c>
      <c r="H122" s="816">
        <v>51524</v>
      </c>
      <c r="I122" s="816">
        <v>52794</v>
      </c>
      <c r="J122" s="1130">
        <v>57656</v>
      </c>
    </row>
    <row r="123" spans="1:11" s="535" customFormat="1" x14ac:dyDescent="0.3">
      <c r="A123" s="531" t="s">
        <v>238</v>
      </c>
      <c r="B123" s="532" t="s">
        <v>239</v>
      </c>
      <c r="C123" s="532" t="s">
        <v>252</v>
      </c>
      <c r="D123" s="533">
        <v>1132</v>
      </c>
      <c r="E123" s="533">
        <v>1262</v>
      </c>
      <c r="F123" s="533">
        <v>1479</v>
      </c>
      <c r="G123" s="534">
        <v>1524</v>
      </c>
      <c r="H123" s="816">
        <v>1610</v>
      </c>
      <c r="I123" s="816">
        <v>1678</v>
      </c>
      <c r="J123" s="1130">
        <v>1781</v>
      </c>
    </row>
    <row r="124" spans="1:11" s="535" customFormat="1" x14ac:dyDescent="0.3">
      <c r="A124" s="531" t="s">
        <v>240</v>
      </c>
      <c r="B124" s="532" t="s">
        <v>241</v>
      </c>
      <c r="C124" s="532" t="s">
        <v>255</v>
      </c>
      <c r="D124" s="533">
        <v>4966</v>
      </c>
      <c r="E124" s="533">
        <v>5477</v>
      </c>
      <c r="F124" s="533">
        <v>5943</v>
      </c>
      <c r="G124" s="534">
        <v>6085</v>
      </c>
      <c r="H124" s="816">
        <v>6480</v>
      </c>
      <c r="I124" s="816">
        <v>6580</v>
      </c>
      <c r="J124" s="1130">
        <v>6993</v>
      </c>
    </row>
    <row r="125" spans="1:11" ht="29.25" customHeight="1" x14ac:dyDescent="0.3">
      <c r="A125" s="470" t="s">
        <v>8</v>
      </c>
      <c r="B125" s="537" t="s">
        <v>643</v>
      </c>
      <c r="C125" s="530"/>
      <c r="D125" s="459">
        <v>1065610</v>
      </c>
      <c r="E125" s="459">
        <v>1131369</v>
      </c>
      <c r="F125" s="459">
        <v>1190299</v>
      </c>
      <c r="G125" s="538">
        <v>1238189</v>
      </c>
      <c r="H125" s="538">
        <v>1292800</v>
      </c>
      <c r="I125" s="538">
        <v>1314786</v>
      </c>
      <c r="J125" s="1131">
        <v>1390460</v>
      </c>
    </row>
    <row r="127" spans="1:11" ht="12.75" customHeight="1" x14ac:dyDescent="0.3">
      <c r="A127" s="2737" t="s">
        <v>808</v>
      </c>
      <c r="B127" s="2738"/>
      <c r="C127" s="2738"/>
      <c r="D127" s="2738"/>
      <c r="E127" s="2738"/>
      <c r="F127" s="2738"/>
      <c r="G127" s="2738"/>
      <c r="H127" s="2738"/>
      <c r="I127" s="2738"/>
      <c r="J127" s="2738"/>
      <c r="K127" s="2738"/>
    </row>
    <row r="128" spans="1:11" x14ac:dyDescent="0.3">
      <c r="A128" s="2738"/>
      <c r="B128" s="2738"/>
      <c r="C128" s="2738"/>
      <c r="D128" s="2738"/>
      <c r="E128" s="2738"/>
      <c r="F128" s="2738"/>
      <c r="G128" s="2738"/>
      <c r="H128" s="2738"/>
      <c r="I128" s="2738"/>
      <c r="J128" s="2738"/>
      <c r="K128" s="2738"/>
    </row>
    <row r="129" spans="1:11" ht="18" customHeight="1" x14ac:dyDescent="0.3">
      <c r="A129" s="2738"/>
      <c r="B129" s="2738"/>
      <c r="C129" s="2738"/>
      <c r="D129" s="2738"/>
      <c r="E129" s="2738"/>
      <c r="F129" s="2738"/>
      <c r="G129" s="2738"/>
      <c r="H129" s="2738"/>
      <c r="I129" s="2738"/>
      <c r="J129" s="2738"/>
      <c r="K129" s="2738"/>
    </row>
    <row r="130" spans="1:11" x14ac:dyDescent="0.3">
      <c r="A130" s="471"/>
      <c r="B130" s="471"/>
      <c r="C130" s="471"/>
      <c r="D130" s="471"/>
      <c r="E130" s="471"/>
      <c r="F130" s="471"/>
      <c r="G130" s="471"/>
      <c r="H130" s="811"/>
      <c r="I130" s="895"/>
      <c r="J130" s="1122"/>
      <c r="K130" s="471"/>
    </row>
    <row r="131" spans="1:11" s="359" customFormat="1" x14ac:dyDescent="0.3">
      <c r="A131" s="359" t="s">
        <v>248</v>
      </c>
    </row>
    <row r="132" spans="1:11" s="359" customFormat="1" x14ac:dyDescent="0.3">
      <c r="A132" s="360" t="s">
        <v>249</v>
      </c>
      <c r="B132" s="361" t="s">
        <v>250</v>
      </c>
      <c r="C132" s="361"/>
    </row>
  </sheetData>
  <autoFilter ref="A3:C3"/>
  <sortState ref="A5:K124">
    <sortCondition ref="A5:A124"/>
  </sortState>
  <mergeCells count="1">
    <mergeCell ref="A127:K129"/>
  </mergeCells>
  <hyperlinks>
    <hyperlink ref="B132" r:id="rId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131"/>
  <sheetViews>
    <sheetView workbookViewId="0">
      <pane xSplit="3" ySplit="4" topLeftCell="D107" activePane="bottomRight" state="frozen"/>
      <selection pane="topRight" activeCell="D1" sqref="D1"/>
      <selection pane="bottomLeft" activeCell="A5" sqref="A5"/>
      <selection pane="bottomRight" activeCell="K5" sqref="K5:K124"/>
    </sheetView>
  </sheetViews>
  <sheetFormatPr defaultColWidth="9" defaultRowHeight="15.6" x14ac:dyDescent="0.3"/>
  <cols>
    <col min="1" max="1" width="5.796875" style="441" customWidth="1"/>
    <col min="2" max="2" width="29.5" style="441" customWidth="1"/>
    <col min="3" max="3" width="16.19921875" style="441" customWidth="1"/>
    <col min="4" max="11" width="11.296875" style="441" customWidth="1"/>
    <col min="12" max="12" width="3.796875" style="441" customWidth="1"/>
    <col min="13" max="16384" width="9" style="441"/>
  </cols>
  <sheetData>
    <row r="1" spans="1:11" x14ac:dyDescent="0.3">
      <c r="A1" s="253" t="s">
        <v>1162</v>
      </c>
    </row>
    <row r="3" spans="1:11" x14ac:dyDescent="0.3">
      <c r="A3" s="536" t="s">
        <v>4</v>
      </c>
      <c r="B3" s="503" t="s">
        <v>5</v>
      </c>
      <c r="C3" s="503" t="s">
        <v>251</v>
      </c>
      <c r="D3" s="542">
        <v>2012</v>
      </c>
      <c r="E3" s="542">
        <v>2013</v>
      </c>
      <c r="F3" s="542">
        <v>2014</v>
      </c>
      <c r="G3" s="1128">
        <v>2015</v>
      </c>
      <c r="H3" s="1128">
        <v>2016</v>
      </c>
      <c r="I3" s="1707">
        <v>2017</v>
      </c>
      <c r="J3" s="1707">
        <v>2018</v>
      </c>
      <c r="K3" s="2259">
        <v>2019</v>
      </c>
    </row>
    <row r="4" spans="1:11" x14ac:dyDescent="0.3">
      <c r="A4" s="1874">
        <v>999</v>
      </c>
      <c r="B4" s="1875" t="s">
        <v>693</v>
      </c>
      <c r="C4" s="1875"/>
      <c r="D4" s="1876">
        <v>1162309</v>
      </c>
      <c r="E4" s="1876">
        <v>1208643</v>
      </c>
      <c r="F4" s="1876">
        <v>1243684</v>
      </c>
      <c r="G4" s="1876">
        <v>1316693</v>
      </c>
      <c r="H4" s="1876">
        <v>1332753</v>
      </c>
      <c r="I4" s="1876">
        <v>1407250</v>
      </c>
      <c r="J4" s="1876">
        <v>1410979</v>
      </c>
      <c r="K4" s="1876">
        <v>1608957</v>
      </c>
    </row>
    <row r="5" spans="1:11" s="535" customFormat="1" x14ac:dyDescent="0.3">
      <c r="A5" s="531" t="s">
        <v>10</v>
      </c>
      <c r="B5" s="532" t="s">
        <v>11</v>
      </c>
      <c r="C5" s="532" t="s">
        <v>252</v>
      </c>
      <c r="D5" s="816">
        <v>7700</v>
      </c>
      <c r="E5" s="816">
        <v>8722</v>
      </c>
      <c r="F5" s="816">
        <v>8891</v>
      </c>
      <c r="G5" s="1130">
        <v>9155</v>
      </c>
      <c r="H5" s="1195">
        <v>9712</v>
      </c>
      <c r="I5" s="1835">
        <v>9581</v>
      </c>
      <c r="J5" s="1835">
        <v>9533</v>
      </c>
      <c r="K5" s="2262">
        <v>10729</v>
      </c>
    </row>
    <row r="6" spans="1:11" s="535" customFormat="1" x14ac:dyDescent="0.3">
      <c r="A6" s="531" t="s">
        <v>12</v>
      </c>
      <c r="B6" s="532" t="s">
        <v>13</v>
      </c>
      <c r="C6" s="532" t="s">
        <v>253</v>
      </c>
      <c r="D6" s="816">
        <v>8499</v>
      </c>
      <c r="E6" s="816">
        <v>10028</v>
      </c>
      <c r="F6" s="816">
        <v>10348</v>
      </c>
      <c r="G6" s="1130">
        <v>11091</v>
      </c>
      <c r="H6" s="1195">
        <v>11277</v>
      </c>
      <c r="I6" s="1835">
        <v>11652</v>
      </c>
      <c r="J6" s="1835">
        <v>11441</v>
      </c>
      <c r="K6" s="2262">
        <v>13431</v>
      </c>
    </row>
    <row r="7" spans="1:11" s="535" customFormat="1" x14ac:dyDescent="0.3">
      <c r="A7" s="531" t="s">
        <v>16</v>
      </c>
      <c r="B7" s="532" t="s">
        <v>285</v>
      </c>
      <c r="C7" s="532" t="s">
        <v>253</v>
      </c>
      <c r="D7" s="816">
        <v>4660</v>
      </c>
      <c r="E7" s="816">
        <v>5201</v>
      </c>
      <c r="F7" s="816">
        <v>5300</v>
      </c>
      <c r="G7" s="1130">
        <v>5577</v>
      </c>
      <c r="H7" s="1195">
        <v>5633</v>
      </c>
      <c r="I7" s="1835">
        <v>5803</v>
      </c>
      <c r="J7" s="1835">
        <v>5746</v>
      </c>
      <c r="K7" s="2262">
        <v>6463</v>
      </c>
    </row>
    <row r="8" spans="1:11" s="535" customFormat="1" x14ac:dyDescent="0.3">
      <c r="A8" s="531" t="s">
        <v>18</v>
      </c>
      <c r="B8" s="532" t="s">
        <v>19</v>
      </c>
      <c r="C8" s="532" t="s">
        <v>254</v>
      </c>
      <c r="D8" s="816">
        <v>2482</v>
      </c>
      <c r="E8" s="816">
        <v>2750</v>
      </c>
      <c r="F8" s="816">
        <v>2692</v>
      </c>
      <c r="G8" s="1130">
        <v>2716</v>
      </c>
      <c r="H8" s="1195">
        <v>2744</v>
      </c>
      <c r="I8" s="1835">
        <v>2865</v>
      </c>
      <c r="J8" s="1835">
        <v>2805</v>
      </c>
      <c r="K8" s="2262">
        <v>3162</v>
      </c>
    </row>
    <row r="9" spans="1:11" s="535" customFormat="1" x14ac:dyDescent="0.3">
      <c r="A9" s="531" t="s">
        <v>20</v>
      </c>
      <c r="B9" s="532" t="s">
        <v>21</v>
      </c>
      <c r="C9" s="532" t="s">
        <v>253</v>
      </c>
      <c r="D9" s="816">
        <v>5052</v>
      </c>
      <c r="E9" s="816">
        <v>5903</v>
      </c>
      <c r="F9" s="816">
        <v>5870</v>
      </c>
      <c r="G9" s="1130">
        <v>6147</v>
      </c>
      <c r="H9" s="1195">
        <v>6420</v>
      </c>
      <c r="I9" s="1835">
        <v>6877</v>
      </c>
      <c r="J9" s="1835">
        <v>6861</v>
      </c>
      <c r="K9" s="2262">
        <v>7689</v>
      </c>
    </row>
    <row r="10" spans="1:11" s="535" customFormat="1" x14ac:dyDescent="0.3">
      <c r="A10" s="531" t="s">
        <v>22</v>
      </c>
      <c r="B10" s="532" t="s">
        <v>23</v>
      </c>
      <c r="C10" s="532" t="s">
        <v>253</v>
      </c>
      <c r="D10" s="816">
        <v>3076</v>
      </c>
      <c r="E10" s="816">
        <v>3595</v>
      </c>
      <c r="F10" s="816">
        <v>3552</v>
      </c>
      <c r="G10" s="1130">
        <v>3735</v>
      </c>
      <c r="H10" s="1195">
        <v>3837</v>
      </c>
      <c r="I10" s="1835">
        <v>3960</v>
      </c>
      <c r="J10" s="1835">
        <v>3930</v>
      </c>
      <c r="K10" s="2262">
        <v>4353</v>
      </c>
    </row>
    <row r="11" spans="1:11" s="535" customFormat="1" x14ac:dyDescent="0.3">
      <c r="A11" s="531" t="s">
        <v>24</v>
      </c>
      <c r="B11" s="532" t="s">
        <v>25</v>
      </c>
      <c r="C11" s="532" t="s">
        <v>255</v>
      </c>
      <c r="D11" s="816">
        <v>12737</v>
      </c>
      <c r="E11" s="816">
        <v>14796</v>
      </c>
      <c r="F11" s="816">
        <v>15579</v>
      </c>
      <c r="G11" s="1130">
        <v>16871</v>
      </c>
      <c r="H11" s="1195">
        <v>17116</v>
      </c>
      <c r="I11" s="1835">
        <v>17810</v>
      </c>
      <c r="J11" s="1835">
        <v>17761</v>
      </c>
      <c r="K11" s="2262">
        <v>21053</v>
      </c>
    </row>
    <row r="12" spans="1:11" s="535" customFormat="1" x14ac:dyDescent="0.3">
      <c r="A12" s="531" t="s">
        <v>26</v>
      </c>
      <c r="B12" s="532" t="s">
        <v>547</v>
      </c>
      <c r="C12" s="532" t="s">
        <v>253</v>
      </c>
      <c r="D12" s="816">
        <v>18647</v>
      </c>
      <c r="E12" s="816">
        <v>22602</v>
      </c>
      <c r="F12" s="816">
        <v>22738</v>
      </c>
      <c r="G12" s="1130">
        <v>23152</v>
      </c>
      <c r="H12" s="1195">
        <v>23529</v>
      </c>
      <c r="I12" s="1835">
        <v>25154</v>
      </c>
      <c r="J12" s="1835">
        <v>24767</v>
      </c>
      <c r="K12" s="2262">
        <v>28210</v>
      </c>
    </row>
    <row r="13" spans="1:11" s="535" customFormat="1" x14ac:dyDescent="0.3">
      <c r="A13" s="531" t="s">
        <v>27</v>
      </c>
      <c r="B13" s="532" t="s">
        <v>28</v>
      </c>
      <c r="C13" s="532" t="s">
        <v>253</v>
      </c>
      <c r="D13" s="816">
        <v>643</v>
      </c>
      <c r="E13" s="816">
        <v>794</v>
      </c>
      <c r="F13" s="816">
        <v>746</v>
      </c>
      <c r="G13" s="1130">
        <v>847</v>
      </c>
      <c r="H13" s="1195">
        <v>838</v>
      </c>
      <c r="I13" s="1835">
        <v>805</v>
      </c>
      <c r="J13" s="1835">
        <v>815</v>
      </c>
      <c r="K13" s="2262">
        <v>979</v>
      </c>
    </row>
    <row r="14" spans="1:11" s="535" customFormat="1" x14ac:dyDescent="0.3">
      <c r="A14" s="531" t="s">
        <v>29</v>
      </c>
      <c r="B14" s="532" t="s">
        <v>736</v>
      </c>
      <c r="C14" s="532" t="s">
        <v>253</v>
      </c>
      <c r="D14" s="816">
        <v>9131</v>
      </c>
      <c r="E14" s="816">
        <v>10769</v>
      </c>
      <c r="F14" s="816">
        <v>11781</v>
      </c>
      <c r="G14" s="1130">
        <v>11201</v>
      </c>
      <c r="H14" s="1195">
        <v>11262</v>
      </c>
      <c r="I14" s="1835">
        <v>11525</v>
      </c>
      <c r="J14" s="1835">
        <v>11642</v>
      </c>
      <c r="K14" s="2262">
        <v>13423</v>
      </c>
    </row>
    <row r="15" spans="1:11" s="535" customFormat="1" x14ac:dyDescent="0.3">
      <c r="A15" s="531" t="s">
        <v>30</v>
      </c>
      <c r="B15" s="532" t="s">
        <v>31</v>
      </c>
      <c r="C15" s="532" t="s">
        <v>256</v>
      </c>
      <c r="D15" s="816">
        <v>957</v>
      </c>
      <c r="E15" s="816">
        <v>1141</v>
      </c>
      <c r="F15" s="816">
        <v>1079</v>
      </c>
      <c r="G15" s="1130">
        <v>1135</v>
      </c>
      <c r="H15" s="1195">
        <v>1178</v>
      </c>
      <c r="I15" s="1835">
        <v>1128</v>
      </c>
      <c r="J15" s="1835">
        <v>1134</v>
      </c>
      <c r="K15" s="2262">
        <v>1270</v>
      </c>
    </row>
    <row r="16" spans="1:11" s="535" customFormat="1" x14ac:dyDescent="0.3">
      <c r="A16" s="531" t="s">
        <v>32</v>
      </c>
      <c r="B16" s="532" t="s">
        <v>33</v>
      </c>
      <c r="C16" s="532" t="s">
        <v>253</v>
      </c>
      <c r="D16" s="816">
        <v>2517</v>
      </c>
      <c r="E16" s="816">
        <v>3021</v>
      </c>
      <c r="F16" s="816">
        <v>3162</v>
      </c>
      <c r="G16" s="1130">
        <v>3517</v>
      </c>
      <c r="H16" s="1195">
        <v>3788</v>
      </c>
      <c r="I16" s="1835">
        <v>3835</v>
      </c>
      <c r="J16" s="1835">
        <v>3937</v>
      </c>
      <c r="K16" s="2262">
        <v>4630</v>
      </c>
    </row>
    <row r="17" spans="1:11" s="535" customFormat="1" x14ac:dyDescent="0.3">
      <c r="A17" s="531" t="s">
        <v>36</v>
      </c>
      <c r="B17" s="532" t="s">
        <v>37</v>
      </c>
      <c r="C17" s="532" t="s">
        <v>252</v>
      </c>
      <c r="D17" s="816">
        <v>4053</v>
      </c>
      <c r="E17" s="816">
        <v>4599</v>
      </c>
      <c r="F17" s="816">
        <v>4717</v>
      </c>
      <c r="G17" s="1130">
        <v>4891</v>
      </c>
      <c r="H17" s="1195">
        <v>4966</v>
      </c>
      <c r="I17" s="1835">
        <v>5093</v>
      </c>
      <c r="J17" s="1835">
        <v>4969</v>
      </c>
      <c r="K17" s="2262">
        <v>5518</v>
      </c>
    </row>
    <row r="18" spans="1:11" s="535" customFormat="1" x14ac:dyDescent="0.3">
      <c r="A18" s="531" t="s">
        <v>38</v>
      </c>
      <c r="B18" s="532" t="s">
        <v>39</v>
      </c>
      <c r="C18" s="532" t="s">
        <v>256</v>
      </c>
      <c r="D18" s="816">
        <v>6027</v>
      </c>
      <c r="E18" s="816">
        <v>6790</v>
      </c>
      <c r="F18" s="816">
        <v>6782</v>
      </c>
      <c r="G18" s="1130">
        <v>6995</v>
      </c>
      <c r="H18" s="1195">
        <v>7154</v>
      </c>
      <c r="I18" s="1835">
        <v>7206</v>
      </c>
      <c r="J18" s="1835">
        <v>7188</v>
      </c>
      <c r="K18" s="2262">
        <v>8328</v>
      </c>
    </row>
    <row r="19" spans="1:11" s="535" customFormat="1" x14ac:dyDescent="0.3">
      <c r="A19" s="531" t="s">
        <v>40</v>
      </c>
      <c r="B19" s="532" t="s">
        <v>41</v>
      </c>
      <c r="C19" s="532" t="s">
        <v>254</v>
      </c>
      <c r="D19" s="816">
        <v>3294</v>
      </c>
      <c r="E19" s="816">
        <v>3854</v>
      </c>
      <c r="F19" s="816">
        <v>3910</v>
      </c>
      <c r="G19" s="1130">
        <v>4093</v>
      </c>
      <c r="H19" s="1195">
        <v>4106</v>
      </c>
      <c r="I19" s="1835">
        <v>4174</v>
      </c>
      <c r="J19" s="1835">
        <v>4174</v>
      </c>
      <c r="K19" s="2262">
        <v>4773</v>
      </c>
    </row>
    <row r="20" spans="1:11" s="535" customFormat="1" x14ac:dyDescent="0.3">
      <c r="A20" s="531" t="s">
        <v>42</v>
      </c>
      <c r="B20" s="532" t="s">
        <v>43</v>
      </c>
      <c r="C20" s="532" t="s">
        <v>253</v>
      </c>
      <c r="D20" s="816">
        <v>9574</v>
      </c>
      <c r="E20" s="816">
        <v>11108</v>
      </c>
      <c r="F20" s="816">
        <v>11288</v>
      </c>
      <c r="G20" s="1130">
        <v>11796</v>
      </c>
      <c r="H20" s="1195">
        <v>12088</v>
      </c>
      <c r="I20" s="1835">
        <v>12439</v>
      </c>
      <c r="J20" s="1835">
        <v>12254</v>
      </c>
      <c r="K20" s="2262">
        <v>13855</v>
      </c>
    </row>
    <row r="21" spans="1:11" s="535" customFormat="1" x14ac:dyDescent="0.3">
      <c r="A21" s="531" t="s">
        <v>44</v>
      </c>
      <c r="B21" s="532" t="s">
        <v>45</v>
      </c>
      <c r="C21" s="532" t="s">
        <v>254</v>
      </c>
      <c r="D21" s="816">
        <v>5014</v>
      </c>
      <c r="E21" s="816">
        <v>5851</v>
      </c>
      <c r="F21" s="816">
        <v>5839</v>
      </c>
      <c r="G21" s="1130">
        <v>6414</v>
      </c>
      <c r="H21" s="1195">
        <v>6653</v>
      </c>
      <c r="I21" s="1835">
        <v>6793</v>
      </c>
      <c r="J21" s="1835">
        <v>6762</v>
      </c>
      <c r="K21" s="2262">
        <v>7598</v>
      </c>
    </row>
    <row r="22" spans="1:11" s="535" customFormat="1" x14ac:dyDescent="0.3">
      <c r="A22" s="531" t="s">
        <v>46</v>
      </c>
      <c r="B22" s="532" t="s">
        <v>47</v>
      </c>
      <c r="C22" s="532" t="s">
        <v>256</v>
      </c>
      <c r="D22" s="816">
        <v>6468</v>
      </c>
      <c r="E22" s="816">
        <v>7310</v>
      </c>
      <c r="F22" s="816">
        <v>7293</v>
      </c>
      <c r="G22" s="1130">
        <v>7502</v>
      </c>
      <c r="H22" s="1195">
        <v>7549</v>
      </c>
      <c r="I22" s="1835">
        <v>7746</v>
      </c>
      <c r="J22" s="1835">
        <v>7682</v>
      </c>
      <c r="K22" s="2262">
        <v>8971</v>
      </c>
    </row>
    <row r="23" spans="1:11" s="535" customFormat="1" x14ac:dyDescent="0.3">
      <c r="A23" s="531" t="s">
        <v>48</v>
      </c>
      <c r="B23" s="532" t="s">
        <v>257</v>
      </c>
      <c r="C23" s="532" t="s">
        <v>254</v>
      </c>
      <c r="D23" s="816">
        <v>1088</v>
      </c>
      <c r="E23" s="816">
        <v>1262</v>
      </c>
      <c r="F23" s="816">
        <v>1242</v>
      </c>
      <c r="G23" s="1130">
        <v>1347</v>
      </c>
      <c r="H23" s="1195">
        <v>1500</v>
      </c>
      <c r="I23" s="1835">
        <v>1494</v>
      </c>
      <c r="J23" s="1835">
        <v>1527</v>
      </c>
      <c r="K23" s="2262">
        <v>1713</v>
      </c>
    </row>
    <row r="24" spans="1:11" s="535" customFormat="1" x14ac:dyDescent="0.3">
      <c r="A24" s="531" t="s">
        <v>50</v>
      </c>
      <c r="B24" s="532" t="s">
        <v>51</v>
      </c>
      <c r="C24" s="532" t="s">
        <v>253</v>
      </c>
      <c r="D24" s="816">
        <v>3016</v>
      </c>
      <c r="E24" s="816">
        <v>3385</v>
      </c>
      <c r="F24" s="816">
        <v>3331</v>
      </c>
      <c r="G24" s="1130">
        <v>3441</v>
      </c>
      <c r="H24" s="1195">
        <v>3386</v>
      </c>
      <c r="I24" s="1835">
        <v>3389</v>
      </c>
      <c r="J24" s="1835">
        <v>3322</v>
      </c>
      <c r="K24" s="2262">
        <v>3867</v>
      </c>
    </row>
    <row r="25" spans="1:11" s="535" customFormat="1" x14ac:dyDescent="0.3">
      <c r="A25" s="531" t="s">
        <v>56</v>
      </c>
      <c r="B25" s="532" t="s">
        <v>283</v>
      </c>
      <c r="C25" s="532" t="s">
        <v>254</v>
      </c>
      <c r="D25" s="816">
        <v>39492</v>
      </c>
      <c r="E25" s="816">
        <v>46535</v>
      </c>
      <c r="F25" s="816">
        <v>47972</v>
      </c>
      <c r="G25" s="1130">
        <v>53615</v>
      </c>
      <c r="H25" s="1195">
        <v>58350</v>
      </c>
      <c r="I25" s="1835">
        <v>61985</v>
      </c>
      <c r="J25" s="1835">
        <v>63439</v>
      </c>
      <c r="K25" s="2262">
        <v>70709</v>
      </c>
    </row>
    <row r="26" spans="1:11" s="535" customFormat="1" x14ac:dyDescent="0.3">
      <c r="A26" s="531" t="s">
        <v>58</v>
      </c>
      <c r="B26" s="532" t="s">
        <v>59</v>
      </c>
      <c r="C26" s="532" t="s">
        <v>255</v>
      </c>
      <c r="D26" s="816">
        <v>1123</v>
      </c>
      <c r="E26" s="816">
        <v>1330</v>
      </c>
      <c r="F26" s="816">
        <v>1369</v>
      </c>
      <c r="G26" s="1130">
        <v>1382</v>
      </c>
      <c r="H26" s="1195">
        <v>1395</v>
      </c>
      <c r="I26" s="1835">
        <v>1375</v>
      </c>
      <c r="J26" s="1835">
        <v>1365</v>
      </c>
      <c r="K26" s="2262">
        <v>1653</v>
      </c>
    </row>
    <row r="27" spans="1:11" s="535" customFormat="1" x14ac:dyDescent="0.3">
      <c r="A27" s="531" t="s">
        <v>60</v>
      </c>
      <c r="B27" s="532" t="s">
        <v>61</v>
      </c>
      <c r="C27" s="532" t="s">
        <v>253</v>
      </c>
      <c r="D27" s="816">
        <v>846</v>
      </c>
      <c r="E27" s="816">
        <v>1004</v>
      </c>
      <c r="F27" s="816">
        <v>1006</v>
      </c>
      <c r="G27" s="1130">
        <v>1091</v>
      </c>
      <c r="H27" s="1195">
        <v>1104</v>
      </c>
      <c r="I27" s="1835">
        <v>1099</v>
      </c>
      <c r="J27" s="1835">
        <v>1100</v>
      </c>
      <c r="K27" s="2262">
        <v>1191</v>
      </c>
    </row>
    <row r="28" spans="1:11" s="535" customFormat="1" x14ac:dyDescent="0.3">
      <c r="A28" s="531" t="s">
        <v>62</v>
      </c>
      <c r="B28" s="532" t="s">
        <v>63</v>
      </c>
      <c r="C28" s="532" t="s">
        <v>255</v>
      </c>
      <c r="D28" s="816">
        <v>7134</v>
      </c>
      <c r="E28" s="816">
        <v>8464</v>
      </c>
      <c r="F28" s="816">
        <v>8650</v>
      </c>
      <c r="G28" s="1130">
        <v>9204</v>
      </c>
      <c r="H28" s="1195">
        <v>9373</v>
      </c>
      <c r="I28" s="1835">
        <v>9448</v>
      </c>
      <c r="J28" s="1835">
        <v>9527</v>
      </c>
      <c r="K28" s="2262">
        <v>11055</v>
      </c>
    </row>
    <row r="29" spans="1:11" s="535" customFormat="1" x14ac:dyDescent="0.3">
      <c r="A29" s="531" t="s">
        <v>64</v>
      </c>
      <c r="B29" s="532" t="s">
        <v>65</v>
      </c>
      <c r="C29" s="532" t="s">
        <v>254</v>
      </c>
      <c r="D29" s="816">
        <v>2324</v>
      </c>
      <c r="E29" s="816">
        <v>2756</v>
      </c>
      <c r="F29" s="816">
        <v>2826</v>
      </c>
      <c r="G29" s="1130">
        <v>2903</v>
      </c>
      <c r="H29" s="1195">
        <v>2959</v>
      </c>
      <c r="I29" s="1835">
        <v>3004</v>
      </c>
      <c r="J29" s="1835">
        <v>3032</v>
      </c>
      <c r="K29" s="2262">
        <v>3401</v>
      </c>
    </row>
    <row r="30" spans="1:11" s="535" customFormat="1" x14ac:dyDescent="0.3">
      <c r="A30" s="531" t="s">
        <v>68</v>
      </c>
      <c r="B30" s="532" t="s">
        <v>69</v>
      </c>
      <c r="C30" s="532" t="s">
        <v>256</v>
      </c>
      <c r="D30" s="816">
        <v>4376</v>
      </c>
      <c r="E30" s="816">
        <v>4986</v>
      </c>
      <c r="F30" s="816">
        <v>4948</v>
      </c>
      <c r="G30" s="1130">
        <v>5092</v>
      </c>
      <c r="H30" s="1195">
        <v>5324</v>
      </c>
      <c r="I30" s="1835">
        <v>5308</v>
      </c>
      <c r="J30" s="1835">
        <v>5128</v>
      </c>
      <c r="K30" s="2262">
        <v>5681</v>
      </c>
    </row>
    <row r="31" spans="1:11" s="535" customFormat="1" x14ac:dyDescent="0.3">
      <c r="A31" s="531" t="s">
        <v>70</v>
      </c>
      <c r="B31" s="532" t="s">
        <v>71</v>
      </c>
      <c r="C31" s="532" t="s">
        <v>252</v>
      </c>
      <c r="D31" s="816">
        <v>4957</v>
      </c>
      <c r="E31" s="816">
        <v>5740</v>
      </c>
      <c r="F31" s="816">
        <v>5730</v>
      </c>
      <c r="G31" s="1130">
        <v>6179</v>
      </c>
      <c r="H31" s="1195">
        <v>6364</v>
      </c>
      <c r="I31" s="1835">
        <v>6521</v>
      </c>
      <c r="J31" s="1835">
        <v>6552</v>
      </c>
      <c r="K31" s="2262">
        <v>7541</v>
      </c>
    </row>
    <row r="32" spans="1:11" s="535" customFormat="1" x14ac:dyDescent="0.3">
      <c r="A32" s="531" t="s">
        <v>72</v>
      </c>
      <c r="B32" s="532" t="s">
        <v>73</v>
      </c>
      <c r="C32" s="532" t="s">
        <v>254</v>
      </c>
      <c r="D32" s="816">
        <v>2621</v>
      </c>
      <c r="E32" s="816">
        <v>2965</v>
      </c>
      <c r="F32" s="816">
        <v>2911</v>
      </c>
      <c r="G32" s="1130">
        <v>3042</v>
      </c>
      <c r="H32" s="1195">
        <v>3151</v>
      </c>
      <c r="I32" s="1835">
        <v>3166</v>
      </c>
      <c r="J32" s="1835">
        <v>3150</v>
      </c>
      <c r="K32" s="2262">
        <v>3530</v>
      </c>
    </row>
    <row r="33" spans="1:11" s="535" customFormat="1" x14ac:dyDescent="0.3">
      <c r="A33" s="531" t="s">
        <v>74</v>
      </c>
      <c r="B33" s="532" t="s">
        <v>284</v>
      </c>
      <c r="C33" s="532" t="s">
        <v>255</v>
      </c>
      <c r="D33" s="816">
        <v>84182</v>
      </c>
      <c r="E33" s="816">
        <v>97960</v>
      </c>
      <c r="F33" s="816">
        <v>100274</v>
      </c>
      <c r="G33" s="1130">
        <v>111943</v>
      </c>
      <c r="H33" s="1195">
        <v>110319</v>
      </c>
      <c r="I33" s="1835">
        <v>119486</v>
      </c>
      <c r="J33" s="1835">
        <v>119606</v>
      </c>
      <c r="K33" s="2262">
        <v>137459</v>
      </c>
    </row>
    <row r="34" spans="1:11" s="535" customFormat="1" x14ac:dyDescent="0.3">
      <c r="A34" s="531" t="s">
        <v>76</v>
      </c>
      <c r="B34" s="532" t="s">
        <v>77</v>
      </c>
      <c r="C34" s="532" t="s">
        <v>255</v>
      </c>
      <c r="D34" s="816">
        <v>5926</v>
      </c>
      <c r="E34" s="816">
        <v>7061</v>
      </c>
      <c r="F34" s="816">
        <v>7078</v>
      </c>
      <c r="G34" s="1130">
        <v>7728</v>
      </c>
      <c r="H34" s="1195">
        <v>7573</v>
      </c>
      <c r="I34" s="1835">
        <v>7776</v>
      </c>
      <c r="J34" s="1835">
        <v>7667</v>
      </c>
      <c r="K34" s="2262">
        <v>9162</v>
      </c>
    </row>
    <row r="35" spans="1:11" s="535" customFormat="1" x14ac:dyDescent="0.3">
      <c r="A35" s="531" t="s">
        <v>78</v>
      </c>
      <c r="B35" s="532" t="s">
        <v>79</v>
      </c>
      <c r="C35" s="532" t="s">
        <v>256</v>
      </c>
      <c r="D35" s="816">
        <v>2595</v>
      </c>
      <c r="E35" s="816">
        <v>2996</v>
      </c>
      <c r="F35" s="816">
        <v>3003</v>
      </c>
      <c r="G35" s="1130">
        <v>3157</v>
      </c>
      <c r="H35" s="1195">
        <v>3189</v>
      </c>
      <c r="I35" s="1835">
        <v>3315</v>
      </c>
      <c r="J35" s="1835">
        <v>3353</v>
      </c>
      <c r="K35" s="2262">
        <v>3832</v>
      </c>
    </row>
    <row r="36" spans="1:11" s="535" customFormat="1" x14ac:dyDescent="0.3">
      <c r="A36" s="531" t="s">
        <v>80</v>
      </c>
      <c r="B36" s="532" t="s">
        <v>81</v>
      </c>
      <c r="C36" s="532" t="s">
        <v>254</v>
      </c>
      <c r="D36" s="816">
        <v>2530</v>
      </c>
      <c r="E36" s="816">
        <v>3055</v>
      </c>
      <c r="F36" s="816">
        <v>3107</v>
      </c>
      <c r="G36" s="1130">
        <v>3275</v>
      </c>
      <c r="H36" s="1195">
        <v>3477</v>
      </c>
      <c r="I36" s="1835">
        <v>3657</v>
      </c>
      <c r="J36" s="1835">
        <v>3735</v>
      </c>
      <c r="K36" s="2262">
        <v>4192</v>
      </c>
    </row>
    <row r="37" spans="1:11" s="535" customFormat="1" x14ac:dyDescent="0.3">
      <c r="A37" s="531" t="s">
        <v>84</v>
      </c>
      <c r="B37" s="532" t="s">
        <v>85</v>
      </c>
      <c r="C37" s="532" t="s">
        <v>253</v>
      </c>
      <c r="D37" s="816">
        <v>9440</v>
      </c>
      <c r="E37" s="816">
        <v>10832</v>
      </c>
      <c r="F37" s="816">
        <v>10737</v>
      </c>
      <c r="G37" s="1130">
        <v>11137</v>
      </c>
      <c r="H37" s="1195">
        <v>11434</v>
      </c>
      <c r="I37" s="1835">
        <v>11426</v>
      </c>
      <c r="J37" s="1835">
        <v>11382</v>
      </c>
      <c r="K37" s="2262">
        <v>12915</v>
      </c>
    </row>
    <row r="38" spans="1:11" s="535" customFormat="1" x14ac:dyDescent="0.3">
      <c r="A38" s="531" t="s">
        <v>86</v>
      </c>
      <c r="B38" s="532" t="s">
        <v>87</v>
      </c>
      <c r="C38" s="532" t="s">
        <v>255</v>
      </c>
      <c r="D38" s="816">
        <v>9343</v>
      </c>
      <c r="E38" s="816">
        <v>11284</v>
      </c>
      <c r="F38" s="816">
        <v>11415</v>
      </c>
      <c r="G38" s="1130">
        <v>12057</v>
      </c>
      <c r="H38" s="1195">
        <v>12355</v>
      </c>
      <c r="I38" s="1835">
        <v>12524</v>
      </c>
      <c r="J38" s="1835">
        <v>12501</v>
      </c>
      <c r="K38" s="2262">
        <v>14339</v>
      </c>
    </row>
    <row r="39" spans="1:11" s="535" customFormat="1" x14ac:dyDescent="0.3">
      <c r="A39" s="531" t="s">
        <v>92</v>
      </c>
      <c r="B39" s="532" t="s">
        <v>93</v>
      </c>
      <c r="C39" s="532" t="s">
        <v>256</v>
      </c>
      <c r="D39" s="816">
        <v>3188</v>
      </c>
      <c r="E39" s="816">
        <v>3480</v>
      </c>
      <c r="F39" s="816">
        <v>3586</v>
      </c>
      <c r="G39" s="1130">
        <v>3857</v>
      </c>
      <c r="H39" s="1195">
        <v>3942</v>
      </c>
      <c r="I39" s="1835">
        <v>3944</v>
      </c>
      <c r="J39" s="1835">
        <v>4001</v>
      </c>
      <c r="K39" s="2262">
        <v>4416</v>
      </c>
    </row>
    <row r="40" spans="1:11" s="535" customFormat="1" x14ac:dyDescent="0.3">
      <c r="A40" s="531" t="s">
        <v>94</v>
      </c>
      <c r="B40" s="532" t="s">
        <v>95</v>
      </c>
      <c r="C40" s="532" t="s">
        <v>252</v>
      </c>
      <c r="D40" s="816">
        <v>4696</v>
      </c>
      <c r="E40" s="816">
        <v>5429</v>
      </c>
      <c r="F40" s="816">
        <v>5565</v>
      </c>
      <c r="G40" s="1130">
        <v>5896</v>
      </c>
      <c r="H40" s="1195">
        <v>6197</v>
      </c>
      <c r="I40" s="1835">
        <v>6415</v>
      </c>
      <c r="J40" s="1835">
        <v>6415</v>
      </c>
      <c r="K40" s="2262">
        <v>7528</v>
      </c>
    </row>
    <row r="41" spans="1:11" s="535" customFormat="1" x14ac:dyDescent="0.3">
      <c r="A41" s="531" t="s">
        <v>96</v>
      </c>
      <c r="B41" s="532" t="s">
        <v>97</v>
      </c>
      <c r="C41" s="532" t="s">
        <v>254</v>
      </c>
      <c r="D41" s="816">
        <v>1629</v>
      </c>
      <c r="E41" s="816">
        <v>1929</v>
      </c>
      <c r="F41" s="816">
        <v>1984</v>
      </c>
      <c r="G41" s="1130">
        <v>2158</v>
      </c>
      <c r="H41" s="1195">
        <v>2183</v>
      </c>
      <c r="I41" s="1835">
        <v>2182</v>
      </c>
      <c r="J41" s="1835">
        <v>2198</v>
      </c>
      <c r="K41" s="2262">
        <v>2818</v>
      </c>
    </row>
    <row r="42" spans="1:11" s="535" customFormat="1" x14ac:dyDescent="0.3">
      <c r="A42" s="531" t="s">
        <v>98</v>
      </c>
      <c r="B42" s="532" t="s">
        <v>99</v>
      </c>
      <c r="C42" s="532" t="s">
        <v>256</v>
      </c>
      <c r="D42" s="816">
        <v>3565</v>
      </c>
      <c r="E42" s="816">
        <v>4123</v>
      </c>
      <c r="F42" s="816">
        <v>4118</v>
      </c>
      <c r="G42" s="1130">
        <v>4213</v>
      </c>
      <c r="H42" s="1195">
        <v>4207</v>
      </c>
      <c r="I42" s="1835">
        <v>4153</v>
      </c>
      <c r="J42" s="1835">
        <v>4097</v>
      </c>
      <c r="K42" s="2262">
        <v>4628</v>
      </c>
    </row>
    <row r="43" spans="1:11" s="535" customFormat="1" x14ac:dyDescent="0.3">
      <c r="A43" s="531" t="s">
        <v>100</v>
      </c>
      <c r="B43" s="532" t="s">
        <v>101</v>
      </c>
      <c r="C43" s="532" t="s">
        <v>255</v>
      </c>
      <c r="D43" s="816">
        <v>2668</v>
      </c>
      <c r="E43" s="816">
        <v>3140</v>
      </c>
      <c r="F43" s="816">
        <v>3227</v>
      </c>
      <c r="G43" s="1130">
        <v>3377</v>
      </c>
      <c r="H43" s="1195">
        <v>3510</v>
      </c>
      <c r="I43" s="1835">
        <v>3661</v>
      </c>
      <c r="J43" s="1835">
        <v>3570</v>
      </c>
      <c r="K43" s="2262">
        <v>4147</v>
      </c>
    </row>
    <row r="44" spans="1:11" s="535" customFormat="1" x14ac:dyDescent="0.3">
      <c r="A44" s="531" t="s">
        <v>102</v>
      </c>
      <c r="B44" s="532" t="s">
        <v>270</v>
      </c>
      <c r="C44" s="532" t="s">
        <v>252</v>
      </c>
      <c r="D44" s="816">
        <v>4507</v>
      </c>
      <c r="E44" s="816">
        <v>5263</v>
      </c>
      <c r="F44" s="816">
        <v>5238</v>
      </c>
      <c r="G44" s="1130">
        <v>5598</v>
      </c>
      <c r="H44" s="1195">
        <v>5685</v>
      </c>
      <c r="I44" s="1835">
        <v>5905</v>
      </c>
      <c r="J44" s="1835">
        <v>5884</v>
      </c>
      <c r="K44" s="2262">
        <v>6369</v>
      </c>
    </row>
    <row r="45" spans="1:11" s="535" customFormat="1" x14ac:dyDescent="0.3">
      <c r="A45" s="531" t="s">
        <v>104</v>
      </c>
      <c r="B45" s="532" t="s">
        <v>105</v>
      </c>
      <c r="C45" s="532" t="s">
        <v>253</v>
      </c>
      <c r="D45" s="816">
        <v>8719</v>
      </c>
      <c r="E45" s="816">
        <v>9610</v>
      </c>
      <c r="F45" s="816">
        <v>9716</v>
      </c>
      <c r="G45" s="1130">
        <v>10094</v>
      </c>
      <c r="H45" s="1195">
        <v>10201</v>
      </c>
      <c r="I45" s="1835">
        <v>10294</v>
      </c>
      <c r="J45" s="1835">
        <v>10305</v>
      </c>
      <c r="K45" s="2262">
        <v>11443</v>
      </c>
    </row>
    <row r="46" spans="1:11" s="535" customFormat="1" x14ac:dyDescent="0.3">
      <c r="A46" s="531" t="s">
        <v>108</v>
      </c>
      <c r="B46" s="532" t="s">
        <v>109</v>
      </c>
      <c r="C46" s="532" t="s">
        <v>254</v>
      </c>
      <c r="D46" s="816">
        <v>7379</v>
      </c>
      <c r="E46" s="816">
        <v>8664</v>
      </c>
      <c r="F46" s="816">
        <v>8962</v>
      </c>
      <c r="G46" s="1130">
        <v>9708</v>
      </c>
      <c r="H46" s="1195">
        <v>10016</v>
      </c>
      <c r="I46" s="1835">
        <v>10318</v>
      </c>
      <c r="J46" s="1835">
        <v>10243</v>
      </c>
      <c r="K46" s="2262">
        <v>12215</v>
      </c>
    </row>
    <row r="47" spans="1:11" s="535" customFormat="1" x14ac:dyDescent="0.3">
      <c r="A47" s="531" t="s">
        <v>110</v>
      </c>
      <c r="B47" s="532" t="s">
        <v>111</v>
      </c>
      <c r="C47" s="532" t="s">
        <v>254</v>
      </c>
      <c r="D47" s="816">
        <v>39506</v>
      </c>
      <c r="E47" s="816">
        <v>46382</v>
      </c>
      <c r="F47" s="816">
        <v>47852</v>
      </c>
      <c r="G47" s="1130">
        <v>50663</v>
      </c>
      <c r="H47" s="1195">
        <v>53073</v>
      </c>
      <c r="I47" s="1835">
        <v>57145</v>
      </c>
      <c r="J47" s="1835">
        <v>59077</v>
      </c>
      <c r="K47" s="2262">
        <v>66594</v>
      </c>
    </row>
    <row r="48" spans="1:11" s="535" customFormat="1" x14ac:dyDescent="0.3">
      <c r="A48" s="531" t="s">
        <v>112</v>
      </c>
      <c r="B48" s="532" t="s">
        <v>288</v>
      </c>
      <c r="C48" s="532" t="s">
        <v>253</v>
      </c>
      <c r="D48" s="816">
        <v>18213</v>
      </c>
      <c r="E48" s="816">
        <v>20775</v>
      </c>
      <c r="F48" s="816">
        <v>20890</v>
      </c>
      <c r="G48" s="1130">
        <v>21924</v>
      </c>
      <c r="H48" s="1195">
        <v>22256</v>
      </c>
      <c r="I48" s="1835">
        <v>22417</v>
      </c>
      <c r="J48" s="1835">
        <v>22130</v>
      </c>
      <c r="K48" s="2262">
        <v>24488</v>
      </c>
    </row>
    <row r="49" spans="1:11" s="535" customFormat="1" x14ac:dyDescent="0.3">
      <c r="A49" s="531" t="s">
        <v>114</v>
      </c>
      <c r="B49" s="532" t="s">
        <v>115</v>
      </c>
      <c r="C49" s="532" t="s">
        <v>253</v>
      </c>
      <c r="D49" s="816">
        <v>249</v>
      </c>
      <c r="E49" s="816">
        <v>267</v>
      </c>
      <c r="F49" s="816">
        <v>353</v>
      </c>
      <c r="G49" s="1130">
        <v>441</v>
      </c>
      <c r="H49" s="1195">
        <v>323</v>
      </c>
      <c r="I49" s="1835">
        <v>336</v>
      </c>
      <c r="J49" s="1835">
        <v>308</v>
      </c>
      <c r="K49" s="2262">
        <v>403</v>
      </c>
    </row>
    <row r="50" spans="1:11" s="535" customFormat="1" x14ac:dyDescent="0.3">
      <c r="A50" s="531" t="s">
        <v>118</v>
      </c>
      <c r="B50" s="532" t="s">
        <v>258</v>
      </c>
      <c r="C50" s="532" t="s">
        <v>252</v>
      </c>
      <c r="D50" s="816">
        <v>4675</v>
      </c>
      <c r="E50" s="816">
        <v>5453</v>
      </c>
      <c r="F50" s="816">
        <v>5348</v>
      </c>
      <c r="G50" s="1130">
        <v>5703</v>
      </c>
      <c r="H50" s="1195">
        <v>5858</v>
      </c>
      <c r="I50" s="1835">
        <v>6176</v>
      </c>
      <c r="J50" s="1835">
        <v>6064</v>
      </c>
      <c r="K50" s="2262">
        <v>6803</v>
      </c>
    </row>
    <row r="51" spans="1:11" s="535" customFormat="1" x14ac:dyDescent="0.3">
      <c r="A51" s="531" t="s">
        <v>120</v>
      </c>
      <c r="B51" s="532" t="s">
        <v>121</v>
      </c>
      <c r="C51" s="532" t="s">
        <v>252</v>
      </c>
      <c r="D51" s="816">
        <v>5783</v>
      </c>
      <c r="E51" s="816">
        <v>6928</v>
      </c>
      <c r="F51" s="816">
        <v>7110</v>
      </c>
      <c r="G51" s="1130">
        <v>7569</v>
      </c>
      <c r="H51" s="1195">
        <v>8018</v>
      </c>
      <c r="I51" s="1835">
        <v>8268</v>
      </c>
      <c r="J51" s="1835">
        <v>8290</v>
      </c>
      <c r="K51" s="2262">
        <v>9514</v>
      </c>
    </row>
    <row r="52" spans="1:11" s="535" customFormat="1" x14ac:dyDescent="0.3">
      <c r="A52" s="531" t="s">
        <v>122</v>
      </c>
      <c r="B52" s="532" t="s">
        <v>275</v>
      </c>
      <c r="C52" s="532" t="s">
        <v>254</v>
      </c>
      <c r="D52" s="816">
        <v>1425</v>
      </c>
      <c r="E52" s="816">
        <v>1638</v>
      </c>
      <c r="F52" s="816">
        <v>1726</v>
      </c>
      <c r="G52" s="1130">
        <v>1766</v>
      </c>
      <c r="H52" s="1195">
        <v>1741</v>
      </c>
      <c r="I52" s="1835">
        <v>1772</v>
      </c>
      <c r="J52" s="1835">
        <v>1734</v>
      </c>
      <c r="K52" s="2262">
        <v>1935</v>
      </c>
    </row>
    <row r="53" spans="1:11" s="535" customFormat="1" x14ac:dyDescent="0.3">
      <c r="A53" s="531" t="s">
        <v>124</v>
      </c>
      <c r="B53" s="532" t="s">
        <v>125</v>
      </c>
      <c r="C53" s="532" t="s">
        <v>255</v>
      </c>
      <c r="D53" s="816">
        <v>3158</v>
      </c>
      <c r="E53" s="816">
        <v>3685</v>
      </c>
      <c r="F53" s="816">
        <v>3731</v>
      </c>
      <c r="G53" s="1130">
        <v>3990</v>
      </c>
      <c r="H53" s="1195">
        <v>3971</v>
      </c>
      <c r="I53" s="1835">
        <v>4102</v>
      </c>
      <c r="J53" s="1835">
        <v>4095</v>
      </c>
      <c r="K53" s="2262">
        <v>4415</v>
      </c>
    </row>
    <row r="54" spans="1:11" s="535" customFormat="1" x14ac:dyDescent="0.3">
      <c r="A54" s="531" t="s">
        <v>126</v>
      </c>
      <c r="B54" s="532" t="s">
        <v>127</v>
      </c>
      <c r="C54" s="532" t="s">
        <v>254</v>
      </c>
      <c r="D54" s="816">
        <v>2214</v>
      </c>
      <c r="E54" s="816">
        <v>2534</v>
      </c>
      <c r="F54" s="816">
        <v>2584</v>
      </c>
      <c r="G54" s="1130">
        <v>2629</v>
      </c>
      <c r="H54" s="1195">
        <v>2749</v>
      </c>
      <c r="I54" s="1835">
        <v>2717</v>
      </c>
      <c r="J54" s="1835">
        <v>2816</v>
      </c>
      <c r="K54" s="2262">
        <v>3280</v>
      </c>
    </row>
    <row r="55" spans="1:11" s="535" customFormat="1" x14ac:dyDescent="0.3">
      <c r="A55" s="531" t="s">
        <v>128</v>
      </c>
      <c r="B55" s="532" t="s">
        <v>129</v>
      </c>
      <c r="C55" s="532" t="s">
        <v>254</v>
      </c>
      <c r="D55" s="816">
        <v>1977</v>
      </c>
      <c r="E55" s="816">
        <v>2297</v>
      </c>
      <c r="F55" s="816">
        <v>2297</v>
      </c>
      <c r="G55" s="1130">
        <v>2377</v>
      </c>
      <c r="H55" s="1195">
        <v>2311</v>
      </c>
      <c r="I55" s="1835">
        <v>2486</v>
      </c>
      <c r="J55" s="1835">
        <v>2494</v>
      </c>
      <c r="K55" s="2262">
        <v>2792</v>
      </c>
    </row>
    <row r="56" spans="1:11" s="535" customFormat="1" x14ac:dyDescent="0.3">
      <c r="A56" s="531" t="s">
        <v>130</v>
      </c>
      <c r="B56" s="532" t="s">
        <v>131</v>
      </c>
      <c r="C56" s="532" t="s">
        <v>256</v>
      </c>
      <c r="D56" s="816">
        <v>7523</v>
      </c>
      <c r="E56" s="816">
        <v>8264</v>
      </c>
      <c r="F56" s="816">
        <v>8314</v>
      </c>
      <c r="G56" s="1130">
        <v>8399</v>
      </c>
      <c r="H56" s="1195">
        <v>8571</v>
      </c>
      <c r="I56" s="1835">
        <v>8393</v>
      </c>
      <c r="J56" s="1835">
        <v>8367</v>
      </c>
      <c r="K56" s="2262">
        <v>9703</v>
      </c>
    </row>
    <row r="57" spans="1:11" s="535" customFormat="1" x14ac:dyDescent="0.3">
      <c r="A57" s="531" t="s">
        <v>132</v>
      </c>
      <c r="B57" s="532" t="s">
        <v>133</v>
      </c>
      <c r="C57" s="532" t="s">
        <v>255</v>
      </c>
      <c r="D57" s="816">
        <v>17019</v>
      </c>
      <c r="E57" s="816">
        <v>20281</v>
      </c>
      <c r="F57" s="816">
        <v>21046</v>
      </c>
      <c r="G57" s="1130">
        <v>24648</v>
      </c>
      <c r="H57" s="1195">
        <v>27473</v>
      </c>
      <c r="I57" s="1835">
        <v>28801</v>
      </c>
      <c r="J57" s="1835">
        <v>28289</v>
      </c>
      <c r="K57" s="2262">
        <v>34350</v>
      </c>
    </row>
    <row r="58" spans="1:11" s="535" customFormat="1" x14ac:dyDescent="0.3">
      <c r="A58" s="531" t="s">
        <v>134</v>
      </c>
      <c r="B58" s="532" t="s">
        <v>135</v>
      </c>
      <c r="C58" s="532" t="s">
        <v>255</v>
      </c>
      <c r="D58" s="816">
        <v>5143</v>
      </c>
      <c r="E58" s="816">
        <v>6081</v>
      </c>
      <c r="F58" s="816">
        <v>6324</v>
      </c>
      <c r="G58" s="1130">
        <v>6872</v>
      </c>
      <c r="H58" s="1195">
        <v>6884</v>
      </c>
      <c r="I58" s="1835">
        <v>6923</v>
      </c>
      <c r="J58" s="1835">
        <v>6801</v>
      </c>
      <c r="K58" s="2262">
        <v>8015</v>
      </c>
    </row>
    <row r="59" spans="1:11" s="535" customFormat="1" x14ac:dyDescent="0.3">
      <c r="A59" s="531" t="s">
        <v>136</v>
      </c>
      <c r="B59" s="532" t="s">
        <v>137</v>
      </c>
      <c r="C59" s="532" t="s">
        <v>254</v>
      </c>
      <c r="D59" s="816">
        <v>2816</v>
      </c>
      <c r="E59" s="816">
        <v>3158</v>
      </c>
      <c r="F59" s="816">
        <v>3304</v>
      </c>
      <c r="G59" s="1130">
        <v>3428</v>
      </c>
      <c r="H59" s="1195">
        <v>3389</v>
      </c>
      <c r="I59" s="1835">
        <v>3361</v>
      </c>
      <c r="J59" s="1835">
        <v>3400</v>
      </c>
      <c r="K59" s="2262">
        <v>3920</v>
      </c>
    </row>
    <row r="60" spans="1:11" s="535" customFormat="1" x14ac:dyDescent="0.3">
      <c r="A60" s="531" t="s">
        <v>140</v>
      </c>
      <c r="B60" s="532" t="s">
        <v>141</v>
      </c>
      <c r="C60" s="532" t="s">
        <v>255</v>
      </c>
      <c r="D60" s="816">
        <v>1904</v>
      </c>
      <c r="E60" s="816">
        <v>2306</v>
      </c>
      <c r="F60" s="816">
        <v>2325</v>
      </c>
      <c r="G60" s="1130">
        <v>2490</v>
      </c>
      <c r="H60" s="1195">
        <v>2509</v>
      </c>
      <c r="I60" s="1835">
        <v>2506</v>
      </c>
      <c r="J60" s="1835">
        <v>2445</v>
      </c>
      <c r="K60" s="2262">
        <v>2899</v>
      </c>
    </row>
    <row r="61" spans="1:11" s="535" customFormat="1" x14ac:dyDescent="0.3">
      <c r="A61" s="531" t="s">
        <v>146</v>
      </c>
      <c r="B61" s="532" t="s">
        <v>147</v>
      </c>
      <c r="C61" s="532" t="s">
        <v>252</v>
      </c>
      <c r="D61" s="816">
        <v>1063</v>
      </c>
      <c r="E61" s="816">
        <v>1249</v>
      </c>
      <c r="F61" s="816">
        <v>1262</v>
      </c>
      <c r="G61" s="1130">
        <v>1354</v>
      </c>
      <c r="H61" s="1195">
        <v>1379</v>
      </c>
      <c r="I61" s="1835">
        <v>1387</v>
      </c>
      <c r="J61" s="1835">
        <v>1409</v>
      </c>
      <c r="K61" s="2262">
        <v>1760</v>
      </c>
    </row>
    <row r="62" spans="1:11" s="535" customFormat="1" x14ac:dyDescent="0.3">
      <c r="A62" s="531" t="s">
        <v>148</v>
      </c>
      <c r="B62" s="532" t="s">
        <v>149</v>
      </c>
      <c r="C62" s="532" t="s">
        <v>253</v>
      </c>
      <c r="D62" s="816">
        <v>6729</v>
      </c>
      <c r="E62" s="816">
        <v>7722</v>
      </c>
      <c r="F62" s="816">
        <v>7885</v>
      </c>
      <c r="G62" s="1130">
        <v>8010</v>
      </c>
      <c r="H62" s="1195">
        <v>7852</v>
      </c>
      <c r="I62" s="1835">
        <v>7958</v>
      </c>
      <c r="J62" s="1835">
        <v>7890</v>
      </c>
      <c r="K62" s="2262">
        <v>8910</v>
      </c>
    </row>
    <row r="63" spans="1:11" s="535" customFormat="1" x14ac:dyDescent="0.3">
      <c r="A63" s="531" t="s">
        <v>150</v>
      </c>
      <c r="B63" s="532" t="s">
        <v>151</v>
      </c>
      <c r="C63" s="532" t="s">
        <v>254</v>
      </c>
      <c r="D63" s="816">
        <v>1809</v>
      </c>
      <c r="E63" s="816">
        <v>2099</v>
      </c>
      <c r="F63" s="816">
        <v>2121</v>
      </c>
      <c r="G63" s="1130">
        <v>2273</v>
      </c>
      <c r="H63" s="1195">
        <v>2340</v>
      </c>
      <c r="I63" s="1835">
        <v>2481</v>
      </c>
      <c r="J63" s="1835">
        <v>2551</v>
      </c>
      <c r="K63" s="2262">
        <v>2838</v>
      </c>
    </row>
    <row r="64" spans="1:11" s="535" customFormat="1" x14ac:dyDescent="0.3">
      <c r="A64" s="531" t="s">
        <v>152</v>
      </c>
      <c r="B64" s="532" t="s">
        <v>153</v>
      </c>
      <c r="C64" s="532" t="s">
        <v>256</v>
      </c>
      <c r="D64" s="816">
        <v>9699</v>
      </c>
      <c r="E64" s="816">
        <v>11152</v>
      </c>
      <c r="F64" s="816">
        <v>11308</v>
      </c>
      <c r="G64" s="1130">
        <v>11516</v>
      </c>
      <c r="H64" s="1195">
        <v>11401</v>
      </c>
      <c r="I64" s="1835">
        <v>11491</v>
      </c>
      <c r="J64" s="1835">
        <v>11356</v>
      </c>
      <c r="K64" s="2262">
        <v>13231</v>
      </c>
    </row>
    <row r="65" spans="1:11" s="535" customFormat="1" x14ac:dyDescent="0.3">
      <c r="A65" s="531" t="s">
        <v>154</v>
      </c>
      <c r="B65" s="532" t="s">
        <v>155</v>
      </c>
      <c r="C65" s="532" t="s">
        <v>253</v>
      </c>
      <c r="D65" s="816">
        <v>2708</v>
      </c>
      <c r="E65" s="816">
        <v>3093</v>
      </c>
      <c r="F65" s="816">
        <v>3147</v>
      </c>
      <c r="G65" s="1130">
        <v>3332</v>
      </c>
      <c r="H65" s="1195">
        <v>3254</v>
      </c>
      <c r="I65" s="1835">
        <v>3292</v>
      </c>
      <c r="J65" s="1835">
        <v>3269</v>
      </c>
      <c r="K65" s="2262">
        <v>3620</v>
      </c>
    </row>
    <row r="66" spans="1:11" s="535" customFormat="1" x14ac:dyDescent="0.3">
      <c r="A66" s="531" t="s">
        <v>156</v>
      </c>
      <c r="B66" s="532" t="s">
        <v>157</v>
      </c>
      <c r="C66" s="532" t="s">
        <v>254</v>
      </c>
      <c r="D66" s="816">
        <v>1546</v>
      </c>
      <c r="E66" s="816">
        <v>1810</v>
      </c>
      <c r="F66" s="816">
        <v>1878</v>
      </c>
      <c r="G66" s="1130">
        <v>2187</v>
      </c>
      <c r="H66" s="1195">
        <v>2294</v>
      </c>
      <c r="I66" s="1835">
        <v>2302</v>
      </c>
      <c r="J66" s="1835">
        <v>2276</v>
      </c>
      <c r="K66" s="2262">
        <v>2646</v>
      </c>
    </row>
    <row r="67" spans="1:11" s="535" customFormat="1" x14ac:dyDescent="0.3">
      <c r="A67" s="531" t="s">
        <v>162</v>
      </c>
      <c r="B67" s="532" t="s">
        <v>163</v>
      </c>
      <c r="C67" s="532" t="s">
        <v>252</v>
      </c>
      <c r="D67" s="816">
        <v>3482</v>
      </c>
      <c r="E67" s="816">
        <v>3904</v>
      </c>
      <c r="F67" s="816">
        <v>3908</v>
      </c>
      <c r="G67" s="1130">
        <v>3936</v>
      </c>
      <c r="H67" s="1195">
        <v>3930</v>
      </c>
      <c r="I67" s="1835">
        <v>3950</v>
      </c>
      <c r="J67" s="1835">
        <v>3924</v>
      </c>
      <c r="K67" s="2262">
        <v>4459</v>
      </c>
    </row>
    <row r="68" spans="1:11" s="535" customFormat="1" x14ac:dyDescent="0.3">
      <c r="A68" s="531" t="s">
        <v>164</v>
      </c>
      <c r="B68" s="532" t="s">
        <v>165</v>
      </c>
      <c r="C68" s="532" t="s">
        <v>254</v>
      </c>
      <c r="D68" s="816">
        <v>2022</v>
      </c>
      <c r="E68" s="816">
        <v>2459</v>
      </c>
      <c r="F68" s="816">
        <v>2515</v>
      </c>
      <c r="G68" s="1130">
        <v>2582</v>
      </c>
      <c r="H68" s="1195">
        <v>2659</v>
      </c>
      <c r="I68" s="1835">
        <v>2633</v>
      </c>
      <c r="J68" s="1835">
        <v>2585</v>
      </c>
      <c r="K68" s="2262">
        <v>2904</v>
      </c>
    </row>
    <row r="69" spans="1:11" s="535" customFormat="1" x14ac:dyDescent="0.3">
      <c r="A69" s="531" t="s">
        <v>168</v>
      </c>
      <c r="B69" s="532" t="s">
        <v>169</v>
      </c>
      <c r="C69" s="532" t="s">
        <v>254</v>
      </c>
      <c r="D69" s="816">
        <v>3807</v>
      </c>
      <c r="E69" s="816">
        <v>4409</v>
      </c>
      <c r="F69" s="816">
        <v>4451</v>
      </c>
      <c r="G69" s="1130">
        <v>4608</v>
      </c>
      <c r="H69" s="1195">
        <v>4610</v>
      </c>
      <c r="I69" s="1835">
        <v>4687</v>
      </c>
      <c r="J69" s="1835">
        <v>4756</v>
      </c>
      <c r="K69" s="2262">
        <v>5120</v>
      </c>
    </row>
    <row r="70" spans="1:11" s="535" customFormat="1" x14ac:dyDescent="0.3">
      <c r="A70" s="531" t="s">
        <v>170</v>
      </c>
      <c r="B70" s="532" t="s">
        <v>171</v>
      </c>
      <c r="C70" s="532" t="s">
        <v>255</v>
      </c>
      <c r="D70" s="816">
        <v>4538</v>
      </c>
      <c r="E70" s="816">
        <v>5441</v>
      </c>
      <c r="F70" s="816">
        <v>5644</v>
      </c>
      <c r="G70" s="1130">
        <v>6057</v>
      </c>
      <c r="H70" s="1195">
        <v>6136</v>
      </c>
      <c r="I70" s="1835">
        <v>6281</v>
      </c>
      <c r="J70" s="1835">
        <v>6539</v>
      </c>
      <c r="K70" s="2262">
        <v>7632</v>
      </c>
    </row>
    <row r="71" spans="1:11" s="535" customFormat="1" x14ac:dyDescent="0.3">
      <c r="A71" s="531" t="s">
        <v>172</v>
      </c>
      <c r="B71" s="532" t="s">
        <v>173</v>
      </c>
      <c r="C71" s="532" t="s">
        <v>255</v>
      </c>
      <c r="D71" s="816">
        <v>4699</v>
      </c>
      <c r="E71" s="816">
        <v>5315</v>
      </c>
      <c r="F71" s="816">
        <v>5291</v>
      </c>
      <c r="G71" s="1130">
        <v>5529</v>
      </c>
      <c r="H71" s="1195">
        <v>5570</v>
      </c>
      <c r="I71" s="1835">
        <v>5569</v>
      </c>
      <c r="J71" s="1835">
        <v>5495</v>
      </c>
      <c r="K71" s="2262">
        <v>6515</v>
      </c>
    </row>
    <row r="72" spans="1:11" s="535" customFormat="1" x14ac:dyDescent="0.3">
      <c r="A72" s="531" t="s">
        <v>174</v>
      </c>
      <c r="B72" s="532" t="s">
        <v>175</v>
      </c>
      <c r="C72" s="532" t="s">
        <v>256</v>
      </c>
      <c r="D72" s="816">
        <v>4321</v>
      </c>
      <c r="E72" s="816">
        <v>4850</v>
      </c>
      <c r="F72" s="816">
        <v>4801</v>
      </c>
      <c r="G72" s="1130">
        <v>4888</v>
      </c>
      <c r="H72" s="1195">
        <v>4795</v>
      </c>
      <c r="I72" s="1835">
        <v>4868</v>
      </c>
      <c r="J72" s="1835">
        <v>4744</v>
      </c>
      <c r="K72" s="2262">
        <v>5264</v>
      </c>
    </row>
    <row r="73" spans="1:11" s="535" customFormat="1" x14ac:dyDescent="0.3">
      <c r="A73" s="531" t="s">
        <v>178</v>
      </c>
      <c r="B73" s="532" t="s">
        <v>179</v>
      </c>
      <c r="C73" s="532" t="s">
        <v>253</v>
      </c>
      <c r="D73" s="816">
        <v>12221</v>
      </c>
      <c r="E73" s="816">
        <v>14064</v>
      </c>
      <c r="F73" s="816">
        <v>14574</v>
      </c>
      <c r="G73" s="1130">
        <v>15218</v>
      </c>
      <c r="H73" s="1195">
        <v>15603</v>
      </c>
      <c r="I73" s="1835">
        <v>16097</v>
      </c>
      <c r="J73" s="1835">
        <v>15784</v>
      </c>
      <c r="K73" s="2262">
        <v>17717</v>
      </c>
    </row>
    <row r="74" spans="1:11" s="535" customFormat="1" x14ac:dyDescent="0.3">
      <c r="A74" s="531" t="s">
        <v>182</v>
      </c>
      <c r="B74" s="532" t="s">
        <v>183</v>
      </c>
      <c r="C74" s="532" t="s">
        <v>254</v>
      </c>
      <c r="D74" s="816">
        <v>2057</v>
      </c>
      <c r="E74" s="816">
        <v>2414</v>
      </c>
      <c r="F74" s="816">
        <v>2415</v>
      </c>
      <c r="G74" s="1130">
        <v>2554</v>
      </c>
      <c r="H74" s="1195">
        <v>2675</v>
      </c>
      <c r="I74" s="1835">
        <v>2772</v>
      </c>
      <c r="J74" s="1835">
        <v>2743</v>
      </c>
      <c r="K74" s="2262">
        <v>3285</v>
      </c>
    </row>
    <row r="75" spans="1:11" s="535" customFormat="1" x14ac:dyDescent="0.3">
      <c r="A75" s="531" t="s">
        <v>184</v>
      </c>
      <c r="B75" s="532" t="s">
        <v>185</v>
      </c>
      <c r="C75" s="532" t="s">
        <v>254</v>
      </c>
      <c r="D75" s="816">
        <v>4424</v>
      </c>
      <c r="E75" s="816">
        <v>4998</v>
      </c>
      <c r="F75" s="816">
        <v>5172</v>
      </c>
      <c r="G75" s="1130">
        <v>5253</v>
      </c>
      <c r="H75" s="1195">
        <v>5297</v>
      </c>
      <c r="I75" s="1835">
        <v>5339</v>
      </c>
      <c r="J75" s="1835">
        <v>5252</v>
      </c>
      <c r="K75" s="2262">
        <v>5790</v>
      </c>
    </row>
    <row r="76" spans="1:11" s="535" customFormat="1" x14ac:dyDescent="0.3">
      <c r="A76" s="531" t="s">
        <v>186</v>
      </c>
      <c r="B76" s="532" t="s">
        <v>187</v>
      </c>
      <c r="C76" s="532" t="s">
        <v>252</v>
      </c>
      <c r="D76" s="816">
        <v>3215</v>
      </c>
      <c r="E76" s="816">
        <v>3944</v>
      </c>
      <c r="F76" s="816">
        <v>4301</v>
      </c>
      <c r="G76" s="1130">
        <v>4794</v>
      </c>
      <c r="H76" s="1195">
        <v>5245</v>
      </c>
      <c r="I76" s="1835">
        <v>5552</v>
      </c>
      <c r="J76" s="1835">
        <v>5639</v>
      </c>
      <c r="K76" s="2262">
        <v>6689</v>
      </c>
    </row>
    <row r="77" spans="1:11" s="535" customFormat="1" x14ac:dyDescent="0.3">
      <c r="A77" s="531" t="s">
        <v>188</v>
      </c>
      <c r="B77" s="532" t="s">
        <v>189</v>
      </c>
      <c r="C77" s="532" t="s">
        <v>255</v>
      </c>
      <c r="D77" s="816">
        <v>47200</v>
      </c>
      <c r="E77" s="816">
        <v>56097</v>
      </c>
      <c r="F77" s="816">
        <v>57061</v>
      </c>
      <c r="G77" s="1130">
        <v>62474</v>
      </c>
      <c r="H77" s="1195">
        <v>64879</v>
      </c>
      <c r="I77" s="1835">
        <v>69221</v>
      </c>
      <c r="J77" s="1835">
        <v>68776</v>
      </c>
      <c r="K77" s="2262">
        <v>78374</v>
      </c>
    </row>
    <row r="78" spans="1:11" s="535" customFormat="1" x14ac:dyDescent="0.3">
      <c r="A78" s="531" t="s">
        <v>190</v>
      </c>
      <c r="B78" s="532" t="s">
        <v>191</v>
      </c>
      <c r="C78" s="532" t="s">
        <v>256</v>
      </c>
      <c r="D78" s="816">
        <v>6657</v>
      </c>
      <c r="E78" s="816">
        <v>7717</v>
      </c>
      <c r="F78" s="816">
        <v>7902</v>
      </c>
      <c r="G78" s="1130">
        <v>8047</v>
      </c>
      <c r="H78" s="1195">
        <v>8121</v>
      </c>
      <c r="I78" s="1835">
        <v>8331</v>
      </c>
      <c r="J78" s="1835">
        <v>8347</v>
      </c>
      <c r="K78" s="2262">
        <v>9172</v>
      </c>
    </row>
    <row r="79" spans="1:11" s="535" customFormat="1" x14ac:dyDescent="0.3">
      <c r="A79" s="531" t="s">
        <v>194</v>
      </c>
      <c r="B79" s="532" t="s">
        <v>195</v>
      </c>
      <c r="C79" s="532" t="s">
        <v>255</v>
      </c>
      <c r="D79" s="816">
        <v>850</v>
      </c>
      <c r="E79" s="816">
        <v>986</v>
      </c>
      <c r="F79" s="816">
        <v>979</v>
      </c>
      <c r="G79" s="1130">
        <v>1027</v>
      </c>
      <c r="H79" s="1195">
        <v>1017</v>
      </c>
      <c r="I79" s="1835">
        <v>1005</v>
      </c>
      <c r="J79" s="1835">
        <v>971</v>
      </c>
      <c r="K79" s="2262">
        <v>1180</v>
      </c>
    </row>
    <row r="80" spans="1:11" s="535" customFormat="1" x14ac:dyDescent="0.3">
      <c r="A80" s="531" t="s">
        <v>198</v>
      </c>
      <c r="B80" s="532" t="s">
        <v>260</v>
      </c>
      <c r="C80" s="532" t="s">
        <v>254</v>
      </c>
      <c r="D80" s="816">
        <v>1535</v>
      </c>
      <c r="E80" s="816">
        <v>1874</v>
      </c>
      <c r="F80" s="816">
        <v>1914</v>
      </c>
      <c r="G80" s="1130">
        <v>2080</v>
      </c>
      <c r="H80" s="1195">
        <v>2147</v>
      </c>
      <c r="I80" s="1835">
        <v>2069</v>
      </c>
      <c r="J80" s="1835">
        <v>2068</v>
      </c>
      <c r="K80" s="2262">
        <v>2377</v>
      </c>
    </row>
    <row r="81" spans="1:11" s="535" customFormat="1" x14ac:dyDescent="0.3">
      <c r="A81" s="531" t="s">
        <v>202</v>
      </c>
      <c r="B81" s="532" t="s">
        <v>289</v>
      </c>
      <c r="C81" s="532" t="s">
        <v>253</v>
      </c>
      <c r="D81" s="816">
        <v>11981</v>
      </c>
      <c r="E81" s="816">
        <v>14472</v>
      </c>
      <c r="F81" s="816">
        <v>14703</v>
      </c>
      <c r="G81" s="1130">
        <v>15468</v>
      </c>
      <c r="H81" s="1195">
        <v>15679</v>
      </c>
      <c r="I81" s="1835">
        <v>16124</v>
      </c>
      <c r="J81" s="1835">
        <v>16035</v>
      </c>
      <c r="K81" s="2262">
        <v>18490</v>
      </c>
    </row>
    <row r="82" spans="1:11" s="535" customFormat="1" x14ac:dyDescent="0.3">
      <c r="A82" s="531" t="s">
        <v>204</v>
      </c>
      <c r="B82" s="532" t="s">
        <v>281</v>
      </c>
      <c r="C82" s="532" t="s">
        <v>253</v>
      </c>
      <c r="D82" s="816">
        <v>5166</v>
      </c>
      <c r="E82" s="816">
        <v>6054</v>
      </c>
      <c r="F82" s="816">
        <v>6238</v>
      </c>
      <c r="G82" s="1130">
        <v>6461</v>
      </c>
      <c r="H82" s="1195">
        <v>6846</v>
      </c>
      <c r="I82" s="1835">
        <v>7119</v>
      </c>
      <c r="J82" s="1835">
        <v>7117</v>
      </c>
      <c r="K82" s="2262">
        <v>8250</v>
      </c>
    </row>
    <row r="83" spans="1:11" s="535" customFormat="1" x14ac:dyDescent="0.3">
      <c r="A83" s="531" t="s">
        <v>206</v>
      </c>
      <c r="B83" s="532" t="s">
        <v>282</v>
      </c>
      <c r="C83" s="532" t="s">
        <v>255</v>
      </c>
      <c r="D83" s="816">
        <v>16008</v>
      </c>
      <c r="E83" s="816">
        <v>18886</v>
      </c>
      <c r="F83" s="816">
        <v>19333</v>
      </c>
      <c r="G83" s="1130">
        <v>20370</v>
      </c>
      <c r="H83" s="1195">
        <v>21119</v>
      </c>
      <c r="I83" s="1835">
        <v>22521</v>
      </c>
      <c r="J83" s="1835">
        <v>21900</v>
      </c>
      <c r="K83" s="2262">
        <v>25583</v>
      </c>
    </row>
    <row r="84" spans="1:11" s="535" customFormat="1" x14ac:dyDescent="0.3">
      <c r="A84" s="531" t="s">
        <v>208</v>
      </c>
      <c r="B84" s="532" t="s">
        <v>209</v>
      </c>
      <c r="C84" s="532" t="s">
        <v>256</v>
      </c>
      <c r="D84" s="816">
        <v>7119</v>
      </c>
      <c r="E84" s="816">
        <v>8019</v>
      </c>
      <c r="F84" s="816">
        <v>8264</v>
      </c>
      <c r="G84" s="1130">
        <v>8430</v>
      </c>
      <c r="H84" s="1195">
        <v>8584</v>
      </c>
      <c r="I84" s="1835">
        <v>8448</v>
      </c>
      <c r="J84" s="1835">
        <v>8224</v>
      </c>
      <c r="K84" s="2262">
        <v>9190</v>
      </c>
    </row>
    <row r="85" spans="1:11" s="535" customFormat="1" x14ac:dyDescent="0.3">
      <c r="A85" s="531" t="s">
        <v>210</v>
      </c>
      <c r="B85" s="532" t="s">
        <v>211</v>
      </c>
      <c r="C85" s="532" t="s">
        <v>256</v>
      </c>
      <c r="D85" s="816">
        <v>5325</v>
      </c>
      <c r="E85" s="816">
        <v>6026</v>
      </c>
      <c r="F85" s="816">
        <v>6068</v>
      </c>
      <c r="G85" s="1130">
        <v>6125</v>
      </c>
      <c r="H85" s="1195">
        <v>6193</v>
      </c>
      <c r="I85" s="1835">
        <v>6289</v>
      </c>
      <c r="J85" s="1835">
        <v>6182</v>
      </c>
      <c r="K85" s="2262">
        <v>6821</v>
      </c>
    </row>
    <row r="86" spans="1:11" s="535" customFormat="1" x14ac:dyDescent="0.3">
      <c r="A86" s="531" t="s">
        <v>212</v>
      </c>
      <c r="B86" s="532" t="s">
        <v>213</v>
      </c>
      <c r="C86" s="532" t="s">
        <v>255</v>
      </c>
      <c r="D86" s="816">
        <v>6548</v>
      </c>
      <c r="E86" s="816">
        <v>7641</v>
      </c>
      <c r="F86" s="816">
        <v>7717</v>
      </c>
      <c r="G86" s="1130">
        <v>7970</v>
      </c>
      <c r="H86" s="1195">
        <v>8374</v>
      </c>
      <c r="I86" s="1835">
        <v>8669</v>
      </c>
      <c r="J86" s="1835">
        <v>8647</v>
      </c>
      <c r="K86" s="2262">
        <v>9823</v>
      </c>
    </row>
    <row r="87" spans="1:11" s="535" customFormat="1" x14ac:dyDescent="0.3">
      <c r="A87" s="531" t="s">
        <v>214</v>
      </c>
      <c r="B87" s="532" t="s">
        <v>215</v>
      </c>
      <c r="C87" s="532" t="s">
        <v>256</v>
      </c>
      <c r="D87" s="816">
        <v>7716</v>
      </c>
      <c r="E87" s="816">
        <v>8744</v>
      </c>
      <c r="F87" s="816">
        <v>8727</v>
      </c>
      <c r="G87" s="1130">
        <v>8830</v>
      </c>
      <c r="H87" s="1195">
        <v>8721</v>
      </c>
      <c r="I87" s="1835">
        <v>8753</v>
      </c>
      <c r="J87" s="1835">
        <v>8819</v>
      </c>
      <c r="K87" s="2262">
        <v>10063</v>
      </c>
    </row>
    <row r="88" spans="1:11" s="535" customFormat="1" x14ac:dyDescent="0.3">
      <c r="A88" s="531" t="s">
        <v>216</v>
      </c>
      <c r="B88" s="532" t="s">
        <v>217</v>
      </c>
      <c r="C88" s="532" t="s">
        <v>252</v>
      </c>
      <c r="D88" s="816">
        <v>3397</v>
      </c>
      <c r="E88" s="816">
        <v>3971</v>
      </c>
      <c r="F88" s="816">
        <v>4047</v>
      </c>
      <c r="G88" s="1130">
        <v>4196</v>
      </c>
      <c r="H88" s="1195">
        <v>4203</v>
      </c>
      <c r="I88" s="1835">
        <v>4321</v>
      </c>
      <c r="J88" s="1835">
        <v>4299</v>
      </c>
      <c r="K88" s="2262">
        <v>4831</v>
      </c>
    </row>
    <row r="89" spans="1:11" s="535" customFormat="1" x14ac:dyDescent="0.3">
      <c r="A89" s="531" t="s">
        <v>218</v>
      </c>
      <c r="B89" s="532" t="s">
        <v>219</v>
      </c>
      <c r="C89" s="532" t="s">
        <v>255</v>
      </c>
      <c r="D89" s="816">
        <v>14601</v>
      </c>
      <c r="E89" s="816">
        <v>17575</v>
      </c>
      <c r="F89" s="816">
        <v>18454</v>
      </c>
      <c r="G89" s="1130">
        <v>20591</v>
      </c>
      <c r="H89" s="1195">
        <v>21841</v>
      </c>
      <c r="I89" s="1835">
        <v>22889</v>
      </c>
      <c r="J89" s="1835">
        <v>23041</v>
      </c>
      <c r="K89" s="2262">
        <v>26645</v>
      </c>
    </row>
    <row r="90" spans="1:11" s="535" customFormat="1" x14ac:dyDescent="0.3">
      <c r="A90" s="531" t="s">
        <v>220</v>
      </c>
      <c r="B90" s="532" t="s">
        <v>221</v>
      </c>
      <c r="C90" s="532" t="s">
        <v>255</v>
      </c>
      <c r="D90" s="816">
        <v>12192</v>
      </c>
      <c r="E90" s="816">
        <v>14762</v>
      </c>
      <c r="F90" s="816">
        <v>15216</v>
      </c>
      <c r="G90" s="1130">
        <v>16922</v>
      </c>
      <c r="H90" s="1195">
        <v>18527</v>
      </c>
      <c r="I90" s="1835">
        <v>19166</v>
      </c>
      <c r="J90" s="1835">
        <v>19364</v>
      </c>
      <c r="K90" s="2262">
        <v>22891</v>
      </c>
    </row>
    <row r="91" spans="1:11" s="535" customFormat="1" x14ac:dyDescent="0.3">
      <c r="A91" s="531" t="s">
        <v>224</v>
      </c>
      <c r="B91" s="532" t="s">
        <v>225</v>
      </c>
      <c r="C91" s="532" t="s">
        <v>252</v>
      </c>
      <c r="D91" s="816">
        <v>1173</v>
      </c>
      <c r="E91" s="816">
        <v>1369</v>
      </c>
      <c r="F91" s="816">
        <v>1410</v>
      </c>
      <c r="G91" s="1130">
        <v>1437</v>
      </c>
      <c r="H91" s="1195">
        <v>1488</v>
      </c>
      <c r="I91" s="1835">
        <v>1443</v>
      </c>
      <c r="J91" s="1835">
        <v>1410</v>
      </c>
      <c r="K91" s="2262">
        <v>1606</v>
      </c>
    </row>
    <row r="92" spans="1:11" s="535" customFormat="1" x14ac:dyDescent="0.3">
      <c r="A92" s="531" t="s">
        <v>226</v>
      </c>
      <c r="B92" s="532" t="s">
        <v>227</v>
      </c>
      <c r="C92" s="532" t="s">
        <v>252</v>
      </c>
      <c r="D92" s="816">
        <v>2191</v>
      </c>
      <c r="E92" s="816">
        <v>2578</v>
      </c>
      <c r="F92" s="816">
        <v>2577</v>
      </c>
      <c r="G92" s="1130">
        <v>2665</v>
      </c>
      <c r="H92" s="1195">
        <v>2692</v>
      </c>
      <c r="I92" s="1835">
        <v>2740</v>
      </c>
      <c r="J92" s="1835">
        <v>2682</v>
      </c>
      <c r="K92" s="2262">
        <v>3062</v>
      </c>
    </row>
    <row r="93" spans="1:11" s="535" customFormat="1" x14ac:dyDescent="0.3">
      <c r="A93" s="531" t="s">
        <v>228</v>
      </c>
      <c r="B93" s="532" t="s">
        <v>229</v>
      </c>
      <c r="C93" s="532" t="s">
        <v>256</v>
      </c>
      <c r="D93" s="816">
        <v>9633</v>
      </c>
      <c r="E93" s="816">
        <v>11053</v>
      </c>
      <c r="F93" s="816">
        <v>11167</v>
      </c>
      <c r="G93" s="1130">
        <v>11649</v>
      </c>
      <c r="H93" s="1195">
        <v>12017</v>
      </c>
      <c r="I93" s="1835">
        <v>12574</v>
      </c>
      <c r="J93" s="1835">
        <v>12220</v>
      </c>
      <c r="K93" s="2262">
        <v>13708</v>
      </c>
    </row>
    <row r="94" spans="1:11" s="535" customFormat="1" x14ac:dyDescent="0.3">
      <c r="A94" s="531" t="s">
        <v>232</v>
      </c>
      <c r="B94" s="532" t="s">
        <v>233</v>
      </c>
      <c r="C94" s="532" t="s">
        <v>255</v>
      </c>
      <c r="D94" s="816">
        <v>5461</v>
      </c>
      <c r="E94" s="816">
        <v>6613</v>
      </c>
      <c r="F94" s="816">
        <v>6681</v>
      </c>
      <c r="G94" s="1130">
        <v>7196</v>
      </c>
      <c r="H94" s="1195">
        <v>7352</v>
      </c>
      <c r="I94" s="1835">
        <v>7681</v>
      </c>
      <c r="J94" s="1835">
        <v>7649</v>
      </c>
      <c r="K94" s="2262">
        <v>8602</v>
      </c>
    </row>
    <row r="95" spans="1:11" s="535" customFormat="1" x14ac:dyDescent="0.3">
      <c r="A95" s="531" t="s">
        <v>234</v>
      </c>
      <c r="B95" s="532" t="s">
        <v>235</v>
      </c>
      <c r="C95" s="532" t="s">
        <v>256</v>
      </c>
      <c r="D95" s="816">
        <v>9483</v>
      </c>
      <c r="E95" s="816">
        <v>11154</v>
      </c>
      <c r="F95" s="816">
        <v>11420</v>
      </c>
      <c r="G95" s="1130">
        <v>11634</v>
      </c>
      <c r="H95" s="1195">
        <v>11711</v>
      </c>
      <c r="I95" s="1835">
        <v>11947</v>
      </c>
      <c r="J95" s="1835">
        <v>12088</v>
      </c>
      <c r="K95" s="2262">
        <v>13651</v>
      </c>
    </row>
    <row r="96" spans="1:11" s="535" customFormat="1" x14ac:dyDescent="0.3">
      <c r="A96" s="531" t="s">
        <v>236</v>
      </c>
      <c r="B96" s="532" t="s">
        <v>237</v>
      </c>
      <c r="C96" s="532" t="s">
        <v>254</v>
      </c>
      <c r="D96" s="816">
        <v>3597</v>
      </c>
      <c r="E96" s="816">
        <v>4123</v>
      </c>
      <c r="F96" s="816">
        <v>4117</v>
      </c>
      <c r="G96" s="1130">
        <v>4501</v>
      </c>
      <c r="H96" s="1195">
        <v>4712</v>
      </c>
      <c r="I96" s="1835">
        <v>4817</v>
      </c>
      <c r="J96" s="1835">
        <v>4987</v>
      </c>
      <c r="K96" s="2262">
        <v>5524</v>
      </c>
    </row>
    <row r="97" spans="1:11" s="535" customFormat="1" x14ac:dyDescent="0.3">
      <c r="A97" s="531" t="s">
        <v>242</v>
      </c>
      <c r="B97" s="532" t="s">
        <v>243</v>
      </c>
      <c r="C97" s="532" t="s">
        <v>256</v>
      </c>
      <c r="D97" s="816">
        <v>10595</v>
      </c>
      <c r="E97" s="816">
        <v>12033</v>
      </c>
      <c r="F97" s="816">
        <v>12231</v>
      </c>
      <c r="G97" s="1130">
        <v>12335</v>
      </c>
      <c r="H97" s="1195">
        <v>12486</v>
      </c>
      <c r="I97" s="1835">
        <v>12808</v>
      </c>
      <c r="J97" s="1835">
        <v>12426</v>
      </c>
      <c r="K97" s="2262">
        <v>13992</v>
      </c>
    </row>
    <row r="98" spans="1:11" s="535" customFormat="1" x14ac:dyDescent="0.3">
      <c r="A98" s="531" t="s">
        <v>244</v>
      </c>
      <c r="B98" s="532" t="s">
        <v>245</v>
      </c>
      <c r="C98" s="532" t="s">
        <v>256</v>
      </c>
      <c r="D98" s="816">
        <v>5853</v>
      </c>
      <c r="E98" s="816">
        <v>6705</v>
      </c>
      <c r="F98" s="816">
        <v>6687</v>
      </c>
      <c r="G98" s="1130">
        <v>6882</v>
      </c>
      <c r="H98" s="1195">
        <v>6844</v>
      </c>
      <c r="I98" s="1835">
        <v>6905</v>
      </c>
      <c r="J98" s="1835">
        <v>7050</v>
      </c>
      <c r="K98" s="2262">
        <v>8215</v>
      </c>
    </row>
    <row r="99" spans="1:11" s="535" customFormat="1" x14ac:dyDescent="0.3">
      <c r="A99" s="531" t="s">
        <v>246</v>
      </c>
      <c r="B99" s="532" t="s">
        <v>247</v>
      </c>
      <c r="C99" s="532" t="s">
        <v>252</v>
      </c>
      <c r="D99" s="816">
        <v>4500</v>
      </c>
      <c r="E99" s="816">
        <v>5517</v>
      </c>
      <c r="F99" s="816">
        <v>5699</v>
      </c>
      <c r="G99" s="1130">
        <v>6089</v>
      </c>
      <c r="H99" s="1195">
        <v>6193</v>
      </c>
      <c r="I99" s="1835">
        <v>6378</v>
      </c>
      <c r="J99" s="1835">
        <v>6620</v>
      </c>
      <c r="K99" s="2262">
        <v>7820</v>
      </c>
    </row>
    <row r="100" spans="1:11" s="535" customFormat="1" x14ac:dyDescent="0.3">
      <c r="A100" s="531" t="s">
        <v>14</v>
      </c>
      <c r="B100" s="532" t="s">
        <v>15</v>
      </c>
      <c r="C100" s="532" t="s">
        <v>255</v>
      </c>
      <c r="D100" s="816">
        <v>13527</v>
      </c>
      <c r="E100" s="816">
        <v>16034</v>
      </c>
      <c r="F100" s="816">
        <v>16340</v>
      </c>
      <c r="G100" s="1130">
        <v>18483</v>
      </c>
      <c r="H100" s="1195">
        <v>19758</v>
      </c>
      <c r="I100" s="1835">
        <v>21145</v>
      </c>
      <c r="J100" s="1835">
        <v>21695</v>
      </c>
      <c r="K100" s="2262">
        <v>24501</v>
      </c>
    </row>
    <row r="101" spans="1:11" s="535" customFormat="1" x14ac:dyDescent="0.3">
      <c r="A101" s="531" t="s">
        <v>34</v>
      </c>
      <c r="B101" s="532" t="s">
        <v>35</v>
      </c>
      <c r="C101" s="532" t="s">
        <v>256</v>
      </c>
      <c r="D101" s="816">
        <v>5156</v>
      </c>
      <c r="E101" s="816">
        <v>6228</v>
      </c>
      <c r="F101" s="816">
        <v>6006</v>
      </c>
      <c r="G101" s="1130">
        <v>5843</v>
      </c>
      <c r="H101" s="1195">
        <v>5841</v>
      </c>
      <c r="I101" s="1835">
        <v>6034</v>
      </c>
      <c r="J101" s="1835">
        <v>6057</v>
      </c>
      <c r="K101" s="2262">
        <v>6977</v>
      </c>
    </row>
    <row r="102" spans="1:11" s="535" customFormat="1" x14ac:dyDescent="0.3">
      <c r="A102" s="531" t="s">
        <v>52</v>
      </c>
      <c r="B102" s="532" t="s">
        <v>53</v>
      </c>
      <c r="C102" s="532" t="s">
        <v>253</v>
      </c>
      <c r="D102" s="816">
        <v>6721</v>
      </c>
      <c r="E102" s="816">
        <v>7762</v>
      </c>
      <c r="F102" s="816">
        <v>7504</v>
      </c>
      <c r="G102" s="1130">
        <v>7721</v>
      </c>
      <c r="H102" s="1195">
        <v>7751</v>
      </c>
      <c r="I102" s="1835">
        <v>7718</v>
      </c>
      <c r="J102" s="1835">
        <v>7520</v>
      </c>
      <c r="K102" s="2262">
        <v>8621</v>
      </c>
    </row>
    <row r="103" spans="1:11" s="535" customFormat="1" x14ac:dyDescent="0.3">
      <c r="A103" s="531" t="s">
        <v>54</v>
      </c>
      <c r="B103" s="532" t="s">
        <v>55</v>
      </c>
      <c r="C103" s="532" t="s">
        <v>252</v>
      </c>
      <c r="D103" s="816">
        <v>27867</v>
      </c>
      <c r="E103" s="816">
        <v>33015</v>
      </c>
      <c r="F103" s="816">
        <v>34058</v>
      </c>
      <c r="G103" s="1130">
        <v>36100</v>
      </c>
      <c r="H103" s="1195">
        <v>37998</v>
      </c>
      <c r="I103" s="1835">
        <v>40342</v>
      </c>
      <c r="J103" s="1835">
        <v>40473</v>
      </c>
      <c r="K103" s="2262">
        <v>45941</v>
      </c>
    </row>
    <row r="104" spans="1:11" s="535" customFormat="1" x14ac:dyDescent="0.3">
      <c r="A104" s="531" t="s">
        <v>66</v>
      </c>
      <c r="B104" s="532" t="s">
        <v>67</v>
      </c>
      <c r="C104" s="532" t="s">
        <v>253</v>
      </c>
      <c r="D104" s="816">
        <v>14414</v>
      </c>
      <c r="E104" s="816">
        <v>16289</v>
      </c>
      <c r="F104" s="816">
        <v>16575</v>
      </c>
      <c r="G104" s="1130">
        <v>17179</v>
      </c>
      <c r="H104" s="1195">
        <v>17312</v>
      </c>
      <c r="I104" s="1835">
        <v>17751</v>
      </c>
      <c r="J104" s="1835">
        <v>17864</v>
      </c>
      <c r="K104" s="2262">
        <v>20083</v>
      </c>
    </row>
    <row r="105" spans="1:11" s="535" customFormat="1" x14ac:dyDescent="0.3">
      <c r="A105" s="531" t="s">
        <v>82</v>
      </c>
      <c r="B105" s="532" t="s">
        <v>83</v>
      </c>
      <c r="C105" s="532" t="s">
        <v>252</v>
      </c>
      <c r="D105" s="816">
        <v>2861</v>
      </c>
      <c r="E105" s="816">
        <v>3315</v>
      </c>
      <c r="F105" s="816">
        <v>3312</v>
      </c>
      <c r="G105" s="1130">
        <v>3377</v>
      </c>
      <c r="H105" s="1195">
        <v>3352</v>
      </c>
      <c r="I105" s="1835">
        <v>3430</v>
      </c>
      <c r="J105" s="1835">
        <v>3603</v>
      </c>
      <c r="K105" s="2262">
        <v>3803</v>
      </c>
    </row>
    <row r="106" spans="1:11" s="535" customFormat="1" x14ac:dyDescent="0.3">
      <c r="A106" s="531" t="s">
        <v>88</v>
      </c>
      <c r="B106" s="532" t="s">
        <v>89</v>
      </c>
      <c r="C106" s="532" t="s">
        <v>255</v>
      </c>
      <c r="D106" s="816">
        <v>4951</v>
      </c>
      <c r="E106" s="816">
        <v>6083</v>
      </c>
      <c r="F106" s="816">
        <v>6322</v>
      </c>
      <c r="G106" s="1130">
        <v>6829</v>
      </c>
      <c r="H106" s="1195">
        <v>6502</v>
      </c>
      <c r="I106" s="1835">
        <v>7097</v>
      </c>
      <c r="J106" s="1835">
        <v>7185</v>
      </c>
      <c r="K106" s="2262">
        <v>8325</v>
      </c>
    </row>
    <row r="107" spans="1:11" s="535" customFormat="1" x14ac:dyDescent="0.3">
      <c r="A107" s="531" t="s">
        <v>90</v>
      </c>
      <c r="B107" s="532" t="s">
        <v>91</v>
      </c>
      <c r="C107" s="532" t="s">
        <v>256</v>
      </c>
      <c r="D107" s="816">
        <v>2204</v>
      </c>
      <c r="E107" s="816">
        <v>2565</v>
      </c>
      <c r="F107" s="816">
        <v>2691</v>
      </c>
      <c r="G107" s="1130">
        <v>2665</v>
      </c>
      <c r="H107" s="1195">
        <v>2643</v>
      </c>
      <c r="I107" s="1835">
        <v>2700</v>
      </c>
      <c r="J107" s="1835">
        <v>2675</v>
      </c>
      <c r="K107" s="2262">
        <v>3028</v>
      </c>
    </row>
    <row r="108" spans="1:11" s="535" customFormat="1" x14ac:dyDescent="0.3">
      <c r="A108" s="531" t="s">
        <v>106</v>
      </c>
      <c r="B108" s="532" t="s">
        <v>107</v>
      </c>
      <c r="C108" s="532" t="s">
        <v>252</v>
      </c>
      <c r="D108" s="816">
        <v>24491</v>
      </c>
      <c r="E108" s="816">
        <v>28740</v>
      </c>
      <c r="F108" s="816">
        <v>29528</v>
      </c>
      <c r="G108" s="1130">
        <v>31795</v>
      </c>
      <c r="H108" s="1195">
        <v>31481</v>
      </c>
      <c r="I108" s="1835">
        <v>32719</v>
      </c>
      <c r="J108" s="1835">
        <v>32596</v>
      </c>
      <c r="K108" s="2262">
        <v>37144</v>
      </c>
    </row>
    <row r="109" spans="1:11" s="535" customFormat="1" x14ac:dyDescent="0.3">
      <c r="A109" s="531" t="s">
        <v>116</v>
      </c>
      <c r="B109" s="532" t="s">
        <v>117</v>
      </c>
      <c r="C109" s="532" t="s">
        <v>254</v>
      </c>
      <c r="D109" s="816">
        <v>6960</v>
      </c>
      <c r="E109" s="816">
        <v>8056</v>
      </c>
      <c r="F109" s="816">
        <v>8327</v>
      </c>
      <c r="G109" s="1130">
        <v>9089</v>
      </c>
      <c r="H109" s="1195">
        <v>9234</v>
      </c>
      <c r="I109" s="1835">
        <v>9428</v>
      </c>
      <c r="J109" s="1835">
        <v>9776</v>
      </c>
      <c r="K109" s="2262">
        <v>11018</v>
      </c>
    </row>
    <row r="110" spans="1:11" s="535" customFormat="1" x14ac:dyDescent="0.3">
      <c r="A110" s="531" t="s">
        <v>138</v>
      </c>
      <c r="B110" s="532" t="s">
        <v>139</v>
      </c>
      <c r="C110" s="532" t="s">
        <v>253</v>
      </c>
      <c r="D110" s="816">
        <v>15311</v>
      </c>
      <c r="E110" s="816">
        <v>17487</v>
      </c>
      <c r="F110" s="816">
        <v>17722</v>
      </c>
      <c r="G110" s="1130">
        <v>18710</v>
      </c>
      <c r="H110" s="1195">
        <v>18669</v>
      </c>
      <c r="I110" s="1835">
        <v>18572</v>
      </c>
      <c r="J110" s="1835">
        <v>18813</v>
      </c>
      <c r="K110" s="2262">
        <v>21189</v>
      </c>
    </row>
    <row r="111" spans="1:11" s="535" customFormat="1" x14ac:dyDescent="0.3">
      <c r="A111" s="531" t="s">
        <v>142</v>
      </c>
      <c r="B111" s="532" t="s">
        <v>143</v>
      </c>
      <c r="C111" s="532" t="s">
        <v>255</v>
      </c>
      <c r="D111" s="816">
        <v>6617</v>
      </c>
      <c r="E111" s="816">
        <v>7927</v>
      </c>
      <c r="F111" s="816">
        <v>8372</v>
      </c>
      <c r="G111" s="1130">
        <v>9025</v>
      </c>
      <c r="H111" s="1195">
        <v>9108</v>
      </c>
      <c r="I111" s="1835">
        <v>9325</v>
      </c>
      <c r="J111" s="1835">
        <v>9272</v>
      </c>
      <c r="K111" s="2262">
        <v>10134</v>
      </c>
    </row>
    <row r="112" spans="1:11" s="535" customFormat="1" x14ac:dyDescent="0.3">
      <c r="A112" s="531" t="s">
        <v>144</v>
      </c>
      <c r="B112" s="532" t="s">
        <v>145</v>
      </c>
      <c r="C112" s="532" t="s">
        <v>255</v>
      </c>
      <c r="D112" s="816">
        <v>2189</v>
      </c>
      <c r="E112" s="816">
        <v>2801</v>
      </c>
      <c r="F112" s="816">
        <v>2747</v>
      </c>
      <c r="G112" s="1130">
        <v>3227</v>
      </c>
      <c r="H112" s="1195">
        <v>3402</v>
      </c>
      <c r="I112" s="1835">
        <v>3700</v>
      </c>
      <c r="J112" s="1835">
        <v>3568</v>
      </c>
      <c r="K112" s="2262">
        <v>4037</v>
      </c>
    </row>
    <row r="113" spans="1:12" s="535" customFormat="1" x14ac:dyDescent="0.3">
      <c r="A113" s="531" t="s">
        <v>158</v>
      </c>
      <c r="B113" s="532" t="s">
        <v>159</v>
      </c>
      <c r="C113" s="532" t="s">
        <v>252</v>
      </c>
      <c r="D113" s="816">
        <v>37582</v>
      </c>
      <c r="E113" s="816">
        <v>43878</v>
      </c>
      <c r="F113" s="816">
        <v>44076</v>
      </c>
      <c r="G113" s="1130">
        <v>46390</v>
      </c>
      <c r="H113" s="1195">
        <v>47325</v>
      </c>
      <c r="I113" s="1835">
        <v>50815</v>
      </c>
      <c r="J113" s="1835">
        <v>50805</v>
      </c>
      <c r="K113" s="2262">
        <v>57482</v>
      </c>
    </row>
    <row r="114" spans="1:12" s="535" customFormat="1" x14ac:dyDescent="0.3">
      <c r="A114" s="531" t="s">
        <v>160</v>
      </c>
      <c r="B114" s="532" t="s">
        <v>161</v>
      </c>
      <c r="C114" s="532" t="s">
        <v>252</v>
      </c>
      <c r="D114" s="816">
        <v>49102</v>
      </c>
      <c r="E114" s="816">
        <v>56247</v>
      </c>
      <c r="F114" s="816">
        <v>57481</v>
      </c>
      <c r="G114" s="1130">
        <v>60771</v>
      </c>
      <c r="H114" s="1195">
        <v>60525</v>
      </c>
      <c r="I114" s="1835">
        <v>61469</v>
      </c>
      <c r="J114" s="1835">
        <v>61966</v>
      </c>
      <c r="K114" s="2262">
        <v>69130</v>
      </c>
    </row>
    <row r="115" spans="1:12" s="535" customFormat="1" x14ac:dyDescent="0.3">
      <c r="A115" s="531" t="s">
        <v>166</v>
      </c>
      <c r="B115" s="532" t="s">
        <v>167</v>
      </c>
      <c r="C115" s="532" t="s">
        <v>256</v>
      </c>
      <c r="D115" s="816">
        <v>1308</v>
      </c>
      <c r="E115" s="816">
        <v>1503</v>
      </c>
      <c r="F115" s="816">
        <v>1495</v>
      </c>
      <c r="G115" s="1130">
        <v>1488</v>
      </c>
      <c r="H115" s="1195">
        <v>1553</v>
      </c>
      <c r="I115" s="1835">
        <v>1482</v>
      </c>
      <c r="J115" s="1835">
        <v>1373</v>
      </c>
      <c r="K115" s="2262">
        <v>1628</v>
      </c>
    </row>
    <row r="116" spans="1:12" s="535" customFormat="1" x14ac:dyDescent="0.3">
      <c r="A116" s="531" t="s">
        <v>176</v>
      </c>
      <c r="B116" s="532" t="s">
        <v>177</v>
      </c>
      <c r="C116" s="532" t="s">
        <v>254</v>
      </c>
      <c r="D116" s="816">
        <v>10742</v>
      </c>
      <c r="E116" s="816">
        <v>12143</v>
      </c>
      <c r="F116" s="816">
        <v>12180</v>
      </c>
      <c r="G116" s="1130">
        <v>12904</v>
      </c>
      <c r="H116" s="1195">
        <v>13803</v>
      </c>
      <c r="I116" s="1835">
        <v>14104</v>
      </c>
      <c r="J116" s="1835">
        <v>14451</v>
      </c>
      <c r="K116" s="2262">
        <v>16390</v>
      </c>
    </row>
    <row r="117" spans="1:12" s="535" customFormat="1" x14ac:dyDescent="0.3">
      <c r="A117" s="531" t="s">
        <v>180</v>
      </c>
      <c r="B117" s="532" t="s">
        <v>181</v>
      </c>
      <c r="C117" s="532" t="s">
        <v>252</v>
      </c>
      <c r="D117" s="816">
        <v>24303</v>
      </c>
      <c r="E117" s="816">
        <v>27860</v>
      </c>
      <c r="F117" s="816">
        <v>28438</v>
      </c>
      <c r="G117" s="1130">
        <v>30727</v>
      </c>
      <c r="H117" s="1195">
        <v>30890</v>
      </c>
      <c r="I117" s="1835">
        <v>31822</v>
      </c>
      <c r="J117" s="1835">
        <v>32280</v>
      </c>
      <c r="K117" s="2262">
        <v>36090</v>
      </c>
    </row>
    <row r="118" spans="1:12" s="535" customFormat="1" x14ac:dyDescent="0.3">
      <c r="A118" s="531" t="s">
        <v>192</v>
      </c>
      <c r="B118" s="532" t="s">
        <v>193</v>
      </c>
      <c r="C118" s="532" t="s">
        <v>256</v>
      </c>
      <c r="D118" s="816">
        <v>1992</v>
      </c>
      <c r="E118" s="816">
        <v>2371</v>
      </c>
      <c r="F118" s="816">
        <v>2470</v>
      </c>
      <c r="G118" s="1130">
        <v>2545</v>
      </c>
      <c r="H118" s="1195">
        <v>2575</v>
      </c>
      <c r="I118" s="1835">
        <v>2562</v>
      </c>
      <c r="J118" s="1835">
        <v>2548</v>
      </c>
      <c r="K118" s="2262">
        <v>2972</v>
      </c>
    </row>
    <row r="119" spans="1:12" s="535" customFormat="1" x14ac:dyDescent="0.3">
      <c r="A119" s="531" t="s">
        <v>196</v>
      </c>
      <c r="B119" s="532" t="s">
        <v>197</v>
      </c>
      <c r="C119" s="532" t="s">
        <v>254</v>
      </c>
      <c r="D119" s="816">
        <v>51121</v>
      </c>
      <c r="E119" s="816">
        <v>57661</v>
      </c>
      <c r="F119" s="816">
        <v>58100</v>
      </c>
      <c r="G119" s="1130">
        <v>61179</v>
      </c>
      <c r="H119" s="1195">
        <v>64680</v>
      </c>
      <c r="I119" s="1835">
        <v>62844</v>
      </c>
      <c r="J119" s="1835">
        <v>63069</v>
      </c>
      <c r="K119" s="2262">
        <v>71349</v>
      </c>
    </row>
    <row r="120" spans="1:12" s="535" customFormat="1" x14ac:dyDescent="0.3">
      <c r="A120" s="531" t="s">
        <v>200</v>
      </c>
      <c r="B120" s="532" t="s">
        <v>201</v>
      </c>
      <c r="C120" s="532" t="s">
        <v>253</v>
      </c>
      <c r="D120" s="816">
        <v>26470</v>
      </c>
      <c r="E120" s="816">
        <v>30786</v>
      </c>
      <c r="F120" s="816">
        <v>31080</v>
      </c>
      <c r="G120" s="1130">
        <v>32100</v>
      </c>
      <c r="H120" s="1195">
        <v>32356</v>
      </c>
      <c r="I120" s="1835">
        <v>33289</v>
      </c>
      <c r="J120" s="1835">
        <v>33622</v>
      </c>
      <c r="K120" s="2262">
        <v>37548</v>
      </c>
    </row>
    <row r="121" spans="1:12" s="535" customFormat="1" x14ac:dyDescent="0.3">
      <c r="A121" s="531" t="s">
        <v>222</v>
      </c>
      <c r="B121" s="532" t="s">
        <v>223</v>
      </c>
      <c r="C121" s="532" t="s">
        <v>252</v>
      </c>
      <c r="D121" s="816">
        <v>14286</v>
      </c>
      <c r="E121" s="816">
        <v>16504</v>
      </c>
      <c r="F121" s="816">
        <v>16875</v>
      </c>
      <c r="G121" s="1130">
        <v>17583</v>
      </c>
      <c r="H121" s="1195">
        <v>18121</v>
      </c>
      <c r="I121" s="1835">
        <v>18705</v>
      </c>
      <c r="J121" s="1835">
        <v>18510</v>
      </c>
      <c r="K121" s="2262">
        <v>20868</v>
      </c>
    </row>
    <row r="122" spans="1:12" s="535" customFormat="1" x14ac:dyDescent="0.3">
      <c r="A122" s="531" t="s">
        <v>230</v>
      </c>
      <c r="B122" s="532" t="s">
        <v>231</v>
      </c>
      <c r="C122" s="532" t="s">
        <v>252</v>
      </c>
      <c r="D122" s="816">
        <v>43430</v>
      </c>
      <c r="E122" s="816">
        <v>51350</v>
      </c>
      <c r="F122" s="816">
        <v>52599</v>
      </c>
      <c r="G122" s="1130">
        <v>58235</v>
      </c>
      <c r="H122" s="1195">
        <v>58035</v>
      </c>
      <c r="I122" s="1835">
        <v>61271</v>
      </c>
      <c r="J122" s="1835">
        <v>61472</v>
      </c>
      <c r="K122" s="2262">
        <v>71107</v>
      </c>
    </row>
    <row r="123" spans="1:12" s="535" customFormat="1" x14ac:dyDescent="0.3">
      <c r="A123" s="531" t="s">
        <v>238</v>
      </c>
      <c r="B123" s="532" t="s">
        <v>239</v>
      </c>
      <c r="C123" s="532" t="s">
        <v>252</v>
      </c>
      <c r="D123" s="816">
        <v>1243</v>
      </c>
      <c r="E123" s="816">
        <v>1610</v>
      </c>
      <c r="F123" s="816">
        <v>1680</v>
      </c>
      <c r="G123" s="1130">
        <v>1783</v>
      </c>
      <c r="H123" s="1195">
        <v>1734</v>
      </c>
      <c r="I123" s="1835">
        <v>1965</v>
      </c>
      <c r="J123" s="1835">
        <v>2013</v>
      </c>
      <c r="K123" s="2262">
        <v>2394</v>
      </c>
    </row>
    <row r="124" spans="1:12" s="535" customFormat="1" x14ac:dyDescent="0.3">
      <c r="A124" s="531" t="s">
        <v>240</v>
      </c>
      <c r="B124" s="532" t="s">
        <v>241</v>
      </c>
      <c r="C124" s="532" t="s">
        <v>255</v>
      </c>
      <c r="D124" s="816">
        <v>5323</v>
      </c>
      <c r="E124" s="816">
        <v>6479</v>
      </c>
      <c r="F124" s="816">
        <v>6581</v>
      </c>
      <c r="G124" s="1130">
        <v>7032</v>
      </c>
      <c r="H124" s="1195">
        <v>7281</v>
      </c>
      <c r="I124" s="1835">
        <v>7387</v>
      </c>
      <c r="J124" s="1835">
        <v>7079</v>
      </c>
      <c r="K124" s="2263">
        <v>8090</v>
      </c>
    </row>
    <row r="126" spans="1:12" ht="12.75" customHeight="1" x14ac:dyDescent="0.3">
      <c r="A126" s="2737" t="s">
        <v>1167</v>
      </c>
      <c r="B126" s="2738"/>
      <c r="C126" s="2738"/>
      <c r="D126" s="2738"/>
      <c r="E126" s="2738"/>
      <c r="F126" s="2738"/>
      <c r="G126" s="2738"/>
      <c r="H126" s="2738"/>
      <c r="I126" s="2738"/>
      <c r="J126" s="2738"/>
      <c r="K126" s="2738"/>
      <c r="L126" s="2738"/>
    </row>
    <row r="127" spans="1:12" x14ac:dyDescent="0.3">
      <c r="A127" s="2738"/>
      <c r="B127" s="2738"/>
      <c r="C127" s="2738"/>
      <c r="D127" s="2738"/>
      <c r="E127" s="2738"/>
      <c r="F127" s="2738"/>
      <c r="G127" s="2738"/>
      <c r="H127" s="2738"/>
      <c r="I127" s="2738"/>
      <c r="J127" s="2738"/>
      <c r="K127" s="2738"/>
      <c r="L127" s="2738"/>
    </row>
    <row r="128" spans="1:12" ht="18" customHeight="1" x14ac:dyDescent="0.3">
      <c r="A128" s="2738"/>
      <c r="B128" s="2738"/>
      <c r="C128" s="2738"/>
      <c r="D128" s="2738"/>
      <c r="E128" s="2738"/>
      <c r="F128" s="2738"/>
      <c r="G128" s="2738"/>
      <c r="H128" s="2738"/>
      <c r="I128" s="2738"/>
      <c r="J128" s="2738"/>
      <c r="K128" s="2738"/>
      <c r="L128" s="2738"/>
    </row>
    <row r="129" spans="1:12" x14ac:dyDescent="0.3">
      <c r="A129" s="1260"/>
      <c r="B129" s="1260"/>
      <c r="C129" s="1260"/>
      <c r="D129" s="1260"/>
      <c r="E129" s="1260"/>
      <c r="F129" s="1260"/>
      <c r="G129" s="1260"/>
      <c r="H129" s="1261"/>
      <c r="I129" s="1778"/>
      <c r="J129" s="1866"/>
      <c r="K129" s="2258"/>
      <c r="L129" s="1260"/>
    </row>
    <row r="130" spans="1:12" s="359" customFormat="1" x14ac:dyDescent="0.3">
      <c r="A130" s="359" t="s">
        <v>248</v>
      </c>
    </row>
    <row r="131" spans="1:12" s="359" customFormat="1" x14ac:dyDescent="0.3">
      <c r="A131" s="360" t="s">
        <v>249</v>
      </c>
      <c r="B131" s="361" t="s">
        <v>250</v>
      </c>
      <c r="C131" s="361"/>
    </row>
  </sheetData>
  <sortState ref="A5:L124">
    <sortCondition ref="A5:A124"/>
  </sortState>
  <mergeCells count="1">
    <mergeCell ref="A126:L128"/>
  </mergeCells>
  <hyperlinks>
    <hyperlink ref="B131"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31"/>
  <sheetViews>
    <sheetView workbookViewId="0">
      <pane xSplit="3" ySplit="4" topLeftCell="D117" activePane="bottomRight" state="frozen"/>
      <selection pane="topRight" activeCell="D1" sqref="D1"/>
      <selection pane="bottomLeft" activeCell="A5" sqref="A5"/>
      <selection pane="bottomRight" activeCell="J128" sqref="J128"/>
    </sheetView>
  </sheetViews>
  <sheetFormatPr defaultColWidth="9" defaultRowHeight="15.6" x14ac:dyDescent="0.3"/>
  <cols>
    <col min="1" max="1" width="9" style="263"/>
    <col min="2" max="2" width="34.296875" style="263" customWidth="1"/>
    <col min="3" max="3" width="15" style="263" customWidth="1"/>
    <col min="4" max="4" width="11.09765625" style="263" customWidth="1"/>
    <col min="5" max="6" width="11.296875" style="263" customWidth="1"/>
    <col min="7" max="7" width="12.59765625" style="263" bestFit="1" customWidth="1"/>
    <col min="8" max="11" width="12.59765625" style="263" customWidth="1"/>
    <col min="12" max="12" width="9" style="263"/>
    <col min="13" max="13" width="9.19921875" style="263" customWidth="1"/>
    <col min="14" max="16384" width="9" style="263"/>
  </cols>
  <sheetData>
    <row r="1" spans="1:11" x14ac:dyDescent="0.3">
      <c r="A1" s="64" t="s">
        <v>1163</v>
      </c>
    </row>
    <row r="3" spans="1:11" x14ac:dyDescent="0.3">
      <c r="A3" s="64" t="s">
        <v>4</v>
      </c>
      <c r="B3" s="64" t="s">
        <v>5</v>
      </c>
      <c r="C3" s="64" t="s">
        <v>251</v>
      </c>
      <c r="D3" s="64">
        <v>2012</v>
      </c>
      <c r="E3" s="64">
        <v>2013</v>
      </c>
      <c r="F3" s="64">
        <v>2014</v>
      </c>
      <c r="G3" s="64">
        <v>2015</v>
      </c>
      <c r="H3" s="64">
        <v>2016</v>
      </c>
      <c r="I3" s="64">
        <v>2017</v>
      </c>
      <c r="J3" s="64">
        <v>2018</v>
      </c>
      <c r="K3" s="64">
        <v>2019</v>
      </c>
    </row>
    <row r="4" spans="1:11" x14ac:dyDescent="0.3">
      <c r="A4" s="1872">
        <v>999</v>
      </c>
      <c r="B4" s="1870" t="s">
        <v>693</v>
      </c>
      <c r="C4" s="1870"/>
      <c r="D4" s="1871">
        <v>1578627</v>
      </c>
      <c r="E4" s="1871">
        <v>1640832</v>
      </c>
      <c r="F4" s="1871">
        <v>1656128</v>
      </c>
      <c r="G4" s="1871">
        <v>1644999</v>
      </c>
      <c r="H4" s="1871">
        <v>1632743</v>
      </c>
      <c r="I4" s="1871">
        <v>1646126</v>
      </c>
      <c r="J4" s="1871">
        <v>1610356</v>
      </c>
      <c r="K4" s="1871">
        <v>1730211</v>
      </c>
    </row>
    <row r="5" spans="1:11" x14ac:dyDescent="0.3">
      <c r="A5" s="438" t="s">
        <v>10</v>
      </c>
      <c r="B5" s="439" t="s">
        <v>11</v>
      </c>
      <c r="C5" s="489" t="s">
        <v>252</v>
      </c>
      <c r="D5" s="266">
        <v>11400</v>
      </c>
      <c r="E5" s="264">
        <v>12029</v>
      </c>
      <c r="F5" s="264">
        <v>11868</v>
      </c>
      <c r="G5" s="266">
        <v>11785</v>
      </c>
      <c r="H5" s="266">
        <v>11816</v>
      </c>
      <c r="I5" s="266">
        <v>11303</v>
      </c>
      <c r="J5" s="266">
        <v>10951</v>
      </c>
      <c r="K5" s="266">
        <v>11662</v>
      </c>
    </row>
    <row r="6" spans="1:11" x14ac:dyDescent="0.3">
      <c r="A6" s="438" t="s">
        <v>12</v>
      </c>
      <c r="B6" s="439" t="s">
        <v>13</v>
      </c>
      <c r="C6" s="489" t="s">
        <v>253</v>
      </c>
      <c r="D6" s="266">
        <v>12890</v>
      </c>
      <c r="E6" s="264">
        <v>13764</v>
      </c>
      <c r="F6" s="264">
        <v>13750</v>
      </c>
      <c r="G6" s="266">
        <v>14117</v>
      </c>
      <c r="H6" s="266">
        <v>13595</v>
      </c>
      <c r="I6" s="266">
        <v>13724</v>
      </c>
      <c r="J6" s="266">
        <v>12871</v>
      </c>
      <c r="K6" s="266">
        <v>14317</v>
      </c>
    </row>
    <row r="7" spans="1:11" x14ac:dyDescent="0.3">
      <c r="A7" s="438" t="s">
        <v>16</v>
      </c>
      <c r="B7" s="439" t="s">
        <v>285</v>
      </c>
      <c r="C7" s="489" t="s">
        <v>253</v>
      </c>
      <c r="D7" s="266">
        <v>6813</v>
      </c>
      <c r="E7" s="264">
        <v>7232</v>
      </c>
      <c r="F7" s="264">
        <v>7042</v>
      </c>
      <c r="G7" s="266">
        <v>7061</v>
      </c>
      <c r="H7" s="266">
        <v>7067</v>
      </c>
      <c r="I7" s="266">
        <v>7172</v>
      </c>
      <c r="J7" s="266">
        <v>6683</v>
      </c>
      <c r="K7" s="266">
        <v>7061</v>
      </c>
    </row>
    <row r="8" spans="1:11" x14ac:dyDescent="0.3">
      <c r="A8" s="438" t="s">
        <v>18</v>
      </c>
      <c r="B8" s="439" t="s">
        <v>19</v>
      </c>
      <c r="C8" s="489" t="s">
        <v>254</v>
      </c>
      <c r="D8" s="266">
        <v>3728</v>
      </c>
      <c r="E8" s="264">
        <v>3746</v>
      </c>
      <c r="F8" s="264">
        <v>3531</v>
      </c>
      <c r="G8" s="266">
        <v>3458</v>
      </c>
      <c r="H8" s="266">
        <v>3408</v>
      </c>
      <c r="I8" s="266">
        <v>3474</v>
      </c>
      <c r="J8" s="266">
        <v>3211</v>
      </c>
      <c r="K8" s="266">
        <v>3433</v>
      </c>
    </row>
    <row r="9" spans="1:11" x14ac:dyDescent="0.3">
      <c r="A9" s="438" t="s">
        <v>20</v>
      </c>
      <c r="B9" s="439" t="s">
        <v>21</v>
      </c>
      <c r="C9" s="489" t="s">
        <v>253</v>
      </c>
      <c r="D9" s="266">
        <v>7689</v>
      </c>
      <c r="E9" s="264">
        <v>8189</v>
      </c>
      <c r="F9" s="264">
        <v>7812</v>
      </c>
      <c r="G9" s="266">
        <v>7725</v>
      </c>
      <c r="H9" s="266">
        <v>7939</v>
      </c>
      <c r="I9" s="266">
        <v>8229</v>
      </c>
      <c r="J9" s="266">
        <v>7873</v>
      </c>
      <c r="K9" s="266">
        <v>8290</v>
      </c>
    </row>
    <row r="10" spans="1:11" x14ac:dyDescent="0.3">
      <c r="A10" s="438" t="s">
        <v>22</v>
      </c>
      <c r="B10" s="439" t="s">
        <v>23</v>
      </c>
      <c r="C10" s="489" t="s">
        <v>253</v>
      </c>
      <c r="D10" s="266">
        <v>4553</v>
      </c>
      <c r="E10" s="264">
        <v>4824</v>
      </c>
      <c r="F10" s="264">
        <v>4717</v>
      </c>
      <c r="G10" s="266">
        <v>4709</v>
      </c>
      <c r="H10" s="266">
        <v>4750</v>
      </c>
      <c r="I10" s="266">
        <v>4818</v>
      </c>
      <c r="J10" s="266">
        <v>4555</v>
      </c>
      <c r="K10" s="266">
        <v>4738</v>
      </c>
    </row>
    <row r="11" spans="1:11" x14ac:dyDescent="0.3">
      <c r="A11" s="438" t="s">
        <v>24</v>
      </c>
      <c r="B11" s="439" t="s">
        <v>25</v>
      </c>
      <c r="C11" s="489" t="s">
        <v>255</v>
      </c>
      <c r="D11" s="266">
        <v>16343</v>
      </c>
      <c r="E11" s="264">
        <v>17982</v>
      </c>
      <c r="F11" s="264">
        <v>18759</v>
      </c>
      <c r="G11" s="266">
        <v>19669</v>
      </c>
      <c r="H11" s="266">
        <v>19581</v>
      </c>
      <c r="I11" s="266">
        <v>19972</v>
      </c>
      <c r="J11" s="266">
        <v>19372</v>
      </c>
      <c r="K11" s="266">
        <v>21922</v>
      </c>
    </row>
    <row r="12" spans="1:11" x14ac:dyDescent="0.3">
      <c r="A12" s="438" t="s">
        <v>26</v>
      </c>
      <c r="B12" s="439" t="s">
        <v>547</v>
      </c>
      <c r="C12" s="489" t="s">
        <v>253</v>
      </c>
      <c r="D12" s="266">
        <v>29392</v>
      </c>
      <c r="E12" s="264">
        <v>32975</v>
      </c>
      <c r="F12" s="264">
        <v>30798</v>
      </c>
      <c r="G12" s="266">
        <v>30323</v>
      </c>
      <c r="H12" s="266">
        <v>30029</v>
      </c>
      <c r="I12" s="266">
        <v>30814</v>
      </c>
      <c r="J12" s="266">
        <v>28259</v>
      </c>
      <c r="K12" s="266">
        <v>30184</v>
      </c>
    </row>
    <row r="13" spans="1:11" x14ac:dyDescent="0.3">
      <c r="A13" s="438" t="s">
        <v>27</v>
      </c>
      <c r="B13" s="439" t="s">
        <v>28</v>
      </c>
      <c r="C13" s="494" t="s">
        <v>253</v>
      </c>
      <c r="D13" s="266">
        <v>952</v>
      </c>
      <c r="E13" s="264">
        <v>1082</v>
      </c>
      <c r="F13" s="264">
        <v>981</v>
      </c>
      <c r="G13" s="266">
        <v>1025</v>
      </c>
      <c r="H13" s="266">
        <v>1003</v>
      </c>
      <c r="I13" s="266">
        <v>945</v>
      </c>
      <c r="J13" s="266">
        <v>910</v>
      </c>
      <c r="K13" s="266">
        <v>1043</v>
      </c>
    </row>
    <row r="14" spans="1:11" x14ac:dyDescent="0.3">
      <c r="A14" s="438" t="s">
        <v>29</v>
      </c>
      <c r="B14" s="439" t="s">
        <v>736</v>
      </c>
      <c r="C14" s="494" t="s">
        <v>253</v>
      </c>
      <c r="D14" s="266">
        <v>13938</v>
      </c>
      <c r="E14" s="264">
        <v>14879</v>
      </c>
      <c r="F14" s="264">
        <v>15695</v>
      </c>
      <c r="G14" s="266">
        <v>14177</v>
      </c>
      <c r="H14" s="266">
        <v>13795</v>
      </c>
      <c r="I14" s="266">
        <v>13894</v>
      </c>
      <c r="J14" s="266">
        <v>13466</v>
      </c>
      <c r="K14" s="266">
        <v>14608</v>
      </c>
    </row>
    <row r="15" spans="1:11" x14ac:dyDescent="0.3">
      <c r="A15" s="438" t="s">
        <v>30</v>
      </c>
      <c r="B15" s="439" t="s">
        <v>31</v>
      </c>
      <c r="C15" s="494" t="s">
        <v>256</v>
      </c>
      <c r="D15" s="266">
        <v>1340</v>
      </c>
      <c r="E15" s="264">
        <v>1458</v>
      </c>
      <c r="F15" s="264">
        <v>1363</v>
      </c>
      <c r="G15" s="266">
        <v>1374</v>
      </c>
      <c r="H15" s="266">
        <v>1373</v>
      </c>
      <c r="I15" s="266">
        <v>1316</v>
      </c>
      <c r="J15" s="266">
        <v>1277</v>
      </c>
      <c r="K15" s="266">
        <v>1383</v>
      </c>
    </row>
    <row r="16" spans="1:11" x14ac:dyDescent="0.3">
      <c r="A16" s="438" t="s">
        <v>32</v>
      </c>
      <c r="B16" s="439" t="s">
        <v>33</v>
      </c>
      <c r="C16" s="494" t="s">
        <v>253</v>
      </c>
      <c r="D16" s="266">
        <v>3786</v>
      </c>
      <c r="E16" s="264">
        <v>4106</v>
      </c>
      <c r="F16" s="264">
        <v>4200</v>
      </c>
      <c r="G16" s="266">
        <v>4453</v>
      </c>
      <c r="H16" s="266">
        <v>4658</v>
      </c>
      <c r="I16" s="266">
        <v>4805</v>
      </c>
      <c r="J16" s="266">
        <v>4524</v>
      </c>
      <c r="K16" s="266">
        <v>4978</v>
      </c>
    </row>
    <row r="17" spans="1:11" x14ac:dyDescent="0.3">
      <c r="A17" s="438" t="s">
        <v>36</v>
      </c>
      <c r="B17" s="439" t="s">
        <v>37</v>
      </c>
      <c r="C17" s="494" t="s">
        <v>252</v>
      </c>
      <c r="D17" s="266">
        <v>6180</v>
      </c>
      <c r="E17" s="264">
        <v>6360</v>
      </c>
      <c r="F17" s="264">
        <v>6307</v>
      </c>
      <c r="G17" s="266">
        <v>6244</v>
      </c>
      <c r="H17" s="266">
        <v>6261</v>
      </c>
      <c r="I17" s="266">
        <v>6271</v>
      </c>
      <c r="J17" s="266">
        <v>5891</v>
      </c>
      <c r="K17" s="266">
        <v>5991</v>
      </c>
    </row>
    <row r="18" spans="1:11" x14ac:dyDescent="0.3">
      <c r="A18" s="438" t="s">
        <v>38</v>
      </c>
      <c r="B18" s="439" t="s">
        <v>39</v>
      </c>
      <c r="C18" s="494" t="s">
        <v>256</v>
      </c>
      <c r="D18" s="266">
        <v>8054</v>
      </c>
      <c r="E18" s="264">
        <v>8681</v>
      </c>
      <c r="F18" s="264">
        <v>8496</v>
      </c>
      <c r="G18" s="266">
        <v>8602</v>
      </c>
      <c r="H18" s="266">
        <v>8744</v>
      </c>
      <c r="I18" s="266">
        <v>8731</v>
      </c>
      <c r="J18" s="266">
        <v>8397</v>
      </c>
      <c r="K18" s="266">
        <v>8813</v>
      </c>
    </row>
    <row r="19" spans="1:11" x14ac:dyDescent="0.3">
      <c r="A19" s="438" t="s">
        <v>40</v>
      </c>
      <c r="B19" s="439" t="s">
        <v>41</v>
      </c>
      <c r="C19" s="494" t="s">
        <v>254</v>
      </c>
      <c r="D19" s="266">
        <v>5580</v>
      </c>
      <c r="E19" s="264">
        <v>5813</v>
      </c>
      <c r="F19" s="264">
        <v>5550</v>
      </c>
      <c r="G19" s="266">
        <v>5544</v>
      </c>
      <c r="H19" s="266">
        <v>5308</v>
      </c>
      <c r="I19" s="266">
        <v>5368</v>
      </c>
      <c r="J19" s="266">
        <v>5072</v>
      </c>
      <c r="K19" s="266">
        <v>5346</v>
      </c>
    </row>
    <row r="20" spans="1:11" x14ac:dyDescent="0.3">
      <c r="A20" s="438" t="s">
        <v>42</v>
      </c>
      <c r="B20" s="439" t="s">
        <v>43</v>
      </c>
      <c r="C20" s="494" t="s">
        <v>253</v>
      </c>
      <c r="D20" s="266">
        <v>14188</v>
      </c>
      <c r="E20" s="264">
        <v>15002</v>
      </c>
      <c r="F20" s="264">
        <v>14814</v>
      </c>
      <c r="G20" s="266">
        <v>15023</v>
      </c>
      <c r="H20" s="266">
        <v>15061</v>
      </c>
      <c r="I20" s="266">
        <v>14953</v>
      </c>
      <c r="J20" s="266">
        <v>14009</v>
      </c>
      <c r="K20" s="266">
        <v>14989</v>
      </c>
    </row>
    <row r="21" spans="1:11" x14ac:dyDescent="0.3">
      <c r="A21" s="438" t="s">
        <v>44</v>
      </c>
      <c r="B21" s="439" t="s">
        <v>45</v>
      </c>
      <c r="C21" s="494" t="s">
        <v>254</v>
      </c>
      <c r="D21" s="266">
        <v>8455</v>
      </c>
      <c r="E21" s="264">
        <v>8950</v>
      </c>
      <c r="F21" s="264">
        <v>8601</v>
      </c>
      <c r="G21" s="266">
        <v>8829</v>
      </c>
      <c r="H21" s="266">
        <v>8718</v>
      </c>
      <c r="I21" s="266">
        <v>8527</v>
      </c>
      <c r="J21" s="266">
        <v>7941</v>
      </c>
      <c r="K21" s="266">
        <v>8344</v>
      </c>
    </row>
    <row r="22" spans="1:11" x14ac:dyDescent="0.3">
      <c r="A22" s="438" t="s">
        <v>46</v>
      </c>
      <c r="B22" s="439" t="s">
        <v>47</v>
      </c>
      <c r="C22" s="494" t="s">
        <v>256</v>
      </c>
      <c r="D22" s="266">
        <v>9725</v>
      </c>
      <c r="E22" s="264">
        <v>10163</v>
      </c>
      <c r="F22" s="264">
        <v>9884</v>
      </c>
      <c r="G22" s="266">
        <v>9765</v>
      </c>
      <c r="H22" s="266">
        <v>9628</v>
      </c>
      <c r="I22" s="266">
        <v>9511</v>
      </c>
      <c r="J22" s="266">
        <v>9059</v>
      </c>
      <c r="K22" s="266">
        <v>9792</v>
      </c>
    </row>
    <row r="23" spans="1:11" x14ac:dyDescent="0.3">
      <c r="A23" s="438" t="s">
        <v>48</v>
      </c>
      <c r="B23" s="439" t="s">
        <v>257</v>
      </c>
      <c r="C23" s="494" t="s">
        <v>254</v>
      </c>
      <c r="D23" s="266">
        <v>1845</v>
      </c>
      <c r="E23" s="264">
        <v>1978</v>
      </c>
      <c r="F23" s="264">
        <v>1880</v>
      </c>
      <c r="G23" s="266">
        <v>1884</v>
      </c>
      <c r="H23" s="266">
        <v>1923</v>
      </c>
      <c r="I23" s="266">
        <v>1887</v>
      </c>
      <c r="J23" s="266">
        <v>1833</v>
      </c>
      <c r="K23" s="266">
        <v>1914</v>
      </c>
    </row>
    <row r="24" spans="1:11" x14ac:dyDescent="0.3">
      <c r="A24" s="438" t="s">
        <v>50</v>
      </c>
      <c r="B24" s="439" t="s">
        <v>51</v>
      </c>
      <c r="C24" s="494" t="s">
        <v>253</v>
      </c>
      <c r="D24" s="266">
        <v>4434</v>
      </c>
      <c r="E24" s="264">
        <v>4508</v>
      </c>
      <c r="F24" s="264">
        <v>4263</v>
      </c>
      <c r="G24" s="266">
        <v>4294</v>
      </c>
      <c r="H24" s="266">
        <v>4217</v>
      </c>
      <c r="I24" s="266">
        <v>4228</v>
      </c>
      <c r="J24" s="266">
        <v>3949</v>
      </c>
      <c r="K24" s="266">
        <v>4178</v>
      </c>
    </row>
    <row r="25" spans="1:11" x14ac:dyDescent="0.3">
      <c r="A25" s="438" t="s">
        <v>56</v>
      </c>
      <c r="B25" s="439" t="s">
        <v>283</v>
      </c>
      <c r="C25" s="494" t="s">
        <v>254</v>
      </c>
      <c r="D25" s="266">
        <v>59614</v>
      </c>
      <c r="E25" s="264">
        <v>64839</v>
      </c>
      <c r="F25" s="264">
        <v>65215</v>
      </c>
      <c r="G25" s="266">
        <v>68440</v>
      </c>
      <c r="H25" s="266">
        <v>71226</v>
      </c>
      <c r="I25" s="266">
        <v>73449</v>
      </c>
      <c r="J25" s="266">
        <v>71227</v>
      </c>
      <c r="K25" s="266">
        <v>76391</v>
      </c>
    </row>
    <row r="26" spans="1:11" x14ac:dyDescent="0.3">
      <c r="A26" s="438" t="s">
        <v>58</v>
      </c>
      <c r="B26" s="439" t="s">
        <v>59</v>
      </c>
      <c r="C26" s="494" t="s">
        <v>255</v>
      </c>
      <c r="D26" s="266">
        <v>1705</v>
      </c>
      <c r="E26" s="264">
        <v>1810</v>
      </c>
      <c r="F26" s="264">
        <v>1794</v>
      </c>
      <c r="G26" s="266">
        <v>1710</v>
      </c>
      <c r="H26" s="266">
        <v>1665</v>
      </c>
      <c r="I26" s="266">
        <v>1627</v>
      </c>
      <c r="J26" s="266">
        <v>1528</v>
      </c>
      <c r="K26" s="266">
        <v>1748</v>
      </c>
    </row>
    <row r="27" spans="1:11" x14ac:dyDescent="0.3">
      <c r="A27" s="438" t="s">
        <v>60</v>
      </c>
      <c r="B27" s="439" t="s">
        <v>61</v>
      </c>
      <c r="C27" s="494" t="s">
        <v>253</v>
      </c>
      <c r="D27" s="266">
        <v>1208</v>
      </c>
      <c r="E27" s="264">
        <v>1308</v>
      </c>
      <c r="F27" s="264">
        <v>1285</v>
      </c>
      <c r="G27" s="266">
        <v>1305</v>
      </c>
      <c r="H27" s="266">
        <v>1327</v>
      </c>
      <c r="I27" s="266">
        <v>1344</v>
      </c>
      <c r="J27" s="266">
        <v>1281</v>
      </c>
      <c r="K27" s="266">
        <v>1270</v>
      </c>
    </row>
    <row r="28" spans="1:11" x14ac:dyDescent="0.3">
      <c r="A28" s="438" t="s">
        <v>62</v>
      </c>
      <c r="B28" s="439" t="s">
        <v>63</v>
      </c>
      <c r="C28" s="494" t="s">
        <v>255</v>
      </c>
      <c r="D28" s="266">
        <v>10623</v>
      </c>
      <c r="E28" s="264">
        <v>11564</v>
      </c>
      <c r="F28" s="264">
        <v>11400</v>
      </c>
      <c r="G28" s="266">
        <v>11714</v>
      </c>
      <c r="H28" s="266">
        <v>11494</v>
      </c>
      <c r="I28" s="266">
        <v>11382</v>
      </c>
      <c r="J28" s="266">
        <v>10878</v>
      </c>
      <c r="K28" s="266">
        <v>11864</v>
      </c>
    </row>
    <row r="29" spans="1:11" x14ac:dyDescent="0.3">
      <c r="A29" s="438" t="s">
        <v>64</v>
      </c>
      <c r="B29" s="439" t="s">
        <v>65</v>
      </c>
      <c r="C29" s="494" t="s">
        <v>254</v>
      </c>
      <c r="D29" s="266">
        <v>3736</v>
      </c>
      <c r="E29" s="264">
        <v>3881</v>
      </c>
      <c r="F29" s="264">
        <v>3854</v>
      </c>
      <c r="G29" s="266">
        <v>3796</v>
      </c>
      <c r="H29" s="266">
        <v>3616</v>
      </c>
      <c r="I29" s="266">
        <v>3665</v>
      </c>
      <c r="J29" s="266">
        <v>3531</v>
      </c>
      <c r="K29" s="266">
        <v>3667</v>
      </c>
    </row>
    <row r="30" spans="1:11" x14ac:dyDescent="0.3">
      <c r="A30" s="438" t="s">
        <v>68</v>
      </c>
      <c r="B30" s="439" t="s">
        <v>69</v>
      </c>
      <c r="C30" s="494" t="s">
        <v>256</v>
      </c>
      <c r="D30" s="266">
        <v>6077</v>
      </c>
      <c r="E30" s="264">
        <v>6501</v>
      </c>
      <c r="F30" s="264">
        <v>6315</v>
      </c>
      <c r="G30" s="266">
        <v>6334</v>
      </c>
      <c r="H30" s="266">
        <v>6525</v>
      </c>
      <c r="I30" s="266">
        <v>6563</v>
      </c>
      <c r="J30" s="266">
        <v>6036</v>
      </c>
      <c r="K30" s="266">
        <v>6161</v>
      </c>
    </row>
    <row r="31" spans="1:11" x14ac:dyDescent="0.3">
      <c r="A31" s="438" t="s">
        <v>70</v>
      </c>
      <c r="B31" s="439" t="s">
        <v>71</v>
      </c>
      <c r="C31" s="494" t="s">
        <v>252</v>
      </c>
      <c r="D31" s="266">
        <v>8101</v>
      </c>
      <c r="E31" s="264">
        <v>8409</v>
      </c>
      <c r="F31" s="264">
        <v>8183</v>
      </c>
      <c r="G31" s="266">
        <v>8432</v>
      </c>
      <c r="H31" s="266">
        <v>8375</v>
      </c>
      <c r="I31" s="266">
        <v>8374</v>
      </c>
      <c r="J31" s="266">
        <v>7806</v>
      </c>
      <c r="K31" s="266">
        <v>8341</v>
      </c>
    </row>
    <row r="32" spans="1:11" x14ac:dyDescent="0.3">
      <c r="A32" s="438" t="s">
        <v>72</v>
      </c>
      <c r="B32" s="439" t="s">
        <v>73</v>
      </c>
      <c r="C32" s="494" t="s">
        <v>254</v>
      </c>
      <c r="D32" s="266">
        <v>4066</v>
      </c>
      <c r="E32" s="264">
        <v>4208</v>
      </c>
      <c r="F32" s="264">
        <v>4081</v>
      </c>
      <c r="G32" s="266">
        <v>4052</v>
      </c>
      <c r="H32" s="266">
        <v>3943</v>
      </c>
      <c r="I32" s="266">
        <v>3918</v>
      </c>
      <c r="J32" s="266">
        <v>3715</v>
      </c>
      <c r="K32" s="266">
        <v>3886</v>
      </c>
    </row>
    <row r="33" spans="1:11" x14ac:dyDescent="0.3">
      <c r="A33" s="438" t="s">
        <v>74</v>
      </c>
      <c r="B33" s="439" t="s">
        <v>284</v>
      </c>
      <c r="C33" s="494" t="s">
        <v>255</v>
      </c>
      <c r="D33" s="266">
        <v>106610</v>
      </c>
      <c r="E33" s="264">
        <v>118448</v>
      </c>
      <c r="F33" s="264">
        <v>120167</v>
      </c>
      <c r="G33" s="266">
        <v>128977</v>
      </c>
      <c r="H33" s="266">
        <v>127118</v>
      </c>
      <c r="I33" s="266">
        <v>133993</v>
      </c>
      <c r="J33" s="266">
        <v>129390</v>
      </c>
      <c r="K33" s="266">
        <v>143564</v>
      </c>
    </row>
    <row r="34" spans="1:11" x14ac:dyDescent="0.3">
      <c r="A34" s="438" t="s">
        <v>76</v>
      </c>
      <c r="B34" s="439" t="s">
        <v>77</v>
      </c>
      <c r="C34" s="494" t="s">
        <v>255</v>
      </c>
      <c r="D34" s="266">
        <v>8954</v>
      </c>
      <c r="E34" s="264">
        <v>9595</v>
      </c>
      <c r="F34" s="264">
        <v>9415</v>
      </c>
      <c r="G34" s="266">
        <v>9654</v>
      </c>
      <c r="H34" s="266">
        <v>9188</v>
      </c>
      <c r="I34" s="266">
        <v>9280</v>
      </c>
      <c r="J34" s="266">
        <v>8707</v>
      </c>
      <c r="K34" s="266">
        <v>9819</v>
      </c>
    </row>
    <row r="35" spans="1:11" x14ac:dyDescent="0.3">
      <c r="A35" s="438" t="s">
        <v>78</v>
      </c>
      <c r="B35" s="439" t="s">
        <v>79</v>
      </c>
      <c r="C35" s="494" t="s">
        <v>256</v>
      </c>
      <c r="D35" s="266">
        <v>3857</v>
      </c>
      <c r="E35" s="264">
        <v>4009</v>
      </c>
      <c r="F35" s="264">
        <v>3893</v>
      </c>
      <c r="G35" s="266">
        <v>3872</v>
      </c>
      <c r="H35" s="266">
        <v>3780</v>
      </c>
      <c r="I35" s="266">
        <v>3986</v>
      </c>
      <c r="J35" s="266">
        <v>3884</v>
      </c>
      <c r="K35" s="266">
        <v>4128</v>
      </c>
    </row>
    <row r="36" spans="1:11" x14ac:dyDescent="0.3">
      <c r="A36" s="438" t="s">
        <v>80</v>
      </c>
      <c r="B36" s="439" t="s">
        <v>81</v>
      </c>
      <c r="C36" s="494" t="s">
        <v>254</v>
      </c>
      <c r="D36" s="266">
        <v>3860</v>
      </c>
      <c r="E36" s="264">
        <v>4110</v>
      </c>
      <c r="F36" s="264">
        <v>4040</v>
      </c>
      <c r="G36" s="266">
        <v>4103</v>
      </c>
      <c r="H36" s="266">
        <v>4128</v>
      </c>
      <c r="I36" s="266">
        <v>4275</v>
      </c>
      <c r="J36" s="266">
        <v>4227</v>
      </c>
      <c r="K36" s="266">
        <v>4483</v>
      </c>
    </row>
    <row r="37" spans="1:11" x14ac:dyDescent="0.3">
      <c r="A37" s="438" t="s">
        <v>84</v>
      </c>
      <c r="B37" s="439" t="s">
        <v>85</v>
      </c>
      <c r="C37" s="494" t="s">
        <v>253</v>
      </c>
      <c r="D37" s="266">
        <v>14191</v>
      </c>
      <c r="E37" s="264">
        <v>14814</v>
      </c>
      <c r="F37" s="264">
        <v>14405</v>
      </c>
      <c r="G37" s="266">
        <v>14326</v>
      </c>
      <c r="H37" s="266">
        <v>14131</v>
      </c>
      <c r="I37" s="266">
        <v>13968</v>
      </c>
      <c r="J37" s="266">
        <v>13222</v>
      </c>
      <c r="K37" s="266">
        <v>14085</v>
      </c>
    </row>
    <row r="38" spans="1:11" x14ac:dyDescent="0.3">
      <c r="A38" s="438" t="s">
        <v>86</v>
      </c>
      <c r="B38" s="439" t="s">
        <v>87</v>
      </c>
      <c r="C38" s="494" t="s">
        <v>255</v>
      </c>
      <c r="D38" s="266">
        <v>14340</v>
      </c>
      <c r="E38" s="264">
        <v>15395</v>
      </c>
      <c r="F38" s="264">
        <v>14685</v>
      </c>
      <c r="G38" s="266">
        <v>14771</v>
      </c>
      <c r="H38" s="266">
        <v>14649</v>
      </c>
      <c r="I38" s="266">
        <v>14520</v>
      </c>
      <c r="J38" s="266">
        <v>13947</v>
      </c>
      <c r="K38" s="266">
        <v>15263</v>
      </c>
    </row>
    <row r="39" spans="1:11" x14ac:dyDescent="0.3">
      <c r="A39" s="438" t="s">
        <v>92</v>
      </c>
      <c r="B39" s="439" t="s">
        <v>93</v>
      </c>
      <c r="C39" s="494" t="s">
        <v>256</v>
      </c>
      <c r="D39" s="266">
        <v>4639</v>
      </c>
      <c r="E39" s="264">
        <v>4756</v>
      </c>
      <c r="F39" s="264">
        <v>4759</v>
      </c>
      <c r="G39" s="266">
        <v>4773</v>
      </c>
      <c r="H39" s="266">
        <v>4780</v>
      </c>
      <c r="I39" s="266">
        <v>4719</v>
      </c>
      <c r="J39" s="266">
        <v>4553</v>
      </c>
      <c r="K39" s="266">
        <v>4741</v>
      </c>
    </row>
    <row r="40" spans="1:11" x14ac:dyDescent="0.3">
      <c r="A40" s="438" t="s">
        <v>94</v>
      </c>
      <c r="B40" s="439" t="s">
        <v>95</v>
      </c>
      <c r="C40" s="494" t="s">
        <v>252</v>
      </c>
      <c r="D40" s="266">
        <v>7870</v>
      </c>
      <c r="E40" s="264">
        <v>8205</v>
      </c>
      <c r="F40" s="264">
        <v>8047</v>
      </c>
      <c r="G40" s="266">
        <v>8093</v>
      </c>
      <c r="H40" s="266">
        <v>7980</v>
      </c>
      <c r="I40" s="266">
        <v>7910</v>
      </c>
      <c r="J40" s="266">
        <v>7559</v>
      </c>
      <c r="K40" s="266">
        <v>8224</v>
      </c>
    </row>
    <row r="41" spans="1:11" x14ac:dyDescent="0.3">
      <c r="A41" s="438" t="s">
        <v>96</v>
      </c>
      <c r="B41" s="439" t="s">
        <v>97</v>
      </c>
      <c r="C41" s="494" t="s">
        <v>254</v>
      </c>
      <c r="D41" s="266">
        <v>2543</v>
      </c>
      <c r="E41" s="264">
        <v>2693</v>
      </c>
      <c r="F41" s="264">
        <v>2706</v>
      </c>
      <c r="G41" s="266">
        <v>2792</v>
      </c>
      <c r="H41" s="266">
        <v>2728</v>
      </c>
      <c r="I41" s="266">
        <v>2691</v>
      </c>
      <c r="J41" s="266">
        <v>2553</v>
      </c>
      <c r="K41" s="266">
        <v>2990</v>
      </c>
    </row>
    <row r="42" spans="1:11" x14ac:dyDescent="0.3">
      <c r="A42" s="438" t="s">
        <v>98</v>
      </c>
      <c r="B42" s="439" t="s">
        <v>99</v>
      </c>
      <c r="C42" s="494" t="s">
        <v>256</v>
      </c>
      <c r="D42" s="266">
        <v>5204</v>
      </c>
      <c r="E42" s="264">
        <v>5493</v>
      </c>
      <c r="F42" s="264">
        <v>5333</v>
      </c>
      <c r="G42" s="266">
        <v>5276</v>
      </c>
      <c r="H42" s="266">
        <v>5181</v>
      </c>
      <c r="I42" s="266">
        <v>5144</v>
      </c>
      <c r="J42" s="266">
        <v>4825</v>
      </c>
      <c r="K42" s="266">
        <v>5034</v>
      </c>
    </row>
    <row r="43" spans="1:11" x14ac:dyDescent="0.3">
      <c r="A43" s="438" t="s">
        <v>100</v>
      </c>
      <c r="B43" s="439" t="s">
        <v>101</v>
      </c>
      <c r="C43" s="494" t="s">
        <v>255</v>
      </c>
      <c r="D43" s="266">
        <v>3959</v>
      </c>
      <c r="E43" s="264">
        <v>4257</v>
      </c>
      <c r="F43" s="264">
        <v>4244</v>
      </c>
      <c r="G43" s="266">
        <v>4324</v>
      </c>
      <c r="H43" s="266">
        <v>4374</v>
      </c>
      <c r="I43" s="266">
        <v>4461</v>
      </c>
      <c r="J43" s="266">
        <v>4081</v>
      </c>
      <c r="K43" s="266">
        <v>4457</v>
      </c>
    </row>
    <row r="44" spans="1:11" x14ac:dyDescent="0.3">
      <c r="A44" s="438" t="s">
        <v>102</v>
      </c>
      <c r="B44" s="439" t="s">
        <v>270</v>
      </c>
      <c r="C44" s="494" t="s">
        <v>252</v>
      </c>
      <c r="D44" s="266">
        <v>6858</v>
      </c>
      <c r="E44" s="264">
        <v>7620</v>
      </c>
      <c r="F44" s="264">
        <v>7247</v>
      </c>
      <c r="G44" s="266">
        <v>7693</v>
      </c>
      <c r="H44" s="266">
        <v>7603</v>
      </c>
      <c r="I44" s="266">
        <v>7694</v>
      </c>
      <c r="J44" s="266">
        <v>6887</v>
      </c>
      <c r="K44" s="266">
        <v>6980</v>
      </c>
    </row>
    <row r="45" spans="1:11" x14ac:dyDescent="0.3">
      <c r="A45" s="438" t="s">
        <v>104</v>
      </c>
      <c r="B45" s="439" t="s">
        <v>105</v>
      </c>
      <c r="C45" s="494" t="s">
        <v>253</v>
      </c>
      <c r="D45" s="266">
        <v>12168</v>
      </c>
      <c r="E45" s="264">
        <v>12512</v>
      </c>
      <c r="F45" s="264">
        <v>12293</v>
      </c>
      <c r="G45" s="266">
        <v>12421</v>
      </c>
      <c r="H45" s="266">
        <v>12363</v>
      </c>
      <c r="I45" s="266">
        <v>12193</v>
      </c>
      <c r="J45" s="266">
        <v>11804</v>
      </c>
      <c r="K45" s="266">
        <v>12342</v>
      </c>
    </row>
    <row r="46" spans="1:11" x14ac:dyDescent="0.3">
      <c r="A46" s="438" t="s">
        <v>108</v>
      </c>
      <c r="B46" s="439" t="s">
        <v>109</v>
      </c>
      <c r="C46" s="494" t="s">
        <v>254</v>
      </c>
      <c r="D46" s="266">
        <v>11496</v>
      </c>
      <c r="E46" s="264">
        <v>12204</v>
      </c>
      <c r="F46" s="264">
        <v>12170</v>
      </c>
      <c r="G46" s="266">
        <v>12517</v>
      </c>
      <c r="H46" s="266">
        <v>12433</v>
      </c>
      <c r="I46" s="266">
        <v>12571</v>
      </c>
      <c r="J46" s="266">
        <v>11905</v>
      </c>
      <c r="K46" s="266">
        <v>13180</v>
      </c>
    </row>
    <row r="47" spans="1:11" x14ac:dyDescent="0.3">
      <c r="A47" s="438" t="s">
        <v>110</v>
      </c>
      <c r="B47" s="439" t="s">
        <v>111</v>
      </c>
      <c r="C47" s="494" t="s">
        <v>254</v>
      </c>
      <c r="D47" s="266">
        <v>60188</v>
      </c>
      <c r="E47" s="264">
        <v>64927</v>
      </c>
      <c r="F47" s="264">
        <v>64583</v>
      </c>
      <c r="G47" s="266">
        <v>66505</v>
      </c>
      <c r="H47" s="266">
        <v>67849</v>
      </c>
      <c r="I47" s="266">
        <v>70047</v>
      </c>
      <c r="J47" s="266">
        <v>67948</v>
      </c>
      <c r="K47" s="266">
        <v>72519</v>
      </c>
    </row>
    <row r="48" spans="1:11" x14ac:dyDescent="0.3">
      <c r="A48" s="438" t="s">
        <v>112</v>
      </c>
      <c r="B48" s="439" t="s">
        <v>288</v>
      </c>
      <c r="C48" s="494" t="s">
        <v>253</v>
      </c>
      <c r="D48" s="266">
        <v>27516</v>
      </c>
      <c r="E48" s="264">
        <v>29273</v>
      </c>
      <c r="F48" s="264">
        <v>28051</v>
      </c>
      <c r="G48" s="266">
        <v>28500</v>
      </c>
      <c r="H48" s="266">
        <v>28576</v>
      </c>
      <c r="I48" s="266">
        <v>28175</v>
      </c>
      <c r="J48" s="266">
        <v>26085</v>
      </c>
      <c r="K48" s="266">
        <v>26943</v>
      </c>
    </row>
    <row r="49" spans="1:11" x14ac:dyDescent="0.3">
      <c r="A49" s="438" t="s">
        <v>114</v>
      </c>
      <c r="B49" s="439" t="s">
        <v>115</v>
      </c>
      <c r="C49" s="494" t="s">
        <v>253</v>
      </c>
      <c r="D49" s="266">
        <v>390</v>
      </c>
      <c r="E49" s="264">
        <v>384</v>
      </c>
      <c r="F49" s="264">
        <v>470</v>
      </c>
      <c r="G49" s="266">
        <v>524</v>
      </c>
      <c r="H49" s="266">
        <v>399</v>
      </c>
      <c r="I49" s="266">
        <v>459</v>
      </c>
      <c r="J49" s="266">
        <v>368</v>
      </c>
      <c r="K49" s="266">
        <v>423</v>
      </c>
    </row>
    <row r="50" spans="1:11" x14ac:dyDescent="0.3">
      <c r="A50" s="438" t="s">
        <v>118</v>
      </c>
      <c r="B50" s="439" t="s">
        <v>258</v>
      </c>
      <c r="C50" s="494" t="s">
        <v>252</v>
      </c>
      <c r="D50" s="266">
        <v>7269</v>
      </c>
      <c r="E50" s="264">
        <v>7692</v>
      </c>
      <c r="F50" s="264">
        <v>7343</v>
      </c>
      <c r="G50" s="266">
        <v>7515</v>
      </c>
      <c r="H50" s="266">
        <v>7385</v>
      </c>
      <c r="I50" s="266">
        <v>7505</v>
      </c>
      <c r="J50" s="266">
        <v>7038</v>
      </c>
      <c r="K50" s="266">
        <v>7378</v>
      </c>
    </row>
    <row r="51" spans="1:11" x14ac:dyDescent="0.3">
      <c r="A51" s="438" t="s">
        <v>120</v>
      </c>
      <c r="B51" s="439" t="s">
        <v>121</v>
      </c>
      <c r="C51" s="494" t="s">
        <v>252</v>
      </c>
      <c r="D51" s="266">
        <v>8956</v>
      </c>
      <c r="E51" s="264">
        <v>9807</v>
      </c>
      <c r="F51" s="264">
        <v>9688</v>
      </c>
      <c r="G51" s="266">
        <v>9944</v>
      </c>
      <c r="H51" s="266">
        <v>10103</v>
      </c>
      <c r="I51" s="266">
        <v>10217</v>
      </c>
      <c r="J51" s="266">
        <v>9506</v>
      </c>
      <c r="K51" s="266">
        <v>10293</v>
      </c>
    </row>
    <row r="52" spans="1:11" x14ac:dyDescent="0.3">
      <c r="A52" s="438" t="s">
        <v>122</v>
      </c>
      <c r="B52" s="439" t="s">
        <v>275</v>
      </c>
      <c r="C52" s="494" t="s">
        <v>254</v>
      </c>
      <c r="D52" s="266">
        <v>2092</v>
      </c>
      <c r="E52" s="264">
        <v>2301</v>
      </c>
      <c r="F52" s="264">
        <v>2281</v>
      </c>
      <c r="G52" s="266">
        <v>2263</v>
      </c>
      <c r="H52" s="266">
        <v>2170</v>
      </c>
      <c r="I52" s="266">
        <v>2228</v>
      </c>
      <c r="J52" s="266">
        <v>2031</v>
      </c>
      <c r="K52" s="266">
        <v>2095</v>
      </c>
    </row>
    <row r="53" spans="1:11" x14ac:dyDescent="0.3">
      <c r="A53" s="438" t="s">
        <v>124</v>
      </c>
      <c r="B53" s="439" t="s">
        <v>125</v>
      </c>
      <c r="C53" s="494" t="s">
        <v>255</v>
      </c>
      <c r="D53" s="266">
        <v>5029</v>
      </c>
      <c r="E53" s="264">
        <v>5384</v>
      </c>
      <c r="F53" s="264">
        <v>5381</v>
      </c>
      <c r="G53" s="266">
        <v>5411</v>
      </c>
      <c r="H53" s="266">
        <v>5207</v>
      </c>
      <c r="I53" s="266">
        <v>5174</v>
      </c>
      <c r="J53" s="266">
        <v>4793</v>
      </c>
      <c r="K53" s="266">
        <v>4863</v>
      </c>
    </row>
    <row r="54" spans="1:11" x14ac:dyDescent="0.3">
      <c r="A54" s="438" t="s">
        <v>126</v>
      </c>
      <c r="B54" s="439" t="s">
        <v>127</v>
      </c>
      <c r="C54" s="494" t="s">
        <v>254</v>
      </c>
      <c r="D54" s="266">
        <v>3497</v>
      </c>
      <c r="E54" s="264">
        <v>3645</v>
      </c>
      <c r="F54" s="264">
        <v>3550</v>
      </c>
      <c r="G54" s="266">
        <v>3529</v>
      </c>
      <c r="H54" s="266">
        <v>3519</v>
      </c>
      <c r="I54" s="266">
        <v>3405</v>
      </c>
      <c r="J54" s="266">
        <v>3232</v>
      </c>
      <c r="K54" s="266">
        <v>3561</v>
      </c>
    </row>
    <row r="55" spans="1:11" x14ac:dyDescent="0.3">
      <c r="A55" s="438" t="s">
        <v>128</v>
      </c>
      <c r="B55" s="439" t="s">
        <v>129</v>
      </c>
      <c r="C55" s="494" t="s">
        <v>254</v>
      </c>
      <c r="D55" s="266">
        <v>3017</v>
      </c>
      <c r="E55" s="264">
        <v>3166</v>
      </c>
      <c r="F55" s="264">
        <v>3078</v>
      </c>
      <c r="G55" s="266">
        <v>3045</v>
      </c>
      <c r="H55" s="266">
        <v>2907</v>
      </c>
      <c r="I55" s="266">
        <v>3001</v>
      </c>
      <c r="J55" s="266">
        <v>2849</v>
      </c>
      <c r="K55" s="266">
        <v>2992</v>
      </c>
    </row>
    <row r="56" spans="1:11" x14ac:dyDescent="0.3">
      <c r="A56" s="438" t="s">
        <v>130</v>
      </c>
      <c r="B56" s="439" t="s">
        <v>131</v>
      </c>
      <c r="C56" s="494" t="s">
        <v>256</v>
      </c>
      <c r="D56" s="266">
        <v>10255</v>
      </c>
      <c r="E56" s="264">
        <v>10651</v>
      </c>
      <c r="F56" s="264">
        <v>10597</v>
      </c>
      <c r="G56" s="266">
        <v>10372</v>
      </c>
      <c r="H56" s="266">
        <v>10438</v>
      </c>
      <c r="I56" s="266">
        <v>10321</v>
      </c>
      <c r="J56" s="266">
        <v>9877</v>
      </c>
      <c r="K56" s="266">
        <v>10520</v>
      </c>
    </row>
    <row r="57" spans="1:11" x14ac:dyDescent="0.3">
      <c r="A57" s="438" t="s">
        <v>132</v>
      </c>
      <c r="B57" s="439" t="s">
        <v>133</v>
      </c>
      <c r="C57" s="494" t="s">
        <v>255</v>
      </c>
      <c r="D57" s="266">
        <v>22211</v>
      </c>
      <c r="E57" s="264">
        <v>25069</v>
      </c>
      <c r="F57" s="264">
        <v>25981</v>
      </c>
      <c r="G57" s="266">
        <v>28995</v>
      </c>
      <c r="H57" s="266">
        <v>31478</v>
      </c>
      <c r="I57" s="266">
        <v>32366</v>
      </c>
      <c r="J57" s="266">
        <v>30729</v>
      </c>
      <c r="K57" s="266">
        <v>35909</v>
      </c>
    </row>
    <row r="58" spans="1:11" x14ac:dyDescent="0.3">
      <c r="A58" s="438" t="s">
        <v>134</v>
      </c>
      <c r="B58" s="439" t="s">
        <v>135</v>
      </c>
      <c r="C58" s="494" t="s">
        <v>255</v>
      </c>
      <c r="D58" s="266">
        <v>8044</v>
      </c>
      <c r="E58" s="264">
        <v>8661</v>
      </c>
      <c r="F58" s="264">
        <v>8699</v>
      </c>
      <c r="G58" s="266">
        <v>8922</v>
      </c>
      <c r="H58" s="266">
        <v>8719</v>
      </c>
      <c r="I58" s="266">
        <v>8639</v>
      </c>
      <c r="J58" s="266">
        <v>7904</v>
      </c>
      <c r="K58" s="266">
        <v>8716</v>
      </c>
    </row>
    <row r="59" spans="1:11" x14ac:dyDescent="0.3">
      <c r="A59" s="438" t="s">
        <v>136</v>
      </c>
      <c r="B59" s="439" t="s">
        <v>137</v>
      </c>
      <c r="C59" s="494" t="s">
        <v>254</v>
      </c>
      <c r="D59" s="266">
        <v>4311</v>
      </c>
      <c r="E59" s="264">
        <v>4344</v>
      </c>
      <c r="F59" s="264">
        <v>4364</v>
      </c>
      <c r="G59" s="266">
        <v>4390</v>
      </c>
      <c r="H59" s="266">
        <v>4257</v>
      </c>
      <c r="I59" s="266">
        <v>4145</v>
      </c>
      <c r="J59" s="266">
        <v>3937</v>
      </c>
      <c r="K59" s="266">
        <v>4270</v>
      </c>
    </row>
    <row r="60" spans="1:11" x14ac:dyDescent="0.3">
      <c r="A60" s="438" t="s">
        <v>140</v>
      </c>
      <c r="B60" s="439" t="s">
        <v>141</v>
      </c>
      <c r="C60" s="494" t="s">
        <v>255</v>
      </c>
      <c r="D60" s="266">
        <v>2993</v>
      </c>
      <c r="E60" s="264">
        <v>3291</v>
      </c>
      <c r="F60" s="264">
        <v>3240</v>
      </c>
      <c r="G60" s="266">
        <v>3318</v>
      </c>
      <c r="H60" s="266">
        <v>3217</v>
      </c>
      <c r="I60" s="266">
        <v>3122</v>
      </c>
      <c r="J60" s="266">
        <v>2858</v>
      </c>
      <c r="K60" s="266">
        <v>3082</v>
      </c>
    </row>
    <row r="61" spans="1:11" x14ac:dyDescent="0.3">
      <c r="A61" s="438" t="s">
        <v>146</v>
      </c>
      <c r="B61" s="439" t="s">
        <v>147</v>
      </c>
      <c r="C61" s="494" t="s">
        <v>252</v>
      </c>
      <c r="D61" s="266">
        <v>1788</v>
      </c>
      <c r="E61" s="264">
        <v>1911</v>
      </c>
      <c r="F61" s="264">
        <v>1850</v>
      </c>
      <c r="G61" s="266">
        <v>1895</v>
      </c>
      <c r="H61" s="266">
        <v>1858</v>
      </c>
      <c r="I61" s="266">
        <v>1817</v>
      </c>
      <c r="J61" s="266">
        <v>1676</v>
      </c>
      <c r="K61" s="266">
        <v>1916</v>
      </c>
    </row>
    <row r="62" spans="1:11" x14ac:dyDescent="0.3">
      <c r="A62" s="438" t="s">
        <v>148</v>
      </c>
      <c r="B62" s="439" t="s">
        <v>149</v>
      </c>
      <c r="C62" s="494" t="s">
        <v>253</v>
      </c>
      <c r="D62" s="266">
        <v>9761</v>
      </c>
      <c r="E62" s="264">
        <v>10341</v>
      </c>
      <c r="F62" s="264">
        <v>10168</v>
      </c>
      <c r="G62" s="266">
        <v>10082</v>
      </c>
      <c r="H62" s="266">
        <v>9729</v>
      </c>
      <c r="I62" s="266">
        <v>9681</v>
      </c>
      <c r="J62" s="266">
        <v>9324</v>
      </c>
      <c r="K62" s="266">
        <v>9735</v>
      </c>
    </row>
    <row r="63" spans="1:11" x14ac:dyDescent="0.3">
      <c r="A63" s="438" t="s">
        <v>150</v>
      </c>
      <c r="B63" s="439" t="s">
        <v>151</v>
      </c>
      <c r="C63" s="494" t="s">
        <v>254</v>
      </c>
      <c r="D63" s="266">
        <v>2811</v>
      </c>
      <c r="E63" s="264">
        <v>2979</v>
      </c>
      <c r="F63" s="264">
        <v>2919</v>
      </c>
      <c r="G63" s="266">
        <v>2970</v>
      </c>
      <c r="H63" s="266">
        <v>2972</v>
      </c>
      <c r="I63" s="266">
        <v>3066</v>
      </c>
      <c r="J63" s="266">
        <v>2931</v>
      </c>
      <c r="K63" s="266">
        <v>3084</v>
      </c>
    </row>
    <row r="64" spans="1:11" x14ac:dyDescent="0.3">
      <c r="A64" s="438" t="s">
        <v>152</v>
      </c>
      <c r="B64" s="439" t="s">
        <v>153</v>
      </c>
      <c r="C64" s="494" t="s">
        <v>256</v>
      </c>
      <c r="D64" s="266">
        <v>14119</v>
      </c>
      <c r="E64" s="264">
        <v>15037</v>
      </c>
      <c r="F64" s="264">
        <v>14615</v>
      </c>
      <c r="G64" s="266">
        <v>14424</v>
      </c>
      <c r="H64" s="266">
        <v>13952</v>
      </c>
      <c r="I64" s="266">
        <v>13943</v>
      </c>
      <c r="J64" s="266">
        <v>13114</v>
      </c>
      <c r="K64" s="266">
        <v>14352</v>
      </c>
    </row>
    <row r="65" spans="1:11" x14ac:dyDescent="0.3">
      <c r="A65" s="438" t="s">
        <v>154</v>
      </c>
      <c r="B65" s="439" t="s">
        <v>155</v>
      </c>
      <c r="C65" s="494" t="s">
        <v>253</v>
      </c>
      <c r="D65" s="266">
        <v>4108</v>
      </c>
      <c r="E65" s="264">
        <v>4365</v>
      </c>
      <c r="F65" s="264">
        <v>4317</v>
      </c>
      <c r="G65" s="266">
        <v>4223</v>
      </c>
      <c r="H65" s="266">
        <v>3977</v>
      </c>
      <c r="I65" s="266">
        <v>3981</v>
      </c>
      <c r="J65" s="266">
        <v>3758</v>
      </c>
      <c r="K65" s="266">
        <v>3947</v>
      </c>
    </row>
    <row r="66" spans="1:11" x14ac:dyDescent="0.3">
      <c r="A66" s="438" t="s">
        <v>156</v>
      </c>
      <c r="B66" s="439" t="s">
        <v>157</v>
      </c>
      <c r="C66" s="494" t="s">
        <v>254</v>
      </c>
      <c r="D66" s="266">
        <v>2487</v>
      </c>
      <c r="E66" s="264">
        <v>2653</v>
      </c>
      <c r="F66" s="264">
        <v>2571</v>
      </c>
      <c r="G66" s="266">
        <v>2851</v>
      </c>
      <c r="H66" s="266">
        <v>2846</v>
      </c>
      <c r="I66" s="266">
        <v>2879</v>
      </c>
      <c r="J66" s="266">
        <v>2648</v>
      </c>
      <c r="K66" s="266">
        <v>2845</v>
      </c>
    </row>
    <row r="67" spans="1:11" x14ac:dyDescent="0.3">
      <c r="A67" s="438" t="s">
        <v>162</v>
      </c>
      <c r="B67" s="439" t="s">
        <v>163</v>
      </c>
      <c r="C67" s="494" t="s">
        <v>252</v>
      </c>
      <c r="D67" s="266">
        <v>4913</v>
      </c>
      <c r="E67" s="264">
        <v>5127</v>
      </c>
      <c r="F67" s="264">
        <v>5026</v>
      </c>
      <c r="G67" s="266">
        <v>4957</v>
      </c>
      <c r="H67" s="266">
        <v>4777</v>
      </c>
      <c r="I67" s="266">
        <v>4747</v>
      </c>
      <c r="J67" s="266">
        <v>4497</v>
      </c>
      <c r="K67" s="266">
        <v>4781</v>
      </c>
    </row>
    <row r="68" spans="1:11" x14ac:dyDescent="0.3">
      <c r="A68" s="438" t="s">
        <v>164</v>
      </c>
      <c r="B68" s="439" t="s">
        <v>165</v>
      </c>
      <c r="C68" s="494" t="s">
        <v>254</v>
      </c>
      <c r="D68" s="266">
        <v>2906</v>
      </c>
      <c r="E68" s="264">
        <v>3257</v>
      </c>
      <c r="F68" s="264">
        <v>3236</v>
      </c>
      <c r="G68" s="266">
        <v>3245</v>
      </c>
      <c r="H68" s="266">
        <v>3264</v>
      </c>
      <c r="I68" s="266">
        <v>3220</v>
      </c>
      <c r="J68" s="266">
        <v>2994</v>
      </c>
      <c r="K68" s="266">
        <v>3173</v>
      </c>
    </row>
    <row r="69" spans="1:11" x14ac:dyDescent="0.3">
      <c r="A69" s="438" t="s">
        <v>168</v>
      </c>
      <c r="B69" s="439" t="s">
        <v>169</v>
      </c>
      <c r="C69" s="494" t="s">
        <v>254</v>
      </c>
      <c r="D69" s="266">
        <v>5671</v>
      </c>
      <c r="E69" s="264">
        <v>5857</v>
      </c>
      <c r="F69" s="264">
        <v>5833</v>
      </c>
      <c r="G69" s="266">
        <v>5791</v>
      </c>
      <c r="H69" s="266">
        <v>5704</v>
      </c>
      <c r="I69" s="266">
        <v>5657</v>
      </c>
      <c r="J69" s="266">
        <v>5439</v>
      </c>
      <c r="K69" s="266">
        <v>5551</v>
      </c>
    </row>
    <row r="70" spans="1:11" x14ac:dyDescent="0.3">
      <c r="A70" s="438" t="s">
        <v>170</v>
      </c>
      <c r="B70" s="439" t="s">
        <v>171</v>
      </c>
      <c r="C70" s="494" t="s">
        <v>255</v>
      </c>
      <c r="D70" s="266">
        <v>6895</v>
      </c>
      <c r="E70" s="264">
        <v>7450</v>
      </c>
      <c r="F70" s="264">
        <v>7477</v>
      </c>
      <c r="G70" s="266">
        <v>7649</v>
      </c>
      <c r="H70" s="266">
        <v>7596</v>
      </c>
      <c r="I70" s="266">
        <v>7617</v>
      </c>
      <c r="J70" s="266">
        <v>7408</v>
      </c>
      <c r="K70" s="266">
        <v>8173</v>
      </c>
    </row>
    <row r="71" spans="1:11" x14ac:dyDescent="0.3">
      <c r="A71" s="438" t="s">
        <v>172</v>
      </c>
      <c r="B71" s="439" t="s">
        <v>173</v>
      </c>
      <c r="C71" s="494" t="s">
        <v>255</v>
      </c>
      <c r="D71" s="266">
        <v>7041</v>
      </c>
      <c r="E71" s="264">
        <v>7374</v>
      </c>
      <c r="F71" s="264">
        <v>7302</v>
      </c>
      <c r="G71" s="266">
        <v>7238</v>
      </c>
      <c r="H71" s="266">
        <v>7116</v>
      </c>
      <c r="I71" s="266">
        <v>6873</v>
      </c>
      <c r="J71" s="266">
        <v>6501</v>
      </c>
      <c r="K71" s="266">
        <v>7080</v>
      </c>
    </row>
    <row r="72" spans="1:11" x14ac:dyDescent="0.3">
      <c r="A72" s="438" t="s">
        <v>174</v>
      </c>
      <c r="B72" s="439" t="s">
        <v>175</v>
      </c>
      <c r="C72" s="494" t="s">
        <v>256</v>
      </c>
      <c r="D72" s="266">
        <v>6234</v>
      </c>
      <c r="E72" s="264">
        <v>6321</v>
      </c>
      <c r="F72" s="264">
        <v>6037</v>
      </c>
      <c r="G72" s="266">
        <v>5979</v>
      </c>
      <c r="H72" s="266">
        <v>5908</v>
      </c>
      <c r="I72" s="266">
        <v>5886</v>
      </c>
      <c r="J72" s="266">
        <v>5486</v>
      </c>
      <c r="K72" s="266">
        <v>5749</v>
      </c>
    </row>
    <row r="73" spans="1:11" x14ac:dyDescent="0.3">
      <c r="A73" s="438" t="s">
        <v>178</v>
      </c>
      <c r="B73" s="439" t="s">
        <v>179</v>
      </c>
      <c r="C73" s="494" t="s">
        <v>253</v>
      </c>
      <c r="D73" s="266">
        <v>18022</v>
      </c>
      <c r="E73" s="264">
        <v>19040</v>
      </c>
      <c r="F73" s="264">
        <v>19116</v>
      </c>
      <c r="G73" s="266">
        <v>19050</v>
      </c>
      <c r="H73" s="266">
        <v>18849</v>
      </c>
      <c r="I73" s="266">
        <v>19013</v>
      </c>
      <c r="J73" s="266">
        <v>18144</v>
      </c>
      <c r="K73" s="266">
        <v>19065</v>
      </c>
    </row>
    <row r="74" spans="1:11" x14ac:dyDescent="0.3">
      <c r="A74" s="438" t="s">
        <v>182</v>
      </c>
      <c r="B74" s="439" t="s">
        <v>183</v>
      </c>
      <c r="C74" s="494" t="s">
        <v>254</v>
      </c>
      <c r="D74" s="266">
        <v>3076</v>
      </c>
      <c r="E74" s="264">
        <v>3267</v>
      </c>
      <c r="F74" s="264">
        <v>3190</v>
      </c>
      <c r="G74" s="266">
        <v>3245</v>
      </c>
      <c r="H74" s="266">
        <v>3205</v>
      </c>
      <c r="I74" s="266">
        <v>3276</v>
      </c>
      <c r="J74" s="266">
        <v>3092</v>
      </c>
      <c r="K74" s="266">
        <v>3472</v>
      </c>
    </row>
    <row r="75" spans="1:11" x14ac:dyDescent="0.3">
      <c r="A75" s="438" t="s">
        <v>184</v>
      </c>
      <c r="B75" s="439" t="s">
        <v>185</v>
      </c>
      <c r="C75" s="494" t="s">
        <v>254</v>
      </c>
      <c r="D75" s="266">
        <v>6436</v>
      </c>
      <c r="E75" s="264">
        <v>6709</v>
      </c>
      <c r="F75" s="264">
        <v>6596</v>
      </c>
      <c r="G75" s="266">
        <v>6532</v>
      </c>
      <c r="H75" s="266">
        <v>6493</v>
      </c>
      <c r="I75" s="266">
        <v>6473</v>
      </c>
      <c r="J75" s="266">
        <v>6032</v>
      </c>
      <c r="K75" s="266">
        <v>6376</v>
      </c>
    </row>
    <row r="76" spans="1:11" x14ac:dyDescent="0.3">
      <c r="A76" s="438" t="s">
        <v>186</v>
      </c>
      <c r="B76" s="439" t="s">
        <v>187</v>
      </c>
      <c r="C76" s="494" t="s">
        <v>252</v>
      </c>
      <c r="D76" s="266">
        <v>5378</v>
      </c>
      <c r="E76" s="264">
        <v>5951</v>
      </c>
      <c r="F76" s="264">
        <v>6208</v>
      </c>
      <c r="G76" s="266">
        <v>6596</v>
      </c>
      <c r="H76" s="266">
        <v>6895</v>
      </c>
      <c r="I76" s="266">
        <v>7237</v>
      </c>
      <c r="J76" s="266">
        <v>6596</v>
      </c>
      <c r="K76" s="266">
        <v>7398</v>
      </c>
    </row>
    <row r="77" spans="1:11" x14ac:dyDescent="0.3">
      <c r="A77" s="438" t="s">
        <v>188</v>
      </c>
      <c r="B77" s="439" t="s">
        <v>189</v>
      </c>
      <c r="C77" s="494" t="s">
        <v>255</v>
      </c>
      <c r="D77" s="266">
        <v>62835</v>
      </c>
      <c r="E77" s="264">
        <v>69625</v>
      </c>
      <c r="F77" s="264">
        <v>69829</v>
      </c>
      <c r="G77" s="266">
        <v>74151</v>
      </c>
      <c r="H77" s="266">
        <v>75745</v>
      </c>
      <c r="I77" s="266">
        <v>78301</v>
      </c>
      <c r="J77" s="266">
        <v>74737</v>
      </c>
      <c r="K77" s="266">
        <v>82324</v>
      </c>
    </row>
    <row r="78" spans="1:11" x14ac:dyDescent="0.3">
      <c r="A78" s="438" t="s">
        <v>190</v>
      </c>
      <c r="B78" s="439" t="s">
        <v>191</v>
      </c>
      <c r="C78" s="494" t="s">
        <v>256</v>
      </c>
      <c r="D78" s="266">
        <v>10186</v>
      </c>
      <c r="E78" s="264">
        <v>10793</v>
      </c>
      <c r="F78" s="264">
        <v>10612</v>
      </c>
      <c r="G78" s="266">
        <v>10370</v>
      </c>
      <c r="H78" s="266">
        <v>10192</v>
      </c>
      <c r="I78" s="266">
        <v>10445</v>
      </c>
      <c r="J78" s="266">
        <v>10033</v>
      </c>
      <c r="K78" s="266">
        <v>10264</v>
      </c>
    </row>
    <row r="79" spans="1:11" x14ac:dyDescent="0.3">
      <c r="A79" s="438" t="s">
        <v>194</v>
      </c>
      <c r="B79" s="439" t="s">
        <v>195</v>
      </c>
      <c r="C79" s="494" t="s">
        <v>255</v>
      </c>
      <c r="D79" s="266">
        <v>1257</v>
      </c>
      <c r="E79" s="264">
        <v>1264</v>
      </c>
      <c r="F79" s="264">
        <v>1201</v>
      </c>
      <c r="G79" s="266">
        <v>1188</v>
      </c>
      <c r="H79" s="266">
        <v>1165</v>
      </c>
      <c r="I79" s="266">
        <v>1157</v>
      </c>
      <c r="J79" s="266">
        <v>1098</v>
      </c>
      <c r="K79" s="266">
        <v>1257</v>
      </c>
    </row>
    <row r="80" spans="1:11" x14ac:dyDescent="0.3">
      <c r="A80" s="438" t="s">
        <v>198</v>
      </c>
      <c r="B80" s="439" t="s">
        <v>260</v>
      </c>
      <c r="C80" s="494" t="s">
        <v>254</v>
      </c>
      <c r="D80" s="266">
        <v>2553</v>
      </c>
      <c r="E80" s="264">
        <v>2766</v>
      </c>
      <c r="F80" s="264">
        <v>2745</v>
      </c>
      <c r="G80" s="266">
        <v>2824</v>
      </c>
      <c r="H80" s="266">
        <v>2849</v>
      </c>
      <c r="I80" s="266">
        <v>2818</v>
      </c>
      <c r="J80" s="266">
        <v>2594</v>
      </c>
      <c r="K80" s="266">
        <v>2717</v>
      </c>
    </row>
    <row r="81" spans="1:11" x14ac:dyDescent="0.3">
      <c r="A81" s="438" t="s">
        <v>202</v>
      </c>
      <c r="B81" s="439" t="s">
        <v>289</v>
      </c>
      <c r="C81" s="494" t="s">
        <v>253</v>
      </c>
      <c r="D81" s="266">
        <v>17074</v>
      </c>
      <c r="E81" s="264">
        <v>18639</v>
      </c>
      <c r="F81" s="264">
        <v>18682</v>
      </c>
      <c r="G81" s="266">
        <v>19343</v>
      </c>
      <c r="H81" s="266">
        <v>18808</v>
      </c>
      <c r="I81" s="266">
        <v>19139</v>
      </c>
      <c r="J81" s="266">
        <v>18248</v>
      </c>
      <c r="K81" s="266">
        <v>19815</v>
      </c>
    </row>
    <row r="82" spans="1:11" x14ac:dyDescent="0.3">
      <c r="A82" s="438" t="s">
        <v>204</v>
      </c>
      <c r="B82" s="439" t="s">
        <v>281</v>
      </c>
      <c r="C82" s="494" t="s">
        <v>253</v>
      </c>
      <c r="D82" s="266">
        <v>7789</v>
      </c>
      <c r="E82" s="264">
        <v>8595</v>
      </c>
      <c r="F82" s="264">
        <v>8478</v>
      </c>
      <c r="G82" s="266">
        <v>8558</v>
      </c>
      <c r="H82" s="266">
        <v>8818</v>
      </c>
      <c r="I82" s="266">
        <v>8810</v>
      </c>
      <c r="J82" s="266">
        <v>8047</v>
      </c>
      <c r="K82" s="266">
        <v>8814</v>
      </c>
    </row>
    <row r="83" spans="1:11" x14ac:dyDescent="0.3">
      <c r="A83" s="438" t="s">
        <v>206</v>
      </c>
      <c r="B83" s="439" t="s">
        <v>282</v>
      </c>
      <c r="C83" s="494" t="s">
        <v>255</v>
      </c>
      <c r="D83" s="266">
        <v>23605</v>
      </c>
      <c r="E83" s="264">
        <v>25976</v>
      </c>
      <c r="F83" s="264">
        <v>25431</v>
      </c>
      <c r="G83" s="266">
        <v>25746</v>
      </c>
      <c r="H83" s="266">
        <v>26018</v>
      </c>
      <c r="I83" s="266">
        <v>26546</v>
      </c>
      <c r="J83" s="266">
        <v>24529</v>
      </c>
      <c r="K83" s="266">
        <v>26970</v>
      </c>
    </row>
    <row r="84" spans="1:11" x14ac:dyDescent="0.3">
      <c r="A84" s="438" t="s">
        <v>208</v>
      </c>
      <c r="B84" s="439" t="s">
        <v>209</v>
      </c>
      <c r="C84" s="494" t="s">
        <v>256</v>
      </c>
      <c r="D84" s="266">
        <v>9980</v>
      </c>
      <c r="E84" s="264">
        <v>10460</v>
      </c>
      <c r="F84" s="264">
        <v>10546</v>
      </c>
      <c r="G84" s="266">
        <v>10382</v>
      </c>
      <c r="H84" s="266">
        <v>10367</v>
      </c>
      <c r="I84" s="266">
        <v>10323</v>
      </c>
      <c r="J84" s="266">
        <v>9684</v>
      </c>
      <c r="K84" s="266">
        <v>10098</v>
      </c>
    </row>
    <row r="85" spans="1:11" x14ac:dyDescent="0.3">
      <c r="A85" s="438" t="s">
        <v>210</v>
      </c>
      <c r="B85" s="439" t="s">
        <v>211</v>
      </c>
      <c r="C85" s="494" t="s">
        <v>256</v>
      </c>
      <c r="D85" s="266">
        <v>7259</v>
      </c>
      <c r="E85" s="264">
        <v>7706</v>
      </c>
      <c r="F85" s="264">
        <v>7617</v>
      </c>
      <c r="G85" s="266">
        <v>7479</v>
      </c>
      <c r="H85" s="266">
        <v>7416</v>
      </c>
      <c r="I85" s="266">
        <v>7391</v>
      </c>
      <c r="J85" s="266">
        <v>7082</v>
      </c>
      <c r="K85" s="266">
        <v>7341</v>
      </c>
    </row>
    <row r="86" spans="1:11" x14ac:dyDescent="0.3">
      <c r="A86" s="438" t="s">
        <v>212</v>
      </c>
      <c r="B86" s="439" t="s">
        <v>213</v>
      </c>
      <c r="C86" s="494" t="s">
        <v>255</v>
      </c>
      <c r="D86" s="266">
        <v>9929</v>
      </c>
      <c r="E86" s="264">
        <v>10619</v>
      </c>
      <c r="F86" s="264">
        <v>10511</v>
      </c>
      <c r="G86" s="266">
        <v>10486</v>
      </c>
      <c r="H86" s="266">
        <v>10564</v>
      </c>
      <c r="I86" s="266">
        <v>10446</v>
      </c>
      <c r="J86" s="266">
        <v>9953</v>
      </c>
      <c r="K86" s="266">
        <v>10729</v>
      </c>
    </row>
    <row r="87" spans="1:11" x14ac:dyDescent="0.3">
      <c r="A87" s="438" t="s">
        <v>214</v>
      </c>
      <c r="B87" s="439" t="s">
        <v>215</v>
      </c>
      <c r="C87" s="494" t="s">
        <v>256</v>
      </c>
      <c r="D87" s="266">
        <v>11107</v>
      </c>
      <c r="E87" s="264">
        <v>11659</v>
      </c>
      <c r="F87" s="264">
        <v>11340</v>
      </c>
      <c r="G87" s="266">
        <v>11223</v>
      </c>
      <c r="H87" s="266">
        <v>11100</v>
      </c>
      <c r="I87" s="266">
        <v>11048</v>
      </c>
      <c r="J87" s="266">
        <v>10710</v>
      </c>
      <c r="K87" s="266">
        <v>11168</v>
      </c>
    </row>
    <row r="88" spans="1:11" x14ac:dyDescent="0.3">
      <c r="A88" s="438" t="s">
        <v>216</v>
      </c>
      <c r="B88" s="439" t="s">
        <v>217</v>
      </c>
      <c r="C88" s="494" t="s">
        <v>252</v>
      </c>
      <c r="D88" s="266">
        <v>5217</v>
      </c>
      <c r="E88" s="264">
        <v>5484</v>
      </c>
      <c r="F88" s="264">
        <v>5406</v>
      </c>
      <c r="G88" s="266">
        <v>5433</v>
      </c>
      <c r="H88" s="266">
        <v>5336</v>
      </c>
      <c r="I88" s="266">
        <v>5375</v>
      </c>
      <c r="J88" s="266">
        <v>4999</v>
      </c>
      <c r="K88" s="266">
        <v>5227</v>
      </c>
    </row>
    <row r="89" spans="1:11" x14ac:dyDescent="0.3">
      <c r="A89" s="438" t="s">
        <v>218</v>
      </c>
      <c r="B89" s="439" t="s">
        <v>219</v>
      </c>
      <c r="C89" s="494" t="s">
        <v>255</v>
      </c>
      <c r="D89" s="266">
        <v>22492</v>
      </c>
      <c r="E89" s="264">
        <v>24207</v>
      </c>
      <c r="F89" s="264">
        <v>24647</v>
      </c>
      <c r="G89" s="266">
        <v>25907</v>
      </c>
      <c r="H89" s="266">
        <v>26628</v>
      </c>
      <c r="I89" s="266">
        <v>27119</v>
      </c>
      <c r="J89" s="266">
        <v>25950</v>
      </c>
      <c r="K89" s="266">
        <v>28465</v>
      </c>
    </row>
    <row r="90" spans="1:11" x14ac:dyDescent="0.3">
      <c r="A90" s="438" t="s">
        <v>220</v>
      </c>
      <c r="B90" s="439" t="s">
        <v>221</v>
      </c>
      <c r="C90" s="494" t="s">
        <v>255</v>
      </c>
      <c r="D90" s="266">
        <v>18509</v>
      </c>
      <c r="E90" s="264">
        <v>20137</v>
      </c>
      <c r="F90" s="264">
        <v>20516</v>
      </c>
      <c r="G90" s="266">
        <v>21743</v>
      </c>
      <c r="H90" s="266">
        <v>22548</v>
      </c>
      <c r="I90" s="266">
        <v>22947</v>
      </c>
      <c r="J90" s="266">
        <v>21694</v>
      </c>
      <c r="K90" s="266">
        <v>24644</v>
      </c>
    </row>
    <row r="91" spans="1:11" x14ac:dyDescent="0.3">
      <c r="A91" s="438" t="s">
        <v>224</v>
      </c>
      <c r="B91" s="439" t="s">
        <v>225</v>
      </c>
      <c r="C91" s="494" t="s">
        <v>252</v>
      </c>
      <c r="D91" s="266">
        <v>1793</v>
      </c>
      <c r="E91" s="264">
        <v>1980</v>
      </c>
      <c r="F91" s="264">
        <v>1912</v>
      </c>
      <c r="G91" s="266">
        <v>1902</v>
      </c>
      <c r="H91" s="266">
        <v>1896</v>
      </c>
      <c r="I91" s="266">
        <v>1863</v>
      </c>
      <c r="J91" s="266">
        <v>1707</v>
      </c>
      <c r="K91" s="266">
        <v>1801</v>
      </c>
    </row>
    <row r="92" spans="1:11" x14ac:dyDescent="0.3">
      <c r="A92" s="438" t="s">
        <v>226</v>
      </c>
      <c r="B92" s="439" t="s">
        <v>227</v>
      </c>
      <c r="C92" s="494" t="s">
        <v>252</v>
      </c>
      <c r="D92" s="266">
        <v>3372</v>
      </c>
      <c r="E92" s="264">
        <v>3614</v>
      </c>
      <c r="F92" s="264">
        <v>3562</v>
      </c>
      <c r="G92" s="266">
        <v>3591</v>
      </c>
      <c r="H92" s="266">
        <v>3572</v>
      </c>
      <c r="I92" s="266">
        <v>3547</v>
      </c>
      <c r="J92" s="266">
        <v>3202</v>
      </c>
      <c r="K92" s="266">
        <v>3391</v>
      </c>
    </row>
    <row r="93" spans="1:11" x14ac:dyDescent="0.3">
      <c r="A93" s="438" t="s">
        <v>228</v>
      </c>
      <c r="B93" s="439" t="s">
        <v>229</v>
      </c>
      <c r="C93" s="494" t="s">
        <v>256</v>
      </c>
      <c r="D93" s="266">
        <v>13576</v>
      </c>
      <c r="E93" s="264">
        <v>14800</v>
      </c>
      <c r="F93" s="264">
        <v>14921</v>
      </c>
      <c r="G93" s="266">
        <v>15172</v>
      </c>
      <c r="H93" s="266">
        <v>15114</v>
      </c>
      <c r="I93" s="266">
        <v>15270</v>
      </c>
      <c r="J93" s="266">
        <v>14339</v>
      </c>
      <c r="K93" s="266">
        <v>14935</v>
      </c>
    </row>
    <row r="94" spans="1:11" x14ac:dyDescent="0.3">
      <c r="A94" s="438" t="s">
        <v>232</v>
      </c>
      <c r="B94" s="439" t="s">
        <v>233</v>
      </c>
      <c r="C94" s="494" t="s">
        <v>255</v>
      </c>
      <c r="D94" s="266">
        <v>8881</v>
      </c>
      <c r="E94" s="264">
        <v>9625</v>
      </c>
      <c r="F94" s="264">
        <v>9389</v>
      </c>
      <c r="G94" s="266">
        <v>9584</v>
      </c>
      <c r="H94" s="266">
        <v>9337</v>
      </c>
      <c r="I94" s="266">
        <v>9326</v>
      </c>
      <c r="J94" s="266">
        <v>8899</v>
      </c>
      <c r="K94" s="266">
        <v>9391</v>
      </c>
    </row>
    <row r="95" spans="1:11" x14ac:dyDescent="0.3">
      <c r="A95" s="438" t="s">
        <v>234</v>
      </c>
      <c r="B95" s="439" t="s">
        <v>235</v>
      </c>
      <c r="C95" s="494" t="s">
        <v>256</v>
      </c>
      <c r="D95" s="266">
        <v>13859</v>
      </c>
      <c r="E95" s="264">
        <v>14710</v>
      </c>
      <c r="F95" s="264">
        <v>14720</v>
      </c>
      <c r="G95" s="266">
        <v>14759</v>
      </c>
      <c r="H95" s="266">
        <v>14578</v>
      </c>
      <c r="I95" s="266">
        <v>14700</v>
      </c>
      <c r="J95" s="266">
        <v>14166</v>
      </c>
      <c r="K95" s="266">
        <v>14985</v>
      </c>
    </row>
    <row r="96" spans="1:11" x14ac:dyDescent="0.3">
      <c r="A96" s="438" t="s">
        <v>236</v>
      </c>
      <c r="B96" s="439" t="s">
        <v>237</v>
      </c>
      <c r="C96" s="494" t="s">
        <v>254</v>
      </c>
      <c r="D96" s="266">
        <v>5537</v>
      </c>
      <c r="E96" s="264">
        <v>5890</v>
      </c>
      <c r="F96" s="264">
        <v>5666</v>
      </c>
      <c r="G96" s="266">
        <v>5925</v>
      </c>
      <c r="H96" s="266">
        <v>6025</v>
      </c>
      <c r="I96" s="266">
        <v>6036</v>
      </c>
      <c r="J96" s="266">
        <v>5885</v>
      </c>
      <c r="K96" s="266">
        <v>6085</v>
      </c>
    </row>
    <row r="97" spans="1:11" x14ac:dyDescent="0.3">
      <c r="A97" s="438" t="s">
        <v>242</v>
      </c>
      <c r="B97" s="439" t="s">
        <v>243</v>
      </c>
      <c r="C97" s="494" t="s">
        <v>256</v>
      </c>
      <c r="D97" s="266">
        <v>14811</v>
      </c>
      <c r="E97" s="264">
        <v>15880</v>
      </c>
      <c r="F97" s="264">
        <v>15881</v>
      </c>
      <c r="G97" s="266">
        <v>15297</v>
      </c>
      <c r="H97" s="266">
        <v>15289</v>
      </c>
      <c r="I97" s="266">
        <v>15388</v>
      </c>
      <c r="J97" s="266">
        <v>14402</v>
      </c>
      <c r="K97" s="266">
        <v>15071</v>
      </c>
    </row>
    <row r="98" spans="1:11" x14ac:dyDescent="0.3">
      <c r="A98" s="440" t="s">
        <v>244</v>
      </c>
      <c r="B98" s="439" t="s">
        <v>245</v>
      </c>
      <c r="C98" s="494" t="s">
        <v>256</v>
      </c>
      <c r="D98" s="266">
        <v>8584</v>
      </c>
      <c r="E98" s="264">
        <v>8879</v>
      </c>
      <c r="F98" s="264">
        <v>8648</v>
      </c>
      <c r="G98" s="266">
        <v>8593</v>
      </c>
      <c r="H98" s="266">
        <v>8349</v>
      </c>
      <c r="I98" s="266">
        <v>8381</v>
      </c>
      <c r="J98" s="266">
        <v>8314</v>
      </c>
      <c r="K98" s="266">
        <v>8875</v>
      </c>
    </row>
    <row r="99" spans="1:11" x14ac:dyDescent="0.3">
      <c r="A99" s="438" t="s">
        <v>246</v>
      </c>
      <c r="B99" s="439" t="s">
        <v>247</v>
      </c>
      <c r="C99" s="494" t="s">
        <v>252</v>
      </c>
      <c r="D99" s="266">
        <v>6978</v>
      </c>
      <c r="E99" s="264">
        <v>7574</v>
      </c>
      <c r="F99" s="264">
        <v>7685</v>
      </c>
      <c r="G99" s="266">
        <v>7961</v>
      </c>
      <c r="H99" s="266">
        <v>7891</v>
      </c>
      <c r="I99" s="266">
        <v>8041</v>
      </c>
      <c r="J99" s="266">
        <v>7634</v>
      </c>
      <c r="K99" s="266">
        <v>8425</v>
      </c>
    </row>
    <row r="100" spans="1:11" x14ac:dyDescent="0.3">
      <c r="A100" s="438" t="s">
        <v>14</v>
      </c>
      <c r="B100" s="439" t="s">
        <v>15</v>
      </c>
      <c r="C100" s="494" t="s">
        <v>255</v>
      </c>
      <c r="D100" s="266">
        <v>18462</v>
      </c>
      <c r="E100" s="264">
        <v>20208</v>
      </c>
      <c r="F100" s="264">
        <v>20215</v>
      </c>
      <c r="G100" s="266">
        <v>21904</v>
      </c>
      <c r="H100" s="266">
        <v>22934</v>
      </c>
      <c r="I100" s="266">
        <v>24079</v>
      </c>
      <c r="J100" s="266">
        <v>23683</v>
      </c>
      <c r="K100" s="266">
        <v>25748</v>
      </c>
    </row>
    <row r="101" spans="1:11" x14ac:dyDescent="0.3">
      <c r="A101" s="438" t="s">
        <v>34</v>
      </c>
      <c r="B101" s="439" t="s">
        <v>35</v>
      </c>
      <c r="C101" s="494" t="s">
        <v>256</v>
      </c>
      <c r="D101" s="266">
        <v>7773</v>
      </c>
      <c r="E101" s="264">
        <v>8331</v>
      </c>
      <c r="F101" s="264">
        <v>8071</v>
      </c>
      <c r="G101" s="266">
        <v>7913</v>
      </c>
      <c r="H101" s="266">
        <v>7728</v>
      </c>
      <c r="I101" s="266">
        <v>7741</v>
      </c>
      <c r="J101" s="266">
        <v>7474</v>
      </c>
      <c r="K101" s="266">
        <v>7995</v>
      </c>
    </row>
    <row r="102" spans="1:11" x14ac:dyDescent="0.3">
      <c r="A102" s="438" t="s">
        <v>52</v>
      </c>
      <c r="B102" s="439" t="s">
        <v>53</v>
      </c>
      <c r="C102" s="494" t="s">
        <v>253</v>
      </c>
      <c r="D102" s="266">
        <v>10175</v>
      </c>
      <c r="E102" s="264">
        <v>10594</v>
      </c>
      <c r="F102" s="264">
        <v>9993</v>
      </c>
      <c r="G102" s="266">
        <v>9960</v>
      </c>
      <c r="H102" s="266">
        <v>9638</v>
      </c>
      <c r="I102" s="266">
        <v>9380</v>
      </c>
      <c r="J102" s="266">
        <v>8701</v>
      </c>
      <c r="K102" s="266">
        <v>9367</v>
      </c>
    </row>
    <row r="103" spans="1:11" x14ac:dyDescent="0.3">
      <c r="A103" s="438" t="s">
        <v>54</v>
      </c>
      <c r="B103" s="439" t="s">
        <v>55</v>
      </c>
      <c r="C103" s="494" t="s">
        <v>252</v>
      </c>
      <c r="D103" s="266">
        <v>42145</v>
      </c>
      <c r="E103" s="264">
        <v>45511</v>
      </c>
      <c r="F103" s="264">
        <v>45653</v>
      </c>
      <c r="G103" s="266">
        <v>46581</v>
      </c>
      <c r="H103" s="266">
        <v>47023</v>
      </c>
      <c r="I103" s="266">
        <v>48384</v>
      </c>
      <c r="J103" s="266">
        <v>45593</v>
      </c>
      <c r="K103" s="266">
        <v>49322</v>
      </c>
    </row>
    <row r="104" spans="1:11" x14ac:dyDescent="0.3">
      <c r="A104" s="438" t="s">
        <v>66</v>
      </c>
      <c r="B104" s="439" t="s">
        <v>67</v>
      </c>
      <c r="C104" s="494" t="s">
        <v>253</v>
      </c>
      <c r="D104" s="266">
        <v>21090</v>
      </c>
      <c r="E104" s="264">
        <v>21903</v>
      </c>
      <c r="F104" s="264">
        <v>21590</v>
      </c>
      <c r="G104" s="266">
        <v>21805</v>
      </c>
      <c r="H104" s="266">
        <v>21464</v>
      </c>
      <c r="I104" s="266">
        <v>21492</v>
      </c>
      <c r="J104" s="266">
        <v>20904</v>
      </c>
      <c r="K104" s="266">
        <v>21880</v>
      </c>
    </row>
    <row r="105" spans="1:11" x14ac:dyDescent="0.3">
      <c r="A105" s="438" t="s">
        <v>82</v>
      </c>
      <c r="B105" s="439" t="s">
        <v>83</v>
      </c>
      <c r="C105" s="494" t="s">
        <v>252</v>
      </c>
      <c r="D105" s="266">
        <v>4238</v>
      </c>
      <c r="E105" s="264">
        <v>4434</v>
      </c>
      <c r="F105" s="264">
        <v>4257</v>
      </c>
      <c r="G105" s="266">
        <v>4322</v>
      </c>
      <c r="H105" s="266">
        <v>4286</v>
      </c>
      <c r="I105" s="266">
        <v>4364</v>
      </c>
      <c r="J105" s="266">
        <v>4242</v>
      </c>
      <c r="K105" s="266">
        <v>4221</v>
      </c>
    </row>
    <row r="106" spans="1:11" x14ac:dyDescent="0.3">
      <c r="A106" s="438" t="s">
        <v>88</v>
      </c>
      <c r="B106" s="439" t="s">
        <v>89</v>
      </c>
      <c r="C106" s="494" t="s">
        <v>255</v>
      </c>
      <c r="D106" s="266">
        <v>8271</v>
      </c>
      <c r="E106" s="264">
        <v>8697</v>
      </c>
      <c r="F106" s="264">
        <v>8650</v>
      </c>
      <c r="G106" s="266">
        <v>8849</v>
      </c>
      <c r="H106" s="266">
        <v>8366</v>
      </c>
      <c r="I106" s="266">
        <v>8862</v>
      </c>
      <c r="J106" s="266">
        <v>8331</v>
      </c>
      <c r="K106" s="266">
        <v>9025</v>
      </c>
    </row>
    <row r="107" spans="1:11" x14ac:dyDescent="0.3">
      <c r="A107" s="438" t="s">
        <v>90</v>
      </c>
      <c r="B107" s="439" t="s">
        <v>91</v>
      </c>
      <c r="C107" s="494" t="s">
        <v>256</v>
      </c>
      <c r="D107" s="266">
        <v>3278</v>
      </c>
      <c r="E107" s="264">
        <v>3428</v>
      </c>
      <c r="F107" s="264">
        <v>3451</v>
      </c>
      <c r="G107" s="266">
        <v>3339</v>
      </c>
      <c r="H107" s="266">
        <v>3316</v>
      </c>
      <c r="I107" s="266">
        <v>3436</v>
      </c>
      <c r="J107" s="266">
        <v>3200</v>
      </c>
      <c r="K107" s="266">
        <v>3341</v>
      </c>
    </row>
    <row r="108" spans="1:11" x14ac:dyDescent="0.3">
      <c r="A108" s="438" t="s">
        <v>106</v>
      </c>
      <c r="B108" s="439" t="s">
        <v>107</v>
      </c>
      <c r="C108" s="494" t="s">
        <v>252</v>
      </c>
      <c r="D108" s="266">
        <v>38528</v>
      </c>
      <c r="E108" s="264">
        <v>41337</v>
      </c>
      <c r="F108" s="264">
        <v>41061</v>
      </c>
      <c r="G108" s="266">
        <v>41471</v>
      </c>
      <c r="H108" s="266">
        <v>40796</v>
      </c>
      <c r="I108" s="266">
        <v>41316</v>
      </c>
      <c r="J108" s="266">
        <v>38637</v>
      </c>
      <c r="K108" s="266">
        <v>41073</v>
      </c>
    </row>
    <row r="109" spans="1:11" x14ac:dyDescent="0.3">
      <c r="A109" s="438" t="s">
        <v>116</v>
      </c>
      <c r="B109" s="439" t="s">
        <v>117</v>
      </c>
      <c r="C109" s="494" t="s">
        <v>254</v>
      </c>
      <c r="D109" s="266">
        <v>10904</v>
      </c>
      <c r="E109" s="264">
        <v>11434</v>
      </c>
      <c r="F109" s="264">
        <v>11517</v>
      </c>
      <c r="G109" s="266">
        <v>11988</v>
      </c>
      <c r="H109" s="266">
        <v>12065</v>
      </c>
      <c r="I109" s="266">
        <v>12382</v>
      </c>
      <c r="J109" s="266">
        <v>11797</v>
      </c>
      <c r="K109" s="266">
        <v>12265</v>
      </c>
    </row>
    <row r="110" spans="1:11" x14ac:dyDescent="0.3">
      <c r="A110" s="438" t="s">
        <v>138</v>
      </c>
      <c r="B110" s="439" t="s">
        <v>139</v>
      </c>
      <c r="C110" s="494" t="s">
        <v>253</v>
      </c>
      <c r="D110" s="266">
        <v>22397</v>
      </c>
      <c r="E110" s="264">
        <v>23819</v>
      </c>
      <c r="F110" s="264">
        <v>23693</v>
      </c>
      <c r="G110" s="266">
        <v>23659</v>
      </c>
      <c r="H110" s="266">
        <v>22935</v>
      </c>
      <c r="I110" s="266">
        <v>22285</v>
      </c>
      <c r="J110" s="266">
        <v>21696</v>
      </c>
      <c r="K110" s="266">
        <v>23021</v>
      </c>
    </row>
    <row r="111" spans="1:11" x14ac:dyDescent="0.3">
      <c r="A111" s="438" t="s">
        <v>142</v>
      </c>
      <c r="B111" s="439" t="s">
        <v>143</v>
      </c>
      <c r="C111" s="494" t="s">
        <v>255</v>
      </c>
      <c r="D111" s="266">
        <v>8925</v>
      </c>
      <c r="E111" s="264">
        <v>9893</v>
      </c>
      <c r="F111" s="264">
        <v>10100</v>
      </c>
      <c r="G111" s="266">
        <v>10575</v>
      </c>
      <c r="H111" s="266">
        <v>10493</v>
      </c>
      <c r="I111" s="266">
        <v>10701</v>
      </c>
      <c r="J111" s="266">
        <v>9986</v>
      </c>
      <c r="K111" s="266">
        <v>10579</v>
      </c>
    </row>
    <row r="112" spans="1:11" x14ac:dyDescent="0.3">
      <c r="A112" s="438" t="s">
        <v>144</v>
      </c>
      <c r="B112" s="439" t="s">
        <v>145</v>
      </c>
      <c r="C112" s="494" t="s">
        <v>255</v>
      </c>
      <c r="D112" s="266">
        <v>3006</v>
      </c>
      <c r="E112" s="264">
        <v>3433</v>
      </c>
      <c r="F112" s="264">
        <v>3317</v>
      </c>
      <c r="G112" s="266">
        <v>3707</v>
      </c>
      <c r="H112" s="266">
        <v>3886</v>
      </c>
      <c r="I112" s="266">
        <v>4155</v>
      </c>
      <c r="J112" s="266">
        <v>3794</v>
      </c>
      <c r="K112" s="266">
        <v>4173</v>
      </c>
    </row>
    <row r="113" spans="1:11" x14ac:dyDescent="0.3">
      <c r="A113" s="438" t="s">
        <v>158</v>
      </c>
      <c r="B113" s="439" t="s">
        <v>159</v>
      </c>
      <c r="C113" s="494" t="s">
        <v>252</v>
      </c>
      <c r="D113" s="266">
        <v>58855</v>
      </c>
      <c r="E113" s="264">
        <v>62727</v>
      </c>
      <c r="F113" s="264">
        <v>61457</v>
      </c>
      <c r="G113" s="266">
        <v>62157</v>
      </c>
      <c r="H113" s="266">
        <v>61934</v>
      </c>
      <c r="I113" s="266">
        <v>63089</v>
      </c>
      <c r="J113" s="266">
        <v>59065</v>
      </c>
      <c r="K113" s="266">
        <v>62654</v>
      </c>
    </row>
    <row r="114" spans="1:11" x14ac:dyDescent="0.3">
      <c r="A114" s="438" t="s">
        <v>160</v>
      </c>
      <c r="B114" s="439" t="s">
        <v>161</v>
      </c>
      <c r="C114" s="494" t="s">
        <v>252</v>
      </c>
      <c r="D114" s="266">
        <v>78218</v>
      </c>
      <c r="E114" s="264">
        <v>82672</v>
      </c>
      <c r="F114" s="264">
        <v>81555</v>
      </c>
      <c r="G114" s="266">
        <v>81381</v>
      </c>
      <c r="H114" s="266">
        <v>79024</v>
      </c>
      <c r="I114" s="266">
        <v>77555</v>
      </c>
      <c r="J114" s="266">
        <v>72329</v>
      </c>
      <c r="K114" s="266">
        <v>75866</v>
      </c>
    </row>
    <row r="115" spans="1:11" x14ac:dyDescent="0.3">
      <c r="A115" s="438" t="s">
        <v>166</v>
      </c>
      <c r="B115" s="439" t="s">
        <v>167</v>
      </c>
      <c r="C115" s="494" t="s">
        <v>256</v>
      </c>
      <c r="D115" s="266">
        <v>1906</v>
      </c>
      <c r="E115" s="264">
        <v>1956</v>
      </c>
      <c r="F115" s="264">
        <v>1886</v>
      </c>
      <c r="G115" s="266">
        <v>1842</v>
      </c>
      <c r="H115" s="266">
        <v>1925</v>
      </c>
      <c r="I115" s="266">
        <v>1893</v>
      </c>
      <c r="J115" s="266">
        <v>1672</v>
      </c>
      <c r="K115" s="266">
        <v>1799</v>
      </c>
    </row>
    <row r="116" spans="1:11" x14ac:dyDescent="0.3">
      <c r="A116" s="438" t="s">
        <v>176</v>
      </c>
      <c r="B116" s="439" t="s">
        <v>177</v>
      </c>
      <c r="C116" s="494" t="s">
        <v>254</v>
      </c>
      <c r="D116" s="266">
        <v>17376</v>
      </c>
      <c r="E116" s="264">
        <v>18148</v>
      </c>
      <c r="F116" s="264">
        <v>17994</v>
      </c>
      <c r="G116" s="266">
        <v>18493</v>
      </c>
      <c r="H116" s="266">
        <v>18847</v>
      </c>
      <c r="I116" s="266">
        <v>18724</v>
      </c>
      <c r="J116" s="266">
        <v>17956</v>
      </c>
      <c r="K116" s="266">
        <v>18880</v>
      </c>
    </row>
    <row r="117" spans="1:11" x14ac:dyDescent="0.3">
      <c r="A117" s="438" t="s">
        <v>180</v>
      </c>
      <c r="B117" s="439" t="s">
        <v>181</v>
      </c>
      <c r="C117" s="494" t="s">
        <v>252</v>
      </c>
      <c r="D117" s="266">
        <v>37597</v>
      </c>
      <c r="E117" s="264">
        <v>40008</v>
      </c>
      <c r="F117" s="264">
        <v>39301</v>
      </c>
      <c r="G117" s="266">
        <v>39957</v>
      </c>
      <c r="H117" s="266">
        <v>39584</v>
      </c>
      <c r="I117" s="266">
        <v>40189</v>
      </c>
      <c r="J117" s="266">
        <v>37837</v>
      </c>
      <c r="K117" s="266">
        <v>39709</v>
      </c>
    </row>
    <row r="118" spans="1:11" x14ac:dyDescent="0.3">
      <c r="A118" s="438" t="s">
        <v>192</v>
      </c>
      <c r="B118" s="439" t="s">
        <v>193</v>
      </c>
      <c r="C118" s="494" t="s">
        <v>256</v>
      </c>
      <c r="D118" s="266">
        <v>3130</v>
      </c>
      <c r="E118" s="264">
        <v>3352</v>
      </c>
      <c r="F118" s="264">
        <v>3377</v>
      </c>
      <c r="G118" s="266">
        <v>3386</v>
      </c>
      <c r="H118" s="266">
        <v>3247</v>
      </c>
      <c r="I118" s="266">
        <v>3245</v>
      </c>
      <c r="J118" s="266">
        <v>2999</v>
      </c>
      <c r="K118" s="266">
        <v>3284</v>
      </c>
    </row>
    <row r="119" spans="1:11" x14ac:dyDescent="0.3">
      <c r="A119" s="438" t="s">
        <v>196</v>
      </c>
      <c r="B119" s="439" t="s">
        <v>197</v>
      </c>
      <c r="C119" s="494" t="s">
        <v>254</v>
      </c>
      <c r="D119" s="266">
        <v>81906</v>
      </c>
      <c r="E119" s="264">
        <v>86276</v>
      </c>
      <c r="F119" s="264">
        <v>84263</v>
      </c>
      <c r="G119" s="266">
        <v>84729</v>
      </c>
      <c r="H119" s="266">
        <v>84567</v>
      </c>
      <c r="I119" s="266">
        <v>81812</v>
      </c>
      <c r="J119" s="266">
        <v>75312</v>
      </c>
      <c r="K119" s="266">
        <v>79310</v>
      </c>
    </row>
    <row r="120" spans="1:11" x14ac:dyDescent="0.3">
      <c r="A120" s="438" t="s">
        <v>200</v>
      </c>
      <c r="B120" s="439" t="s">
        <v>201</v>
      </c>
      <c r="C120" s="494" t="s">
        <v>253</v>
      </c>
      <c r="D120" s="266">
        <v>39164</v>
      </c>
      <c r="E120" s="264">
        <v>42145</v>
      </c>
      <c r="F120" s="264">
        <v>41750</v>
      </c>
      <c r="G120" s="266">
        <v>41785</v>
      </c>
      <c r="H120" s="266">
        <v>40375</v>
      </c>
      <c r="I120" s="266">
        <v>40378</v>
      </c>
      <c r="J120" s="266">
        <v>39175</v>
      </c>
      <c r="K120" s="266">
        <v>41309</v>
      </c>
    </row>
    <row r="121" spans="1:11" x14ac:dyDescent="0.3">
      <c r="A121" s="438" t="s">
        <v>222</v>
      </c>
      <c r="B121" s="439" t="s">
        <v>223</v>
      </c>
      <c r="C121" s="494" t="s">
        <v>252</v>
      </c>
      <c r="D121" s="266">
        <v>21190</v>
      </c>
      <c r="E121" s="264">
        <v>22550</v>
      </c>
      <c r="F121" s="264">
        <v>22422</v>
      </c>
      <c r="G121" s="266">
        <v>22343</v>
      </c>
      <c r="H121" s="266">
        <v>22309</v>
      </c>
      <c r="I121" s="266">
        <v>22621</v>
      </c>
      <c r="J121" s="266">
        <v>21308</v>
      </c>
      <c r="K121" s="266">
        <v>22602</v>
      </c>
    </row>
    <row r="122" spans="1:11" x14ac:dyDescent="0.3">
      <c r="A122" s="438" t="s">
        <v>230</v>
      </c>
      <c r="B122" s="439" t="s">
        <v>231</v>
      </c>
      <c r="C122" s="494" t="s">
        <v>252</v>
      </c>
      <c r="D122" s="266">
        <v>67274</v>
      </c>
      <c r="E122" s="264">
        <v>72106</v>
      </c>
      <c r="F122" s="264">
        <v>72688</v>
      </c>
      <c r="G122" s="266">
        <v>75989</v>
      </c>
      <c r="H122" s="266">
        <v>73761</v>
      </c>
      <c r="I122" s="266">
        <v>74630</v>
      </c>
      <c r="J122" s="266">
        <v>70689</v>
      </c>
      <c r="K122" s="266">
        <v>76974</v>
      </c>
    </row>
    <row r="123" spans="1:11" x14ac:dyDescent="0.3">
      <c r="A123" s="438" t="s">
        <v>238</v>
      </c>
      <c r="B123" s="439" t="s">
        <v>239</v>
      </c>
      <c r="C123" s="494" t="s">
        <v>252</v>
      </c>
      <c r="D123" s="266">
        <v>2203</v>
      </c>
      <c r="E123" s="264">
        <v>2402</v>
      </c>
      <c r="F123" s="264">
        <v>2454</v>
      </c>
      <c r="G123" s="266">
        <v>2495</v>
      </c>
      <c r="H123" s="266">
        <v>2413</v>
      </c>
      <c r="I123" s="266">
        <v>2690</v>
      </c>
      <c r="J123" s="266">
        <v>2452</v>
      </c>
      <c r="K123" s="266">
        <v>2689</v>
      </c>
    </row>
    <row r="124" spans="1:11" x14ac:dyDescent="0.3">
      <c r="A124" s="438" t="s">
        <v>240</v>
      </c>
      <c r="B124" s="439" t="s">
        <v>241</v>
      </c>
      <c r="C124" s="494" t="s">
        <v>255</v>
      </c>
      <c r="D124" s="266">
        <v>8349</v>
      </c>
      <c r="E124" s="264">
        <v>8979</v>
      </c>
      <c r="F124" s="264">
        <v>8740</v>
      </c>
      <c r="G124" s="266">
        <v>8821</v>
      </c>
      <c r="H124" s="266">
        <v>8794</v>
      </c>
      <c r="I124" s="266">
        <v>8836</v>
      </c>
      <c r="J124" s="266">
        <v>8083</v>
      </c>
      <c r="K124" s="266">
        <v>8703</v>
      </c>
    </row>
    <row r="126" spans="1:11" s="441" customFormat="1" x14ac:dyDescent="0.3">
      <c r="A126" s="2737" t="s">
        <v>1168</v>
      </c>
      <c r="B126" s="2737"/>
      <c r="C126" s="2737"/>
      <c r="D126" s="2737"/>
      <c r="E126" s="2737"/>
      <c r="F126" s="2737"/>
      <c r="G126" s="2737"/>
      <c r="H126" s="2737"/>
      <c r="I126" s="1822"/>
      <c r="J126" s="1865"/>
      <c r="K126" s="2257"/>
    </row>
    <row r="127" spans="1:11" s="441" customFormat="1" x14ac:dyDescent="0.3">
      <c r="A127" s="2737"/>
      <c r="B127" s="2737"/>
      <c r="C127" s="2737"/>
      <c r="D127" s="2737"/>
      <c r="E127" s="2737"/>
      <c r="F127" s="2737"/>
      <c r="G127" s="2737"/>
      <c r="H127" s="2737"/>
      <c r="I127" s="1822"/>
      <c r="J127" s="1865"/>
      <c r="K127" s="2257"/>
    </row>
    <row r="128" spans="1:11" s="441" customFormat="1" ht="34.5" customHeight="1" x14ac:dyDescent="0.3">
      <c r="A128" s="2737"/>
      <c r="B128" s="2737"/>
      <c r="C128" s="2737"/>
      <c r="D128" s="2737"/>
      <c r="E128" s="2737"/>
      <c r="F128" s="2737"/>
      <c r="G128" s="2737"/>
      <c r="H128" s="2737"/>
      <c r="I128" s="1822"/>
      <c r="J128" s="1865"/>
      <c r="K128" s="2257"/>
    </row>
    <row r="129" spans="1:6" s="441" customFormat="1" x14ac:dyDescent="0.3">
      <c r="A129" s="471"/>
      <c r="B129" s="471"/>
      <c r="C129" s="471"/>
      <c r="D129" s="471"/>
      <c r="E129" s="471"/>
      <c r="F129" s="895"/>
    </row>
    <row r="130" spans="1:6" s="359" customFormat="1" x14ac:dyDescent="0.3">
      <c r="A130" s="359" t="s">
        <v>248</v>
      </c>
    </row>
    <row r="131" spans="1:6" s="359" customFormat="1" x14ac:dyDescent="0.3">
      <c r="A131" s="360" t="s">
        <v>249</v>
      </c>
      <c r="B131" s="361" t="s">
        <v>250</v>
      </c>
      <c r="C131" s="361"/>
    </row>
  </sheetData>
  <autoFilter ref="A3:C3"/>
  <sortState ref="A5:M124">
    <sortCondition ref="A5:A124"/>
  </sortState>
  <mergeCells count="1">
    <mergeCell ref="A126:H128"/>
  </mergeCells>
  <hyperlinks>
    <hyperlink ref="B131" r:id="rId1"/>
  </hyperlink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0"/>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9" style="263"/>
    <col min="2" max="2" width="31.09765625" style="263" customWidth="1"/>
    <col min="3" max="3" width="15" style="263" customWidth="1"/>
    <col min="4" max="7" width="11.296875" style="263" customWidth="1"/>
    <col min="8" max="8" width="12.59765625" style="263" bestFit="1" customWidth="1"/>
    <col min="9" max="14" width="12.59765625" style="263" customWidth="1"/>
    <col min="15" max="15" width="9" style="263"/>
    <col min="16" max="16" width="12.59765625" style="263" customWidth="1"/>
    <col min="17" max="16384" width="9" style="263"/>
  </cols>
  <sheetData>
    <row r="1" spans="1:17" x14ac:dyDescent="0.3">
      <c r="A1" s="64" t="s">
        <v>1156</v>
      </c>
    </row>
    <row r="2" spans="1:17" x14ac:dyDescent="0.3">
      <c r="D2" s="2739">
        <v>2013</v>
      </c>
      <c r="E2" s="2739"/>
      <c r="F2" s="2739">
        <v>2014</v>
      </c>
      <c r="G2" s="2739"/>
      <c r="H2" s="2739">
        <v>2015</v>
      </c>
      <c r="I2" s="2739"/>
      <c r="J2" s="2739">
        <v>2016</v>
      </c>
      <c r="K2" s="2739"/>
      <c r="L2" s="2739">
        <v>2017</v>
      </c>
      <c r="M2" s="2739"/>
      <c r="N2" s="2739">
        <v>2018</v>
      </c>
      <c r="O2" s="2739"/>
      <c r="P2" s="2739">
        <v>2019</v>
      </c>
      <c r="Q2" s="2739"/>
    </row>
    <row r="3" spans="1:17" x14ac:dyDescent="0.3">
      <c r="A3" s="64" t="s">
        <v>4</v>
      </c>
      <c r="B3" s="64" t="s">
        <v>5</v>
      </c>
      <c r="C3" s="64" t="s">
        <v>251</v>
      </c>
      <c r="D3" s="64" t="s">
        <v>1011</v>
      </c>
      <c r="E3" s="64" t="s">
        <v>7</v>
      </c>
      <c r="F3" s="64" t="s">
        <v>1011</v>
      </c>
      <c r="G3" s="64" t="s">
        <v>7</v>
      </c>
      <c r="H3" s="64" t="s">
        <v>1011</v>
      </c>
      <c r="I3" s="64" t="s">
        <v>7</v>
      </c>
      <c r="J3" s="64" t="s">
        <v>1011</v>
      </c>
      <c r="K3" s="64" t="s">
        <v>7</v>
      </c>
      <c r="L3" s="64" t="s">
        <v>1011</v>
      </c>
      <c r="M3" s="64" t="s">
        <v>7</v>
      </c>
      <c r="N3" s="64" t="s">
        <v>1011</v>
      </c>
      <c r="O3" s="64" t="s">
        <v>7</v>
      </c>
      <c r="P3" s="64" t="s">
        <v>1011</v>
      </c>
      <c r="Q3" s="64" t="s">
        <v>7</v>
      </c>
    </row>
    <row r="4" spans="1:17" x14ac:dyDescent="0.3">
      <c r="A4" s="1872">
        <v>999</v>
      </c>
      <c r="B4" s="1870" t="s">
        <v>1022</v>
      </c>
      <c r="C4" s="1870"/>
      <c r="D4" s="1871">
        <v>25626</v>
      </c>
      <c r="E4" s="1871">
        <v>43476</v>
      </c>
      <c r="F4" s="1871">
        <v>25723</v>
      </c>
      <c r="G4" s="1871">
        <v>43819</v>
      </c>
      <c r="H4" s="1871">
        <v>25344</v>
      </c>
      <c r="I4" s="1871">
        <v>43295</v>
      </c>
      <c r="J4" s="1871">
        <v>22085</v>
      </c>
      <c r="K4" s="1871">
        <v>38755</v>
      </c>
      <c r="L4" s="1871">
        <v>19367</v>
      </c>
      <c r="M4" s="1871">
        <v>34105</v>
      </c>
      <c r="N4" s="1871">
        <v>17668</v>
      </c>
      <c r="O4" s="1871">
        <v>31090</v>
      </c>
      <c r="P4" s="1871">
        <v>16064</v>
      </c>
      <c r="Q4" s="1871">
        <v>28568</v>
      </c>
    </row>
    <row r="5" spans="1:17" x14ac:dyDescent="0.3">
      <c r="A5" s="438" t="s">
        <v>10</v>
      </c>
      <c r="B5" s="439" t="s">
        <v>11</v>
      </c>
      <c r="C5" s="489" t="s">
        <v>252</v>
      </c>
      <c r="D5" s="1898">
        <v>102</v>
      </c>
      <c r="E5" s="1898">
        <v>156</v>
      </c>
      <c r="F5" s="264">
        <v>68</v>
      </c>
      <c r="G5" s="264">
        <v>101</v>
      </c>
      <c r="H5" s="1842">
        <v>67</v>
      </c>
      <c r="I5" s="1842">
        <v>95</v>
      </c>
      <c r="J5" s="1842">
        <v>62</v>
      </c>
      <c r="K5" s="1842">
        <v>90</v>
      </c>
      <c r="L5" s="1842">
        <v>36</v>
      </c>
      <c r="M5" s="1842">
        <v>50</v>
      </c>
      <c r="N5" s="1842">
        <v>21</v>
      </c>
      <c r="O5" s="266">
        <v>36</v>
      </c>
      <c r="P5" s="1842">
        <v>20</v>
      </c>
      <c r="Q5" s="266">
        <v>35</v>
      </c>
    </row>
    <row r="6" spans="1:17" x14ac:dyDescent="0.3">
      <c r="A6" s="438" t="s">
        <v>12</v>
      </c>
      <c r="B6" s="439" t="s">
        <v>13</v>
      </c>
      <c r="C6" s="489" t="s">
        <v>253</v>
      </c>
      <c r="D6" s="1898">
        <v>205</v>
      </c>
      <c r="E6" s="1898">
        <v>321</v>
      </c>
      <c r="F6" s="264">
        <v>218</v>
      </c>
      <c r="G6" s="264">
        <v>350</v>
      </c>
      <c r="H6" s="1842">
        <v>202</v>
      </c>
      <c r="I6" s="1842">
        <v>329</v>
      </c>
      <c r="J6" s="1842">
        <v>170</v>
      </c>
      <c r="K6" s="1842">
        <v>287</v>
      </c>
      <c r="L6" s="1842">
        <v>160</v>
      </c>
      <c r="M6" s="1842">
        <v>262</v>
      </c>
      <c r="N6" s="1842">
        <v>136</v>
      </c>
      <c r="O6" s="266">
        <v>223</v>
      </c>
      <c r="P6" s="1842">
        <v>127</v>
      </c>
      <c r="Q6" s="266">
        <v>193</v>
      </c>
    </row>
    <row r="7" spans="1:17" x14ac:dyDescent="0.3">
      <c r="A7" s="438" t="s">
        <v>16</v>
      </c>
      <c r="B7" s="439" t="s">
        <v>285</v>
      </c>
      <c r="C7" s="489" t="s">
        <v>253</v>
      </c>
      <c r="D7" s="1898">
        <v>53</v>
      </c>
      <c r="E7" s="1898">
        <v>100</v>
      </c>
      <c r="F7" s="264">
        <v>60</v>
      </c>
      <c r="G7" s="264">
        <v>113</v>
      </c>
      <c r="H7" s="1842">
        <v>53</v>
      </c>
      <c r="I7" s="1842">
        <v>93</v>
      </c>
      <c r="J7" s="1842">
        <v>57</v>
      </c>
      <c r="K7" s="1842">
        <v>97</v>
      </c>
      <c r="L7" s="1842">
        <v>50</v>
      </c>
      <c r="M7" s="1842">
        <v>88</v>
      </c>
      <c r="N7" s="1842">
        <v>35</v>
      </c>
      <c r="O7" s="266">
        <v>65</v>
      </c>
      <c r="P7" s="1842">
        <v>31</v>
      </c>
      <c r="Q7" s="266">
        <v>56</v>
      </c>
    </row>
    <row r="8" spans="1:17" x14ac:dyDescent="0.3">
      <c r="A8" s="438" t="s">
        <v>18</v>
      </c>
      <c r="B8" s="439" t="s">
        <v>19</v>
      </c>
      <c r="C8" s="489" t="s">
        <v>254</v>
      </c>
      <c r="D8" s="1898">
        <v>34</v>
      </c>
      <c r="E8" s="1898">
        <v>59</v>
      </c>
      <c r="F8" s="264">
        <v>33</v>
      </c>
      <c r="G8" s="264">
        <v>61</v>
      </c>
      <c r="H8" s="1842">
        <v>31</v>
      </c>
      <c r="I8" s="1842">
        <v>55</v>
      </c>
      <c r="J8" s="1842">
        <v>22</v>
      </c>
      <c r="K8" s="1842">
        <v>41</v>
      </c>
      <c r="L8" s="1842">
        <v>15</v>
      </c>
      <c r="M8" s="1842">
        <v>26</v>
      </c>
      <c r="N8" s="1842">
        <v>13</v>
      </c>
      <c r="O8" s="266">
        <v>21</v>
      </c>
      <c r="P8" s="1842">
        <v>5</v>
      </c>
      <c r="Q8" s="266">
        <v>10</v>
      </c>
    </row>
    <row r="9" spans="1:17" x14ac:dyDescent="0.3">
      <c r="A9" s="438" t="s">
        <v>20</v>
      </c>
      <c r="B9" s="439" t="s">
        <v>21</v>
      </c>
      <c r="C9" s="489" t="s">
        <v>253</v>
      </c>
      <c r="D9" s="1898">
        <v>131</v>
      </c>
      <c r="E9" s="1898">
        <v>210</v>
      </c>
      <c r="F9" s="264">
        <v>118</v>
      </c>
      <c r="G9" s="264">
        <v>188</v>
      </c>
      <c r="H9" s="1842">
        <v>103</v>
      </c>
      <c r="I9" s="1842">
        <v>184</v>
      </c>
      <c r="J9" s="1842">
        <v>92</v>
      </c>
      <c r="K9" s="1842">
        <v>169</v>
      </c>
      <c r="L9" s="1842">
        <v>82</v>
      </c>
      <c r="M9" s="1842">
        <v>148</v>
      </c>
      <c r="N9" s="1842">
        <v>72</v>
      </c>
      <c r="O9" s="266">
        <v>129</v>
      </c>
      <c r="P9" s="1842">
        <v>92</v>
      </c>
      <c r="Q9" s="266">
        <v>166</v>
      </c>
    </row>
    <row r="10" spans="1:17" x14ac:dyDescent="0.3">
      <c r="A10" s="438" t="s">
        <v>22</v>
      </c>
      <c r="B10" s="439" t="s">
        <v>23</v>
      </c>
      <c r="C10" s="489" t="s">
        <v>253</v>
      </c>
      <c r="D10" s="1898">
        <v>38</v>
      </c>
      <c r="E10" s="1898">
        <v>55</v>
      </c>
      <c r="F10" s="264">
        <v>37</v>
      </c>
      <c r="G10" s="264">
        <v>66</v>
      </c>
      <c r="H10" s="1842">
        <v>33</v>
      </c>
      <c r="I10" s="1842">
        <v>53</v>
      </c>
      <c r="J10" s="1842">
        <v>28</v>
      </c>
      <c r="K10" s="1842">
        <v>42</v>
      </c>
      <c r="L10" s="1842">
        <v>20</v>
      </c>
      <c r="M10" s="1842">
        <v>30</v>
      </c>
      <c r="N10" s="1842">
        <v>17</v>
      </c>
      <c r="O10" s="266">
        <v>29</v>
      </c>
      <c r="P10" s="1842">
        <v>18</v>
      </c>
      <c r="Q10" s="266">
        <v>34</v>
      </c>
    </row>
    <row r="11" spans="1:17" x14ac:dyDescent="0.3">
      <c r="A11" s="438" t="s">
        <v>24</v>
      </c>
      <c r="B11" s="439" t="s">
        <v>25</v>
      </c>
      <c r="C11" s="489" t="s">
        <v>255</v>
      </c>
      <c r="D11" s="1898">
        <v>427</v>
      </c>
      <c r="E11" s="1898">
        <v>574</v>
      </c>
      <c r="F11" s="264">
        <v>413</v>
      </c>
      <c r="G11" s="264">
        <v>573</v>
      </c>
      <c r="H11" s="1842">
        <v>371</v>
      </c>
      <c r="I11" s="1842">
        <v>523</v>
      </c>
      <c r="J11" s="1842">
        <v>321</v>
      </c>
      <c r="K11" s="1842">
        <v>456</v>
      </c>
      <c r="L11" s="1842">
        <v>266</v>
      </c>
      <c r="M11" s="1842">
        <v>366</v>
      </c>
      <c r="N11" s="1842">
        <v>216</v>
      </c>
      <c r="O11" s="266">
        <v>301</v>
      </c>
      <c r="P11" s="1842">
        <v>189</v>
      </c>
      <c r="Q11" s="266">
        <v>283</v>
      </c>
    </row>
    <row r="12" spans="1:17" x14ac:dyDescent="0.3">
      <c r="A12" s="438" t="s">
        <v>26</v>
      </c>
      <c r="B12" s="439" t="s">
        <v>547</v>
      </c>
      <c r="C12" s="489" t="s">
        <v>253</v>
      </c>
      <c r="D12" s="1898">
        <v>451</v>
      </c>
      <c r="E12" s="1898">
        <v>769</v>
      </c>
      <c r="F12" s="264">
        <v>420</v>
      </c>
      <c r="G12" s="264">
        <v>697</v>
      </c>
      <c r="H12" s="1842">
        <v>355</v>
      </c>
      <c r="I12" s="1842">
        <v>597</v>
      </c>
      <c r="J12" s="1842">
        <v>291</v>
      </c>
      <c r="K12" s="1842">
        <v>504</v>
      </c>
      <c r="L12" s="1842">
        <v>261</v>
      </c>
      <c r="M12" s="1842">
        <v>450</v>
      </c>
      <c r="N12" s="1842">
        <v>233</v>
      </c>
      <c r="O12" s="266">
        <v>391</v>
      </c>
      <c r="P12" s="1842">
        <v>223</v>
      </c>
      <c r="Q12" s="266">
        <v>369</v>
      </c>
    </row>
    <row r="13" spans="1:17" x14ac:dyDescent="0.3">
      <c r="A13" s="438" t="s">
        <v>27</v>
      </c>
      <c r="B13" s="439" t="s">
        <v>28</v>
      </c>
      <c r="C13" s="494" t="s">
        <v>253</v>
      </c>
      <c r="D13" s="1898">
        <v>1</v>
      </c>
      <c r="E13" s="1898">
        <v>1</v>
      </c>
      <c r="F13" s="264">
        <v>1</v>
      </c>
      <c r="G13" s="264">
        <v>1</v>
      </c>
      <c r="H13" s="1842">
        <v>1</v>
      </c>
      <c r="I13" s="1842">
        <v>1</v>
      </c>
      <c r="J13" s="1842">
        <v>1</v>
      </c>
      <c r="K13" s="1842">
        <v>1</v>
      </c>
      <c r="L13" s="1842">
        <v>0</v>
      </c>
      <c r="M13" s="1842">
        <v>0</v>
      </c>
      <c r="N13" s="1842">
        <v>1</v>
      </c>
      <c r="O13" s="266">
        <v>2</v>
      </c>
      <c r="P13" s="1842">
        <v>1</v>
      </c>
      <c r="Q13" s="266">
        <v>2</v>
      </c>
    </row>
    <row r="14" spans="1:17" x14ac:dyDescent="0.3">
      <c r="A14" s="438" t="s">
        <v>29</v>
      </c>
      <c r="B14" s="439" t="s">
        <v>736</v>
      </c>
      <c r="C14" s="494" t="s">
        <v>253</v>
      </c>
      <c r="D14" s="1898">
        <v>168</v>
      </c>
      <c r="E14" s="1898">
        <v>266</v>
      </c>
      <c r="F14" s="264">
        <v>155</v>
      </c>
      <c r="G14" s="264">
        <v>249</v>
      </c>
      <c r="H14" s="1842">
        <v>157</v>
      </c>
      <c r="I14" s="1842">
        <v>271</v>
      </c>
      <c r="J14" s="1842">
        <v>136</v>
      </c>
      <c r="K14" s="1842">
        <v>251</v>
      </c>
      <c r="L14" s="1842">
        <v>118</v>
      </c>
      <c r="M14" s="1842">
        <v>209</v>
      </c>
      <c r="N14" s="1842">
        <v>86</v>
      </c>
      <c r="O14" s="266">
        <v>153</v>
      </c>
      <c r="P14" s="1842">
        <v>80</v>
      </c>
      <c r="Q14" s="266">
        <v>131</v>
      </c>
    </row>
    <row r="15" spans="1:17" x14ac:dyDescent="0.3">
      <c r="A15" s="438" t="s">
        <v>30</v>
      </c>
      <c r="B15" s="439" t="s">
        <v>31</v>
      </c>
      <c r="C15" s="494" t="s">
        <v>256</v>
      </c>
      <c r="D15" s="1898">
        <v>8</v>
      </c>
      <c r="E15" s="1898">
        <v>11</v>
      </c>
      <c r="F15" s="264">
        <v>8</v>
      </c>
      <c r="G15" s="264">
        <v>13</v>
      </c>
      <c r="H15" s="1842">
        <v>6</v>
      </c>
      <c r="I15" s="1842">
        <v>10</v>
      </c>
      <c r="J15" s="1842">
        <v>5</v>
      </c>
      <c r="K15" s="1842">
        <v>6</v>
      </c>
      <c r="L15" s="1842">
        <v>16</v>
      </c>
      <c r="M15" s="1842">
        <v>28</v>
      </c>
      <c r="N15" s="1842">
        <v>7</v>
      </c>
      <c r="O15" s="266">
        <v>11</v>
      </c>
      <c r="P15" s="1842">
        <v>9</v>
      </c>
      <c r="Q15" s="266">
        <v>14</v>
      </c>
    </row>
    <row r="16" spans="1:17" x14ac:dyDescent="0.3">
      <c r="A16" s="438" t="s">
        <v>32</v>
      </c>
      <c r="B16" s="439" t="s">
        <v>33</v>
      </c>
      <c r="C16" s="494" t="s">
        <v>253</v>
      </c>
      <c r="D16" s="1898">
        <v>72</v>
      </c>
      <c r="E16" s="1898">
        <v>108</v>
      </c>
      <c r="F16" s="264">
        <v>61</v>
      </c>
      <c r="G16" s="264">
        <v>100</v>
      </c>
      <c r="H16" s="1842">
        <v>59</v>
      </c>
      <c r="I16" s="1842">
        <v>100</v>
      </c>
      <c r="J16" s="1842">
        <v>56</v>
      </c>
      <c r="K16" s="1842">
        <v>96</v>
      </c>
      <c r="L16" s="1842">
        <v>55</v>
      </c>
      <c r="M16" s="1842">
        <v>98</v>
      </c>
      <c r="N16" s="1842">
        <v>43</v>
      </c>
      <c r="O16" s="266">
        <v>80</v>
      </c>
      <c r="P16" s="1842">
        <v>42</v>
      </c>
      <c r="Q16" s="266">
        <v>78</v>
      </c>
    </row>
    <row r="17" spans="1:17" x14ac:dyDescent="0.3">
      <c r="A17" s="438" t="s">
        <v>36</v>
      </c>
      <c r="B17" s="439" t="s">
        <v>37</v>
      </c>
      <c r="C17" s="494" t="s">
        <v>252</v>
      </c>
      <c r="D17" s="1898">
        <v>55</v>
      </c>
      <c r="E17" s="1898">
        <v>85</v>
      </c>
      <c r="F17" s="264">
        <v>42</v>
      </c>
      <c r="G17" s="264">
        <v>74</v>
      </c>
      <c r="H17" s="1842">
        <v>31</v>
      </c>
      <c r="I17" s="1842">
        <v>62</v>
      </c>
      <c r="J17" s="1842">
        <v>25</v>
      </c>
      <c r="K17" s="1842">
        <v>45</v>
      </c>
      <c r="L17" s="1842">
        <v>21</v>
      </c>
      <c r="M17" s="1842">
        <v>34</v>
      </c>
      <c r="N17" s="1842">
        <v>14</v>
      </c>
      <c r="O17" s="266">
        <v>21</v>
      </c>
      <c r="P17" s="1842">
        <v>22</v>
      </c>
      <c r="Q17" s="266">
        <v>35</v>
      </c>
    </row>
    <row r="18" spans="1:17" x14ac:dyDescent="0.3">
      <c r="A18" s="438" t="s">
        <v>38</v>
      </c>
      <c r="B18" s="439" t="s">
        <v>39</v>
      </c>
      <c r="C18" s="494" t="s">
        <v>256</v>
      </c>
      <c r="D18" s="1898">
        <v>9</v>
      </c>
      <c r="E18" s="1898">
        <v>20</v>
      </c>
      <c r="F18" s="264">
        <v>6</v>
      </c>
      <c r="G18" s="264">
        <v>16</v>
      </c>
      <c r="H18" s="1842">
        <v>1</v>
      </c>
      <c r="I18" s="1842">
        <v>4</v>
      </c>
      <c r="J18" s="1842">
        <v>0</v>
      </c>
      <c r="K18" s="1842">
        <v>0</v>
      </c>
      <c r="L18" s="1842">
        <v>0</v>
      </c>
      <c r="M18" s="1842">
        <v>0</v>
      </c>
      <c r="N18" s="1842">
        <v>1</v>
      </c>
      <c r="O18" s="266">
        <v>1</v>
      </c>
      <c r="P18" s="1842">
        <v>1</v>
      </c>
      <c r="Q18" s="266">
        <v>3</v>
      </c>
    </row>
    <row r="19" spans="1:17" x14ac:dyDescent="0.3">
      <c r="A19" s="438" t="s">
        <v>40</v>
      </c>
      <c r="B19" s="439" t="s">
        <v>41</v>
      </c>
      <c r="C19" s="494" t="s">
        <v>254</v>
      </c>
      <c r="D19" s="1898">
        <v>35</v>
      </c>
      <c r="E19" s="1898">
        <v>55</v>
      </c>
      <c r="F19" s="264">
        <v>28</v>
      </c>
      <c r="G19" s="264">
        <v>40</v>
      </c>
      <c r="H19" s="1842">
        <v>26</v>
      </c>
      <c r="I19" s="1842">
        <v>36</v>
      </c>
      <c r="J19" s="1842">
        <v>18</v>
      </c>
      <c r="K19" s="1842">
        <v>27</v>
      </c>
      <c r="L19" s="1842">
        <v>12</v>
      </c>
      <c r="M19" s="1842">
        <v>16</v>
      </c>
      <c r="N19" s="1842">
        <v>5</v>
      </c>
      <c r="O19" s="266">
        <v>6</v>
      </c>
      <c r="P19" s="1842">
        <v>8</v>
      </c>
      <c r="Q19" s="266">
        <v>8</v>
      </c>
    </row>
    <row r="20" spans="1:17" x14ac:dyDescent="0.3">
      <c r="A20" s="438" t="s">
        <v>42</v>
      </c>
      <c r="B20" s="439" t="s">
        <v>43</v>
      </c>
      <c r="C20" s="494" t="s">
        <v>253</v>
      </c>
      <c r="D20" s="1898">
        <v>120</v>
      </c>
      <c r="E20" s="1898">
        <v>177</v>
      </c>
      <c r="F20" s="264">
        <v>174</v>
      </c>
      <c r="G20" s="264">
        <v>271</v>
      </c>
      <c r="H20" s="1842">
        <v>197</v>
      </c>
      <c r="I20" s="1842">
        <v>321</v>
      </c>
      <c r="J20" s="1842">
        <v>144</v>
      </c>
      <c r="K20" s="1842">
        <v>259</v>
      </c>
      <c r="L20" s="1842">
        <v>125</v>
      </c>
      <c r="M20" s="1842">
        <v>215</v>
      </c>
      <c r="N20" s="1842">
        <v>137</v>
      </c>
      <c r="O20" s="266">
        <v>231</v>
      </c>
      <c r="P20" s="1842">
        <v>143</v>
      </c>
      <c r="Q20" s="266">
        <v>254</v>
      </c>
    </row>
    <row r="21" spans="1:17" x14ac:dyDescent="0.3">
      <c r="A21" s="438" t="s">
        <v>44</v>
      </c>
      <c r="B21" s="439" t="s">
        <v>45</v>
      </c>
      <c r="C21" s="494" t="s">
        <v>254</v>
      </c>
      <c r="D21" s="1898">
        <v>99</v>
      </c>
      <c r="E21" s="1898">
        <v>170</v>
      </c>
      <c r="F21" s="264">
        <v>97</v>
      </c>
      <c r="G21" s="264">
        <v>171</v>
      </c>
      <c r="H21" s="1842">
        <v>101</v>
      </c>
      <c r="I21" s="1842">
        <v>173</v>
      </c>
      <c r="J21" s="1842">
        <v>110</v>
      </c>
      <c r="K21" s="1842">
        <v>217</v>
      </c>
      <c r="L21" s="1842">
        <v>106</v>
      </c>
      <c r="M21" s="1842">
        <v>202</v>
      </c>
      <c r="N21" s="1842">
        <v>76</v>
      </c>
      <c r="O21" s="266">
        <v>139</v>
      </c>
      <c r="P21" s="1842">
        <v>80</v>
      </c>
      <c r="Q21" s="266">
        <v>153</v>
      </c>
    </row>
    <row r="22" spans="1:17" x14ac:dyDescent="0.3">
      <c r="A22" s="438" t="s">
        <v>46</v>
      </c>
      <c r="B22" s="439" t="s">
        <v>47</v>
      </c>
      <c r="C22" s="494" t="s">
        <v>256</v>
      </c>
      <c r="D22" s="1898">
        <v>111</v>
      </c>
      <c r="E22" s="1898">
        <v>182</v>
      </c>
      <c r="F22" s="264">
        <v>113</v>
      </c>
      <c r="G22" s="264">
        <v>182</v>
      </c>
      <c r="H22" s="1842">
        <v>133</v>
      </c>
      <c r="I22" s="1842">
        <v>234</v>
      </c>
      <c r="J22" s="1842">
        <v>116</v>
      </c>
      <c r="K22" s="1842">
        <v>196</v>
      </c>
      <c r="L22" s="1842">
        <v>117</v>
      </c>
      <c r="M22" s="1842">
        <v>193</v>
      </c>
      <c r="N22" s="1842">
        <v>84</v>
      </c>
      <c r="O22" s="266">
        <v>151</v>
      </c>
      <c r="P22" s="1842">
        <v>69</v>
      </c>
      <c r="Q22" s="266">
        <v>121</v>
      </c>
    </row>
    <row r="23" spans="1:17" x14ac:dyDescent="0.3">
      <c r="A23" s="438" t="s">
        <v>48</v>
      </c>
      <c r="B23" s="439" t="s">
        <v>257</v>
      </c>
      <c r="C23" s="494" t="s">
        <v>254</v>
      </c>
      <c r="D23" s="1898">
        <v>31</v>
      </c>
      <c r="E23" s="1898">
        <v>51</v>
      </c>
      <c r="F23" s="264">
        <v>30</v>
      </c>
      <c r="G23" s="264">
        <v>47</v>
      </c>
      <c r="H23" s="1842">
        <v>33</v>
      </c>
      <c r="I23" s="1842">
        <v>49</v>
      </c>
      <c r="J23" s="1842">
        <v>35</v>
      </c>
      <c r="K23" s="1842">
        <v>62</v>
      </c>
      <c r="L23" s="1842">
        <v>24</v>
      </c>
      <c r="M23" s="1842">
        <v>43</v>
      </c>
      <c r="N23" s="1842">
        <v>14</v>
      </c>
      <c r="O23" s="266">
        <v>26</v>
      </c>
      <c r="P23" s="1842">
        <v>16</v>
      </c>
      <c r="Q23" s="266">
        <v>30</v>
      </c>
    </row>
    <row r="24" spans="1:17" x14ac:dyDescent="0.3">
      <c r="A24" s="438" t="s">
        <v>50</v>
      </c>
      <c r="B24" s="439" t="s">
        <v>51</v>
      </c>
      <c r="C24" s="494" t="s">
        <v>253</v>
      </c>
      <c r="D24" s="1898">
        <v>22</v>
      </c>
      <c r="E24" s="1898">
        <v>39</v>
      </c>
      <c r="F24" s="264">
        <v>15</v>
      </c>
      <c r="G24" s="264">
        <v>29</v>
      </c>
      <c r="H24" s="1842">
        <v>8</v>
      </c>
      <c r="I24" s="1842">
        <v>15</v>
      </c>
      <c r="J24" s="1842">
        <v>5</v>
      </c>
      <c r="K24" s="1842">
        <v>12</v>
      </c>
      <c r="L24" s="1842">
        <v>5</v>
      </c>
      <c r="M24" s="1842">
        <v>14</v>
      </c>
      <c r="N24" s="1842">
        <v>5</v>
      </c>
      <c r="O24" s="266">
        <v>12</v>
      </c>
      <c r="P24" s="1842">
        <v>6</v>
      </c>
      <c r="Q24" s="266">
        <v>12</v>
      </c>
    </row>
    <row r="25" spans="1:17" x14ac:dyDescent="0.3">
      <c r="A25" s="438" t="s">
        <v>56</v>
      </c>
      <c r="B25" s="439" t="s">
        <v>283</v>
      </c>
      <c r="C25" s="494" t="s">
        <v>254</v>
      </c>
      <c r="D25" s="1898">
        <v>640</v>
      </c>
      <c r="E25" s="1898">
        <v>1152</v>
      </c>
      <c r="F25" s="264">
        <v>587</v>
      </c>
      <c r="G25" s="264">
        <v>1074</v>
      </c>
      <c r="H25" s="1842">
        <v>543</v>
      </c>
      <c r="I25" s="1842">
        <v>1009</v>
      </c>
      <c r="J25" s="1842">
        <v>547</v>
      </c>
      <c r="K25" s="1842">
        <v>1029</v>
      </c>
      <c r="L25" s="1842">
        <v>468</v>
      </c>
      <c r="M25" s="1842">
        <v>854</v>
      </c>
      <c r="N25" s="1842">
        <v>462</v>
      </c>
      <c r="O25" s="266">
        <v>805</v>
      </c>
      <c r="P25" s="1842">
        <v>432</v>
      </c>
      <c r="Q25" s="266">
        <v>785</v>
      </c>
    </row>
    <row r="26" spans="1:17" x14ac:dyDescent="0.3">
      <c r="A26" s="438" t="s">
        <v>58</v>
      </c>
      <c r="B26" s="439" t="s">
        <v>59</v>
      </c>
      <c r="C26" s="494" t="s">
        <v>255</v>
      </c>
      <c r="D26" s="1898">
        <v>31</v>
      </c>
      <c r="E26" s="1898">
        <v>45</v>
      </c>
      <c r="F26" s="264">
        <v>29</v>
      </c>
      <c r="G26" s="264">
        <v>39</v>
      </c>
      <c r="H26" s="1842">
        <v>39</v>
      </c>
      <c r="I26" s="1842">
        <v>64</v>
      </c>
      <c r="J26" s="1842">
        <v>29</v>
      </c>
      <c r="K26" s="1842">
        <v>45</v>
      </c>
      <c r="L26" s="1842">
        <v>16</v>
      </c>
      <c r="M26" s="1842">
        <v>23</v>
      </c>
      <c r="N26" s="1842">
        <v>13</v>
      </c>
      <c r="O26" s="266">
        <v>17</v>
      </c>
      <c r="P26" s="1842">
        <v>16</v>
      </c>
      <c r="Q26" s="266">
        <v>22</v>
      </c>
    </row>
    <row r="27" spans="1:17" x14ac:dyDescent="0.3">
      <c r="A27" s="438" t="s">
        <v>60</v>
      </c>
      <c r="B27" s="439" t="s">
        <v>61</v>
      </c>
      <c r="C27" s="494" t="s">
        <v>253</v>
      </c>
      <c r="D27" s="1898">
        <v>13</v>
      </c>
      <c r="E27" s="1898">
        <v>20</v>
      </c>
      <c r="F27" s="264">
        <v>16</v>
      </c>
      <c r="G27" s="264">
        <v>21</v>
      </c>
      <c r="H27" s="1842">
        <v>26</v>
      </c>
      <c r="I27" s="1842">
        <v>38</v>
      </c>
      <c r="J27" s="1842">
        <v>31</v>
      </c>
      <c r="K27" s="1842">
        <v>42</v>
      </c>
      <c r="L27" s="1842">
        <v>35</v>
      </c>
      <c r="M27" s="1842">
        <v>46</v>
      </c>
      <c r="N27" s="1842">
        <v>34</v>
      </c>
      <c r="O27" s="266">
        <v>53</v>
      </c>
      <c r="P27" s="1842">
        <v>46</v>
      </c>
      <c r="Q27" s="266">
        <v>72</v>
      </c>
    </row>
    <row r="28" spans="1:17" x14ac:dyDescent="0.3">
      <c r="A28" s="438" t="s">
        <v>62</v>
      </c>
      <c r="B28" s="439" t="s">
        <v>63</v>
      </c>
      <c r="C28" s="494" t="s">
        <v>255</v>
      </c>
      <c r="D28" s="1898">
        <v>287</v>
      </c>
      <c r="E28" s="1898">
        <v>520</v>
      </c>
      <c r="F28" s="264">
        <v>294</v>
      </c>
      <c r="G28" s="264">
        <v>538</v>
      </c>
      <c r="H28" s="1842">
        <v>277</v>
      </c>
      <c r="I28" s="1842">
        <v>533</v>
      </c>
      <c r="J28" s="1842">
        <v>271</v>
      </c>
      <c r="K28" s="1842">
        <v>525</v>
      </c>
      <c r="L28" s="1842">
        <v>290</v>
      </c>
      <c r="M28" s="1842">
        <v>582</v>
      </c>
      <c r="N28" s="1842">
        <v>289</v>
      </c>
      <c r="O28" s="266">
        <v>558</v>
      </c>
      <c r="P28" s="1842">
        <v>313</v>
      </c>
      <c r="Q28" s="266">
        <v>596</v>
      </c>
    </row>
    <row r="29" spans="1:17" x14ac:dyDescent="0.3">
      <c r="A29" s="438" t="s">
        <v>64</v>
      </c>
      <c r="B29" s="439" t="s">
        <v>65</v>
      </c>
      <c r="C29" s="494" t="s">
        <v>254</v>
      </c>
      <c r="D29" s="1898">
        <v>21</v>
      </c>
      <c r="E29" s="1898">
        <v>30</v>
      </c>
      <c r="F29" s="264">
        <v>24</v>
      </c>
      <c r="G29" s="264">
        <v>36</v>
      </c>
      <c r="H29" s="1842">
        <v>35</v>
      </c>
      <c r="I29" s="1842">
        <v>57</v>
      </c>
      <c r="J29" s="1842">
        <v>32</v>
      </c>
      <c r="K29" s="1842">
        <v>60</v>
      </c>
      <c r="L29" s="1842">
        <v>20</v>
      </c>
      <c r="M29" s="1842">
        <v>32</v>
      </c>
      <c r="N29" s="1842">
        <v>15</v>
      </c>
      <c r="O29" s="266">
        <v>26</v>
      </c>
      <c r="P29" s="1842">
        <v>17</v>
      </c>
      <c r="Q29" s="266">
        <v>30</v>
      </c>
    </row>
    <row r="30" spans="1:17" x14ac:dyDescent="0.3">
      <c r="A30" s="438" t="s">
        <v>68</v>
      </c>
      <c r="B30" s="439" t="s">
        <v>69</v>
      </c>
      <c r="C30" s="494" t="s">
        <v>256</v>
      </c>
      <c r="D30" s="1898">
        <v>24</v>
      </c>
      <c r="E30" s="1898">
        <v>34</v>
      </c>
      <c r="F30" s="264">
        <v>21</v>
      </c>
      <c r="G30" s="264">
        <v>28</v>
      </c>
      <c r="H30" s="1842">
        <v>20</v>
      </c>
      <c r="I30" s="1842">
        <v>28</v>
      </c>
      <c r="J30" s="1842">
        <v>19</v>
      </c>
      <c r="K30" s="1842">
        <v>31</v>
      </c>
      <c r="L30" s="1842">
        <v>16</v>
      </c>
      <c r="M30" s="1842">
        <v>23</v>
      </c>
      <c r="N30" s="1842">
        <v>14</v>
      </c>
      <c r="O30" s="266">
        <v>21</v>
      </c>
      <c r="P30" s="1842">
        <v>12</v>
      </c>
      <c r="Q30" s="266">
        <v>19</v>
      </c>
    </row>
    <row r="31" spans="1:17" x14ac:dyDescent="0.3">
      <c r="A31" s="438" t="s">
        <v>70</v>
      </c>
      <c r="B31" s="439" t="s">
        <v>71</v>
      </c>
      <c r="C31" s="494" t="s">
        <v>252</v>
      </c>
      <c r="D31" s="1898">
        <v>78</v>
      </c>
      <c r="E31" s="1898">
        <v>137</v>
      </c>
      <c r="F31" s="264">
        <v>75</v>
      </c>
      <c r="G31" s="264">
        <v>128</v>
      </c>
      <c r="H31" s="1842">
        <v>76</v>
      </c>
      <c r="I31" s="1842">
        <v>139</v>
      </c>
      <c r="J31" s="1842">
        <v>50</v>
      </c>
      <c r="K31" s="1842">
        <v>95</v>
      </c>
      <c r="L31" s="1842">
        <v>36</v>
      </c>
      <c r="M31" s="1842">
        <v>65</v>
      </c>
      <c r="N31" s="1842">
        <v>31</v>
      </c>
      <c r="O31" s="266">
        <v>59</v>
      </c>
      <c r="P31" s="1842">
        <v>31</v>
      </c>
      <c r="Q31" s="266">
        <v>62</v>
      </c>
    </row>
    <row r="32" spans="1:17" x14ac:dyDescent="0.3">
      <c r="A32" s="438" t="s">
        <v>72</v>
      </c>
      <c r="B32" s="439" t="s">
        <v>73</v>
      </c>
      <c r="C32" s="494" t="s">
        <v>254</v>
      </c>
      <c r="D32" s="1898">
        <v>108</v>
      </c>
      <c r="E32" s="1898">
        <v>197</v>
      </c>
      <c r="F32" s="264">
        <v>110</v>
      </c>
      <c r="G32" s="264">
        <v>189</v>
      </c>
      <c r="H32" s="1842">
        <v>85</v>
      </c>
      <c r="I32" s="1842">
        <v>157</v>
      </c>
      <c r="J32" s="1842">
        <v>70</v>
      </c>
      <c r="K32" s="1842">
        <v>131</v>
      </c>
      <c r="L32" s="1842">
        <v>50</v>
      </c>
      <c r="M32" s="1842">
        <v>117</v>
      </c>
      <c r="N32" s="1842">
        <v>38</v>
      </c>
      <c r="O32" s="266">
        <v>87</v>
      </c>
      <c r="P32" s="1842">
        <v>34</v>
      </c>
      <c r="Q32" s="266">
        <v>78</v>
      </c>
    </row>
    <row r="33" spans="1:17" x14ac:dyDescent="0.3">
      <c r="A33" s="438" t="s">
        <v>74</v>
      </c>
      <c r="B33" s="439" t="s">
        <v>284</v>
      </c>
      <c r="C33" s="494" t="s">
        <v>255</v>
      </c>
      <c r="D33" s="1898">
        <v>2283</v>
      </c>
      <c r="E33" s="1898">
        <v>3863</v>
      </c>
      <c r="F33" s="264">
        <v>2822</v>
      </c>
      <c r="G33" s="264">
        <v>4705</v>
      </c>
      <c r="H33" s="1842">
        <v>3116</v>
      </c>
      <c r="I33" s="1842">
        <v>5222</v>
      </c>
      <c r="J33" s="1842">
        <v>2595</v>
      </c>
      <c r="K33" s="1842">
        <v>4288</v>
      </c>
      <c r="L33" s="1842">
        <v>2364</v>
      </c>
      <c r="M33" s="1842">
        <v>3872</v>
      </c>
      <c r="N33" s="1842">
        <v>2010</v>
      </c>
      <c r="O33" s="266">
        <v>3467</v>
      </c>
      <c r="P33" s="1842">
        <v>1881</v>
      </c>
      <c r="Q33" s="266">
        <v>3228</v>
      </c>
    </row>
    <row r="34" spans="1:17" x14ac:dyDescent="0.3">
      <c r="A34" s="438" t="s">
        <v>76</v>
      </c>
      <c r="B34" s="439" t="s">
        <v>77</v>
      </c>
      <c r="C34" s="494" t="s">
        <v>255</v>
      </c>
      <c r="D34" s="1898">
        <v>180</v>
      </c>
      <c r="E34" s="1898">
        <v>276</v>
      </c>
      <c r="F34" s="264">
        <v>195</v>
      </c>
      <c r="G34" s="264">
        <v>282</v>
      </c>
      <c r="H34" s="1842">
        <v>159</v>
      </c>
      <c r="I34" s="1842">
        <v>252</v>
      </c>
      <c r="J34" s="1842">
        <v>127</v>
      </c>
      <c r="K34" s="1842">
        <v>229</v>
      </c>
      <c r="L34" s="1842">
        <v>115</v>
      </c>
      <c r="M34" s="1842">
        <v>209</v>
      </c>
      <c r="N34" s="1842">
        <v>89</v>
      </c>
      <c r="O34" s="266">
        <v>160</v>
      </c>
      <c r="P34" s="1842">
        <v>78</v>
      </c>
      <c r="Q34" s="266">
        <v>134</v>
      </c>
    </row>
    <row r="35" spans="1:17" x14ac:dyDescent="0.3">
      <c r="A35" s="438" t="s">
        <v>78</v>
      </c>
      <c r="B35" s="439" t="s">
        <v>79</v>
      </c>
      <c r="C35" s="494" t="s">
        <v>256</v>
      </c>
      <c r="D35" s="1898">
        <v>22</v>
      </c>
      <c r="E35" s="1898">
        <v>40</v>
      </c>
      <c r="F35" s="264">
        <v>17</v>
      </c>
      <c r="G35" s="264">
        <v>32</v>
      </c>
      <c r="H35" s="1842">
        <v>14</v>
      </c>
      <c r="I35" s="1842">
        <v>23</v>
      </c>
      <c r="J35" s="1842">
        <v>13</v>
      </c>
      <c r="K35" s="1842">
        <v>20</v>
      </c>
      <c r="L35" s="1842">
        <v>7</v>
      </c>
      <c r="M35" s="1842">
        <v>10</v>
      </c>
      <c r="N35" s="1842">
        <v>8</v>
      </c>
      <c r="O35" s="266">
        <v>10</v>
      </c>
      <c r="P35" s="1842">
        <v>14</v>
      </c>
      <c r="Q35" s="266">
        <v>17</v>
      </c>
    </row>
    <row r="36" spans="1:17" x14ac:dyDescent="0.3">
      <c r="A36" s="438" t="s">
        <v>80</v>
      </c>
      <c r="B36" s="439" t="s">
        <v>81</v>
      </c>
      <c r="C36" s="494" t="s">
        <v>254</v>
      </c>
      <c r="D36" s="1898">
        <v>53</v>
      </c>
      <c r="E36" s="1898">
        <v>82</v>
      </c>
      <c r="F36" s="264">
        <v>60</v>
      </c>
      <c r="G36" s="264">
        <v>90</v>
      </c>
      <c r="H36" s="1842">
        <v>46</v>
      </c>
      <c r="I36" s="1842">
        <v>78</v>
      </c>
      <c r="J36" s="1842">
        <v>39</v>
      </c>
      <c r="K36" s="1842">
        <v>71</v>
      </c>
      <c r="L36" s="1842">
        <v>35</v>
      </c>
      <c r="M36" s="1842">
        <v>56</v>
      </c>
      <c r="N36" s="1842">
        <v>28</v>
      </c>
      <c r="O36" s="266">
        <v>41</v>
      </c>
      <c r="P36" s="1842">
        <v>28</v>
      </c>
      <c r="Q36" s="266">
        <v>44</v>
      </c>
    </row>
    <row r="37" spans="1:17" x14ac:dyDescent="0.3">
      <c r="A37" s="438" t="s">
        <v>84</v>
      </c>
      <c r="B37" s="439" t="s">
        <v>85</v>
      </c>
      <c r="C37" s="494" t="s">
        <v>253</v>
      </c>
      <c r="D37" s="1898">
        <v>188</v>
      </c>
      <c r="E37" s="1898">
        <v>297</v>
      </c>
      <c r="F37" s="264">
        <v>163</v>
      </c>
      <c r="G37" s="264">
        <v>278</v>
      </c>
      <c r="H37" s="1842">
        <v>182</v>
      </c>
      <c r="I37" s="1842">
        <v>314</v>
      </c>
      <c r="J37" s="1842">
        <v>145</v>
      </c>
      <c r="K37" s="1842">
        <v>253</v>
      </c>
      <c r="L37" s="1842">
        <v>114</v>
      </c>
      <c r="M37" s="1842">
        <v>195</v>
      </c>
      <c r="N37" s="1842">
        <v>110</v>
      </c>
      <c r="O37" s="266">
        <v>205</v>
      </c>
      <c r="P37" s="1842">
        <v>94</v>
      </c>
      <c r="Q37" s="266">
        <v>177</v>
      </c>
    </row>
    <row r="38" spans="1:17" x14ac:dyDescent="0.3">
      <c r="A38" s="438" t="s">
        <v>86</v>
      </c>
      <c r="B38" s="439" t="s">
        <v>87</v>
      </c>
      <c r="C38" s="494" t="s">
        <v>255</v>
      </c>
      <c r="D38" s="1898">
        <v>156</v>
      </c>
      <c r="E38" s="1898">
        <v>246</v>
      </c>
      <c r="F38" s="264">
        <v>172</v>
      </c>
      <c r="G38" s="264">
        <v>275</v>
      </c>
      <c r="H38" s="1842">
        <v>145</v>
      </c>
      <c r="I38" s="1842">
        <v>236</v>
      </c>
      <c r="J38" s="1842">
        <v>145</v>
      </c>
      <c r="K38" s="1842">
        <v>233</v>
      </c>
      <c r="L38" s="1842">
        <v>128</v>
      </c>
      <c r="M38" s="1842">
        <v>212</v>
      </c>
      <c r="N38" s="1842">
        <v>137</v>
      </c>
      <c r="O38" s="266">
        <v>235</v>
      </c>
      <c r="P38" s="1842">
        <v>123</v>
      </c>
      <c r="Q38" s="266">
        <v>196</v>
      </c>
    </row>
    <row r="39" spans="1:17" x14ac:dyDescent="0.3">
      <c r="A39" s="438" t="s">
        <v>92</v>
      </c>
      <c r="B39" s="439" t="s">
        <v>93</v>
      </c>
      <c r="C39" s="494" t="s">
        <v>256</v>
      </c>
      <c r="D39" s="1898">
        <v>47</v>
      </c>
      <c r="E39" s="1898">
        <v>72</v>
      </c>
      <c r="F39" s="264">
        <v>47</v>
      </c>
      <c r="G39" s="264">
        <v>73</v>
      </c>
      <c r="H39" s="1842">
        <v>46</v>
      </c>
      <c r="I39" s="1842">
        <v>68</v>
      </c>
      <c r="J39" s="1842">
        <v>29</v>
      </c>
      <c r="K39" s="1842">
        <v>48</v>
      </c>
      <c r="L39" s="1842">
        <v>22</v>
      </c>
      <c r="M39" s="1842">
        <v>42</v>
      </c>
      <c r="N39" s="1842">
        <v>21</v>
      </c>
      <c r="O39" s="266">
        <v>42</v>
      </c>
      <c r="P39" s="1842">
        <v>39</v>
      </c>
      <c r="Q39" s="266">
        <v>69</v>
      </c>
    </row>
    <row r="40" spans="1:17" x14ac:dyDescent="0.3">
      <c r="A40" s="438" t="s">
        <v>94</v>
      </c>
      <c r="B40" s="439" t="s">
        <v>95</v>
      </c>
      <c r="C40" s="494" t="s">
        <v>252</v>
      </c>
      <c r="D40" s="1898">
        <v>89</v>
      </c>
      <c r="E40" s="1898">
        <v>158</v>
      </c>
      <c r="F40" s="264">
        <v>106</v>
      </c>
      <c r="G40" s="264">
        <v>177</v>
      </c>
      <c r="H40" s="1842">
        <v>110</v>
      </c>
      <c r="I40" s="1842">
        <v>174</v>
      </c>
      <c r="J40" s="1842">
        <v>100</v>
      </c>
      <c r="K40" s="1842">
        <v>147</v>
      </c>
      <c r="L40" s="1842">
        <v>92</v>
      </c>
      <c r="M40" s="1842">
        <v>150</v>
      </c>
      <c r="N40" s="1842">
        <v>68</v>
      </c>
      <c r="O40" s="266">
        <v>118</v>
      </c>
      <c r="P40" s="1842">
        <v>59</v>
      </c>
      <c r="Q40" s="266">
        <v>104</v>
      </c>
    </row>
    <row r="41" spans="1:17" x14ac:dyDescent="0.3">
      <c r="A41" s="438" t="s">
        <v>96</v>
      </c>
      <c r="B41" s="439" t="s">
        <v>97</v>
      </c>
      <c r="C41" s="494" t="s">
        <v>254</v>
      </c>
      <c r="D41" s="1898">
        <v>51</v>
      </c>
      <c r="E41" s="1898">
        <v>73</v>
      </c>
      <c r="F41" s="264">
        <v>48</v>
      </c>
      <c r="G41" s="264">
        <v>72</v>
      </c>
      <c r="H41" s="1842">
        <v>48</v>
      </c>
      <c r="I41" s="1842">
        <v>79</v>
      </c>
      <c r="J41" s="1842">
        <v>41</v>
      </c>
      <c r="K41" s="1842">
        <v>65</v>
      </c>
      <c r="L41" s="1842">
        <v>30</v>
      </c>
      <c r="M41" s="1842">
        <v>47</v>
      </c>
      <c r="N41" s="1842">
        <v>25</v>
      </c>
      <c r="O41" s="266">
        <v>40</v>
      </c>
      <c r="P41" s="1842">
        <v>21</v>
      </c>
      <c r="Q41" s="266">
        <v>37</v>
      </c>
    </row>
    <row r="42" spans="1:17" x14ac:dyDescent="0.3">
      <c r="A42" s="438" t="s">
        <v>98</v>
      </c>
      <c r="B42" s="439" t="s">
        <v>99</v>
      </c>
      <c r="C42" s="494" t="s">
        <v>256</v>
      </c>
      <c r="D42" s="1898">
        <v>41</v>
      </c>
      <c r="E42" s="1898">
        <v>72</v>
      </c>
      <c r="F42" s="264">
        <v>18</v>
      </c>
      <c r="G42" s="264">
        <v>32</v>
      </c>
      <c r="H42" s="1842">
        <v>17</v>
      </c>
      <c r="I42" s="1842">
        <v>26</v>
      </c>
      <c r="J42" s="1842">
        <v>16</v>
      </c>
      <c r="K42" s="1842">
        <v>26</v>
      </c>
      <c r="L42" s="1842">
        <v>14</v>
      </c>
      <c r="M42" s="1842">
        <v>23</v>
      </c>
      <c r="N42" s="1842">
        <v>13</v>
      </c>
      <c r="O42" s="266">
        <v>23</v>
      </c>
      <c r="P42" s="1842">
        <v>10</v>
      </c>
      <c r="Q42" s="266">
        <v>16</v>
      </c>
    </row>
    <row r="43" spans="1:17" x14ac:dyDescent="0.3">
      <c r="A43" s="438" t="s">
        <v>100</v>
      </c>
      <c r="B43" s="439" t="s">
        <v>101</v>
      </c>
      <c r="C43" s="494" t="s">
        <v>255</v>
      </c>
      <c r="D43" s="1898">
        <v>26</v>
      </c>
      <c r="E43" s="1898">
        <v>46</v>
      </c>
      <c r="F43" s="264">
        <v>30</v>
      </c>
      <c r="G43" s="264">
        <v>43</v>
      </c>
      <c r="H43" s="1842">
        <v>27</v>
      </c>
      <c r="I43" s="1842">
        <v>42</v>
      </c>
      <c r="J43" s="1842">
        <v>30</v>
      </c>
      <c r="K43" s="1842">
        <v>42</v>
      </c>
      <c r="L43" s="1842">
        <v>27</v>
      </c>
      <c r="M43" s="1842">
        <v>38</v>
      </c>
      <c r="N43" s="1842">
        <v>23</v>
      </c>
      <c r="O43" s="266">
        <v>31</v>
      </c>
      <c r="P43" s="1842">
        <v>17</v>
      </c>
      <c r="Q43" s="266">
        <v>23</v>
      </c>
    </row>
    <row r="44" spans="1:17" x14ac:dyDescent="0.3">
      <c r="A44" s="438" t="s">
        <v>102</v>
      </c>
      <c r="B44" s="439" t="s">
        <v>270</v>
      </c>
      <c r="C44" s="494" t="s">
        <v>252</v>
      </c>
      <c r="D44" s="1898">
        <v>123</v>
      </c>
      <c r="E44" s="1898">
        <v>229</v>
      </c>
      <c r="F44" s="264">
        <v>108</v>
      </c>
      <c r="G44" s="264">
        <v>190</v>
      </c>
      <c r="H44" s="1842">
        <v>97</v>
      </c>
      <c r="I44" s="1842">
        <v>183</v>
      </c>
      <c r="J44" s="1842">
        <v>82</v>
      </c>
      <c r="K44" s="1842">
        <v>143</v>
      </c>
      <c r="L44" s="1842">
        <v>72</v>
      </c>
      <c r="M44" s="1842">
        <v>127</v>
      </c>
      <c r="N44" s="1842">
        <v>67</v>
      </c>
      <c r="O44" s="266">
        <v>118</v>
      </c>
      <c r="P44" s="1842">
        <v>51</v>
      </c>
      <c r="Q44" s="266">
        <v>90</v>
      </c>
    </row>
    <row r="45" spans="1:17" x14ac:dyDescent="0.3">
      <c r="A45" s="438" t="s">
        <v>104</v>
      </c>
      <c r="B45" s="439" t="s">
        <v>105</v>
      </c>
      <c r="C45" s="494" t="s">
        <v>253</v>
      </c>
      <c r="D45" s="1898">
        <v>43</v>
      </c>
      <c r="E45" s="1898">
        <v>87</v>
      </c>
      <c r="F45" s="264">
        <v>40</v>
      </c>
      <c r="G45" s="264">
        <v>76</v>
      </c>
      <c r="H45" s="1842">
        <v>44</v>
      </c>
      <c r="I45" s="1842">
        <v>72</v>
      </c>
      <c r="J45" s="1842">
        <v>46</v>
      </c>
      <c r="K45" s="1842">
        <v>80</v>
      </c>
      <c r="L45" s="1842">
        <v>40</v>
      </c>
      <c r="M45" s="1842">
        <v>72</v>
      </c>
      <c r="N45" s="1842">
        <v>36</v>
      </c>
      <c r="O45" s="266">
        <v>72</v>
      </c>
      <c r="P45" s="1842">
        <v>35</v>
      </c>
      <c r="Q45" s="266">
        <v>70</v>
      </c>
    </row>
    <row r="46" spans="1:17" x14ac:dyDescent="0.3">
      <c r="A46" s="438" t="s">
        <v>108</v>
      </c>
      <c r="B46" s="439" t="s">
        <v>109</v>
      </c>
      <c r="C46" s="494" t="s">
        <v>254</v>
      </c>
      <c r="D46" s="1898">
        <v>192</v>
      </c>
      <c r="E46" s="1898">
        <v>313</v>
      </c>
      <c r="F46" s="264">
        <v>177</v>
      </c>
      <c r="G46" s="264">
        <v>298</v>
      </c>
      <c r="H46" s="1842">
        <v>186</v>
      </c>
      <c r="I46" s="1842">
        <v>300</v>
      </c>
      <c r="J46" s="1842">
        <v>139</v>
      </c>
      <c r="K46" s="1842">
        <v>246</v>
      </c>
      <c r="L46" s="1842">
        <v>146</v>
      </c>
      <c r="M46" s="1842">
        <v>266</v>
      </c>
      <c r="N46" s="1842">
        <v>154</v>
      </c>
      <c r="O46" s="266">
        <v>256</v>
      </c>
      <c r="P46" s="1842">
        <v>169</v>
      </c>
      <c r="Q46" s="266">
        <v>294</v>
      </c>
    </row>
    <row r="47" spans="1:17" x14ac:dyDescent="0.3">
      <c r="A47" s="438" t="s">
        <v>110</v>
      </c>
      <c r="B47" s="439" t="s">
        <v>111</v>
      </c>
      <c r="C47" s="494" t="s">
        <v>254</v>
      </c>
      <c r="D47" s="1898">
        <v>1298</v>
      </c>
      <c r="E47" s="1898">
        <v>2259</v>
      </c>
      <c r="F47" s="264">
        <v>1262</v>
      </c>
      <c r="G47" s="264">
        <v>2235</v>
      </c>
      <c r="H47" s="1842">
        <v>1161</v>
      </c>
      <c r="I47" s="1842">
        <v>2081</v>
      </c>
      <c r="J47" s="1842">
        <v>1070</v>
      </c>
      <c r="K47" s="1842">
        <v>1995</v>
      </c>
      <c r="L47" s="1842">
        <v>931</v>
      </c>
      <c r="M47" s="1842">
        <v>1759</v>
      </c>
      <c r="N47" s="1842">
        <v>920</v>
      </c>
      <c r="O47" s="266">
        <v>1678</v>
      </c>
      <c r="P47" s="1842">
        <v>984</v>
      </c>
      <c r="Q47" s="266">
        <v>1808</v>
      </c>
    </row>
    <row r="48" spans="1:17" x14ac:dyDescent="0.3">
      <c r="A48" s="438" t="s">
        <v>112</v>
      </c>
      <c r="B48" s="439" t="s">
        <v>288</v>
      </c>
      <c r="C48" s="494" t="s">
        <v>253</v>
      </c>
      <c r="D48" s="1898">
        <v>334</v>
      </c>
      <c r="E48" s="1898">
        <v>509</v>
      </c>
      <c r="F48" s="264">
        <v>333</v>
      </c>
      <c r="G48" s="264">
        <v>551</v>
      </c>
      <c r="H48" s="1842">
        <v>340</v>
      </c>
      <c r="I48" s="1842">
        <v>541</v>
      </c>
      <c r="J48" s="1842">
        <v>248</v>
      </c>
      <c r="K48" s="1842">
        <v>401</v>
      </c>
      <c r="L48" s="1842">
        <v>183</v>
      </c>
      <c r="M48" s="1842">
        <v>298</v>
      </c>
      <c r="N48" s="1842">
        <v>165</v>
      </c>
      <c r="O48" s="266">
        <v>262</v>
      </c>
      <c r="P48" s="1842">
        <v>167</v>
      </c>
      <c r="Q48" s="266">
        <v>258</v>
      </c>
    </row>
    <row r="49" spans="1:17" x14ac:dyDescent="0.3">
      <c r="A49" s="438" t="s">
        <v>114</v>
      </c>
      <c r="B49" s="439" t="s">
        <v>115</v>
      </c>
      <c r="C49" s="494" t="s">
        <v>253</v>
      </c>
      <c r="D49" s="1898">
        <v>0</v>
      </c>
      <c r="E49" s="1898">
        <v>0</v>
      </c>
      <c r="F49" s="264">
        <v>0</v>
      </c>
      <c r="G49" s="264">
        <v>0</v>
      </c>
      <c r="H49" s="1842">
        <v>0</v>
      </c>
      <c r="I49" s="1842">
        <v>0</v>
      </c>
      <c r="J49" s="1842">
        <v>0</v>
      </c>
      <c r="K49" s="1842">
        <v>0</v>
      </c>
      <c r="L49" s="1842">
        <v>0</v>
      </c>
      <c r="M49" s="1842">
        <v>0</v>
      </c>
      <c r="N49" s="1842">
        <v>0</v>
      </c>
      <c r="O49" s="266">
        <v>0</v>
      </c>
      <c r="P49" s="1842"/>
      <c r="Q49" s="266"/>
    </row>
    <row r="50" spans="1:17" x14ac:dyDescent="0.3">
      <c r="A50" s="438" t="s">
        <v>118</v>
      </c>
      <c r="B50" s="439" t="s">
        <v>258</v>
      </c>
      <c r="C50" s="494" t="s">
        <v>252</v>
      </c>
      <c r="D50" s="1898">
        <v>82</v>
      </c>
      <c r="E50" s="1898">
        <v>125</v>
      </c>
      <c r="F50" s="264">
        <v>67</v>
      </c>
      <c r="G50" s="264">
        <v>98</v>
      </c>
      <c r="H50" s="1842">
        <v>53</v>
      </c>
      <c r="I50" s="1842">
        <v>75</v>
      </c>
      <c r="J50" s="1842">
        <v>35</v>
      </c>
      <c r="K50" s="1842">
        <v>57</v>
      </c>
      <c r="L50" s="1842">
        <v>32</v>
      </c>
      <c r="M50" s="1842">
        <v>47</v>
      </c>
      <c r="N50" s="1842">
        <v>25</v>
      </c>
      <c r="O50" s="266">
        <v>35</v>
      </c>
      <c r="P50" s="1842">
        <v>24</v>
      </c>
      <c r="Q50" s="266">
        <v>34</v>
      </c>
    </row>
    <row r="51" spans="1:17" x14ac:dyDescent="0.3">
      <c r="A51" s="438" t="s">
        <v>120</v>
      </c>
      <c r="B51" s="439" t="s">
        <v>121</v>
      </c>
      <c r="C51" s="494" t="s">
        <v>252</v>
      </c>
      <c r="D51" s="1898">
        <v>227</v>
      </c>
      <c r="E51" s="1898">
        <v>362</v>
      </c>
      <c r="F51" s="264">
        <v>213</v>
      </c>
      <c r="G51" s="264">
        <v>359</v>
      </c>
      <c r="H51" s="1842">
        <v>214</v>
      </c>
      <c r="I51" s="1842">
        <v>338</v>
      </c>
      <c r="J51" s="1842">
        <v>163</v>
      </c>
      <c r="K51" s="1842">
        <v>254</v>
      </c>
      <c r="L51" s="1842">
        <v>120</v>
      </c>
      <c r="M51" s="1842">
        <v>185</v>
      </c>
      <c r="N51" s="1842">
        <v>104</v>
      </c>
      <c r="O51" s="266">
        <v>169</v>
      </c>
      <c r="P51" s="1842">
        <v>107</v>
      </c>
      <c r="Q51" s="266">
        <v>160</v>
      </c>
    </row>
    <row r="52" spans="1:17" x14ac:dyDescent="0.3">
      <c r="A52" s="438" t="s">
        <v>122</v>
      </c>
      <c r="B52" s="439" t="s">
        <v>275</v>
      </c>
      <c r="C52" s="494" t="s">
        <v>254</v>
      </c>
      <c r="D52" s="1898">
        <v>14</v>
      </c>
      <c r="E52" s="1898">
        <v>20</v>
      </c>
      <c r="F52" s="264">
        <v>24</v>
      </c>
      <c r="G52" s="264">
        <v>35</v>
      </c>
      <c r="H52" s="1842">
        <v>32</v>
      </c>
      <c r="I52" s="1842">
        <v>51</v>
      </c>
      <c r="J52" s="1842">
        <v>14</v>
      </c>
      <c r="K52" s="1842">
        <v>25</v>
      </c>
      <c r="L52" s="1842">
        <v>16</v>
      </c>
      <c r="M52" s="1842">
        <v>22</v>
      </c>
      <c r="N52" s="1842">
        <v>19</v>
      </c>
      <c r="O52" s="266">
        <v>34</v>
      </c>
      <c r="P52" s="1842">
        <v>22</v>
      </c>
      <c r="Q52" s="266">
        <v>47</v>
      </c>
    </row>
    <row r="53" spans="1:17" x14ac:dyDescent="0.3">
      <c r="A53" s="438" t="s">
        <v>124</v>
      </c>
      <c r="B53" s="439" t="s">
        <v>125</v>
      </c>
      <c r="C53" s="494" t="s">
        <v>255</v>
      </c>
      <c r="D53" s="1898">
        <v>84</v>
      </c>
      <c r="E53" s="1898">
        <v>154</v>
      </c>
      <c r="F53" s="264">
        <v>94</v>
      </c>
      <c r="G53" s="264">
        <v>176</v>
      </c>
      <c r="H53" s="1842">
        <v>89</v>
      </c>
      <c r="I53" s="1842">
        <v>171</v>
      </c>
      <c r="J53" s="1842">
        <v>72</v>
      </c>
      <c r="K53" s="1842">
        <v>141</v>
      </c>
      <c r="L53" s="1842">
        <v>71</v>
      </c>
      <c r="M53" s="1842">
        <v>147</v>
      </c>
      <c r="N53" s="1842">
        <v>63</v>
      </c>
      <c r="O53" s="266">
        <v>132</v>
      </c>
      <c r="P53" s="1842">
        <v>69</v>
      </c>
      <c r="Q53" s="266">
        <v>127</v>
      </c>
    </row>
    <row r="54" spans="1:17" x14ac:dyDescent="0.3">
      <c r="A54" s="438" t="s">
        <v>126</v>
      </c>
      <c r="B54" s="439" t="s">
        <v>127</v>
      </c>
      <c r="C54" s="494" t="s">
        <v>254</v>
      </c>
      <c r="D54" s="1898">
        <v>67</v>
      </c>
      <c r="E54" s="1898">
        <v>126</v>
      </c>
      <c r="F54" s="264">
        <v>72</v>
      </c>
      <c r="G54" s="264">
        <v>138</v>
      </c>
      <c r="H54" s="1842">
        <v>73</v>
      </c>
      <c r="I54" s="1842">
        <v>132</v>
      </c>
      <c r="J54" s="1842">
        <v>60</v>
      </c>
      <c r="K54" s="1842">
        <v>102</v>
      </c>
      <c r="L54" s="1842">
        <v>47</v>
      </c>
      <c r="M54" s="1842">
        <v>81</v>
      </c>
      <c r="N54" s="1842">
        <v>30</v>
      </c>
      <c r="O54" s="266">
        <v>52</v>
      </c>
      <c r="P54" s="1842">
        <v>36</v>
      </c>
      <c r="Q54" s="266">
        <v>54</v>
      </c>
    </row>
    <row r="55" spans="1:17" x14ac:dyDescent="0.3">
      <c r="A55" s="438" t="s">
        <v>128</v>
      </c>
      <c r="B55" s="439" t="s">
        <v>129</v>
      </c>
      <c r="C55" s="494" t="s">
        <v>254</v>
      </c>
      <c r="D55" s="1898">
        <v>17</v>
      </c>
      <c r="E55" s="1898">
        <v>35</v>
      </c>
      <c r="F55" s="264">
        <v>20</v>
      </c>
      <c r="G55" s="264">
        <v>33</v>
      </c>
      <c r="H55" s="1842">
        <v>23</v>
      </c>
      <c r="I55" s="1842">
        <v>41</v>
      </c>
      <c r="J55" s="1842">
        <v>20</v>
      </c>
      <c r="K55" s="1842">
        <v>42</v>
      </c>
      <c r="L55" s="1842">
        <v>12</v>
      </c>
      <c r="M55" s="1842">
        <v>21</v>
      </c>
      <c r="N55" s="1842">
        <v>12</v>
      </c>
      <c r="O55" s="266">
        <v>21</v>
      </c>
      <c r="P55" s="1842">
        <v>9</v>
      </c>
      <c r="Q55" s="266">
        <v>17</v>
      </c>
    </row>
    <row r="56" spans="1:17" x14ac:dyDescent="0.3">
      <c r="A56" s="438" t="s">
        <v>130</v>
      </c>
      <c r="B56" s="439" t="s">
        <v>131</v>
      </c>
      <c r="C56" s="494" t="s">
        <v>256</v>
      </c>
      <c r="D56" s="1898">
        <v>36</v>
      </c>
      <c r="E56" s="1898">
        <v>57</v>
      </c>
      <c r="F56" s="264">
        <v>31</v>
      </c>
      <c r="G56" s="264">
        <v>46</v>
      </c>
      <c r="H56" s="1842">
        <v>31</v>
      </c>
      <c r="I56" s="1842">
        <v>53</v>
      </c>
      <c r="J56" s="1842">
        <v>16</v>
      </c>
      <c r="K56" s="1842">
        <v>24</v>
      </c>
      <c r="L56" s="1842">
        <v>13</v>
      </c>
      <c r="M56" s="1842">
        <v>22</v>
      </c>
      <c r="N56" s="1842">
        <v>15</v>
      </c>
      <c r="O56" s="266">
        <v>24</v>
      </c>
      <c r="P56" s="1842">
        <v>10</v>
      </c>
      <c r="Q56" s="266">
        <v>15</v>
      </c>
    </row>
    <row r="57" spans="1:17" x14ac:dyDescent="0.3">
      <c r="A57" s="438" t="s">
        <v>132</v>
      </c>
      <c r="B57" s="439" t="s">
        <v>133</v>
      </c>
      <c r="C57" s="494" t="s">
        <v>255</v>
      </c>
      <c r="D57" s="1898">
        <v>433</v>
      </c>
      <c r="E57" s="1898">
        <v>749</v>
      </c>
      <c r="F57" s="264">
        <v>423</v>
      </c>
      <c r="G57" s="264">
        <v>752</v>
      </c>
      <c r="H57" s="1842">
        <v>385</v>
      </c>
      <c r="I57" s="1842">
        <v>691</v>
      </c>
      <c r="J57" s="1842">
        <v>361</v>
      </c>
      <c r="K57" s="1842">
        <v>664</v>
      </c>
      <c r="L57" s="1842">
        <v>342</v>
      </c>
      <c r="M57" s="1842">
        <v>631</v>
      </c>
      <c r="N57" s="1842">
        <v>297</v>
      </c>
      <c r="O57" s="266">
        <v>541</v>
      </c>
      <c r="P57" s="1842">
        <v>282</v>
      </c>
      <c r="Q57" s="266">
        <v>523</v>
      </c>
    </row>
    <row r="58" spans="1:17" x14ac:dyDescent="0.3">
      <c r="A58" s="438" t="s">
        <v>134</v>
      </c>
      <c r="B58" s="439" t="s">
        <v>135</v>
      </c>
      <c r="C58" s="494" t="s">
        <v>255</v>
      </c>
      <c r="D58" s="1898">
        <v>58</v>
      </c>
      <c r="E58" s="1898">
        <v>100</v>
      </c>
      <c r="F58" s="264">
        <v>56</v>
      </c>
      <c r="G58" s="264">
        <v>95</v>
      </c>
      <c r="H58" s="1842">
        <v>59</v>
      </c>
      <c r="I58" s="1842">
        <v>91</v>
      </c>
      <c r="J58" s="1842">
        <v>45</v>
      </c>
      <c r="K58" s="1842">
        <v>78</v>
      </c>
      <c r="L58" s="1842">
        <v>34</v>
      </c>
      <c r="M58" s="1842">
        <v>59</v>
      </c>
      <c r="N58" s="1842">
        <v>23</v>
      </c>
      <c r="O58" s="266">
        <v>37</v>
      </c>
      <c r="P58" s="1842">
        <v>20</v>
      </c>
      <c r="Q58" s="266">
        <v>36</v>
      </c>
    </row>
    <row r="59" spans="1:17" x14ac:dyDescent="0.3">
      <c r="A59" s="438" t="s">
        <v>136</v>
      </c>
      <c r="B59" s="439" t="s">
        <v>137</v>
      </c>
      <c r="C59" s="494" t="s">
        <v>254</v>
      </c>
      <c r="D59" s="1898">
        <v>13</v>
      </c>
      <c r="E59" s="1898">
        <v>19</v>
      </c>
      <c r="F59" s="264">
        <v>10</v>
      </c>
      <c r="G59" s="264">
        <v>15</v>
      </c>
      <c r="H59" s="1842">
        <v>12</v>
      </c>
      <c r="I59" s="1842">
        <v>26</v>
      </c>
      <c r="J59" s="1842">
        <v>9</v>
      </c>
      <c r="K59" s="1842">
        <v>19</v>
      </c>
      <c r="L59" s="1842">
        <v>5</v>
      </c>
      <c r="M59" s="1842">
        <v>9</v>
      </c>
      <c r="N59" s="1842">
        <v>3</v>
      </c>
      <c r="O59" s="266">
        <v>4</v>
      </c>
      <c r="P59" s="1842">
        <v>3</v>
      </c>
      <c r="Q59" s="266">
        <v>5</v>
      </c>
    </row>
    <row r="60" spans="1:17" x14ac:dyDescent="0.3">
      <c r="A60" s="438" t="s">
        <v>140</v>
      </c>
      <c r="B60" s="439" t="s">
        <v>141</v>
      </c>
      <c r="C60" s="494" t="s">
        <v>255</v>
      </c>
      <c r="D60" s="1898">
        <v>13</v>
      </c>
      <c r="E60" s="1898">
        <v>18</v>
      </c>
      <c r="F60" s="264">
        <v>8</v>
      </c>
      <c r="G60" s="264">
        <v>8</v>
      </c>
      <c r="H60" s="1842">
        <v>14</v>
      </c>
      <c r="I60" s="1842">
        <v>25</v>
      </c>
      <c r="J60" s="1842">
        <v>20</v>
      </c>
      <c r="K60" s="1842">
        <v>36</v>
      </c>
      <c r="L60" s="1842">
        <v>10</v>
      </c>
      <c r="M60" s="1842">
        <v>20</v>
      </c>
      <c r="N60" s="1842">
        <v>14</v>
      </c>
      <c r="O60" s="266">
        <v>24</v>
      </c>
      <c r="P60" s="1842">
        <v>13</v>
      </c>
      <c r="Q60" s="266">
        <v>24</v>
      </c>
    </row>
    <row r="61" spans="1:17" x14ac:dyDescent="0.3">
      <c r="A61" s="438" t="s">
        <v>146</v>
      </c>
      <c r="B61" s="439" t="s">
        <v>147</v>
      </c>
      <c r="C61" s="494" t="s">
        <v>252</v>
      </c>
      <c r="D61" s="1898">
        <v>22</v>
      </c>
      <c r="E61" s="1898">
        <v>36</v>
      </c>
      <c r="F61" s="264">
        <v>25</v>
      </c>
      <c r="G61" s="264">
        <v>34</v>
      </c>
      <c r="H61" s="1842">
        <v>23</v>
      </c>
      <c r="I61" s="1842">
        <v>34</v>
      </c>
      <c r="J61" s="1842">
        <v>18</v>
      </c>
      <c r="K61" s="1842">
        <v>27</v>
      </c>
      <c r="L61" s="1842">
        <v>11</v>
      </c>
      <c r="M61" s="1842">
        <v>15</v>
      </c>
      <c r="N61" s="1842">
        <v>10</v>
      </c>
      <c r="O61" s="266">
        <v>14</v>
      </c>
      <c r="P61" s="1842">
        <v>11</v>
      </c>
      <c r="Q61" s="266">
        <v>18</v>
      </c>
    </row>
    <row r="62" spans="1:17" x14ac:dyDescent="0.3">
      <c r="A62" s="438" t="s">
        <v>148</v>
      </c>
      <c r="B62" s="439" t="s">
        <v>149</v>
      </c>
      <c r="C62" s="494" t="s">
        <v>253</v>
      </c>
      <c r="D62" s="1898">
        <v>63</v>
      </c>
      <c r="E62" s="1898">
        <v>104</v>
      </c>
      <c r="F62" s="264">
        <v>65</v>
      </c>
      <c r="G62" s="264">
        <v>106</v>
      </c>
      <c r="H62" s="1842">
        <v>68</v>
      </c>
      <c r="I62" s="1842">
        <v>112</v>
      </c>
      <c r="J62" s="1842">
        <v>53</v>
      </c>
      <c r="K62" s="1842">
        <v>88</v>
      </c>
      <c r="L62" s="1842">
        <v>42</v>
      </c>
      <c r="M62" s="1842">
        <v>69</v>
      </c>
      <c r="N62" s="1842">
        <v>28</v>
      </c>
      <c r="O62" s="266">
        <v>51</v>
      </c>
      <c r="P62" s="1842">
        <v>26</v>
      </c>
      <c r="Q62" s="266">
        <v>44</v>
      </c>
    </row>
    <row r="63" spans="1:17" x14ac:dyDescent="0.3">
      <c r="A63" s="438" t="s">
        <v>150</v>
      </c>
      <c r="B63" s="439" t="s">
        <v>151</v>
      </c>
      <c r="C63" s="494" t="s">
        <v>254</v>
      </c>
      <c r="D63" s="1898">
        <v>40</v>
      </c>
      <c r="E63" s="1898">
        <v>68</v>
      </c>
      <c r="F63" s="264">
        <v>52</v>
      </c>
      <c r="G63" s="264">
        <v>87</v>
      </c>
      <c r="H63" s="1842">
        <v>57</v>
      </c>
      <c r="I63" s="1842">
        <v>95</v>
      </c>
      <c r="J63" s="1842">
        <v>58</v>
      </c>
      <c r="K63" s="1842">
        <v>102</v>
      </c>
      <c r="L63" s="1842">
        <v>47</v>
      </c>
      <c r="M63" s="1842">
        <v>84</v>
      </c>
      <c r="N63" s="1842">
        <v>29</v>
      </c>
      <c r="O63" s="266">
        <v>58</v>
      </c>
      <c r="P63" s="1842">
        <v>27</v>
      </c>
      <c r="Q63" s="266">
        <v>54</v>
      </c>
    </row>
    <row r="64" spans="1:17" x14ac:dyDescent="0.3">
      <c r="A64" s="438" t="s">
        <v>152</v>
      </c>
      <c r="B64" s="439" t="s">
        <v>153</v>
      </c>
      <c r="C64" s="494" t="s">
        <v>256</v>
      </c>
      <c r="D64" s="1898">
        <v>302</v>
      </c>
      <c r="E64" s="1898">
        <v>493</v>
      </c>
      <c r="F64" s="264">
        <v>276</v>
      </c>
      <c r="G64" s="264">
        <v>452</v>
      </c>
      <c r="H64" s="1842">
        <v>238</v>
      </c>
      <c r="I64" s="1842">
        <v>386</v>
      </c>
      <c r="J64" s="1842">
        <v>211</v>
      </c>
      <c r="K64" s="1842">
        <v>342</v>
      </c>
      <c r="L64" s="1842">
        <v>198</v>
      </c>
      <c r="M64" s="1842">
        <v>308</v>
      </c>
      <c r="N64" s="1842">
        <v>166</v>
      </c>
      <c r="O64" s="266">
        <v>285</v>
      </c>
      <c r="P64" s="1842">
        <v>181</v>
      </c>
      <c r="Q64" s="266">
        <v>315</v>
      </c>
    </row>
    <row r="65" spans="1:17" x14ac:dyDescent="0.3">
      <c r="A65" s="438" t="s">
        <v>154</v>
      </c>
      <c r="B65" s="439" t="s">
        <v>155</v>
      </c>
      <c r="C65" s="494" t="s">
        <v>253</v>
      </c>
      <c r="D65" s="1898">
        <v>20</v>
      </c>
      <c r="E65" s="1898">
        <v>39</v>
      </c>
      <c r="F65" s="264">
        <v>21</v>
      </c>
      <c r="G65" s="264">
        <v>35</v>
      </c>
      <c r="H65" s="1842">
        <v>25</v>
      </c>
      <c r="I65" s="1842">
        <v>35</v>
      </c>
      <c r="J65" s="1842">
        <v>21</v>
      </c>
      <c r="K65" s="1842">
        <v>27</v>
      </c>
      <c r="L65" s="1842">
        <v>17</v>
      </c>
      <c r="M65" s="1842">
        <v>26</v>
      </c>
      <c r="N65" s="1842">
        <v>12</v>
      </c>
      <c r="O65" s="266">
        <v>18</v>
      </c>
      <c r="P65" s="1842">
        <v>16</v>
      </c>
      <c r="Q65" s="266">
        <v>21</v>
      </c>
    </row>
    <row r="66" spans="1:17" x14ac:dyDescent="0.3">
      <c r="A66" s="438" t="s">
        <v>156</v>
      </c>
      <c r="B66" s="439" t="s">
        <v>157</v>
      </c>
      <c r="C66" s="494" t="s">
        <v>254</v>
      </c>
      <c r="D66" s="1898">
        <v>49</v>
      </c>
      <c r="E66" s="1898">
        <v>62</v>
      </c>
      <c r="F66" s="264">
        <v>45</v>
      </c>
      <c r="G66" s="264">
        <v>61</v>
      </c>
      <c r="H66" s="1842">
        <v>51</v>
      </c>
      <c r="I66" s="1842">
        <v>74</v>
      </c>
      <c r="J66" s="1842">
        <v>52</v>
      </c>
      <c r="K66" s="1842">
        <v>84</v>
      </c>
      <c r="L66" s="1842">
        <v>37</v>
      </c>
      <c r="M66" s="1842">
        <v>60</v>
      </c>
      <c r="N66" s="1842">
        <v>28</v>
      </c>
      <c r="O66" s="266">
        <v>44</v>
      </c>
      <c r="P66" s="1842">
        <v>29</v>
      </c>
      <c r="Q66" s="266">
        <v>50</v>
      </c>
    </row>
    <row r="67" spans="1:17" x14ac:dyDescent="0.3">
      <c r="A67" s="438" t="s">
        <v>162</v>
      </c>
      <c r="B67" s="439" t="s">
        <v>163</v>
      </c>
      <c r="C67" s="494" t="s">
        <v>252</v>
      </c>
      <c r="D67" s="1898">
        <v>80</v>
      </c>
      <c r="E67" s="1898">
        <v>141</v>
      </c>
      <c r="F67" s="264">
        <v>88</v>
      </c>
      <c r="G67" s="264">
        <v>139</v>
      </c>
      <c r="H67" s="1842">
        <v>89</v>
      </c>
      <c r="I67" s="1842">
        <v>145</v>
      </c>
      <c r="J67" s="1842">
        <v>95</v>
      </c>
      <c r="K67" s="1842">
        <v>152</v>
      </c>
      <c r="L67" s="1842">
        <v>67</v>
      </c>
      <c r="M67" s="1842">
        <v>118</v>
      </c>
      <c r="N67" s="1842">
        <v>31</v>
      </c>
      <c r="O67" s="266">
        <v>70</v>
      </c>
      <c r="P67" s="1842">
        <v>29</v>
      </c>
      <c r="Q67" s="266">
        <v>51</v>
      </c>
    </row>
    <row r="68" spans="1:17" x14ac:dyDescent="0.3">
      <c r="A68" s="438" t="s">
        <v>164</v>
      </c>
      <c r="B68" s="439" t="s">
        <v>165</v>
      </c>
      <c r="C68" s="494" t="s">
        <v>254</v>
      </c>
      <c r="D68" s="1898">
        <v>25</v>
      </c>
      <c r="E68" s="1898">
        <v>38</v>
      </c>
      <c r="F68" s="264">
        <v>26</v>
      </c>
      <c r="G68" s="264">
        <v>47</v>
      </c>
      <c r="H68" s="1842">
        <v>15</v>
      </c>
      <c r="I68" s="1842">
        <v>34</v>
      </c>
      <c r="J68" s="1842">
        <v>9</v>
      </c>
      <c r="K68" s="1842">
        <v>24</v>
      </c>
      <c r="L68" s="1842">
        <v>8</v>
      </c>
      <c r="M68" s="1842">
        <v>21</v>
      </c>
      <c r="N68" s="1842">
        <v>8</v>
      </c>
      <c r="O68" s="266">
        <v>16</v>
      </c>
      <c r="P68" s="1842">
        <v>8</v>
      </c>
      <c r="Q68" s="266">
        <v>17</v>
      </c>
    </row>
    <row r="69" spans="1:17" x14ac:dyDescent="0.3">
      <c r="A69" s="438" t="s">
        <v>168</v>
      </c>
      <c r="B69" s="439" t="s">
        <v>169</v>
      </c>
      <c r="C69" s="494" t="s">
        <v>254</v>
      </c>
      <c r="D69" s="1898">
        <v>59</v>
      </c>
      <c r="E69" s="1898">
        <v>87</v>
      </c>
      <c r="F69" s="264">
        <v>53</v>
      </c>
      <c r="G69" s="264">
        <v>77</v>
      </c>
      <c r="H69" s="1842">
        <v>49</v>
      </c>
      <c r="I69" s="1842">
        <v>74</v>
      </c>
      <c r="J69" s="1842">
        <v>37</v>
      </c>
      <c r="K69" s="1842">
        <v>60</v>
      </c>
      <c r="L69" s="1842">
        <v>27</v>
      </c>
      <c r="M69" s="1842">
        <v>45</v>
      </c>
      <c r="N69" s="1842">
        <v>23</v>
      </c>
      <c r="O69" s="266">
        <v>45</v>
      </c>
      <c r="P69" s="1842">
        <v>16</v>
      </c>
      <c r="Q69" s="266">
        <v>30</v>
      </c>
    </row>
    <row r="70" spans="1:17" x14ac:dyDescent="0.3">
      <c r="A70" s="438" t="s">
        <v>170</v>
      </c>
      <c r="B70" s="439" t="s">
        <v>171</v>
      </c>
      <c r="C70" s="494" t="s">
        <v>255</v>
      </c>
      <c r="D70" s="1898">
        <v>106</v>
      </c>
      <c r="E70" s="1898">
        <v>160</v>
      </c>
      <c r="F70" s="264">
        <v>108</v>
      </c>
      <c r="G70" s="264">
        <v>177</v>
      </c>
      <c r="H70" s="1842">
        <v>98</v>
      </c>
      <c r="I70" s="1842">
        <v>170</v>
      </c>
      <c r="J70" s="1842">
        <v>92</v>
      </c>
      <c r="K70" s="1842">
        <v>155</v>
      </c>
      <c r="L70" s="1842">
        <v>90</v>
      </c>
      <c r="M70" s="1842">
        <v>154</v>
      </c>
      <c r="N70" s="1842">
        <v>77</v>
      </c>
      <c r="O70" s="266">
        <v>136</v>
      </c>
      <c r="P70" s="1842">
        <v>76</v>
      </c>
      <c r="Q70" s="266">
        <v>128</v>
      </c>
    </row>
    <row r="71" spans="1:17" x14ac:dyDescent="0.3">
      <c r="A71" s="438" t="s">
        <v>172</v>
      </c>
      <c r="B71" s="439" t="s">
        <v>173</v>
      </c>
      <c r="C71" s="494" t="s">
        <v>255</v>
      </c>
      <c r="D71" s="1898">
        <v>39</v>
      </c>
      <c r="E71" s="1898">
        <v>68</v>
      </c>
      <c r="F71" s="264">
        <v>42</v>
      </c>
      <c r="G71" s="264">
        <v>70</v>
      </c>
      <c r="H71" s="1842">
        <v>39</v>
      </c>
      <c r="I71" s="1842">
        <v>61</v>
      </c>
      <c r="J71" s="1842">
        <v>21</v>
      </c>
      <c r="K71" s="1842">
        <v>34</v>
      </c>
      <c r="L71" s="1842">
        <v>17</v>
      </c>
      <c r="M71" s="1842">
        <v>31</v>
      </c>
      <c r="N71" s="1842">
        <v>15</v>
      </c>
      <c r="O71" s="266">
        <v>29</v>
      </c>
      <c r="P71" s="1842">
        <v>11</v>
      </c>
      <c r="Q71" s="266">
        <v>19</v>
      </c>
    </row>
    <row r="72" spans="1:17" x14ac:dyDescent="0.3">
      <c r="A72" s="438" t="s">
        <v>174</v>
      </c>
      <c r="B72" s="439" t="s">
        <v>175</v>
      </c>
      <c r="C72" s="494" t="s">
        <v>256</v>
      </c>
      <c r="D72" s="1898">
        <v>49</v>
      </c>
      <c r="E72" s="1898">
        <v>74</v>
      </c>
      <c r="F72" s="264">
        <v>47</v>
      </c>
      <c r="G72" s="264">
        <v>72</v>
      </c>
      <c r="H72" s="1842">
        <v>54</v>
      </c>
      <c r="I72" s="1842">
        <v>71</v>
      </c>
      <c r="J72" s="1842">
        <v>38</v>
      </c>
      <c r="K72" s="1842">
        <v>55</v>
      </c>
      <c r="L72" s="1842">
        <v>15</v>
      </c>
      <c r="M72" s="1842">
        <v>23</v>
      </c>
      <c r="N72" s="1842">
        <v>7</v>
      </c>
      <c r="O72" s="266">
        <v>12</v>
      </c>
      <c r="P72" s="1842">
        <v>4</v>
      </c>
      <c r="Q72" s="266">
        <v>7</v>
      </c>
    </row>
    <row r="73" spans="1:17" x14ac:dyDescent="0.3">
      <c r="A73" s="438" t="s">
        <v>178</v>
      </c>
      <c r="B73" s="439" t="s">
        <v>179</v>
      </c>
      <c r="C73" s="494" t="s">
        <v>253</v>
      </c>
      <c r="D73" s="1898">
        <v>157</v>
      </c>
      <c r="E73" s="1898">
        <v>256</v>
      </c>
      <c r="F73" s="264">
        <v>153</v>
      </c>
      <c r="G73" s="264">
        <v>239</v>
      </c>
      <c r="H73" s="1842">
        <v>122</v>
      </c>
      <c r="I73" s="1842">
        <v>198</v>
      </c>
      <c r="J73" s="1842">
        <v>94</v>
      </c>
      <c r="K73" s="1842">
        <v>164</v>
      </c>
      <c r="L73" s="1842">
        <v>77</v>
      </c>
      <c r="M73" s="1842">
        <v>146</v>
      </c>
      <c r="N73" s="1842">
        <v>66</v>
      </c>
      <c r="O73" s="266">
        <v>131</v>
      </c>
      <c r="P73" s="1842">
        <v>67</v>
      </c>
      <c r="Q73" s="266">
        <v>120</v>
      </c>
    </row>
    <row r="74" spans="1:17" x14ac:dyDescent="0.3">
      <c r="A74" s="438" t="s">
        <v>182</v>
      </c>
      <c r="B74" s="439" t="s">
        <v>183</v>
      </c>
      <c r="C74" s="494" t="s">
        <v>254</v>
      </c>
      <c r="D74" s="1898">
        <v>42</v>
      </c>
      <c r="E74" s="1898">
        <v>67</v>
      </c>
      <c r="F74" s="264">
        <v>51</v>
      </c>
      <c r="G74" s="264">
        <v>80</v>
      </c>
      <c r="H74" s="1842">
        <v>41</v>
      </c>
      <c r="I74" s="1842">
        <v>71</v>
      </c>
      <c r="J74" s="1842">
        <v>39</v>
      </c>
      <c r="K74" s="1842">
        <v>67</v>
      </c>
      <c r="L74" s="1842">
        <v>38</v>
      </c>
      <c r="M74" s="1842">
        <v>59</v>
      </c>
      <c r="N74" s="1842">
        <v>35</v>
      </c>
      <c r="O74" s="266">
        <v>58</v>
      </c>
      <c r="P74" s="1842">
        <v>27</v>
      </c>
      <c r="Q74" s="266">
        <v>45</v>
      </c>
    </row>
    <row r="75" spans="1:17" x14ac:dyDescent="0.3">
      <c r="A75" s="438" t="s">
        <v>184</v>
      </c>
      <c r="B75" s="439" t="s">
        <v>185</v>
      </c>
      <c r="C75" s="494" t="s">
        <v>254</v>
      </c>
      <c r="D75" s="1898">
        <v>59</v>
      </c>
      <c r="E75" s="1898">
        <v>103</v>
      </c>
      <c r="F75" s="264">
        <v>65</v>
      </c>
      <c r="G75" s="264">
        <v>111</v>
      </c>
      <c r="H75" s="1842">
        <v>68</v>
      </c>
      <c r="I75" s="1842">
        <v>114</v>
      </c>
      <c r="J75" s="1842">
        <v>52</v>
      </c>
      <c r="K75" s="1842">
        <v>87</v>
      </c>
      <c r="L75" s="1842">
        <v>36</v>
      </c>
      <c r="M75" s="1842">
        <v>54</v>
      </c>
      <c r="N75" s="1842">
        <v>19</v>
      </c>
      <c r="O75" s="266">
        <v>30</v>
      </c>
      <c r="P75" s="1842">
        <v>18</v>
      </c>
      <c r="Q75" s="266">
        <v>26</v>
      </c>
    </row>
    <row r="76" spans="1:17" x14ac:dyDescent="0.3">
      <c r="A76" s="438" t="s">
        <v>186</v>
      </c>
      <c r="B76" s="439" t="s">
        <v>187</v>
      </c>
      <c r="C76" s="494" t="s">
        <v>252</v>
      </c>
      <c r="D76" s="1898">
        <v>44</v>
      </c>
      <c r="E76" s="1898">
        <v>68</v>
      </c>
      <c r="F76" s="264">
        <v>40</v>
      </c>
      <c r="G76" s="264">
        <v>59</v>
      </c>
      <c r="H76" s="1842">
        <v>40</v>
      </c>
      <c r="I76" s="1842">
        <v>63</v>
      </c>
      <c r="J76" s="1842">
        <v>40</v>
      </c>
      <c r="K76" s="1842">
        <v>69</v>
      </c>
      <c r="L76" s="1842">
        <v>30</v>
      </c>
      <c r="M76" s="1842">
        <v>49</v>
      </c>
      <c r="N76" s="1842">
        <v>26</v>
      </c>
      <c r="O76" s="266">
        <v>39</v>
      </c>
      <c r="P76" s="1842">
        <v>28</v>
      </c>
      <c r="Q76" s="266">
        <v>44</v>
      </c>
    </row>
    <row r="77" spans="1:17" x14ac:dyDescent="0.3">
      <c r="A77" s="438" t="s">
        <v>188</v>
      </c>
      <c r="B77" s="439" t="s">
        <v>189</v>
      </c>
      <c r="C77" s="494" t="s">
        <v>255</v>
      </c>
      <c r="D77" s="1898">
        <v>948</v>
      </c>
      <c r="E77" s="1898">
        <v>1696</v>
      </c>
      <c r="F77" s="264">
        <v>1005</v>
      </c>
      <c r="G77" s="264">
        <v>1787</v>
      </c>
      <c r="H77" s="1842">
        <v>908</v>
      </c>
      <c r="I77" s="1842">
        <v>1639</v>
      </c>
      <c r="J77" s="1842">
        <v>813</v>
      </c>
      <c r="K77" s="1842">
        <v>1486</v>
      </c>
      <c r="L77" s="1842">
        <v>699</v>
      </c>
      <c r="M77" s="1842">
        <v>1290</v>
      </c>
      <c r="N77" s="1842">
        <v>633</v>
      </c>
      <c r="O77" s="266">
        <v>1145</v>
      </c>
      <c r="P77" s="1842">
        <v>610</v>
      </c>
      <c r="Q77" s="266">
        <v>1129</v>
      </c>
    </row>
    <row r="78" spans="1:17" x14ac:dyDescent="0.3">
      <c r="A78" s="438" t="s">
        <v>190</v>
      </c>
      <c r="B78" s="439" t="s">
        <v>191</v>
      </c>
      <c r="C78" s="494" t="s">
        <v>256</v>
      </c>
      <c r="D78" s="1898">
        <v>124</v>
      </c>
      <c r="E78" s="1898">
        <v>190</v>
      </c>
      <c r="F78" s="264">
        <v>114</v>
      </c>
      <c r="G78" s="264">
        <v>171</v>
      </c>
      <c r="H78" s="1842">
        <v>90</v>
      </c>
      <c r="I78" s="1842">
        <v>147</v>
      </c>
      <c r="J78" s="1842">
        <v>86</v>
      </c>
      <c r="K78" s="1842">
        <v>148</v>
      </c>
      <c r="L78" s="1842">
        <v>69</v>
      </c>
      <c r="M78" s="1842">
        <v>111</v>
      </c>
      <c r="N78" s="1842">
        <v>43</v>
      </c>
      <c r="O78" s="266">
        <v>71</v>
      </c>
      <c r="P78" s="1842">
        <v>36</v>
      </c>
      <c r="Q78" s="266">
        <v>52</v>
      </c>
    </row>
    <row r="79" spans="1:17" x14ac:dyDescent="0.3">
      <c r="A79" s="438" t="s">
        <v>194</v>
      </c>
      <c r="B79" s="439" t="s">
        <v>195</v>
      </c>
      <c r="C79" s="494" t="s">
        <v>255</v>
      </c>
      <c r="D79" s="1898">
        <v>20</v>
      </c>
      <c r="E79" s="1898">
        <v>42</v>
      </c>
      <c r="F79" s="264">
        <v>23</v>
      </c>
      <c r="G79" s="264">
        <v>43</v>
      </c>
      <c r="H79" s="1842">
        <v>17</v>
      </c>
      <c r="I79" s="1842">
        <v>29</v>
      </c>
      <c r="J79" s="1842">
        <v>16</v>
      </c>
      <c r="K79" s="1842">
        <v>27</v>
      </c>
      <c r="L79" s="1842">
        <v>9</v>
      </c>
      <c r="M79" s="1842">
        <v>19</v>
      </c>
      <c r="N79" s="1842">
        <v>11</v>
      </c>
      <c r="O79" s="266">
        <v>20</v>
      </c>
      <c r="P79" s="1842">
        <v>14</v>
      </c>
      <c r="Q79" s="266">
        <v>23</v>
      </c>
    </row>
    <row r="80" spans="1:17" x14ac:dyDescent="0.3">
      <c r="A80" s="438" t="s">
        <v>198</v>
      </c>
      <c r="B80" s="439" t="s">
        <v>260</v>
      </c>
      <c r="C80" s="494" t="s">
        <v>254</v>
      </c>
      <c r="D80" s="1898">
        <v>20</v>
      </c>
      <c r="E80" s="1898">
        <v>40</v>
      </c>
      <c r="F80" s="264">
        <v>23</v>
      </c>
      <c r="G80" s="264">
        <v>43</v>
      </c>
      <c r="H80" s="1842">
        <v>19</v>
      </c>
      <c r="I80" s="1842">
        <v>33</v>
      </c>
      <c r="J80" s="1842">
        <v>14</v>
      </c>
      <c r="K80" s="1842">
        <v>27</v>
      </c>
      <c r="L80" s="1842">
        <v>7</v>
      </c>
      <c r="M80" s="1842">
        <v>12</v>
      </c>
      <c r="N80" s="1842">
        <v>10</v>
      </c>
      <c r="O80" s="266">
        <v>18</v>
      </c>
      <c r="P80" s="1842">
        <v>10</v>
      </c>
      <c r="Q80" s="266">
        <v>19</v>
      </c>
    </row>
    <row r="81" spans="1:17" x14ac:dyDescent="0.3">
      <c r="A81" s="438" t="s">
        <v>202</v>
      </c>
      <c r="B81" s="439" t="s">
        <v>289</v>
      </c>
      <c r="C81" s="494" t="s">
        <v>253</v>
      </c>
      <c r="D81" s="1898">
        <v>420</v>
      </c>
      <c r="E81" s="1898">
        <v>704</v>
      </c>
      <c r="F81" s="264">
        <v>376</v>
      </c>
      <c r="G81" s="264">
        <v>615</v>
      </c>
      <c r="H81" s="1842">
        <v>404</v>
      </c>
      <c r="I81" s="1842">
        <v>684</v>
      </c>
      <c r="J81" s="1842">
        <v>373</v>
      </c>
      <c r="K81" s="1842">
        <v>655</v>
      </c>
      <c r="L81" s="1842">
        <v>365</v>
      </c>
      <c r="M81" s="1842">
        <v>648</v>
      </c>
      <c r="N81" s="1842">
        <v>295</v>
      </c>
      <c r="O81" s="266">
        <v>540</v>
      </c>
      <c r="P81" s="1842">
        <v>287</v>
      </c>
      <c r="Q81" s="266">
        <v>492</v>
      </c>
    </row>
    <row r="82" spans="1:17" x14ac:dyDescent="0.3">
      <c r="A82" s="438" t="s">
        <v>204</v>
      </c>
      <c r="B82" s="439" t="s">
        <v>281</v>
      </c>
      <c r="C82" s="494" t="s">
        <v>253</v>
      </c>
      <c r="D82" s="1898">
        <v>35</v>
      </c>
      <c r="E82" s="1898">
        <v>59</v>
      </c>
      <c r="F82" s="264">
        <v>49</v>
      </c>
      <c r="G82" s="264">
        <v>74</v>
      </c>
      <c r="H82" s="1842">
        <v>46</v>
      </c>
      <c r="I82" s="1842">
        <v>75</v>
      </c>
      <c r="J82" s="1842">
        <v>35</v>
      </c>
      <c r="K82" s="1842">
        <v>56</v>
      </c>
      <c r="L82" s="1842">
        <v>21</v>
      </c>
      <c r="M82" s="1842">
        <v>28</v>
      </c>
      <c r="N82" s="1842">
        <v>16</v>
      </c>
      <c r="O82" s="266">
        <v>19</v>
      </c>
      <c r="P82" s="1842">
        <v>30</v>
      </c>
      <c r="Q82" s="266">
        <v>36</v>
      </c>
    </row>
    <row r="83" spans="1:17" x14ac:dyDescent="0.3">
      <c r="A83" s="438" t="s">
        <v>206</v>
      </c>
      <c r="B83" s="439" t="s">
        <v>282</v>
      </c>
      <c r="C83" s="494" t="s">
        <v>255</v>
      </c>
      <c r="D83" s="1898">
        <v>299</v>
      </c>
      <c r="E83" s="1898">
        <v>518</v>
      </c>
      <c r="F83" s="264">
        <v>287</v>
      </c>
      <c r="G83" s="264">
        <v>502</v>
      </c>
      <c r="H83" s="1842">
        <v>297</v>
      </c>
      <c r="I83" s="1842">
        <v>535</v>
      </c>
      <c r="J83" s="1842">
        <v>222</v>
      </c>
      <c r="K83" s="1842">
        <v>407</v>
      </c>
      <c r="L83" s="1842">
        <v>211</v>
      </c>
      <c r="M83" s="1842">
        <v>377</v>
      </c>
      <c r="N83" s="1842">
        <v>199</v>
      </c>
      <c r="O83" s="266">
        <v>358</v>
      </c>
      <c r="P83" s="1842">
        <v>209</v>
      </c>
      <c r="Q83" s="266">
        <v>360</v>
      </c>
    </row>
    <row r="84" spans="1:17" x14ac:dyDescent="0.3">
      <c r="A84" s="438" t="s">
        <v>208</v>
      </c>
      <c r="B84" s="439" t="s">
        <v>209</v>
      </c>
      <c r="C84" s="494" t="s">
        <v>256</v>
      </c>
      <c r="D84" s="1898">
        <v>38</v>
      </c>
      <c r="E84" s="1898">
        <v>58</v>
      </c>
      <c r="F84" s="264">
        <v>31</v>
      </c>
      <c r="G84" s="264">
        <v>49</v>
      </c>
      <c r="H84" s="1842">
        <v>34</v>
      </c>
      <c r="I84" s="1842">
        <v>63</v>
      </c>
      <c r="J84" s="1842">
        <v>26</v>
      </c>
      <c r="K84" s="1842">
        <v>47</v>
      </c>
      <c r="L84" s="1842">
        <v>22</v>
      </c>
      <c r="M84" s="1842">
        <v>31</v>
      </c>
      <c r="N84" s="1842">
        <v>18</v>
      </c>
      <c r="O84" s="266">
        <v>29</v>
      </c>
      <c r="P84" s="1842">
        <v>14</v>
      </c>
      <c r="Q84" s="266">
        <v>21</v>
      </c>
    </row>
    <row r="85" spans="1:17" x14ac:dyDescent="0.3">
      <c r="A85" s="438" t="s">
        <v>210</v>
      </c>
      <c r="B85" s="439" t="s">
        <v>211</v>
      </c>
      <c r="C85" s="494" t="s">
        <v>256</v>
      </c>
      <c r="D85" s="1898">
        <v>17</v>
      </c>
      <c r="E85" s="1898">
        <v>33</v>
      </c>
      <c r="F85" s="264">
        <v>14</v>
      </c>
      <c r="G85" s="264">
        <v>22</v>
      </c>
      <c r="H85" s="1842">
        <v>12</v>
      </c>
      <c r="I85" s="1842">
        <v>21</v>
      </c>
      <c r="J85" s="1842">
        <v>8</v>
      </c>
      <c r="K85" s="1842">
        <v>12</v>
      </c>
      <c r="L85" s="1842">
        <v>3</v>
      </c>
      <c r="M85" s="1842">
        <v>4</v>
      </c>
      <c r="N85" s="1842">
        <v>0</v>
      </c>
      <c r="O85" s="266">
        <v>0</v>
      </c>
      <c r="P85" s="1842">
        <v>1</v>
      </c>
      <c r="Q85" s="266">
        <v>1</v>
      </c>
    </row>
    <row r="86" spans="1:17" x14ac:dyDescent="0.3">
      <c r="A86" s="438" t="s">
        <v>212</v>
      </c>
      <c r="B86" s="439" t="s">
        <v>213</v>
      </c>
      <c r="C86" s="494" t="s">
        <v>255</v>
      </c>
      <c r="D86" s="1898">
        <v>101</v>
      </c>
      <c r="E86" s="1898">
        <v>170</v>
      </c>
      <c r="F86" s="264">
        <v>104</v>
      </c>
      <c r="G86" s="264">
        <v>177</v>
      </c>
      <c r="H86" s="1842">
        <v>87</v>
      </c>
      <c r="I86" s="1842">
        <v>143</v>
      </c>
      <c r="J86" s="1842">
        <v>85</v>
      </c>
      <c r="K86" s="1842">
        <v>138</v>
      </c>
      <c r="L86" s="1842">
        <v>73</v>
      </c>
      <c r="M86" s="1842">
        <v>123</v>
      </c>
      <c r="N86" s="1842">
        <v>40</v>
      </c>
      <c r="O86" s="266">
        <v>74</v>
      </c>
      <c r="P86" s="1842">
        <v>53</v>
      </c>
      <c r="Q86" s="266">
        <v>97</v>
      </c>
    </row>
    <row r="87" spans="1:17" x14ac:dyDescent="0.3">
      <c r="A87" s="438" t="s">
        <v>214</v>
      </c>
      <c r="B87" s="439" t="s">
        <v>215</v>
      </c>
      <c r="C87" s="494" t="s">
        <v>256</v>
      </c>
      <c r="D87" s="1898">
        <v>86</v>
      </c>
      <c r="E87" s="1898">
        <v>155</v>
      </c>
      <c r="F87" s="264">
        <v>84</v>
      </c>
      <c r="G87" s="264">
        <v>140</v>
      </c>
      <c r="H87" s="1842">
        <v>89</v>
      </c>
      <c r="I87" s="1842">
        <v>136</v>
      </c>
      <c r="J87" s="1842">
        <v>68</v>
      </c>
      <c r="K87" s="1842">
        <v>103</v>
      </c>
      <c r="L87" s="1842">
        <v>55</v>
      </c>
      <c r="M87" s="1842">
        <v>90</v>
      </c>
      <c r="N87" s="1842">
        <v>52</v>
      </c>
      <c r="O87" s="266">
        <v>101</v>
      </c>
      <c r="P87" s="1842">
        <v>44</v>
      </c>
      <c r="Q87" s="266">
        <v>91</v>
      </c>
    </row>
    <row r="88" spans="1:17" x14ac:dyDescent="0.3">
      <c r="A88" s="438" t="s">
        <v>216</v>
      </c>
      <c r="B88" s="439" t="s">
        <v>217</v>
      </c>
      <c r="C88" s="494" t="s">
        <v>252</v>
      </c>
      <c r="D88" s="1898">
        <v>47</v>
      </c>
      <c r="E88" s="1898">
        <v>82</v>
      </c>
      <c r="F88" s="264">
        <v>32</v>
      </c>
      <c r="G88" s="264">
        <v>50</v>
      </c>
      <c r="H88" s="1842">
        <v>25</v>
      </c>
      <c r="I88" s="1842">
        <v>35</v>
      </c>
      <c r="J88" s="1842">
        <v>17</v>
      </c>
      <c r="K88" s="1842">
        <v>26</v>
      </c>
      <c r="L88" s="1842">
        <v>17</v>
      </c>
      <c r="M88" s="1842">
        <v>26</v>
      </c>
      <c r="N88" s="1842">
        <v>14</v>
      </c>
      <c r="O88" s="266">
        <v>25</v>
      </c>
      <c r="P88" s="1842">
        <v>13</v>
      </c>
      <c r="Q88" s="266">
        <v>20</v>
      </c>
    </row>
    <row r="89" spans="1:17" x14ac:dyDescent="0.3">
      <c r="A89" s="438" t="s">
        <v>218</v>
      </c>
      <c r="B89" s="439" t="s">
        <v>219</v>
      </c>
      <c r="C89" s="494" t="s">
        <v>255</v>
      </c>
      <c r="D89" s="1898">
        <v>275</v>
      </c>
      <c r="E89" s="1898">
        <v>467</v>
      </c>
      <c r="F89" s="264">
        <v>268</v>
      </c>
      <c r="G89" s="264">
        <v>475</v>
      </c>
      <c r="H89" s="1842">
        <v>258</v>
      </c>
      <c r="I89" s="1842">
        <v>463</v>
      </c>
      <c r="J89" s="1842">
        <v>204</v>
      </c>
      <c r="K89" s="1842">
        <v>374</v>
      </c>
      <c r="L89" s="1842">
        <v>202</v>
      </c>
      <c r="M89" s="1842">
        <v>363</v>
      </c>
      <c r="N89" s="1842">
        <v>197</v>
      </c>
      <c r="O89" s="266">
        <v>390</v>
      </c>
      <c r="P89" s="1842">
        <v>215</v>
      </c>
      <c r="Q89" s="266">
        <v>393</v>
      </c>
    </row>
    <row r="90" spans="1:17" x14ac:dyDescent="0.3">
      <c r="A90" s="438" t="s">
        <v>220</v>
      </c>
      <c r="B90" s="439" t="s">
        <v>221</v>
      </c>
      <c r="C90" s="494" t="s">
        <v>255</v>
      </c>
      <c r="D90" s="1898">
        <v>284</v>
      </c>
      <c r="E90" s="1898">
        <v>536</v>
      </c>
      <c r="F90" s="264">
        <v>277</v>
      </c>
      <c r="G90" s="264">
        <v>499</v>
      </c>
      <c r="H90" s="1842">
        <v>260</v>
      </c>
      <c r="I90" s="1842">
        <v>460</v>
      </c>
      <c r="J90" s="1842">
        <v>247</v>
      </c>
      <c r="K90" s="1842">
        <v>437</v>
      </c>
      <c r="L90" s="1842">
        <v>254</v>
      </c>
      <c r="M90" s="1842">
        <v>433</v>
      </c>
      <c r="N90" s="1842">
        <v>261</v>
      </c>
      <c r="O90" s="266">
        <v>450</v>
      </c>
      <c r="P90" s="1842">
        <v>251</v>
      </c>
      <c r="Q90" s="266">
        <v>433</v>
      </c>
    </row>
    <row r="91" spans="1:17" x14ac:dyDescent="0.3">
      <c r="A91" s="438" t="s">
        <v>224</v>
      </c>
      <c r="B91" s="439" t="s">
        <v>225</v>
      </c>
      <c r="C91" s="494" t="s">
        <v>252</v>
      </c>
      <c r="D91" s="1898">
        <v>40</v>
      </c>
      <c r="E91" s="1898">
        <v>63</v>
      </c>
      <c r="F91" s="264">
        <v>41</v>
      </c>
      <c r="G91" s="264">
        <v>61</v>
      </c>
      <c r="H91" s="1842">
        <v>35</v>
      </c>
      <c r="I91" s="1842">
        <v>61</v>
      </c>
      <c r="J91" s="1842">
        <v>28</v>
      </c>
      <c r="K91" s="1842">
        <v>41</v>
      </c>
      <c r="L91" s="1842">
        <v>21</v>
      </c>
      <c r="M91" s="1842">
        <v>36</v>
      </c>
      <c r="N91" s="1842">
        <v>15</v>
      </c>
      <c r="O91" s="266">
        <v>27</v>
      </c>
      <c r="P91" s="1842">
        <v>11</v>
      </c>
      <c r="Q91" s="266">
        <v>21</v>
      </c>
    </row>
    <row r="92" spans="1:17" x14ac:dyDescent="0.3">
      <c r="A92" s="438" t="s">
        <v>226</v>
      </c>
      <c r="B92" s="439" t="s">
        <v>227</v>
      </c>
      <c r="C92" s="494" t="s">
        <v>252</v>
      </c>
      <c r="D92" s="1898">
        <v>50</v>
      </c>
      <c r="E92" s="1898">
        <v>74</v>
      </c>
      <c r="F92" s="264">
        <v>52</v>
      </c>
      <c r="G92" s="264">
        <v>85</v>
      </c>
      <c r="H92" s="1842">
        <v>59</v>
      </c>
      <c r="I92" s="1842">
        <v>98</v>
      </c>
      <c r="J92" s="1842">
        <v>43</v>
      </c>
      <c r="K92" s="1842">
        <v>63</v>
      </c>
      <c r="L92" s="1842">
        <v>32</v>
      </c>
      <c r="M92" s="1842">
        <v>53</v>
      </c>
      <c r="N92" s="1842">
        <v>19</v>
      </c>
      <c r="O92" s="266">
        <v>28</v>
      </c>
      <c r="P92" s="1842">
        <v>10</v>
      </c>
      <c r="Q92" s="266">
        <v>18</v>
      </c>
    </row>
    <row r="93" spans="1:17" x14ac:dyDescent="0.3">
      <c r="A93" s="438" t="s">
        <v>228</v>
      </c>
      <c r="B93" s="439" t="s">
        <v>229</v>
      </c>
      <c r="C93" s="494" t="s">
        <v>256</v>
      </c>
      <c r="D93" s="1898">
        <v>128</v>
      </c>
      <c r="E93" s="1898">
        <v>216</v>
      </c>
      <c r="F93" s="264">
        <v>121</v>
      </c>
      <c r="G93" s="264">
        <v>192</v>
      </c>
      <c r="H93" s="1842">
        <v>97</v>
      </c>
      <c r="I93" s="1842">
        <v>157</v>
      </c>
      <c r="J93" s="1842">
        <v>74</v>
      </c>
      <c r="K93" s="1842">
        <v>126</v>
      </c>
      <c r="L93" s="1842">
        <v>68</v>
      </c>
      <c r="M93" s="1842">
        <v>128</v>
      </c>
      <c r="N93" s="1842">
        <v>57</v>
      </c>
      <c r="O93" s="266">
        <v>101</v>
      </c>
      <c r="P93" s="1842">
        <v>53</v>
      </c>
      <c r="Q93" s="266">
        <v>93</v>
      </c>
    </row>
    <row r="94" spans="1:17" x14ac:dyDescent="0.3">
      <c r="A94" s="438" t="s">
        <v>232</v>
      </c>
      <c r="B94" s="439" t="s">
        <v>233</v>
      </c>
      <c r="C94" s="494" t="s">
        <v>255</v>
      </c>
      <c r="D94" s="1898">
        <v>112</v>
      </c>
      <c r="E94" s="1898">
        <v>178</v>
      </c>
      <c r="F94" s="264">
        <v>150</v>
      </c>
      <c r="G94" s="264">
        <v>240</v>
      </c>
      <c r="H94" s="1842">
        <v>159</v>
      </c>
      <c r="I94" s="1842">
        <v>265</v>
      </c>
      <c r="J94" s="1842">
        <v>155</v>
      </c>
      <c r="K94" s="1842">
        <v>245</v>
      </c>
      <c r="L94" s="1842">
        <v>145</v>
      </c>
      <c r="M94" s="1842">
        <v>231</v>
      </c>
      <c r="N94" s="1842">
        <v>126</v>
      </c>
      <c r="O94" s="266">
        <v>206</v>
      </c>
      <c r="P94" s="1842">
        <v>113</v>
      </c>
      <c r="Q94" s="266">
        <v>187</v>
      </c>
    </row>
    <row r="95" spans="1:17" x14ac:dyDescent="0.3">
      <c r="A95" s="438" t="s">
        <v>234</v>
      </c>
      <c r="B95" s="439" t="s">
        <v>235</v>
      </c>
      <c r="C95" s="494" t="s">
        <v>256</v>
      </c>
      <c r="D95" s="1898">
        <v>97</v>
      </c>
      <c r="E95" s="1898">
        <v>150</v>
      </c>
      <c r="F95" s="264">
        <v>71</v>
      </c>
      <c r="G95" s="264">
        <v>115</v>
      </c>
      <c r="H95" s="1842">
        <v>77</v>
      </c>
      <c r="I95" s="1842">
        <v>120</v>
      </c>
      <c r="J95" s="1842">
        <v>63</v>
      </c>
      <c r="K95" s="1842">
        <v>101</v>
      </c>
      <c r="L95" s="1842">
        <v>65</v>
      </c>
      <c r="M95" s="1842">
        <v>101</v>
      </c>
      <c r="N95" s="1842">
        <v>63</v>
      </c>
      <c r="O95" s="266">
        <v>90</v>
      </c>
      <c r="P95" s="1842">
        <v>40</v>
      </c>
      <c r="Q95" s="266">
        <v>65</v>
      </c>
    </row>
    <row r="96" spans="1:17" x14ac:dyDescent="0.3">
      <c r="A96" s="438" t="s">
        <v>236</v>
      </c>
      <c r="B96" s="439" t="s">
        <v>237</v>
      </c>
      <c r="C96" s="494" t="s">
        <v>254</v>
      </c>
      <c r="D96" s="1898">
        <v>66</v>
      </c>
      <c r="E96" s="1898">
        <v>115</v>
      </c>
      <c r="F96" s="264">
        <v>49</v>
      </c>
      <c r="G96" s="264">
        <v>87</v>
      </c>
      <c r="H96" s="1842">
        <v>59</v>
      </c>
      <c r="I96" s="1842">
        <v>100</v>
      </c>
      <c r="J96" s="1842">
        <v>51</v>
      </c>
      <c r="K96" s="1842">
        <v>89</v>
      </c>
      <c r="L96" s="1842">
        <v>43</v>
      </c>
      <c r="M96" s="1842">
        <v>69</v>
      </c>
      <c r="N96" s="1842">
        <v>37</v>
      </c>
      <c r="O96" s="266">
        <v>59</v>
      </c>
      <c r="P96" s="1842">
        <v>37</v>
      </c>
      <c r="Q96" s="266">
        <v>63</v>
      </c>
    </row>
    <row r="97" spans="1:17" x14ac:dyDescent="0.3">
      <c r="A97" s="438" t="s">
        <v>242</v>
      </c>
      <c r="B97" s="439" t="s">
        <v>243</v>
      </c>
      <c r="C97" s="494" t="s">
        <v>256</v>
      </c>
      <c r="D97" s="1898">
        <v>61</v>
      </c>
      <c r="E97" s="1898">
        <v>81</v>
      </c>
      <c r="F97" s="264">
        <v>68</v>
      </c>
      <c r="G97" s="264">
        <v>99</v>
      </c>
      <c r="H97" s="1842">
        <v>66</v>
      </c>
      <c r="I97" s="1842">
        <v>90</v>
      </c>
      <c r="J97" s="1842">
        <v>59</v>
      </c>
      <c r="K97" s="1842">
        <v>96</v>
      </c>
      <c r="L97" s="1842">
        <v>51</v>
      </c>
      <c r="M97" s="1842">
        <v>83</v>
      </c>
      <c r="N97" s="1842">
        <v>34</v>
      </c>
      <c r="O97" s="266">
        <v>63</v>
      </c>
      <c r="P97" s="1842">
        <v>33</v>
      </c>
      <c r="Q97" s="266">
        <v>59</v>
      </c>
    </row>
    <row r="98" spans="1:17" x14ac:dyDescent="0.3">
      <c r="A98" s="440" t="s">
        <v>244</v>
      </c>
      <c r="B98" s="439" t="s">
        <v>245</v>
      </c>
      <c r="C98" s="494" t="s">
        <v>256</v>
      </c>
      <c r="D98" s="1898">
        <v>122</v>
      </c>
      <c r="E98" s="1898">
        <v>204</v>
      </c>
      <c r="F98" s="264">
        <v>122</v>
      </c>
      <c r="G98" s="264">
        <v>196</v>
      </c>
      <c r="H98" s="1842">
        <v>113</v>
      </c>
      <c r="I98" s="1842">
        <v>193</v>
      </c>
      <c r="J98" s="1842">
        <v>96</v>
      </c>
      <c r="K98" s="1842">
        <v>162</v>
      </c>
      <c r="L98" s="1842">
        <v>74</v>
      </c>
      <c r="M98" s="1842">
        <v>123</v>
      </c>
      <c r="N98" s="1842">
        <v>65</v>
      </c>
      <c r="O98" s="266">
        <v>111</v>
      </c>
      <c r="P98" s="1842">
        <v>63</v>
      </c>
      <c r="Q98" s="266">
        <v>108</v>
      </c>
    </row>
    <row r="99" spans="1:17" x14ac:dyDescent="0.3">
      <c r="A99" s="438" t="s">
        <v>246</v>
      </c>
      <c r="B99" s="439" t="s">
        <v>247</v>
      </c>
      <c r="C99" s="494" t="s">
        <v>252</v>
      </c>
      <c r="D99" s="1898">
        <v>167</v>
      </c>
      <c r="E99" s="1898">
        <v>248</v>
      </c>
      <c r="F99" s="264">
        <v>159</v>
      </c>
      <c r="G99" s="264">
        <v>220</v>
      </c>
      <c r="H99" s="1842">
        <v>161</v>
      </c>
      <c r="I99" s="1842">
        <v>243</v>
      </c>
      <c r="J99" s="1842">
        <v>153</v>
      </c>
      <c r="K99" s="1842">
        <v>236</v>
      </c>
      <c r="L99" s="1842">
        <v>154</v>
      </c>
      <c r="M99" s="1842">
        <v>226</v>
      </c>
      <c r="N99" s="1842">
        <v>117</v>
      </c>
      <c r="O99" s="266">
        <v>179</v>
      </c>
      <c r="P99" s="1842">
        <v>87</v>
      </c>
      <c r="Q99" s="266">
        <v>129</v>
      </c>
    </row>
    <row r="100" spans="1:17" x14ac:dyDescent="0.3">
      <c r="A100" s="438" t="s">
        <v>14</v>
      </c>
      <c r="B100" s="439" t="s">
        <v>15</v>
      </c>
      <c r="C100" s="494" t="s">
        <v>255</v>
      </c>
      <c r="D100" s="1898">
        <v>579</v>
      </c>
      <c r="E100" s="1898">
        <v>856</v>
      </c>
      <c r="F100" s="264">
        <v>593</v>
      </c>
      <c r="G100" s="264">
        <v>870</v>
      </c>
      <c r="H100" s="1842">
        <v>525</v>
      </c>
      <c r="I100" s="1842">
        <v>778</v>
      </c>
      <c r="J100" s="1842">
        <v>444</v>
      </c>
      <c r="K100" s="1842">
        <v>698</v>
      </c>
      <c r="L100" s="1842">
        <v>472</v>
      </c>
      <c r="M100" s="1842">
        <v>742</v>
      </c>
      <c r="N100" s="1842">
        <v>479</v>
      </c>
      <c r="O100" s="266">
        <v>753</v>
      </c>
      <c r="P100" s="1842">
        <v>499</v>
      </c>
      <c r="Q100" s="266">
        <v>784</v>
      </c>
    </row>
    <row r="101" spans="1:17" x14ac:dyDescent="0.3">
      <c r="A101" s="438" t="s">
        <v>34</v>
      </c>
      <c r="B101" s="439" t="s">
        <v>35</v>
      </c>
      <c r="C101" s="494" t="s">
        <v>256</v>
      </c>
      <c r="D101" s="1898">
        <v>250</v>
      </c>
      <c r="E101" s="1898">
        <v>387</v>
      </c>
      <c r="F101" s="264">
        <v>241</v>
      </c>
      <c r="G101" s="264">
        <v>390</v>
      </c>
      <c r="H101" s="1842">
        <v>199</v>
      </c>
      <c r="I101" s="1842">
        <v>333</v>
      </c>
      <c r="J101" s="1842">
        <v>209</v>
      </c>
      <c r="K101" s="1842">
        <v>369</v>
      </c>
      <c r="L101" s="1842">
        <v>174</v>
      </c>
      <c r="M101" s="1842">
        <v>309</v>
      </c>
      <c r="N101" s="1842">
        <v>103</v>
      </c>
      <c r="O101" s="266">
        <v>189</v>
      </c>
      <c r="P101" s="1842">
        <v>107</v>
      </c>
      <c r="Q101" s="266">
        <v>199</v>
      </c>
    </row>
    <row r="102" spans="1:17" x14ac:dyDescent="0.3">
      <c r="A102" s="438" t="s">
        <v>52</v>
      </c>
      <c r="B102" s="439" t="s">
        <v>53</v>
      </c>
      <c r="C102" s="494" t="s">
        <v>253</v>
      </c>
      <c r="D102" s="1898">
        <v>303</v>
      </c>
      <c r="E102" s="1898">
        <v>513</v>
      </c>
      <c r="F102" s="264">
        <v>304</v>
      </c>
      <c r="G102" s="264">
        <v>482</v>
      </c>
      <c r="H102" s="1842">
        <v>283</v>
      </c>
      <c r="I102" s="1842">
        <v>472</v>
      </c>
      <c r="J102" s="1842">
        <v>245</v>
      </c>
      <c r="K102" s="1842">
        <v>409</v>
      </c>
      <c r="L102" s="1842">
        <v>189</v>
      </c>
      <c r="M102" s="1842">
        <v>314</v>
      </c>
      <c r="N102" s="1842">
        <v>141</v>
      </c>
      <c r="O102" s="266">
        <v>222</v>
      </c>
      <c r="P102" s="1842">
        <v>139</v>
      </c>
      <c r="Q102" s="266">
        <v>211</v>
      </c>
    </row>
    <row r="103" spans="1:17" x14ac:dyDescent="0.3">
      <c r="A103" s="438" t="s">
        <v>54</v>
      </c>
      <c r="B103" s="439" t="s">
        <v>55</v>
      </c>
      <c r="C103" s="494" t="s">
        <v>252</v>
      </c>
      <c r="D103" s="1898">
        <v>951</v>
      </c>
      <c r="E103" s="1898">
        <v>1533</v>
      </c>
      <c r="F103" s="264">
        <v>945</v>
      </c>
      <c r="G103" s="264">
        <v>1503</v>
      </c>
      <c r="H103" s="1842">
        <v>876</v>
      </c>
      <c r="I103" s="1842">
        <v>1437</v>
      </c>
      <c r="J103" s="1842">
        <v>770</v>
      </c>
      <c r="K103" s="1842">
        <v>1308</v>
      </c>
      <c r="L103" s="1842">
        <v>794</v>
      </c>
      <c r="M103" s="1842">
        <v>1326</v>
      </c>
      <c r="N103" s="1842">
        <v>698</v>
      </c>
      <c r="O103" s="266">
        <v>1186</v>
      </c>
      <c r="P103" s="1842">
        <v>778</v>
      </c>
      <c r="Q103" s="266">
        <v>1312</v>
      </c>
    </row>
    <row r="104" spans="1:17" x14ac:dyDescent="0.3">
      <c r="A104" s="438" t="s">
        <v>66</v>
      </c>
      <c r="B104" s="439" t="s">
        <v>67</v>
      </c>
      <c r="C104" s="494" t="s">
        <v>253</v>
      </c>
      <c r="D104" s="1898">
        <v>342</v>
      </c>
      <c r="E104" s="1898">
        <v>620</v>
      </c>
      <c r="F104" s="264">
        <v>348</v>
      </c>
      <c r="G104" s="264">
        <v>626</v>
      </c>
      <c r="H104" s="1842">
        <v>367</v>
      </c>
      <c r="I104" s="1842">
        <v>669</v>
      </c>
      <c r="J104" s="1842">
        <v>287</v>
      </c>
      <c r="K104" s="1842">
        <v>551</v>
      </c>
      <c r="L104" s="1842">
        <v>240</v>
      </c>
      <c r="M104" s="1842">
        <v>466</v>
      </c>
      <c r="N104" s="1842">
        <v>199</v>
      </c>
      <c r="O104" s="266">
        <v>376</v>
      </c>
      <c r="P104" s="1842">
        <v>192</v>
      </c>
      <c r="Q104" s="266">
        <v>348</v>
      </c>
    </row>
    <row r="105" spans="1:17" x14ac:dyDescent="0.3">
      <c r="A105" s="438" t="s">
        <v>82</v>
      </c>
      <c r="B105" s="439" t="s">
        <v>83</v>
      </c>
      <c r="C105" s="494" t="s">
        <v>252</v>
      </c>
      <c r="D105" s="1898">
        <v>51</v>
      </c>
      <c r="E105" s="1898">
        <v>90</v>
      </c>
      <c r="F105" s="264">
        <v>46</v>
      </c>
      <c r="G105" s="264">
        <v>86</v>
      </c>
      <c r="H105" s="1842">
        <v>40</v>
      </c>
      <c r="I105" s="1842">
        <v>67</v>
      </c>
      <c r="J105" s="1842">
        <v>33</v>
      </c>
      <c r="K105" s="1842">
        <v>60</v>
      </c>
      <c r="L105" s="1842">
        <v>28</v>
      </c>
      <c r="M105" s="1842">
        <v>52</v>
      </c>
      <c r="N105" s="1842">
        <v>39</v>
      </c>
      <c r="O105" s="266">
        <v>67</v>
      </c>
      <c r="P105" s="1842">
        <v>34</v>
      </c>
      <c r="Q105" s="266">
        <v>65</v>
      </c>
    </row>
    <row r="106" spans="1:17" x14ac:dyDescent="0.3">
      <c r="A106" s="438" t="s">
        <v>88</v>
      </c>
      <c r="B106" s="439" t="s">
        <v>89</v>
      </c>
      <c r="C106" s="494" t="s">
        <v>255</v>
      </c>
      <c r="D106" s="1898">
        <v>195</v>
      </c>
      <c r="E106" s="1898">
        <v>360</v>
      </c>
      <c r="F106" s="264">
        <v>192</v>
      </c>
      <c r="G106" s="264">
        <v>373</v>
      </c>
      <c r="H106" s="1842">
        <v>207</v>
      </c>
      <c r="I106" s="1842">
        <v>402</v>
      </c>
      <c r="J106" s="1842">
        <v>188</v>
      </c>
      <c r="K106" s="1842">
        <v>349</v>
      </c>
      <c r="L106" s="1842">
        <v>154</v>
      </c>
      <c r="M106" s="1842">
        <v>300</v>
      </c>
      <c r="N106" s="1842">
        <v>160</v>
      </c>
      <c r="O106" s="266">
        <v>286</v>
      </c>
      <c r="P106" s="1842">
        <v>153</v>
      </c>
      <c r="Q106" s="266">
        <v>257</v>
      </c>
    </row>
    <row r="107" spans="1:17" x14ac:dyDescent="0.3">
      <c r="A107" s="438" t="s">
        <v>90</v>
      </c>
      <c r="B107" s="439" t="s">
        <v>91</v>
      </c>
      <c r="C107" s="494" t="s">
        <v>256</v>
      </c>
      <c r="D107" s="1898">
        <v>69</v>
      </c>
      <c r="E107" s="1898">
        <v>110</v>
      </c>
      <c r="F107" s="264">
        <v>46</v>
      </c>
      <c r="G107" s="264">
        <v>67</v>
      </c>
      <c r="H107" s="1842">
        <v>37</v>
      </c>
      <c r="I107" s="1842">
        <v>70</v>
      </c>
      <c r="J107" s="1842">
        <v>27</v>
      </c>
      <c r="K107" s="1842">
        <v>54</v>
      </c>
      <c r="L107" s="1842">
        <v>27</v>
      </c>
      <c r="M107" s="1842">
        <v>56</v>
      </c>
      <c r="N107" s="1842">
        <v>13</v>
      </c>
      <c r="O107" s="266">
        <v>30</v>
      </c>
      <c r="P107" s="1842">
        <v>13</v>
      </c>
      <c r="Q107" s="266">
        <v>24</v>
      </c>
    </row>
    <row r="108" spans="1:17" x14ac:dyDescent="0.3">
      <c r="A108" s="438" t="s">
        <v>106</v>
      </c>
      <c r="B108" s="439" t="s">
        <v>107</v>
      </c>
      <c r="C108" s="494" t="s">
        <v>252</v>
      </c>
      <c r="D108" s="1898">
        <v>741</v>
      </c>
      <c r="E108" s="1898">
        <v>1229</v>
      </c>
      <c r="F108" s="264">
        <v>726</v>
      </c>
      <c r="G108" s="264">
        <v>1226</v>
      </c>
      <c r="H108" s="1842">
        <v>624</v>
      </c>
      <c r="I108" s="1842">
        <v>1089</v>
      </c>
      <c r="J108" s="1842">
        <v>575</v>
      </c>
      <c r="K108" s="1842">
        <v>1058</v>
      </c>
      <c r="L108" s="1842">
        <v>557</v>
      </c>
      <c r="M108" s="1842">
        <v>1016</v>
      </c>
      <c r="N108" s="1842">
        <v>474</v>
      </c>
      <c r="O108" s="266">
        <v>854</v>
      </c>
      <c r="P108" s="1842">
        <v>489</v>
      </c>
      <c r="Q108" s="266">
        <v>878</v>
      </c>
    </row>
    <row r="109" spans="1:17" x14ac:dyDescent="0.3">
      <c r="A109" s="438" t="s">
        <v>116</v>
      </c>
      <c r="B109" s="439" t="s">
        <v>117</v>
      </c>
      <c r="C109" s="494" t="s">
        <v>254</v>
      </c>
      <c r="D109" s="1898">
        <v>190</v>
      </c>
      <c r="E109" s="1898">
        <v>370</v>
      </c>
      <c r="F109" s="264">
        <v>185</v>
      </c>
      <c r="G109" s="264">
        <v>347</v>
      </c>
      <c r="H109" s="1842">
        <v>177</v>
      </c>
      <c r="I109" s="1842">
        <v>347</v>
      </c>
      <c r="J109" s="1842">
        <v>166</v>
      </c>
      <c r="K109" s="1842">
        <v>311</v>
      </c>
      <c r="L109" s="1842">
        <v>149</v>
      </c>
      <c r="M109" s="1842">
        <v>270</v>
      </c>
      <c r="N109" s="1842">
        <v>137</v>
      </c>
      <c r="O109" s="266">
        <v>239</v>
      </c>
      <c r="P109" s="1842">
        <v>137</v>
      </c>
      <c r="Q109" s="266">
        <v>239</v>
      </c>
    </row>
    <row r="110" spans="1:17" x14ac:dyDescent="0.3">
      <c r="A110" s="438" t="s">
        <v>138</v>
      </c>
      <c r="B110" s="439" t="s">
        <v>139</v>
      </c>
      <c r="C110" s="494" t="s">
        <v>253</v>
      </c>
      <c r="D110" s="1898">
        <v>467</v>
      </c>
      <c r="E110" s="1898">
        <v>778</v>
      </c>
      <c r="F110" s="264">
        <v>450</v>
      </c>
      <c r="G110" s="264">
        <v>734</v>
      </c>
      <c r="H110" s="1842">
        <v>456</v>
      </c>
      <c r="I110" s="1842">
        <v>767</v>
      </c>
      <c r="J110" s="1842">
        <v>421</v>
      </c>
      <c r="K110" s="1842">
        <v>719</v>
      </c>
      <c r="L110" s="1842">
        <v>354</v>
      </c>
      <c r="M110" s="1842">
        <v>616</v>
      </c>
      <c r="N110" s="1842">
        <v>263</v>
      </c>
      <c r="O110" s="266">
        <v>470</v>
      </c>
      <c r="P110" s="1842">
        <v>274</v>
      </c>
      <c r="Q110" s="266">
        <v>482</v>
      </c>
    </row>
    <row r="111" spans="1:17" x14ac:dyDescent="0.3">
      <c r="A111" s="438" t="s">
        <v>142</v>
      </c>
      <c r="B111" s="439" t="s">
        <v>143</v>
      </c>
      <c r="C111" s="494" t="s">
        <v>255</v>
      </c>
      <c r="D111" s="1898">
        <v>175</v>
      </c>
      <c r="E111" s="1898">
        <v>332</v>
      </c>
      <c r="F111" s="264">
        <v>195</v>
      </c>
      <c r="G111" s="264">
        <v>372</v>
      </c>
      <c r="H111" s="1842">
        <v>219</v>
      </c>
      <c r="I111" s="1842">
        <v>403</v>
      </c>
      <c r="J111" s="1842">
        <v>187</v>
      </c>
      <c r="K111" s="1842">
        <v>331</v>
      </c>
      <c r="L111" s="1842">
        <v>138</v>
      </c>
      <c r="M111" s="1842">
        <v>257</v>
      </c>
      <c r="N111" s="1842">
        <v>138</v>
      </c>
      <c r="O111" s="266">
        <v>272</v>
      </c>
      <c r="P111" s="1842">
        <v>134</v>
      </c>
      <c r="Q111" s="266">
        <v>249</v>
      </c>
    </row>
    <row r="112" spans="1:17" x14ac:dyDescent="0.3">
      <c r="A112" s="438" t="s">
        <v>144</v>
      </c>
      <c r="B112" s="439" t="s">
        <v>145</v>
      </c>
      <c r="C112" s="494" t="s">
        <v>255</v>
      </c>
      <c r="D112" s="1898">
        <v>38</v>
      </c>
      <c r="E112" s="1898">
        <v>54</v>
      </c>
      <c r="F112" s="264">
        <v>35</v>
      </c>
      <c r="G112" s="264">
        <v>55</v>
      </c>
      <c r="H112" s="1842">
        <v>50</v>
      </c>
      <c r="I112" s="1842">
        <v>84</v>
      </c>
      <c r="J112" s="1842">
        <v>38</v>
      </c>
      <c r="K112" s="1842">
        <v>69</v>
      </c>
      <c r="L112" s="1842">
        <v>29</v>
      </c>
      <c r="M112" s="1842">
        <v>50</v>
      </c>
      <c r="N112" s="1842">
        <v>25</v>
      </c>
      <c r="O112" s="266">
        <v>54</v>
      </c>
      <c r="P112" s="1842">
        <v>25</v>
      </c>
      <c r="Q112" s="266">
        <v>51</v>
      </c>
    </row>
    <row r="113" spans="1:17" x14ac:dyDescent="0.3">
      <c r="A113" s="438" t="s">
        <v>158</v>
      </c>
      <c r="B113" s="439" t="s">
        <v>159</v>
      </c>
      <c r="C113" s="494" t="s">
        <v>252</v>
      </c>
      <c r="D113" s="1898">
        <v>1562</v>
      </c>
      <c r="E113" s="1898">
        <v>2734</v>
      </c>
      <c r="F113" s="264">
        <v>1439</v>
      </c>
      <c r="G113" s="264">
        <v>2515</v>
      </c>
      <c r="H113" s="1842">
        <v>1438</v>
      </c>
      <c r="I113" s="1842">
        <v>2577</v>
      </c>
      <c r="J113" s="1842">
        <v>1255</v>
      </c>
      <c r="K113" s="1842">
        <v>2356</v>
      </c>
      <c r="L113" s="1842">
        <v>1173</v>
      </c>
      <c r="M113" s="1842">
        <v>2152</v>
      </c>
      <c r="N113" s="1842">
        <v>1093</v>
      </c>
      <c r="O113" s="266">
        <v>2002</v>
      </c>
      <c r="P113" s="1842">
        <v>1128</v>
      </c>
      <c r="Q113" s="266">
        <v>2050</v>
      </c>
    </row>
    <row r="114" spans="1:17" x14ac:dyDescent="0.3">
      <c r="A114" s="438" t="s">
        <v>160</v>
      </c>
      <c r="B114" s="439" t="s">
        <v>161</v>
      </c>
      <c r="C114" s="494" t="s">
        <v>252</v>
      </c>
      <c r="D114" s="1898">
        <v>1964</v>
      </c>
      <c r="E114" s="1898">
        <v>3265</v>
      </c>
      <c r="F114" s="264">
        <v>1880</v>
      </c>
      <c r="G114" s="264">
        <v>3179</v>
      </c>
      <c r="H114" s="1842">
        <v>1808</v>
      </c>
      <c r="I114" s="1842">
        <v>3117</v>
      </c>
      <c r="J114" s="1842">
        <v>1442</v>
      </c>
      <c r="K114" s="1842">
        <v>2565</v>
      </c>
      <c r="L114" s="1842">
        <v>1187</v>
      </c>
      <c r="M114" s="1842">
        <v>2160</v>
      </c>
      <c r="N114" s="1842">
        <v>1075</v>
      </c>
      <c r="O114" s="266">
        <v>1942</v>
      </c>
      <c r="P114" s="1842">
        <v>977</v>
      </c>
      <c r="Q114" s="266">
        <v>1798</v>
      </c>
    </row>
    <row r="115" spans="1:17" x14ac:dyDescent="0.3">
      <c r="A115" s="438" t="s">
        <v>166</v>
      </c>
      <c r="B115" s="439" t="s">
        <v>167</v>
      </c>
      <c r="C115" s="494" t="s">
        <v>256</v>
      </c>
      <c r="D115" s="1898">
        <v>15</v>
      </c>
      <c r="E115" s="1898">
        <v>29</v>
      </c>
      <c r="F115" s="264">
        <v>17</v>
      </c>
      <c r="G115" s="264">
        <v>35</v>
      </c>
      <c r="H115" s="1842">
        <v>15</v>
      </c>
      <c r="I115" s="1842">
        <v>30</v>
      </c>
      <c r="J115" s="1842">
        <v>11</v>
      </c>
      <c r="K115" s="1842">
        <v>23</v>
      </c>
      <c r="L115" s="1842">
        <v>7</v>
      </c>
      <c r="M115" s="1842">
        <v>13</v>
      </c>
      <c r="N115" s="1842">
        <v>4</v>
      </c>
      <c r="O115" s="266">
        <v>5</v>
      </c>
      <c r="P115" s="1842">
        <v>1</v>
      </c>
      <c r="Q115" s="266">
        <v>1</v>
      </c>
    </row>
    <row r="116" spans="1:17" x14ac:dyDescent="0.3">
      <c r="A116" s="438" t="s">
        <v>176</v>
      </c>
      <c r="B116" s="439" t="s">
        <v>177</v>
      </c>
      <c r="C116" s="494" t="s">
        <v>254</v>
      </c>
      <c r="D116" s="1898">
        <v>385</v>
      </c>
      <c r="E116" s="1898">
        <v>636</v>
      </c>
      <c r="F116" s="264">
        <v>447</v>
      </c>
      <c r="G116" s="264">
        <v>741</v>
      </c>
      <c r="H116" s="1842">
        <v>428</v>
      </c>
      <c r="I116" s="1842">
        <v>727</v>
      </c>
      <c r="J116" s="1842">
        <v>303</v>
      </c>
      <c r="K116" s="1842">
        <v>536</v>
      </c>
      <c r="L116" s="1842">
        <v>242</v>
      </c>
      <c r="M116" s="1842">
        <v>424</v>
      </c>
      <c r="N116" s="1842">
        <v>191</v>
      </c>
      <c r="O116" s="266">
        <v>342</v>
      </c>
      <c r="P116" s="1842">
        <v>208</v>
      </c>
      <c r="Q116" s="266">
        <v>362</v>
      </c>
    </row>
    <row r="117" spans="1:17" x14ac:dyDescent="0.3">
      <c r="A117" s="438" t="s">
        <v>180</v>
      </c>
      <c r="B117" s="439" t="s">
        <v>181</v>
      </c>
      <c r="C117" s="494" t="s">
        <v>252</v>
      </c>
      <c r="D117" s="1898">
        <v>628</v>
      </c>
      <c r="E117" s="1898">
        <v>1085</v>
      </c>
      <c r="F117" s="264">
        <v>607</v>
      </c>
      <c r="G117" s="264">
        <v>1050</v>
      </c>
      <c r="H117" s="1842">
        <v>638</v>
      </c>
      <c r="I117" s="1842">
        <v>1136</v>
      </c>
      <c r="J117" s="1842">
        <v>643</v>
      </c>
      <c r="K117" s="1842">
        <v>1198</v>
      </c>
      <c r="L117" s="1842">
        <v>521</v>
      </c>
      <c r="M117" s="1842">
        <v>947</v>
      </c>
      <c r="N117" s="1842">
        <v>413</v>
      </c>
      <c r="O117" s="266">
        <v>760</v>
      </c>
      <c r="P117" s="1842">
        <v>424</v>
      </c>
      <c r="Q117" s="266">
        <v>802</v>
      </c>
    </row>
    <row r="118" spans="1:17" x14ac:dyDescent="0.3">
      <c r="A118" s="438" t="s">
        <v>192</v>
      </c>
      <c r="B118" s="439" t="s">
        <v>193</v>
      </c>
      <c r="C118" s="494" t="s">
        <v>256</v>
      </c>
      <c r="D118" s="1898">
        <v>40</v>
      </c>
      <c r="E118" s="1898">
        <v>78</v>
      </c>
      <c r="F118" s="264">
        <v>46</v>
      </c>
      <c r="G118" s="264">
        <v>90</v>
      </c>
      <c r="H118" s="1842">
        <v>46</v>
      </c>
      <c r="I118" s="1842">
        <v>83</v>
      </c>
      <c r="J118" s="1842">
        <v>46</v>
      </c>
      <c r="K118" s="1842">
        <v>79</v>
      </c>
      <c r="L118" s="1842">
        <v>32</v>
      </c>
      <c r="M118" s="1842">
        <v>62</v>
      </c>
      <c r="N118" s="1842">
        <v>34</v>
      </c>
      <c r="O118" s="266">
        <v>62</v>
      </c>
      <c r="P118" s="1842">
        <v>30</v>
      </c>
      <c r="Q118" s="266">
        <v>54</v>
      </c>
    </row>
    <row r="119" spans="1:17" x14ac:dyDescent="0.3">
      <c r="A119" s="438" t="s">
        <v>196</v>
      </c>
      <c r="B119" s="439" t="s">
        <v>197</v>
      </c>
      <c r="C119" s="494" t="s">
        <v>254</v>
      </c>
      <c r="D119" s="1898">
        <v>2163</v>
      </c>
      <c r="E119" s="1898">
        <v>3732</v>
      </c>
      <c r="F119" s="264">
        <v>1867</v>
      </c>
      <c r="G119" s="264">
        <v>3312</v>
      </c>
      <c r="H119" s="1842">
        <v>1527</v>
      </c>
      <c r="I119" s="1842">
        <v>2707</v>
      </c>
      <c r="J119" s="1842">
        <v>1322</v>
      </c>
      <c r="K119" s="1842">
        <v>2392</v>
      </c>
      <c r="L119" s="1842">
        <v>1079</v>
      </c>
      <c r="M119" s="1842">
        <v>1979</v>
      </c>
      <c r="N119" s="1842">
        <v>892</v>
      </c>
      <c r="O119" s="266">
        <v>1621</v>
      </c>
      <c r="P119" s="1842">
        <v>846</v>
      </c>
      <c r="Q119" s="266">
        <v>1577</v>
      </c>
    </row>
    <row r="120" spans="1:17" x14ac:dyDescent="0.3">
      <c r="A120" s="438" t="s">
        <v>200</v>
      </c>
      <c r="B120" s="439" t="s">
        <v>201</v>
      </c>
      <c r="C120" s="494" t="s">
        <v>253</v>
      </c>
      <c r="D120" s="1898">
        <v>954</v>
      </c>
      <c r="E120" s="1898">
        <v>1662</v>
      </c>
      <c r="F120" s="264">
        <v>881</v>
      </c>
      <c r="G120" s="264">
        <v>1531</v>
      </c>
      <c r="H120" s="1842">
        <v>932</v>
      </c>
      <c r="I120" s="1842">
        <v>1653</v>
      </c>
      <c r="J120" s="1842">
        <v>860</v>
      </c>
      <c r="K120" s="1842">
        <v>1541</v>
      </c>
      <c r="L120" s="1842">
        <v>791</v>
      </c>
      <c r="M120" s="1842">
        <v>1454</v>
      </c>
      <c r="N120" s="1842">
        <v>634</v>
      </c>
      <c r="O120" s="266">
        <v>1193</v>
      </c>
      <c r="P120" s="1842">
        <v>620</v>
      </c>
      <c r="Q120" s="266">
        <v>1164</v>
      </c>
    </row>
    <row r="121" spans="1:17" x14ac:dyDescent="0.3">
      <c r="A121" s="438" t="s">
        <v>222</v>
      </c>
      <c r="B121" s="439" t="s">
        <v>223</v>
      </c>
      <c r="C121" s="494" t="s">
        <v>252</v>
      </c>
      <c r="D121" s="1898">
        <v>269</v>
      </c>
      <c r="E121" s="1898">
        <v>445</v>
      </c>
      <c r="F121" s="264">
        <v>278</v>
      </c>
      <c r="G121" s="264">
        <v>442</v>
      </c>
      <c r="H121" s="1842">
        <v>289</v>
      </c>
      <c r="I121" s="1842">
        <v>463</v>
      </c>
      <c r="J121" s="1842">
        <v>230</v>
      </c>
      <c r="K121" s="1842">
        <v>400</v>
      </c>
      <c r="L121" s="1842">
        <v>220</v>
      </c>
      <c r="M121" s="1842">
        <v>368</v>
      </c>
      <c r="N121" s="1842">
        <v>177</v>
      </c>
      <c r="O121" s="266">
        <v>296</v>
      </c>
      <c r="P121" s="1842">
        <v>193</v>
      </c>
      <c r="Q121" s="266">
        <v>319</v>
      </c>
    </row>
    <row r="122" spans="1:17" x14ac:dyDescent="0.3">
      <c r="A122" s="438" t="s">
        <v>230</v>
      </c>
      <c r="B122" s="439" t="s">
        <v>231</v>
      </c>
      <c r="C122" s="494" t="s">
        <v>252</v>
      </c>
      <c r="D122" s="1898">
        <v>1740</v>
      </c>
      <c r="E122" s="1898">
        <v>2807</v>
      </c>
      <c r="F122" s="264">
        <v>1670</v>
      </c>
      <c r="G122" s="264">
        <v>2745</v>
      </c>
      <c r="H122" s="1842">
        <v>1644</v>
      </c>
      <c r="I122" s="1842">
        <v>2742</v>
      </c>
      <c r="J122" s="1842">
        <v>1193</v>
      </c>
      <c r="K122" s="1842">
        <v>2029</v>
      </c>
      <c r="L122" s="1842">
        <v>1101</v>
      </c>
      <c r="M122" s="1842">
        <v>1902</v>
      </c>
      <c r="N122" s="1842">
        <v>1027</v>
      </c>
      <c r="O122" s="266">
        <v>1777</v>
      </c>
      <c r="P122" s="1842">
        <v>936</v>
      </c>
      <c r="Q122" s="266">
        <v>1658</v>
      </c>
    </row>
    <row r="123" spans="1:17" x14ac:dyDescent="0.3">
      <c r="A123" s="438" t="s">
        <v>238</v>
      </c>
      <c r="B123" s="439" t="s">
        <v>239</v>
      </c>
      <c r="C123" s="494" t="s">
        <v>252</v>
      </c>
      <c r="D123" s="1898">
        <v>41</v>
      </c>
      <c r="E123" s="1898">
        <v>75</v>
      </c>
      <c r="F123" s="264">
        <v>48</v>
      </c>
      <c r="G123" s="264">
        <v>94</v>
      </c>
      <c r="H123" s="1842">
        <v>63</v>
      </c>
      <c r="I123" s="1842">
        <v>109</v>
      </c>
      <c r="J123" s="1842">
        <v>55</v>
      </c>
      <c r="K123" s="1842">
        <v>92</v>
      </c>
      <c r="L123" s="1842">
        <v>46</v>
      </c>
      <c r="M123" s="1842">
        <v>77</v>
      </c>
      <c r="N123" s="1842">
        <v>34</v>
      </c>
      <c r="O123" s="266">
        <v>63</v>
      </c>
      <c r="P123" s="1842">
        <v>40</v>
      </c>
      <c r="Q123" s="266">
        <v>78</v>
      </c>
    </row>
    <row r="124" spans="1:17" x14ac:dyDescent="0.3">
      <c r="A124" s="438" t="s">
        <v>240</v>
      </c>
      <c r="B124" s="439" t="s">
        <v>241</v>
      </c>
      <c r="C124" s="494" t="s">
        <v>255</v>
      </c>
      <c r="D124" s="1898">
        <v>136</v>
      </c>
      <c r="E124" s="1898">
        <v>240</v>
      </c>
      <c r="F124" s="264">
        <v>124</v>
      </c>
      <c r="G124" s="264">
        <v>220</v>
      </c>
      <c r="H124" s="1842">
        <v>113</v>
      </c>
      <c r="I124" s="1842">
        <v>185</v>
      </c>
      <c r="J124" s="1842">
        <v>86</v>
      </c>
      <c r="K124" s="1842">
        <v>150</v>
      </c>
      <c r="L124" s="1842">
        <v>77</v>
      </c>
      <c r="M124" s="1842">
        <v>129</v>
      </c>
      <c r="N124" s="1842">
        <v>79</v>
      </c>
      <c r="O124" s="266">
        <v>130</v>
      </c>
      <c r="P124" s="1842">
        <v>73</v>
      </c>
      <c r="Q124" s="266">
        <v>125</v>
      </c>
    </row>
    <row r="126" spans="1:17" s="441" customFormat="1" ht="32.25" customHeight="1" x14ac:dyDescent="0.3">
      <c r="A126" s="2737" t="s">
        <v>1057</v>
      </c>
      <c r="B126" s="2737"/>
      <c r="C126" s="2737"/>
      <c r="D126" s="2737"/>
      <c r="E126" s="2737"/>
      <c r="F126" s="2737"/>
      <c r="G126" s="2737"/>
      <c r="H126" s="2737"/>
      <c r="I126" s="2737"/>
      <c r="J126" s="2737"/>
      <c r="K126" s="1868"/>
      <c r="L126" s="1836"/>
      <c r="M126" s="1868"/>
      <c r="N126" s="1868"/>
      <c r="P126" s="2264"/>
    </row>
    <row r="127" spans="1:17" s="441" customFormat="1" x14ac:dyDescent="0.3">
      <c r="A127" s="2737"/>
      <c r="B127" s="2737"/>
      <c r="C127" s="2737"/>
      <c r="D127" s="2737"/>
      <c r="E127" s="2737"/>
      <c r="F127" s="2737"/>
      <c r="G127" s="2737"/>
      <c r="H127" s="2737"/>
      <c r="I127" s="2737"/>
      <c r="J127" s="2737"/>
      <c r="K127" s="1868"/>
      <c r="L127" s="1836"/>
      <c r="M127" s="1868"/>
      <c r="N127" s="1868"/>
      <c r="P127" s="2264"/>
    </row>
    <row r="128" spans="1:17" s="441" customFormat="1" x14ac:dyDescent="0.3">
      <c r="A128" s="1837"/>
      <c r="B128" s="1837"/>
      <c r="C128" s="1837"/>
      <c r="D128" s="1869"/>
      <c r="E128" s="1869"/>
      <c r="F128" s="1837"/>
      <c r="G128" s="1869"/>
    </row>
    <row r="129" spans="1:5" s="359" customFormat="1" x14ac:dyDescent="0.3">
      <c r="A129" s="359" t="s">
        <v>248</v>
      </c>
    </row>
    <row r="130" spans="1:5" s="359" customFormat="1" x14ac:dyDescent="0.3">
      <c r="A130" s="360" t="s">
        <v>249</v>
      </c>
      <c r="B130" s="361" t="s">
        <v>250</v>
      </c>
      <c r="C130" s="361"/>
      <c r="D130" s="361"/>
      <c r="E130" s="361"/>
    </row>
  </sheetData>
  <sortState ref="A5:O124">
    <sortCondition ref="A5:A124"/>
  </sortState>
  <mergeCells count="8">
    <mergeCell ref="P2:Q2"/>
    <mergeCell ref="A126:J127"/>
    <mergeCell ref="N2:O2"/>
    <mergeCell ref="L2:M2"/>
    <mergeCell ref="J2:K2"/>
    <mergeCell ref="F2:G2"/>
    <mergeCell ref="H2:I2"/>
    <mergeCell ref="D2:E2"/>
  </mergeCells>
  <hyperlinks>
    <hyperlink ref="B130" r:id="rId1"/>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29"/>
  <sheetViews>
    <sheetView workbookViewId="0">
      <pane xSplit="8" ySplit="4" topLeftCell="I5" activePane="bottomRight" state="frozen"/>
      <selection pane="topRight" activeCell="I1" sqref="I1"/>
      <selection pane="bottomLeft" activeCell="A5" sqref="A5"/>
      <selection pane="bottomRight" activeCell="I5" sqref="I5:I124"/>
    </sheetView>
  </sheetViews>
  <sheetFormatPr defaultColWidth="9" defaultRowHeight="15.6" x14ac:dyDescent="0.3"/>
  <cols>
    <col min="1" max="1" width="5.796875" style="441" customWidth="1"/>
    <col min="2" max="2" width="30.19921875" style="441" customWidth="1"/>
    <col min="3" max="3" width="12.296875" style="441" customWidth="1"/>
    <col min="4" max="4" width="11.09765625" style="441" customWidth="1"/>
    <col min="5" max="5" width="10.796875" style="441" customWidth="1"/>
    <col min="6" max="6" width="10.8984375" style="441" customWidth="1"/>
    <col min="7" max="7" width="10.69921875" style="441" customWidth="1"/>
    <col min="8" max="11" width="10.796875" style="441" customWidth="1"/>
    <col min="12" max="13" width="9.5" style="441" customWidth="1"/>
    <col min="14" max="14" width="2.5" style="441" customWidth="1"/>
    <col min="15" max="16384" width="9" style="441"/>
  </cols>
  <sheetData>
    <row r="1" spans="1:13" x14ac:dyDescent="0.3">
      <c r="A1" s="253" t="s">
        <v>991</v>
      </c>
    </row>
    <row r="3" spans="1:13" x14ac:dyDescent="0.3">
      <c r="A3" s="536" t="s">
        <v>4</v>
      </c>
      <c r="B3" s="503" t="s">
        <v>5</v>
      </c>
      <c r="C3" s="503" t="s">
        <v>251</v>
      </c>
      <c r="D3" s="542" t="s">
        <v>992</v>
      </c>
      <c r="E3" s="542" t="s">
        <v>993</v>
      </c>
      <c r="F3" s="542" t="s">
        <v>994</v>
      </c>
      <c r="G3" s="542" t="s">
        <v>995</v>
      </c>
      <c r="H3" s="542" t="s">
        <v>705</v>
      </c>
      <c r="I3" s="1128" t="s">
        <v>810</v>
      </c>
      <c r="J3" s="1128" t="s">
        <v>891</v>
      </c>
      <c r="K3" s="1707" t="s">
        <v>1050</v>
      </c>
      <c r="L3" s="2215" t="s">
        <v>1047</v>
      </c>
      <c r="M3" s="2215" t="s">
        <v>1084</v>
      </c>
    </row>
    <row r="4" spans="1:13" x14ac:dyDescent="0.3">
      <c r="A4" s="508">
        <v>999</v>
      </c>
      <c r="B4" s="529" t="s">
        <v>9</v>
      </c>
      <c r="C4" s="504"/>
      <c r="D4" s="468">
        <v>63077</v>
      </c>
      <c r="E4" s="468">
        <v>63449</v>
      </c>
      <c r="F4" s="468">
        <v>59998</v>
      </c>
      <c r="G4" s="468">
        <v>56160</v>
      </c>
      <c r="H4" s="468">
        <v>50841</v>
      </c>
      <c r="I4" s="1146">
        <v>47911</v>
      </c>
      <c r="J4" s="1146">
        <v>43366</v>
      </c>
      <c r="K4" s="1848">
        <v>28812</v>
      </c>
      <c r="L4" s="2216">
        <v>33213</v>
      </c>
      <c r="M4" s="2216">
        <v>29262</v>
      </c>
    </row>
    <row r="5" spans="1:13" x14ac:dyDescent="0.3">
      <c r="A5" s="460" t="s">
        <v>10</v>
      </c>
      <c r="B5" s="505" t="s">
        <v>11</v>
      </c>
      <c r="C5" s="505" t="s">
        <v>252</v>
      </c>
      <c r="D5" s="454">
        <v>375</v>
      </c>
      <c r="E5" s="454">
        <v>374</v>
      </c>
      <c r="F5" s="454">
        <v>387</v>
      </c>
      <c r="G5" s="454">
        <v>379</v>
      </c>
      <c r="H5" s="454">
        <v>321</v>
      </c>
      <c r="I5" s="1144">
        <v>275</v>
      </c>
      <c r="J5" s="1311">
        <v>245</v>
      </c>
      <c r="K5" s="1849">
        <v>141</v>
      </c>
      <c r="L5" s="2214">
        <v>150</v>
      </c>
      <c r="M5" s="2415">
        <v>151</v>
      </c>
    </row>
    <row r="6" spans="1:13" x14ac:dyDescent="0.3">
      <c r="A6" s="531" t="s">
        <v>12</v>
      </c>
      <c r="B6" s="532" t="s">
        <v>13</v>
      </c>
      <c r="C6" s="532" t="s">
        <v>253</v>
      </c>
      <c r="D6" s="533">
        <v>333</v>
      </c>
      <c r="E6" s="533">
        <v>309</v>
      </c>
      <c r="F6" s="533">
        <v>271</v>
      </c>
      <c r="G6" s="533">
        <v>292</v>
      </c>
      <c r="H6" s="533">
        <v>280</v>
      </c>
      <c r="I6" s="1144">
        <v>230</v>
      </c>
      <c r="J6" s="1311">
        <v>225</v>
      </c>
      <c r="K6" s="1849">
        <v>158</v>
      </c>
      <c r="L6" s="2214">
        <v>181</v>
      </c>
      <c r="M6" s="2214">
        <v>177</v>
      </c>
    </row>
    <row r="7" spans="1:13" x14ac:dyDescent="0.3">
      <c r="A7" s="531" t="s">
        <v>16</v>
      </c>
      <c r="B7" s="532" t="s">
        <v>285</v>
      </c>
      <c r="C7" s="532" t="s">
        <v>253</v>
      </c>
      <c r="D7" s="533">
        <v>228</v>
      </c>
      <c r="E7" s="533">
        <v>220</v>
      </c>
      <c r="F7" s="533">
        <v>187</v>
      </c>
      <c r="G7" s="533">
        <v>188</v>
      </c>
      <c r="H7" s="533">
        <v>171</v>
      </c>
      <c r="I7" s="1144">
        <v>156</v>
      </c>
      <c r="J7" s="1311">
        <v>145</v>
      </c>
      <c r="K7" s="1849">
        <v>96</v>
      </c>
      <c r="L7" s="2214">
        <v>96</v>
      </c>
      <c r="M7" s="2214">
        <v>89</v>
      </c>
    </row>
    <row r="8" spans="1:13" x14ac:dyDescent="0.3">
      <c r="A8" s="531" t="s">
        <v>18</v>
      </c>
      <c r="B8" s="532" t="s">
        <v>19</v>
      </c>
      <c r="C8" s="532" t="s">
        <v>254</v>
      </c>
      <c r="D8" s="533">
        <v>152</v>
      </c>
      <c r="E8" s="533">
        <v>147</v>
      </c>
      <c r="F8" s="533">
        <v>142</v>
      </c>
      <c r="G8" s="533">
        <v>129</v>
      </c>
      <c r="H8" s="533">
        <v>96</v>
      </c>
      <c r="I8" s="1144">
        <v>72</v>
      </c>
      <c r="J8" s="1311">
        <v>50</v>
      </c>
      <c r="K8" s="1849">
        <v>34</v>
      </c>
      <c r="L8" s="2214">
        <v>47</v>
      </c>
      <c r="M8" s="2214">
        <v>50</v>
      </c>
    </row>
    <row r="9" spans="1:13" x14ac:dyDescent="0.3">
      <c r="A9" s="531" t="s">
        <v>20</v>
      </c>
      <c r="B9" s="532" t="s">
        <v>21</v>
      </c>
      <c r="C9" s="532" t="s">
        <v>253</v>
      </c>
      <c r="D9" s="533">
        <v>219</v>
      </c>
      <c r="E9" s="533">
        <v>196</v>
      </c>
      <c r="F9" s="533">
        <v>187</v>
      </c>
      <c r="G9" s="533">
        <v>192</v>
      </c>
      <c r="H9" s="533">
        <v>166</v>
      </c>
      <c r="I9" s="1144">
        <v>158</v>
      </c>
      <c r="J9" s="1311">
        <v>147</v>
      </c>
      <c r="K9" s="1849">
        <v>96</v>
      </c>
      <c r="L9" s="2214">
        <v>129</v>
      </c>
      <c r="M9" s="2214">
        <v>112</v>
      </c>
    </row>
    <row r="10" spans="1:13" x14ac:dyDescent="0.3">
      <c r="A10" s="531" t="s">
        <v>22</v>
      </c>
      <c r="B10" s="532" t="s">
        <v>23</v>
      </c>
      <c r="C10" s="532" t="s">
        <v>253</v>
      </c>
      <c r="D10" s="533">
        <v>174</v>
      </c>
      <c r="E10" s="533">
        <v>162</v>
      </c>
      <c r="F10" s="533">
        <v>167</v>
      </c>
      <c r="G10" s="533">
        <v>177</v>
      </c>
      <c r="H10" s="533">
        <v>171</v>
      </c>
      <c r="I10" s="1144">
        <v>140</v>
      </c>
      <c r="J10" s="1311">
        <v>115</v>
      </c>
      <c r="K10" s="1849">
        <v>53</v>
      </c>
      <c r="L10" s="2214">
        <v>69</v>
      </c>
      <c r="M10" s="2214">
        <v>70</v>
      </c>
    </row>
    <row r="11" spans="1:13" x14ac:dyDescent="0.3">
      <c r="A11" s="531" t="s">
        <v>24</v>
      </c>
      <c r="B11" s="532" t="s">
        <v>25</v>
      </c>
      <c r="C11" s="532" t="s">
        <v>255</v>
      </c>
      <c r="D11" s="533">
        <v>605</v>
      </c>
      <c r="E11" s="533">
        <v>574</v>
      </c>
      <c r="F11" s="533">
        <v>535</v>
      </c>
      <c r="G11" s="533">
        <v>478</v>
      </c>
      <c r="H11" s="533">
        <v>416</v>
      </c>
      <c r="I11" s="1144">
        <v>374</v>
      </c>
      <c r="J11" s="1311">
        <v>352</v>
      </c>
      <c r="K11" s="1849">
        <v>224</v>
      </c>
      <c r="L11" s="2214">
        <v>278</v>
      </c>
      <c r="M11" s="2214">
        <v>223</v>
      </c>
    </row>
    <row r="12" spans="1:13" x14ac:dyDescent="0.3">
      <c r="A12" s="531" t="s">
        <v>26</v>
      </c>
      <c r="B12" s="532" t="s">
        <v>547</v>
      </c>
      <c r="C12" s="532" t="s">
        <v>253</v>
      </c>
      <c r="D12" s="533">
        <v>1272</v>
      </c>
      <c r="E12" s="533">
        <v>1224</v>
      </c>
      <c r="F12" s="533">
        <v>1139</v>
      </c>
      <c r="G12" s="533">
        <v>1087</v>
      </c>
      <c r="H12" s="533">
        <v>934</v>
      </c>
      <c r="I12" s="1144">
        <v>738</v>
      </c>
      <c r="J12" s="1311">
        <v>668</v>
      </c>
      <c r="K12" s="1849">
        <v>489</v>
      </c>
      <c r="L12" s="2214">
        <v>662</v>
      </c>
      <c r="M12" s="2214">
        <v>606</v>
      </c>
    </row>
    <row r="13" spans="1:13" x14ac:dyDescent="0.3">
      <c r="A13" s="531" t="s">
        <v>27</v>
      </c>
      <c r="B13" s="532" t="s">
        <v>28</v>
      </c>
      <c r="C13" s="532" t="s">
        <v>253</v>
      </c>
      <c r="D13" s="533">
        <v>18</v>
      </c>
      <c r="E13" s="533">
        <v>15</v>
      </c>
      <c r="F13" s="533">
        <v>14</v>
      </c>
      <c r="G13" s="533">
        <v>9</v>
      </c>
      <c r="H13" s="533">
        <v>9</v>
      </c>
      <c r="I13" s="1144">
        <v>7</v>
      </c>
      <c r="J13" s="1311">
        <v>7</v>
      </c>
      <c r="K13" s="1849">
        <v>8</v>
      </c>
      <c r="L13" s="2214">
        <v>14</v>
      </c>
      <c r="M13" s="2214">
        <v>15</v>
      </c>
    </row>
    <row r="14" spans="1:13" x14ac:dyDescent="0.3">
      <c r="A14" s="531" t="s">
        <v>29</v>
      </c>
      <c r="B14" s="532" t="s">
        <v>736</v>
      </c>
      <c r="C14" s="532" t="s">
        <v>253</v>
      </c>
      <c r="D14" s="533">
        <v>431</v>
      </c>
      <c r="E14" s="533">
        <v>470</v>
      </c>
      <c r="F14" s="533">
        <v>427</v>
      </c>
      <c r="G14" s="533">
        <v>387</v>
      </c>
      <c r="H14" s="533">
        <v>405</v>
      </c>
      <c r="I14" s="1144">
        <v>325</v>
      </c>
      <c r="J14" s="1311">
        <v>288</v>
      </c>
      <c r="K14" s="1849">
        <v>175</v>
      </c>
      <c r="L14" s="2214">
        <v>213</v>
      </c>
      <c r="M14" s="2214">
        <v>208</v>
      </c>
    </row>
    <row r="15" spans="1:13" x14ac:dyDescent="0.3">
      <c r="A15" s="531" t="s">
        <v>30</v>
      </c>
      <c r="B15" s="532" t="s">
        <v>31</v>
      </c>
      <c r="C15" s="532" t="s">
        <v>256</v>
      </c>
      <c r="D15" s="533">
        <v>27</v>
      </c>
      <c r="E15" s="533">
        <v>41</v>
      </c>
      <c r="F15" s="533">
        <v>37</v>
      </c>
      <c r="G15" s="533">
        <v>30</v>
      </c>
      <c r="H15" s="533">
        <v>29</v>
      </c>
      <c r="I15" s="1144">
        <v>24</v>
      </c>
      <c r="J15" s="1311">
        <v>27</v>
      </c>
      <c r="K15" s="1849">
        <v>19</v>
      </c>
      <c r="L15" s="2214">
        <v>21</v>
      </c>
      <c r="M15" s="2214">
        <v>20</v>
      </c>
    </row>
    <row r="16" spans="1:13" x14ac:dyDescent="0.3">
      <c r="A16" s="531" t="s">
        <v>32</v>
      </c>
      <c r="B16" s="532" t="s">
        <v>33</v>
      </c>
      <c r="C16" s="532" t="s">
        <v>253</v>
      </c>
      <c r="D16" s="533">
        <v>88</v>
      </c>
      <c r="E16" s="533">
        <v>90</v>
      </c>
      <c r="F16" s="533">
        <v>90</v>
      </c>
      <c r="G16" s="533">
        <v>80</v>
      </c>
      <c r="H16" s="533">
        <v>70</v>
      </c>
      <c r="I16" s="1144">
        <v>66</v>
      </c>
      <c r="J16" s="1311">
        <v>73</v>
      </c>
      <c r="K16" s="1849">
        <v>48</v>
      </c>
      <c r="L16" s="2214">
        <v>69</v>
      </c>
      <c r="M16" s="2214">
        <v>66</v>
      </c>
    </row>
    <row r="17" spans="1:13" x14ac:dyDescent="0.3">
      <c r="A17" s="531" t="s">
        <v>36</v>
      </c>
      <c r="B17" s="532" t="s">
        <v>37</v>
      </c>
      <c r="C17" s="532" t="s">
        <v>252</v>
      </c>
      <c r="D17" s="533">
        <v>233</v>
      </c>
      <c r="E17" s="533">
        <v>220</v>
      </c>
      <c r="F17" s="533">
        <v>214</v>
      </c>
      <c r="G17" s="533">
        <v>194</v>
      </c>
      <c r="H17" s="533">
        <v>180</v>
      </c>
      <c r="I17" s="1144">
        <v>155</v>
      </c>
      <c r="J17" s="1311">
        <v>131</v>
      </c>
      <c r="K17" s="1849">
        <v>86</v>
      </c>
      <c r="L17" s="2214">
        <v>105</v>
      </c>
      <c r="M17" s="2214">
        <v>102</v>
      </c>
    </row>
    <row r="18" spans="1:13" x14ac:dyDescent="0.3">
      <c r="A18" s="531" t="s">
        <v>38</v>
      </c>
      <c r="B18" s="532" t="s">
        <v>39</v>
      </c>
      <c r="C18" s="532" t="s">
        <v>256</v>
      </c>
      <c r="D18" s="533">
        <v>310</v>
      </c>
      <c r="E18" s="533">
        <v>261</v>
      </c>
      <c r="F18" s="533">
        <v>223</v>
      </c>
      <c r="G18" s="533">
        <v>263</v>
      </c>
      <c r="H18" s="533">
        <v>254</v>
      </c>
      <c r="I18" s="1144">
        <v>247</v>
      </c>
      <c r="J18" s="1311">
        <v>209</v>
      </c>
      <c r="K18" s="1849">
        <v>142</v>
      </c>
      <c r="L18" s="2214">
        <v>156</v>
      </c>
      <c r="M18" s="2214">
        <v>157</v>
      </c>
    </row>
    <row r="19" spans="1:13" x14ac:dyDescent="0.3">
      <c r="A19" s="531" t="s">
        <v>40</v>
      </c>
      <c r="B19" s="532" t="s">
        <v>41</v>
      </c>
      <c r="C19" s="532" t="s">
        <v>254</v>
      </c>
      <c r="D19" s="533">
        <v>178</v>
      </c>
      <c r="E19" s="533">
        <v>142</v>
      </c>
      <c r="F19" s="533">
        <v>137</v>
      </c>
      <c r="G19" s="533">
        <v>135</v>
      </c>
      <c r="H19" s="533">
        <v>117</v>
      </c>
      <c r="I19" s="1144">
        <v>109</v>
      </c>
      <c r="J19" s="1311">
        <v>98</v>
      </c>
      <c r="K19" s="1849">
        <v>64</v>
      </c>
      <c r="L19" s="2214">
        <v>70</v>
      </c>
      <c r="M19" s="2214">
        <v>63</v>
      </c>
    </row>
    <row r="20" spans="1:13" x14ac:dyDescent="0.3">
      <c r="A20" s="531" t="s">
        <v>42</v>
      </c>
      <c r="B20" s="532" t="s">
        <v>43</v>
      </c>
      <c r="C20" s="532" t="s">
        <v>253</v>
      </c>
      <c r="D20" s="533">
        <v>540</v>
      </c>
      <c r="E20" s="533">
        <v>544</v>
      </c>
      <c r="F20" s="533">
        <v>560</v>
      </c>
      <c r="G20" s="533">
        <v>498</v>
      </c>
      <c r="H20" s="533">
        <v>437</v>
      </c>
      <c r="I20" s="1144">
        <v>392</v>
      </c>
      <c r="J20" s="1311">
        <v>358</v>
      </c>
      <c r="K20" s="1849">
        <v>216</v>
      </c>
      <c r="L20" s="2214">
        <v>245</v>
      </c>
      <c r="M20" s="2214">
        <v>219</v>
      </c>
    </row>
    <row r="21" spans="1:13" x14ac:dyDescent="0.3">
      <c r="A21" s="531" t="s">
        <v>44</v>
      </c>
      <c r="B21" s="532" t="s">
        <v>45</v>
      </c>
      <c r="C21" s="532" t="s">
        <v>254</v>
      </c>
      <c r="D21" s="533">
        <v>380</v>
      </c>
      <c r="E21" s="533">
        <v>390</v>
      </c>
      <c r="F21" s="533">
        <v>355</v>
      </c>
      <c r="G21" s="533">
        <v>332</v>
      </c>
      <c r="H21" s="533">
        <v>295</v>
      </c>
      <c r="I21" s="1144">
        <v>258</v>
      </c>
      <c r="J21" s="1311">
        <v>219</v>
      </c>
      <c r="K21" s="1849">
        <v>141</v>
      </c>
      <c r="L21" s="2214">
        <v>144</v>
      </c>
      <c r="M21" s="2214">
        <v>129</v>
      </c>
    </row>
    <row r="22" spans="1:13" x14ac:dyDescent="0.3">
      <c r="A22" s="531" t="s">
        <v>46</v>
      </c>
      <c r="B22" s="532" t="s">
        <v>47</v>
      </c>
      <c r="C22" s="532" t="s">
        <v>256</v>
      </c>
      <c r="D22" s="533">
        <v>258</v>
      </c>
      <c r="E22" s="533">
        <v>233</v>
      </c>
      <c r="F22" s="533">
        <v>242</v>
      </c>
      <c r="G22" s="533">
        <v>205</v>
      </c>
      <c r="H22" s="533">
        <v>174</v>
      </c>
      <c r="I22" s="1144">
        <v>156</v>
      </c>
      <c r="J22" s="1311">
        <v>137</v>
      </c>
      <c r="K22" s="1849">
        <v>126</v>
      </c>
      <c r="L22" s="2214">
        <v>130</v>
      </c>
      <c r="M22" s="2214">
        <v>136</v>
      </c>
    </row>
    <row r="23" spans="1:13" x14ac:dyDescent="0.3">
      <c r="A23" s="531" t="s">
        <v>48</v>
      </c>
      <c r="B23" s="532" t="s">
        <v>257</v>
      </c>
      <c r="C23" s="532" t="s">
        <v>254</v>
      </c>
      <c r="D23" s="533">
        <v>38</v>
      </c>
      <c r="E23" s="533">
        <v>53</v>
      </c>
      <c r="F23" s="533">
        <v>46</v>
      </c>
      <c r="G23" s="533">
        <v>38</v>
      </c>
      <c r="H23" s="533">
        <v>31</v>
      </c>
      <c r="I23" s="1144">
        <v>34</v>
      </c>
      <c r="J23" s="1311">
        <v>32</v>
      </c>
      <c r="K23" s="1849">
        <v>14</v>
      </c>
      <c r="L23" s="2214">
        <v>18</v>
      </c>
      <c r="M23" s="2214">
        <v>19</v>
      </c>
    </row>
    <row r="24" spans="1:13" x14ac:dyDescent="0.3">
      <c r="A24" s="531" t="s">
        <v>50</v>
      </c>
      <c r="B24" s="532" t="s">
        <v>51</v>
      </c>
      <c r="C24" s="532" t="s">
        <v>253</v>
      </c>
      <c r="D24" s="533">
        <v>152</v>
      </c>
      <c r="E24" s="533">
        <v>150</v>
      </c>
      <c r="F24" s="533">
        <v>157</v>
      </c>
      <c r="G24" s="533">
        <v>158</v>
      </c>
      <c r="H24" s="533">
        <v>129</v>
      </c>
      <c r="I24" s="1144">
        <v>112</v>
      </c>
      <c r="J24" s="1311">
        <v>89</v>
      </c>
      <c r="K24" s="1849">
        <v>73</v>
      </c>
      <c r="L24" s="2214">
        <v>80</v>
      </c>
      <c r="M24" s="2214">
        <v>74</v>
      </c>
    </row>
    <row r="25" spans="1:13" x14ac:dyDescent="0.3">
      <c r="A25" s="531" t="s">
        <v>56</v>
      </c>
      <c r="B25" s="532" t="s">
        <v>283</v>
      </c>
      <c r="C25" s="532" t="s">
        <v>254</v>
      </c>
      <c r="D25" s="533">
        <v>2119</v>
      </c>
      <c r="E25" s="533">
        <v>2155</v>
      </c>
      <c r="F25" s="533">
        <v>2054</v>
      </c>
      <c r="G25" s="533">
        <v>1901</v>
      </c>
      <c r="H25" s="533">
        <v>1640</v>
      </c>
      <c r="I25" s="1144">
        <v>1328</v>
      </c>
      <c r="J25" s="1311">
        <v>1146</v>
      </c>
      <c r="K25" s="1849">
        <v>821</v>
      </c>
      <c r="L25" s="2214">
        <v>988</v>
      </c>
      <c r="M25" s="2214">
        <v>919</v>
      </c>
    </row>
    <row r="26" spans="1:13" x14ac:dyDescent="0.3">
      <c r="A26" s="531" t="s">
        <v>58</v>
      </c>
      <c r="B26" s="532" t="s">
        <v>59</v>
      </c>
      <c r="C26" s="532" t="s">
        <v>255</v>
      </c>
      <c r="D26" s="533">
        <v>41</v>
      </c>
      <c r="E26" s="533">
        <v>43</v>
      </c>
      <c r="F26" s="533">
        <v>40</v>
      </c>
      <c r="G26" s="533">
        <v>38</v>
      </c>
      <c r="H26" s="533">
        <v>29</v>
      </c>
      <c r="I26" s="1144">
        <v>21</v>
      </c>
      <c r="J26" s="1311">
        <v>17</v>
      </c>
      <c r="K26" s="1849">
        <v>14</v>
      </c>
      <c r="L26" s="2214">
        <v>18</v>
      </c>
      <c r="M26" s="2214">
        <v>17</v>
      </c>
    </row>
    <row r="27" spans="1:13" x14ac:dyDescent="0.3">
      <c r="A27" s="531" t="s">
        <v>60</v>
      </c>
      <c r="B27" s="532" t="s">
        <v>61</v>
      </c>
      <c r="C27" s="532" t="s">
        <v>253</v>
      </c>
      <c r="D27" s="533">
        <v>21</v>
      </c>
      <c r="E27" s="533">
        <v>24</v>
      </c>
      <c r="F27" s="533">
        <v>26</v>
      </c>
      <c r="G27" s="533">
        <v>21</v>
      </c>
      <c r="H27" s="533">
        <v>22</v>
      </c>
      <c r="I27" s="1144">
        <v>26</v>
      </c>
      <c r="J27" s="1311">
        <v>24</v>
      </c>
      <c r="K27" s="1849">
        <v>15</v>
      </c>
      <c r="L27" s="2214">
        <v>17</v>
      </c>
      <c r="M27" s="2214">
        <v>17</v>
      </c>
    </row>
    <row r="28" spans="1:13" x14ac:dyDescent="0.3">
      <c r="A28" s="531" t="s">
        <v>62</v>
      </c>
      <c r="B28" s="532" t="s">
        <v>63</v>
      </c>
      <c r="C28" s="532" t="s">
        <v>255</v>
      </c>
      <c r="D28" s="533">
        <v>386</v>
      </c>
      <c r="E28" s="533">
        <v>364</v>
      </c>
      <c r="F28" s="533">
        <v>338</v>
      </c>
      <c r="G28" s="533">
        <v>337</v>
      </c>
      <c r="H28" s="533">
        <v>291</v>
      </c>
      <c r="I28" s="1144">
        <v>241</v>
      </c>
      <c r="J28" s="1311">
        <v>227</v>
      </c>
      <c r="K28" s="1849">
        <v>151</v>
      </c>
      <c r="L28" s="2214">
        <v>177</v>
      </c>
      <c r="M28" s="2214">
        <v>172</v>
      </c>
    </row>
    <row r="29" spans="1:13" x14ac:dyDescent="0.3">
      <c r="A29" s="531" t="s">
        <v>64</v>
      </c>
      <c r="B29" s="532" t="s">
        <v>65</v>
      </c>
      <c r="C29" s="532" t="s">
        <v>254</v>
      </c>
      <c r="D29" s="533">
        <v>122</v>
      </c>
      <c r="E29" s="533">
        <v>123</v>
      </c>
      <c r="F29" s="533">
        <v>115</v>
      </c>
      <c r="G29" s="533">
        <v>131</v>
      </c>
      <c r="H29" s="533">
        <v>105</v>
      </c>
      <c r="I29" s="1144">
        <v>102</v>
      </c>
      <c r="J29" s="1311">
        <v>86</v>
      </c>
      <c r="K29" s="1849">
        <v>49</v>
      </c>
      <c r="L29" s="2214">
        <v>64</v>
      </c>
      <c r="M29" s="2214">
        <v>75</v>
      </c>
    </row>
    <row r="30" spans="1:13" x14ac:dyDescent="0.3">
      <c r="A30" s="531" t="s">
        <v>68</v>
      </c>
      <c r="B30" s="532" t="s">
        <v>69</v>
      </c>
      <c r="C30" s="532" t="s">
        <v>256</v>
      </c>
      <c r="D30" s="533">
        <v>195</v>
      </c>
      <c r="E30" s="533">
        <v>174</v>
      </c>
      <c r="F30" s="533">
        <v>158</v>
      </c>
      <c r="G30" s="533">
        <v>132</v>
      </c>
      <c r="H30" s="533">
        <v>129</v>
      </c>
      <c r="I30" s="1144">
        <v>110</v>
      </c>
      <c r="J30" s="1311">
        <v>90</v>
      </c>
      <c r="K30" s="1849">
        <v>63</v>
      </c>
      <c r="L30" s="2214">
        <v>75</v>
      </c>
      <c r="M30" s="2214">
        <v>62</v>
      </c>
    </row>
    <row r="31" spans="1:13" x14ac:dyDescent="0.3">
      <c r="A31" s="531" t="s">
        <v>70</v>
      </c>
      <c r="B31" s="532" t="s">
        <v>71</v>
      </c>
      <c r="C31" s="532" t="s">
        <v>252</v>
      </c>
      <c r="D31" s="533">
        <v>282</v>
      </c>
      <c r="E31" s="533">
        <v>269</v>
      </c>
      <c r="F31" s="533">
        <v>258</v>
      </c>
      <c r="G31" s="533">
        <v>252</v>
      </c>
      <c r="H31" s="533">
        <v>253</v>
      </c>
      <c r="I31" s="1144">
        <v>208</v>
      </c>
      <c r="J31" s="1311">
        <v>178</v>
      </c>
      <c r="K31" s="1849">
        <v>100</v>
      </c>
      <c r="L31" s="2214">
        <v>102</v>
      </c>
      <c r="M31" s="2214">
        <v>94</v>
      </c>
    </row>
    <row r="32" spans="1:13" x14ac:dyDescent="0.3">
      <c r="A32" s="531" t="s">
        <v>72</v>
      </c>
      <c r="B32" s="532" t="s">
        <v>73</v>
      </c>
      <c r="C32" s="532" t="s">
        <v>254</v>
      </c>
      <c r="D32" s="533">
        <v>174</v>
      </c>
      <c r="E32" s="533">
        <v>153</v>
      </c>
      <c r="F32" s="533">
        <v>157</v>
      </c>
      <c r="G32" s="533">
        <v>132</v>
      </c>
      <c r="H32" s="533">
        <v>122</v>
      </c>
      <c r="I32" s="1144">
        <v>117</v>
      </c>
      <c r="J32" s="1311">
        <v>108</v>
      </c>
      <c r="K32" s="1849">
        <v>76</v>
      </c>
      <c r="L32" s="2214">
        <v>94</v>
      </c>
      <c r="M32" s="2214">
        <v>95</v>
      </c>
    </row>
    <row r="33" spans="1:13" x14ac:dyDescent="0.3">
      <c r="A33" s="531" t="s">
        <v>74</v>
      </c>
      <c r="B33" s="532" t="s">
        <v>284</v>
      </c>
      <c r="C33" s="532" t="s">
        <v>255</v>
      </c>
      <c r="D33" s="533">
        <v>2998</v>
      </c>
      <c r="E33" s="533">
        <v>3111</v>
      </c>
      <c r="F33" s="533">
        <v>2893</v>
      </c>
      <c r="G33" s="533">
        <v>2797</v>
      </c>
      <c r="H33" s="533">
        <v>2474</v>
      </c>
      <c r="I33" s="1144">
        <v>2061</v>
      </c>
      <c r="J33" s="1311">
        <v>1878</v>
      </c>
      <c r="K33" s="1849">
        <v>1284</v>
      </c>
      <c r="L33" s="2214">
        <v>1411</v>
      </c>
      <c r="M33" s="2214">
        <v>1268</v>
      </c>
    </row>
    <row r="34" spans="1:13" x14ac:dyDescent="0.3">
      <c r="A34" s="531" t="s">
        <v>76</v>
      </c>
      <c r="B34" s="532" t="s">
        <v>77</v>
      </c>
      <c r="C34" s="532" t="s">
        <v>255</v>
      </c>
      <c r="D34" s="533">
        <v>240</v>
      </c>
      <c r="E34" s="533">
        <v>228</v>
      </c>
      <c r="F34" s="533">
        <v>219</v>
      </c>
      <c r="G34" s="533">
        <v>186</v>
      </c>
      <c r="H34" s="533">
        <v>158</v>
      </c>
      <c r="I34" s="1144">
        <v>143</v>
      </c>
      <c r="J34" s="1311">
        <v>134</v>
      </c>
      <c r="K34" s="1849">
        <v>91</v>
      </c>
      <c r="L34" s="2214">
        <v>117</v>
      </c>
      <c r="M34" s="2214">
        <v>105</v>
      </c>
    </row>
    <row r="35" spans="1:13" x14ac:dyDescent="0.3">
      <c r="A35" s="531" t="s">
        <v>78</v>
      </c>
      <c r="B35" s="532" t="s">
        <v>79</v>
      </c>
      <c r="C35" s="532" t="s">
        <v>256</v>
      </c>
      <c r="D35" s="533">
        <v>96</v>
      </c>
      <c r="E35" s="533">
        <v>112</v>
      </c>
      <c r="F35" s="533">
        <v>118</v>
      </c>
      <c r="G35" s="533">
        <v>118</v>
      </c>
      <c r="H35" s="533">
        <v>92</v>
      </c>
      <c r="I35" s="1144">
        <v>73</v>
      </c>
      <c r="J35" s="1311">
        <v>79</v>
      </c>
      <c r="K35" s="1849">
        <v>64</v>
      </c>
      <c r="L35" s="2214">
        <v>75</v>
      </c>
      <c r="M35" s="2214">
        <v>65</v>
      </c>
    </row>
    <row r="36" spans="1:13" x14ac:dyDescent="0.3">
      <c r="A36" s="531" t="s">
        <v>80</v>
      </c>
      <c r="B36" s="532" t="s">
        <v>81</v>
      </c>
      <c r="C36" s="532" t="s">
        <v>254</v>
      </c>
      <c r="D36" s="533">
        <v>75</v>
      </c>
      <c r="E36" s="533">
        <v>99</v>
      </c>
      <c r="F36" s="533">
        <v>109</v>
      </c>
      <c r="G36" s="533">
        <v>105</v>
      </c>
      <c r="H36" s="533">
        <v>87</v>
      </c>
      <c r="I36" s="1144">
        <v>90</v>
      </c>
      <c r="J36" s="1311">
        <v>78</v>
      </c>
      <c r="K36" s="1849">
        <v>53</v>
      </c>
      <c r="L36" s="2214">
        <v>58</v>
      </c>
      <c r="M36" s="2214">
        <v>49</v>
      </c>
    </row>
    <row r="37" spans="1:13" x14ac:dyDescent="0.3">
      <c r="A37" s="531" t="s">
        <v>84</v>
      </c>
      <c r="B37" s="532" t="s">
        <v>85</v>
      </c>
      <c r="C37" s="532" t="s">
        <v>253</v>
      </c>
      <c r="D37" s="533">
        <v>469</v>
      </c>
      <c r="E37" s="533">
        <v>501</v>
      </c>
      <c r="F37" s="533">
        <v>449</v>
      </c>
      <c r="G37" s="533">
        <v>422</v>
      </c>
      <c r="H37" s="533">
        <v>387</v>
      </c>
      <c r="I37" s="1144">
        <v>326</v>
      </c>
      <c r="J37" s="1311">
        <v>305</v>
      </c>
      <c r="K37" s="1849">
        <v>193</v>
      </c>
      <c r="L37" s="2214">
        <v>233</v>
      </c>
      <c r="M37" s="2214">
        <v>244</v>
      </c>
    </row>
    <row r="38" spans="1:13" x14ac:dyDescent="0.3">
      <c r="A38" s="531" t="s">
        <v>86</v>
      </c>
      <c r="B38" s="532" t="s">
        <v>87</v>
      </c>
      <c r="C38" s="532" t="s">
        <v>255</v>
      </c>
      <c r="D38" s="533">
        <v>350</v>
      </c>
      <c r="E38" s="533">
        <v>385</v>
      </c>
      <c r="F38" s="533">
        <v>362</v>
      </c>
      <c r="G38" s="533">
        <v>326</v>
      </c>
      <c r="H38" s="533">
        <v>218</v>
      </c>
      <c r="I38" s="1144">
        <v>142</v>
      </c>
      <c r="J38" s="1311">
        <v>155</v>
      </c>
      <c r="K38" s="1849">
        <v>116</v>
      </c>
      <c r="L38" s="2214">
        <v>151</v>
      </c>
      <c r="M38" s="2214">
        <v>124</v>
      </c>
    </row>
    <row r="39" spans="1:13" x14ac:dyDescent="0.3">
      <c r="A39" s="531" t="s">
        <v>92</v>
      </c>
      <c r="B39" s="532" t="s">
        <v>93</v>
      </c>
      <c r="C39" s="532" t="s">
        <v>256</v>
      </c>
      <c r="D39" s="533">
        <v>95</v>
      </c>
      <c r="E39" s="533">
        <v>115</v>
      </c>
      <c r="F39" s="533">
        <v>105</v>
      </c>
      <c r="G39" s="533">
        <v>121</v>
      </c>
      <c r="H39" s="533">
        <v>87</v>
      </c>
      <c r="I39" s="1144">
        <v>73</v>
      </c>
      <c r="J39" s="1311">
        <v>85</v>
      </c>
      <c r="K39" s="1849">
        <v>60</v>
      </c>
      <c r="L39" s="2214">
        <v>74</v>
      </c>
      <c r="M39" s="2214">
        <v>82</v>
      </c>
    </row>
    <row r="40" spans="1:13" x14ac:dyDescent="0.3">
      <c r="A40" s="531" t="s">
        <v>94</v>
      </c>
      <c r="B40" s="532" t="s">
        <v>95</v>
      </c>
      <c r="C40" s="532" t="s">
        <v>252</v>
      </c>
      <c r="D40" s="533">
        <v>249</v>
      </c>
      <c r="E40" s="533">
        <v>219</v>
      </c>
      <c r="F40" s="533">
        <v>204</v>
      </c>
      <c r="G40" s="533">
        <v>184</v>
      </c>
      <c r="H40" s="533">
        <v>200</v>
      </c>
      <c r="I40" s="1144">
        <v>194</v>
      </c>
      <c r="J40" s="1311">
        <v>176</v>
      </c>
      <c r="K40" s="1849">
        <v>105</v>
      </c>
      <c r="L40" s="2214">
        <v>125</v>
      </c>
      <c r="M40" s="2214">
        <v>132</v>
      </c>
    </row>
    <row r="41" spans="1:13" x14ac:dyDescent="0.3">
      <c r="A41" s="531" t="s">
        <v>96</v>
      </c>
      <c r="B41" s="532" t="s">
        <v>97</v>
      </c>
      <c r="C41" s="532" t="s">
        <v>254</v>
      </c>
      <c r="D41" s="533">
        <v>81</v>
      </c>
      <c r="E41" s="533">
        <v>94</v>
      </c>
      <c r="F41" s="533">
        <v>79</v>
      </c>
      <c r="G41" s="533">
        <v>66</v>
      </c>
      <c r="H41" s="533">
        <v>47</v>
      </c>
      <c r="I41" s="1144">
        <v>49</v>
      </c>
      <c r="J41" s="1311">
        <v>46</v>
      </c>
      <c r="K41" s="1849">
        <v>32</v>
      </c>
      <c r="L41" s="2214">
        <v>29</v>
      </c>
      <c r="M41" s="2214">
        <v>25</v>
      </c>
    </row>
    <row r="42" spans="1:13" x14ac:dyDescent="0.3">
      <c r="A42" s="531" t="s">
        <v>98</v>
      </c>
      <c r="B42" s="532" t="s">
        <v>99</v>
      </c>
      <c r="C42" s="532" t="s">
        <v>256</v>
      </c>
      <c r="D42" s="533">
        <v>106</v>
      </c>
      <c r="E42" s="533">
        <v>95</v>
      </c>
      <c r="F42" s="533">
        <v>97</v>
      </c>
      <c r="G42" s="533">
        <v>90</v>
      </c>
      <c r="H42" s="533">
        <v>86</v>
      </c>
      <c r="I42" s="1144">
        <v>67</v>
      </c>
      <c r="J42" s="1311">
        <v>53</v>
      </c>
      <c r="K42" s="1849">
        <v>33</v>
      </c>
      <c r="L42" s="2214">
        <v>43</v>
      </c>
      <c r="M42" s="2214">
        <v>54</v>
      </c>
    </row>
    <row r="43" spans="1:13" x14ac:dyDescent="0.3">
      <c r="A43" s="531" t="s">
        <v>100</v>
      </c>
      <c r="B43" s="532" t="s">
        <v>101</v>
      </c>
      <c r="C43" s="532" t="s">
        <v>255</v>
      </c>
      <c r="D43" s="533">
        <v>117</v>
      </c>
      <c r="E43" s="533">
        <v>114</v>
      </c>
      <c r="F43" s="533">
        <v>105</v>
      </c>
      <c r="G43" s="533">
        <v>81</v>
      </c>
      <c r="H43" s="533">
        <v>72</v>
      </c>
      <c r="I43" s="1144">
        <v>85</v>
      </c>
      <c r="J43" s="1311">
        <v>96</v>
      </c>
      <c r="K43" s="1849">
        <v>59</v>
      </c>
      <c r="L43" s="2214">
        <v>72</v>
      </c>
      <c r="M43" s="2214">
        <v>62</v>
      </c>
    </row>
    <row r="44" spans="1:13" x14ac:dyDescent="0.3">
      <c r="A44" s="531" t="s">
        <v>102</v>
      </c>
      <c r="B44" s="532" t="s">
        <v>270</v>
      </c>
      <c r="C44" s="532" t="s">
        <v>252</v>
      </c>
      <c r="D44" s="533">
        <v>268</v>
      </c>
      <c r="E44" s="533">
        <v>301</v>
      </c>
      <c r="F44" s="533">
        <v>275</v>
      </c>
      <c r="G44" s="533">
        <v>282</v>
      </c>
      <c r="H44" s="533">
        <v>279</v>
      </c>
      <c r="I44" s="1144">
        <v>241</v>
      </c>
      <c r="J44" s="1311">
        <v>192</v>
      </c>
      <c r="K44" s="1849">
        <v>132</v>
      </c>
      <c r="L44" s="2214">
        <v>144</v>
      </c>
      <c r="M44" s="2214">
        <v>142</v>
      </c>
    </row>
    <row r="45" spans="1:13" x14ac:dyDescent="0.3">
      <c r="A45" s="531" t="s">
        <v>104</v>
      </c>
      <c r="B45" s="532" t="s">
        <v>105</v>
      </c>
      <c r="C45" s="532" t="s">
        <v>253</v>
      </c>
      <c r="D45" s="533">
        <v>482</v>
      </c>
      <c r="E45" s="533">
        <v>454</v>
      </c>
      <c r="F45" s="533">
        <v>403</v>
      </c>
      <c r="G45" s="533">
        <v>370</v>
      </c>
      <c r="H45" s="533">
        <v>336</v>
      </c>
      <c r="I45" s="1144">
        <v>299</v>
      </c>
      <c r="J45" s="1311">
        <v>268</v>
      </c>
      <c r="K45" s="1849">
        <v>175</v>
      </c>
      <c r="L45" s="2214">
        <v>184</v>
      </c>
      <c r="M45" s="2214">
        <v>160</v>
      </c>
    </row>
    <row r="46" spans="1:13" x14ac:dyDescent="0.3">
      <c r="A46" s="531" t="s">
        <v>108</v>
      </c>
      <c r="B46" s="532" t="s">
        <v>109</v>
      </c>
      <c r="C46" s="532" t="s">
        <v>254</v>
      </c>
      <c r="D46" s="533">
        <v>345</v>
      </c>
      <c r="E46" s="533">
        <v>359</v>
      </c>
      <c r="F46" s="533">
        <v>315</v>
      </c>
      <c r="G46" s="533">
        <v>280</v>
      </c>
      <c r="H46" s="533">
        <v>264</v>
      </c>
      <c r="I46" s="1144">
        <v>201</v>
      </c>
      <c r="J46" s="1311">
        <v>181</v>
      </c>
      <c r="K46" s="1849">
        <v>156</v>
      </c>
      <c r="L46" s="2214">
        <v>163</v>
      </c>
      <c r="M46" s="2214">
        <v>152</v>
      </c>
    </row>
    <row r="47" spans="1:13" x14ac:dyDescent="0.3">
      <c r="A47" s="531" t="s">
        <v>110</v>
      </c>
      <c r="B47" s="532" t="s">
        <v>111</v>
      </c>
      <c r="C47" s="532" t="s">
        <v>254</v>
      </c>
      <c r="D47" s="533">
        <v>2779</v>
      </c>
      <c r="E47" s="533">
        <v>2873</v>
      </c>
      <c r="F47" s="533">
        <v>2760</v>
      </c>
      <c r="G47" s="533">
        <v>2452</v>
      </c>
      <c r="H47" s="533">
        <v>2188</v>
      </c>
      <c r="I47" s="1144">
        <v>1957</v>
      </c>
      <c r="J47" s="1311">
        <v>1701</v>
      </c>
      <c r="K47" s="1849">
        <v>1240</v>
      </c>
      <c r="L47" s="2214">
        <v>1420</v>
      </c>
      <c r="M47" s="2214">
        <v>1332</v>
      </c>
    </row>
    <row r="48" spans="1:13" x14ac:dyDescent="0.3">
      <c r="A48" s="531" t="s">
        <v>112</v>
      </c>
      <c r="B48" s="532" t="s">
        <v>288</v>
      </c>
      <c r="C48" s="532" t="s">
        <v>253</v>
      </c>
      <c r="D48" s="533">
        <v>1049</v>
      </c>
      <c r="E48" s="533">
        <v>1036</v>
      </c>
      <c r="F48" s="533">
        <v>921</v>
      </c>
      <c r="G48" s="533">
        <v>831</v>
      </c>
      <c r="H48" s="533">
        <v>766</v>
      </c>
      <c r="I48" s="1144">
        <v>714</v>
      </c>
      <c r="J48" s="1311">
        <v>617</v>
      </c>
      <c r="K48" s="1849">
        <v>436</v>
      </c>
      <c r="L48" s="2214">
        <v>449</v>
      </c>
      <c r="M48" s="2214">
        <v>418</v>
      </c>
    </row>
    <row r="49" spans="1:13" x14ac:dyDescent="0.3">
      <c r="A49" s="531" t="s">
        <v>114</v>
      </c>
      <c r="B49" s="532" t="s">
        <v>115</v>
      </c>
      <c r="C49" s="532" t="s">
        <v>253</v>
      </c>
      <c r="D49" s="533">
        <v>1</v>
      </c>
      <c r="E49" s="533">
        <v>3</v>
      </c>
      <c r="F49" s="533">
        <v>3</v>
      </c>
      <c r="G49" s="533">
        <v>4</v>
      </c>
      <c r="H49" s="533">
        <v>5</v>
      </c>
      <c r="I49" s="1144">
        <v>6</v>
      </c>
      <c r="J49" s="1311">
        <v>6</v>
      </c>
      <c r="K49" s="1849">
        <v>3</v>
      </c>
      <c r="L49" s="2214">
        <v>7</v>
      </c>
      <c r="M49" s="2214">
        <v>3</v>
      </c>
    </row>
    <row r="50" spans="1:13" x14ac:dyDescent="0.3">
      <c r="A50" s="531" t="s">
        <v>118</v>
      </c>
      <c r="B50" s="532" t="s">
        <v>258</v>
      </c>
      <c r="C50" s="532" t="s">
        <v>252</v>
      </c>
      <c r="D50" s="533">
        <v>296</v>
      </c>
      <c r="E50" s="533">
        <v>298</v>
      </c>
      <c r="F50" s="533">
        <v>255</v>
      </c>
      <c r="G50" s="533">
        <v>234</v>
      </c>
      <c r="H50" s="533">
        <v>203</v>
      </c>
      <c r="I50" s="1144">
        <v>176</v>
      </c>
      <c r="J50" s="1311">
        <v>179</v>
      </c>
      <c r="K50" s="1849">
        <v>115</v>
      </c>
      <c r="L50" s="2214">
        <v>117</v>
      </c>
      <c r="M50" s="2214">
        <v>112</v>
      </c>
    </row>
    <row r="51" spans="1:13" x14ac:dyDescent="0.3">
      <c r="A51" s="531" t="s">
        <v>120</v>
      </c>
      <c r="B51" s="532" t="s">
        <v>121</v>
      </c>
      <c r="C51" s="532" t="s">
        <v>252</v>
      </c>
      <c r="D51" s="533">
        <v>285</v>
      </c>
      <c r="E51" s="533">
        <v>306</v>
      </c>
      <c r="F51" s="533">
        <v>303</v>
      </c>
      <c r="G51" s="533">
        <v>318</v>
      </c>
      <c r="H51" s="533">
        <v>276</v>
      </c>
      <c r="I51" s="1144">
        <v>264</v>
      </c>
      <c r="J51" s="1311">
        <v>264</v>
      </c>
      <c r="K51" s="1849">
        <v>162</v>
      </c>
      <c r="L51" s="2214">
        <v>202</v>
      </c>
      <c r="M51" s="2214">
        <v>161</v>
      </c>
    </row>
    <row r="52" spans="1:13" x14ac:dyDescent="0.3">
      <c r="A52" s="531" t="s">
        <v>122</v>
      </c>
      <c r="B52" s="532" t="s">
        <v>275</v>
      </c>
      <c r="C52" s="532" t="s">
        <v>254</v>
      </c>
      <c r="D52" s="533">
        <v>62</v>
      </c>
      <c r="E52" s="533">
        <v>59</v>
      </c>
      <c r="F52" s="533">
        <v>55</v>
      </c>
      <c r="G52" s="533">
        <v>48</v>
      </c>
      <c r="H52" s="533">
        <v>49</v>
      </c>
      <c r="I52" s="1144">
        <v>64</v>
      </c>
      <c r="J52" s="1311">
        <v>103</v>
      </c>
      <c r="K52" s="1849">
        <v>38</v>
      </c>
      <c r="L52" s="2214">
        <v>45</v>
      </c>
      <c r="M52" s="2214">
        <v>36</v>
      </c>
    </row>
    <row r="53" spans="1:13" x14ac:dyDescent="0.3">
      <c r="A53" s="531" t="s">
        <v>124</v>
      </c>
      <c r="B53" s="532" t="s">
        <v>125</v>
      </c>
      <c r="C53" s="532" t="s">
        <v>255</v>
      </c>
      <c r="D53" s="533">
        <v>105</v>
      </c>
      <c r="E53" s="533">
        <v>113</v>
      </c>
      <c r="F53" s="533">
        <v>111</v>
      </c>
      <c r="G53" s="533">
        <v>118</v>
      </c>
      <c r="H53" s="533">
        <v>114</v>
      </c>
      <c r="I53" s="1144">
        <v>89</v>
      </c>
      <c r="J53" s="1311">
        <v>46</v>
      </c>
      <c r="K53" s="1849">
        <v>67</v>
      </c>
      <c r="L53" s="2214">
        <v>69</v>
      </c>
      <c r="M53" s="2214">
        <v>70</v>
      </c>
    </row>
    <row r="54" spans="1:13" x14ac:dyDescent="0.3">
      <c r="A54" s="531" t="s">
        <v>126</v>
      </c>
      <c r="B54" s="532" t="s">
        <v>127</v>
      </c>
      <c r="C54" s="532" t="s">
        <v>254</v>
      </c>
      <c r="D54" s="533">
        <v>107</v>
      </c>
      <c r="E54" s="533">
        <v>106</v>
      </c>
      <c r="F54" s="533">
        <v>88</v>
      </c>
      <c r="G54" s="533">
        <v>79</v>
      </c>
      <c r="H54" s="533">
        <v>76</v>
      </c>
      <c r="I54" s="1144">
        <v>57</v>
      </c>
      <c r="J54" s="1311">
        <v>47</v>
      </c>
      <c r="K54" s="1849">
        <v>32</v>
      </c>
      <c r="L54" s="2214">
        <v>44</v>
      </c>
      <c r="M54" s="2214">
        <v>41</v>
      </c>
    </row>
    <row r="55" spans="1:13" x14ac:dyDescent="0.3">
      <c r="A55" s="531" t="s">
        <v>128</v>
      </c>
      <c r="B55" s="532" t="s">
        <v>129</v>
      </c>
      <c r="C55" s="532" t="s">
        <v>254</v>
      </c>
      <c r="D55" s="533">
        <v>81</v>
      </c>
      <c r="E55" s="533">
        <v>86</v>
      </c>
      <c r="F55" s="533">
        <v>92</v>
      </c>
      <c r="G55" s="533">
        <v>73</v>
      </c>
      <c r="H55" s="533">
        <v>73</v>
      </c>
      <c r="I55" s="1144">
        <v>71</v>
      </c>
      <c r="J55" s="1311">
        <v>72</v>
      </c>
      <c r="K55" s="1849">
        <v>48</v>
      </c>
      <c r="L55" s="2214">
        <v>50</v>
      </c>
      <c r="M55" s="2214">
        <v>48</v>
      </c>
    </row>
    <row r="56" spans="1:13" x14ac:dyDescent="0.3">
      <c r="A56" s="531" t="s">
        <v>130</v>
      </c>
      <c r="B56" s="532" t="s">
        <v>131</v>
      </c>
      <c r="C56" s="532" t="s">
        <v>256</v>
      </c>
      <c r="D56" s="533">
        <v>482</v>
      </c>
      <c r="E56" s="533">
        <v>507</v>
      </c>
      <c r="F56" s="533">
        <v>503</v>
      </c>
      <c r="G56" s="533">
        <v>500</v>
      </c>
      <c r="H56" s="533">
        <v>445</v>
      </c>
      <c r="I56" s="1144">
        <v>409</v>
      </c>
      <c r="J56" s="1311">
        <v>383</v>
      </c>
      <c r="K56" s="1849">
        <v>275</v>
      </c>
      <c r="L56" s="2214">
        <v>316</v>
      </c>
      <c r="M56" s="2214">
        <v>291</v>
      </c>
    </row>
    <row r="57" spans="1:13" x14ac:dyDescent="0.3">
      <c r="A57" s="531" t="s">
        <v>132</v>
      </c>
      <c r="B57" s="532" t="s">
        <v>133</v>
      </c>
      <c r="C57" s="532" t="s">
        <v>255</v>
      </c>
      <c r="D57" s="533">
        <v>599</v>
      </c>
      <c r="E57" s="533">
        <v>514</v>
      </c>
      <c r="F57" s="533">
        <v>513</v>
      </c>
      <c r="G57" s="533">
        <v>481</v>
      </c>
      <c r="H57" s="533">
        <v>415</v>
      </c>
      <c r="I57" s="1144">
        <v>401</v>
      </c>
      <c r="J57" s="1311">
        <v>412</v>
      </c>
      <c r="K57" s="1849">
        <v>245</v>
      </c>
      <c r="L57" s="2214">
        <v>294</v>
      </c>
      <c r="M57" s="2214">
        <v>252</v>
      </c>
    </row>
    <row r="58" spans="1:13" x14ac:dyDescent="0.3">
      <c r="A58" s="531" t="s">
        <v>134</v>
      </c>
      <c r="B58" s="532" t="s">
        <v>135</v>
      </c>
      <c r="C58" s="532" t="s">
        <v>255</v>
      </c>
      <c r="D58" s="533">
        <v>218</v>
      </c>
      <c r="E58" s="533">
        <v>221</v>
      </c>
      <c r="F58" s="533">
        <v>189</v>
      </c>
      <c r="G58" s="533">
        <v>200</v>
      </c>
      <c r="H58" s="533">
        <v>194</v>
      </c>
      <c r="I58" s="1144">
        <v>181</v>
      </c>
      <c r="J58" s="1311">
        <v>153</v>
      </c>
      <c r="K58" s="1849">
        <v>106</v>
      </c>
      <c r="L58" s="2214">
        <v>121</v>
      </c>
      <c r="M58" s="2214">
        <v>112</v>
      </c>
    </row>
    <row r="59" spans="1:13" x14ac:dyDescent="0.3">
      <c r="A59" s="531" t="s">
        <v>136</v>
      </c>
      <c r="B59" s="532" t="s">
        <v>137</v>
      </c>
      <c r="C59" s="532" t="s">
        <v>254</v>
      </c>
      <c r="D59" s="533">
        <v>99</v>
      </c>
      <c r="E59" s="533">
        <v>120</v>
      </c>
      <c r="F59" s="533">
        <v>132</v>
      </c>
      <c r="G59" s="533">
        <v>115</v>
      </c>
      <c r="H59" s="533">
        <v>101</v>
      </c>
      <c r="I59" s="1144">
        <v>70</v>
      </c>
      <c r="J59" s="1311">
        <v>61</v>
      </c>
      <c r="K59" s="1849">
        <v>46</v>
      </c>
      <c r="L59" s="2214">
        <v>66</v>
      </c>
      <c r="M59" s="2214">
        <v>80</v>
      </c>
    </row>
    <row r="60" spans="1:13" x14ac:dyDescent="0.3">
      <c r="A60" s="531" t="s">
        <v>140</v>
      </c>
      <c r="B60" s="532" t="s">
        <v>141</v>
      </c>
      <c r="C60" s="532" t="s">
        <v>255</v>
      </c>
      <c r="D60" s="533">
        <v>61</v>
      </c>
      <c r="E60" s="533">
        <v>59</v>
      </c>
      <c r="F60" s="533">
        <v>55</v>
      </c>
      <c r="G60" s="533">
        <v>55</v>
      </c>
      <c r="H60" s="533">
        <v>52</v>
      </c>
      <c r="I60" s="1144">
        <v>49</v>
      </c>
      <c r="J60" s="1311">
        <v>42</v>
      </c>
      <c r="K60" s="1849">
        <v>26</v>
      </c>
      <c r="L60" s="2214">
        <v>37</v>
      </c>
      <c r="M60" s="2214">
        <v>30</v>
      </c>
    </row>
    <row r="61" spans="1:13" x14ac:dyDescent="0.3">
      <c r="A61" s="531" t="s">
        <v>146</v>
      </c>
      <c r="B61" s="532" t="s">
        <v>147</v>
      </c>
      <c r="C61" s="532" t="s">
        <v>252</v>
      </c>
      <c r="D61" s="533">
        <v>46</v>
      </c>
      <c r="E61" s="533">
        <v>45</v>
      </c>
      <c r="F61" s="533">
        <v>41</v>
      </c>
      <c r="G61" s="533">
        <v>48</v>
      </c>
      <c r="H61" s="533">
        <v>40</v>
      </c>
      <c r="I61" s="1144">
        <v>35</v>
      </c>
      <c r="J61" s="1311">
        <v>30</v>
      </c>
      <c r="K61" s="1849">
        <v>27</v>
      </c>
      <c r="L61" s="2214">
        <v>29</v>
      </c>
      <c r="M61" s="2214">
        <v>26</v>
      </c>
    </row>
    <row r="62" spans="1:13" x14ac:dyDescent="0.3">
      <c r="A62" s="531" t="s">
        <v>148</v>
      </c>
      <c r="B62" s="532" t="s">
        <v>149</v>
      </c>
      <c r="C62" s="532" t="s">
        <v>253</v>
      </c>
      <c r="D62" s="533">
        <v>348</v>
      </c>
      <c r="E62" s="533">
        <v>322</v>
      </c>
      <c r="F62" s="533">
        <v>300</v>
      </c>
      <c r="G62" s="533">
        <v>299</v>
      </c>
      <c r="H62" s="533">
        <v>298</v>
      </c>
      <c r="I62" s="1144">
        <v>241</v>
      </c>
      <c r="J62" s="1311">
        <v>193</v>
      </c>
      <c r="K62" s="1849">
        <v>141</v>
      </c>
      <c r="L62" s="2214">
        <v>171</v>
      </c>
      <c r="M62" s="2214">
        <v>147</v>
      </c>
    </row>
    <row r="63" spans="1:13" x14ac:dyDescent="0.3">
      <c r="A63" s="531" t="s">
        <v>150</v>
      </c>
      <c r="B63" s="532" t="s">
        <v>151</v>
      </c>
      <c r="C63" s="532" t="s">
        <v>254</v>
      </c>
      <c r="D63" s="533">
        <v>85</v>
      </c>
      <c r="E63" s="533">
        <v>77</v>
      </c>
      <c r="F63" s="533">
        <v>87</v>
      </c>
      <c r="G63" s="533">
        <v>94</v>
      </c>
      <c r="H63" s="533">
        <v>111</v>
      </c>
      <c r="I63" s="1144">
        <v>88</v>
      </c>
      <c r="J63" s="1311">
        <v>77</v>
      </c>
      <c r="K63" s="1849">
        <v>60</v>
      </c>
      <c r="L63" s="2214">
        <v>64</v>
      </c>
      <c r="M63" s="2214">
        <v>62</v>
      </c>
    </row>
    <row r="64" spans="1:13" x14ac:dyDescent="0.3">
      <c r="A64" s="531" t="s">
        <v>152</v>
      </c>
      <c r="B64" s="532" t="s">
        <v>153</v>
      </c>
      <c r="C64" s="532" t="s">
        <v>256</v>
      </c>
      <c r="D64" s="533">
        <v>720</v>
      </c>
      <c r="E64" s="533">
        <v>731</v>
      </c>
      <c r="F64" s="533">
        <v>659</v>
      </c>
      <c r="G64" s="533">
        <v>570</v>
      </c>
      <c r="H64" s="533">
        <v>517</v>
      </c>
      <c r="I64" s="1144">
        <v>433</v>
      </c>
      <c r="J64" s="1311">
        <v>418</v>
      </c>
      <c r="K64" s="1849">
        <v>300</v>
      </c>
      <c r="L64" s="2214">
        <v>349</v>
      </c>
      <c r="M64" s="2214">
        <v>343</v>
      </c>
    </row>
    <row r="65" spans="1:13" x14ac:dyDescent="0.3">
      <c r="A65" s="531" t="s">
        <v>154</v>
      </c>
      <c r="B65" s="532" t="s">
        <v>155</v>
      </c>
      <c r="C65" s="532" t="s">
        <v>253</v>
      </c>
      <c r="D65" s="533">
        <v>84</v>
      </c>
      <c r="E65" s="533">
        <v>76</v>
      </c>
      <c r="F65" s="533">
        <v>80</v>
      </c>
      <c r="G65" s="533">
        <v>74</v>
      </c>
      <c r="H65" s="533">
        <v>67</v>
      </c>
      <c r="I65" s="1144">
        <v>73</v>
      </c>
      <c r="J65" s="1311">
        <v>86</v>
      </c>
      <c r="K65" s="1849">
        <v>46</v>
      </c>
      <c r="L65" s="2214">
        <v>52</v>
      </c>
      <c r="M65" s="2214">
        <v>52</v>
      </c>
    </row>
    <row r="66" spans="1:13" x14ac:dyDescent="0.3">
      <c r="A66" s="531" t="s">
        <v>156</v>
      </c>
      <c r="B66" s="532" t="s">
        <v>157</v>
      </c>
      <c r="C66" s="532" t="s">
        <v>254</v>
      </c>
      <c r="D66" s="533">
        <v>83</v>
      </c>
      <c r="E66" s="533">
        <v>91</v>
      </c>
      <c r="F66" s="533">
        <v>97</v>
      </c>
      <c r="G66" s="533">
        <v>81</v>
      </c>
      <c r="H66" s="533">
        <v>78</v>
      </c>
      <c r="I66" s="1144">
        <v>74</v>
      </c>
      <c r="J66" s="1311">
        <v>79</v>
      </c>
      <c r="K66" s="1849">
        <v>40</v>
      </c>
      <c r="L66" s="2214">
        <v>44</v>
      </c>
      <c r="M66" s="2214">
        <v>31</v>
      </c>
    </row>
    <row r="67" spans="1:13" x14ac:dyDescent="0.3">
      <c r="A67" s="531" t="s">
        <v>162</v>
      </c>
      <c r="B67" s="532" t="s">
        <v>163</v>
      </c>
      <c r="C67" s="532" t="s">
        <v>252</v>
      </c>
      <c r="D67" s="533">
        <v>191</v>
      </c>
      <c r="E67" s="533">
        <v>205</v>
      </c>
      <c r="F67" s="533">
        <v>188</v>
      </c>
      <c r="G67" s="533">
        <v>173</v>
      </c>
      <c r="H67" s="533">
        <v>151</v>
      </c>
      <c r="I67" s="1144">
        <v>126</v>
      </c>
      <c r="J67" s="1311">
        <v>90</v>
      </c>
      <c r="K67" s="1849">
        <v>63</v>
      </c>
      <c r="L67" s="2214">
        <v>69</v>
      </c>
      <c r="M67" s="2214">
        <v>62</v>
      </c>
    </row>
    <row r="68" spans="1:13" x14ac:dyDescent="0.3">
      <c r="A68" s="531" t="s">
        <v>164</v>
      </c>
      <c r="B68" s="532" t="s">
        <v>165</v>
      </c>
      <c r="C68" s="532" t="s">
        <v>254</v>
      </c>
      <c r="D68" s="533">
        <v>60</v>
      </c>
      <c r="E68" s="533">
        <v>67</v>
      </c>
      <c r="F68" s="533">
        <v>57</v>
      </c>
      <c r="G68" s="533">
        <v>67</v>
      </c>
      <c r="H68" s="533">
        <v>64</v>
      </c>
      <c r="I68" s="1144">
        <v>66</v>
      </c>
      <c r="J68" s="1311">
        <v>55</v>
      </c>
      <c r="K68" s="1849">
        <v>39</v>
      </c>
      <c r="L68" s="2214">
        <v>48</v>
      </c>
      <c r="M68" s="2214">
        <v>51</v>
      </c>
    </row>
    <row r="69" spans="1:13" x14ac:dyDescent="0.3">
      <c r="A69" s="531" t="s">
        <v>168</v>
      </c>
      <c r="B69" s="532" t="s">
        <v>169</v>
      </c>
      <c r="C69" s="532" t="s">
        <v>254</v>
      </c>
      <c r="D69" s="533">
        <v>221</v>
      </c>
      <c r="E69" s="533">
        <v>235</v>
      </c>
      <c r="F69" s="533">
        <v>243</v>
      </c>
      <c r="G69" s="533">
        <v>249</v>
      </c>
      <c r="H69" s="533">
        <v>224</v>
      </c>
      <c r="I69" s="1144">
        <v>183</v>
      </c>
      <c r="J69" s="1311">
        <v>144</v>
      </c>
      <c r="K69" s="1849">
        <v>81</v>
      </c>
      <c r="L69" s="2214">
        <v>109</v>
      </c>
      <c r="M69" s="2214">
        <v>120</v>
      </c>
    </row>
    <row r="70" spans="1:13" x14ac:dyDescent="0.3">
      <c r="A70" s="531" t="s">
        <v>170</v>
      </c>
      <c r="B70" s="532" t="s">
        <v>171</v>
      </c>
      <c r="C70" s="532" t="s">
        <v>255</v>
      </c>
      <c r="D70" s="533">
        <v>175</v>
      </c>
      <c r="E70" s="533">
        <v>173</v>
      </c>
      <c r="F70" s="533">
        <v>162</v>
      </c>
      <c r="G70" s="533">
        <v>156</v>
      </c>
      <c r="H70" s="533">
        <v>156</v>
      </c>
      <c r="I70" s="1144">
        <v>166</v>
      </c>
      <c r="J70" s="1311">
        <v>160</v>
      </c>
      <c r="K70" s="1849">
        <v>103</v>
      </c>
      <c r="L70" s="2214">
        <v>100</v>
      </c>
      <c r="M70" s="2214">
        <v>91</v>
      </c>
    </row>
    <row r="71" spans="1:13" x14ac:dyDescent="0.3">
      <c r="A71" s="531" t="s">
        <v>172</v>
      </c>
      <c r="B71" s="532" t="s">
        <v>173</v>
      </c>
      <c r="C71" s="532" t="s">
        <v>255</v>
      </c>
      <c r="D71" s="533">
        <v>179</v>
      </c>
      <c r="E71" s="533">
        <v>172</v>
      </c>
      <c r="F71" s="533">
        <v>143</v>
      </c>
      <c r="G71" s="533">
        <v>124</v>
      </c>
      <c r="H71" s="533">
        <v>105</v>
      </c>
      <c r="I71" s="1144">
        <v>80</v>
      </c>
      <c r="J71" s="1311">
        <v>70</v>
      </c>
      <c r="K71" s="1849">
        <v>44</v>
      </c>
      <c r="L71" s="2214">
        <v>45</v>
      </c>
      <c r="M71" s="2214">
        <v>40</v>
      </c>
    </row>
    <row r="72" spans="1:13" x14ac:dyDescent="0.3">
      <c r="A72" s="531" t="s">
        <v>174</v>
      </c>
      <c r="B72" s="532" t="s">
        <v>175</v>
      </c>
      <c r="C72" s="532" t="s">
        <v>256</v>
      </c>
      <c r="D72" s="533">
        <v>195</v>
      </c>
      <c r="E72" s="533">
        <v>203</v>
      </c>
      <c r="F72" s="533">
        <v>214</v>
      </c>
      <c r="G72" s="533">
        <v>172</v>
      </c>
      <c r="H72" s="533">
        <v>171</v>
      </c>
      <c r="I72" s="1144">
        <v>151</v>
      </c>
      <c r="J72" s="1311">
        <v>139</v>
      </c>
      <c r="K72" s="1849">
        <v>79</v>
      </c>
      <c r="L72" s="2214">
        <v>113</v>
      </c>
      <c r="M72" s="2214">
        <v>96</v>
      </c>
    </row>
    <row r="73" spans="1:13" x14ac:dyDescent="0.3">
      <c r="A73" s="531" t="s">
        <v>178</v>
      </c>
      <c r="B73" s="532" t="s">
        <v>179</v>
      </c>
      <c r="C73" s="532" t="s">
        <v>253</v>
      </c>
      <c r="D73" s="533">
        <v>496</v>
      </c>
      <c r="E73" s="533">
        <v>476</v>
      </c>
      <c r="F73" s="533">
        <v>442</v>
      </c>
      <c r="G73" s="533">
        <v>415</v>
      </c>
      <c r="H73" s="533">
        <v>404</v>
      </c>
      <c r="I73" s="1144">
        <v>333</v>
      </c>
      <c r="J73" s="1311">
        <v>310</v>
      </c>
      <c r="K73" s="1849">
        <v>194</v>
      </c>
      <c r="L73" s="2214">
        <v>217</v>
      </c>
      <c r="M73" s="2214">
        <v>223</v>
      </c>
    </row>
    <row r="74" spans="1:13" x14ac:dyDescent="0.3">
      <c r="A74" s="531" t="s">
        <v>182</v>
      </c>
      <c r="B74" s="532" t="s">
        <v>183</v>
      </c>
      <c r="C74" s="532" t="s">
        <v>254</v>
      </c>
      <c r="D74" s="533">
        <v>73</v>
      </c>
      <c r="E74" s="533">
        <v>99</v>
      </c>
      <c r="F74" s="533">
        <v>95</v>
      </c>
      <c r="G74" s="533">
        <v>92</v>
      </c>
      <c r="H74" s="533">
        <v>75</v>
      </c>
      <c r="I74" s="1144">
        <v>76</v>
      </c>
      <c r="J74" s="1311">
        <v>66</v>
      </c>
      <c r="K74" s="1849">
        <v>36</v>
      </c>
      <c r="L74" s="2214">
        <v>46</v>
      </c>
      <c r="M74" s="2214">
        <v>50</v>
      </c>
    </row>
    <row r="75" spans="1:13" x14ac:dyDescent="0.3">
      <c r="A75" s="531" t="s">
        <v>184</v>
      </c>
      <c r="B75" s="532" t="s">
        <v>185</v>
      </c>
      <c r="C75" s="532" t="s">
        <v>254</v>
      </c>
      <c r="D75" s="533">
        <v>276</v>
      </c>
      <c r="E75" s="533">
        <v>269</v>
      </c>
      <c r="F75" s="533">
        <v>247</v>
      </c>
      <c r="G75" s="533">
        <v>264</v>
      </c>
      <c r="H75" s="533">
        <v>233</v>
      </c>
      <c r="I75" s="1144">
        <v>202</v>
      </c>
      <c r="J75" s="1311">
        <v>171</v>
      </c>
      <c r="K75" s="1849">
        <v>109</v>
      </c>
      <c r="L75" s="2214">
        <v>132</v>
      </c>
      <c r="M75" s="2214">
        <v>118</v>
      </c>
    </row>
    <row r="76" spans="1:13" x14ac:dyDescent="0.3">
      <c r="A76" s="531" t="s">
        <v>186</v>
      </c>
      <c r="B76" s="532" t="s">
        <v>187</v>
      </c>
      <c r="C76" s="532" t="s">
        <v>252</v>
      </c>
      <c r="D76" s="533">
        <v>196</v>
      </c>
      <c r="E76" s="533">
        <v>183</v>
      </c>
      <c r="F76" s="533">
        <v>176</v>
      </c>
      <c r="G76" s="533">
        <v>173</v>
      </c>
      <c r="H76" s="533">
        <v>162</v>
      </c>
      <c r="I76" s="1144">
        <v>172</v>
      </c>
      <c r="J76" s="1311">
        <v>161</v>
      </c>
      <c r="K76" s="1849">
        <v>85</v>
      </c>
      <c r="L76" s="2214">
        <v>110</v>
      </c>
      <c r="M76" s="2214">
        <v>115</v>
      </c>
    </row>
    <row r="77" spans="1:13" x14ac:dyDescent="0.3">
      <c r="A77" s="531" t="s">
        <v>188</v>
      </c>
      <c r="B77" s="532" t="s">
        <v>189</v>
      </c>
      <c r="C77" s="532" t="s">
        <v>255</v>
      </c>
      <c r="D77" s="533">
        <v>2635</v>
      </c>
      <c r="E77" s="533">
        <v>2632</v>
      </c>
      <c r="F77" s="533">
        <v>2370</v>
      </c>
      <c r="G77" s="533">
        <v>2131</v>
      </c>
      <c r="H77" s="533">
        <v>1907</v>
      </c>
      <c r="I77" s="1144">
        <v>1639</v>
      </c>
      <c r="J77" s="1311">
        <v>1472</v>
      </c>
      <c r="K77" s="1849">
        <v>978</v>
      </c>
      <c r="L77" s="2214">
        <v>1114</v>
      </c>
      <c r="M77" s="2214">
        <v>1001</v>
      </c>
    </row>
    <row r="78" spans="1:13" x14ac:dyDescent="0.3">
      <c r="A78" s="531" t="s">
        <v>190</v>
      </c>
      <c r="B78" s="532" t="s">
        <v>191</v>
      </c>
      <c r="C78" s="532" t="s">
        <v>256</v>
      </c>
      <c r="D78" s="533">
        <v>384</v>
      </c>
      <c r="E78" s="533">
        <v>394</v>
      </c>
      <c r="F78" s="533">
        <v>368</v>
      </c>
      <c r="G78" s="533">
        <v>333</v>
      </c>
      <c r="H78" s="533">
        <v>319</v>
      </c>
      <c r="I78" s="1144">
        <v>260</v>
      </c>
      <c r="J78" s="1311">
        <v>225</v>
      </c>
      <c r="K78" s="1849">
        <v>145</v>
      </c>
      <c r="L78" s="2214">
        <v>197</v>
      </c>
      <c r="M78" s="2214">
        <v>168</v>
      </c>
    </row>
    <row r="79" spans="1:13" x14ac:dyDescent="0.3">
      <c r="A79" s="531" t="s">
        <v>194</v>
      </c>
      <c r="B79" s="532" t="s">
        <v>195</v>
      </c>
      <c r="C79" s="532" t="s">
        <v>255</v>
      </c>
      <c r="D79" s="533">
        <v>10</v>
      </c>
      <c r="E79" s="533">
        <v>13</v>
      </c>
      <c r="F79" s="533">
        <v>14</v>
      </c>
      <c r="G79" s="533">
        <v>28</v>
      </c>
      <c r="H79" s="533">
        <v>26</v>
      </c>
      <c r="I79" s="1144">
        <v>22</v>
      </c>
      <c r="J79" s="1311">
        <v>17</v>
      </c>
      <c r="K79" s="1849">
        <v>6</v>
      </c>
      <c r="L79" s="2214">
        <v>5</v>
      </c>
      <c r="M79" s="2214">
        <v>4</v>
      </c>
    </row>
    <row r="80" spans="1:13" x14ac:dyDescent="0.3">
      <c r="A80" s="531" t="s">
        <v>198</v>
      </c>
      <c r="B80" s="532" t="s">
        <v>260</v>
      </c>
      <c r="C80" s="532" t="s">
        <v>254</v>
      </c>
      <c r="D80" s="533">
        <v>72</v>
      </c>
      <c r="E80" s="533">
        <v>66</v>
      </c>
      <c r="F80" s="533">
        <v>65</v>
      </c>
      <c r="G80" s="533">
        <v>70</v>
      </c>
      <c r="H80" s="533">
        <v>65</v>
      </c>
      <c r="I80" s="1144">
        <v>63</v>
      </c>
      <c r="J80" s="1311">
        <v>66</v>
      </c>
      <c r="K80" s="1849">
        <v>28</v>
      </c>
      <c r="L80" s="2214">
        <v>48</v>
      </c>
      <c r="M80" s="2214">
        <v>38</v>
      </c>
    </row>
    <row r="81" spans="1:13" x14ac:dyDescent="0.3">
      <c r="A81" s="531" t="s">
        <v>202</v>
      </c>
      <c r="B81" s="532" t="s">
        <v>289</v>
      </c>
      <c r="C81" s="532" t="s">
        <v>253</v>
      </c>
      <c r="D81" s="533">
        <v>653</v>
      </c>
      <c r="E81" s="533">
        <v>641</v>
      </c>
      <c r="F81" s="533">
        <v>566</v>
      </c>
      <c r="G81" s="533">
        <v>520</v>
      </c>
      <c r="H81" s="533">
        <v>491</v>
      </c>
      <c r="I81" s="1144">
        <v>415</v>
      </c>
      <c r="J81" s="1311">
        <v>382</v>
      </c>
      <c r="K81" s="1849">
        <v>290</v>
      </c>
      <c r="L81" s="2214">
        <v>322</v>
      </c>
      <c r="M81" s="2214">
        <v>308</v>
      </c>
    </row>
    <row r="82" spans="1:13" x14ac:dyDescent="0.3">
      <c r="A82" s="531" t="s">
        <v>204</v>
      </c>
      <c r="B82" s="532" t="s">
        <v>281</v>
      </c>
      <c r="C82" s="532" t="s">
        <v>253</v>
      </c>
      <c r="D82" s="533">
        <v>165</v>
      </c>
      <c r="E82" s="533">
        <v>188</v>
      </c>
      <c r="F82" s="533">
        <v>156</v>
      </c>
      <c r="G82" s="533">
        <v>135</v>
      </c>
      <c r="H82" s="533">
        <v>139</v>
      </c>
      <c r="I82" s="1144">
        <v>105</v>
      </c>
      <c r="J82" s="1311">
        <v>106</v>
      </c>
      <c r="K82" s="1849">
        <v>68</v>
      </c>
      <c r="L82" s="2214">
        <v>100</v>
      </c>
      <c r="M82" s="2214">
        <v>123</v>
      </c>
    </row>
    <row r="83" spans="1:13" x14ac:dyDescent="0.3">
      <c r="A83" s="531" t="s">
        <v>206</v>
      </c>
      <c r="B83" s="532" t="s">
        <v>282</v>
      </c>
      <c r="C83" s="532" t="s">
        <v>255</v>
      </c>
      <c r="D83" s="533">
        <v>695</v>
      </c>
      <c r="E83" s="533">
        <v>711</v>
      </c>
      <c r="F83" s="533">
        <v>654</v>
      </c>
      <c r="G83" s="533">
        <v>612</v>
      </c>
      <c r="H83" s="533">
        <v>548</v>
      </c>
      <c r="I83" s="1144">
        <v>466</v>
      </c>
      <c r="J83" s="1311">
        <v>429</v>
      </c>
      <c r="K83" s="1849">
        <v>341</v>
      </c>
      <c r="L83" s="2214">
        <v>409</v>
      </c>
      <c r="M83" s="2214">
        <v>384</v>
      </c>
    </row>
    <row r="84" spans="1:13" x14ac:dyDescent="0.3">
      <c r="A84" s="531" t="s">
        <v>208</v>
      </c>
      <c r="B84" s="532" t="s">
        <v>209</v>
      </c>
      <c r="C84" s="532" t="s">
        <v>256</v>
      </c>
      <c r="D84" s="533">
        <v>480</v>
      </c>
      <c r="E84" s="533">
        <v>436</v>
      </c>
      <c r="F84" s="533">
        <v>384</v>
      </c>
      <c r="G84" s="533">
        <v>379</v>
      </c>
      <c r="H84" s="533">
        <v>359</v>
      </c>
      <c r="I84" s="1144">
        <v>300</v>
      </c>
      <c r="J84" s="1311">
        <v>256</v>
      </c>
      <c r="K84" s="1849">
        <v>178</v>
      </c>
      <c r="L84" s="2214">
        <v>195</v>
      </c>
      <c r="M84" s="2214">
        <v>178</v>
      </c>
    </row>
    <row r="85" spans="1:13" x14ac:dyDescent="0.3">
      <c r="A85" s="531" t="s">
        <v>210</v>
      </c>
      <c r="B85" s="532" t="s">
        <v>211</v>
      </c>
      <c r="C85" s="532" t="s">
        <v>256</v>
      </c>
      <c r="D85" s="533">
        <v>372</v>
      </c>
      <c r="E85" s="533">
        <v>352</v>
      </c>
      <c r="F85" s="533">
        <v>324</v>
      </c>
      <c r="G85" s="533">
        <v>275</v>
      </c>
      <c r="H85" s="533">
        <v>259</v>
      </c>
      <c r="I85" s="1144">
        <v>247</v>
      </c>
      <c r="J85" s="1311">
        <v>214</v>
      </c>
      <c r="K85" s="1849">
        <v>141</v>
      </c>
      <c r="L85" s="2214">
        <v>171</v>
      </c>
      <c r="M85" s="2214">
        <v>148</v>
      </c>
    </row>
    <row r="86" spans="1:13" x14ac:dyDescent="0.3">
      <c r="A86" s="531" t="s">
        <v>212</v>
      </c>
      <c r="B86" s="532" t="s">
        <v>213</v>
      </c>
      <c r="C86" s="532" t="s">
        <v>255</v>
      </c>
      <c r="D86" s="533">
        <v>103</v>
      </c>
      <c r="E86" s="533">
        <v>125</v>
      </c>
      <c r="F86" s="533">
        <v>126</v>
      </c>
      <c r="G86" s="533">
        <v>104</v>
      </c>
      <c r="H86" s="533">
        <v>98</v>
      </c>
      <c r="I86" s="1144">
        <v>101</v>
      </c>
      <c r="J86" s="1311">
        <v>95</v>
      </c>
      <c r="K86" s="1849">
        <v>83</v>
      </c>
      <c r="L86" s="2214">
        <v>123</v>
      </c>
      <c r="M86" s="2214">
        <v>155</v>
      </c>
    </row>
    <row r="87" spans="1:13" x14ac:dyDescent="0.3">
      <c r="A87" s="531" t="s">
        <v>214</v>
      </c>
      <c r="B87" s="532" t="s">
        <v>215</v>
      </c>
      <c r="C87" s="532" t="s">
        <v>256</v>
      </c>
      <c r="D87" s="533">
        <v>397</v>
      </c>
      <c r="E87" s="533">
        <v>415</v>
      </c>
      <c r="F87" s="533">
        <v>388</v>
      </c>
      <c r="G87" s="533">
        <v>369</v>
      </c>
      <c r="H87" s="533">
        <v>348</v>
      </c>
      <c r="I87" s="1144">
        <v>335</v>
      </c>
      <c r="J87" s="1311">
        <v>285</v>
      </c>
      <c r="K87" s="1849">
        <v>198</v>
      </c>
      <c r="L87" s="2214">
        <v>240</v>
      </c>
      <c r="M87" s="2214">
        <v>235</v>
      </c>
    </row>
    <row r="88" spans="1:13" x14ac:dyDescent="0.3">
      <c r="A88" s="531" t="s">
        <v>216</v>
      </c>
      <c r="B88" s="532" t="s">
        <v>217</v>
      </c>
      <c r="C88" s="532" t="s">
        <v>252</v>
      </c>
      <c r="D88" s="533">
        <v>236</v>
      </c>
      <c r="E88" s="533">
        <v>244</v>
      </c>
      <c r="F88" s="533">
        <v>228</v>
      </c>
      <c r="G88" s="533">
        <v>190</v>
      </c>
      <c r="H88" s="533">
        <v>163</v>
      </c>
      <c r="I88" s="1144">
        <v>128</v>
      </c>
      <c r="J88" s="1311">
        <v>133</v>
      </c>
      <c r="K88" s="1849">
        <v>86</v>
      </c>
      <c r="L88" s="2214">
        <v>103</v>
      </c>
      <c r="M88" s="2214">
        <v>100</v>
      </c>
    </row>
    <row r="89" spans="1:13" x14ac:dyDescent="0.3">
      <c r="A89" s="531" t="s">
        <v>218</v>
      </c>
      <c r="B89" s="532" t="s">
        <v>219</v>
      </c>
      <c r="C89" s="532" t="s">
        <v>255</v>
      </c>
      <c r="D89" s="533">
        <v>772</v>
      </c>
      <c r="E89" s="533">
        <v>852</v>
      </c>
      <c r="F89" s="533">
        <v>837</v>
      </c>
      <c r="G89" s="533">
        <v>772</v>
      </c>
      <c r="H89" s="533">
        <v>735</v>
      </c>
      <c r="I89" s="1144">
        <v>695</v>
      </c>
      <c r="J89" s="1311">
        <v>648</v>
      </c>
      <c r="K89" s="1849">
        <v>441</v>
      </c>
      <c r="L89" s="2214">
        <v>571</v>
      </c>
      <c r="M89" s="2214">
        <v>579</v>
      </c>
    </row>
    <row r="90" spans="1:13" x14ac:dyDescent="0.3">
      <c r="A90" s="531" t="s">
        <v>220</v>
      </c>
      <c r="B90" s="532" t="s">
        <v>221</v>
      </c>
      <c r="C90" s="532" t="s">
        <v>255</v>
      </c>
      <c r="D90" s="533">
        <v>637</v>
      </c>
      <c r="E90" s="533">
        <v>623</v>
      </c>
      <c r="F90" s="533">
        <v>645</v>
      </c>
      <c r="G90" s="533">
        <v>610</v>
      </c>
      <c r="H90" s="533">
        <v>559</v>
      </c>
      <c r="I90" s="1144">
        <v>536</v>
      </c>
      <c r="J90" s="1311">
        <v>533</v>
      </c>
      <c r="K90" s="1849">
        <v>370</v>
      </c>
      <c r="L90" s="2214">
        <v>460</v>
      </c>
      <c r="M90" s="2214">
        <v>497</v>
      </c>
    </row>
    <row r="91" spans="1:13" x14ac:dyDescent="0.3">
      <c r="A91" s="531" t="s">
        <v>224</v>
      </c>
      <c r="B91" s="532" t="s">
        <v>225</v>
      </c>
      <c r="C91" s="532" t="s">
        <v>252</v>
      </c>
      <c r="D91" s="533">
        <v>110</v>
      </c>
      <c r="E91" s="533">
        <v>99</v>
      </c>
      <c r="F91" s="533">
        <v>87</v>
      </c>
      <c r="G91" s="533">
        <v>86</v>
      </c>
      <c r="H91" s="533">
        <v>76</v>
      </c>
      <c r="I91" s="1144">
        <v>59</v>
      </c>
      <c r="J91" s="1311">
        <v>52</v>
      </c>
      <c r="K91" s="1849">
        <v>26</v>
      </c>
      <c r="L91" s="2214">
        <v>34</v>
      </c>
      <c r="M91" s="2214">
        <v>34</v>
      </c>
    </row>
    <row r="92" spans="1:13" x14ac:dyDescent="0.3">
      <c r="A92" s="531" t="s">
        <v>226</v>
      </c>
      <c r="B92" s="532" t="s">
        <v>227</v>
      </c>
      <c r="C92" s="532" t="s">
        <v>252</v>
      </c>
      <c r="D92" s="533">
        <v>148</v>
      </c>
      <c r="E92" s="533">
        <v>154</v>
      </c>
      <c r="F92" s="533">
        <v>145</v>
      </c>
      <c r="G92" s="533">
        <v>127</v>
      </c>
      <c r="H92" s="533">
        <v>141</v>
      </c>
      <c r="I92" s="1144">
        <v>134</v>
      </c>
      <c r="J92" s="1311">
        <v>122</v>
      </c>
      <c r="K92" s="1849">
        <v>73</v>
      </c>
      <c r="L92" s="2214">
        <v>89</v>
      </c>
      <c r="M92" s="2214">
        <v>90</v>
      </c>
    </row>
    <row r="93" spans="1:13" x14ac:dyDescent="0.3">
      <c r="A93" s="531" t="s">
        <v>228</v>
      </c>
      <c r="B93" s="532" t="s">
        <v>229</v>
      </c>
      <c r="C93" s="532" t="s">
        <v>256</v>
      </c>
      <c r="D93" s="533">
        <v>595</v>
      </c>
      <c r="E93" s="533">
        <v>523</v>
      </c>
      <c r="F93" s="533">
        <v>493</v>
      </c>
      <c r="G93" s="533">
        <v>455</v>
      </c>
      <c r="H93" s="533">
        <v>421</v>
      </c>
      <c r="I93" s="1144">
        <v>367</v>
      </c>
      <c r="J93" s="1311">
        <v>338</v>
      </c>
      <c r="K93" s="1849">
        <v>240</v>
      </c>
      <c r="L93" s="2214">
        <v>255</v>
      </c>
      <c r="M93" s="2214">
        <v>235</v>
      </c>
    </row>
    <row r="94" spans="1:13" x14ac:dyDescent="0.3">
      <c r="A94" s="531" t="s">
        <v>232</v>
      </c>
      <c r="B94" s="532" t="s">
        <v>233</v>
      </c>
      <c r="C94" s="532" t="s">
        <v>255</v>
      </c>
      <c r="D94" s="533">
        <v>267</v>
      </c>
      <c r="E94" s="533">
        <v>263</v>
      </c>
      <c r="F94" s="533">
        <v>254</v>
      </c>
      <c r="G94" s="533">
        <v>249</v>
      </c>
      <c r="H94" s="533">
        <v>243</v>
      </c>
      <c r="I94" s="1144">
        <v>205</v>
      </c>
      <c r="J94" s="1311">
        <v>192</v>
      </c>
      <c r="K94" s="1849">
        <v>124</v>
      </c>
      <c r="L94" s="2214">
        <v>155</v>
      </c>
      <c r="M94" s="2214">
        <v>157</v>
      </c>
    </row>
    <row r="95" spans="1:13" x14ac:dyDescent="0.3">
      <c r="A95" s="531" t="s">
        <v>234</v>
      </c>
      <c r="B95" s="532" t="s">
        <v>235</v>
      </c>
      <c r="C95" s="532" t="s">
        <v>256</v>
      </c>
      <c r="D95" s="533">
        <v>451</v>
      </c>
      <c r="E95" s="533">
        <v>426</v>
      </c>
      <c r="F95" s="533">
        <v>389</v>
      </c>
      <c r="G95" s="533">
        <v>376</v>
      </c>
      <c r="H95" s="533">
        <v>372</v>
      </c>
      <c r="I95" s="1144">
        <v>341</v>
      </c>
      <c r="J95" s="1311">
        <v>322</v>
      </c>
      <c r="K95" s="1849">
        <v>226</v>
      </c>
      <c r="L95" s="2214">
        <v>262</v>
      </c>
      <c r="M95" s="2214">
        <v>262</v>
      </c>
    </row>
    <row r="96" spans="1:13" x14ac:dyDescent="0.3">
      <c r="A96" s="531" t="s">
        <v>236</v>
      </c>
      <c r="B96" s="532" t="s">
        <v>237</v>
      </c>
      <c r="C96" s="532" t="s">
        <v>254</v>
      </c>
      <c r="D96" s="533">
        <v>154</v>
      </c>
      <c r="E96" s="533">
        <v>190</v>
      </c>
      <c r="F96" s="533">
        <v>152</v>
      </c>
      <c r="G96" s="533">
        <v>141</v>
      </c>
      <c r="H96" s="533">
        <v>122</v>
      </c>
      <c r="I96" s="1144">
        <v>136</v>
      </c>
      <c r="J96" s="1311">
        <v>147</v>
      </c>
      <c r="K96" s="1849">
        <v>94</v>
      </c>
      <c r="L96" s="2214">
        <v>114</v>
      </c>
      <c r="M96" s="2214">
        <v>105</v>
      </c>
    </row>
    <row r="97" spans="1:13" x14ac:dyDescent="0.3">
      <c r="A97" s="531" t="s">
        <v>242</v>
      </c>
      <c r="B97" s="532" t="s">
        <v>243</v>
      </c>
      <c r="C97" s="532" t="s">
        <v>256</v>
      </c>
      <c r="D97" s="533">
        <v>828</v>
      </c>
      <c r="E97" s="533">
        <v>764</v>
      </c>
      <c r="F97" s="533">
        <v>752</v>
      </c>
      <c r="G97" s="533">
        <v>721</v>
      </c>
      <c r="H97" s="533">
        <v>649</v>
      </c>
      <c r="I97" s="1144">
        <v>532</v>
      </c>
      <c r="J97" s="1311">
        <v>525</v>
      </c>
      <c r="K97" s="1849">
        <v>390</v>
      </c>
      <c r="L97" s="2214">
        <v>433</v>
      </c>
      <c r="M97" s="2214">
        <v>413</v>
      </c>
    </row>
    <row r="98" spans="1:13" x14ac:dyDescent="0.3">
      <c r="A98" s="531" t="s">
        <v>244</v>
      </c>
      <c r="B98" s="532" t="s">
        <v>245</v>
      </c>
      <c r="C98" s="532" t="s">
        <v>256</v>
      </c>
      <c r="D98" s="533">
        <v>288</v>
      </c>
      <c r="E98" s="533">
        <v>284</v>
      </c>
      <c r="F98" s="533">
        <v>246</v>
      </c>
      <c r="G98" s="533">
        <v>200</v>
      </c>
      <c r="H98" s="533">
        <v>203</v>
      </c>
      <c r="I98" s="1144">
        <v>186</v>
      </c>
      <c r="J98" s="1311">
        <v>148</v>
      </c>
      <c r="K98" s="1849">
        <v>122</v>
      </c>
      <c r="L98" s="2214">
        <v>135</v>
      </c>
      <c r="M98" s="2214">
        <v>146</v>
      </c>
    </row>
    <row r="99" spans="1:13" x14ac:dyDescent="0.3">
      <c r="A99" s="531" t="s">
        <v>246</v>
      </c>
      <c r="B99" s="532" t="s">
        <v>247</v>
      </c>
      <c r="C99" s="532" t="s">
        <v>252</v>
      </c>
      <c r="D99" s="533">
        <v>232</v>
      </c>
      <c r="E99" s="533">
        <v>281</v>
      </c>
      <c r="F99" s="533">
        <v>273</v>
      </c>
      <c r="G99" s="533">
        <v>258</v>
      </c>
      <c r="H99" s="533">
        <v>235</v>
      </c>
      <c r="I99" s="1144">
        <v>205</v>
      </c>
      <c r="J99" s="1311">
        <v>207</v>
      </c>
      <c r="K99" s="1849">
        <v>115</v>
      </c>
      <c r="L99" s="2214">
        <v>157</v>
      </c>
      <c r="M99" s="2214">
        <v>133</v>
      </c>
    </row>
    <row r="100" spans="1:13" x14ac:dyDescent="0.3">
      <c r="A100" s="531" t="s">
        <v>14</v>
      </c>
      <c r="B100" s="532" t="s">
        <v>15</v>
      </c>
      <c r="C100" s="532" t="s">
        <v>255</v>
      </c>
      <c r="D100" s="533">
        <v>871</v>
      </c>
      <c r="E100" s="533">
        <v>894</v>
      </c>
      <c r="F100" s="533">
        <v>790</v>
      </c>
      <c r="G100" s="533">
        <v>735</v>
      </c>
      <c r="H100" s="533">
        <v>687</v>
      </c>
      <c r="I100" s="1144">
        <v>722</v>
      </c>
      <c r="J100" s="1311">
        <v>697</v>
      </c>
      <c r="K100" s="1849">
        <v>563</v>
      </c>
      <c r="L100" s="2214">
        <v>651</v>
      </c>
      <c r="M100" s="2214">
        <v>565</v>
      </c>
    </row>
    <row r="101" spans="1:13" x14ac:dyDescent="0.3">
      <c r="A101" s="531" t="s">
        <v>34</v>
      </c>
      <c r="B101" s="532" t="s">
        <v>35</v>
      </c>
      <c r="C101" s="532" t="s">
        <v>256</v>
      </c>
      <c r="D101" s="533">
        <v>489</v>
      </c>
      <c r="E101" s="533">
        <v>525</v>
      </c>
      <c r="F101" s="533">
        <v>531</v>
      </c>
      <c r="G101" s="533">
        <v>505</v>
      </c>
      <c r="H101" s="533">
        <v>418</v>
      </c>
      <c r="I101" s="1144">
        <v>352</v>
      </c>
      <c r="J101" s="1311">
        <v>317</v>
      </c>
      <c r="K101" s="1849">
        <v>198</v>
      </c>
      <c r="L101" s="2214">
        <v>250</v>
      </c>
      <c r="M101" s="2214">
        <v>240</v>
      </c>
    </row>
    <row r="102" spans="1:13" x14ac:dyDescent="0.3">
      <c r="A102" s="531" t="s">
        <v>52</v>
      </c>
      <c r="B102" s="532" t="s">
        <v>53</v>
      </c>
      <c r="C102" s="532" t="s">
        <v>253</v>
      </c>
      <c r="D102" s="533">
        <v>602</v>
      </c>
      <c r="E102" s="533">
        <v>595</v>
      </c>
      <c r="F102" s="533">
        <v>552</v>
      </c>
      <c r="G102" s="533">
        <v>505</v>
      </c>
      <c r="H102" s="533">
        <v>442</v>
      </c>
      <c r="I102" s="1144">
        <v>392</v>
      </c>
      <c r="J102" s="1311">
        <v>377</v>
      </c>
      <c r="K102" s="1849">
        <v>249</v>
      </c>
      <c r="L102" s="2214">
        <v>273</v>
      </c>
      <c r="M102" s="2214">
        <v>257</v>
      </c>
    </row>
    <row r="103" spans="1:13" x14ac:dyDescent="0.3">
      <c r="A103" s="531" t="s">
        <v>54</v>
      </c>
      <c r="B103" s="532" t="s">
        <v>55</v>
      </c>
      <c r="C103" s="532" t="s">
        <v>252</v>
      </c>
      <c r="D103" s="533">
        <v>2211</v>
      </c>
      <c r="E103" s="533">
        <v>2165</v>
      </c>
      <c r="F103" s="533">
        <v>1980</v>
      </c>
      <c r="G103" s="533">
        <v>1822</v>
      </c>
      <c r="H103" s="533">
        <v>1684</v>
      </c>
      <c r="I103" s="1144">
        <v>1498</v>
      </c>
      <c r="J103" s="1311">
        <v>1325</v>
      </c>
      <c r="K103" s="1849">
        <v>812</v>
      </c>
      <c r="L103" s="2214">
        <v>944</v>
      </c>
      <c r="M103" s="2214">
        <v>833</v>
      </c>
    </row>
    <row r="104" spans="1:13" x14ac:dyDescent="0.3">
      <c r="A104" s="531" t="s">
        <v>66</v>
      </c>
      <c r="B104" s="532" t="s">
        <v>67</v>
      </c>
      <c r="C104" s="532" t="s">
        <v>253</v>
      </c>
      <c r="D104" s="533">
        <v>998</v>
      </c>
      <c r="E104" s="533">
        <v>930</v>
      </c>
      <c r="F104" s="533">
        <v>868</v>
      </c>
      <c r="G104" s="533">
        <v>829</v>
      </c>
      <c r="H104" s="533">
        <v>753</v>
      </c>
      <c r="I104" s="1144">
        <v>705</v>
      </c>
      <c r="J104" s="1311">
        <v>600</v>
      </c>
      <c r="K104" s="1849">
        <v>362</v>
      </c>
      <c r="L104" s="2214">
        <v>443</v>
      </c>
      <c r="M104" s="2214">
        <v>446</v>
      </c>
    </row>
    <row r="105" spans="1:13" x14ac:dyDescent="0.3">
      <c r="A105" s="531" t="s">
        <v>82</v>
      </c>
      <c r="B105" s="532" t="s">
        <v>83</v>
      </c>
      <c r="C105" s="532" t="s">
        <v>252</v>
      </c>
      <c r="D105" s="533">
        <v>202</v>
      </c>
      <c r="E105" s="533">
        <v>216</v>
      </c>
      <c r="F105" s="533">
        <v>243</v>
      </c>
      <c r="G105" s="533">
        <v>217</v>
      </c>
      <c r="H105" s="533">
        <v>167</v>
      </c>
      <c r="I105" s="1144">
        <v>145</v>
      </c>
      <c r="J105" s="1311">
        <v>117</v>
      </c>
      <c r="K105" s="1849">
        <v>82</v>
      </c>
      <c r="L105" s="2214">
        <v>91</v>
      </c>
      <c r="M105" s="2214">
        <v>97</v>
      </c>
    </row>
    <row r="106" spans="1:13" x14ac:dyDescent="0.3">
      <c r="A106" s="531" t="s">
        <v>88</v>
      </c>
      <c r="B106" s="532" t="s">
        <v>89</v>
      </c>
      <c r="C106" s="532" t="s">
        <v>255</v>
      </c>
      <c r="D106" s="533">
        <v>403</v>
      </c>
      <c r="E106" s="533">
        <v>407</v>
      </c>
      <c r="F106" s="533">
        <v>388</v>
      </c>
      <c r="G106" s="533">
        <v>367</v>
      </c>
      <c r="H106" s="533">
        <v>345</v>
      </c>
      <c r="I106" s="1144">
        <v>322</v>
      </c>
      <c r="J106" s="1311">
        <v>285</v>
      </c>
      <c r="K106" s="1849">
        <v>187</v>
      </c>
      <c r="L106" s="2214">
        <v>265</v>
      </c>
      <c r="M106" s="2214">
        <v>250</v>
      </c>
    </row>
    <row r="107" spans="1:13" x14ac:dyDescent="0.3">
      <c r="A107" s="531" t="s">
        <v>90</v>
      </c>
      <c r="B107" s="532" t="s">
        <v>91</v>
      </c>
      <c r="C107" s="532" t="s">
        <v>256</v>
      </c>
      <c r="D107" s="533">
        <v>187</v>
      </c>
      <c r="E107" s="533">
        <v>155</v>
      </c>
      <c r="F107" s="533">
        <v>135</v>
      </c>
      <c r="G107" s="533">
        <v>114</v>
      </c>
      <c r="H107" s="533">
        <v>92</v>
      </c>
      <c r="I107" s="1144">
        <v>70</v>
      </c>
      <c r="J107" s="1311">
        <v>71</v>
      </c>
      <c r="K107" s="1849">
        <v>42</v>
      </c>
      <c r="L107" s="2214">
        <v>45</v>
      </c>
      <c r="M107" s="2214">
        <v>36</v>
      </c>
    </row>
    <row r="108" spans="1:13" x14ac:dyDescent="0.3">
      <c r="A108" s="531" t="s">
        <v>106</v>
      </c>
      <c r="B108" s="532" t="s">
        <v>107</v>
      </c>
      <c r="C108" s="532" t="s">
        <v>252</v>
      </c>
      <c r="D108" s="533">
        <v>2236</v>
      </c>
      <c r="E108" s="533">
        <v>2346</v>
      </c>
      <c r="F108" s="533">
        <v>2323</v>
      </c>
      <c r="G108" s="533">
        <v>2190</v>
      </c>
      <c r="H108" s="533">
        <v>2005</v>
      </c>
      <c r="I108" s="1144">
        <v>1745</v>
      </c>
      <c r="J108" s="1311">
        <v>1617</v>
      </c>
      <c r="K108" s="1849">
        <v>1042</v>
      </c>
      <c r="L108" s="2214">
        <v>1224</v>
      </c>
      <c r="M108" s="2214">
        <v>1103</v>
      </c>
    </row>
    <row r="109" spans="1:13" x14ac:dyDescent="0.3">
      <c r="A109" s="531" t="s">
        <v>116</v>
      </c>
      <c r="B109" s="532" t="s">
        <v>117</v>
      </c>
      <c r="C109" s="532" t="s">
        <v>254</v>
      </c>
      <c r="D109" s="533">
        <v>614</v>
      </c>
      <c r="E109" s="533">
        <v>605</v>
      </c>
      <c r="F109" s="533">
        <v>549</v>
      </c>
      <c r="G109" s="533">
        <v>554</v>
      </c>
      <c r="H109" s="533">
        <v>517</v>
      </c>
      <c r="I109" s="1144">
        <v>497</v>
      </c>
      <c r="J109" s="1311">
        <v>457</v>
      </c>
      <c r="K109" s="1849">
        <v>319</v>
      </c>
      <c r="L109" s="2214">
        <v>376</v>
      </c>
      <c r="M109" s="2214">
        <v>353</v>
      </c>
    </row>
    <row r="110" spans="1:13" x14ac:dyDescent="0.3">
      <c r="A110" s="531" t="s">
        <v>138</v>
      </c>
      <c r="B110" s="532" t="s">
        <v>139</v>
      </c>
      <c r="C110" s="532" t="s">
        <v>253</v>
      </c>
      <c r="D110" s="533">
        <v>1153</v>
      </c>
      <c r="E110" s="533">
        <v>1168</v>
      </c>
      <c r="F110" s="533">
        <v>1118</v>
      </c>
      <c r="G110" s="533">
        <v>999</v>
      </c>
      <c r="H110" s="533">
        <v>907</v>
      </c>
      <c r="I110" s="1144">
        <v>814</v>
      </c>
      <c r="J110" s="1311">
        <v>703</v>
      </c>
      <c r="K110" s="1849">
        <v>419</v>
      </c>
      <c r="L110" s="2214">
        <v>455</v>
      </c>
      <c r="M110" s="2214">
        <v>391</v>
      </c>
    </row>
    <row r="111" spans="1:13" x14ac:dyDescent="0.3">
      <c r="A111" s="531" t="s">
        <v>142</v>
      </c>
      <c r="B111" s="532" t="s">
        <v>143</v>
      </c>
      <c r="C111" s="532" t="s">
        <v>255</v>
      </c>
      <c r="D111" s="533">
        <v>400</v>
      </c>
      <c r="E111" s="533">
        <v>414</v>
      </c>
      <c r="F111" s="533">
        <v>369</v>
      </c>
      <c r="G111" s="533">
        <v>291</v>
      </c>
      <c r="H111" s="533">
        <v>291</v>
      </c>
      <c r="I111" s="1144">
        <v>245</v>
      </c>
      <c r="J111" s="1311">
        <v>183</v>
      </c>
      <c r="K111" s="1849">
        <v>111</v>
      </c>
      <c r="L111" s="2214">
        <v>140</v>
      </c>
      <c r="M111" s="2214">
        <v>120</v>
      </c>
    </row>
    <row r="112" spans="1:13" x14ac:dyDescent="0.3">
      <c r="A112" s="531" t="s">
        <v>144</v>
      </c>
      <c r="B112" s="532" t="s">
        <v>145</v>
      </c>
      <c r="C112" s="532" t="s">
        <v>255</v>
      </c>
      <c r="D112" s="533">
        <v>114</v>
      </c>
      <c r="E112" s="533">
        <v>82</v>
      </c>
      <c r="F112" s="533">
        <v>93</v>
      </c>
      <c r="G112" s="533">
        <v>85</v>
      </c>
      <c r="H112" s="533">
        <v>83</v>
      </c>
      <c r="I112" s="1144">
        <v>66</v>
      </c>
      <c r="J112" s="1311">
        <v>48</v>
      </c>
      <c r="K112" s="1849">
        <v>33</v>
      </c>
      <c r="L112" s="2214">
        <v>34</v>
      </c>
      <c r="M112" s="2214">
        <v>30</v>
      </c>
    </row>
    <row r="113" spans="1:13" x14ac:dyDescent="0.3">
      <c r="A113" s="531" t="s">
        <v>158</v>
      </c>
      <c r="B113" s="532" t="s">
        <v>159</v>
      </c>
      <c r="C113" s="532" t="s">
        <v>252</v>
      </c>
      <c r="D113" s="533">
        <v>3296</v>
      </c>
      <c r="E113" s="533">
        <v>3418</v>
      </c>
      <c r="F113" s="533">
        <v>3322</v>
      </c>
      <c r="G113" s="533">
        <v>3168</v>
      </c>
      <c r="H113" s="533">
        <v>2800</v>
      </c>
      <c r="I113" s="1144">
        <v>2499</v>
      </c>
      <c r="J113" s="1311">
        <v>2418</v>
      </c>
      <c r="K113" s="1849">
        <v>1675</v>
      </c>
      <c r="L113" s="2214">
        <v>1936</v>
      </c>
      <c r="M113" s="2214">
        <v>1704</v>
      </c>
    </row>
    <row r="114" spans="1:13" x14ac:dyDescent="0.3">
      <c r="A114" s="531" t="s">
        <v>160</v>
      </c>
      <c r="B114" s="532" t="s">
        <v>161</v>
      </c>
      <c r="C114" s="532" t="s">
        <v>252</v>
      </c>
      <c r="D114" s="533">
        <v>4169</v>
      </c>
      <c r="E114" s="533">
        <v>4235</v>
      </c>
      <c r="F114" s="533">
        <v>4056</v>
      </c>
      <c r="G114" s="533">
        <v>3769</v>
      </c>
      <c r="H114" s="533">
        <v>3426</v>
      </c>
      <c r="I114" s="1144">
        <v>2884</v>
      </c>
      <c r="J114" s="1311">
        <v>2538</v>
      </c>
      <c r="K114" s="1849">
        <v>1612</v>
      </c>
      <c r="L114" s="2214">
        <v>1812</v>
      </c>
      <c r="M114" s="2214">
        <v>1599</v>
      </c>
    </row>
    <row r="115" spans="1:13" x14ac:dyDescent="0.3">
      <c r="A115" s="531" t="s">
        <v>166</v>
      </c>
      <c r="B115" s="532" t="s">
        <v>167</v>
      </c>
      <c r="C115" s="532" t="s">
        <v>256</v>
      </c>
      <c r="D115" s="533">
        <v>110</v>
      </c>
      <c r="E115" s="533">
        <v>98</v>
      </c>
      <c r="F115" s="533">
        <v>89</v>
      </c>
      <c r="G115" s="533">
        <v>87</v>
      </c>
      <c r="H115" s="533">
        <v>89</v>
      </c>
      <c r="I115" s="1144">
        <v>86</v>
      </c>
      <c r="J115" s="1311">
        <v>75</v>
      </c>
      <c r="K115" s="1849">
        <v>54</v>
      </c>
      <c r="L115" s="2214">
        <v>47</v>
      </c>
      <c r="M115" s="2214">
        <v>59</v>
      </c>
    </row>
    <row r="116" spans="1:13" x14ac:dyDescent="0.3">
      <c r="A116" s="531" t="s">
        <v>176</v>
      </c>
      <c r="B116" s="532" t="s">
        <v>177</v>
      </c>
      <c r="C116" s="532" t="s">
        <v>254</v>
      </c>
      <c r="D116" s="533">
        <v>1116</v>
      </c>
      <c r="E116" s="533">
        <v>1117</v>
      </c>
      <c r="F116" s="533">
        <v>1004</v>
      </c>
      <c r="G116" s="533">
        <v>943</v>
      </c>
      <c r="H116" s="533">
        <v>878</v>
      </c>
      <c r="I116" s="1144">
        <v>840</v>
      </c>
      <c r="J116" s="1311">
        <v>758</v>
      </c>
      <c r="K116" s="1849">
        <v>419</v>
      </c>
      <c r="L116" s="2214">
        <v>509</v>
      </c>
      <c r="M116" s="2214">
        <v>475</v>
      </c>
    </row>
    <row r="117" spans="1:13" x14ac:dyDescent="0.3">
      <c r="A117" s="531" t="s">
        <v>180</v>
      </c>
      <c r="B117" s="532" t="s">
        <v>181</v>
      </c>
      <c r="C117" s="532" t="s">
        <v>252</v>
      </c>
      <c r="D117" s="533">
        <v>2242</v>
      </c>
      <c r="E117" s="533">
        <v>2185</v>
      </c>
      <c r="F117" s="533">
        <v>2096</v>
      </c>
      <c r="G117" s="533">
        <v>1961</v>
      </c>
      <c r="H117" s="533">
        <v>1771</v>
      </c>
      <c r="I117" s="1144">
        <v>1632</v>
      </c>
      <c r="J117" s="1311">
        <v>1467</v>
      </c>
      <c r="K117" s="1849">
        <v>911</v>
      </c>
      <c r="L117" s="2214">
        <v>999</v>
      </c>
      <c r="M117" s="2214">
        <v>1018</v>
      </c>
    </row>
    <row r="118" spans="1:13" x14ac:dyDescent="0.3">
      <c r="A118" s="531" t="s">
        <v>192</v>
      </c>
      <c r="B118" s="532" t="s">
        <v>193</v>
      </c>
      <c r="C118" s="532" t="s">
        <v>256</v>
      </c>
      <c r="D118" s="533">
        <v>152</v>
      </c>
      <c r="E118" s="533">
        <v>151</v>
      </c>
      <c r="F118" s="533">
        <v>144</v>
      </c>
      <c r="G118" s="533">
        <v>140</v>
      </c>
      <c r="H118" s="533">
        <v>150</v>
      </c>
      <c r="I118" s="1144">
        <v>118</v>
      </c>
      <c r="J118" s="1311">
        <v>103</v>
      </c>
      <c r="K118" s="1849">
        <v>77</v>
      </c>
      <c r="L118" s="2214">
        <v>91</v>
      </c>
      <c r="M118" s="2214">
        <v>75</v>
      </c>
    </row>
    <row r="119" spans="1:13" x14ac:dyDescent="0.3">
      <c r="A119" s="531" t="s">
        <v>196</v>
      </c>
      <c r="B119" s="532" t="s">
        <v>197</v>
      </c>
      <c r="C119" s="532" t="s">
        <v>254</v>
      </c>
      <c r="D119" s="533">
        <v>4869</v>
      </c>
      <c r="E119" s="533">
        <v>4996</v>
      </c>
      <c r="F119" s="533">
        <v>4720</v>
      </c>
      <c r="G119" s="533">
        <v>4362</v>
      </c>
      <c r="H119" s="533">
        <v>3909</v>
      </c>
      <c r="I119" s="1144">
        <v>3505</v>
      </c>
      <c r="J119" s="1311">
        <v>3098</v>
      </c>
      <c r="K119" s="1849">
        <v>2015</v>
      </c>
      <c r="L119" s="2214">
        <v>2360</v>
      </c>
      <c r="M119" s="2214">
        <v>2024</v>
      </c>
    </row>
    <row r="120" spans="1:13" x14ac:dyDescent="0.3">
      <c r="A120" s="531" t="s">
        <v>200</v>
      </c>
      <c r="B120" s="532" t="s">
        <v>201</v>
      </c>
      <c r="C120" s="532" t="s">
        <v>253</v>
      </c>
      <c r="D120" s="533">
        <v>2320</v>
      </c>
      <c r="E120" s="533">
        <v>2356</v>
      </c>
      <c r="F120" s="533">
        <v>2283</v>
      </c>
      <c r="G120" s="533">
        <v>2089</v>
      </c>
      <c r="H120" s="533">
        <v>1920</v>
      </c>
      <c r="I120" s="1144">
        <v>1708</v>
      </c>
      <c r="J120" s="1311">
        <v>1546</v>
      </c>
      <c r="K120" s="1849">
        <v>1053</v>
      </c>
      <c r="L120" s="2214">
        <v>1102</v>
      </c>
      <c r="M120" s="2214">
        <v>947</v>
      </c>
    </row>
    <row r="121" spans="1:13" x14ac:dyDescent="0.3">
      <c r="A121" s="531" t="s">
        <v>222</v>
      </c>
      <c r="B121" s="532" t="s">
        <v>223</v>
      </c>
      <c r="C121" s="532" t="s">
        <v>252</v>
      </c>
      <c r="D121" s="533">
        <v>836</v>
      </c>
      <c r="E121" s="533">
        <v>819</v>
      </c>
      <c r="F121" s="533">
        <v>743</v>
      </c>
      <c r="G121" s="533">
        <v>723</v>
      </c>
      <c r="H121" s="533">
        <v>713</v>
      </c>
      <c r="I121" s="1144">
        <v>625</v>
      </c>
      <c r="J121" s="1311">
        <v>603</v>
      </c>
      <c r="K121" s="1849">
        <v>401</v>
      </c>
      <c r="L121" s="2214">
        <v>461</v>
      </c>
      <c r="M121" s="2214">
        <v>439</v>
      </c>
    </row>
    <row r="122" spans="1:13" x14ac:dyDescent="0.3">
      <c r="A122" s="531" t="s">
        <v>230</v>
      </c>
      <c r="B122" s="532" t="s">
        <v>231</v>
      </c>
      <c r="C122" s="532" t="s">
        <v>252</v>
      </c>
      <c r="D122" s="533">
        <v>2301</v>
      </c>
      <c r="E122" s="533">
        <v>2317</v>
      </c>
      <c r="F122" s="533">
        <v>2203</v>
      </c>
      <c r="G122" s="533">
        <v>1980</v>
      </c>
      <c r="H122" s="533">
        <v>1766</v>
      </c>
      <c r="I122" s="1144">
        <v>1502</v>
      </c>
      <c r="J122" s="1311">
        <v>1268</v>
      </c>
      <c r="K122" s="1849">
        <v>756</v>
      </c>
      <c r="L122" s="2214">
        <v>871</v>
      </c>
      <c r="M122" s="2214">
        <v>746</v>
      </c>
    </row>
    <row r="123" spans="1:13" x14ac:dyDescent="0.3">
      <c r="A123" s="531" t="s">
        <v>238</v>
      </c>
      <c r="B123" s="532" t="s">
        <v>239</v>
      </c>
      <c r="C123" s="532" t="s">
        <v>252</v>
      </c>
      <c r="D123" s="533">
        <v>83</v>
      </c>
      <c r="E123" s="533">
        <v>87</v>
      </c>
      <c r="F123" s="533">
        <v>93</v>
      </c>
      <c r="G123" s="533">
        <v>81</v>
      </c>
      <c r="H123" s="533">
        <v>71</v>
      </c>
      <c r="I123" s="1144">
        <v>59</v>
      </c>
      <c r="J123" s="1311">
        <v>51</v>
      </c>
      <c r="K123" s="1849">
        <v>36</v>
      </c>
      <c r="L123" s="2214">
        <v>47</v>
      </c>
      <c r="M123" s="2214">
        <v>43</v>
      </c>
    </row>
    <row r="124" spans="1:13" x14ac:dyDescent="0.3">
      <c r="A124" s="464" t="s">
        <v>240</v>
      </c>
      <c r="B124" s="453" t="s">
        <v>241</v>
      </c>
      <c r="C124" s="453" t="s">
        <v>255</v>
      </c>
      <c r="D124" s="458">
        <v>300</v>
      </c>
      <c r="E124" s="458">
        <v>318</v>
      </c>
      <c r="F124" s="458">
        <v>290</v>
      </c>
      <c r="G124" s="458">
        <v>256</v>
      </c>
      <c r="H124" s="458">
        <v>206</v>
      </c>
      <c r="I124" s="1145">
        <v>169</v>
      </c>
      <c r="J124" s="1145">
        <v>177</v>
      </c>
      <c r="K124" s="1850">
        <v>113</v>
      </c>
      <c r="L124" s="2217">
        <v>131</v>
      </c>
      <c r="M124" s="2217">
        <v>121</v>
      </c>
    </row>
    <row r="125" spans="1:13" x14ac:dyDescent="0.3">
      <c r="L125" s="535"/>
      <c r="M125" s="535"/>
    </row>
    <row r="126" spans="1:13" ht="63.75" customHeight="1" x14ac:dyDescent="0.3">
      <c r="A126" s="2737" t="s">
        <v>1150</v>
      </c>
      <c r="B126" s="2737"/>
      <c r="C126" s="2737"/>
      <c r="D126" s="2737"/>
      <c r="E126" s="2737"/>
      <c r="F126" s="2737"/>
      <c r="G126" s="2737"/>
      <c r="H126" s="2737"/>
      <c r="I126" s="2737"/>
      <c r="J126" s="2737"/>
      <c r="K126" s="2737"/>
      <c r="L126" s="2737"/>
      <c r="M126" s="2300"/>
    </row>
    <row r="128" spans="1:13" s="359" customFormat="1" x14ac:dyDescent="0.3">
      <c r="A128" s="359" t="s">
        <v>248</v>
      </c>
    </row>
    <row r="129" spans="1:3" s="359" customFormat="1" x14ac:dyDescent="0.3">
      <c r="A129" s="360" t="s">
        <v>249</v>
      </c>
      <c r="B129" s="361" t="s">
        <v>250</v>
      </c>
      <c r="C129" s="361"/>
    </row>
  </sheetData>
  <autoFilter ref="A3:C3"/>
  <sortState ref="A5:L124">
    <sortCondition ref="A5:A124"/>
  </sortState>
  <mergeCells count="1">
    <mergeCell ref="A126:L126"/>
  </mergeCells>
  <hyperlinks>
    <hyperlink ref="B129" r:id="rId1"/>
  </hyperlink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29"/>
  <sheetViews>
    <sheetView workbookViewId="0">
      <pane xSplit="3" ySplit="4" topLeftCell="D5" activePane="bottomRight" state="frozen"/>
      <selection pane="topRight" activeCell="D1" sqref="D1"/>
      <selection pane="bottomLeft" activeCell="A5" sqref="A5"/>
      <selection pane="bottomRight" activeCell="J4" sqref="J4"/>
    </sheetView>
  </sheetViews>
  <sheetFormatPr defaultColWidth="9" defaultRowHeight="15.6" x14ac:dyDescent="0.3"/>
  <cols>
    <col min="1" max="1" width="5.796875" style="441" customWidth="1"/>
    <col min="2" max="2" width="30.19921875" style="441" customWidth="1"/>
    <col min="3" max="3" width="12.296875" style="441" customWidth="1"/>
    <col min="4" max="8" width="10.796875" style="441" customWidth="1"/>
    <col min="9" max="11" width="8.69921875" style="441" customWidth="1"/>
    <col min="12" max="12" width="8.19921875" style="441" bestFit="1" customWidth="1"/>
    <col min="13" max="13" width="8.19921875" style="441" customWidth="1"/>
    <col min="14" max="16384" width="9" style="441"/>
  </cols>
  <sheetData>
    <row r="1" spans="1:13" x14ac:dyDescent="0.3">
      <c r="A1" s="253" t="s">
        <v>989</v>
      </c>
    </row>
    <row r="3" spans="1:13" x14ac:dyDescent="0.3">
      <c r="A3" s="536" t="s">
        <v>4</v>
      </c>
      <c r="B3" s="503" t="s">
        <v>5</v>
      </c>
      <c r="C3" s="503" t="s">
        <v>251</v>
      </c>
      <c r="D3" s="542" t="s">
        <v>992</v>
      </c>
      <c r="E3" s="542" t="s">
        <v>993</v>
      </c>
      <c r="F3" s="542" t="s">
        <v>994</v>
      </c>
      <c r="G3" s="542" t="s">
        <v>995</v>
      </c>
      <c r="H3" s="542" t="s">
        <v>705</v>
      </c>
      <c r="I3" s="1149" t="s">
        <v>810</v>
      </c>
      <c r="J3" s="1149" t="s">
        <v>891</v>
      </c>
      <c r="K3" s="1853" t="s">
        <v>1050</v>
      </c>
      <c r="L3" s="2212" t="s">
        <v>1047</v>
      </c>
      <c r="M3" s="2212" t="s">
        <v>1084</v>
      </c>
    </row>
    <row r="4" spans="1:13" x14ac:dyDescent="0.3">
      <c r="A4" s="508">
        <v>999</v>
      </c>
      <c r="B4" s="529" t="s">
        <v>9</v>
      </c>
      <c r="C4" s="504"/>
      <c r="D4" s="468">
        <v>481661</v>
      </c>
      <c r="E4" s="468">
        <v>536848</v>
      </c>
      <c r="F4" s="468">
        <v>572326</v>
      </c>
      <c r="G4" s="468">
        <v>593243</v>
      </c>
      <c r="H4" s="468">
        <v>594156</v>
      </c>
      <c r="I4" s="1150">
        <v>592941</v>
      </c>
      <c r="J4" s="1150">
        <v>554503</v>
      </c>
      <c r="K4" s="1854">
        <v>520571</v>
      </c>
      <c r="L4" s="2213">
        <v>477350</v>
      </c>
      <c r="M4" s="2213">
        <v>466691</v>
      </c>
    </row>
    <row r="5" spans="1:13" x14ac:dyDescent="0.3">
      <c r="A5" s="460" t="s">
        <v>10</v>
      </c>
      <c r="B5" s="505" t="s">
        <v>11</v>
      </c>
      <c r="C5" s="505" t="s">
        <v>252</v>
      </c>
      <c r="D5" s="454">
        <v>3524</v>
      </c>
      <c r="E5" s="454">
        <v>3901</v>
      </c>
      <c r="F5" s="454">
        <v>4257</v>
      </c>
      <c r="G5" s="454">
        <v>4419</v>
      </c>
      <c r="H5" s="454">
        <v>4404</v>
      </c>
      <c r="I5" s="1147">
        <v>4081</v>
      </c>
      <c r="J5" s="1312">
        <v>3754</v>
      </c>
      <c r="K5" s="1851">
        <v>3482</v>
      </c>
      <c r="L5" s="2210">
        <v>3191</v>
      </c>
      <c r="M5" s="2210">
        <v>3160</v>
      </c>
    </row>
    <row r="6" spans="1:13" x14ac:dyDescent="0.3">
      <c r="A6" s="531" t="s">
        <v>12</v>
      </c>
      <c r="B6" s="532" t="s">
        <v>13</v>
      </c>
      <c r="C6" s="532" t="s">
        <v>253</v>
      </c>
      <c r="D6" s="533">
        <v>3792</v>
      </c>
      <c r="E6" s="533">
        <v>4360</v>
      </c>
      <c r="F6" s="533">
        <v>4624</v>
      </c>
      <c r="G6" s="533">
        <v>4746</v>
      </c>
      <c r="H6" s="533">
        <v>4656</v>
      </c>
      <c r="I6" s="1147">
        <v>4327</v>
      </c>
      <c r="J6" s="1312">
        <v>3736</v>
      </c>
      <c r="K6" s="1851">
        <v>3548</v>
      </c>
      <c r="L6" s="2210">
        <v>3183</v>
      </c>
      <c r="M6" s="2210">
        <v>3151</v>
      </c>
    </row>
    <row r="7" spans="1:13" x14ac:dyDescent="0.3">
      <c r="A7" s="531" t="s">
        <v>16</v>
      </c>
      <c r="B7" s="532" t="s">
        <v>285</v>
      </c>
      <c r="C7" s="532" t="s">
        <v>253</v>
      </c>
      <c r="D7" s="533">
        <v>2015</v>
      </c>
      <c r="E7" s="533">
        <v>2129</v>
      </c>
      <c r="F7" s="533">
        <v>2328</v>
      </c>
      <c r="G7" s="533">
        <v>2383</v>
      </c>
      <c r="H7" s="533">
        <v>2374</v>
      </c>
      <c r="I7" s="1147">
        <v>2272</v>
      </c>
      <c r="J7" s="1312">
        <v>2098</v>
      </c>
      <c r="K7" s="1851">
        <v>2055</v>
      </c>
      <c r="L7" s="2210">
        <v>1935</v>
      </c>
      <c r="M7" s="2210">
        <v>1876</v>
      </c>
    </row>
    <row r="8" spans="1:13" x14ac:dyDescent="0.3">
      <c r="A8" s="531" t="s">
        <v>18</v>
      </c>
      <c r="B8" s="532" t="s">
        <v>19</v>
      </c>
      <c r="C8" s="532" t="s">
        <v>254</v>
      </c>
      <c r="D8" s="533">
        <v>1184</v>
      </c>
      <c r="E8" s="533">
        <v>1311</v>
      </c>
      <c r="F8" s="533">
        <v>1373</v>
      </c>
      <c r="G8" s="533">
        <v>1367</v>
      </c>
      <c r="H8" s="533">
        <v>1318</v>
      </c>
      <c r="I8" s="1147">
        <v>1206</v>
      </c>
      <c r="J8" s="1312">
        <v>1120</v>
      </c>
      <c r="K8" s="1851">
        <v>1089</v>
      </c>
      <c r="L8" s="2210">
        <v>980</v>
      </c>
      <c r="M8" s="2210">
        <v>994</v>
      </c>
    </row>
    <row r="9" spans="1:13" x14ac:dyDescent="0.3">
      <c r="A9" s="531" t="s">
        <v>20</v>
      </c>
      <c r="B9" s="532" t="s">
        <v>21</v>
      </c>
      <c r="C9" s="532" t="s">
        <v>253</v>
      </c>
      <c r="D9" s="533">
        <v>2446</v>
      </c>
      <c r="E9" s="533">
        <v>2616</v>
      </c>
      <c r="F9" s="533">
        <v>2687</v>
      </c>
      <c r="G9" s="533">
        <v>2738</v>
      </c>
      <c r="H9" s="533">
        <v>2599</v>
      </c>
      <c r="I9" s="1147">
        <v>2366</v>
      </c>
      <c r="J9" s="1312">
        <v>2291</v>
      </c>
      <c r="K9" s="1851">
        <v>2319</v>
      </c>
      <c r="L9" s="2210">
        <v>2148</v>
      </c>
      <c r="M9" s="2210">
        <v>2130</v>
      </c>
    </row>
    <row r="10" spans="1:13" x14ac:dyDescent="0.3">
      <c r="A10" s="531" t="s">
        <v>22</v>
      </c>
      <c r="B10" s="532" t="s">
        <v>23</v>
      </c>
      <c r="C10" s="532" t="s">
        <v>253</v>
      </c>
      <c r="D10" s="533">
        <v>1380</v>
      </c>
      <c r="E10" s="533">
        <v>1514</v>
      </c>
      <c r="F10" s="533">
        <v>1624</v>
      </c>
      <c r="G10" s="533">
        <v>1678</v>
      </c>
      <c r="H10" s="533">
        <v>1680</v>
      </c>
      <c r="I10" s="1147">
        <v>1603</v>
      </c>
      <c r="J10" s="1312">
        <v>1516</v>
      </c>
      <c r="K10" s="1851">
        <v>1523</v>
      </c>
      <c r="L10" s="2210">
        <v>1416</v>
      </c>
      <c r="M10" s="2210">
        <v>1393</v>
      </c>
    </row>
    <row r="11" spans="1:13" x14ac:dyDescent="0.3">
      <c r="A11" s="531" t="s">
        <v>24</v>
      </c>
      <c r="B11" s="532" t="s">
        <v>25</v>
      </c>
      <c r="C11" s="532" t="s">
        <v>255</v>
      </c>
      <c r="D11" s="533">
        <v>4996</v>
      </c>
      <c r="E11" s="533">
        <v>5712</v>
      </c>
      <c r="F11" s="533">
        <v>6180</v>
      </c>
      <c r="G11" s="533">
        <v>6608</v>
      </c>
      <c r="H11" s="533">
        <v>6745</v>
      </c>
      <c r="I11" s="1147">
        <v>6451</v>
      </c>
      <c r="J11" s="1312">
        <v>6202</v>
      </c>
      <c r="K11" s="1851">
        <v>6117</v>
      </c>
      <c r="L11" s="2210">
        <v>5334</v>
      </c>
      <c r="M11" s="2210">
        <v>5022</v>
      </c>
    </row>
    <row r="12" spans="1:13" x14ac:dyDescent="0.3">
      <c r="A12" s="531" t="s">
        <v>26</v>
      </c>
      <c r="B12" s="532" t="s">
        <v>547</v>
      </c>
      <c r="C12" s="532" t="s">
        <v>253</v>
      </c>
      <c r="D12" s="533">
        <v>8589</v>
      </c>
      <c r="E12" s="533">
        <v>9796</v>
      </c>
      <c r="F12" s="533">
        <v>10423</v>
      </c>
      <c r="G12" s="533">
        <v>11300</v>
      </c>
      <c r="H12" s="533">
        <v>10452</v>
      </c>
      <c r="I12" s="1147">
        <v>9420</v>
      </c>
      <c r="J12" s="1312">
        <v>8278</v>
      </c>
      <c r="K12" s="1851">
        <v>7928</v>
      </c>
      <c r="L12" s="2210">
        <v>7331</v>
      </c>
      <c r="M12" s="2210">
        <v>7032</v>
      </c>
    </row>
    <row r="13" spans="1:13" x14ac:dyDescent="0.3">
      <c r="A13" s="531" t="s">
        <v>27</v>
      </c>
      <c r="B13" s="532" t="s">
        <v>28</v>
      </c>
      <c r="C13" s="532" t="s">
        <v>253</v>
      </c>
      <c r="D13" s="533">
        <v>252</v>
      </c>
      <c r="E13" s="533">
        <v>251</v>
      </c>
      <c r="F13" s="533">
        <v>291</v>
      </c>
      <c r="G13" s="533">
        <v>308</v>
      </c>
      <c r="H13" s="533">
        <v>279</v>
      </c>
      <c r="I13" s="1147">
        <v>261</v>
      </c>
      <c r="J13" s="1312">
        <v>244</v>
      </c>
      <c r="K13" s="1851">
        <v>217</v>
      </c>
      <c r="L13" s="2210">
        <v>190</v>
      </c>
      <c r="M13" s="2210">
        <v>198</v>
      </c>
    </row>
    <row r="14" spans="1:13" x14ac:dyDescent="0.3">
      <c r="A14" s="531" t="s">
        <v>29</v>
      </c>
      <c r="B14" s="532" t="s">
        <v>736</v>
      </c>
      <c r="C14" s="532" t="s">
        <v>253</v>
      </c>
      <c r="D14" s="533">
        <v>3967</v>
      </c>
      <c r="E14" s="533">
        <v>4436</v>
      </c>
      <c r="F14" s="533">
        <v>4623</v>
      </c>
      <c r="G14" s="533">
        <v>4705</v>
      </c>
      <c r="H14" s="533">
        <v>5028</v>
      </c>
      <c r="I14" s="1147">
        <v>4159</v>
      </c>
      <c r="J14" s="1312">
        <v>3755</v>
      </c>
      <c r="K14" s="1851">
        <v>3802</v>
      </c>
      <c r="L14" s="2210">
        <v>3533</v>
      </c>
      <c r="M14" s="2210">
        <v>3554</v>
      </c>
    </row>
    <row r="15" spans="1:13" x14ac:dyDescent="0.3">
      <c r="A15" s="531" t="s">
        <v>30</v>
      </c>
      <c r="B15" s="532" t="s">
        <v>31</v>
      </c>
      <c r="C15" s="532" t="s">
        <v>256</v>
      </c>
      <c r="D15" s="533">
        <v>377</v>
      </c>
      <c r="E15" s="533">
        <v>418</v>
      </c>
      <c r="F15" s="533">
        <v>424</v>
      </c>
      <c r="G15" s="533">
        <v>436</v>
      </c>
      <c r="H15" s="533">
        <v>422</v>
      </c>
      <c r="I15" s="1147">
        <v>392</v>
      </c>
      <c r="J15" s="1312">
        <v>380</v>
      </c>
      <c r="K15" s="1851">
        <v>357</v>
      </c>
      <c r="L15" s="2210">
        <v>334</v>
      </c>
      <c r="M15" s="2210">
        <v>327</v>
      </c>
    </row>
    <row r="16" spans="1:13" x14ac:dyDescent="0.3">
      <c r="A16" s="531" t="s">
        <v>32</v>
      </c>
      <c r="B16" s="532" t="s">
        <v>33</v>
      </c>
      <c r="C16" s="532" t="s">
        <v>253</v>
      </c>
      <c r="D16" s="533">
        <v>1020</v>
      </c>
      <c r="E16" s="533">
        <v>1074</v>
      </c>
      <c r="F16" s="533">
        <v>1195</v>
      </c>
      <c r="G16" s="533">
        <v>1236</v>
      </c>
      <c r="H16" s="533">
        <v>1230</v>
      </c>
      <c r="I16" s="1147">
        <v>1167</v>
      </c>
      <c r="J16" s="1312">
        <v>1162</v>
      </c>
      <c r="K16" s="1851">
        <v>1155</v>
      </c>
      <c r="L16" s="2210">
        <v>1037</v>
      </c>
      <c r="M16" s="2210">
        <v>980</v>
      </c>
    </row>
    <row r="17" spans="1:13" x14ac:dyDescent="0.3">
      <c r="A17" s="531" t="s">
        <v>36</v>
      </c>
      <c r="B17" s="532" t="s">
        <v>37</v>
      </c>
      <c r="C17" s="532" t="s">
        <v>252</v>
      </c>
      <c r="D17" s="533">
        <v>2390</v>
      </c>
      <c r="E17" s="533">
        <v>2565</v>
      </c>
      <c r="F17" s="533">
        <v>2653</v>
      </c>
      <c r="G17" s="533">
        <v>2699</v>
      </c>
      <c r="H17" s="533">
        <v>2712</v>
      </c>
      <c r="I17" s="1147">
        <v>2537</v>
      </c>
      <c r="J17" s="1312">
        <v>2498</v>
      </c>
      <c r="K17" s="1851">
        <v>2497</v>
      </c>
      <c r="L17" s="2210">
        <v>2311</v>
      </c>
      <c r="M17" s="2210">
        <v>2164</v>
      </c>
    </row>
    <row r="18" spans="1:13" x14ac:dyDescent="0.3">
      <c r="A18" s="531" t="s">
        <v>38</v>
      </c>
      <c r="B18" s="532" t="s">
        <v>39</v>
      </c>
      <c r="C18" s="532" t="s">
        <v>256</v>
      </c>
      <c r="D18" s="533">
        <v>2919</v>
      </c>
      <c r="E18" s="533">
        <v>2937</v>
      </c>
      <c r="F18" s="533">
        <v>3010</v>
      </c>
      <c r="G18" s="533">
        <v>3154</v>
      </c>
      <c r="H18" s="533">
        <v>3154</v>
      </c>
      <c r="I18" s="1147">
        <v>3136</v>
      </c>
      <c r="J18" s="1312">
        <v>3157</v>
      </c>
      <c r="K18" s="1851">
        <v>3223</v>
      </c>
      <c r="L18" s="2210">
        <v>3014</v>
      </c>
      <c r="M18" s="2210">
        <v>2995</v>
      </c>
    </row>
    <row r="19" spans="1:13" x14ac:dyDescent="0.3">
      <c r="A19" s="531" t="s">
        <v>40</v>
      </c>
      <c r="B19" s="532" t="s">
        <v>41</v>
      </c>
      <c r="C19" s="532" t="s">
        <v>254</v>
      </c>
      <c r="D19" s="533">
        <v>1907</v>
      </c>
      <c r="E19" s="533">
        <v>2125</v>
      </c>
      <c r="F19" s="533">
        <v>2280</v>
      </c>
      <c r="G19" s="533">
        <v>2301</v>
      </c>
      <c r="H19" s="533">
        <v>2190</v>
      </c>
      <c r="I19" s="1147">
        <v>2087</v>
      </c>
      <c r="J19" s="1312">
        <v>1834</v>
      </c>
      <c r="K19" s="1851">
        <v>1822</v>
      </c>
      <c r="L19" s="2210">
        <v>1700</v>
      </c>
      <c r="M19" s="2210">
        <v>1666</v>
      </c>
    </row>
    <row r="20" spans="1:13" x14ac:dyDescent="0.3">
      <c r="A20" s="531" t="s">
        <v>42</v>
      </c>
      <c r="B20" s="532" t="s">
        <v>43</v>
      </c>
      <c r="C20" s="532" t="s">
        <v>253</v>
      </c>
      <c r="D20" s="533">
        <v>4370</v>
      </c>
      <c r="E20" s="533">
        <v>4808</v>
      </c>
      <c r="F20" s="533">
        <v>5024</v>
      </c>
      <c r="G20" s="533">
        <v>5136</v>
      </c>
      <c r="H20" s="533">
        <v>5151</v>
      </c>
      <c r="I20" s="1147">
        <v>5016</v>
      </c>
      <c r="J20" s="1312">
        <v>4628</v>
      </c>
      <c r="K20" s="1851">
        <v>4427</v>
      </c>
      <c r="L20" s="2210">
        <v>4056</v>
      </c>
      <c r="M20" s="2210">
        <v>3980</v>
      </c>
    </row>
    <row r="21" spans="1:13" x14ac:dyDescent="0.3">
      <c r="A21" s="531" t="s">
        <v>44</v>
      </c>
      <c r="B21" s="532" t="s">
        <v>45</v>
      </c>
      <c r="C21" s="532" t="s">
        <v>254</v>
      </c>
      <c r="D21" s="533">
        <v>2757</v>
      </c>
      <c r="E21" s="533">
        <v>3010</v>
      </c>
      <c r="F21" s="533">
        <v>3234</v>
      </c>
      <c r="G21" s="533">
        <v>3337</v>
      </c>
      <c r="H21" s="533">
        <v>3257</v>
      </c>
      <c r="I21" s="1147">
        <v>3122</v>
      </c>
      <c r="J21" s="1312">
        <v>2850</v>
      </c>
      <c r="K21" s="1851">
        <v>2644</v>
      </c>
      <c r="L21" s="2210">
        <v>2320</v>
      </c>
      <c r="M21" s="2210">
        <v>2304</v>
      </c>
    </row>
    <row r="22" spans="1:13" x14ac:dyDescent="0.3">
      <c r="A22" s="531" t="s">
        <v>46</v>
      </c>
      <c r="B22" s="532" t="s">
        <v>47</v>
      </c>
      <c r="C22" s="532" t="s">
        <v>256</v>
      </c>
      <c r="D22" s="533">
        <v>3174</v>
      </c>
      <c r="E22" s="533">
        <v>3435</v>
      </c>
      <c r="F22" s="533">
        <v>3542</v>
      </c>
      <c r="G22" s="533">
        <v>3590</v>
      </c>
      <c r="H22" s="533">
        <v>3562</v>
      </c>
      <c r="I22" s="1147">
        <v>3310</v>
      </c>
      <c r="J22" s="1312">
        <v>3153</v>
      </c>
      <c r="K22" s="1851">
        <v>3045</v>
      </c>
      <c r="L22" s="2210">
        <v>2707</v>
      </c>
      <c r="M22" s="2210">
        <v>2708</v>
      </c>
    </row>
    <row r="23" spans="1:13" x14ac:dyDescent="0.3">
      <c r="A23" s="531" t="s">
        <v>48</v>
      </c>
      <c r="B23" s="532" t="s">
        <v>257</v>
      </c>
      <c r="C23" s="532" t="s">
        <v>254</v>
      </c>
      <c r="D23" s="533">
        <v>663</v>
      </c>
      <c r="E23" s="533">
        <v>691</v>
      </c>
      <c r="F23" s="533">
        <v>754</v>
      </c>
      <c r="G23" s="533">
        <v>798</v>
      </c>
      <c r="H23" s="533">
        <v>774</v>
      </c>
      <c r="I23" s="1147">
        <v>722</v>
      </c>
      <c r="J23" s="1312">
        <v>674</v>
      </c>
      <c r="K23" s="1851">
        <v>635</v>
      </c>
      <c r="L23" s="2210">
        <v>604</v>
      </c>
      <c r="M23" s="2210">
        <v>587</v>
      </c>
    </row>
    <row r="24" spans="1:13" x14ac:dyDescent="0.3">
      <c r="A24" s="531" t="s">
        <v>50</v>
      </c>
      <c r="B24" s="532" t="s">
        <v>51</v>
      </c>
      <c r="C24" s="532" t="s">
        <v>253</v>
      </c>
      <c r="D24" s="533">
        <v>1445</v>
      </c>
      <c r="E24" s="533">
        <v>1503</v>
      </c>
      <c r="F24" s="533">
        <v>1587</v>
      </c>
      <c r="G24" s="533">
        <v>1576</v>
      </c>
      <c r="H24" s="533">
        <v>1504</v>
      </c>
      <c r="I24" s="1147">
        <v>1453</v>
      </c>
      <c r="J24" s="1312">
        <v>1426</v>
      </c>
      <c r="K24" s="1851">
        <v>1402</v>
      </c>
      <c r="L24" s="2210">
        <v>1290</v>
      </c>
      <c r="M24" s="2210">
        <v>1249</v>
      </c>
    </row>
    <row r="25" spans="1:13" x14ac:dyDescent="0.3">
      <c r="A25" s="531" t="s">
        <v>56</v>
      </c>
      <c r="B25" s="532" t="s">
        <v>283</v>
      </c>
      <c r="C25" s="532" t="s">
        <v>254</v>
      </c>
      <c r="D25" s="533">
        <v>16443</v>
      </c>
      <c r="E25" s="533">
        <v>18880</v>
      </c>
      <c r="F25" s="533">
        <v>20382</v>
      </c>
      <c r="G25" s="533">
        <v>21584</v>
      </c>
      <c r="H25" s="533">
        <v>21498</v>
      </c>
      <c r="I25" s="1147">
        <v>20069</v>
      </c>
      <c r="J25" s="1312">
        <v>18416</v>
      </c>
      <c r="K25" s="1851">
        <v>17974</v>
      </c>
      <c r="L25" s="2210">
        <v>16795</v>
      </c>
      <c r="M25" s="2210">
        <v>17166</v>
      </c>
    </row>
    <row r="26" spans="1:13" x14ac:dyDescent="0.3">
      <c r="A26" s="531" t="s">
        <v>58</v>
      </c>
      <c r="B26" s="532" t="s">
        <v>59</v>
      </c>
      <c r="C26" s="532" t="s">
        <v>255</v>
      </c>
      <c r="D26" s="533">
        <v>532</v>
      </c>
      <c r="E26" s="533">
        <v>618</v>
      </c>
      <c r="F26" s="533">
        <v>623</v>
      </c>
      <c r="G26" s="533">
        <v>600</v>
      </c>
      <c r="H26" s="533">
        <v>561</v>
      </c>
      <c r="I26" s="1147">
        <v>473</v>
      </c>
      <c r="J26" s="1312">
        <v>431</v>
      </c>
      <c r="K26" s="1851">
        <v>400</v>
      </c>
      <c r="L26" s="2210">
        <v>366</v>
      </c>
      <c r="M26" s="2210">
        <v>357</v>
      </c>
    </row>
    <row r="27" spans="1:13" x14ac:dyDescent="0.3">
      <c r="A27" s="531" t="s">
        <v>60</v>
      </c>
      <c r="B27" s="532" t="s">
        <v>61</v>
      </c>
      <c r="C27" s="532" t="s">
        <v>253</v>
      </c>
      <c r="D27" s="533">
        <v>319</v>
      </c>
      <c r="E27" s="533">
        <v>340</v>
      </c>
      <c r="F27" s="533">
        <v>371</v>
      </c>
      <c r="G27" s="533">
        <v>381</v>
      </c>
      <c r="H27" s="533">
        <v>363</v>
      </c>
      <c r="I27" s="1147">
        <v>377</v>
      </c>
      <c r="J27" s="1312">
        <v>377</v>
      </c>
      <c r="K27" s="1851">
        <v>399</v>
      </c>
      <c r="L27" s="2210">
        <v>359</v>
      </c>
      <c r="M27" s="2210">
        <v>315</v>
      </c>
    </row>
    <row r="28" spans="1:13" x14ac:dyDescent="0.3">
      <c r="A28" s="531" t="s">
        <v>62</v>
      </c>
      <c r="B28" s="532" t="s">
        <v>63</v>
      </c>
      <c r="C28" s="532" t="s">
        <v>255</v>
      </c>
      <c r="D28" s="533">
        <v>3108</v>
      </c>
      <c r="E28" s="533">
        <v>3414</v>
      </c>
      <c r="F28" s="533">
        <v>3535</v>
      </c>
      <c r="G28" s="533">
        <v>3723</v>
      </c>
      <c r="H28" s="533">
        <v>3603</v>
      </c>
      <c r="I28" s="1147">
        <v>3467</v>
      </c>
      <c r="J28" s="1312">
        <v>3149</v>
      </c>
      <c r="K28" s="1851">
        <v>3069</v>
      </c>
      <c r="L28" s="2210">
        <v>2811</v>
      </c>
      <c r="M28" s="2210">
        <v>2704</v>
      </c>
    </row>
    <row r="29" spans="1:13" x14ac:dyDescent="0.3">
      <c r="A29" s="531" t="s">
        <v>64</v>
      </c>
      <c r="B29" s="532" t="s">
        <v>65</v>
      </c>
      <c r="C29" s="532" t="s">
        <v>254</v>
      </c>
      <c r="D29" s="533">
        <v>1202</v>
      </c>
      <c r="E29" s="533">
        <v>1301</v>
      </c>
      <c r="F29" s="533">
        <v>1386</v>
      </c>
      <c r="G29" s="533">
        <v>1410</v>
      </c>
      <c r="H29" s="533">
        <v>1413</v>
      </c>
      <c r="I29" s="1147">
        <v>1345</v>
      </c>
      <c r="J29" s="1312">
        <v>1164</v>
      </c>
      <c r="K29" s="1851">
        <v>1190</v>
      </c>
      <c r="L29" s="2210">
        <v>1126</v>
      </c>
      <c r="M29" s="2210">
        <v>1122</v>
      </c>
    </row>
    <row r="30" spans="1:13" x14ac:dyDescent="0.3">
      <c r="A30" s="531" t="s">
        <v>68</v>
      </c>
      <c r="B30" s="532" t="s">
        <v>69</v>
      </c>
      <c r="C30" s="532" t="s">
        <v>256</v>
      </c>
      <c r="D30" s="533">
        <v>2015</v>
      </c>
      <c r="E30" s="533">
        <v>2080</v>
      </c>
      <c r="F30" s="533">
        <v>2150</v>
      </c>
      <c r="G30" s="533">
        <v>2226</v>
      </c>
      <c r="H30" s="533">
        <v>2211</v>
      </c>
      <c r="I30" s="1147">
        <v>2086</v>
      </c>
      <c r="J30" s="1312">
        <v>2136</v>
      </c>
      <c r="K30" s="1851">
        <v>2173</v>
      </c>
      <c r="L30" s="2210">
        <v>1920</v>
      </c>
      <c r="M30" s="2210">
        <v>1842</v>
      </c>
    </row>
    <row r="31" spans="1:13" x14ac:dyDescent="0.3">
      <c r="A31" s="531" t="s">
        <v>70</v>
      </c>
      <c r="B31" s="532" t="s">
        <v>71</v>
      </c>
      <c r="C31" s="532" t="s">
        <v>252</v>
      </c>
      <c r="D31" s="533">
        <v>2738</v>
      </c>
      <c r="E31" s="533">
        <v>2936</v>
      </c>
      <c r="F31" s="533">
        <v>3112</v>
      </c>
      <c r="G31" s="533">
        <v>3114</v>
      </c>
      <c r="H31" s="533">
        <v>3058</v>
      </c>
      <c r="I31" s="1147">
        <v>3008</v>
      </c>
      <c r="J31" s="1312">
        <v>2879</v>
      </c>
      <c r="K31" s="1851">
        <v>2720</v>
      </c>
      <c r="L31" s="2210">
        <v>2495</v>
      </c>
      <c r="M31" s="2210">
        <v>2561</v>
      </c>
    </row>
    <row r="32" spans="1:13" x14ac:dyDescent="0.3">
      <c r="A32" s="531" t="s">
        <v>72</v>
      </c>
      <c r="B32" s="532" t="s">
        <v>73</v>
      </c>
      <c r="C32" s="532" t="s">
        <v>254</v>
      </c>
      <c r="D32" s="533">
        <v>1244</v>
      </c>
      <c r="E32" s="533">
        <v>1365</v>
      </c>
      <c r="F32" s="533">
        <v>1503</v>
      </c>
      <c r="G32" s="533">
        <v>1541</v>
      </c>
      <c r="H32" s="533">
        <v>1498</v>
      </c>
      <c r="I32" s="1147">
        <v>1434</v>
      </c>
      <c r="J32" s="1312">
        <v>1300</v>
      </c>
      <c r="K32" s="1851">
        <v>1259</v>
      </c>
      <c r="L32" s="2210">
        <v>1170</v>
      </c>
      <c r="M32" s="2210">
        <v>1158</v>
      </c>
    </row>
    <row r="33" spans="1:13" x14ac:dyDescent="0.3">
      <c r="A33" s="531" t="s">
        <v>74</v>
      </c>
      <c r="B33" s="532" t="s">
        <v>284</v>
      </c>
      <c r="C33" s="532" t="s">
        <v>255</v>
      </c>
      <c r="D33" s="533">
        <v>25410</v>
      </c>
      <c r="E33" s="533">
        <v>29341</v>
      </c>
      <c r="F33" s="533">
        <v>32354</v>
      </c>
      <c r="G33" s="533">
        <v>34720</v>
      </c>
      <c r="H33" s="533">
        <v>34788</v>
      </c>
      <c r="I33" s="1147">
        <v>32818</v>
      </c>
      <c r="J33" s="1312">
        <v>32659</v>
      </c>
      <c r="K33" s="1851">
        <v>32561</v>
      </c>
      <c r="L33" s="2210">
        <v>29333</v>
      </c>
      <c r="M33" s="2210">
        <v>27604</v>
      </c>
    </row>
    <row r="34" spans="1:13" x14ac:dyDescent="0.3">
      <c r="A34" s="531" t="s">
        <v>76</v>
      </c>
      <c r="B34" s="532" t="s">
        <v>77</v>
      </c>
      <c r="C34" s="532" t="s">
        <v>255</v>
      </c>
      <c r="D34" s="533">
        <v>2526</v>
      </c>
      <c r="E34" s="533">
        <v>2780</v>
      </c>
      <c r="F34" s="533">
        <v>2956</v>
      </c>
      <c r="G34" s="533">
        <v>2999</v>
      </c>
      <c r="H34" s="533">
        <v>2906</v>
      </c>
      <c r="I34" s="1147">
        <v>2599</v>
      </c>
      <c r="J34" s="1312">
        <v>2337</v>
      </c>
      <c r="K34" s="1851">
        <v>2269</v>
      </c>
      <c r="L34" s="2210">
        <v>2043</v>
      </c>
      <c r="M34" s="2210">
        <v>1991</v>
      </c>
    </row>
    <row r="35" spans="1:13" x14ac:dyDescent="0.3">
      <c r="A35" s="531" t="s">
        <v>78</v>
      </c>
      <c r="B35" s="532" t="s">
        <v>79</v>
      </c>
      <c r="C35" s="532" t="s">
        <v>256</v>
      </c>
      <c r="D35" s="533">
        <v>1135</v>
      </c>
      <c r="E35" s="533">
        <v>1262</v>
      </c>
      <c r="F35" s="533">
        <v>1341</v>
      </c>
      <c r="G35" s="533">
        <v>1335</v>
      </c>
      <c r="H35" s="533">
        <v>1275</v>
      </c>
      <c r="I35" s="1147">
        <v>1162</v>
      </c>
      <c r="J35" s="1312">
        <v>1109</v>
      </c>
      <c r="K35" s="1851">
        <v>1188</v>
      </c>
      <c r="L35" s="2210">
        <v>1141</v>
      </c>
      <c r="M35" s="2210">
        <v>1099</v>
      </c>
    </row>
    <row r="36" spans="1:13" x14ac:dyDescent="0.3">
      <c r="A36" s="531" t="s">
        <v>80</v>
      </c>
      <c r="B36" s="532" t="s">
        <v>81</v>
      </c>
      <c r="C36" s="532" t="s">
        <v>254</v>
      </c>
      <c r="D36" s="533">
        <v>881</v>
      </c>
      <c r="E36" s="533">
        <v>1041</v>
      </c>
      <c r="F36" s="533">
        <v>1178</v>
      </c>
      <c r="G36" s="533">
        <v>1204</v>
      </c>
      <c r="H36" s="533">
        <v>1173</v>
      </c>
      <c r="I36" s="1147">
        <v>1119</v>
      </c>
      <c r="J36" s="1312">
        <v>1009</v>
      </c>
      <c r="K36" s="1851">
        <v>990</v>
      </c>
      <c r="L36" s="2210">
        <v>929</v>
      </c>
      <c r="M36" s="2210">
        <v>891</v>
      </c>
    </row>
    <row r="37" spans="1:13" x14ac:dyDescent="0.3">
      <c r="A37" s="531" t="s">
        <v>84</v>
      </c>
      <c r="B37" s="532" t="s">
        <v>85</v>
      </c>
      <c r="C37" s="532" t="s">
        <v>253</v>
      </c>
      <c r="D37" s="533">
        <v>4567</v>
      </c>
      <c r="E37" s="533">
        <v>4924</v>
      </c>
      <c r="F37" s="533">
        <v>5105</v>
      </c>
      <c r="G37" s="533">
        <v>5156</v>
      </c>
      <c r="H37" s="533">
        <v>5106</v>
      </c>
      <c r="I37" s="1147">
        <v>4760</v>
      </c>
      <c r="J37" s="1312">
        <v>4341</v>
      </c>
      <c r="K37" s="1851">
        <v>4232</v>
      </c>
      <c r="L37" s="2210">
        <v>3864</v>
      </c>
      <c r="M37" s="2210">
        <v>3774</v>
      </c>
    </row>
    <row r="38" spans="1:13" x14ac:dyDescent="0.3">
      <c r="A38" s="531" t="s">
        <v>86</v>
      </c>
      <c r="B38" s="532" t="s">
        <v>87</v>
      </c>
      <c r="C38" s="532" t="s">
        <v>255</v>
      </c>
      <c r="D38" s="533">
        <v>3781</v>
      </c>
      <c r="E38" s="533">
        <v>4301</v>
      </c>
      <c r="F38" s="533">
        <v>4597</v>
      </c>
      <c r="G38" s="533">
        <v>4722</v>
      </c>
      <c r="H38" s="533">
        <v>4335</v>
      </c>
      <c r="I38" s="1147">
        <v>3995</v>
      </c>
      <c r="J38" s="1312">
        <v>3674</v>
      </c>
      <c r="K38" s="1851">
        <v>3485</v>
      </c>
      <c r="L38" s="2210">
        <v>3189</v>
      </c>
      <c r="M38" s="2210">
        <v>3109</v>
      </c>
    </row>
    <row r="39" spans="1:13" x14ac:dyDescent="0.3">
      <c r="A39" s="531" t="s">
        <v>92</v>
      </c>
      <c r="B39" s="532" t="s">
        <v>93</v>
      </c>
      <c r="C39" s="532" t="s">
        <v>256</v>
      </c>
      <c r="D39" s="533">
        <v>1491</v>
      </c>
      <c r="E39" s="533">
        <v>1628</v>
      </c>
      <c r="F39" s="533">
        <v>1598</v>
      </c>
      <c r="G39" s="533">
        <v>1599</v>
      </c>
      <c r="H39" s="533">
        <v>1662</v>
      </c>
      <c r="I39" s="1147">
        <v>1517</v>
      </c>
      <c r="J39" s="1312">
        <v>1459</v>
      </c>
      <c r="K39" s="1851">
        <v>1440</v>
      </c>
      <c r="L39" s="2210">
        <v>1318</v>
      </c>
      <c r="M39" s="2210">
        <v>1261</v>
      </c>
    </row>
    <row r="40" spans="1:13" x14ac:dyDescent="0.3">
      <c r="A40" s="531" t="s">
        <v>94</v>
      </c>
      <c r="B40" s="532" t="s">
        <v>95</v>
      </c>
      <c r="C40" s="532" t="s">
        <v>252</v>
      </c>
      <c r="D40" s="533">
        <v>2395</v>
      </c>
      <c r="E40" s="533">
        <v>2709</v>
      </c>
      <c r="F40" s="533">
        <v>2914</v>
      </c>
      <c r="G40" s="533">
        <v>2922</v>
      </c>
      <c r="H40" s="533">
        <v>2877</v>
      </c>
      <c r="I40" s="1147">
        <v>2719</v>
      </c>
      <c r="J40" s="1312">
        <v>2508</v>
      </c>
      <c r="K40" s="1851">
        <v>2398</v>
      </c>
      <c r="L40" s="2210">
        <v>2155</v>
      </c>
      <c r="M40" s="2210">
        <v>2200</v>
      </c>
    </row>
    <row r="41" spans="1:13" x14ac:dyDescent="0.3">
      <c r="A41" s="531" t="s">
        <v>96</v>
      </c>
      <c r="B41" s="532" t="s">
        <v>97</v>
      </c>
      <c r="C41" s="532" t="s">
        <v>254</v>
      </c>
      <c r="D41" s="533">
        <v>794</v>
      </c>
      <c r="E41" s="533">
        <v>902</v>
      </c>
      <c r="F41" s="533">
        <v>918</v>
      </c>
      <c r="G41" s="533">
        <v>950</v>
      </c>
      <c r="H41" s="533">
        <v>942</v>
      </c>
      <c r="I41" s="1147">
        <v>884</v>
      </c>
      <c r="J41" s="1312">
        <v>797</v>
      </c>
      <c r="K41" s="1851">
        <v>782</v>
      </c>
      <c r="L41" s="2210">
        <v>744</v>
      </c>
      <c r="M41" s="2210">
        <v>721</v>
      </c>
    </row>
    <row r="42" spans="1:13" x14ac:dyDescent="0.3">
      <c r="A42" s="531" t="s">
        <v>98</v>
      </c>
      <c r="B42" s="532" t="s">
        <v>99</v>
      </c>
      <c r="C42" s="532" t="s">
        <v>256</v>
      </c>
      <c r="D42" s="533">
        <v>1672</v>
      </c>
      <c r="E42" s="533">
        <v>1798</v>
      </c>
      <c r="F42" s="533">
        <v>1830</v>
      </c>
      <c r="G42" s="533">
        <v>1903</v>
      </c>
      <c r="H42" s="533">
        <v>1845</v>
      </c>
      <c r="I42" s="1147">
        <v>1720</v>
      </c>
      <c r="J42" s="1312">
        <v>1667</v>
      </c>
      <c r="K42" s="1851">
        <v>1620</v>
      </c>
      <c r="L42" s="2210">
        <v>1478</v>
      </c>
      <c r="M42" s="2210">
        <v>1433</v>
      </c>
    </row>
    <row r="43" spans="1:13" x14ac:dyDescent="0.3">
      <c r="A43" s="531" t="s">
        <v>100</v>
      </c>
      <c r="B43" s="532" t="s">
        <v>101</v>
      </c>
      <c r="C43" s="532" t="s">
        <v>255</v>
      </c>
      <c r="D43" s="533">
        <v>1096</v>
      </c>
      <c r="E43" s="533">
        <v>1215</v>
      </c>
      <c r="F43" s="533">
        <v>1303</v>
      </c>
      <c r="G43" s="533">
        <v>1342</v>
      </c>
      <c r="H43" s="533">
        <v>1356</v>
      </c>
      <c r="I43" s="1147">
        <v>1293</v>
      </c>
      <c r="J43" s="1312">
        <v>1263</v>
      </c>
      <c r="K43" s="1851">
        <v>1201</v>
      </c>
      <c r="L43" s="2210">
        <v>1047</v>
      </c>
      <c r="M43" s="2210">
        <v>1032</v>
      </c>
    </row>
    <row r="44" spans="1:13" x14ac:dyDescent="0.3">
      <c r="A44" s="531" t="s">
        <v>102</v>
      </c>
      <c r="B44" s="532" t="s">
        <v>270</v>
      </c>
      <c r="C44" s="532" t="s">
        <v>252</v>
      </c>
      <c r="D44" s="533">
        <v>2397</v>
      </c>
      <c r="E44" s="533">
        <v>2657</v>
      </c>
      <c r="F44" s="533">
        <v>2795</v>
      </c>
      <c r="G44" s="533">
        <v>3050</v>
      </c>
      <c r="H44" s="533">
        <v>2914</v>
      </c>
      <c r="I44" s="1147">
        <v>2835</v>
      </c>
      <c r="J44" s="1312">
        <v>2551</v>
      </c>
      <c r="K44" s="1851">
        <v>2483</v>
      </c>
      <c r="L44" s="2210">
        <v>2183</v>
      </c>
      <c r="M44" s="2210">
        <v>2144</v>
      </c>
    </row>
    <row r="45" spans="1:13" x14ac:dyDescent="0.3">
      <c r="A45" s="531" t="s">
        <v>104</v>
      </c>
      <c r="B45" s="532" t="s">
        <v>105</v>
      </c>
      <c r="C45" s="532" t="s">
        <v>253</v>
      </c>
      <c r="D45" s="533">
        <v>4069</v>
      </c>
      <c r="E45" s="533">
        <v>4318</v>
      </c>
      <c r="F45" s="533">
        <v>4442</v>
      </c>
      <c r="G45" s="533">
        <v>4466</v>
      </c>
      <c r="H45" s="533">
        <v>4515</v>
      </c>
      <c r="I45" s="1147">
        <v>4364</v>
      </c>
      <c r="J45" s="1312">
        <v>4230</v>
      </c>
      <c r="K45" s="1851">
        <v>4254</v>
      </c>
      <c r="L45" s="2210">
        <v>3892</v>
      </c>
      <c r="M45" s="2210">
        <v>3851</v>
      </c>
    </row>
    <row r="46" spans="1:13" x14ac:dyDescent="0.3">
      <c r="A46" s="531" t="s">
        <v>108</v>
      </c>
      <c r="B46" s="532" t="s">
        <v>109</v>
      </c>
      <c r="C46" s="532" t="s">
        <v>254</v>
      </c>
      <c r="D46" s="533">
        <v>3249</v>
      </c>
      <c r="E46" s="533">
        <v>3702</v>
      </c>
      <c r="F46" s="533">
        <v>3999</v>
      </c>
      <c r="G46" s="533">
        <v>4064</v>
      </c>
      <c r="H46" s="533">
        <v>4029</v>
      </c>
      <c r="I46" s="1147">
        <v>3768</v>
      </c>
      <c r="J46" s="1312">
        <v>3431</v>
      </c>
      <c r="K46" s="1851">
        <v>3461</v>
      </c>
      <c r="L46" s="2210">
        <v>3198</v>
      </c>
      <c r="M46" s="2210">
        <v>3060</v>
      </c>
    </row>
    <row r="47" spans="1:13" x14ac:dyDescent="0.3">
      <c r="A47" s="531" t="s">
        <v>110</v>
      </c>
      <c r="B47" s="532" t="s">
        <v>111</v>
      </c>
      <c r="C47" s="532" t="s">
        <v>254</v>
      </c>
      <c r="D47" s="533">
        <v>17705</v>
      </c>
      <c r="E47" s="533">
        <v>20583</v>
      </c>
      <c r="F47" s="533">
        <v>22430</v>
      </c>
      <c r="G47" s="533">
        <v>23611</v>
      </c>
      <c r="H47" s="533">
        <v>23261</v>
      </c>
      <c r="I47" s="1147">
        <v>21858</v>
      </c>
      <c r="J47" s="1312">
        <v>20855</v>
      </c>
      <c r="K47" s="1851">
        <v>20708</v>
      </c>
      <c r="L47" s="2210">
        <v>19293</v>
      </c>
      <c r="M47" s="2210">
        <v>19343</v>
      </c>
    </row>
    <row r="48" spans="1:13" x14ac:dyDescent="0.3">
      <c r="A48" s="531" t="s">
        <v>112</v>
      </c>
      <c r="B48" s="532" t="s">
        <v>288</v>
      </c>
      <c r="C48" s="532" t="s">
        <v>253</v>
      </c>
      <c r="D48" s="533">
        <v>9882</v>
      </c>
      <c r="E48" s="533">
        <v>10439</v>
      </c>
      <c r="F48" s="533">
        <v>10999</v>
      </c>
      <c r="G48" s="533">
        <v>11352</v>
      </c>
      <c r="H48" s="533">
        <v>10899</v>
      </c>
      <c r="I48" s="1147">
        <v>10394</v>
      </c>
      <c r="J48" s="1312">
        <v>9673</v>
      </c>
      <c r="K48" s="1851">
        <v>9487</v>
      </c>
      <c r="L48" s="2210">
        <v>8637</v>
      </c>
      <c r="M48" s="2210">
        <v>8436</v>
      </c>
    </row>
    <row r="49" spans="1:13" x14ac:dyDescent="0.3">
      <c r="A49" s="531" t="s">
        <v>114</v>
      </c>
      <c r="B49" s="532" t="s">
        <v>115</v>
      </c>
      <c r="C49" s="532" t="s">
        <v>253</v>
      </c>
      <c r="D49" s="533">
        <v>101</v>
      </c>
      <c r="E49" s="533">
        <v>116</v>
      </c>
      <c r="F49" s="533">
        <v>121</v>
      </c>
      <c r="G49" s="533">
        <v>112</v>
      </c>
      <c r="H49" s="533">
        <v>110</v>
      </c>
      <c r="I49" s="1147">
        <v>104</v>
      </c>
      <c r="J49" s="1312">
        <v>91</v>
      </c>
      <c r="K49" s="1851">
        <v>85</v>
      </c>
      <c r="L49" s="2210">
        <v>74</v>
      </c>
      <c r="M49" s="2210">
        <v>78</v>
      </c>
    </row>
    <row r="50" spans="1:13" x14ac:dyDescent="0.3">
      <c r="A50" s="531" t="s">
        <v>118</v>
      </c>
      <c r="B50" s="532" t="s">
        <v>258</v>
      </c>
      <c r="C50" s="532" t="s">
        <v>252</v>
      </c>
      <c r="D50" s="533">
        <v>2462</v>
      </c>
      <c r="E50" s="533">
        <v>2692</v>
      </c>
      <c r="F50" s="533">
        <v>2872</v>
      </c>
      <c r="G50" s="533">
        <v>2956</v>
      </c>
      <c r="H50" s="533">
        <v>2862</v>
      </c>
      <c r="I50" s="1147">
        <v>2777</v>
      </c>
      <c r="J50" s="1312">
        <v>2548</v>
      </c>
      <c r="K50" s="1851">
        <v>2460</v>
      </c>
      <c r="L50" s="2210">
        <v>2271</v>
      </c>
      <c r="M50" s="2210">
        <v>2231</v>
      </c>
    </row>
    <row r="51" spans="1:13" x14ac:dyDescent="0.3">
      <c r="A51" s="531" t="s">
        <v>120</v>
      </c>
      <c r="B51" s="532" t="s">
        <v>121</v>
      </c>
      <c r="C51" s="532" t="s">
        <v>252</v>
      </c>
      <c r="D51" s="533">
        <v>2476</v>
      </c>
      <c r="E51" s="533">
        <v>2852</v>
      </c>
      <c r="F51" s="533">
        <v>3074</v>
      </c>
      <c r="G51" s="533">
        <v>3252</v>
      </c>
      <c r="H51" s="533">
        <v>3210</v>
      </c>
      <c r="I51" s="1147">
        <v>3073</v>
      </c>
      <c r="J51" s="1312">
        <v>2940</v>
      </c>
      <c r="K51" s="1851">
        <v>2820</v>
      </c>
      <c r="L51" s="2210">
        <v>2552</v>
      </c>
      <c r="M51" s="2210">
        <v>2502</v>
      </c>
    </row>
    <row r="52" spans="1:13" x14ac:dyDescent="0.3">
      <c r="A52" s="531" t="s">
        <v>122</v>
      </c>
      <c r="B52" s="532" t="s">
        <v>275</v>
      </c>
      <c r="C52" s="532" t="s">
        <v>254</v>
      </c>
      <c r="D52" s="533">
        <v>609</v>
      </c>
      <c r="E52" s="533">
        <v>687</v>
      </c>
      <c r="F52" s="533">
        <v>754</v>
      </c>
      <c r="G52" s="533">
        <v>813</v>
      </c>
      <c r="H52" s="533">
        <v>806</v>
      </c>
      <c r="I52" s="1147">
        <v>776</v>
      </c>
      <c r="J52" s="1312">
        <v>1605</v>
      </c>
      <c r="K52" s="1851">
        <v>655</v>
      </c>
      <c r="L52" s="2210">
        <v>609</v>
      </c>
      <c r="M52" s="2210">
        <v>614</v>
      </c>
    </row>
    <row r="53" spans="1:13" x14ac:dyDescent="0.3">
      <c r="A53" s="531" t="s">
        <v>124</v>
      </c>
      <c r="B53" s="532" t="s">
        <v>125</v>
      </c>
      <c r="C53" s="532" t="s">
        <v>255</v>
      </c>
      <c r="D53" s="533">
        <v>1364</v>
      </c>
      <c r="E53" s="533">
        <v>1609</v>
      </c>
      <c r="F53" s="533">
        <v>1807</v>
      </c>
      <c r="G53" s="533">
        <v>1905</v>
      </c>
      <c r="H53" s="533">
        <v>1925</v>
      </c>
      <c r="I53" s="1147">
        <v>1804</v>
      </c>
      <c r="J53" s="1312">
        <v>1014</v>
      </c>
      <c r="K53" s="1851">
        <v>1521</v>
      </c>
      <c r="L53" s="2210">
        <v>1350</v>
      </c>
      <c r="M53" s="2210">
        <v>1305</v>
      </c>
    </row>
    <row r="54" spans="1:13" x14ac:dyDescent="0.3">
      <c r="A54" s="531" t="s">
        <v>126</v>
      </c>
      <c r="B54" s="532" t="s">
        <v>127</v>
      </c>
      <c r="C54" s="532" t="s">
        <v>254</v>
      </c>
      <c r="D54" s="533">
        <v>998</v>
      </c>
      <c r="E54" s="533">
        <v>1121</v>
      </c>
      <c r="F54" s="533">
        <v>1196</v>
      </c>
      <c r="G54" s="533">
        <v>1184</v>
      </c>
      <c r="H54" s="533">
        <v>1153</v>
      </c>
      <c r="I54" s="1147">
        <v>1107</v>
      </c>
      <c r="J54" s="1312">
        <v>690</v>
      </c>
      <c r="K54" s="1851">
        <v>935</v>
      </c>
      <c r="L54" s="2210">
        <v>852</v>
      </c>
      <c r="M54" s="2210">
        <v>864</v>
      </c>
    </row>
    <row r="55" spans="1:13" x14ac:dyDescent="0.3">
      <c r="A55" s="531" t="s">
        <v>128</v>
      </c>
      <c r="B55" s="532" t="s">
        <v>129</v>
      </c>
      <c r="C55" s="532" t="s">
        <v>254</v>
      </c>
      <c r="D55" s="533">
        <v>981</v>
      </c>
      <c r="E55" s="533">
        <v>1053</v>
      </c>
      <c r="F55" s="533">
        <v>1106</v>
      </c>
      <c r="G55" s="533">
        <v>1134</v>
      </c>
      <c r="H55" s="533">
        <v>1117</v>
      </c>
      <c r="I55" s="1147">
        <v>1043</v>
      </c>
      <c r="J55" s="1312">
        <v>955</v>
      </c>
      <c r="K55" s="1851">
        <v>952</v>
      </c>
      <c r="L55" s="2210">
        <v>889</v>
      </c>
      <c r="M55" s="2210">
        <v>885</v>
      </c>
    </row>
    <row r="56" spans="1:13" x14ac:dyDescent="0.3">
      <c r="A56" s="531" t="s">
        <v>130</v>
      </c>
      <c r="B56" s="532" t="s">
        <v>131</v>
      </c>
      <c r="C56" s="532" t="s">
        <v>256</v>
      </c>
      <c r="D56" s="533">
        <v>3568</v>
      </c>
      <c r="E56" s="533">
        <v>3828</v>
      </c>
      <c r="F56" s="533">
        <v>3936</v>
      </c>
      <c r="G56" s="533">
        <v>4034</v>
      </c>
      <c r="H56" s="533">
        <v>4087</v>
      </c>
      <c r="I56" s="1147">
        <v>3844</v>
      </c>
      <c r="J56" s="1312">
        <v>3725</v>
      </c>
      <c r="K56" s="1851">
        <v>3885</v>
      </c>
      <c r="L56" s="2210">
        <v>3606</v>
      </c>
      <c r="M56" s="2210">
        <v>3564</v>
      </c>
    </row>
    <row r="57" spans="1:13" x14ac:dyDescent="0.3">
      <c r="A57" s="531" t="s">
        <v>132</v>
      </c>
      <c r="B57" s="532" t="s">
        <v>133</v>
      </c>
      <c r="C57" s="532" t="s">
        <v>255</v>
      </c>
      <c r="D57" s="533">
        <v>4833</v>
      </c>
      <c r="E57" s="533">
        <v>5657</v>
      </c>
      <c r="F57" s="533">
        <v>6097</v>
      </c>
      <c r="G57" s="533">
        <v>6514</v>
      </c>
      <c r="H57" s="533">
        <v>6658</v>
      </c>
      <c r="I57" s="1147">
        <v>6306</v>
      </c>
      <c r="J57" s="1312">
        <v>6268</v>
      </c>
      <c r="K57" s="1851">
        <v>6427</v>
      </c>
      <c r="L57" s="2210">
        <v>5921</v>
      </c>
      <c r="M57" s="2210">
        <v>5752</v>
      </c>
    </row>
    <row r="58" spans="1:13" x14ac:dyDescent="0.3">
      <c r="A58" s="531" t="s">
        <v>134</v>
      </c>
      <c r="B58" s="532" t="s">
        <v>135</v>
      </c>
      <c r="C58" s="532" t="s">
        <v>255</v>
      </c>
      <c r="D58" s="533">
        <v>2311</v>
      </c>
      <c r="E58" s="533">
        <v>2693</v>
      </c>
      <c r="F58" s="533">
        <v>2828</v>
      </c>
      <c r="G58" s="533">
        <v>3016</v>
      </c>
      <c r="H58" s="533">
        <v>3047</v>
      </c>
      <c r="I58" s="1147">
        <v>2906</v>
      </c>
      <c r="J58" s="1312">
        <v>2608</v>
      </c>
      <c r="K58" s="1851">
        <v>2477</v>
      </c>
      <c r="L58" s="2210">
        <v>2233</v>
      </c>
      <c r="M58" s="2210">
        <v>2176</v>
      </c>
    </row>
    <row r="59" spans="1:13" x14ac:dyDescent="0.3">
      <c r="A59" s="531" t="s">
        <v>136</v>
      </c>
      <c r="B59" s="532" t="s">
        <v>137</v>
      </c>
      <c r="C59" s="532" t="s">
        <v>254</v>
      </c>
      <c r="D59" s="533">
        <v>1498</v>
      </c>
      <c r="E59" s="533">
        <v>1617</v>
      </c>
      <c r="F59" s="533">
        <v>1667</v>
      </c>
      <c r="G59" s="533">
        <v>1688</v>
      </c>
      <c r="H59" s="533">
        <v>1709</v>
      </c>
      <c r="I59" s="1147">
        <v>1623</v>
      </c>
      <c r="J59" s="1312">
        <v>1537</v>
      </c>
      <c r="K59" s="1851">
        <v>1489</v>
      </c>
      <c r="L59" s="2210">
        <v>1340</v>
      </c>
      <c r="M59" s="2210">
        <v>1330</v>
      </c>
    </row>
    <row r="60" spans="1:13" x14ac:dyDescent="0.3">
      <c r="A60" s="531" t="s">
        <v>140</v>
      </c>
      <c r="B60" s="532" t="s">
        <v>141</v>
      </c>
      <c r="C60" s="532" t="s">
        <v>255</v>
      </c>
      <c r="D60" s="533">
        <v>807</v>
      </c>
      <c r="E60" s="533">
        <v>893</v>
      </c>
      <c r="F60" s="533">
        <v>972</v>
      </c>
      <c r="G60" s="533">
        <v>1024</v>
      </c>
      <c r="H60" s="533">
        <v>1000</v>
      </c>
      <c r="I60" s="1147">
        <v>955</v>
      </c>
      <c r="J60" s="1312">
        <v>863</v>
      </c>
      <c r="K60" s="1851">
        <v>806</v>
      </c>
      <c r="L60" s="2210">
        <v>684</v>
      </c>
      <c r="M60" s="2210">
        <v>621</v>
      </c>
    </row>
    <row r="61" spans="1:13" x14ac:dyDescent="0.3">
      <c r="A61" s="531" t="s">
        <v>146</v>
      </c>
      <c r="B61" s="532" t="s">
        <v>147</v>
      </c>
      <c r="C61" s="532" t="s">
        <v>252</v>
      </c>
      <c r="D61" s="533">
        <v>596</v>
      </c>
      <c r="E61" s="533">
        <v>671</v>
      </c>
      <c r="F61" s="533">
        <v>699</v>
      </c>
      <c r="G61" s="533">
        <v>710</v>
      </c>
      <c r="H61" s="533">
        <v>685</v>
      </c>
      <c r="I61" s="1147">
        <v>673</v>
      </c>
      <c r="J61" s="1312">
        <v>637</v>
      </c>
      <c r="K61" s="1851">
        <v>581</v>
      </c>
      <c r="L61" s="2210">
        <v>532</v>
      </c>
      <c r="M61" s="2210">
        <v>517</v>
      </c>
    </row>
    <row r="62" spans="1:13" x14ac:dyDescent="0.3">
      <c r="A62" s="531" t="s">
        <v>148</v>
      </c>
      <c r="B62" s="532" t="s">
        <v>149</v>
      </c>
      <c r="C62" s="532" t="s">
        <v>253</v>
      </c>
      <c r="D62" s="533">
        <v>2922</v>
      </c>
      <c r="E62" s="533">
        <v>3158</v>
      </c>
      <c r="F62" s="533">
        <v>3319</v>
      </c>
      <c r="G62" s="533">
        <v>3505</v>
      </c>
      <c r="H62" s="533">
        <v>3511</v>
      </c>
      <c r="I62" s="1147">
        <v>3396</v>
      </c>
      <c r="J62" s="1312">
        <v>3216</v>
      </c>
      <c r="K62" s="1851">
        <v>3160</v>
      </c>
      <c r="L62" s="2210">
        <v>2966</v>
      </c>
      <c r="M62" s="2210">
        <v>2838</v>
      </c>
    </row>
    <row r="63" spans="1:13" x14ac:dyDescent="0.3">
      <c r="A63" s="531" t="s">
        <v>150</v>
      </c>
      <c r="B63" s="532" t="s">
        <v>151</v>
      </c>
      <c r="C63" s="532" t="s">
        <v>254</v>
      </c>
      <c r="D63" s="533">
        <v>890</v>
      </c>
      <c r="E63" s="533">
        <v>962</v>
      </c>
      <c r="F63" s="533">
        <v>1077</v>
      </c>
      <c r="G63" s="533">
        <v>1103</v>
      </c>
      <c r="H63" s="533">
        <v>1090</v>
      </c>
      <c r="I63" s="1147">
        <v>1029</v>
      </c>
      <c r="J63" s="1312">
        <v>976</v>
      </c>
      <c r="K63" s="1851">
        <v>1002</v>
      </c>
      <c r="L63" s="2210">
        <v>905</v>
      </c>
      <c r="M63" s="2210">
        <v>919</v>
      </c>
    </row>
    <row r="64" spans="1:13" x14ac:dyDescent="0.3">
      <c r="A64" s="531" t="s">
        <v>152</v>
      </c>
      <c r="B64" s="532" t="s">
        <v>153</v>
      </c>
      <c r="C64" s="532" t="s">
        <v>256</v>
      </c>
      <c r="D64" s="533">
        <v>4513</v>
      </c>
      <c r="E64" s="533">
        <v>4979</v>
      </c>
      <c r="F64" s="533">
        <v>5197</v>
      </c>
      <c r="G64" s="533">
        <v>5332</v>
      </c>
      <c r="H64" s="533">
        <v>5205</v>
      </c>
      <c r="I64" s="1147">
        <v>4834</v>
      </c>
      <c r="J64" s="1312">
        <v>4446</v>
      </c>
      <c r="K64" s="1851">
        <v>4334</v>
      </c>
      <c r="L64" s="2210">
        <v>3794</v>
      </c>
      <c r="M64" s="2210">
        <v>3712</v>
      </c>
    </row>
    <row r="65" spans="1:13" x14ac:dyDescent="0.3">
      <c r="A65" s="531" t="s">
        <v>154</v>
      </c>
      <c r="B65" s="532" t="s">
        <v>155</v>
      </c>
      <c r="C65" s="532" t="s">
        <v>253</v>
      </c>
      <c r="D65" s="533">
        <v>1227</v>
      </c>
      <c r="E65" s="533">
        <v>1356</v>
      </c>
      <c r="F65" s="533">
        <v>1471</v>
      </c>
      <c r="G65" s="533">
        <v>1502</v>
      </c>
      <c r="H65" s="533">
        <v>1497</v>
      </c>
      <c r="I65" s="1147">
        <v>1386</v>
      </c>
      <c r="J65" s="1312">
        <v>1233</v>
      </c>
      <c r="K65" s="1851">
        <v>1194</v>
      </c>
      <c r="L65" s="2210">
        <v>1078</v>
      </c>
      <c r="M65" s="2210">
        <v>1042</v>
      </c>
    </row>
    <row r="66" spans="1:13" x14ac:dyDescent="0.3">
      <c r="A66" s="531" t="s">
        <v>156</v>
      </c>
      <c r="B66" s="532" t="s">
        <v>157</v>
      </c>
      <c r="C66" s="532" t="s">
        <v>254</v>
      </c>
      <c r="D66" s="533">
        <v>619</v>
      </c>
      <c r="E66" s="533">
        <v>732</v>
      </c>
      <c r="F66" s="533">
        <v>804</v>
      </c>
      <c r="G66" s="533">
        <v>839</v>
      </c>
      <c r="H66" s="533">
        <v>816</v>
      </c>
      <c r="I66" s="1147">
        <v>833</v>
      </c>
      <c r="J66" s="1312">
        <v>747</v>
      </c>
      <c r="K66" s="1851">
        <v>712</v>
      </c>
      <c r="L66" s="2210">
        <v>651</v>
      </c>
      <c r="M66" s="2210">
        <v>656</v>
      </c>
    </row>
    <row r="67" spans="1:13" x14ac:dyDescent="0.3">
      <c r="A67" s="531" t="s">
        <v>162</v>
      </c>
      <c r="B67" s="532" t="s">
        <v>163</v>
      </c>
      <c r="C67" s="532" t="s">
        <v>252</v>
      </c>
      <c r="D67" s="533">
        <v>1784</v>
      </c>
      <c r="E67" s="533">
        <v>1952</v>
      </c>
      <c r="F67" s="533">
        <v>1990</v>
      </c>
      <c r="G67" s="533">
        <v>2018</v>
      </c>
      <c r="H67" s="533">
        <v>2015</v>
      </c>
      <c r="I67" s="1147">
        <v>1911</v>
      </c>
      <c r="J67" s="1312">
        <v>1776</v>
      </c>
      <c r="K67" s="1851">
        <v>1736</v>
      </c>
      <c r="L67" s="2210">
        <v>1582</v>
      </c>
      <c r="M67" s="2210">
        <v>1538</v>
      </c>
    </row>
    <row r="68" spans="1:13" x14ac:dyDescent="0.3">
      <c r="A68" s="531" t="s">
        <v>164</v>
      </c>
      <c r="B68" s="532" t="s">
        <v>165</v>
      </c>
      <c r="C68" s="532" t="s">
        <v>254</v>
      </c>
      <c r="D68" s="533">
        <v>941</v>
      </c>
      <c r="E68" s="533">
        <v>1031</v>
      </c>
      <c r="F68" s="533">
        <v>1101</v>
      </c>
      <c r="G68" s="533">
        <v>1179</v>
      </c>
      <c r="H68" s="533">
        <v>1201</v>
      </c>
      <c r="I68" s="1147">
        <v>1150</v>
      </c>
      <c r="J68" s="1312">
        <v>1056</v>
      </c>
      <c r="K68" s="1851">
        <v>1012</v>
      </c>
      <c r="L68" s="2210">
        <v>975</v>
      </c>
      <c r="M68" s="2210">
        <v>989</v>
      </c>
    </row>
    <row r="69" spans="1:13" x14ac:dyDescent="0.3">
      <c r="A69" s="531" t="s">
        <v>168</v>
      </c>
      <c r="B69" s="532" t="s">
        <v>169</v>
      </c>
      <c r="C69" s="532" t="s">
        <v>254</v>
      </c>
      <c r="D69" s="533">
        <v>1966</v>
      </c>
      <c r="E69" s="533">
        <v>2173</v>
      </c>
      <c r="F69" s="533">
        <v>2316</v>
      </c>
      <c r="G69" s="533">
        <v>2365</v>
      </c>
      <c r="H69" s="533">
        <v>2398</v>
      </c>
      <c r="I69" s="1147">
        <v>2229</v>
      </c>
      <c r="J69" s="1312">
        <v>2044</v>
      </c>
      <c r="K69" s="1851">
        <v>1969</v>
      </c>
      <c r="L69" s="2210">
        <v>1840</v>
      </c>
      <c r="M69" s="2210">
        <v>1751</v>
      </c>
    </row>
    <row r="70" spans="1:13" x14ac:dyDescent="0.3">
      <c r="A70" s="531" t="s">
        <v>170</v>
      </c>
      <c r="B70" s="532" t="s">
        <v>171</v>
      </c>
      <c r="C70" s="532" t="s">
        <v>255</v>
      </c>
      <c r="D70" s="533">
        <v>1868</v>
      </c>
      <c r="E70" s="533">
        <v>2074</v>
      </c>
      <c r="F70" s="533">
        <v>2200</v>
      </c>
      <c r="G70" s="533">
        <v>2260</v>
      </c>
      <c r="H70" s="533">
        <v>2270</v>
      </c>
      <c r="I70" s="1147">
        <v>2138</v>
      </c>
      <c r="J70" s="1312">
        <v>1995</v>
      </c>
      <c r="K70" s="1851">
        <v>1977</v>
      </c>
      <c r="L70" s="2210">
        <v>1802</v>
      </c>
      <c r="M70" s="2210">
        <v>1819</v>
      </c>
    </row>
    <row r="71" spans="1:13" x14ac:dyDescent="0.3">
      <c r="A71" s="531" t="s">
        <v>172</v>
      </c>
      <c r="B71" s="532" t="s">
        <v>173</v>
      </c>
      <c r="C71" s="532" t="s">
        <v>255</v>
      </c>
      <c r="D71" s="533">
        <v>2111</v>
      </c>
      <c r="E71" s="533">
        <v>2293</v>
      </c>
      <c r="F71" s="533">
        <v>2468</v>
      </c>
      <c r="G71" s="533">
        <v>2488</v>
      </c>
      <c r="H71" s="533">
        <v>2463</v>
      </c>
      <c r="I71" s="1147">
        <v>2344</v>
      </c>
      <c r="J71" s="1312">
        <v>2192</v>
      </c>
      <c r="K71" s="1851">
        <v>2059</v>
      </c>
      <c r="L71" s="2210">
        <v>1827</v>
      </c>
      <c r="M71" s="2210">
        <v>1793</v>
      </c>
    </row>
    <row r="72" spans="1:13" x14ac:dyDescent="0.3">
      <c r="A72" s="531" t="s">
        <v>174</v>
      </c>
      <c r="B72" s="532" t="s">
        <v>175</v>
      </c>
      <c r="C72" s="532" t="s">
        <v>256</v>
      </c>
      <c r="D72" s="533">
        <v>2136</v>
      </c>
      <c r="E72" s="533">
        <v>2269</v>
      </c>
      <c r="F72" s="533">
        <v>2300</v>
      </c>
      <c r="G72" s="533">
        <v>2239</v>
      </c>
      <c r="H72" s="533">
        <v>2169</v>
      </c>
      <c r="I72" s="1147">
        <v>2013</v>
      </c>
      <c r="J72" s="1312">
        <v>1959</v>
      </c>
      <c r="K72" s="1851">
        <v>1926</v>
      </c>
      <c r="L72" s="2210">
        <v>1723</v>
      </c>
      <c r="M72" s="2210">
        <v>1710</v>
      </c>
    </row>
    <row r="73" spans="1:13" x14ac:dyDescent="0.3">
      <c r="A73" s="531" t="s">
        <v>178</v>
      </c>
      <c r="B73" s="532" t="s">
        <v>179</v>
      </c>
      <c r="C73" s="532" t="s">
        <v>253</v>
      </c>
      <c r="D73" s="533">
        <v>6090</v>
      </c>
      <c r="E73" s="533">
        <v>6509</v>
      </c>
      <c r="F73" s="533">
        <v>6704</v>
      </c>
      <c r="G73" s="533">
        <v>6887</v>
      </c>
      <c r="H73" s="533">
        <v>6952</v>
      </c>
      <c r="I73" s="1147">
        <v>6493</v>
      </c>
      <c r="J73" s="1312">
        <v>5855</v>
      </c>
      <c r="K73" s="1851">
        <v>5857</v>
      </c>
      <c r="L73" s="2210">
        <v>5603</v>
      </c>
      <c r="M73" s="2210">
        <v>5476</v>
      </c>
    </row>
    <row r="74" spans="1:13" x14ac:dyDescent="0.3">
      <c r="A74" s="531" t="s">
        <v>182</v>
      </c>
      <c r="B74" s="532" t="s">
        <v>183</v>
      </c>
      <c r="C74" s="532" t="s">
        <v>254</v>
      </c>
      <c r="D74" s="533">
        <v>782</v>
      </c>
      <c r="E74" s="533">
        <v>908</v>
      </c>
      <c r="F74" s="533">
        <v>1027</v>
      </c>
      <c r="G74" s="533">
        <v>1038</v>
      </c>
      <c r="H74" s="533">
        <v>1006</v>
      </c>
      <c r="I74" s="1147">
        <v>912</v>
      </c>
      <c r="J74" s="1312">
        <v>827</v>
      </c>
      <c r="K74" s="1851">
        <v>787</v>
      </c>
      <c r="L74" s="2210">
        <v>746</v>
      </c>
      <c r="M74" s="2210">
        <v>736</v>
      </c>
    </row>
    <row r="75" spans="1:13" x14ac:dyDescent="0.3">
      <c r="A75" s="531" t="s">
        <v>184</v>
      </c>
      <c r="B75" s="532" t="s">
        <v>185</v>
      </c>
      <c r="C75" s="532" t="s">
        <v>254</v>
      </c>
      <c r="D75" s="533">
        <v>2091</v>
      </c>
      <c r="E75" s="533">
        <v>2302</v>
      </c>
      <c r="F75" s="533">
        <v>2434</v>
      </c>
      <c r="G75" s="533">
        <v>2492</v>
      </c>
      <c r="H75" s="533">
        <v>2471</v>
      </c>
      <c r="I75" s="1147">
        <v>2329</v>
      </c>
      <c r="J75" s="1312">
        <v>2235</v>
      </c>
      <c r="K75" s="1851">
        <v>2189</v>
      </c>
      <c r="L75" s="2210">
        <v>1990</v>
      </c>
      <c r="M75" s="2210">
        <v>2007</v>
      </c>
    </row>
    <row r="76" spans="1:13" x14ac:dyDescent="0.3">
      <c r="A76" s="531" t="s">
        <v>186</v>
      </c>
      <c r="B76" s="532" t="s">
        <v>187</v>
      </c>
      <c r="C76" s="532" t="s">
        <v>252</v>
      </c>
      <c r="D76" s="533">
        <v>1500</v>
      </c>
      <c r="E76" s="533">
        <v>1689</v>
      </c>
      <c r="F76" s="533">
        <v>1888</v>
      </c>
      <c r="G76" s="533">
        <v>2029</v>
      </c>
      <c r="H76" s="533">
        <v>2082</v>
      </c>
      <c r="I76" s="1147">
        <v>2059</v>
      </c>
      <c r="J76" s="1312">
        <v>1979</v>
      </c>
      <c r="K76" s="1851">
        <v>2013</v>
      </c>
      <c r="L76" s="2210">
        <v>1829</v>
      </c>
      <c r="M76" s="2210">
        <v>1945</v>
      </c>
    </row>
    <row r="77" spans="1:13" x14ac:dyDescent="0.3">
      <c r="A77" s="531" t="s">
        <v>188</v>
      </c>
      <c r="B77" s="532" t="s">
        <v>189</v>
      </c>
      <c r="C77" s="532" t="s">
        <v>255</v>
      </c>
      <c r="D77" s="533">
        <v>14043</v>
      </c>
      <c r="E77" s="533">
        <v>16311</v>
      </c>
      <c r="F77" s="533">
        <v>17853</v>
      </c>
      <c r="G77" s="533">
        <v>18942</v>
      </c>
      <c r="H77" s="533">
        <v>18854</v>
      </c>
      <c r="I77" s="1147">
        <v>17928</v>
      </c>
      <c r="J77" s="1312">
        <v>17202</v>
      </c>
      <c r="K77" s="1851">
        <v>16575</v>
      </c>
      <c r="L77" s="2210">
        <v>14893</v>
      </c>
      <c r="M77" s="2210">
        <v>14557</v>
      </c>
    </row>
    <row r="78" spans="1:13" x14ac:dyDescent="0.3">
      <c r="A78" s="531" t="s">
        <v>190</v>
      </c>
      <c r="B78" s="532" t="s">
        <v>191</v>
      </c>
      <c r="C78" s="532" t="s">
        <v>256</v>
      </c>
      <c r="D78" s="533">
        <v>3867</v>
      </c>
      <c r="E78" s="533">
        <v>4106</v>
      </c>
      <c r="F78" s="533">
        <v>4116</v>
      </c>
      <c r="G78" s="533">
        <v>4240</v>
      </c>
      <c r="H78" s="533">
        <v>4232</v>
      </c>
      <c r="I78" s="1147">
        <v>3895</v>
      </c>
      <c r="J78" s="1312">
        <v>3694</v>
      </c>
      <c r="K78" s="1851">
        <v>3760</v>
      </c>
      <c r="L78" s="2210">
        <v>3462</v>
      </c>
      <c r="M78" s="2210">
        <v>3383</v>
      </c>
    </row>
    <row r="79" spans="1:13" x14ac:dyDescent="0.3">
      <c r="A79" s="531" t="s">
        <v>194</v>
      </c>
      <c r="B79" s="532" t="s">
        <v>195</v>
      </c>
      <c r="C79" s="532" t="s">
        <v>255</v>
      </c>
      <c r="D79" s="533">
        <v>289</v>
      </c>
      <c r="E79" s="533">
        <v>319</v>
      </c>
      <c r="F79" s="533">
        <v>352</v>
      </c>
      <c r="G79" s="533">
        <v>331</v>
      </c>
      <c r="H79" s="533">
        <v>314</v>
      </c>
      <c r="I79" s="1147">
        <v>278</v>
      </c>
      <c r="J79" s="1312">
        <v>263</v>
      </c>
      <c r="K79" s="1851">
        <v>253</v>
      </c>
      <c r="L79" s="2210">
        <v>237</v>
      </c>
      <c r="M79" s="2210">
        <v>224</v>
      </c>
    </row>
    <row r="80" spans="1:13" x14ac:dyDescent="0.3">
      <c r="A80" s="531" t="s">
        <v>198</v>
      </c>
      <c r="B80" s="532" t="s">
        <v>260</v>
      </c>
      <c r="C80" s="532" t="s">
        <v>254</v>
      </c>
      <c r="D80" s="533">
        <v>832</v>
      </c>
      <c r="E80" s="533">
        <v>906</v>
      </c>
      <c r="F80" s="533">
        <v>991</v>
      </c>
      <c r="G80" s="533">
        <v>1046</v>
      </c>
      <c r="H80" s="533">
        <v>1045</v>
      </c>
      <c r="I80" s="1147">
        <v>1008</v>
      </c>
      <c r="J80" s="1312">
        <v>967</v>
      </c>
      <c r="K80" s="1851">
        <v>1008</v>
      </c>
      <c r="L80" s="2210">
        <v>915</v>
      </c>
      <c r="M80" s="2210">
        <v>910</v>
      </c>
    </row>
    <row r="81" spans="1:13" x14ac:dyDescent="0.3">
      <c r="A81" s="531" t="s">
        <v>202</v>
      </c>
      <c r="B81" s="532" t="s">
        <v>289</v>
      </c>
      <c r="C81" s="532" t="s">
        <v>253</v>
      </c>
      <c r="D81" s="533">
        <v>4776</v>
      </c>
      <c r="E81" s="533">
        <v>5353</v>
      </c>
      <c r="F81" s="533">
        <v>5575</v>
      </c>
      <c r="G81" s="533">
        <v>5785</v>
      </c>
      <c r="H81" s="533">
        <v>5809</v>
      </c>
      <c r="I81" s="1147">
        <v>5639</v>
      </c>
      <c r="J81" s="1312">
        <v>5073</v>
      </c>
      <c r="K81" s="1851">
        <v>5017</v>
      </c>
      <c r="L81" s="2210">
        <v>4652</v>
      </c>
      <c r="M81" s="2210">
        <v>4466</v>
      </c>
    </row>
    <row r="82" spans="1:13" x14ac:dyDescent="0.3">
      <c r="A82" s="531" t="s">
        <v>204</v>
      </c>
      <c r="B82" s="532" t="s">
        <v>281</v>
      </c>
      <c r="C82" s="532" t="s">
        <v>253</v>
      </c>
      <c r="D82" s="533">
        <v>2296</v>
      </c>
      <c r="E82" s="533">
        <v>2530</v>
      </c>
      <c r="F82" s="533">
        <v>2639</v>
      </c>
      <c r="G82" s="533">
        <v>2825</v>
      </c>
      <c r="H82" s="533">
        <v>2734</v>
      </c>
      <c r="I82" s="1147">
        <v>2571</v>
      </c>
      <c r="J82" s="1312">
        <v>2401</v>
      </c>
      <c r="K82" s="1851">
        <v>2312</v>
      </c>
      <c r="L82" s="2210">
        <v>2095</v>
      </c>
      <c r="M82" s="2210">
        <v>2111</v>
      </c>
    </row>
    <row r="83" spans="1:13" x14ac:dyDescent="0.3">
      <c r="A83" s="531" t="s">
        <v>206</v>
      </c>
      <c r="B83" s="532" t="s">
        <v>282</v>
      </c>
      <c r="C83" s="532" t="s">
        <v>255</v>
      </c>
      <c r="D83" s="533">
        <v>6465</v>
      </c>
      <c r="E83" s="533">
        <v>7328</v>
      </c>
      <c r="F83" s="533">
        <v>7570</v>
      </c>
      <c r="G83" s="533">
        <v>8023</v>
      </c>
      <c r="H83" s="533">
        <v>7624</v>
      </c>
      <c r="I83" s="1147">
        <v>6988</v>
      </c>
      <c r="J83" s="1312">
        <v>6379</v>
      </c>
      <c r="K83" s="1851">
        <v>6113</v>
      </c>
      <c r="L83" s="2210">
        <v>5431</v>
      </c>
      <c r="M83" s="2210">
        <v>5325</v>
      </c>
    </row>
    <row r="84" spans="1:13" x14ac:dyDescent="0.3">
      <c r="A84" s="531" t="s">
        <v>208</v>
      </c>
      <c r="B84" s="532" t="s">
        <v>209</v>
      </c>
      <c r="C84" s="532" t="s">
        <v>256</v>
      </c>
      <c r="D84" s="533">
        <v>3463</v>
      </c>
      <c r="E84" s="533">
        <v>3622</v>
      </c>
      <c r="F84" s="533">
        <v>3630</v>
      </c>
      <c r="G84" s="533">
        <v>3728</v>
      </c>
      <c r="H84" s="533">
        <v>3879</v>
      </c>
      <c r="I84" s="1147">
        <v>3718</v>
      </c>
      <c r="J84" s="1312">
        <v>3559</v>
      </c>
      <c r="K84" s="1851">
        <v>3623</v>
      </c>
      <c r="L84" s="2210">
        <v>3368</v>
      </c>
      <c r="M84" s="2210">
        <v>3320</v>
      </c>
    </row>
    <row r="85" spans="1:13" x14ac:dyDescent="0.3">
      <c r="A85" s="531" t="s">
        <v>210</v>
      </c>
      <c r="B85" s="532" t="s">
        <v>211</v>
      </c>
      <c r="C85" s="532" t="s">
        <v>256</v>
      </c>
      <c r="D85" s="533">
        <v>2074</v>
      </c>
      <c r="E85" s="533">
        <v>2253</v>
      </c>
      <c r="F85" s="533">
        <v>2392</v>
      </c>
      <c r="G85" s="533">
        <v>2488</v>
      </c>
      <c r="H85" s="533">
        <v>2526</v>
      </c>
      <c r="I85" s="1147">
        <v>2328</v>
      </c>
      <c r="J85" s="1312">
        <v>2298</v>
      </c>
      <c r="K85" s="1851">
        <v>2336</v>
      </c>
      <c r="L85" s="2210">
        <v>2172</v>
      </c>
      <c r="M85" s="2210">
        <v>2116</v>
      </c>
    </row>
    <row r="86" spans="1:13" x14ac:dyDescent="0.3">
      <c r="A86" s="531" t="s">
        <v>212</v>
      </c>
      <c r="B86" s="532" t="s">
        <v>213</v>
      </c>
      <c r="C86" s="532" t="s">
        <v>255</v>
      </c>
      <c r="D86" s="533">
        <v>2807</v>
      </c>
      <c r="E86" s="533">
        <v>3056</v>
      </c>
      <c r="F86" s="533">
        <v>3339</v>
      </c>
      <c r="G86" s="533">
        <v>3472</v>
      </c>
      <c r="H86" s="533">
        <v>3427</v>
      </c>
      <c r="I86" s="1147">
        <v>3226</v>
      </c>
      <c r="J86" s="1312">
        <v>3050</v>
      </c>
      <c r="K86" s="1851">
        <v>2956</v>
      </c>
      <c r="L86" s="2210">
        <v>2631</v>
      </c>
      <c r="M86" s="2210">
        <v>2660</v>
      </c>
    </row>
    <row r="87" spans="1:13" x14ac:dyDescent="0.3">
      <c r="A87" s="531" t="s">
        <v>214</v>
      </c>
      <c r="B87" s="532" t="s">
        <v>215</v>
      </c>
      <c r="C87" s="532" t="s">
        <v>256</v>
      </c>
      <c r="D87" s="533">
        <v>3793</v>
      </c>
      <c r="E87" s="533">
        <v>4120</v>
      </c>
      <c r="F87" s="533">
        <v>4223</v>
      </c>
      <c r="G87" s="533">
        <v>4276</v>
      </c>
      <c r="H87" s="533">
        <v>4221</v>
      </c>
      <c r="I87" s="1147">
        <v>4055</v>
      </c>
      <c r="J87" s="1312">
        <v>3961</v>
      </c>
      <c r="K87" s="1851">
        <v>3985</v>
      </c>
      <c r="L87" s="2210">
        <v>3711</v>
      </c>
      <c r="M87" s="2210">
        <v>3672</v>
      </c>
    </row>
    <row r="88" spans="1:13" x14ac:dyDescent="0.3">
      <c r="A88" s="531" t="s">
        <v>216</v>
      </c>
      <c r="B88" s="532" t="s">
        <v>217</v>
      </c>
      <c r="C88" s="532" t="s">
        <v>252</v>
      </c>
      <c r="D88" s="533">
        <v>1764</v>
      </c>
      <c r="E88" s="533">
        <v>1898</v>
      </c>
      <c r="F88" s="533">
        <v>2019</v>
      </c>
      <c r="G88" s="533">
        <v>2066</v>
      </c>
      <c r="H88" s="533">
        <v>2052</v>
      </c>
      <c r="I88" s="1147">
        <v>1974</v>
      </c>
      <c r="J88" s="1312">
        <v>1874</v>
      </c>
      <c r="K88" s="1851">
        <v>1850</v>
      </c>
      <c r="L88" s="2210">
        <v>1642</v>
      </c>
      <c r="M88" s="2210">
        <v>1542</v>
      </c>
    </row>
    <row r="89" spans="1:13" x14ac:dyDescent="0.3">
      <c r="A89" s="531" t="s">
        <v>218</v>
      </c>
      <c r="B89" s="532" t="s">
        <v>219</v>
      </c>
      <c r="C89" s="532" t="s">
        <v>255</v>
      </c>
      <c r="D89" s="533">
        <v>5882</v>
      </c>
      <c r="E89" s="533">
        <v>6858</v>
      </c>
      <c r="F89" s="533">
        <v>7324</v>
      </c>
      <c r="G89" s="533">
        <v>7643</v>
      </c>
      <c r="H89" s="533">
        <v>7742</v>
      </c>
      <c r="I89" s="1147">
        <v>7239</v>
      </c>
      <c r="J89" s="1312">
        <v>6928</v>
      </c>
      <c r="K89" s="1851">
        <v>6745</v>
      </c>
      <c r="L89" s="2210">
        <v>6108</v>
      </c>
      <c r="M89" s="2210">
        <v>6119</v>
      </c>
    </row>
    <row r="90" spans="1:13" x14ac:dyDescent="0.3">
      <c r="A90" s="531" t="s">
        <v>220</v>
      </c>
      <c r="B90" s="532" t="s">
        <v>221</v>
      </c>
      <c r="C90" s="532" t="s">
        <v>255</v>
      </c>
      <c r="D90" s="533">
        <v>4769</v>
      </c>
      <c r="E90" s="533">
        <v>5372</v>
      </c>
      <c r="F90" s="533">
        <v>5754</v>
      </c>
      <c r="G90" s="533">
        <v>6135</v>
      </c>
      <c r="H90" s="533">
        <v>6209</v>
      </c>
      <c r="I90" s="1147">
        <v>5818</v>
      </c>
      <c r="J90" s="1312">
        <v>5330</v>
      </c>
      <c r="K90" s="1851">
        <v>5243</v>
      </c>
      <c r="L90" s="2210">
        <v>4663</v>
      </c>
      <c r="M90" s="2210">
        <v>4897</v>
      </c>
    </row>
    <row r="91" spans="1:13" x14ac:dyDescent="0.3">
      <c r="A91" s="531" t="s">
        <v>224</v>
      </c>
      <c r="B91" s="532" t="s">
        <v>225</v>
      </c>
      <c r="C91" s="532" t="s">
        <v>252</v>
      </c>
      <c r="D91" s="533">
        <v>624</v>
      </c>
      <c r="E91" s="533">
        <v>701</v>
      </c>
      <c r="F91" s="533">
        <v>713</v>
      </c>
      <c r="G91" s="533">
        <v>784</v>
      </c>
      <c r="H91" s="533">
        <v>759</v>
      </c>
      <c r="I91" s="1147">
        <v>723</v>
      </c>
      <c r="J91" s="1312">
        <v>681</v>
      </c>
      <c r="K91" s="1851">
        <v>683</v>
      </c>
      <c r="L91" s="2210">
        <v>609</v>
      </c>
      <c r="M91" s="2210">
        <v>605</v>
      </c>
    </row>
    <row r="92" spans="1:13" x14ac:dyDescent="0.3">
      <c r="A92" s="531" t="s">
        <v>226</v>
      </c>
      <c r="B92" s="532" t="s">
        <v>227</v>
      </c>
      <c r="C92" s="532" t="s">
        <v>252</v>
      </c>
      <c r="D92" s="533">
        <v>1157</v>
      </c>
      <c r="E92" s="533">
        <v>1238</v>
      </c>
      <c r="F92" s="533">
        <v>1281</v>
      </c>
      <c r="G92" s="533">
        <v>1333</v>
      </c>
      <c r="H92" s="533">
        <v>1367</v>
      </c>
      <c r="I92" s="1147">
        <v>1334</v>
      </c>
      <c r="J92" s="1312">
        <v>1262</v>
      </c>
      <c r="K92" s="1851">
        <v>1240</v>
      </c>
      <c r="L92" s="2210">
        <v>1108</v>
      </c>
      <c r="M92" s="2210">
        <v>1129</v>
      </c>
    </row>
    <row r="93" spans="1:13" x14ac:dyDescent="0.3">
      <c r="A93" s="531" t="s">
        <v>228</v>
      </c>
      <c r="B93" s="532" t="s">
        <v>229</v>
      </c>
      <c r="C93" s="532" t="s">
        <v>256</v>
      </c>
      <c r="D93" s="533">
        <v>4507</v>
      </c>
      <c r="E93" s="533">
        <v>4753</v>
      </c>
      <c r="F93" s="533">
        <v>5009</v>
      </c>
      <c r="G93" s="533">
        <v>5487</v>
      </c>
      <c r="H93" s="533">
        <v>5723</v>
      </c>
      <c r="I93" s="1147">
        <v>5591</v>
      </c>
      <c r="J93" s="1312">
        <v>5363</v>
      </c>
      <c r="K93" s="1851">
        <v>5400</v>
      </c>
      <c r="L93" s="2210">
        <v>4983</v>
      </c>
      <c r="M93" s="2210">
        <v>4861</v>
      </c>
    </row>
    <row r="94" spans="1:13" x14ac:dyDescent="0.3">
      <c r="A94" s="531" t="s">
        <v>232</v>
      </c>
      <c r="B94" s="532" t="s">
        <v>233</v>
      </c>
      <c r="C94" s="532" t="s">
        <v>255</v>
      </c>
      <c r="D94" s="533">
        <v>2792</v>
      </c>
      <c r="E94" s="533">
        <v>3104</v>
      </c>
      <c r="F94" s="533">
        <v>3241</v>
      </c>
      <c r="G94" s="533">
        <v>3377</v>
      </c>
      <c r="H94" s="533">
        <v>3289</v>
      </c>
      <c r="I94" s="1147">
        <v>3091</v>
      </c>
      <c r="J94" s="1312">
        <v>2785</v>
      </c>
      <c r="K94" s="1851">
        <v>2663</v>
      </c>
      <c r="L94" s="2210">
        <v>2480</v>
      </c>
      <c r="M94" s="2210">
        <v>2439</v>
      </c>
    </row>
    <row r="95" spans="1:13" x14ac:dyDescent="0.3">
      <c r="A95" s="531" t="s">
        <v>234</v>
      </c>
      <c r="B95" s="532" t="s">
        <v>235</v>
      </c>
      <c r="C95" s="532" t="s">
        <v>256</v>
      </c>
      <c r="D95" s="533">
        <v>4261</v>
      </c>
      <c r="E95" s="533">
        <v>4638</v>
      </c>
      <c r="F95" s="533">
        <v>4819</v>
      </c>
      <c r="G95" s="533">
        <v>4965</v>
      </c>
      <c r="H95" s="533">
        <v>5039</v>
      </c>
      <c r="I95" s="1147">
        <v>4911</v>
      </c>
      <c r="J95" s="1312">
        <v>4692</v>
      </c>
      <c r="K95" s="1851">
        <v>4721</v>
      </c>
      <c r="L95" s="2210">
        <v>4294</v>
      </c>
      <c r="M95" s="2210">
        <v>4137</v>
      </c>
    </row>
    <row r="96" spans="1:13" x14ac:dyDescent="0.3">
      <c r="A96" s="531" t="s">
        <v>236</v>
      </c>
      <c r="B96" s="532" t="s">
        <v>237</v>
      </c>
      <c r="C96" s="532" t="s">
        <v>254</v>
      </c>
      <c r="D96" s="533">
        <v>1681</v>
      </c>
      <c r="E96" s="533">
        <v>1915</v>
      </c>
      <c r="F96" s="533">
        <v>2084</v>
      </c>
      <c r="G96" s="533">
        <v>2175</v>
      </c>
      <c r="H96" s="533">
        <v>2138</v>
      </c>
      <c r="I96" s="1147">
        <v>2103</v>
      </c>
      <c r="J96" s="1312">
        <v>1976</v>
      </c>
      <c r="K96" s="1851">
        <v>1929</v>
      </c>
      <c r="L96" s="2210">
        <v>1805</v>
      </c>
      <c r="M96" s="2210">
        <v>1817</v>
      </c>
    </row>
    <row r="97" spans="1:13" x14ac:dyDescent="0.3">
      <c r="A97" s="531" t="s">
        <v>242</v>
      </c>
      <c r="B97" s="532" t="s">
        <v>243</v>
      </c>
      <c r="C97" s="532" t="s">
        <v>256</v>
      </c>
      <c r="D97" s="533">
        <v>5105</v>
      </c>
      <c r="E97" s="533">
        <v>5342</v>
      </c>
      <c r="F97" s="533">
        <v>5541</v>
      </c>
      <c r="G97" s="533">
        <v>5751</v>
      </c>
      <c r="H97" s="533">
        <v>5907</v>
      </c>
      <c r="I97" s="1147">
        <v>5409</v>
      </c>
      <c r="J97" s="1312">
        <v>5085</v>
      </c>
      <c r="K97" s="1851">
        <v>5181</v>
      </c>
      <c r="L97" s="2210">
        <v>4738</v>
      </c>
      <c r="M97" s="2210">
        <v>4666</v>
      </c>
    </row>
    <row r="98" spans="1:13" x14ac:dyDescent="0.3">
      <c r="A98" s="531" t="s">
        <v>244</v>
      </c>
      <c r="B98" s="532" t="s">
        <v>245</v>
      </c>
      <c r="C98" s="532" t="s">
        <v>256</v>
      </c>
      <c r="D98" s="533">
        <v>2898</v>
      </c>
      <c r="E98" s="533">
        <v>3113</v>
      </c>
      <c r="F98" s="533">
        <v>3099</v>
      </c>
      <c r="G98" s="533">
        <v>3067</v>
      </c>
      <c r="H98" s="533">
        <v>3037</v>
      </c>
      <c r="I98" s="1147">
        <v>2824</v>
      </c>
      <c r="J98" s="1312">
        <v>2682</v>
      </c>
      <c r="K98" s="1851">
        <v>2737</v>
      </c>
      <c r="L98" s="2210">
        <v>2620</v>
      </c>
      <c r="M98" s="2210">
        <v>2551</v>
      </c>
    </row>
    <row r="99" spans="1:13" x14ac:dyDescent="0.3">
      <c r="A99" s="531" t="s">
        <v>246</v>
      </c>
      <c r="B99" s="532" t="s">
        <v>247</v>
      </c>
      <c r="C99" s="532" t="s">
        <v>252</v>
      </c>
      <c r="D99" s="533">
        <v>1734</v>
      </c>
      <c r="E99" s="533">
        <v>2112</v>
      </c>
      <c r="F99" s="533">
        <v>2299</v>
      </c>
      <c r="G99" s="533">
        <v>2378</v>
      </c>
      <c r="H99" s="533">
        <v>2449</v>
      </c>
      <c r="I99" s="1147">
        <v>2328</v>
      </c>
      <c r="J99" s="1312">
        <v>2132</v>
      </c>
      <c r="K99" s="1851">
        <v>2030</v>
      </c>
      <c r="L99" s="2210">
        <v>1814</v>
      </c>
      <c r="M99" s="2210">
        <v>1780</v>
      </c>
    </row>
    <row r="100" spans="1:13" x14ac:dyDescent="0.3">
      <c r="A100" s="531" t="s">
        <v>14</v>
      </c>
      <c r="B100" s="532" t="s">
        <v>15</v>
      </c>
      <c r="C100" s="532" t="s">
        <v>255</v>
      </c>
      <c r="D100" s="533">
        <v>5821</v>
      </c>
      <c r="E100" s="533">
        <v>6395</v>
      </c>
      <c r="F100" s="533">
        <v>6643</v>
      </c>
      <c r="G100" s="533">
        <v>6784</v>
      </c>
      <c r="H100" s="533">
        <v>6548</v>
      </c>
      <c r="I100" s="1147">
        <v>6312</v>
      </c>
      <c r="J100" s="1312">
        <v>6360</v>
      </c>
      <c r="K100" s="1851">
        <v>6692</v>
      </c>
      <c r="L100" s="2210">
        <v>6248</v>
      </c>
      <c r="M100" s="2210">
        <v>5987</v>
      </c>
    </row>
    <row r="101" spans="1:13" x14ac:dyDescent="0.3">
      <c r="A101" s="531" t="s">
        <v>34</v>
      </c>
      <c r="B101" s="532" t="s">
        <v>35</v>
      </c>
      <c r="C101" s="532" t="s">
        <v>256</v>
      </c>
      <c r="D101" s="533">
        <v>3110</v>
      </c>
      <c r="E101" s="533">
        <v>3251</v>
      </c>
      <c r="F101" s="533">
        <v>3366</v>
      </c>
      <c r="G101" s="533">
        <v>3489</v>
      </c>
      <c r="H101" s="533">
        <v>3393</v>
      </c>
      <c r="I101" s="1147">
        <v>3139</v>
      </c>
      <c r="J101" s="1312">
        <v>2971</v>
      </c>
      <c r="K101" s="1851">
        <v>2978</v>
      </c>
      <c r="L101" s="2210">
        <v>2818</v>
      </c>
      <c r="M101" s="2210">
        <v>2835</v>
      </c>
    </row>
    <row r="102" spans="1:13" x14ac:dyDescent="0.3">
      <c r="A102" s="531" t="s">
        <v>52</v>
      </c>
      <c r="B102" s="532" t="s">
        <v>53</v>
      </c>
      <c r="C102" s="532" t="s">
        <v>253</v>
      </c>
      <c r="D102" s="533">
        <v>4024</v>
      </c>
      <c r="E102" s="533">
        <v>4317</v>
      </c>
      <c r="F102" s="533">
        <v>4456</v>
      </c>
      <c r="G102" s="533">
        <v>4490</v>
      </c>
      <c r="H102" s="533">
        <v>4166</v>
      </c>
      <c r="I102" s="1147">
        <v>3818</v>
      </c>
      <c r="J102" s="1312">
        <v>3326</v>
      </c>
      <c r="K102" s="1851">
        <v>3300</v>
      </c>
      <c r="L102" s="2210">
        <v>2941</v>
      </c>
      <c r="M102" s="2210">
        <v>2892</v>
      </c>
    </row>
    <row r="103" spans="1:13" x14ac:dyDescent="0.3">
      <c r="A103" s="531" t="s">
        <v>54</v>
      </c>
      <c r="B103" s="532" t="s">
        <v>55</v>
      </c>
      <c r="C103" s="532" t="s">
        <v>252</v>
      </c>
      <c r="D103" s="533">
        <v>12332</v>
      </c>
      <c r="E103" s="533">
        <v>14069</v>
      </c>
      <c r="F103" s="533">
        <v>15247</v>
      </c>
      <c r="G103" s="533">
        <v>16025</v>
      </c>
      <c r="H103" s="533">
        <v>16298</v>
      </c>
      <c r="I103" s="1147">
        <v>15492</v>
      </c>
      <c r="J103" s="1312">
        <v>14513</v>
      </c>
      <c r="K103" s="1851">
        <v>13833</v>
      </c>
      <c r="L103" s="2210">
        <v>12368</v>
      </c>
      <c r="M103" s="2210">
        <v>12607</v>
      </c>
    </row>
    <row r="104" spans="1:13" x14ac:dyDescent="0.3">
      <c r="A104" s="531" t="s">
        <v>66</v>
      </c>
      <c r="B104" s="532" t="s">
        <v>67</v>
      </c>
      <c r="C104" s="532" t="s">
        <v>253</v>
      </c>
      <c r="D104" s="533">
        <v>8375</v>
      </c>
      <c r="E104" s="533">
        <v>8882</v>
      </c>
      <c r="F104" s="533">
        <v>9292</v>
      </c>
      <c r="G104" s="533">
        <v>9343</v>
      </c>
      <c r="H104" s="533">
        <v>9397</v>
      </c>
      <c r="I104" s="1147">
        <v>8999</v>
      </c>
      <c r="J104" s="1312">
        <v>8474</v>
      </c>
      <c r="K104" s="1851">
        <v>8552</v>
      </c>
      <c r="L104" s="2210">
        <v>8112</v>
      </c>
      <c r="M104" s="2210">
        <v>8052</v>
      </c>
    </row>
    <row r="105" spans="1:13" x14ac:dyDescent="0.3">
      <c r="A105" s="531" t="s">
        <v>82</v>
      </c>
      <c r="B105" s="532" t="s">
        <v>83</v>
      </c>
      <c r="C105" s="532" t="s">
        <v>252</v>
      </c>
      <c r="D105" s="533">
        <v>1529</v>
      </c>
      <c r="E105" s="533">
        <v>1710</v>
      </c>
      <c r="F105" s="533">
        <v>1800</v>
      </c>
      <c r="G105" s="533">
        <v>1838</v>
      </c>
      <c r="H105" s="533">
        <v>1794</v>
      </c>
      <c r="I105" s="1147">
        <v>1765</v>
      </c>
      <c r="J105" s="1312">
        <v>1722</v>
      </c>
      <c r="K105" s="1851">
        <v>1724</v>
      </c>
      <c r="L105" s="2210">
        <v>1584</v>
      </c>
      <c r="M105" s="2210">
        <v>1528</v>
      </c>
    </row>
    <row r="106" spans="1:13" x14ac:dyDescent="0.3">
      <c r="A106" s="531" t="s">
        <v>88</v>
      </c>
      <c r="B106" s="532" t="s">
        <v>89</v>
      </c>
      <c r="C106" s="532" t="s">
        <v>255</v>
      </c>
      <c r="D106" s="533">
        <v>2929</v>
      </c>
      <c r="E106" s="533">
        <v>3363</v>
      </c>
      <c r="F106" s="533">
        <v>3671</v>
      </c>
      <c r="G106" s="533">
        <v>3716</v>
      </c>
      <c r="H106" s="533">
        <v>3647</v>
      </c>
      <c r="I106" s="1147">
        <v>3396</v>
      </c>
      <c r="J106" s="1312">
        <v>3011</v>
      </c>
      <c r="K106" s="1851">
        <v>2914</v>
      </c>
      <c r="L106" s="2210">
        <v>2728</v>
      </c>
      <c r="M106" s="2210">
        <v>2850</v>
      </c>
    </row>
    <row r="107" spans="1:13" x14ac:dyDescent="0.3">
      <c r="A107" s="531" t="s">
        <v>90</v>
      </c>
      <c r="B107" s="532" t="s">
        <v>91</v>
      </c>
      <c r="C107" s="532" t="s">
        <v>256</v>
      </c>
      <c r="D107" s="533">
        <v>1292</v>
      </c>
      <c r="E107" s="533">
        <v>1330</v>
      </c>
      <c r="F107" s="533">
        <v>1374</v>
      </c>
      <c r="G107" s="533">
        <v>1383</v>
      </c>
      <c r="H107" s="533">
        <v>1406</v>
      </c>
      <c r="I107" s="1147">
        <v>1322</v>
      </c>
      <c r="J107" s="1312">
        <v>1275</v>
      </c>
      <c r="K107" s="1851">
        <v>1252</v>
      </c>
      <c r="L107" s="2210">
        <v>1124</v>
      </c>
      <c r="M107" s="2210">
        <v>1155</v>
      </c>
    </row>
    <row r="108" spans="1:13" x14ac:dyDescent="0.3">
      <c r="A108" s="531" t="s">
        <v>106</v>
      </c>
      <c r="B108" s="532" t="s">
        <v>107</v>
      </c>
      <c r="C108" s="532" t="s">
        <v>252</v>
      </c>
      <c r="D108" s="533">
        <v>11567</v>
      </c>
      <c r="E108" s="533">
        <v>13629</v>
      </c>
      <c r="F108" s="533">
        <v>15200</v>
      </c>
      <c r="G108" s="533">
        <v>16168</v>
      </c>
      <c r="H108" s="533">
        <v>16029</v>
      </c>
      <c r="I108" s="1147">
        <v>14769</v>
      </c>
      <c r="J108" s="1312">
        <v>13871</v>
      </c>
      <c r="K108" s="1851">
        <v>13809</v>
      </c>
      <c r="L108" s="2210">
        <v>12844</v>
      </c>
      <c r="M108" s="2210">
        <v>13000</v>
      </c>
    </row>
    <row r="109" spans="1:13" x14ac:dyDescent="0.3">
      <c r="A109" s="531" t="s">
        <v>116</v>
      </c>
      <c r="B109" s="532" t="s">
        <v>117</v>
      </c>
      <c r="C109" s="532" t="s">
        <v>254</v>
      </c>
      <c r="D109" s="533">
        <v>3873</v>
      </c>
      <c r="E109" s="533">
        <v>4261</v>
      </c>
      <c r="F109" s="533">
        <v>4463</v>
      </c>
      <c r="G109" s="533">
        <v>4585</v>
      </c>
      <c r="H109" s="533">
        <v>4620</v>
      </c>
      <c r="I109" s="1147">
        <v>4561</v>
      </c>
      <c r="J109" s="1312">
        <v>4408</v>
      </c>
      <c r="K109" s="1851">
        <v>4558</v>
      </c>
      <c r="L109" s="2210">
        <v>4210</v>
      </c>
      <c r="M109" s="2210">
        <v>4245</v>
      </c>
    </row>
    <row r="110" spans="1:13" x14ac:dyDescent="0.3">
      <c r="A110" s="531" t="s">
        <v>138</v>
      </c>
      <c r="B110" s="532" t="s">
        <v>139</v>
      </c>
      <c r="C110" s="532" t="s">
        <v>253</v>
      </c>
      <c r="D110" s="533">
        <v>7486</v>
      </c>
      <c r="E110" s="533">
        <v>8308</v>
      </c>
      <c r="F110" s="533">
        <v>9129</v>
      </c>
      <c r="G110" s="533">
        <v>9642</v>
      </c>
      <c r="H110" s="533">
        <v>9599</v>
      </c>
      <c r="I110" s="1147">
        <v>8968</v>
      </c>
      <c r="J110" s="1312">
        <v>7939</v>
      </c>
      <c r="K110" s="1851">
        <v>7760</v>
      </c>
      <c r="L110" s="2210">
        <v>7170</v>
      </c>
      <c r="M110" s="2210">
        <v>7152</v>
      </c>
    </row>
    <row r="111" spans="1:13" x14ac:dyDescent="0.3">
      <c r="A111" s="531" t="s">
        <v>142</v>
      </c>
      <c r="B111" s="532" t="s">
        <v>143</v>
      </c>
      <c r="C111" s="532" t="s">
        <v>255</v>
      </c>
      <c r="D111" s="533">
        <v>2281</v>
      </c>
      <c r="E111" s="533">
        <v>2544</v>
      </c>
      <c r="F111" s="533">
        <v>2632</v>
      </c>
      <c r="G111" s="533">
        <v>2721</v>
      </c>
      <c r="H111" s="533">
        <v>2730</v>
      </c>
      <c r="I111" s="1147">
        <v>2596</v>
      </c>
      <c r="J111" s="1312">
        <v>2408</v>
      </c>
      <c r="K111" s="1851">
        <v>2309</v>
      </c>
      <c r="L111" s="2210">
        <v>1966</v>
      </c>
      <c r="M111" s="2210">
        <v>1846</v>
      </c>
    </row>
    <row r="112" spans="1:13" x14ac:dyDescent="0.3">
      <c r="A112" s="531" t="s">
        <v>144</v>
      </c>
      <c r="B112" s="532" t="s">
        <v>145</v>
      </c>
      <c r="C112" s="532" t="s">
        <v>255</v>
      </c>
      <c r="D112" s="533">
        <v>785</v>
      </c>
      <c r="E112" s="533">
        <v>815</v>
      </c>
      <c r="F112" s="533">
        <v>804</v>
      </c>
      <c r="G112" s="533">
        <v>842</v>
      </c>
      <c r="H112" s="533">
        <v>806</v>
      </c>
      <c r="I112" s="1147">
        <v>787</v>
      </c>
      <c r="J112" s="1312">
        <v>791</v>
      </c>
      <c r="K112" s="1851">
        <v>760</v>
      </c>
      <c r="L112" s="2210">
        <v>647</v>
      </c>
      <c r="M112" s="2210">
        <v>607</v>
      </c>
    </row>
    <row r="113" spans="1:13" x14ac:dyDescent="0.3">
      <c r="A113" s="531" t="s">
        <v>158</v>
      </c>
      <c r="B113" s="532" t="s">
        <v>159</v>
      </c>
      <c r="C113" s="532" t="s">
        <v>252</v>
      </c>
      <c r="D113" s="533">
        <v>20051</v>
      </c>
      <c r="E113" s="533">
        <v>22847</v>
      </c>
      <c r="F113" s="533">
        <v>24251</v>
      </c>
      <c r="G113" s="533">
        <v>25250</v>
      </c>
      <c r="H113" s="533">
        <v>25153</v>
      </c>
      <c r="I113" s="1147">
        <v>23667</v>
      </c>
      <c r="J113" s="1312">
        <v>22320</v>
      </c>
      <c r="K113" s="1851">
        <v>21815</v>
      </c>
      <c r="L113" s="2210">
        <v>19576</v>
      </c>
      <c r="M113" s="2210">
        <v>19617</v>
      </c>
    </row>
    <row r="114" spans="1:13" x14ac:dyDescent="0.3">
      <c r="A114" s="531" t="s">
        <v>160</v>
      </c>
      <c r="B114" s="532" t="s">
        <v>161</v>
      </c>
      <c r="C114" s="532" t="s">
        <v>252</v>
      </c>
      <c r="D114" s="533">
        <v>28751</v>
      </c>
      <c r="E114" s="533">
        <v>31649</v>
      </c>
      <c r="F114" s="533">
        <v>33699</v>
      </c>
      <c r="G114" s="533">
        <v>35035</v>
      </c>
      <c r="H114" s="533">
        <v>34612</v>
      </c>
      <c r="I114" s="1147">
        <v>32195</v>
      </c>
      <c r="J114" s="1312">
        <v>29513</v>
      </c>
      <c r="K114" s="1851">
        <v>28318</v>
      </c>
      <c r="L114" s="2210">
        <v>24748</v>
      </c>
      <c r="M114" s="2210">
        <v>24526</v>
      </c>
    </row>
    <row r="115" spans="1:13" x14ac:dyDescent="0.3">
      <c r="A115" s="531" t="s">
        <v>166</v>
      </c>
      <c r="B115" s="532" t="s">
        <v>167</v>
      </c>
      <c r="C115" s="532" t="s">
        <v>256</v>
      </c>
      <c r="D115" s="533">
        <v>711</v>
      </c>
      <c r="E115" s="533">
        <v>754</v>
      </c>
      <c r="F115" s="533">
        <v>800</v>
      </c>
      <c r="G115" s="533">
        <v>794</v>
      </c>
      <c r="H115" s="533">
        <v>802</v>
      </c>
      <c r="I115" s="1147">
        <v>749</v>
      </c>
      <c r="J115" s="1312">
        <v>756</v>
      </c>
      <c r="K115" s="1851">
        <v>750</v>
      </c>
      <c r="L115" s="2210">
        <v>659</v>
      </c>
      <c r="M115" s="2210">
        <v>666</v>
      </c>
    </row>
    <row r="116" spans="1:13" x14ac:dyDescent="0.3">
      <c r="A116" s="531" t="s">
        <v>176</v>
      </c>
      <c r="B116" s="532" t="s">
        <v>177</v>
      </c>
      <c r="C116" s="532" t="s">
        <v>254</v>
      </c>
      <c r="D116" s="533">
        <v>7241</v>
      </c>
      <c r="E116" s="533">
        <v>7908</v>
      </c>
      <c r="F116" s="533">
        <v>8245</v>
      </c>
      <c r="G116" s="533">
        <v>8488</v>
      </c>
      <c r="H116" s="533">
        <v>8469</v>
      </c>
      <c r="I116" s="1147">
        <v>8084</v>
      </c>
      <c r="J116" s="1312">
        <v>7714</v>
      </c>
      <c r="K116" s="1851">
        <v>7620</v>
      </c>
      <c r="L116" s="2210">
        <v>7218</v>
      </c>
      <c r="M116" s="2210">
        <v>7323</v>
      </c>
    </row>
    <row r="117" spans="1:13" x14ac:dyDescent="0.3">
      <c r="A117" s="531" t="s">
        <v>180</v>
      </c>
      <c r="B117" s="532" t="s">
        <v>181</v>
      </c>
      <c r="C117" s="532" t="s">
        <v>252</v>
      </c>
      <c r="D117" s="533">
        <v>13061</v>
      </c>
      <c r="E117" s="533">
        <v>14589</v>
      </c>
      <c r="F117" s="533">
        <v>15729</v>
      </c>
      <c r="G117" s="533">
        <v>16464</v>
      </c>
      <c r="H117" s="533">
        <v>16155</v>
      </c>
      <c r="I117" s="1147">
        <v>15204</v>
      </c>
      <c r="J117" s="1312">
        <v>14244</v>
      </c>
      <c r="K117" s="1851">
        <v>14553</v>
      </c>
      <c r="L117" s="2210">
        <v>13224</v>
      </c>
      <c r="M117" s="2210">
        <v>13386</v>
      </c>
    </row>
    <row r="118" spans="1:13" x14ac:dyDescent="0.3">
      <c r="A118" s="531" t="s">
        <v>192</v>
      </c>
      <c r="B118" s="532" t="s">
        <v>193</v>
      </c>
      <c r="C118" s="532" t="s">
        <v>256</v>
      </c>
      <c r="D118" s="533">
        <v>1276</v>
      </c>
      <c r="E118" s="533">
        <v>1281</v>
      </c>
      <c r="F118" s="533">
        <v>1282</v>
      </c>
      <c r="G118" s="533">
        <v>1316</v>
      </c>
      <c r="H118" s="533">
        <v>1358</v>
      </c>
      <c r="I118" s="1147">
        <v>1264</v>
      </c>
      <c r="J118" s="1312">
        <v>1141</v>
      </c>
      <c r="K118" s="1851">
        <v>1103</v>
      </c>
      <c r="L118" s="2210">
        <v>1019</v>
      </c>
      <c r="M118" s="2210">
        <v>992</v>
      </c>
    </row>
    <row r="119" spans="1:13" x14ac:dyDescent="0.3">
      <c r="A119" s="531" t="s">
        <v>196</v>
      </c>
      <c r="B119" s="532" t="s">
        <v>197</v>
      </c>
      <c r="C119" s="532" t="s">
        <v>254</v>
      </c>
      <c r="D119" s="533">
        <v>32825</v>
      </c>
      <c r="E119" s="533">
        <v>36583</v>
      </c>
      <c r="F119" s="533">
        <v>39255</v>
      </c>
      <c r="G119" s="533">
        <v>40591</v>
      </c>
      <c r="H119" s="533">
        <v>39268</v>
      </c>
      <c r="I119" s="1147">
        <v>36552</v>
      </c>
      <c r="J119" s="1312">
        <v>33362</v>
      </c>
      <c r="K119" s="1851">
        <v>32802</v>
      </c>
      <c r="L119" s="2210">
        <v>28483</v>
      </c>
      <c r="M119" s="2210">
        <v>27735</v>
      </c>
    </row>
    <row r="120" spans="1:13" x14ac:dyDescent="0.3">
      <c r="A120" s="531" t="s">
        <v>200</v>
      </c>
      <c r="B120" s="532" t="s">
        <v>201</v>
      </c>
      <c r="C120" s="532" t="s">
        <v>253</v>
      </c>
      <c r="D120" s="533">
        <v>14080</v>
      </c>
      <c r="E120" s="533">
        <v>15509</v>
      </c>
      <c r="F120" s="533">
        <v>16537</v>
      </c>
      <c r="G120" s="533">
        <v>17492</v>
      </c>
      <c r="H120" s="533">
        <v>17549</v>
      </c>
      <c r="I120" s="1147">
        <v>16453</v>
      </c>
      <c r="J120" s="1312">
        <v>14511</v>
      </c>
      <c r="K120" s="1851">
        <v>14639</v>
      </c>
      <c r="L120" s="2210">
        <v>13569</v>
      </c>
      <c r="M120" s="2210">
        <v>13642</v>
      </c>
    </row>
    <row r="121" spans="1:13" x14ac:dyDescent="0.3">
      <c r="A121" s="531" t="s">
        <v>222</v>
      </c>
      <c r="B121" s="532" t="s">
        <v>223</v>
      </c>
      <c r="C121" s="532" t="s">
        <v>252</v>
      </c>
      <c r="D121" s="533">
        <v>6885</v>
      </c>
      <c r="E121" s="533">
        <v>7888</v>
      </c>
      <c r="F121" s="533">
        <v>8513</v>
      </c>
      <c r="G121" s="533">
        <v>8902</v>
      </c>
      <c r="H121" s="533">
        <v>8972</v>
      </c>
      <c r="I121" s="1147">
        <v>8558</v>
      </c>
      <c r="J121" s="1312">
        <v>7938</v>
      </c>
      <c r="K121" s="1851">
        <v>7899</v>
      </c>
      <c r="L121" s="2210">
        <v>7168</v>
      </c>
      <c r="M121" s="2210">
        <v>7076</v>
      </c>
    </row>
    <row r="122" spans="1:13" x14ac:dyDescent="0.3">
      <c r="A122" s="531" t="s">
        <v>230</v>
      </c>
      <c r="B122" s="532" t="s">
        <v>231</v>
      </c>
      <c r="C122" s="532" t="s">
        <v>252</v>
      </c>
      <c r="D122" s="533">
        <v>19182</v>
      </c>
      <c r="E122" s="533">
        <v>22154</v>
      </c>
      <c r="F122" s="533">
        <v>24208</v>
      </c>
      <c r="G122" s="533">
        <v>25071</v>
      </c>
      <c r="H122" s="533">
        <v>25434</v>
      </c>
      <c r="I122" s="1147">
        <v>24250</v>
      </c>
      <c r="J122" s="1312">
        <v>22490</v>
      </c>
      <c r="K122" s="1851">
        <v>20990</v>
      </c>
      <c r="L122" s="2210">
        <v>18741</v>
      </c>
      <c r="M122" s="2210">
        <v>18560</v>
      </c>
    </row>
    <row r="123" spans="1:13" x14ac:dyDescent="0.3">
      <c r="A123" s="531" t="s">
        <v>238</v>
      </c>
      <c r="B123" s="532" t="s">
        <v>239</v>
      </c>
      <c r="C123" s="532" t="s">
        <v>252</v>
      </c>
      <c r="D123" s="533">
        <v>680</v>
      </c>
      <c r="E123" s="533">
        <v>828</v>
      </c>
      <c r="F123" s="533">
        <v>883</v>
      </c>
      <c r="G123" s="533">
        <v>947</v>
      </c>
      <c r="H123" s="533">
        <v>952</v>
      </c>
      <c r="I123" s="1147">
        <v>920</v>
      </c>
      <c r="J123" s="1312">
        <v>895</v>
      </c>
      <c r="K123" s="1851">
        <v>915</v>
      </c>
      <c r="L123" s="2210">
        <v>831</v>
      </c>
      <c r="M123" s="2210">
        <v>881</v>
      </c>
    </row>
    <row r="124" spans="1:13" x14ac:dyDescent="0.3">
      <c r="A124" s="464" t="s">
        <v>240</v>
      </c>
      <c r="B124" s="453" t="s">
        <v>241</v>
      </c>
      <c r="C124" s="453" t="s">
        <v>255</v>
      </c>
      <c r="D124" s="458">
        <v>2959</v>
      </c>
      <c r="E124" s="458">
        <v>3308</v>
      </c>
      <c r="F124" s="458">
        <v>3394</v>
      </c>
      <c r="G124" s="458">
        <v>3392</v>
      </c>
      <c r="H124" s="458">
        <v>3226</v>
      </c>
      <c r="I124" s="1148">
        <v>2941</v>
      </c>
      <c r="J124" s="1148">
        <v>2722</v>
      </c>
      <c r="K124" s="1852">
        <v>2751</v>
      </c>
      <c r="L124" s="2211">
        <v>2462</v>
      </c>
      <c r="M124" s="2211">
        <v>2389</v>
      </c>
    </row>
    <row r="126" spans="1:13" ht="31.5" customHeight="1" x14ac:dyDescent="0.3">
      <c r="A126" s="2737" t="s">
        <v>1151</v>
      </c>
      <c r="B126" s="2737"/>
      <c r="C126" s="2737"/>
      <c r="D126" s="2737"/>
      <c r="E126" s="2737"/>
      <c r="F126" s="2737"/>
      <c r="G126" s="2737"/>
      <c r="H126" s="2737"/>
    </row>
    <row r="128" spans="1:13" s="359" customFormat="1" x14ac:dyDescent="0.3">
      <c r="A128" s="359" t="s">
        <v>248</v>
      </c>
    </row>
    <row r="129" spans="1:3" s="359" customFormat="1" x14ac:dyDescent="0.3">
      <c r="A129" s="360" t="s">
        <v>249</v>
      </c>
      <c r="B129" s="361" t="s">
        <v>250</v>
      </c>
      <c r="C129" s="361"/>
    </row>
  </sheetData>
  <autoFilter ref="A3:C3"/>
  <sortState ref="A5:K124">
    <sortCondition ref="A5:A124"/>
  </sortState>
  <mergeCells count="1">
    <mergeCell ref="A126:H126"/>
  </mergeCells>
  <hyperlinks>
    <hyperlink ref="B129" r:id="rId1"/>
  </hyperlinks>
  <pageMargins left="0.7" right="0.7" top="0.75" bottom="0.75" header="0.3" footer="0.3"/>
  <pageSetup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129"/>
  <sheetViews>
    <sheetView workbookViewId="0">
      <pane xSplit="3" ySplit="4" topLeftCell="D5" activePane="bottomRight" state="frozen"/>
      <selection pane="topRight" activeCell="D1" sqref="D1"/>
      <selection pane="bottomLeft" activeCell="A5" sqref="A5"/>
      <selection pane="bottomRight" activeCell="H25" sqref="H25"/>
    </sheetView>
  </sheetViews>
  <sheetFormatPr defaultColWidth="9" defaultRowHeight="15.6" x14ac:dyDescent="0.3"/>
  <cols>
    <col min="1" max="1" width="5.796875" style="441" customWidth="1"/>
    <col min="2" max="2" width="30.19921875" style="441" customWidth="1"/>
    <col min="3" max="3" width="12.296875" style="441" customWidth="1"/>
    <col min="4" max="13" width="10.796875" style="441" customWidth="1"/>
    <col min="14" max="14" width="2.5" style="441" customWidth="1"/>
    <col min="15" max="16384" width="9" style="441"/>
  </cols>
  <sheetData>
    <row r="1" spans="1:13" x14ac:dyDescent="0.3">
      <c r="A1" s="253" t="s">
        <v>990</v>
      </c>
    </row>
    <row r="3" spans="1:13" x14ac:dyDescent="0.3">
      <c r="A3" s="536" t="s">
        <v>4</v>
      </c>
      <c r="B3" s="503" t="s">
        <v>5</v>
      </c>
      <c r="C3" s="503" t="s">
        <v>251</v>
      </c>
      <c r="D3" s="542" t="s">
        <v>992</v>
      </c>
      <c r="E3" s="542" t="s">
        <v>993</v>
      </c>
      <c r="F3" s="542" t="s">
        <v>994</v>
      </c>
      <c r="G3" s="542" t="s">
        <v>995</v>
      </c>
      <c r="H3" s="542" t="s">
        <v>705</v>
      </c>
      <c r="I3" s="1128" t="s">
        <v>810</v>
      </c>
      <c r="J3" s="1128" t="s">
        <v>891</v>
      </c>
      <c r="K3" s="1707" t="s">
        <v>1050</v>
      </c>
      <c r="L3" s="2215" t="s">
        <v>1047</v>
      </c>
      <c r="M3" s="2215" t="s">
        <v>1084</v>
      </c>
    </row>
    <row r="4" spans="1:13" x14ac:dyDescent="0.3">
      <c r="A4" s="508">
        <v>999</v>
      </c>
      <c r="B4" s="529" t="s">
        <v>9</v>
      </c>
      <c r="C4" s="504"/>
      <c r="D4" s="468">
        <v>645469</v>
      </c>
      <c r="E4" s="468">
        <v>677720</v>
      </c>
      <c r="F4" s="468">
        <v>705578</v>
      </c>
      <c r="G4" s="468">
        <v>726306</v>
      </c>
      <c r="H4" s="468">
        <v>735695</v>
      </c>
      <c r="I4" s="1146">
        <v>806453</v>
      </c>
      <c r="J4" s="1146">
        <v>800488</v>
      </c>
      <c r="K4" s="1848">
        <v>780015</v>
      </c>
      <c r="L4" s="2216">
        <v>801188</v>
      </c>
      <c r="M4" s="2216">
        <v>951217</v>
      </c>
    </row>
    <row r="5" spans="1:13" x14ac:dyDescent="0.3">
      <c r="A5" s="460" t="s">
        <v>10</v>
      </c>
      <c r="B5" s="505" t="s">
        <v>11</v>
      </c>
      <c r="C5" s="505" t="s">
        <v>252</v>
      </c>
      <c r="D5" s="454">
        <v>5061</v>
      </c>
      <c r="E5" s="454">
        <v>5183</v>
      </c>
      <c r="F5" s="454">
        <v>5235</v>
      </c>
      <c r="G5" s="454">
        <v>5244</v>
      </c>
      <c r="H5" s="454">
        <v>5279</v>
      </c>
      <c r="I5" s="1144">
        <v>5412</v>
      </c>
      <c r="J5" s="1311">
        <v>5483</v>
      </c>
      <c r="K5" s="1849">
        <v>5110</v>
      </c>
      <c r="L5" s="2214">
        <v>5331</v>
      </c>
      <c r="M5" s="2214">
        <v>6168</v>
      </c>
    </row>
    <row r="6" spans="1:13" x14ac:dyDescent="0.3">
      <c r="A6" s="531" t="s">
        <v>12</v>
      </c>
      <c r="B6" s="532" t="s">
        <v>13</v>
      </c>
      <c r="C6" s="532" t="s">
        <v>253</v>
      </c>
      <c r="D6" s="533">
        <v>5366</v>
      </c>
      <c r="E6" s="533">
        <v>5735</v>
      </c>
      <c r="F6" s="533">
        <v>6020</v>
      </c>
      <c r="G6" s="533">
        <v>6123</v>
      </c>
      <c r="H6" s="533">
        <v>6234</v>
      </c>
      <c r="I6" s="1144">
        <v>6468</v>
      </c>
      <c r="J6" s="1311">
        <v>6410</v>
      </c>
      <c r="K6" s="1849">
        <v>6209</v>
      </c>
      <c r="L6" s="2214">
        <v>6546</v>
      </c>
      <c r="M6" s="2214">
        <v>8166</v>
      </c>
    </row>
    <row r="7" spans="1:13" x14ac:dyDescent="0.3">
      <c r="A7" s="531" t="s">
        <v>16</v>
      </c>
      <c r="B7" s="532" t="s">
        <v>285</v>
      </c>
      <c r="C7" s="532" t="s">
        <v>253</v>
      </c>
      <c r="D7" s="533">
        <v>3311</v>
      </c>
      <c r="E7" s="533">
        <v>3403</v>
      </c>
      <c r="F7" s="533">
        <v>3519</v>
      </c>
      <c r="G7" s="533">
        <v>3415</v>
      </c>
      <c r="H7" s="533">
        <v>3414</v>
      </c>
      <c r="I7" s="1144">
        <v>3472</v>
      </c>
      <c r="J7" s="1311">
        <v>3236</v>
      </c>
      <c r="K7" s="1849">
        <v>3119</v>
      </c>
      <c r="L7" s="2214">
        <v>3212</v>
      </c>
      <c r="M7" s="2214">
        <v>3703</v>
      </c>
    </row>
    <row r="8" spans="1:13" x14ac:dyDescent="0.3">
      <c r="A8" s="531" t="s">
        <v>18</v>
      </c>
      <c r="B8" s="532" t="s">
        <v>19</v>
      </c>
      <c r="C8" s="532" t="s">
        <v>254</v>
      </c>
      <c r="D8" s="533">
        <v>1461</v>
      </c>
      <c r="E8" s="533">
        <v>1548</v>
      </c>
      <c r="F8" s="533">
        <v>1622</v>
      </c>
      <c r="G8" s="533">
        <v>1587</v>
      </c>
      <c r="H8" s="533">
        <v>1543</v>
      </c>
      <c r="I8" s="1144">
        <v>1559</v>
      </c>
      <c r="J8" s="1311">
        <v>1524</v>
      </c>
      <c r="K8" s="1849">
        <v>1514</v>
      </c>
      <c r="L8" s="2214">
        <v>1589</v>
      </c>
      <c r="M8" s="2214">
        <v>1871</v>
      </c>
    </row>
    <row r="9" spans="1:13" x14ac:dyDescent="0.3">
      <c r="A9" s="531" t="s">
        <v>20</v>
      </c>
      <c r="B9" s="532" t="s">
        <v>21</v>
      </c>
      <c r="C9" s="532" t="s">
        <v>253</v>
      </c>
      <c r="D9" s="533">
        <v>3559</v>
      </c>
      <c r="E9" s="533">
        <v>3682</v>
      </c>
      <c r="F9" s="533">
        <v>3750</v>
      </c>
      <c r="G9" s="533">
        <v>3808</v>
      </c>
      <c r="H9" s="533">
        <v>3819</v>
      </c>
      <c r="I9" s="1144">
        <v>3943</v>
      </c>
      <c r="J9" s="1311">
        <v>3814</v>
      </c>
      <c r="K9" s="1849">
        <v>3725</v>
      </c>
      <c r="L9" s="2214">
        <v>3958</v>
      </c>
      <c r="M9" s="2214">
        <v>4558</v>
      </c>
    </row>
    <row r="10" spans="1:13" x14ac:dyDescent="0.3">
      <c r="A10" s="531" t="s">
        <v>22</v>
      </c>
      <c r="B10" s="532" t="s">
        <v>23</v>
      </c>
      <c r="C10" s="532" t="s">
        <v>253</v>
      </c>
      <c r="D10" s="533">
        <v>2016</v>
      </c>
      <c r="E10" s="533">
        <v>2077</v>
      </c>
      <c r="F10" s="533">
        <v>2191</v>
      </c>
      <c r="G10" s="533">
        <v>2241</v>
      </c>
      <c r="H10" s="533">
        <v>2218</v>
      </c>
      <c r="I10" s="1144">
        <v>2322</v>
      </c>
      <c r="J10" s="1311">
        <v>2215</v>
      </c>
      <c r="K10" s="1849">
        <v>2029</v>
      </c>
      <c r="L10" s="2214">
        <v>2135</v>
      </c>
      <c r="M10" s="2214">
        <v>2510</v>
      </c>
    </row>
    <row r="11" spans="1:13" x14ac:dyDescent="0.3">
      <c r="A11" s="531" t="s">
        <v>24</v>
      </c>
      <c r="B11" s="532" t="s">
        <v>25</v>
      </c>
      <c r="C11" s="532" t="s">
        <v>255</v>
      </c>
      <c r="D11" s="533">
        <v>8872</v>
      </c>
      <c r="E11" s="533">
        <v>9157</v>
      </c>
      <c r="F11" s="533">
        <v>9543</v>
      </c>
      <c r="G11" s="533">
        <v>9787</v>
      </c>
      <c r="H11" s="533">
        <v>10106</v>
      </c>
      <c r="I11" s="1144">
        <v>10726</v>
      </c>
      <c r="J11" s="1311">
        <v>10729</v>
      </c>
      <c r="K11" s="1849">
        <v>10600</v>
      </c>
      <c r="L11" s="2214">
        <v>11066</v>
      </c>
      <c r="M11" s="2214">
        <v>13439</v>
      </c>
    </row>
    <row r="12" spans="1:13" x14ac:dyDescent="0.3">
      <c r="A12" s="531" t="s">
        <v>26</v>
      </c>
      <c r="B12" s="532" t="s">
        <v>547</v>
      </c>
      <c r="C12" s="532" t="s">
        <v>253</v>
      </c>
      <c r="D12" s="533">
        <v>11889</v>
      </c>
      <c r="E12" s="533">
        <v>12478</v>
      </c>
      <c r="F12" s="533">
        <v>13194</v>
      </c>
      <c r="G12" s="533">
        <v>13710</v>
      </c>
      <c r="H12" s="533">
        <v>13708</v>
      </c>
      <c r="I12" s="1144">
        <v>13593</v>
      </c>
      <c r="J12" s="1311">
        <v>12628</v>
      </c>
      <c r="K12" s="1849">
        <v>12939</v>
      </c>
      <c r="L12" s="2214">
        <v>13570</v>
      </c>
      <c r="M12" s="2214">
        <v>16199</v>
      </c>
    </row>
    <row r="13" spans="1:13" x14ac:dyDescent="0.3">
      <c r="A13" s="531" t="s">
        <v>27</v>
      </c>
      <c r="B13" s="532" t="s">
        <v>28</v>
      </c>
      <c r="C13" s="532" t="s">
        <v>253</v>
      </c>
      <c r="D13" s="533">
        <v>447</v>
      </c>
      <c r="E13" s="533">
        <v>479</v>
      </c>
      <c r="F13" s="533">
        <v>490</v>
      </c>
      <c r="G13" s="533">
        <v>503</v>
      </c>
      <c r="H13" s="533">
        <v>473</v>
      </c>
      <c r="I13" s="1144">
        <v>517</v>
      </c>
      <c r="J13" s="1311">
        <v>487</v>
      </c>
      <c r="K13" s="1849">
        <v>443</v>
      </c>
      <c r="L13" s="2214">
        <v>459</v>
      </c>
      <c r="M13" s="2214">
        <v>550</v>
      </c>
    </row>
    <row r="14" spans="1:13" x14ac:dyDescent="0.3">
      <c r="A14" s="531" t="s">
        <v>29</v>
      </c>
      <c r="B14" s="532" t="s">
        <v>736</v>
      </c>
      <c r="C14" s="532" t="s">
        <v>253</v>
      </c>
      <c r="D14" s="533">
        <v>6139</v>
      </c>
      <c r="E14" s="533">
        <v>6385</v>
      </c>
      <c r="F14" s="533">
        <v>6684</v>
      </c>
      <c r="G14" s="533">
        <v>6766</v>
      </c>
      <c r="H14" s="533">
        <v>7434</v>
      </c>
      <c r="I14" s="1144">
        <v>6877</v>
      </c>
      <c r="J14" s="1311">
        <v>6797</v>
      </c>
      <c r="K14" s="1849">
        <v>6226</v>
      </c>
      <c r="L14" s="2214">
        <v>6681</v>
      </c>
      <c r="M14" s="2214">
        <v>8087</v>
      </c>
    </row>
    <row r="15" spans="1:13" x14ac:dyDescent="0.3">
      <c r="A15" s="531" t="s">
        <v>30</v>
      </c>
      <c r="B15" s="532" t="s">
        <v>31</v>
      </c>
      <c r="C15" s="532" t="s">
        <v>256</v>
      </c>
      <c r="D15" s="533">
        <v>710</v>
      </c>
      <c r="E15" s="533">
        <v>707</v>
      </c>
      <c r="F15" s="533">
        <v>730</v>
      </c>
      <c r="G15" s="533">
        <v>733</v>
      </c>
      <c r="H15" s="533">
        <v>699</v>
      </c>
      <c r="I15" s="1144">
        <v>730</v>
      </c>
      <c r="J15" s="1311">
        <v>708</v>
      </c>
      <c r="K15" s="1849">
        <v>656</v>
      </c>
      <c r="L15" s="2214">
        <v>703</v>
      </c>
      <c r="M15" s="2214">
        <v>806</v>
      </c>
    </row>
    <row r="16" spans="1:13" x14ac:dyDescent="0.3">
      <c r="A16" s="531" t="s">
        <v>32</v>
      </c>
      <c r="B16" s="532" t="s">
        <v>33</v>
      </c>
      <c r="C16" s="532" t="s">
        <v>253</v>
      </c>
      <c r="D16" s="533">
        <v>1819</v>
      </c>
      <c r="E16" s="533">
        <v>1860</v>
      </c>
      <c r="F16" s="533">
        <v>1954</v>
      </c>
      <c r="G16" s="533">
        <v>2007</v>
      </c>
      <c r="H16" s="533">
        <v>2064</v>
      </c>
      <c r="I16" s="1144">
        <v>2225</v>
      </c>
      <c r="J16" s="1311">
        <v>2261</v>
      </c>
      <c r="K16" s="1849">
        <v>2189</v>
      </c>
      <c r="L16" s="2214">
        <v>2397</v>
      </c>
      <c r="M16" s="2214">
        <v>2895</v>
      </c>
    </row>
    <row r="17" spans="1:13" x14ac:dyDescent="0.3">
      <c r="A17" s="531" t="s">
        <v>36</v>
      </c>
      <c r="B17" s="532" t="s">
        <v>37</v>
      </c>
      <c r="C17" s="532" t="s">
        <v>252</v>
      </c>
      <c r="D17" s="533">
        <v>2805</v>
      </c>
      <c r="E17" s="533">
        <v>2867</v>
      </c>
      <c r="F17" s="533">
        <v>2874</v>
      </c>
      <c r="G17" s="533">
        <v>2919</v>
      </c>
      <c r="H17" s="533">
        <v>2983</v>
      </c>
      <c r="I17" s="1144">
        <v>3049</v>
      </c>
      <c r="J17" s="1311">
        <v>3007</v>
      </c>
      <c r="K17" s="1849">
        <v>2917</v>
      </c>
      <c r="L17" s="2214">
        <v>2968</v>
      </c>
      <c r="M17" s="2214">
        <v>3437</v>
      </c>
    </row>
    <row r="18" spans="1:13" x14ac:dyDescent="0.3">
      <c r="A18" s="531" t="s">
        <v>38</v>
      </c>
      <c r="B18" s="532" t="s">
        <v>39</v>
      </c>
      <c r="C18" s="532" t="s">
        <v>256</v>
      </c>
      <c r="D18" s="533">
        <v>4594</v>
      </c>
      <c r="E18" s="533">
        <v>4570</v>
      </c>
      <c r="F18" s="533">
        <v>4595</v>
      </c>
      <c r="G18" s="533">
        <v>4573</v>
      </c>
      <c r="H18" s="533">
        <v>4545</v>
      </c>
      <c r="I18" s="1144">
        <v>4654</v>
      </c>
      <c r="J18" s="1311">
        <v>4584</v>
      </c>
      <c r="K18" s="1849">
        <v>4473</v>
      </c>
      <c r="L18" s="2214">
        <v>4533</v>
      </c>
      <c r="M18" s="2214">
        <v>5311</v>
      </c>
    </row>
    <row r="19" spans="1:13" x14ac:dyDescent="0.3">
      <c r="A19" s="531" t="s">
        <v>40</v>
      </c>
      <c r="B19" s="532" t="s">
        <v>41</v>
      </c>
      <c r="C19" s="532" t="s">
        <v>254</v>
      </c>
      <c r="D19" s="533">
        <v>2133</v>
      </c>
      <c r="E19" s="533">
        <v>2213</v>
      </c>
      <c r="F19" s="533">
        <v>2296</v>
      </c>
      <c r="G19" s="533">
        <v>2345</v>
      </c>
      <c r="H19" s="533">
        <v>2345</v>
      </c>
      <c r="I19" s="1144">
        <v>2436</v>
      </c>
      <c r="J19" s="1311">
        <v>2354</v>
      </c>
      <c r="K19" s="1849">
        <v>2240</v>
      </c>
      <c r="L19" s="2214">
        <v>2343</v>
      </c>
      <c r="M19" s="2214">
        <v>2852</v>
      </c>
    </row>
    <row r="20" spans="1:13" x14ac:dyDescent="0.3">
      <c r="A20" s="531" t="s">
        <v>42</v>
      </c>
      <c r="B20" s="532" t="s">
        <v>43</v>
      </c>
      <c r="C20" s="532" t="s">
        <v>253</v>
      </c>
      <c r="D20" s="533">
        <v>6296</v>
      </c>
      <c r="E20" s="533">
        <v>6639</v>
      </c>
      <c r="F20" s="533">
        <v>6934</v>
      </c>
      <c r="G20" s="533">
        <v>7065</v>
      </c>
      <c r="H20" s="533">
        <v>7079</v>
      </c>
      <c r="I20" s="1144">
        <v>7292</v>
      </c>
      <c r="J20" s="1311">
        <v>7093</v>
      </c>
      <c r="K20" s="1849">
        <v>6515</v>
      </c>
      <c r="L20" s="2214">
        <v>6767</v>
      </c>
      <c r="M20" s="2214">
        <v>7985</v>
      </c>
    </row>
    <row r="21" spans="1:13" x14ac:dyDescent="0.3">
      <c r="A21" s="531" t="s">
        <v>44</v>
      </c>
      <c r="B21" s="532" t="s">
        <v>45</v>
      </c>
      <c r="C21" s="532" t="s">
        <v>254</v>
      </c>
      <c r="D21" s="533">
        <v>3016</v>
      </c>
      <c r="E21" s="533">
        <v>3120</v>
      </c>
      <c r="F21" s="533">
        <v>3260</v>
      </c>
      <c r="G21" s="533">
        <v>3298</v>
      </c>
      <c r="H21" s="533">
        <v>3282</v>
      </c>
      <c r="I21" s="1144">
        <v>3508</v>
      </c>
      <c r="J21" s="1311">
        <v>3546</v>
      </c>
      <c r="K21" s="1849">
        <v>3374</v>
      </c>
      <c r="L21" s="2214">
        <v>3625</v>
      </c>
      <c r="M21" s="2214">
        <v>4368</v>
      </c>
    </row>
    <row r="22" spans="1:13" x14ac:dyDescent="0.3">
      <c r="A22" s="531" t="s">
        <v>46</v>
      </c>
      <c r="B22" s="532" t="s">
        <v>47</v>
      </c>
      <c r="C22" s="532" t="s">
        <v>256</v>
      </c>
      <c r="D22" s="533">
        <v>4308</v>
      </c>
      <c r="E22" s="533">
        <v>4482</v>
      </c>
      <c r="F22" s="533">
        <v>4678</v>
      </c>
      <c r="G22" s="533">
        <v>4624</v>
      </c>
      <c r="H22" s="533">
        <v>4587</v>
      </c>
      <c r="I22" s="1144">
        <v>4643</v>
      </c>
      <c r="J22" s="1311">
        <v>4560</v>
      </c>
      <c r="K22" s="1849">
        <v>4416</v>
      </c>
      <c r="L22" s="2214">
        <v>4637</v>
      </c>
      <c r="M22" s="2214">
        <v>5492</v>
      </c>
    </row>
    <row r="23" spans="1:13" x14ac:dyDescent="0.3">
      <c r="A23" s="531" t="s">
        <v>48</v>
      </c>
      <c r="B23" s="532" t="s">
        <v>257</v>
      </c>
      <c r="C23" s="532" t="s">
        <v>254</v>
      </c>
      <c r="D23" s="533">
        <v>762</v>
      </c>
      <c r="E23" s="533">
        <v>786</v>
      </c>
      <c r="F23" s="533">
        <v>814</v>
      </c>
      <c r="G23" s="533">
        <v>811</v>
      </c>
      <c r="H23" s="533">
        <v>791</v>
      </c>
      <c r="I23" s="1144">
        <v>835</v>
      </c>
      <c r="J23" s="1311">
        <v>876</v>
      </c>
      <c r="K23" s="1849">
        <v>822</v>
      </c>
      <c r="L23" s="2214">
        <v>860</v>
      </c>
      <c r="M23" s="2214">
        <v>1037</v>
      </c>
    </row>
    <row r="24" spans="1:13" x14ac:dyDescent="0.3">
      <c r="A24" s="531" t="s">
        <v>50</v>
      </c>
      <c r="B24" s="532" t="s">
        <v>51</v>
      </c>
      <c r="C24" s="532" t="s">
        <v>253</v>
      </c>
      <c r="D24" s="533">
        <v>2057</v>
      </c>
      <c r="E24" s="533">
        <v>2117</v>
      </c>
      <c r="F24" s="533">
        <v>2185</v>
      </c>
      <c r="G24" s="533">
        <v>2115</v>
      </c>
      <c r="H24" s="533">
        <v>2103</v>
      </c>
      <c r="I24" s="1144">
        <v>2157</v>
      </c>
      <c r="J24" s="1311">
        <v>2060</v>
      </c>
      <c r="K24" s="1849">
        <v>1859</v>
      </c>
      <c r="L24" s="2214">
        <v>1941</v>
      </c>
      <c r="M24" s="2214">
        <v>2288</v>
      </c>
    </row>
    <row r="25" spans="1:13" x14ac:dyDescent="0.3">
      <c r="A25" s="531" t="s">
        <v>56</v>
      </c>
      <c r="B25" s="532" t="s">
        <v>283</v>
      </c>
      <c r="C25" s="532" t="s">
        <v>254</v>
      </c>
      <c r="D25" s="533">
        <v>22393</v>
      </c>
      <c r="E25" s="533">
        <v>23970</v>
      </c>
      <c r="F25" s="533">
        <v>25145</v>
      </c>
      <c r="G25" s="533">
        <v>26132</v>
      </c>
      <c r="H25" s="533">
        <v>26942</v>
      </c>
      <c r="I25" s="1144">
        <v>29404</v>
      </c>
      <c r="J25" s="1311">
        <v>31067</v>
      </c>
      <c r="K25" s="1849">
        <v>31062</v>
      </c>
      <c r="L25" s="2214">
        <v>33704</v>
      </c>
      <c r="M25" s="2214">
        <v>39799</v>
      </c>
    </row>
    <row r="26" spans="1:13" x14ac:dyDescent="0.3">
      <c r="A26" s="531" t="s">
        <v>58</v>
      </c>
      <c r="B26" s="532" t="s">
        <v>59</v>
      </c>
      <c r="C26" s="532" t="s">
        <v>255</v>
      </c>
      <c r="D26" s="533">
        <v>776</v>
      </c>
      <c r="E26" s="533">
        <v>794</v>
      </c>
      <c r="F26" s="533">
        <v>812</v>
      </c>
      <c r="G26" s="533">
        <v>816</v>
      </c>
      <c r="H26" s="533">
        <v>830</v>
      </c>
      <c r="I26" s="1144">
        <v>837</v>
      </c>
      <c r="J26" s="1311">
        <v>818</v>
      </c>
      <c r="K26" s="1849">
        <v>784</v>
      </c>
      <c r="L26" s="2214">
        <v>829</v>
      </c>
      <c r="M26" s="2214">
        <v>1061</v>
      </c>
    </row>
    <row r="27" spans="1:13" x14ac:dyDescent="0.3">
      <c r="A27" s="531" t="s">
        <v>60</v>
      </c>
      <c r="B27" s="532" t="s">
        <v>61</v>
      </c>
      <c r="C27" s="532" t="s">
        <v>253</v>
      </c>
      <c r="D27" s="533">
        <v>564</v>
      </c>
      <c r="E27" s="533">
        <v>596</v>
      </c>
      <c r="F27" s="533">
        <v>608</v>
      </c>
      <c r="G27" s="533">
        <v>633</v>
      </c>
      <c r="H27" s="533">
        <v>617</v>
      </c>
      <c r="I27" s="1144">
        <v>655</v>
      </c>
      <c r="J27" s="1311">
        <v>631</v>
      </c>
      <c r="K27" s="1849">
        <v>615</v>
      </c>
      <c r="L27" s="2214">
        <v>657</v>
      </c>
      <c r="M27" s="2214">
        <v>764</v>
      </c>
    </row>
    <row r="28" spans="1:13" x14ac:dyDescent="0.3">
      <c r="A28" s="531" t="s">
        <v>62</v>
      </c>
      <c r="B28" s="532" t="s">
        <v>63</v>
      </c>
      <c r="C28" s="532" t="s">
        <v>255</v>
      </c>
      <c r="D28" s="533">
        <v>4087</v>
      </c>
      <c r="E28" s="533">
        <v>4350</v>
      </c>
      <c r="F28" s="533">
        <v>4572</v>
      </c>
      <c r="G28" s="533">
        <v>4697</v>
      </c>
      <c r="H28" s="533">
        <v>4719</v>
      </c>
      <c r="I28" s="1144">
        <v>4956</v>
      </c>
      <c r="J28" s="1311">
        <v>4957</v>
      </c>
      <c r="K28" s="1849">
        <v>4843</v>
      </c>
      <c r="L28" s="2214">
        <v>5269</v>
      </c>
      <c r="M28" s="2214">
        <v>6310</v>
      </c>
    </row>
    <row r="29" spans="1:13" x14ac:dyDescent="0.3">
      <c r="A29" s="531" t="s">
        <v>64</v>
      </c>
      <c r="B29" s="532" t="s">
        <v>65</v>
      </c>
      <c r="C29" s="532" t="s">
        <v>254</v>
      </c>
      <c r="D29" s="533">
        <v>1442</v>
      </c>
      <c r="E29" s="533">
        <v>1484</v>
      </c>
      <c r="F29" s="533">
        <v>1558</v>
      </c>
      <c r="G29" s="533">
        <v>1564</v>
      </c>
      <c r="H29" s="533">
        <v>1600</v>
      </c>
      <c r="I29" s="1144">
        <v>1614</v>
      </c>
      <c r="J29" s="1311">
        <v>1579</v>
      </c>
      <c r="K29" s="1849">
        <v>1499</v>
      </c>
      <c r="L29" s="2214">
        <v>1618</v>
      </c>
      <c r="M29" s="2214">
        <v>1907</v>
      </c>
    </row>
    <row r="30" spans="1:13" x14ac:dyDescent="0.3">
      <c r="A30" s="531" t="s">
        <v>68</v>
      </c>
      <c r="B30" s="532" t="s">
        <v>69</v>
      </c>
      <c r="C30" s="532" t="s">
        <v>256</v>
      </c>
      <c r="D30" s="533">
        <v>3383</v>
      </c>
      <c r="E30" s="533">
        <v>3421</v>
      </c>
      <c r="F30" s="533">
        <v>3437</v>
      </c>
      <c r="G30" s="533">
        <v>3502</v>
      </c>
      <c r="H30" s="533">
        <v>3472</v>
      </c>
      <c r="I30" s="1144">
        <v>3462</v>
      </c>
      <c r="J30" s="1311">
        <v>3353</v>
      </c>
      <c r="K30" s="1849">
        <v>3191</v>
      </c>
      <c r="L30" s="2214">
        <v>3202</v>
      </c>
      <c r="M30" s="2214">
        <v>3563</v>
      </c>
    </row>
    <row r="31" spans="1:13" x14ac:dyDescent="0.3">
      <c r="A31" s="531" t="s">
        <v>70</v>
      </c>
      <c r="B31" s="532" t="s">
        <v>71</v>
      </c>
      <c r="C31" s="532" t="s">
        <v>252</v>
      </c>
      <c r="D31" s="533">
        <v>3074</v>
      </c>
      <c r="E31" s="533">
        <v>3227</v>
      </c>
      <c r="F31" s="533">
        <v>3367</v>
      </c>
      <c r="G31" s="533">
        <v>3421</v>
      </c>
      <c r="H31" s="533">
        <v>3397</v>
      </c>
      <c r="I31" s="1144">
        <v>3563</v>
      </c>
      <c r="J31" s="1311">
        <v>3556</v>
      </c>
      <c r="K31" s="1849">
        <v>3394</v>
      </c>
      <c r="L31" s="2214">
        <v>3685</v>
      </c>
      <c r="M31" s="2214">
        <v>4444</v>
      </c>
    </row>
    <row r="32" spans="1:13" x14ac:dyDescent="0.3">
      <c r="A32" s="531" t="s">
        <v>72</v>
      </c>
      <c r="B32" s="532" t="s">
        <v>73</v>
      </c>
      <c r="C32" s="532" t="s">
        <v>254</v>
      </c>
      <c r="D32" s="533">
        <v>1413</v>
      </c>
      <c r="E32" s="533">
        <v>1497</v>
      </c>
      <c r="F32" s="533">
        <v>1592</v>
      </c>
      <c r="G32" s="533">
        <v>1611</v>
      </c>
      <c r="H32" s="533">
        <v>1598</v>
      </c>
      <c r="I32" s="1144">
        <v>1648</v>
      </c>
      <c r="J32" s="1311">
        <v>1659</v>
      </c>
      <c r="K32" s="1849">
        <v>1594</v>
      </c>
      <c r="L32" s="2214">
        <v>1669</v>
      </c>
      <c r="M32" s="2214">
        <v>2005</v>
      </c>
    </row>
    <row r="33" spans="1:13" x14ac:dyDescent="0.3">
      <c r="A33" s="531" t="s">
        <v>74</v>
      </c>
      <c r="B33" s="532" t="s">
        <v>284</v>
      </c>
      <c r="C33" s="532" t="s">
        <v>255</v>
      </c>
      <c r="D33" s="533">
        <v>54170</v>
      </c>
      <c r="E33" s="533">
        <v>58384</v>
      </c>
      <c r="F33" s="533">
        <v>58298</v>
      </c>
      <c r="G33" s="533">
        <v>59707</v>
      </c>
      <c r="H33" s="533">
        <v>60817</v>
      </c>
      <c r="I33" s="1144">
        <v>65841</v>
      </c>
      <c r="J33" s="1311">
        <v>63915</v>
      </c>
      <c r="K33" s="1849">
        <v>65084</v>
      </c>
      <c r="L33" s="2214">
        <v>66965</v>
      </c>
      <c r="M33" s="2214">
        <v>79334</v>
      </c>
    </row>
    <row r="34" spans="1:13" x14ac:dyDescent="0.3">
      <c r="A34" s="531" t="s">
        <v>76</v>
      </c>
      <c r="B34" s="532" t="s">
        <v>77</v>
      </c>
      <c r="C34" s="532" t="s">
        <v>255</v>
      </c>
      <c r="D34" s="533">
        <v>3751</v>
      </c>
      <c r="E34" s="533">
        <v>3797</v>
      </c>
      <c r="F34" s="533">
        <v>4014</v>
      </c>
      <c r="G34" s="533">
        <v>4051</v>
      </c>
      <c r="H34" s="533">
        <v>4068</v>
      </c>
      <c r="I34" s="1144">
        <v>4318</v>
      </c>
      <c r="J34" s="1311">
        <v>4145</v>
      </c>
      <c r="K34" s="1849">
        <v>4069</v>
      </c>
      <c r="L34" s="2214">
        <v>4379</v>
      </c>
      <c r="M34" s="2214">
        <v>5487</v>
      </c>
    </row>
    <row r="35" spans="1:13" x14ac:dyDescent="0.3">
      <c r="A35" s="531" t="s">
        <v>78</v>
      </c>
      <c r="B35" s="532" t="s">
        <v>79</v>
      </c>
      <c r="C35" s="532" t="s">
        <v>256</v>
      </c>
      <c r="D35" s="533">
        <v>1606</v>
      </c>
      <c r="E35" s="533">
        <v>1688</v>
      </c>
      <c r="F35" s="533">
        <v>1791</v>
      </c>
      <c r="G35" s="533">
        <v>1828</v>
      </c>
      <c r="H35" s="533">
        <v>1833</v>
      </c>
      <c r="I35" s="1144">
        <v>1897</v>
      </c>
      <c r="J35" s="1311">
        <v>1812</v>
      </c>
      <c r="K35" s="1849">
        <v>1733</v>
      </c>
      <c r="L35" s="2214">
        <v>1809</v>
      </c>
      <c r="M35" s="2214">
        <v>2211</v>
      </c>
    </row>
    <row r="36" spans="1:13" x14ac:dyDescent="0.3">
      <c r="A36" s="531" t="s">
        <v>80</v>
      </c>
      <c r="B36" s="532" t="s">
        <v>81</v>
      </c>
      <c r="C36" s="532" t="s">
        <v>254</v>
      </c>
      <c r="D36" s="533">
        <v>1510</v>
      </c>
      <c r="E36" s="533">
        <v>1587</v>
      </c>
      <c r="F36" s="533">
        <v>1644</v>
      </c>
      <c r="G36" s="533">
        <v>1719</v>
      </c>
      <c r="H36" s="533">
        <v>1731</v>
      </c>
      <c r="I36" s="1144">
        <v>1843</v>
      </c>
      <c r="J36" s="1311">
        <v>1909</v>
      </c>
      <c r="K36" s="1849">
        <v>1845</v>
      </c>
      <c r="L36" s="2214">
        <v>2060</v>
      </c>
      <c r="M36" s="2214">
        <v>2468</v>
      </c>
    </row>
    <row r="37" spans="1:13" x14ac:dyDescent="0.3">
      <c r="A37" s="531" t="s">
        <v>84</v>
      </c>
      <c r="B37" s="532" t="s">
        <v>85</v>
      </c>
      <c r="C37" s="532" t="s">
        <v>253</v>
      </c>
      <c r="D37" s="533">
        <v>5842</v>
      </c>
      <c r="E37" s="533">
        <v>6077</v>
      </c>
      <c r="F37" s="533">
        <v>6505</v>
      </c>
      <c r="G37" s="533">
        <v>6489</v>
      </c>
      <c r="H37" s="533">
        <v>6409</v>
      </c>
      <c r="I37" s="1144">
        <v>6514</v>
      </c>
      <c r="J37" s="1311">
        <v>6413</v>
      </c>
      <c r="K37" s="1849">
        <v>6054</v>
      </c>
      <c r="L37" s="2214">
        <v>6396</v>
      </c>
      <c r="M37" s="2214">
        <v>7515</v>
      </c>
    </row>
    <row r="38" spans="1:13" x14ac:dyDescent="0.3">
      <c r="A38" s="531" t="s">
        <v>86</v>
      </c>
      <c r="B38" s="532" t="s">
        <v>87</v>
      </c>
      <c r="C38" s="532" t="s">
        <v>255</v>
      </c>
      <c r="D38" s="533">
        <v>5125</v>
      </c>
      <c r="E38" s="533">
        <v>5611</v>
      </c>
      <c r="F38" s="533">
        <v>5942</v>
      </c>
      <c r="G38" s="533">
        <v>6190</v>
      </c>
      <c r="H38" s="533">
        <v>6271</v>
      </c>
      <c r="I38" s="1144">
        <v>6495</v>
      </c>
      <c r="J38" s="1311">
        <v>6484</v>
      </c>
      <c r="K38" s="1849">
        <v>6452</v>
      </c>
      <c r="L38" s="2214">
        <v>6829</v>
      </c>
      <c r="M38" s="2214">
        <v>8118</v>
      </c>
    </row>
    <row r="39" spans="1:13" x14ac:dyDescent="0.3">
      <c r="A39" s="531" t="s">
        <v>92</v>
      </c>
      <c r="B39" s="532" t="s">
        <v>93</v>
      </c>
      <c r="C39" s="532" t="s">
        <v>256</v>
      </c>
      <c r="D39" s="533">
        <v>2209</v>
      </c>
      <c r="E39" s="533">
        <v>2338</v>
      </c>
      <c r="F39" s="533">
        <v>2378</v>
      </c>
      <c r="G39" s="533">
        <v>2274</v>
      </c>
      <c r="H39" s="533">
        <v>2319</v>
      </c>
      <c r="I39" s="1144">
        <v>2409</v>
      </c>
      <c r="J39" s="1311">
        <v>2295</v>
      </c>
      <c r="K39" s="1849">
        <v>2254</v>
      </c>
      <c r="L39" s="2214">
        <v>2370</v>
      </c>
      <c r="M39" s="2214">
        <v>2705</v>
      </c>
    </row>
    <row r="40" spans="1:13" x14ac:dyDescent="0.3">
      <c r="A40" s="531" t="s">
        <v>94</v>
      </c>
      <c r="B40" s="532" t="s">
        <v>95</v>
      </c>
      <c r="C40" s="532" t="s">
        <v>252</v>
      </c>
      <c r="D40" s="533">
        <v>2887</v>
      </c>
      <c r="E40" s="533">
        <v>2992</v>
      </c>
      <c r="F40" s="533">
        <v>3182</v>
      </c>
      <c r="G40" s="533">
        <v>3243</v>
      </c>
      <c r="H40" s="533">
        <v>3337</v>
      </c>
      <c r="I40" s="1144">
        <v>3469</v>
      </c>
      <c r="J40" s="1311">
        <v>3513</v>
      </c>
      <c r="K40" s="1849">
        <v>3503</v>
      </c>
      <c r="L40" s="2214">
        <v>3740</v>
      </c>
      <c r="M40" s="2214">
        <v>4579</v>
      </c>
    </row>
    <row r="41" spans="1:13" x14ac:dyDescent="0.3">
      <c r="A41" s="531" t="s">
        <v>96</v>
      </c>
      <c r="B41" s="532" t="s">
        <v>97</v>
      </c>
      <c r="C41" s="532" t="s">
        <v>254</v>
      </c>
      <c r="D41" s="533">
        <v>1101</v>
      </c>
      <c r="E41" s="533">
        <v>1166</v>
      </c>
      <c r="F41" s="533">
        <v>1154</v>
      </c>
      <c r="G41" s="533">
        <v>1186</v>
      </c>
      <c r="H41" s="533">
        <v>1211</v>
      </c>
      <c r="I41" s="1144">
        <v>1310</v>
      </c>
      <c r="J41" s="1311">
        <v>1286</v>
      </c>
      <c r="K41" s="1849">
        <v>1177</v>
      </c>
      <c r="L41" s="2214">
        <v>1274</v>
      </c>
      <c r="M41" s="2214">
        <v>1770</v>
      </c>
    </row>
    <row r="42" spans="1:13" x14ac:dyDescent="0.3">
      <c r="A42" s="531" t="s">
        <v>98</v>
      </c>
      <c r="B42" s="532" t="s">
        <v>99</v>
      </c>
      <c r="C42" s="532" t="s">
        <v>256</v>
      </c>
      <c r="D42" s="533">
        <v>2421</v>
      </c>
      <c r="E42" s="533">
        <v>2523</v>
      </c>
      <c r="F42" s="533">
        <v>2596</v>
      </c>
      <c r="G42" s="533">
        <v>2611</v>
      </c>
      <c r="H42" s="533">
        <v>2582</v>
      </c>
      <c r="I42" s="1144">
        <v>2588</v>
      </c>
      <c r="J42" s="1311">
        <v>2499</v>
      </c>
      <c r="K42" s="1849">
        <v>2290</v>
      </c>
      <c r="L42" s="2214">
        <v>2380</v>
      </c>
      <c r="M42" s="2214">
        <v>2765</v>
      </c>
    </row>
    <row r="43" spans="1:13" x14ac:dyDescent="0.3">
      <c r="A43" s="531" t="s">
        <v>100</v>
      </c>
      <c r="B43" s="532" t="s">
        <v>101</v>
      </c>
      <c r="C43" s="532" t="s">
        <v>255</v>
      </c>
      <c r="D43" s="533">
        <v>1527</v>
      </c>
      <c r="E43" s="533">
        <v>1585</v>
      </c>
      <c r="F43" s="533">
        <v>1671</v>
      </c>
      <c r="G43" s="533">
        <v>1729</v>
      </c>
      <c r="H43" s="533">
        <v>1801</v>
      </c>
      <c r="I43" s="1144">
        <v>1824</v>
      </c>
      <c r="J43" s="1311">
        <v>1789</v>
      </c>
      <c r="K43" s="1849">
        <v>1752</v>
      </c>
      <c r="L43" s="2214">
        <v>1853</v>
      </c>
      <c r="M43" s="2214">
        <v>2290</v>
      </c>
    </row>
    <row r="44" spans="1:13" x14ac:dyDescent="0.3">
      <c r="A44" s="531" t="s">
        <v>102</v>
      </c>
      <c r="B44" s="532" t="s">
        <v>270</v>
      </c>
      <c r="C44" s="532" t="s">
        <v>252</v>
      </c>
      <c r="D44" s="533">
        <v>2936</v>
      </c>
      <c r="E44" s="533">
        <v>3078</v>
      </c>
      <c r="F44" s="533">
        <v>3213</v>
      </c>
      <c r="G44" s="533">
        <v>3268</v>
      </c>
      <c r="H44" s="533">
        <v>3249</v>
      </c>
      <c r="I44" s="1144">
        <v>3302</v>
      </c>
      <c r="J44" s="1311">
        <v>3143</v>
      </c>
      <c r="K44" s="1849">
        <v>2923</v>
      </c>
      <c r="L44" s="2214">
        <v>3079</v>
      </c>
      <c r="M44" s="2214">
        <v>3566</v>
      </c>
    </row>
    <row r="45" spans="1:13" x14ac:dyDescent="0.3">
      <c r="A45" s="531" t="s">
        <v>104</v>
      </c>
      <c r="B45" s="532" t="s">
        <v>105</v>
      </c>
      <c r="C45" s="532" t="s">
        <v>253</v>
      </c>
      <c r="D45" s="533">
        <v>6002</v>
      </c>
      <c r="E45" s="533">
        <v>6226</v>
      </c>
      <c r="F45" s="533">
        <v>6414</v>
      </c>
      <c r="G45" s="533">
        <v>6377</v>
      </c>
      <c r="H45" s="533">
        <v>6416</v>
      </c>
      <c r="I45" s="1144">
        <v>6557</v>
      </c>
      <c r="J45" s="1311">
        <v>6148</v>
      </c>
      <c r="K45" s="1849">
        <v>5891</v>
      </c>
      <c r="L45" s="2214">
        <v>6019</v>
      </c>
      <c r="M45" s="2214">
        <v>6907</v>
      </c>
    </row>
    <row r="46" spans="1:13" x14ac:dyDescent="0.3">
      <c r="A46" s="531" t="s">
        <v>108</v>
      </c>
      <c r="B46" s="532" t="s">
        <v>109</v>
      </c>
      <c r="C46" s="532" t="s">
        <v>254</v>
      </c>
      <c r="D46" s="533">
        <v>4638</v>
      </c>
      <c r="E46" s="533">
        <v>4917</v>
      </c>
      <c r="F46" s="533">
        <v>5158</v>
      </c>
      <c r="G46" s="533">
        <v>5228</v>
      </c>
      <c r="H46" s="533">
        <v>5354</v>
      </c>
      <c r="I46" s="1144">
        <v>5695</v>
      </c>
      <c r="J46" s="1311">
        <v>5674</v>
      </c>
      <c r="K46" s="1849">
        <v>5514</v>
      </c>
      <c r="L46" s="2214">
        <v>5882</v>
      </c>
      <c r="M46" s="2214">
        <v>7351</v>
      </c>
    </row>
    <row r="47" spans="1:13" x14ac:dyDescent="0.3">
      <c r="A47" s="531" t="s">
        <v>110</v>
      </c>
      <c r="B47" s="532" t="s">
        <v>111</v>
      </c>
      <c r="C47" s="532" t="s">
        <v>254</v>
      </c>
      <c r="D47" s="533">
        <v>23197</v>
      </c>
      <c r="E47" s="533">
        <v>24646</v>
      </c>
      <c r="F47" s="533">
        <v>26257</v>
      </c>
      <c r="G47" s="533">
        <v>27064</v>
      </c>
      <c r="H47" s="533">
        <v>27773</v>
      </c>
      <c r="I47" s="1144">
        <v>28708</v>
      </c>
      <c r="J47" s="1311">
        <v>29282</v>
      </c>
      <c r="K47" s="1849">
        <v>28701</v>
      </c>
      <c r="L47" s="2214">
        <v>31782</v>
      </c>
      <c r="M47" s="2214">
        <v>37801</v>
      </c>
    </row>
    <row r="48" spans="1:13" x14ac:dyDescent="0.3">
      <c r="A48" s="531" t="s">
        <v>112</v>
      </c>
      <c r="B48" s="532" t="s">
        <v>288</v>
      </c>
      <c r="C48" s="532" t="s">
        <v>253</v>
      </c>
      <c r="D48" s="533">
        <v>11091</v>
      </c>
      <c r="E48" s="533">
        <v>11532</v>
      </c>
      <c r="F48" s="533">
        <v>12321</v>
      </c>
      <c r="G48" s="533">
        <v>12567</v>
      </c>
      <c r="H48" s="533">
        <v>12648</v>
      </c>
      <c r="I48" s="1144">
        <v>12978</v>
      </c>
      <c r="J48" s="1311">
        <v>12091</v>
      </c>
      <c r="K48" s="1849">
        <v>12233</v>
      </c>
      <c r="L48" s="2214">
        <v>12329</v>
      </c>
      <c r="M48" s="2214">
        <v>14262</v>
      </c>
    </row>
    <row r="49" spans="1:13" x14ac:dyDescent="0.3">
      <c r="A49" s="531" t="s">
        <v>114</v>
      </c>
      <c r="B49" s="532" t="s">
        <v>115</v>
      </c>
      <c r="C49" s="532" t="s">
        <v>253</v>
      </c>
      <c r="D49" s="533">
        <v>186</v>
      </c>
      <c r="E49" s="533">
        <v>203</v>
      </c>
      <c r="F49" s="533">
        <v>213</v>
      </c>
      <c r="G49" s="533">
        <v>186</v>
      </c>
      <c r="H49" s="533">
        <v>243</v>
      </c>
      <c r="I49" s="1144">
        <v>282</v>
      </c>
      <c r="J49" s="1311">
        <v>195</v>
      </c>
      <c r="K49" s="1849">
        <v>206</v>
      </c>
      <c r="L49" s="2214">
        <v>199</v>
      </c>
      <c r="M49" s="2214">
        <v>271</v>
      </c>
    </row>
    <row r="50" spans="1:13" x14ac:dyDescent="0.3">
      <c r="A50" s="531" t="s">
        <v>118</v>
      </c>
      <c r="B50" s="532" t="s">
        <v>258</v>
      </c>
      <c r="C50" s="532" t="s">
        <v>252</v>
      </c>
      <c r="D50" s="533">
        <v>2959</v>
      </c>
      <c r="E50" s="533">
        <v>3091</v>
      </c>
      <c r="F50" s="533">
        <v>3176</v>
      </c>
      <c r="G50" s="533">
        <v>3218</v>
      </c>
      <c r="H50" s="533">
        <v>3151</v>
      </c>
      <c r="I50" s="1144">
        <v>3244</v>
      </c>
      <c r="J50" s="1311">
        <v>3230</v>
      </c>
      <c r="K50" s="1849">
        <v>3153</v>
      </c>
      <c r="L50" s="2214">
        <v>3379</v>
      </c>
      <c r="M50" s="2214">
        <v>4089</v>
      </c>
    </row>
    <row r="51" spans="1:13" x14ac:dyDescent="0.3">
      <c r="A51" s="531" t="s">
        <v>120</v>
      </c>
      <c r="B51" s="532" t="s">
        <v>121</v>
      </c>
      <c r="C51" s="532" t="s">
        <v>252</v>
      </c>
      <c r="D51" s="533">
        <v>3388</v>
      </c>
      <c r="E51" s="533">
        <v>3575</v>
      </c>
      <c r="F51" s="533">
        <v>3773</v>
      </c>
      <c r="G51" s="533">
        <v>3922</v>
      </c>
      <c r="H51" s="533">
        <v>3979</v>
      </c>
      <c r="I51" s="1144">
        <v>4191</v>
      </c>
      <c r="J51" s="1311">
        <v>4284</v>
      </c>
      <c r="K51" s="1849">
        <v>4069</v>
      </c>
      <c r="L51" s="2214">
        <v>4373</v>
      </c>
      <c r="M51" s="2214">
        <v>5419</v>
      </c>
    </row>
    <row r="52" spans="1:13" x14ac:dyDescent="0.3">
      <c r="A52" s="531" t="s">
        <v>122</v>
      </c>
      <c r="B52" s="532" t="s">
        <v>275</v>
      </c>
      <c r="C52" s="532" t="s">
        <v>254</v>
      </c>
      <c r="D52" s="533">
        <v>915</v>
      </c>
      <c r="E52" s="533">
        <v>965</v>
      </c>
      <c r="F52" s="533">
        <v>965</v>
      </c>
      <c r="G52" s="533">
        <v>974</v>
      </c>
      <c r="H52" s="533">
        <v>1017</v>
      </c>
      <c r="I52" s="1144">
        <v>1017</v>
      </c>
      <c r="J52" s="1311">
        <v>2010</v>
      </c>
      <c r="K52" s="1849">
        <v>953</v>
      </c>
      <c r="L52" s="2214">
        <v>975</v>
      </c>
      <c r="M52" s="2214">
        <v>1175</v>
      </c>
    </row>
    <row r="53" spans="1:13" x14ac:dyDescent="0.3">
      <c r="A53" s="531" t="s">
        <v>124</v>
      </c>
      <c r="B53" s="532" t="s">
        <v>125</v>
      </c>
      <c r="C53" s="532" t="s">
        <v>255</v>
      </c>
      <c r="D53" s="533">
        <v>1540</v>
      </c>
      <c r="E53" s="533">
        <v>1699</v>
      </c>
      <c r="F53" s="533">
        <v>1866</v>
      </c>
      <c r="G53" s="533">
        <v>1907</v>
      </c>
      <c r="H53" s="533">
        <v>1908</v>
      </c>
      <c r="I53" s="1144">
        <v>2044</v>
      </c>
      <c r="J53" s="1311">
        <v>1570</v>
      </c>
      <c r="K53" s="1849">
        <v>1943</v>
      </c>
      <c r="L53" s="2214">
        <v>2092</v>
      </c>
      <c r="M53" s="2214">
        <v>2489</v>
      </c>
    </row>
    <row r="54" spans="1:13" x14ac:dyDescent="0.3">
      <c r="A54" s="531" t="s">
        <v>126</v>
      </c>
      <c r="B54" s="532" t="s">
        <v>127</v>
      </c>
      <c r="C54" s="532" t="s">
        <v>254</v>
      </c>
      <c r="D54" s="533">
        <v>1319</v>
      </c>
      <c r="E54" s="533">
        <v>1400</v>
      </c>
      <c r="F54" s="533">
        <v>1493</v>
      </c>
      <c r="G54" s="533">
        <v>1489</v>
      </c>
      <c r="H54" s="533">
        <v>1506</v>
      </c>
      <c r="I54" s="1144">
        <v>1543</v>
      </c>
      <c r="J54" s="1311">
        <v>950</v>
      </c>
      <c r="K54" s="1849">
        <v>1398</v>
      </c>
      <c r="L54" s="2214">
        <v>1508</v>
      </c>
      <c r="M54" s="2214">
        <v>1854</v>
      </c>
    </row>
    <row r="55" spans="1:13" x14ac:dyDescent="0.3">
      <c r="A55" s="531" t="s">
        <v>128</v>
      </c>
      <c r="B55" s="532" t="s">
        <v>129</v>
      </c>
      <c r="C55" s="532" t="s">
        <v>254</v>
      </c>
      <c r="D55" s="533">
        <v>1246</v>
      </c>
      <c r="E55" s="533">
        <v>1294</v>
      </c>
      <c r="F55" s="533">
        <v>1341</v>
      </c>
      <c r="G55" s="533">
        <v>1371</v>
      </c>
      <c r="H55" s="533">
        <v>1368</v>
      </c>
      <c r="I55" s="1144">
        <v>1397</v>
      </c>
      <c r="J55" s="1311">
        <v>1312</v>
      </c>
      <c r="K55" s="1849">
        <v>1302</v>
      </c>
      <c r="L55" s="2214">
        <v>1390</v>
      </c>
      <c r="M55" s="2214">
        <v>1618</v>
      </c>
    </row>
    <row r="56" spans="1:13" x14ac:dyDescent="0.3">
      <c r="A56" s="531" t="s">
        <v>130</v>
      </c>
      <c r="B56" s="532" t="s">
        <v>131</v>
      </c>
      <c r="C56" s="532" t="s">
        <v>256</v>
      </c>
      <c r="D56" s="533">
        <v>5449</v>
      </c>
      <c r="E56" s="533">
        <v>5478</v>
      </c>
      <c r="F56" s="533">
        <v>5636</v>
      </c>
      <c r="G56" s="533">
        <v>5578</v>
      </c>
      <c r="H56" s="533">
        <v>5575</v>
      </c>
      <c r="I56" s="1144">
        <v>5609</v>
      </c>
      <c r="J56" s="1311">
        <v>5454</v>
      </c>
      <c r="K56" s="1849">
        <v>4977</v>
      </c>
      <c r="L56" s="2214">
        <v>5006</v>
      </c>
      <c r="M56" s="2214">
        <v>5853</v>
      </c>
    </row>
    <row r="57" spans="1:13" x14ac:dyDescent="0.3">
      <c r="A57" s="531" t="s">
        <v>132</v>
      </c>
      <c r="B57" s="532" t="s">
        <v>133</v>
      </c>
      <c r="C57" s="532" t="s">
        <v>255</v>
      </c>
      <c r="D57" s="533">
        <v>9252</v>
      </c>
      <c r="E57" s="533">
        <v>10223</v>
      </c>
      <c r="F57" s="533">
        <v>11119</v>
      </c>
      <c r="G57" s="533">
        <v>11769</v>
      </c>
      <c r="H57" s="533">
        <v>12165</v>
      </c>
      <c r="I57" s="1144">
        <v>13957</v>
      </c>
      <c r="J57" s="1311">
        <v>15253</v>
      </c>
      <c r="K57" s="1849">
        <v>15902</v>
      </c>
      <c r="L57" s="2214">
        <v>16315</v>
      </c>
      <c r="M57" s="2214">
        <v>20008</v>
      </c>
    </row>
    <row r="58" spans="1:13" x14ac:dyDescent="0.3">
      <c r="A58" s="531" t="s">
        <v>134</v>
      </c>
      <c r="B58" s="532" t="s">
        <v>135</v>
      </c>
      <c r="C58" s="532" t="s">
        <v>255</v>
      </c>
      <c r="D58" s="533">
        <v>3085</v>
      </c>
      <c r="E58" s="533">
        <v>3288</v>
      </c>
      <c r="F58" s="533">
        <v>3457</v>
      </c>
      <c r="G58" s="533">
        <v>3513</v>
      </c>
      <c r="H58" s="533">
        <v>3631</v>
      </c>
      <c r="I58" s="1144">
        <v>3886</v>
      </c>
      <c r="J58" s="1311">
        <v>3740</v>
      </c>
      <c r="K58" s="1849">
        <v>3577</v>
      </c>
      <c r="L58" s="2214">
        <v>3797</v>
      </c>
      <c r="M58" s="2214">
        <v>4717</v>
      </c>
    </row>
    <row r="59" spans="1:13" x14ac:dyDescent="0.3">
      <c r="A59" s="531" t="s">
        <v>136</v>
      </c>
      <c r="B59" s="532" t="s">
        <v>137</v>
      </c>
      <c r="C59" s="532" t="s">
        <v>254</v>
      </c>
      <c r="D59" s="533">
        <v>1954</v>
      </c>
      <c r="E59" s="533">
        <v>2038</v>
      </c>
      <c r="F59" s="533">
        <v>1988</v>
      </c>
      <c r="G59" s="533">
        <v>1965</v>
      </c>
      <c r="H59" s="533">
        <v>1983</v>
      </c>
      <c r="I59" s="1144">
        <v>2053</v>
      </c>
      <c r="J59" s="1311">
        <v>2016</v>
      </c>
      <c r="K59" s="1849">
        <v>1893</v>
      </c>
      <c r="L59" s="2214">
        <v>1989</v>
      </c>
      <c r="M59" s="2214">
        <v>2362</v>
      </c>
    </row>
    <row r="60" spans="1:13" x14ac:dyDescent="0.3">
      <c r="A60" s="531" t="s">
        <v>140</v>
      </c>
      <c r="B60" s="532" t="s">
        <v>141</v>
      </c>
      <c r="C60" s="532" t="s">
        <v>255</v>
      </c>
      <c r="D60" s="533">
        <v>1218</v>
      </c>
      <c r="E60" s="533">
        <v>1258</v>
      </c>
      <c r="F60" s="533">
        <v>1336</v>
      </c>
      <c r="G60" s="533">
        <v>1381</v>
      </c>
      <c r="H60" s="533">
        <v>1411</v>
      </c>
      <c r="I60" s="1144">
        <v>1462</v>
      </c>
      <c r="J60" s="1311">
        <v>1404</v>
      </c>
      <c r="K60" s="1849">
        <v>1317</v>
      </c>
      <c r="L60" s="2214">
        <v>1380</v>
      </c>
      <c r="M60" s="2214">
        <v>1685</v>
      </c>
    </row>
    <row r="61" spans="1:13" x14ac:dyDescent="0.3">
      <c r="A61" s="531" t="s">
        <v>146</v>
      </c>
      <c r="B61" s="532" t="s">
        <v>147</v>
      </c>
      <c r="C61" s="532" t="s">
        <v>252</v>
      </c>
      <c r="D61" s="533">
        <v>782</v>
      </c>
      <c r="E61" s="533">
        <v>777</v>
      </c>
      <c r="F61" s="533">
        <v>806</v>
      </c>
      <c r="G61" s="533">
        <v>805</v>
      </c>
      <c r="H61" s="533">
        <v>826</v>
      </c>
      <c r="I61" s="1144">
        <v>867</v>
      </c>
      <c r="J61" s="1311">
        <v>839</v>
      </c>
      <c r="K61" s="1849">
        <v>799</v>
      </c>
      <c r="L61" s="2214">
        <v>865</v>
      </c>
      <c r="M61" s="2214">
        <v>1107</v>
      </c>
    </row>
    <row r="62" spans="1:13" x14ac:dyDescent="0.3">
      <c r="A62" s="531" t="s">
        <v>148</v>
      </c>
      <c r="B62" s="532" t="s">
        <v>149</v>
      </c>
      <c r="C62" s="532" t="s">
        <v>253</v>
      </c>
      <c r="D62" s="533">
        <v>4728</v>
      </c>
      <c r="E62" s="533">
        <v>4901</v>
      </c>
      <c r="F62" s="533">
        <v>5089</v>
      </c>
      <c r="G62" s="533">
        <v>5094</v>
      </c>
      <c r="H62" s="533">
        <v>5111</v>
      </c>
      <c r="I62" s="1144">
        <v>5103</v>
      </c>
      <c r="J62" s="1311">
        <v>4814</v>
      </c>
      <c r="K62" s="1849">
        <v>4607</v>
      </c>
      <c r="L62" s="2214">
        <v>4731</v>
      </c>
      <c r="M62" s="2214">
        <v>5453</v>
      </c>
    </row>
    <row r="63" spans="1:13" x14ac:dyDescent="0.3">
      <c r="A63" s="531" t="s">
        <v>150</v>
      </c>
      <c r="B63" s="532" t="s">
        <v>151</v>
      </c>
      <c r="C63" s="532" t="s">
        <v>254</v>
      </c>
      <c r="D63" s="533">
        <v>1036</v>
      </c>
      <c r="E63" s="533">
        <v>1100</v>
      </c>
      <c r="F63" s="533">
        <v>1207</v>
      </c>
      <c r="G63" s="533">
        <v>1248</v>
      </c>
      <c r="H63" s="533">
        <v>1242</v>
      </c>
      <c r="I63" s="1144">
        <v>1329</v>
      </c>
      <c r="J63" s="1311">
        <v>1295</v>
      </c>
      <c r="K63" s="1849">
        <v>1282</v>
      </c>
      <c r="L63" s="2214">
        <v>1388</v>
      </c>
      <c r="M63" s="2214">
        <v>1674</v>
      </c>
    </row>
    <row r="64" spans="1:13" x14ac:dyDescent="0.3">
      <c r="A64" s="531" t="s">
        <v>152</v>
      </c>
      <c r="B64" s="532" t="s">
        <v>153</v>
      </c>
      <c r="C64" s="532" t="s">
        <v>256</v>
      </c>
      <c r="D64" s="533">
        <v>6206</v>
      </c>
      <c r="E64" s="533">
        <v>6377</v>
      </c>
      <c r="F64" s="533">
        <v>6590</v>
      </c>
      <c r="G64" s="533">
        <v>6641</v>
      </c>
      <c r="H64" s="533">
        <v>6657</v>
      </c>
      <c r="I64" s="1144">
        <v>6721</v>
      </c>
      <c r="J64" s="1311">
        <v>6478</v>
      </c>
      <c r="K64" s="1849">
        <v>6224</v>
      </c>
      <c r="L64" s="2214">
        <v>6491</v>
      </c>
      <c r="M64" s="2214">
        <v>7985</v>
      </c>
    </row>
    <row r="65" spans="1:13" x14ac:dyDescent="0.3">
      <c r="A65" s="531" t="s">
        <v>154</v>
      </c>
      <c r="B65" s="532" t="s">
        <v>155</v>
      </c>
      <c r="C65" s="532" t="s">
        <v>253</v>
      </c>
      <c r="D65" s="533">
        <v>1780</v>
      </c>
      <c r="E65" s="533">
        <v>1857</v>
      </c>
      <c r="F65" s="533">
        <v>1926</v>
      </c>
      <c r="G65" s="533">
        <v>1898</v>
      </c>
      <c r="H65" s="533">
        <v>1914</v>
      </c>
      <c r="I65" s="1144">
        <v>1970</v>
      </c>
      <c r="J65" s="1311">
        <v>1867</v>
      </c>
      <c r="K65" s="1849">
        <v>1751</v>
      </c>
      <c r="L65" s="2214">
        <v>1807</v>
      </c>
      <c r="M65" s="2214">
        <v>2094</v>
      </c>
    </row>
    <row r="66" spans="1:13" x14ac:dyDescent="0.3">
      <c r="A66" s="531" t="s">
        <v>156</v>
      </c>
      <c r="B66" s="532" t="s">
        <v>157</v>
      </c>
      <c r="C66" s="532" t="s">
        <v>254</v>
      </c>
      <c r="D66" s="533">
        <v>945</v>
      </c>
      <c r="E66" s="533">
        <v>972</v>
      </c>
      <c r="F66" s="533">
        <v>1039</v>
      </c>
      <c r="G66" s="533">
        <v>1073</v>
      </c>
      <c r="H66" s="533">
        <v>1089</v>
      </c>
      <c r="I66" s="1144">
        <v>1223</v>
      </c>
      <c r="J66" s="1311">
        <v>1226</v>
      </c>
      <c r="K66" s="1849">
        <v>1171</v>
      </c>
      <c r="L66" s="2214">
        <v>1256</v>
      </c>
      <c r="M66" s="2214">
        <v>1583</v>
      </c>
    </row>
    <row r="67" spans="1:13" x14ac:dyDescent="0.3">
      <c r="A67" s="531" t="s">
        <v>162</v>
      </c>
      <c r="B67" s="532" t="s">
        <v>163</v>
      </c>
      <c r="C67" s="532" t="s">
        <v>252</v>
      </c>
      <c r="D67" s="533">
        <v>2313</v>
      </c>
      <c r="E67" s="533">
        <v>2369</v>
      </c>
      <c r="F67" s="533">
        <v>2443</v>
      </c>
      <c r="G67" s="533">
        <v>2435</v>
      </c>
      <c r="H67" s="533">
        <v>2450</v>
      </c>
      <c r="I67" s="1144">
        <v>2410</v>
      </c>
      <c r="J67" s="1311">
        <v>2388</v>
      </c>
      <c r="K67" s="1849">
        <v>2327</v>
      </c>
      <c r="L67" s="2214">
        <v>2355</v>
      </c>
      <c r="M67" s="2214">
        <v>2722</v>
      </c>
    </row>
    <row r="68" spans="1:13" x14ac:dyDescent="0.3">
      <c r="A68" s="531" t="s">
        <v>164</v>
      </c>
      <c r="B68" s="532" t="s">
        <v>165</v>
      </c>
      <c r="C68" s="532" t="s">
        <v>254</v>
      </c>
      <c r="D68" s="533">
        <v>1300</v>
      </c>
      <c r="E68" s="533">
        <v>1332</v>
      </c>
      <c r="F68" s="533">
        <v>1409</v>
      </c>
      <c r="G68" s="533">
        <v>1464</v>
      </c>
      <c r="H68" s="533">
        <v>1451</v>
      </c>
      <c r="I68" s="1144">
        <v>1467</v>
      </c>
      <c r="J68" s="1311">
        <v>1431</v>
      </c>
      <c r="K68" s="1849">
        <v>1346</v>
      </c>
      <c r="L68" s="2214">
        <v>1409</v>
      </c>
      <c r="M68" s="2214">
        <v>1688</v>
      </c>
    </row>
    <row r="69" spans="1:13" x14ac:dyDescent="0.3">
      <c r="A69" s="531" t="s">
        <v>168</v>
      </c>
      <c r="B69" s="532" t="s">
        <v>169</v>
      </c>
      <c r="C69" s="532" t="s">
        <v>254</v>
      </c>
      <c r="D69" s="533">
        <v>2301</v>
      </c>
      <c r="E69" s="533">
        <v>2387</v>
      </c>
      <c r="F69" s="533">
        <v>2497</v>
      </c>
      <c r="G69" s="533">
        <v>2544</v>
      </c>
      <c r="H69" s="533">
        <v>2544</v>
      </c>
      <c r="I69" s="1144">
        <v>2577</v>
      </c>
      <c r="J69" s="1311">
        <v>2496</v>
      </c>
      <c r="K69" s="1849">
        <v>2448</v>
      </c>
      <c r="L69" s="2214">
        <v>2601</v>
      </c>
      <c r="M69" s="2214">
        <v>2957</v>
      </c>
    </row>
    <row r="70" spans="1:13" x14ac:dyDescent="0.3">
      <c r="A70" s="531" t="s">
        <v>170</v>
      </c>
      <c r="B70" s="532" t="s">
        <v>171</v>
      </c>
      <c r="C70" s="532" t="s">
        <v>255</v>
      </c>
      <c r="D70" s="533">
        <v>2741</v>
      </c>
      <c r="E70" s="533">
        <v>2880</v>
      </c>
      <c r="F70" s="533">
        <v>3035</v>
      </c>
      <c r="G70" s="533">
        <v>3145</v>
      </c>
      <c r="H70" s="533">
        <v>3300</v>
      </c>
      <c r="I70" s="1144">
        <v>3487</v>
      </c>
      <c r="J70" s="1311">
        <v>3445</v>
      </c>
      <c r="K70" s="1849">
        <v>3314</v>
      </c>
      <c r="L70" s="2214">
        <v>3713</v>
      </c>
      <c r="M70" s="2214">
        <v>4475</v>
      </c>
    </row>
    <row r="71" spans="1:13" x14ac:dyDescent="0.3">
      <c r="A71" s="531" t="s">
        <v>172</v>
      </c>
      <c r="B71" s="532" t="s">
        <v>173</v>
      </c>
      <c r="C71" s="532" t="s">
        <v>255</v>
      </c>
      <c r="D71" s="533">
        <v>3024</v>
      </c>
      <c r="E71" s="533">
        <v>3123</v>
      </c>
      <c r="F71" s="533">
        <v>3313</v>
      </c>
      <c r="G71" s="533">
        <v>3330</v>
      </c>
      <c r="H71" s="533">
        <v>3258</v>
      </c>
      <c r="I71" s="1144">
        <v>3313</v>
      </c>
      <c r="J71" s="1311">
        <v>3187</v>
      </c>
      <c r="K71" s="1849">
        <v>3079</v>
      </c>
      <c r="L71" s="2214">
        <v>3269</v>
      </c>
      <c r="M71" s="2214">
        <v>3962</v>
      </c>
    </row>
    <row r="72" spans="1:13" x14ac:dyDescent="0.3">
      <c r="A72" s="531" t="s">
        <v>174</v>
      </c>
      <c r="B72" s="532" t="s">
        <v>175</v>
      </c>
      <c r="C72" s="532" t="s">
        <v>256</v>
      </c>
      <c r="D72" s="533">
        <v>2746</v>
      </c>
      <c r="E72" s="533">
        <v>2818</v>
      </c>
      <c r="F72" s="533">
        <v>2961</v>
      </c>
      <c r="G72" s="533">
        <v>2989</v>
      </c>
      <c r="H72" s="533">
        <v>2966</v>
      </c>
      <c r="I72" s="1144">
        <v>2991</v>
      </c>
      <c r="J72" s="1311">
        <v>2819</v>
      </c>
      <c r="K72" s="1849">
        <v>2661</v>
      </c>
      <c r="L72" s="2214">
        <v>2724</v>
      </c>
      <c r="M72" s="2214">
        <v>3079</v>
      </c>
    </row>
    <row r="73" spans="1:13" x14ac:dyDescent="0.3">
      <c r="A73" s="531" t="s">
        <v>178</v>
      </c>
      <c r="B73" s="532" t="s">
        <v>179</v>
      </c>
      <c r="C73" s="532" t="s">
        <v>253</v>
      </c>
      <c r="D73" s="533">
        <v>8254</v>
      </c>
      <c r="E73" s="533">
        <v>8598</v>
      </c>
      <c r="F73" s="533">
        <v>8782</v>
      </c>
      <c r="G73" s="533">
        <v>8823</v>
      </c>
      <c r="H73" s="533">
        <v>9030</v>
      </c>
      <c r="I73" s="1144">
        <v>9229</v>
      </c>
      <c r="J73" s="1311">
        <v>8935</v>
      </c>
      <c r="K73" s="1849">
        <v>8736</v>
      </c>
      <c r="L73" s="2214">
        <v>9069</v>
      </c>
      <c r="M73" s="2214">
        <v>10619</v>
      </c>
    </row>
    <row r="74" spans="1:13" x14ac:dyDescent="0.3">
      <c r="A74" s="531" t="s">
        <v>182</v>
      </c>
      <c r="B74" s="532" t="s">
        <v>183</v>
      </c>
      <c r="C74" s="532" t="s">
        <v>254</v>
      </c>
      <c r="D74" s="533">
        <v>1185</v>
      </c>
      <c r="E74" s="533">
        <v>1284</v>
      </c>
      <c r="F74" s="533">
        <v>1393</v>
      </c>
      <c r="G74" s="533">
        <v>1402</v>
      </c>
      <c r="H74" s="533">
        <v>1391</v>
      </c>
      <c r="I74" s="1144">
        <v>1448</v>
      </c>
      <c r="J74" s="1311">
        <v>1443</v>
      </c>
      <c r="K74" s="1849">
        <v>1416</v>
      </c>
      <c r="L74" s="2214">
        <v>1488</v>
      </c>
      <c r="M74" s="2214">
        <v>1961</v>
      </c>
    </row>
    <row r="75" spans="1:13" x14ac:dyDescent="0.3">
      <c r="A75" s="531" t="s">
        <v>184</v>
      </c>
      <c r="B75" s="532" t="s">
        <v>185</v>
      </c>
      <c r="C75" s="532" t="s">
        <v>254</v>
      </c>
      <c r="D75" s="533">
        <v>2691</v>
      </c>
      <c r="E75" s="533">
        <v>2842</v>
      </c>
      <c r="F75" s="533">
        <v>2929</v>
      </c>
      <c r="G75" s="533">
        <v>2926</v>
      </c>
      <c r="H75" s="533">
        <v>3028</v>
      </c>
      <c r="I75" s="1144">
        <v>3078</v>
      </c>
      <c r="J75" s="1311">
        <v>3032</v>
      </c>
      <c r="K75" s="1849">
        <v>2852</v>
      </c>
      <c r="L75" s="2214">
        <v>3008</v>
      </c>
      <c r="M75" s="2214">
        <v>3440</v>
      </c>
    </row>
    <row r="76" spans="1:13" x14ac:dyDescent="0.3">
      <c r="A76" s="531" t="s">
        <v>186</v>
      </c>
      <c r="B76" s="532" t="s">
        <v>187</v>
      </c>
      <c r="C76" s="532" t="s">
        <v>252</v>
      </c>
      <c r="D76" s="533">
        <v>2063</v>
      </c>
      <c r="E76" s="533">
        <v>2200</v>
      </c>
      <c r="F76" s="533">
        <v>2322</v>
      </c>
      <c r="G76" s="533">
        <v>2383</v>
      </c>
      <c r="H76" s="533">
        <v>2518</v>
      </c>
      <c r="I76" s="1144">
        <v>2768</v>
      </c>
      <c r="J76" s="1311">
        <v>2860</v>
      </c>
      <c r="K76" s="1849">
        <v>2719</v>
      </c>
      <c r="L76" s="2214">
        <v>3011</v>
      </c>
      <c r="M76" s="2214">
        <v>3797</v>
      </c>
    </row>
    <row r="77" spans="1:13" x14ac:dyDescent="0.3">
      <c r="A77" s="531" t="s">
        <v>188</v>
      </c>
      <c r="B77" s="532" t="s">
        <v>189</v>
      </c>
      <c r="C77" s="532" t="s">
        <v>255</v>
      </c>
      <c r="D77" s="533">
        <v>24322</v>
      </c>
      <c r="E77" s="533">
        <v>26415</v>
      </c>
      <c r="F77" s="533">
        <v>28234</v>
      </c>
      <c r="G77" s="533">
        <v>29694</v>
      </c>
      <c r="H77" s="533">
        <v>29589</v>
      </c>
      <c r="I77" s="1144">
        <v>31604</v>
      </c>
      <c r="J77" s="1311">
        <v>32484</v>
      </c>
      <c r="K77" s="1849">
        <v>33119</v>
      </c>
      <c r="L77" s="2214">
        <v>35049</v>
      </c>
      <c r="M77" s="2214">
        <v>41374</v>
      </c>
    </row>
    <row r="78" spans="1:13" x14ac:dyDescent="0.3">
      <c r="A78" s="531" t="s">
        <v>190</v>
      </c>
      <c r="B78" s="532" t="s">
        <v>191</v>
      </c>
      <c r="C78" s="532" t="s">
        <v>256</v>
      </c>
      <c r="D78" s="533">
        <v>4634</v>
      </c>
      <c r="E78" s="533">
        <v>4854</v>
      </c>
      <c r="F78" s="533">
        <v>5070</v>
      </c>
      <c r="G78" s="533">
        <v>5275</v>
      </c>
      <c r="H78" s="533">
        <v>5242</v>
      </c>
      <c r="I78" s="1144">
        <v>5193</v>
      </c>
      <c r="J78" s="1311">
        <v>5097</v>
      </c>
      <c r="K78" s="1849">
        <v>4790</v>
      </c>
      <c r="L78" s="2214">
        <v>5052</v>
      </c>
      <c r="M78" s="2214">
        <v>5815</v>
      </c>
    </row>
    <row r="79" spans="1:13" x14ac:dyDescent="0.3">
      <c r="A79" s="531" t="s">
        <v>194</v>
      </c>
      <c r="B79" s="532" t="s">
        <v>195</v>
      </c>
      <c r="C79" s="532" t="s">
        <v>255</v>
      </c>
      <c r="D79" s="533">
        <v>496</v>
      </c>
      <c r="E79" s="533">
        <v>547</v>
      </c>
      <c r="F79" s="533">
        <v>603</v>
      </c>
      <c r="G79" s="533">
        <v>605</v>
      </c>
      <c r="H79" s="533">
        <v>582</v>
      </c>
      <c r="I79" s="1144">
        <v>601</v>
      </c>
      <c r="J79" s="1311">
        <v>570</v>
      </c>
      <c r="K79" s="1849">
        <v>532</v>
      </c>
      <c r="L79" s="2214">
        <v>568</v>
      </c>
      <c r="M79" s="2214">
        <v>724</v>
      </c>
    </row>
    <row r="80" spans="1:13" x14ac:dyDescent="0.3">
      <c r="A80" s="531" t="s">
        <v>198</v>
      </c>
      <c r="B80" s="532" t="s">
        <v>260</v>
      </c>
      <c r="C80" s="532" t="s">
        <v>254</v>
      </c>
      <c r="D80" s="533">
        <v>1053</v>
      </c>
      <c r="E80" s="533">
        <v>1105</v>
      </c>
      <c r="F80" s="533">
        <v>1127</v>
      </c>
      <c r="G80" s="533">
        <v>1162</v>
      </c>
      <c r="H80" s="533">
        <v>1186</v>
      </c>
      <c r="I80" s="1144">
        <v>1272</v>
      </c>
      <c r="J80" s="1311">
        <v>1252</v>
      </c>
      <c r="K80" s="1849">
        <v>1167</v>
      </c>
      <c r="L80" s="2214">
        <v>1223</v>
      </c>
      <c r="M80" s="2214">
        <v>1459</v>
      </c>
    </row>
    <row r="81" spans="1:13" x14ac:dyDescent="0.3">
      <c r="A81" s="531" t="s">
        <v>202</v>
      </c>
      <c r="B81" s="532" t="s">
        <v>289</v>
      </c>
      <c r="C81" s="532" t="s">
        <v>253</v>
      </c>
      <c r="D81" s="533">
        <v>7505</v>
      </c>
      <c r="E81" s="533">
        <v>7998</v>
      </c>
      <c r="F81" s="533">
        <v>8375</v>
      </c>
      <c r="G81" s="533">
        <v>8691</v>
      </c>
      <c r="H81" s="533">
        <v>8688</v>
      </c>
      <c r="I81" s="1144">
        <v>8981</v>
      </c>
      <c r="J81" s="1311">
        <v>8746</v>
      </c>
      <c r="K81" s="1849">
        <v>8670</v>
      </c>
      <c r="L81" s="2214">
        <v>9470</v>
      </c>
      <c r="M81" s="2214">
        <v>11456</v>
      </c>
    </row>
    <row r="82" spans="1:13" x14ac:dyDescent="0.3">
      <c r="A82" s="531" t="s">
        <v>204</v>
      </c>
      <c r="B82" s="532" t="s">
        <v>281</v>
      </c>
      <c r="C82" s="532" t="s">
        <v>253</v>
      </c>
      <c r="D82" s="533">
        <v>3552</v>
      </c>
      <c r="E82" s="533">
        <v>3688</v>
      </c>
      <c r="F82" s="533">
        <v>3857</v>
      </c>
      <c r="G82" s="533">
        <v>3950</v>
      </c>
      <c r="H82" s="533">
        <v>4011</v>
      </c>
      <c r="I82" s="1144">
        <v>4090</v>
      </c>
      <c r="J82" s="1311">
        <v>3923</v>
      </c>
      <c r="K82" s="1849">
        <v>3796</v>
      </c>
      <c r="L82" s="2214">
        <v>3891</v>
      </c>
      <c r="M82" s="2214">
        <v>4683</v>
      </c>
    </row>
    <row r="83" spans="1:13" x14ac:dyDescent="0.3">
      <c r="A83" s="531" t="s">
        <v>206</v>
      </c>
      <c r="B83" s="532" t="s">
        <v>282</v>
      </c>
      <c r="C83" s="532" t="s">
        <v>255</v>
      </c>
      <c r="D83" s="533">
        <v>9549</v>
      </c>
      <c r="E83" s="533">
        <v>9950</v>
      </c>
      <c r="F83" s="533">
        <v>10400</v>
      </c>
      <c r="G83" s="533">
        <v>10836</v>
      </c>
      <c r="H83" s="533">
        <v>10695</v>
      </c>
      <c r="I83" s="1144">
        <v>10929</v>
      </c>
      <c r="J83" s="1311">
        <v>10736</v>
      </c>
      <c r="K83" s="1849">
        <v>11066</v>
      </c>
      <c r="L83" s="2214">
        <v>11391</v>
      </c>
      <c r="M83" s="2214">
        <v>13899</v>
      </c>
    </row>
    <row r="84" spans="1:13" x14ac:dyDescent="0.3">
      <c r="A84" s="531" t="s">
        <v>208</v>
      </c>
      <c r="B84" s="532" t="s">
        <v>209</v>
      </c>
      <c r="C84" s="532" t="s">
        <v>256</v>
      </c>
      <c r="D84" s="533">
        <v>5194</v>
      </c>
      <c r="E84" s="533">
        <v>5231</v>
      </c>
      <c r="F84" s="533">
        <v>5221</v>
      </c>
      <c r="G84" s="533">
        <v>5260</v>
      </c>
      <c r="H84" s="533">
        <v>5299</v>
      </c>
      <c r="I84" s="1144">
        <v>5315</v>
      </c>
      <c r="J84" s="1311">
        <v>5346</v>
      </c>
      <c r="K84" s="1849">
        <v>5026</v>
      </c>
      <c r="L84" s="2214">
        <v>5125</v>
      </c>
      <c r="M84" s="2214">
        <v>5813</v>
      </c>
    </row>
    <row r="85" spans="1:13" x14ac:dyDescent="0.3">
      <c r="A85" s="531" t="s">
        <v>210</v>
      </c>
      <c r="B85" s="532" t="s">
        <v>211</v>
      </c>
      <c r="C85" s="532" t="s">
        <v>256</v>
      </c>
      <c r="D85" s="533">
        <v>3783</v>
      </c>
      <c r="E85" s="533">
        <v>3903</v>
      </c>
      <c r="F85" s="533">
        <v>4008</v>
      </c>
      <c r="G85" s="533">
        <v>4087</v>
      </c>
      <c r="H85" s="533">
        <v>4056</v>
      </c>
      <c r="I85" s="1144">
        <v>4008</v>
      </c>
      <c r="J85" s="1311">
        <v>3742</v>
      </c>
      <c r="K85" s="1849">
        <v>3687</v>
      </c>
      <c r="L85" s="2214">
        <v>3738</v>
      </c>
      <c r="M85" s="2214">
        <v>4268</v>
      </c>
    </row>
    <row r="86" spans="1:13" x14ac:dyDescent="0.3">
      <c r="A86" s="531" t="s">
        <v>212</v>
      </c>
      <c r="B86" s="532" t="s">
        <v>213</v>
      </c>
      <c r="C86" s="532" t="s">
        <v>255</v>
      </c>
      <c r="D86" s="533">
        <v>3754</v>
      </c>
      <c r="E86" s="533">
        <v>3980</v>
      </c>
      <c r="F86" s="533">
        <v>4237</v>
      </c>
      <c r="G86" s="533">
        <v>4430</v>
      </c>
      <c r="H86" s="533">
        <v>4394</v>
      </c>
      <c r="I86" s="1144">
        <v>4469</v>
      </c>
      <c r="J86" s="1311">
        <v>4572</v>
      </c>
      <c r="K86" s="1849">
        <v>4474</v>
      </c>
      <c r="L86" s="2214">
        <v>4712</v>
      </c>
      <c r="M86" s="2214">
        <v>5524</v>
      </c>
    </row>
    <row r="87" spans="1:13" x14ac:dyDescent="0.3">
      <c r="A87" s="531" t="s">
        <v>214</v>
      </c>
      <c r="B87" s="532" t="s">
        <v>215</v>
      </c>
      <c r="C87" s="532" t="s">
        <v>256</v>
      </c>
      <c r="D87" s="533">
        <v>5150</v>
      </c>
      <c r="E87" s="533">
        <v>5368</v>
      </c>
      <c r="F87" s="533">
        <v>5554</v>
      </c>
      <c r="G87" s="533">
        <v>5745</v>
      </c>
      <c r="H87" s="533">
        <v>5555</v>
      </c>
      <c r="I87" s="1144">
        <v>5559</v>
      </c>
      <c r="J87" s="1311">
        <v>5410</v>
      </c>
      <c r="K87" s="1849">
        <v>5073</v>
      </c>
      <c r="L87" s="2214">
        <v>5423</v>
      </c>
      <c r="M87" s="2214">
        <v>6358</v>
      </c>
    </row>
    <row r="88" spans="1:13" x14ac:dyDescent="0.3">
      <c r="A88" s="531" t="s">
        <v>216</v>
      </c>
      <c r="B88" s="532" t="s">
        <v>217</v>
      </c>
      <c r="C88" s="532" t="s">
        <v>252</v>
      </c>
      <c r="D88" s="533">
        <v>2217</v>
      </c>
      <c r="E88" s="533">
        <v>2257</v>
      </c>
      <c r="F88" s="533">
        <v>2332</v>
      </c>
      <c r="G88" s="533">
        <v>2358</v>
      </c>
      <c r="H88" s="533">
        <v>2358</v>
      </c>
      <c r="I88" s="1144">
        <v>2365</v>
      </c>
      <c r="J88" s="1311">
        <v>2371</v>
      </c>
      <c r="K88" s="1849">
        <v>2292</v>
      </c>
      <c r="L88" s="2214">
        <v>2417</v>
      </c>
      <c r="M88" s="2214">
        <v>2847</v>
      </c>
    </row>
    <row r="89" spans="1:13" x14ac:dyDescent="0.3">
      <c r="A89" s="531" t="s">
        <v>218</v>
      </c>
      <c r="B89" s="532" t="s">
        <v>219</v>
      </c>
      <c r="C89" s="532" t="s">
        <v>255</v>
      </c>
      <c r="D89" s="533">
        <v>7987</v>
      </c>
      <c r="E89" s="533">
        <v>8714</v>
      </c>
      <c r="F89" s="533">
        <v>9101</v>
      </c>
      <c r="G89" s="533">
        <v>9774</v>
      </c>
      <c r="H89" s="533">
        <v>10047</v>
      </c>
      <c r="I89" s="1144">
        <v>10895</v>
      </c>
      <c r="J89" s="1311">
        <v>11162</v>
      </c>
      <c r="K89" s="1849">
        <v>10838</v>
      </c>
      <c r="L89" s="2214">
        <v>12070</v>
      </c>
      <c r="M89" s="2214">
        <v>14562</v>
      </c>
    </row>
    <row r="90" spans="1:13" x14ac:dyDescent="0.3">
      <c r="A90" s="531" t="s">
        <v>220</v>
      </c>
      <c r="B90" s="532" t="s">
        <v>221</v>
      </c>
      <c r="C90" s="532" t="s">
        <v>255</v>
      </c>
      <c r="D90" s="533">
        <v>6610</v>
      </c>
      <c r="E90" s="533">
        <v>7061</v>
      </c>
      <c r="F90" s="533">
        <v>7544</v>
      </c>
      <c r="G90" s="533">
        <v>7902</v>
      </c>
      <c r="H90" s="533">
        <v>8063</v>
      </c>
      <c r="I90" s="1144">
        <v>8814</v>
      </c>
      <c r="J90" s="1311">
        <v>9320</v>
      </c>
      <c r="K90" s="1849">
        <v>8921</v>
      </c>
      <c r="L90" s="2214">
        <v>9862</v>
      </c>
      <c r="M90" s="2214">
        <v>12196</v>
      </c>
    </row>
    <row r="91" spans="1:13" x14ac:dyDescent="0.3">
      <c r="A91" s="531" t="s">
        <v>224</v>
      </c>
      <c r="B91" s="532" t="s">
        <v>225</v>
      </c>
      <c r="C91" s="532" t="s">
        <v>252</v>
      </c>
      <c r="D91" s="533">
        <v>792</v>
      </c>
      <c r="E91" s="533">
        <v>814</v>
      </c>
      <c r="F91" s="533">
        <v>823</v>
      </c>
      <c r="G91" s="533">
        <v>858</v>
      </c>
      <c r="H91" s="533">
        <v>864</v>
      </c>
      <c r="I91" s="1144">
        <v>869</v>
      </c>
      <c r="J91" s="1311">
        <v>859</v>
      </c>
      <c r="K91" s="1849">
        <v>797</v>
      </c>
      <c r="L91" s="2214">
        <v>826</v>
      </c>
      <c r="M91" s="2214">
        <v>983</v>
      </c>
    </row>
    <row r="92" spans="1:13" x14ac:dyDescent="0.3">
      <c r="A92" s="531" t="s">
        <v>226</v>
      </c>
      <c r="B92" s="532" t="s">
        <v>227</v>
      </c>
      <c r="C92" s="532" t="s">
        <v>252</v>
      </c>
      <c r="D92" s="533">
        <v>1492</v>
      </c>
      <c r="E92" s="533">
        <v>1481</v>
      </c>
      <c r="F92" s="533">
        <v>1529</v>
      </c>
      <c r="G92" s="533">
        <v>1590</v>
      </c>
      <c r="H92" s="533">
        <v>1580</v>
      </c>
      <c r="I92" s="1144">
        <v>1596</v>
      </c>
      <c r="J92" s="1311">
        <v>1556</v>
      </c>
      <c r="K92" s="1849">
        <v>1478</v>
      </c>
      <c r="L92" s="2214">
        <v>1532</v>
      </c>
      <c r="M92" s="2214">
        <v>1884</v>
      </c>
    </row>
    <row r="93" spans="1:13" x14ac:dyDescent="0.3">
      <c r="A93" s="531" t="s">
        <v>228</v>
      </c>
      <c r="B93" s="532" t="s">
        <v>229</v>
      </c>
      <c r="C93" s="532" t="s">
        <v>256</v>
      </c>
      <c r="D93" s="533">
        <v>7185</v>
      </c>
      <c r="E93" s="533">
        <v>7265</v>
      </c>
      <c r="F93" s="533">
        <v>7354</v>
      </c>
      <c r="G93" s="533">
        <v>7538</v>
      </c>
      <c r="H93" s="533">
        <v>7460</v>
      </c>
      <c r="I93" s="1144">
        <v>7469</v>
      </c>
      <c r="J93" s="1311">
        <v>7527</v>
      </c>
      <c r="K93" s="1849">
        <v>7333</v>
      </c>
      <c r="L93" s="2214">
        <v>7392</v>
      </c>
      <c r="M93" s="2214">
        <v>8513</v>
      </c>
    </row>
    <row r="94" spans="1:13" x14ac:dyDescent="0.3">
      <c r="A94" s="531" t="s">
        <v>232</v>
      </c>
      <c r="B94" s="532" t="s">
        <v>233</v>
      </c>
      <c r="C94" s="532" t="s">
        <v>255</v>
      </c>
      <c r="D94" s="533">
        <v>3307</v>
      </c>
      <c r="E94" s="533">
        <v>3552</v>
      </c>
      <c r="F94" s="533">
        <v>3749</v>
      </c>
      <c r="G94" s="533">
        <v>3974</v>
      </c>
      <c r="H94" s="533">
        <v>4010</v>
      </c>
      <c r="I94" s="1144">
        <v>4164</v>
      </c>
      <c r="J94" s="1311">
        <v>4132</v>
      </c>
      <c r="K94" s="1849">
        <v>3971</v>
      </c>
      <c r="L94" s="2214">
        <v>4167</v>
      </c>
      <c r="M94" s="2214">
        <v>4905</v>
      </c>
    </row>
    <row r="95" spans="1:13" x14ac:dyDescent="0.3">
      <c r="A95" s="531" t="s">
        <v>234</v>
      </c>
      <c r="B95" s="532" t="s">
        <v>235</v>
      </c>
      <c r="C95" s="532" t="s">
        <v>256</v>
      </c>
      <c r="D95" s="533">
        <v>6570</v>
      </c>
      <c r="E95" s="533">
        <v>6762</v>
      </c>
      <c r="F95" s="533">
        <v>7025</v>
      </c>
      <c r="G95" s="533">
        <v>7350</v>
      </c>
      <c r="H95" s="533">
        <v>7409</v>
      </c>
      <c r="I95" s="1144">
        <v>7383</v>
      </c>
      <c r="J95" s="1311">
        <v>7113</v>
      </c>
      <c r="K95" s="1849">
        <v>6730</v>
      </c>
      <c r="L95" s="2214">
        <v>7053</v>
      </c>
      <c r="M95" s="2214">
        <v>8182</v>
      </c>
    </row>
    <row r="96" spans="1:13" x14ac:dyDescent="0.3">
      <c r="A96" s="531" t="s">
        <v>236</v>
      </c>
      <c r="B96" s="532" t="s">
        <v>237</v>
      </c>
      <c r="C96" s="532" t="s">
        <v>254</v>
      </c>
      <c r="D96" s="533">
        <v>2231</v>
      </c>
      <c r="E96" s="533">
        <v>2372</v>
      </c>
      <c r="F96" s="533">
        <v>2447</v>
      </c>
      <c r="G96" s="533">
        <v>2509</v>
      </c>
      <c r="H96" s="533">
        <v>2476</v>
      </c>
      <c r="I96" s="1144">
        <v>2580</v>
      </c>
      <c r="J96" s="1311">
        <v>2508</v>
      </c>
      <c r="K96" s="1849">
        <v>2358</v>
      </c>
      <c r="L96" s="2214">
        <v>2591</v>
      </c>
      <c r="M96" s="2214">
        <v>3096</v>
      </c>
    </row>
    <row r="97" spans="1:13" x14ac:dyDescent="0.3">
      <c r="A97" s="531" t="s">
        <v>242</v>
      </c>
      <c r="B97" s="532" t="s">
        <v>243</v>
      </c>
      <c r="C97" s="532" t="s">
        <v>256</v>
      </c>
      <c r="D97" s="533">
        <v>7743</v>
      </c>
      <c r="E97" s="533">
        <v>7822</v>
      </c>
      <c r="F97" s="533">
        <v>8027</v>
      </c>
      <c r="G97" s="533">
        <v>8285</v>
      </c>
      <c r="H97" s="533">
        <v>8240</v>
      </c>
      <c r="I97" s="1144">
        <v>8016</v>
      </c>
      <c r="J97" s="1311">
        <v>7607</v>
      </c>
      <c r="K97" s="1849">
        <v>7404</v>
      </c>
      <c r="L97" s="2214">
        <v>7414</v>
      </c>
      <c r="M97" s="2214">
        <v>8645</v>
      </c>
    </row>
    <row r="98" spans="1:13" x14ac:dyDescent="0.3">
      <c r="A98" s="531" t="s">
        <v>244</v>
      </c>
      <c r="B98" s="532" t="s">
        <v>245</v>
      </c>
      <c r="C98" s="532" t="s">
        <v>256</v>
      </c>
      <c r="D98" s="533">
        <v>4009</v>
      </c>
      <c r="E98" s="533">
        <v>4170</v>
      </c>
      <c r="F98" s="533">
        <v>4360</v>
      </c>
      <c r="G98" s="533">
        <v>4454</v>
      </c>
      <c r="H98" s="533">
        <v>4375</v>
      </c>
      <c r="I98" s="1144">
        <v>4359</v>
      </c>
      <c r="J98" s="1311">
        <v>4160</v>
      </c>
      <c r="K98" s="1849">
        <v>3953</v>
      </c>
      <c r="L98" s="2214">
        <v>4201</v>
      </c>
      <c r="M98" s="2214">
        <v>5073</v>
      </c>
    </row>
    <row r="99" spans="1:13" x14ac:dyDescent="0.3">
      <c r="A99" s="531" t="s">
        <v>246</v>
      </c>
      <c r="B99" s="532" t="s">
        <v>247</v>
      </c>
      <c r="C99" s="532" t="s">
        <v>252</v>
      </c>
      <c r="D99" s="533">
        <v>2659</v>
      </c>
      <c r="E99" s="533">
        <v>2963</v>
      </c>
      <c r="F99" s="533">
        <v>3166</v>
      </c>
      <c r="G99" s="533">
        <v>3265</v>
      </c>
      <c r="H99" s="533">
        <v>3276</v>
      </c>
      <c r="I99" s="1144">
        <v>3438</v>
      </c>
      <c r="J99" s="1311">
        <v>3377</v>
      </c>
      <c r="K99" s="1849">
        <v>3200</v>
      </c>
      <c r="L99" s="2214">
        <v>3587</v>
      </c>
      <c r="M99" s="2214">
        <v>4569</v>
      </c>
    </row>
    <row r="100" spans="1:13" x14ac:dyDescent="0.3">
      <c r="A100" s="531" t="s">
        <v>14</v>
      </c>
      <c r="B100" s="532" t="s">
        <v>15</v>
      </c>
      <c r="C100" s="532" t="s">
        <v>255</v>
      </c>
      <c r="D100" s="533">
        <v>9020</v>
      </c>
      <c r="E100" s="533">
        <v>9366</v>
      </c>
      <c r="F100" s="533">
        <v>9571</v>
      </c>
      <c r="G100" s="533">
        <v>10035</v>
      </c>
      <c r="H100" s="533">
        <v>10060</v>
      </c>
      <c r="I100" s="1144">
        <v>10921</v>
      </c>
      <c r="J100" s="1311">
        <v>11117</v>
      </c>
      <c r="K100" s="1849">
        <v>11275</v>
      </c>
      <c r="L100" s="2214">
        <v>12178</v>
      </c>
      <c r="M100" s="2214">
        <v>14324</v>
      </c>
    </row>
    <row r="101" spans="1:13" x14ac:dyDescent="0.3">
      <c r="A101" s="531" t="s">
        <v>34</v>
      </c>
      <c r="B101" s="532" t="s">
        <v>35</v>
      </c>
      <c r="C101" s="532" t="s">
        <v>256</v>
      </c>
      <c r="D101" s="533">
        <v>3384</v>
      </c>
      <c r="E101" s="533">
        <v>3518</v>
      </c>
      <c r="F101" s="533">
        <v>3655</v>
      </c>
      <c r="G101" s="533">
        <v>3873</v>
      </c>
      <c r="H101" s="533">
        <v>3680</v>
      </c>
      <c r="I101" s="1144">
        <v>3507</v>
      </c>
      <c r="J101" s="1311">
        <v>3323</v>
      </c>
      <c r="K101" s="1849">
        <v>3303</v>
      </c>
      <c r="L101" s="2214">
        <v>3555</v>
      </c>
      <c r="M101" s="2214">
        <v>4220</v>
      </c>
    </row>
    <row r="102" spans="1:13" x14ac:dyDescent="0.3">
      <c r="A102" s="531" t="s">
        <v>52</v>
      </c>
      <c r="B102" s="532" t="s">
        <v>53</v>
      </c>
      <c r="C102" s="532" t="s">
        <v>253</v>
      </c>
      <c r="D102" s="533">
        <v>4421</v>
      </c>
      <c r="E102" s="533">
        <v>4478</v>
      </c>
      <c r="F102" s="533">
        <v>4625</v>
      </c>
      <c r="G102" s="533">
        <v>4740</v>
      </c>
      <c r="H102" s="533">
        <v>4491</v>
      </c>
      <c r="I102" s="1144">
        <v>4493</v>
      </c>
      <c r="J102" s="1311">
        <v>4500</v>
      </c>
      <c r="K102" s="1849">
        <v>4256</v>
      </c>
      <c r="L102" s="2214">
        <v>4427</v>
      </c>
      <c r="M102" s="2214">
        <v>5385</v>
      </c>
    </row>
    <row r="103" spans="1:13" x14ac:dyDescent="0.3">
      <c r="A103" s="531" t="s">
        <v>54</v>
      </c>
      <c r="B103" s="532" t="s">
        <v>55</v>
      </c>
      <c r="C103" s="532" t="s">
        <v>252</v>
      </c>
      <c r="D103" s="533">
        <v>16177</v>
      </c>
      <c r="E103" s="533">
        <v>16927</v>
      </c>
      <c r="F103" s="533">
        <v>17786</v>
      </c>
      <c r="G103" s="533">
        <v>18620</v>
      </c>
      <c r="H103" s="533">
        <v>18933</v>
      </c>
      <c r="I103" s="1144">
        <v>19619</v>
      </c>
      <c r="J103" s="1311">
        <v>20092</v>
      </c>
      <c r="K103" s="1849">
        <v>20324</v>
      </c>
      <c r="L103" s="2214">
        <v>21943</v>
      </c>
      <c r="M103" s="2214">
        <v>26244</v>
      </c>
    </row>
    <row r="104" spans="1:13" x14ac:dyDescent="0.3">
      <c r="A104" s="531" t="s">
        <v>66</v>
      </c>
      <c r="B104" s="532" t="s">
        <v>67</v>
      </c>
      <c r="C104" s="532" t="s">
        <v>253</v>
      </c>
      <c r="D104" s="533">
        <v>8553</v>
      </c>
      <c r="E104" s="533">
        <v>8802</v>
      </c>
      <c r="F104" s="533">
        <v>9147</v>
      </c>
      <c r="G104" s="533">
        <v>9438</v>
      </c>
      <c r="H104" s="533">
        <v>9537</v>
      </c>
      <c r="I104" s="1144">
        <v>9683</v>
      </c>
      <c r="J104" s="1311">
        <v>9577</v>
      </c>
      <c r="K104" s="1849">
        <v>9684</v>
      </c>
      <c r="L104" s="2214">
        <v>10211</v>
      </c>
      <c r="M104" s="2214">
        <v>12056</v>
      </c>
    </row>
    <row r="105" spans="1:13" x14ac:dyDescent="0.3">
      <c r="A105" s="531" t="s">
        <v>82</v>
      </c>
      <c r="B105" s="532" t="s">
        <v>83</v>
      </c>
      <c r="C105" s="532" t="s">
        <v>252</v>
      </c>
      <c r="D105" s="533">
        <v>1645</v>
      </c>
      <c r="E105" s="533">
        <v>1766</v>
      </c>
      <c r="F105" s="533">
        <v>1877</v>
      </c>
      <c r="G105" s="533">
        <v>1935</v>
      </c>
      <c r="H105" s="533">
        <v>1919</v>
      </c>
      <c r="I105" s="1144">
        <v>1917</v>
      </c>
      <c r="J105" s="1311">
        <v>1872</v>
      </c>
      <c r="K105" s="1849">
        <v>1811</v>
      </c>
      <c r="L105" s="2214">
        <v>2001</v>
      </c>
      <c r="M105" s="2214">
        <v>2203</v>
      </c>
    </row>
    <row r="106" spans="1:13" x14ac:dyDescent="0.3">
      <c r="A106" s="531" t="s">
        <v>88</v>
      </c>
      <c r="B106" s="532" t="s">
        <v>89</v>
      </c>
      <c r="C106" s="532" t="s">
        <v>255</v>
      </c>
      <c r="D106" s="533">
        <v>2940</v>
      </c>
      <c r="E106" s="533">
        <v>3139</v>
      </c>
      <c r="F106" s="533">
        <v>3394</v>
      </c>
      <c r="G106" s="533">
        <v>3542</v>
      </c>
      <c r="H106" s="533">
        <v>3643</v>
      </c>
      <c r="I106" s="1144">
        <v>3803</v>
      </c>
      <c r="J106" s="1311">
        <v>3478</v>
      </c>
      <c r="K106" s="1849">
        <v>3348</v>
      </c>
      <c r="L106" s="2214">
        <v>3867</v>
      </c>
      <c r="M106" s="2214">
        <v>4807</v>
      </c>
    </row>
    <row r="107" spans="1:13" x14ac:dyDescent="0.3">
      <c r="A107" s="531" t="s">
        <v>90</v>
      </c>
      <c r="B107" s="532" t="s">
        <v>91</v>
      </c>
      <c r="C107" s="532" t="s">
        <v>256</v>
      </c>
      <c r="D107" s="533">
        <v>1624</v>
      </c>
      <c r="E107" s="533">
        <v>1595</v>
      </c>
      <c r="F107" s="533">
        <v>1605</v>
      </c>
      <c r="G107" s="533">
        <v>1607</v>
      </c>
      <c r="H107" s="533">
        <v>1648</v>
      </c>
      <c r="I107" s="1144">
        <v>1636</v>
      </c>
      <c r="J107" s="1311">
        <v>1538</v>
      </c>
      <c r="K107" s="1849">
        <v>1436</v>
      </c>
      <c r="L107" s="2214">
        <v>1557</v>
      </c>
      <c r="M107" s="2214">
        <v>1859</v>
      </c>
    </row>
    <row r="108" spans="1:13" x14ac:dyDescent="0.3">
      <c r="A108" s="531" t="s">
        <v>106</v>
      </c>
      <c r="B108" s="532" t="s">
        <v>107</v>
      </c>
      <c r="C108" s="532" t="s">
        <v>252</v>
      </c>
      <c r="D108" s="533">
        <v>13848</v>
      </c>
      <c r="E108" s="533">
        <v>14776</v>
      </c>
      <c r="F108" s="533">
        <v>15610</v>
      </c>
      <c r="G108" s="533">
        <v>16414</v>
      </c>
      <c r="H108" s="533">
        <v>16811</v>
      </c>
      <c r="I108" s="1144">
        <v>17596</v>
      </c>
      <c r="J108" s="1311">
        <v>16837</v>
      </c>
      <c r="K108" s="1849">
        <v>16010</v>
      </c>
      <c r="L108" s="2214">
        <v>16909</v>
      </c>
      <c r="M108" s="2214">
        <v>20788</v>
      </c>
    </row>
    <row r="109" spans="1:13" x14ac:dyDescent="0.3">
      <c r="A109" s="531" t="s">
        <v>116</v>
      </c>
      <c r="B109" s="532" t="s">
        <v>117</v>
      </c>
      <c r="C109" s="532" t="s">
        <v>254</v>
      </c>
      <c r="D109" s="533">
        <v>3784</v>
      </c>
      <c r="E109" s="533">
        <v>3948</v>
      </c>
      <c r="F109" s="533">
        <v>4156</v>
      </c>
      <c r="G109" s="533">
        <v>4351</v>
      </c>
      <c r="H109" s="533">
        <v>4447</v>
      </c>
      <c r="I109" s="1144">
        <v>4723</v>
      </c>
      <c r="J109" s="1311">
        <v>4595</v>
      </c>
      <c r="K109" s="1849">
        <v>4374</v>
      </c>
      <c r="L109" s="2214">
        <v>4961</v>
      </c>
      <c r="M109" s="2214">
        <v>6014</v>
      </c>
    </row>
    <row r="110" spans="1:13" x14ac:dyDescent="0.3">
      <c r="A110" s="531" t="s">
        <v>138</v>
      </c>
      <c r="B110" s="532" t="s">
        <v>139</v>
      </c>
      <c r="C110" s="532" t="s">
        <v>253</v>
      </c>
      <c r="D110" s="533">
        <v>9414</v>
      </c>
      <c r="E110" s="533">
        <v>9878</v>
      </c>
      <c r="F110" s="533">
        <v>10536</v>
      </c>
      <c r="G110" s="533">
        <v>10929</v>
      </c>
      <c r="H110" s="533">
        <v>11083</v>
      </c>
      <c r="I110" s="1144">
        <v>11419</v>
      </c>
      <c r="J110" s="1311">
        <v>10998</v>
      </c>
      <c r="K110" s="1849">
        <v>9915</v>
      </c>
      <c r="L110" s="2214">
        <v>10466</v>
      </c>
      <c r="M110" s="2214">
        <v>12506</v>
      </c>
    </row>
    <row r="111" spans="1:13" x14ac:dyDescent="0.3">
      <c r="A111" s="531" t="s">
        <v>142</v>
      </c>
      <c r="B111" s="532" t="s">
        <v>143</v>
      </c>
      <c r="C111" s="532" t="s">
        <v>255</v>
      </c>
      <c r="D111" s="533">
        <v>3609</v>
      </c>
      <c r="E111" s="533">
        <v>3750</v>
      </c>
      <c r="F111" s="533">
        <v>3878</v>
      </c>
      <c r="G111" s="533">
        <v>4054</v>
      </c>
      <c r="H111" s="533">
        <v>4215</v>
      </c>
      <c r="I111" s="1144">
        <v>4432</v>
      </c>
      <c r="J111" s="1311">
        <v>4411</v>
      </c>
      <c r="K111" s="1849">
        <v>4249</v>
      </c>
      <c r="L111" s="2214">
        <v>4672</v>
      </c>
      <c r="M111" s="2214">
        <v>5304</v>
      </c>
    </row>
    <row r="112" spans="1:13" x14ac:dyDescent="0.3">
      <c r="A112" s="531" t="s">
        <v>144</v>
      </c>
      <c r="B112" s="532" t="s">
        <v>145</v>
      </c>
      <c r="C112" s="532" t="s">
        <v>255</v>
      </c>
      <c r="D112" s="533">
        <v>1268</v>
      </c>
      <c r="E112" s="533">
        <v>1326</v>
      </c>
      <c r="F112" s="533">
        <v>1330</v>
      </c>
      <c r="G112" s="533">
        <v>1483</v>
      </c>
      <c r="H112" s="533">
        <v>1463</v>
      </c>
      <c r="I112" s="1144">
        <v>1630</v>
      </c>
      <c r="J112" s="1311">
        <v>1697</v>
      </c>
      <c r="K112" s="1849">
        <v>1731</v>
      </c>
      <c r="L112" s="2214">
        <v>1840</v>
      </c>
      <c r="M112" s="2214">
        <v>2148</v>
      </c>
    </row>
    <row r="113" spans="1:13" x14ac:dyDescent="0.3">
      <c r="A113" s="531" t="s">
        <v>158</v>
      </c>
      <c r="B113" s="532" t="s">
        <v>159</v>
      </c>
      <c r="C113" s="532" t="s">
        <v>252</v>
      </c>
      <c r="D113" s="533">
        <v>21664</v>
      </c>
      <c r="E113" s="533">
        <v>23031</v>
      </c>
      <c r="F113" s="533">
        <v>23970</v>
      </c>
      <c r="G113" s="533">
        <v>24797</v>
      </c>
      <c r="H113" s="533">
        <v>24423</v>
      </c>
      <c r="I113" s="1144">
        <v>25070</v>
      </c>
      <c r="J113" s="1311">
        <v>24951</v>
      </c>
      <c r="K113" s="1849">
        <v>25311</v>
      </c>
      <c r="L113" s="2214">
        <v>26937</v>
      </c>
      <c r="M113" s="2214">
        <v>32126</v>
      </c>
    </row>
    <row r="114" spans="1:13" x14ac:dyDescent="0.3">
      <c r="A114" s="531" t="s">
        <v>160</v>
      </c>
      <c r="B114" s="532" t="s">
        <v>161</v>
      </c>
      <c r="C114" s="532" t="s">
        <v>252</v>
      </c>
      <c r="D114" s="533">
        <v>28272</v>
      </c>
      <c r="E114" s="533">
        <v>29302</v>
      </c>
      <c r="F114" s="533">
        <v>30780</v>
      </c>
      <c r="G114" s="533">
        <v>31908</v>
      </c>
      <c r="H114" s="533">
        <v>32317</v>
      </c>
      <c r="I114" s="1144">
        <v>33638</v>
      </c>
      <c r="J114" s="1311">
        <v>32872</v>
      </c>
      <c r="K114" s="1849">
        <v>31640</v>
      </c>
      <c r="L114" s="2214">
        <v>34142</v>
      </c>
      <c r="M114" s="2214">
        <v>40851</v>
      </c>
    </row>
    <row r="115" spans="1:13" x14ac:dyDescent="0.3">
      <c r="A115" s="531" t="s">
        <v>166</v>
      </c>
      <c r="B115" s="532" t="s">
        <v>167</v>
      </c>
      <c r="C115" s="532" t="s">
        <v>256</v>
      </c>
      <c r="D115" s="533">
        <v>920</v>
      </c>
      <c r="E115" s="533">
        <v>930</v>
      </c>
      <c r="F115" s="533">
        <v>990</v>
      </c>
      <c r="G115" s="533">
        <v>989</v>
      </c>
      <c r="H115" s="533">
        <v>959</v>
      </c>
      <c r="I115" s="1144">
        <v>961</v>
      </c>
      <c r="J115" s="1311">
        <v>956</v>
      </c>
      <c r="K115" s="1849">
        <v>829</v>
      </c>
      <c r="L115" s="2214">
        <v>875</v>
      </c>
      <c r="M115" s="2214">
        <v>1061</v>
      </c>
    </row>
    <row r="116" spans="1:13" x14ac:dyDescent="0.3">
      <c r="A116" s="531" t="s">
        <v>176</v>
      </c>
      <c r="B116" s="532" t="s">
        <v>177</v>
      </c>
      <c r="C116" s="532" t="s">
        <v>254</v>
      </c>
      <c r="D116" s="533">
        <v>7052</v>
      </c>
      <c r="E116" s="533">
        <v>7353</v>
      </c>
      <c r="F116" s="533">
        <v>7468</v>
      </c>
      <c r="G116" s="533">
        <v>7618</v>
      </c>
      <c r="H116" s="533">
        <v>7653</v>
      </c>
      <c r="I116" s="1144">
        <v>8060</v>
      </c>
      <c r="J116" s="1311">
        <v>8410</v>
      </c>
      <c r="K116" s="1849">
        <v>8165</v>
      </c>
      <c r="L116" s="2214">
        <v>9067</v>
      </c>
      <c r="M116" s="2214">
        <v>10866</v>
      </c>
    </row>
    <row r="117" spans="1:13" x14ac:dyDescent="0.3">
      <c r="A117" s="531" t="s">
        <v>180</v>
      </c>
      <c r="B117" s="532" t="s">
        <v>181</v>
      </c>
      <c r="C117" s="532" t="s">
        <v>252</v>
      </c>
      <c r="D117" s="533">
        <v>14305</v>
      </c>
      <c r="E117" s="533">
        <v>14946</v>
      </c>
      <c r="F117" s="533">
        <v>15807</v>
      </c>
      <c r="G117" s="533">
        <v>16198</v>
      </c>
      <c r="H117" s="533">
        <v>16466</v>
      </c>
      <c r="I117" s="1144">
        <v>17529</v>
      </c>
      <c r="J117" s="1311">
        <v>17051</v>
      </c>
      <c r="K117" s="1849">
        <v>16167</v>
      </c>
      <c r="L117" s="2214">
        <v>17395</v>
      </c>
      <c r="M117" s="2214">
        <v>20881</v>
      </c>
    </row>
    <row r="118" spans="1:13" x14ac:dyDescent="0.3">
      <c r="A118" s="531" t="s">
        <v>192</v>
      </c>
      <c r="B118" s="532" t="s">
        <v>193</v>
      </c>
      <c r="C118" s="532" t="s">
        <v>256</v>
      </c>
      <c r="D118" s="533">
        <v>1267</v>
      </c>
      <c r="E118" s="533">
        <v>1325</v>
      </c>
      <c r="F118" s="533">
        <v>1359</v>
      </c>
      <c r="G118" s="533">
        <v>1411</v>
      </c>
      <c r="H118" s="533">
        <v>1458</v>
      </c>
      <c r="I118" s="1144">
        <v>1461</v>
      </c>
      <c r="J118" s="1311">
        <v>1444</v>
      </c>
      <c r="K118" s="1849">
        <v>1247</v>
      </c>
      <c r="L118" s="2214">
        <v>1408</v>
      </c>
      <c r="M118" s="2214">
        <v>1775</v>
      </c>
    </row>
    <row r="119" spans="1:13" x14ac:dyDescent="0.3">
      <c r="A119" s="531" t="s">
        <v>196</v>
      </c>
      <c r="B119" s="532" t="s">
        <v>197</v>
      </c>
      <c r="C119" s="532" t="s">
        <v>254</v>
      </c>
      <c r="D119" s="533">
        <v>31339</v>
      </c>
      <c r="E119" s="533">
        <v>31886</v>
      </c>
      <c r="F119" s="533">
        <v>32304</v>
      </c>
      <c r="G119" s="533">
        <v>33203</v>
      </c>
      <c r="H119" s="533">
        <v>33286</v>
      </c>
      <c r="I119" s="1144">
        <v>35212</v>
      </c>
      <c r="J119" s="1311">
        <v>37433</v>
      </c>
      <c r="K119" s="1849">
        <v>34713</v>
      </c>
      <c r="L119" s="2214">
        <v>37485</v>
      </c>
      <c r="M119" s="2214">
        <v>46101</v>
      </c>
    </row>
    <row r="120" spans="1:13" x14ac:dyDescent="0.3">
      <c r="A120" s="531" t="s">
        <v>200</v>
      </c>
      <c r="B120" s="532" t="s">
        <v>201</v>
      </c>
      <c r="C120" s="532" t="s">
        <v>253</v>
      </c>
      <c r="D120" s="533">
        <v>16223</v>
      </c>
      <c r="E120" s="533">
        <v>16514</v>
      </c>
      <c r="F120" s="533">
        <v>17289</v>
      </c>
      <c r="G120" s="533">
        <v>17806</v>
      </c>
      <c r="H120" s="533">
        <v>17679</v>
      </c>
      <c r="I120" s="1144">
        <v>18126</v>
      </c>
      <c r="J120" s="1311">
        <v>18075</v>
      </c>
      <c r="K120" s="1849">
        <v>18097</v>
      </c>
      <c r="L120" s="2214">
        <v>19171</v>
      </c>
      <c r="M120" s="2214">
        <v>22499</v>
      </c>
    </row>
    <row r="121" spans="1:13" x14ac:dyDescent="0.3">
      <c r="A121" s="531" t="s">
        <v>222</v>
      </c>
      <c r="B121" s="532" t="s">
        <v>223</v>
      </c>
      <c r="C121" s="532" t="s">
        <v>252</v>
      </c>
      <c r="D121" s="533">
        <v>8833</v>
      </c>
      <c r="E121" s="533">
        <v>9349</v>
      </c>
      <c r="F121" s="533">
        <v>9674</v>
      </c>
      <c r="G121" s="533">
        <v>10010</v>
      </c>
      <c r="H121" s="533">
        <v>10010</v>
      </c>
      <c r="I121" s="1144">
        <v>10245</v>
      </c>
      <c r="J121" s="1311">
        <v>10118</v>
      </c>
      <c r="K121" s="1849">
        <v>9368</v>
      </c>
      <c r="L121" s="2214">
        <v>9974</v>
      </c>
      <c r="M121" s="2214">
        <v>11948</v>
      </c>
    </row>
    <row r="122" spans="1:13" x14ac:dyDescent="0.3">
      <c r="A122" s="531" t="s">
        <v>230</v>
      </c>
      <c r="B122" s="532" t="s">
        <v>231</v>
      </c>
      <c r="C122" s="532" t="s">
        <v>252</v>
      </c>
      <c r="D122" s="533">
        <v>26658</v>
      </c>
      <c r="E122" s="533">
        <v>27926</v>
      </c>
      <c r="F122" s="533">
        <v>29255</v>
      </c>
      <c r="G122" s="533">
        <v>30056</v>
      </c>
      <c r="H122" s="533">
        <v>29923</v>
      </c>
      <c r="I122" s="1144">
        <v>31926</v>
      </c>
      <c r="J122" s="1311">
        <v>31373</v>
      </c>
      <c r="K122" s="1849">
        <v>31269</v>
      </c>
      <c r="L122" s="2214">
        <v>33226</v>
      </c>
      <c r="M122" s="2214">
        <v>41213</v>
      </c>
    </row>
    <row r="123" spans="1:13" x14ac:dyDescent="0.3">
      <c r="A123" s="531" t="s">
        <v>238</v>
      </c>
      <c r="B123" s="532" t="s">
        <v>239</v>
      </c>
      <c r="C123" s="532" t="s">
        <v>252</v>
      </c>
      <c r="D123" s="533">
        <v>722</v>
      </c>
      <c r="E123" s="533">
        <v>821</v>
      </c>
      <c r="F123" s="533">
        <v>877</v>
      </c>
      <c r="G123" s="533">
        <v>924</v>
      </c>
      <c r="H123" s="533">
        <v>939</v>
      </c>
      <c r="I123" s="1144">
        <v>952</v>
      </c>
      <c r="J123" s="1311">
        <v>929</v>
      </c>
      <c r="K123" s="1849">
        <v>909</v>
      </c>
      <c r="L123" s="2214">
        <v>1053</v>
      </c>
      <c r="M123" s="2214">
        <v>1378</v>
      </c>
    </row>
    <row r="124" spans="1:13" x14ac:dyDescent="0.3">
      <c r="A124" s="464" t="s">
        <v>240</v>
      </c>
      <c r="B124" s="453" t="s">
        <v>241</v>
      </c>
      <c r="C124" s="453" t="s">
        <v>255</v>
      </c>
      <c r="D124" s="458">
        <v>3223</v>
      </c>
      <c r="E124" s="458">
        <v>3498</v>
      </c>
      <c r="F124" s="458">
        <v>3581</v>
      </c>
      <c r="G124" s="458">
        <v>3737</v>
      </c>
      <c r="H124" s="458">
        <v>3747</v>
      </c>
      <c r="I124" s="1145">
        <v>3908</v>
      </c>
      <c r="J124" s="1145">
        <v>4001</v>
      </c>
      <c r="K124" s="1850">
        <v>3888</v>
      </c>
      <c r="L124" s="2217">
        <v>4039</v>
      </c>
      <c r="M124" s="2416">
        <v>4819</v>
      </c>
    </row>
    <row r="126" spans="1:13" ht="54" customHeight="1" x14ac:dyDescent="0.3">
      <c r="A126" s="2737" t="s">
        <v>1155</v>
      </c>
      <c r="B126" s="2737"/>
      <c r="C126" s="2737"/>
      <c r="D126" s="2737"/>
      <c r="E126" s="2737"/>
      <c r="F126" s="2737"/>
      <c r="G126" s="2737"/>
      <c r="H126" s="2737"/>
      <c r="I126" s="1143"/>
      <c r="J126" s="1298"/>
      <c r="K126" s="1847"/>
      <c r="L126" s="2178"/>
      <c r="M126" s="2300"/>
    </row>
    <row r="128" spans="1:13" s="359" customFormat="1" x14ac:dyDescent="0.3">
      <c r="A128" s="359" t="s">
        <v>248</v>
      </c>
    </row>
    <row r="129" spans="1:3" s="359" customFormat="1" x14ac:dyDescent="0.3">
      <c r="A129" s="360" t="s">
        <v>249</v>
      </c>
      <c r="B129" s="361" t="s">
        <v>250</v>
      </c>
      <c r="C129" s="361"/>
    </row>
  </sheetData>
  <autoFilter ref="A3:C3"/>
  <sortState ref="A5:L124">
    <sortCondition ref="A5:A124"/>
  </sortState>
  <mergeCells count="1">
    <mergeCell ref="A126:H126"/>
  </mergeCells>
  <hyperlinks>
    <hyperlink ref="B129" r:id="rId1"/>
  </hyperlinks>
  <pageMargins left="0.7" right="0.7" top="0.75" bottom="0.75" header="0.3" footer="0.3"/>
  <pageSetup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130"/>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9" defaultRowHeight="12.75" customHeight="1" x14ac:dyDescent="0.3"/>
  <cols>
    <col min="1" max="1" width="9" style="441"/>
    <col min="2" max="2" width="33.296875" style="441" customWidth="1"/>
    <col min="3" max="3" width="16.69921875" style="441" customWidth="1"/>
    <col min="4" max="24" width="8.796875" style="441" customWidth="1"/>
    <col min="25" max="25" width="3.09765625" style="535" customWidth="1"/>
    <col min="26" max="27" width="14" style="441" customWidth="1"/>
    <col min="28" max="16384" width="9" style="441"/>
  </cols>
  <sheetData>
    <row r="1" spans="1:27" ht="12.75" customHeight="1" x14ac:dyDescent="0.3">
      <c r="A1" s="253" t="s">
        <v>1146</v>
      </c>
    </row>
    <row r="3" spans="1:27" ht="12.75" customHeight="1" x14ac:dyDescent="0.3">
      <c r="D3" s="2742" t="s">
        <v>697</v>
      </c>
      <c r="E3" s="2743"/>
      <c r="F3" s="2743"/>
      <c r="G3" s="2743"/>
      <c r="H3" s="2743"/>
      <c r="I3" s="2743"/>
      <c r="J3" s="2744"/>
      <c r="K3" s="2745" t="s">
        <v>698</v>
      </c>
      <c r="L3" s="2743"/>
      <c r="M3" s="2743"/>
      <c r="N3" s="2743"/>
      <c r="O3" s="2743"/>
      <c r="P3" s="2743"/>
      <c r="Q3" s="2744"/>
      <c r="R3" s="2746" t="s">
        <v>699</v>
      </c>
      <c r="S3" s="2747"/>
      <c r="T3" s="2747"/>
      <c r="U3" s="2747"/>
      <c r="V3" s="2747"/>
      <c r="W3" s="2747"/>
      <c r="X3" s="2748"/>
      <c r="Y3" s="1859"/>
      <c r="Z3" s="2740" t="s">
        <v>1002</v>
      </c>
      <c r="AA3" s="2741"/>
    </row>
    <row r="4" spans="1:27" ht="15.6" x14ac:dyDescent="0.3">
      <c r="A4" s="446" t="s">
        <v>4</v>
      </c>
      <c r="B4" s="503" t="s">
        <v>5</v>
      </c>
      <c r="C4" s="931" t="s">
        <v>251</v>
      </c>
      <c r="D4" s="1138" t="s">
        <v>998</v>
      </c>
      <c r="E4" s="936" t="s">
        <v>999</v>
      </c>
      <c r="F4" s="1136" t="s">
        <v>1000</v>
      </c>
      <c r="G4" s="1283" t="s">
        <v>1001</v>
      </c>
      <c r="H4" s="2223" t="s">
        <v>1049</v>
      </c>
      <c r="I4" s="2223" t="s">
        <v>1048</v>
      </c>
      <c r="J4" s="2223" t="s">
        <v>1085</v>
      </c>
      <c r="K4" s="1138" t="s">
        <v>998</v>
      </c>
      <c r="L4" s="936" t="s">
        <v>999</v>
      </c>
      <c r="M4" s="1136" t="s">
        <v>1000</v>
      </c>
      <c r="N4" s="1283" t="s">
        <v>1001</v>
      </c>
      <c r="O4" s="2223" t="s">
        <v>1049</v>
      </c>
      <c r="P4" s="2223" t="s">
        <v>1048</v>
      </c>
      <c r="Q4" s="2309" t="s">
        <v>1085</v>
      </c>
      <c r="R4" s="2230" t="s">
        <v>998</v>
      </c>
      <c r="S4" s="2231" t="s">
        <v>999</v>
      </c>
      <c r="T4" s="2232" t="s">
        <v>1000</v>
      </c>
      <c r="U4" s="2228" t="s">
        <v>1001</v>
      </c>
      <c r="V4" s="2228" t="s">
        <v>1049</v>
      </c>
      <c r="W4" s="2309" t="s">
        <v>1048</v>
      </c>
      <c r="X4" s="2311" t="s">
        <v>1085</v>
      </c>
      <c r="Y4" s="1861"/>
      <c r="Z4" s="2215" t="s">
        <v>1049</v>
      </c>
      <c r="AA4" s="2215" t="s">
        <v>1048</v>
      </c>
    </row>
    <row r="5" spans="1:27" ht="15.6" x14ac:dyDescent="0.3">
      <c r="A5" s="528">
        <v>999</v>
      </c>
      <c r="B5" s="529" t="s">
        <v>9</v>
      </c>
      <c r="C5" s="932"/>
      <c r="D5" s="1289">
        <f t="shared" ref="D5:F5" si="0">SUM(D6:D125)</f>
        <v>138038</v>
      </c>
      <c r="E5" s="1290">
        <f t="shared" si="0"/>
        <v>126005</v>
      </c>
      <c r="F5" s="2224">
        <f t="shared" si="0"/>
        <v>127481</v>
      </c>
      <c r="G5" s="2224">
        <f t="shared" ref="G5:N5" si="1">SUM(G6:G125)</f>
        <v>118920</v>
      </c>
      <c r="H5" s="2224">
        <v>111858</v>
      </c>
      <c r="I5" s="2226">
        <v>109789</v>
      </c>
      <c r="J5" s="2225">
        <v>107326</v>
      </c>
      <c r="K5" s="1289">
        <f t="shared" si="1"/>
        <v>67179</v>
      </c>
      <c r="L5" s="1290">
        <f t="shared" si="1"/>
        <v>65969</v>
      </c>
      <c r="M5" s="2226">
        <f t="shared" si="1"/>
        <v>64339</v>
      </c>
      <c r="N5" s="2224">
        <f t="shared" si="1"/>
        <v>63479</v>
      </c>
      <c r="O5" s="2224">
        <v>65492</v>
      </c>
      <c r="P5" s="2226">
        <v>66794</v>
      </c>
      <c r="Q5" s="2225">
        <v>66123</v>
      </c>
      <c r="R5" s="1291">
        <f t="shared" ref="R5:U5" si="2">SUM(R6:R125)</f>
        <v>23112</v>
      </c>
      <c r="S5" s="1292">
        <f t="shared" si="2"/>
        <v>24305</v>
      </c>
      <c r="T5" s="1292">
        <f t="shared" si="2"/>
        <v>21910</v>
      </c>
      <c r="U5" s="2224">
        <f t="shared" si="2"/>
        <v>16370</v>
      </c>
      <c r="V5" s="2229">
        <v>15303</v>
      </c>
      <c r="W5" s="2310">
        <v>18165</v>
      </c>
      <c r="X5" s="2312">
        <v>16694</v>
      </c>
      <c r="Y5" s="1862"/>
      <c r="Z5" s="2221" t="s">
        <v>1053</v>
      </c>
      <c r="AA5" s="2218" t="s">
        <v>1053</v>
      </c>
    </row>
    <row r="6" spans="1:27" ht="15.6" x14ac:dyDescent="0.3">
      <c r="A6" s="448" t="s">
        <v>10</v>
      </c>
      <c r="B6" s="505" t="s">
        <v>11</v>
      </c>
      <c r="C6" s="933" t="s">
        <v>252</v>
      </c>
      <c r="D6" s="1139">
        <v>1949</v>
      </c>
      <c r="E6" s="1140">
        <v>1818</v>
      </c>
      <c r="F6" s="1864">
        <v>1821</v>
      </c>
      <c r="G6" s="1864">
        <v>1680</v>
      </c>
      <c r="H6" s="1864">
        <v>1505</v>
      </c>
      <c r="I6" s="2169">
        <v>1440</v>
      </c>
      <c r="J6" s="1701">
        <v>1399</v>
      </c>
      <c r="K6" s="1139">
        <v>593</v>
      </c>
      <c r="L6" s="1140">
        <v>659</v>
      </c>
      <c r="M6" s="1359">
        <v>586</v>
      </c>
      <c r="N6" s="1864">
        <v>528</v>
      </c>
      <c r="O6" s="1864">
        <v>513</v>
      </c>
      <c r="P6" s="2169">
        <v>533</v>
      </c>
      <c r="Q6" s="1701">
        <v>533</v>
      </c>
      <c r="R6" s="1863">
        <v>831</v>
      </c>
      <c r="S6" s="1864">
        <v>883</v>
      </c>
      <c r="T6" s="1864">
        <v>819</v>
      </c>
      <c r="U6" s="1864">
        <v>582</v>
      </c>
      <c r="V6" s="1864">
        <v>458</v>
      </c>
      <c r="W6" s="2169">
        <v>504</v>
      </c>
      <c r="X6" s="1701">
        <v>514</v>
      </c>
      <c r="Y6" s="1860"/>
      <c r="Z6" s="1708">
        <v>628</v>
      </c>
      <c r="AA6" s="2219">
        <v>400</v>
      </c>
    </row>
    <row r="7" spans="1:27" ht="15.6" x14ac:dyDescent="0.3">
      <c r="A7" s="449" t="s">
        <v>12</v>
      </c>
      <c r="B7" s="532" t="s">
        <v>13</v>
      </c>
      <c r="C7" s="934" t="s">
        <v>253</v>
      </c>
      <c r="D7" s="1139">
        <v>1072</v>
      </c>
      <c r="E7" s="1140">
        <v>893</v>
      </c>
      <c r="F7" s="1864">
        <v>896</v>
      </c>
      <c r="G7" s="1864">
        <v>832</v>
      </c>
      <c r="H7" s="1864">
        <v>767</v>
      </c>
      <c r="I7" s="2169">
        <v>811</v>
      </c>
      <c r="J7" s="1701">
        <v>759</v>
      </c>
      <c r="K7" s="1139">
        <v>522</v>
      </c>
      <c r="L7" s="1140">
        <v>434</v>
      </c>
      <c r="M7" s="1359">
        <v>453</v>
      </c>
      <c r="N7" s="1864">
        <v>451</v>
      </c>
      <c r="O7" s="1864">
        <v>429</v>
      </c>
      <c r="P7" s="2169">
        <v>474</v>
      </c>
      <c r="Q7" s="1701">
        <v>447</v>
      </c>
      <c r="R7" s="1863">
        <v>136</v>
      </c>
      <c r="S7" s="1864">
        <v>159</v>
      </c>
      <c r="T7" s="1864">
        <v>158</v>
      </c>
      <c r="U7" s="1864">
        <v>105</v>
      </c>
      <c r="V7" s="1864">
        <v>93</v>
      </c>
      <c r="W7" s="2169">
        <v>127</v>
      </c>
      <c r="X7" s="1701">
        <v>89</v>
      </c>
      <c r="Y7" s="1860"/>
      <c r="Z7" s="1708">
        <v>439</v>
      </c>
      <c r="AA7" s="2219">
        <v>301</v>
      </c>
    </row>
    <row r="8" spans="1:27" ht="15.6" x14ac:dyDescent="0.3">
      <c r="A8" s="449" t="s">
        <v>16</v>
      </c>
      <c r="B8" s="532" t="s">
        <v>285</v>
      </c>
      <c r="C8" s="934" t="s">
        <v>253</v>
      </c>
      <c r="D8" s="1139">
        <v>1078</v>
      </c>
      <c r="E8" s="1140">
        <v>990</v>
      </c>
      <c r="F8" s="1864">
        <v>1023</v>
      </c>
      <c r="G8" s="1864">
        <v>937</v>
      </c>
      <c r="H8" s="1864">
        <v>907</v>
      </c>
      <c r="I8" s="2169">
        <v>885</v>
      </c>
      <c r="J8" s="1701">
        <v>890</v>
      </c>
      <c r="K8" s="1139">
        <v>534</v>
      </c>
      <c r="L8" s="1140">
        <v>597</v>
      </c>
      <c r="M8" s="1359">
        <v>627</v>
      </c>
      <c r="N8" s="1864">
        <v>623</v>
      </c>
      <c r="O8" s="1864">
        <v>602</v>
      </c>
      <c r="P8" s="2169">
        <v>620</v>
      </c>
      <c r="Q8" s="1701">
        <v>619</v>
      </c>
      <c r="R8" s="1863">
        <v>106</v>
      </c>
      <c r="S8" s="1864">
        <v>128</v>
      </c>
      <c r="T8" s="1864">
        <v>128</v>
      </c>
      <c r="U8" s="1864">
        <v>98</v>
      </c>
      <c r="V8" s="1864">
        <v>101</v>
      </c>
      <c r="W8" s="2169">
        <v>100</v>
      </c>
      <c r="X8" s="1701">
        <v>113</v>
      </c>
      <c r="Y8" s="1860"/>
      <c r="Z8" s="1708">
        <v>623</v>
      </c>
      <c r="AA8" s="2219">
        <v>374</v>
      </c>
    </row>
    <row r="9" spans="1:27" ht="15.6" x14ac:dyDescent="0.3">
      <c r="A9" s="449" t="s">
        <v>18</v>
      </c>
      <c r="B9" s="532" t="s">
        <v>19</v>
      </c>
      <c r="C9" s="934" t="s">
        <v>254</v>
      </c>
      <c r="D9" s="1139">
        <v>362</v>
      </c>
      <c r="E9" s="1140">
        <v>318</v>
      </c>
      <c r="F9" s="1864">
        <v>328</v>
      </c>
      <c r="G9" s="1864">
        <v>277</v>
      </c>
      <c r="H9" s="1864">
        <v>269</v>
      </c>
      <c r="I9" s="2169">
        <v>289</v>
      </c>
      <c r="J9" s="1701">
        <v>267</v>
      </c>
      <c r="K9" s="1139">
        <v>137</v>
      </c>
      <c r="L9" s="1140">
        <v>133</v>
      </c>
      <c r="M9" s="1359">
        <v>114</v>
      </c>
      <c r="N9" s="1864">
        <v>115</v>
      </c>
      <c r="O9" s="1864">
        <v>125</v>
      </c>
      <c r="P9" s="2169">
        <v>128</v>
      </c>
      <c r="Q9" s="1701">
        <v>135</v>
      </c>
      <c r="R9" s="1863">
        <v>74</v>
      </c>
      <c r="S9" s="1864">
        <v>97</v>
      </c>
      <c r="T9" s="1864">
        <v>76</v>
      </c>
      <c r="U9" s="1864">
        <v>55</v>
      </c>
      <c r="V9" s="1864">
        <v>52</v>
      </c>
      <c r="W9" s="2169">
        <v>45</v>
      </c>
      <c r="X9" s="1701">
        <v>48</v>
      </c>
      <c r="Y9" s="1860"/>
      <c r="Z9" s="1708">
        <v>135</v>
      </c>
      <c r="AA9" s="2219">
        <v>93</v>
      </c>
    </row>
    <row r="10" spans="1:27" ht="15.6" x14ac:dyDescent="0.3">
      <c r="A10" s="449" t="s">
        <v>20</v>
      </c>
      <c r="B10" s="532" t="s">
        <v>21</v>
      </c>
      <c r="C10" s="934" t="s">
        <v>253</v>
      </c>
      <c r="D10" s="1139">
        <v>987</v>
      </c>
      <c r="E10" s="1140">
        <v>860</v>
      </c>
      <c r="F10" s="1864">
        <v>834</v>
      </c>
      <c r="G10" s="1864">
        <v>804</v>
      </c>
      <c r="H10" s="1864">
        <v>815</v>
      </c>
      <c r="I10" s="2169">
        <v>770</v>
      </c>
      <c r="J10" s="1701">
        <v>747</v>
      </c>
      <c r="K10" s="1139">
        <v>509</v>
      </c>
      <c r="L10" s="1140">
        <v>469</v>
      </c>
      <c r="M10" s="1359">
        <v>469</v>
      </c>
      <c r="N10" s="1864">
        <v>441</v>
      </c>
      <c r="O10" s="1864">
        <v>459</v>
      </c>
      <c r="P10" s="2169">
        <v>456</v>
      </c>
      <c r="Q10" s="1701">
        <v>462</v>
      </c>
      <c r="R10" s="1863">
        <v>231</v>
      </c>
      <c r="S10" s="1864">
        <v>235</v>
      </c>
      <c r="T10" s="1864">
        <v>221</v>
      </c>
      <c r="U10" s="1864">
        <v>151</v>
      </c>
      <c r="V10" s="1864">
        <v>141</v>
      </c>
      <c r="W10" s="2169">
        <v>199</v>
      </c>
      <c r="X10" s="1701">
        <v>168</v>
      </c>
      <c r="Y10" s="1860"/>
      <c r="Z10" s="1708">
        <v>450</v>
      </c>
      <c r="AA10" s="2219">
        <v>231</v>
      </c>
    </row>
    <row r="11" spans="1:27" ht="15.6" x14ac:dyDescent="0.3">
      <c r="A11" s="449" t="s">
        <v>22</v>
      </c>
      <c r="B11" s="532" t="s">
        <v>23</v>
      </c>
      <c r="C11" s="934" t="s">
        <v>253</v>
      </c>
      <c r="D11" s="1139">
        <v>629</v>
      </c>
      <c r="E11" s="1140">
        <v>586</v>
      </c>
      <c r="F11" s="1864">
        <v>598</v>
      </c>
      <c r="G11" s="1864">
        <v>558</v>
      </c>
      <c r="H11" s="1864">
        <v>527</v>
      </c>
      <c r="I11" s="2169">
        <v>517</v>
      </c>
      <c r="J11" s="1701">
        <v>495</v>
      </c>
      <c r="K11" s="1139">
        <v>319</v>
      </c>
      <c r="L11" s="1140">
        <v>322</v>
      </c>
      <c r="M11" s="1359">
        <v>314</v>
      </c>
      <c r="N11" s="1864">
        <v>278</v>
      </c>
      <c r="O11" s="1864">
        <v>316</v>
      </c>
      <c r="P11" s="2169">
        <v>305</v>
      </c>
      <c r="Q11" s="1701">
        <v>320</v>
      </c>
      <c r="R11" s="1863">
        <v>165</v>
      </c>
      <c r="S11" s="1864">
        <v>164</v>
      </c>
      <c r="T11" s="1864">
        <v>139</v>
      </c>
      <c r="U11" s="1864">
        <v>104</v>
      </c>
      <c r="V11" s="1864">
        <v>82</v>
      </c>
      <c r="W11" s="2169">
        <v>139</v>
      </c>
      <c r="X11" s="1701">
        <v>108</v>
      </c>
      <c r="Y11" s="1860"/>
      <c r="Z11" s="1708">
        <v>329</v>
      </c>
      <c r="AA11" s="2219">
        <v>203</v>
      </c>
    </row>
    <row r="12" spans="1:27" ht="15.6" x14ac:dyDescent="0.3">
      <c r="A12" s="449" t="s">
        <v>24</v>
      </c>
      <c r="B12" s="532" t="s">
        <v>25</v>
      </c>
      <c r="C12" s="934" t="s">
        <v>255</v>
      </c>
      <c r="D12" s="1139">
        <v>667</v>
      </c>
      <c r="E12" s="1140">
        <v>644</v>
      </c>
      <c r="F12" s="1864">
        <v>769</v>
      </c>
      <c r="G12" s="1864">
        <v>787</v>
      </c>
      <c r="H12" s="1864">
        <v>827</v>
      </c>
      <c r="I12" s="2169">
        <v>860</v>
      </c>
      <c r="J12" s="1701">
        <v>910</v>
      </c>
      <c r="K12" s="1139">
        <v>623</v>
      </c>
      <c r="L12" s="1140">
        <v>621</v>
      </c>
      <c r="M12" s="1359">
        <v>690</v>
      </c>
      <c r="N12" s="1864">
        <v>713</v>
      </c>
      <c r="O12" s="1864">
        <v>805</v>
      </c>
      <c r="P12" s="2169">
        <v>786</v>
      </c>
      <c r="Q12" s="1701">
        <v>815</v>
      </c>
      <c r="R12" s="1863">
        <v>15</v>
      </c>
      <c r="S12" s="1864">
        <v>50</v>
      </c>
      <c r="T12" s="1864">
        <v>46</v>
      </c>
      <c r="U12" s="1864">
        <v>43</v>
      </c>
      <c r="V12" s="1864">
        <v>29</v>
      </c>
      <c r="W12" s="2169">
        <v>45</v>
      </c>
      <c r="X12" s="1701">
        <v>48</v>
      </c>
      <c r="Y12" s="1860"/>
      <c r="Z12" s="1708">
        <v>775</v>
      </c>
      <c r="AA12" s="2219">
        <v>415</v>
      </c>
    </row>
    <row r="13" spans="1:27" ht="15.6" x14ac:dyDescent="0.3">
      <c r="A13" s="449" t="s">
        <v>26</v>
      </c>
      <c r="B13" s="532" t="s">
        <v>547</v>
      </c>
      <c r="C13" s="934" t="s">
        <v>253</v>
      </c>
      <c r="D13" s="1139">
        <v>2705</v>
      </c>
      <c r="E13" s="1140">
        <v>2411</v>
      </c>
      <c r="F13" s="1864">
        <v>2335</v>
      </c>
      <c r="G13" s="1864">
        <v>2258</v>
      </c>
      <c r="H13" s="1864">
        <v>2159</v>
      </c>
      <c r="I13" s="2169">
        <v>2152</v>
      </c>
      <c r="J13" s="1701">
        <v>2048</v>
      </c>
      <c r="K13" s="1139">
        <v>1287</v>
      </c>
      <c r="L13" s="1140">
        <v>1280</v>
      </c>
      <c r="M13" s="1359">
        <v>1244</v>
      </c>
      <c r="N13" s="1864">
        <v>1250</v>
      </c>
      <c r="O13" s="1864">
        <v>1314</v>
      </c>
      <c r="P13" s="2169">
        <v>1204</v>
      </c>
      <c r="Q13" s="1701">
        <v>1190</v>
      </c>
      <c r="R13" s="1863">
        <v>386</v>
      </c>
      <c r="S13" s="1864">
        <v>375</v>
      </c>
      <c r="T13" s="1864">
        <v>366</v>
      </c>
      <c r="U13" s="1864">
        <v>307</v>
      </c>
      <c r="V13" s="1864">
        <v>298</v>
      </c>
      <c r="W13" s="2169">
        <v>327</v>
      </c>
      <c r="X13" s="1701">
        <v>303</v>
      </c>
      <c r="Y13" s="1860"/>
      <c r="Z13" s="1708">
        <v>1370</v>
      </c>
      <c r="AA13" s="2219">
        <v>848</v>
      </c>
    </row>
    <row r="14" spans="1:27" ht="15.6" x14ac:dyDescent="0.3">
      <c r="A14" s="449" t="s">
        <v>27</v>
      </c>
      <c r="B14" s="532" t="s">
        <v>28</v>
      </c>
      <c r="C14" s="934" t="s">
        <v>253</v>
      </c>
      <c r="D14" s="1139">
        <v>143</v>
      </c>
      <c r="E14" s="1140">
        <v>137</v>
      </c>
      <c r="F14" s="1864">
        <v>142</v>
      </c>
      <c r="G14" s="1864">
        <v>119</v>
      </c>
      <c r="H14" s="1864">
        <v>108</v>
      </c>
      <c r="I14" s="2169">
        <v>94</v>
      </c>
      <c r="J14" s="1701">
        <v>86</v>
      </c>
      <c r="K14" s="1139">
        <v>46</v>
      </c>
      <c r="L14" s="1140">
        <v>41</v>
      </c>
      <c r="M14" s="1359">
        <v>47</v>
      </c>
      <c r="N14" s="1864">
        <v>31</v>
      </c>
      <c r="O14" s="1864">
        <v>29</v>
      </c>
      <c r="P14" s="2169">
        <v>25</v>
      </c>
      <c r="Q14" s="1701">
        <v>37</v>
      </c>
      <c r="R14" s="1863">
        <v>9</v>
      </c>
      <c r="S14" s="1864">
        <v>12</v>
      </c>
      <c r="T14" s="1864">
        <v>13</v>
      </c>
      <c r="U14" s="1864">
        <v>11</v>
      </c>
      <c r="V14" s="1864">
        <v>4</v>
      </c>
      <c r="W14" s="2169">
        <v>6</v>
      </c>
      <c r="X14" s="1701">
        <v>9</v>
      </c>
      <c r="Y14" s="1860"/>
      <c r="Z14" s="1708">
        <v>32</v>
      </c>
      <c r="AA14" s="2219">
        <v>27</v>
      </c>
    </row>
    <row r="15" spans="1:27" ht="15.6" x14ac:dyDescent="0.3">
      <c r="A15" s="449" t="s">
        <v>29</v>
      </c>
      <c r="B15" s="532" t="s">
        <v>736</v>
      </c>
      <c r="C15" s="934" t="s">
        <v>253</v>
      </c>
      <c r="D15" s="1139">
        <v>1279</v>
      </c>
      <c r="E15" s="1140">
        <v>1156</v>
      </c>
      <c r="F15" s="1864">
        <v>1183</v>
      </c>
      <c r="G15" s="1864">
        <v>1159</v>
      </c>
      <c r="H15" s="1864">
        <v>1046</v>
      </c>
      <c r="I15" s="2169">
        <v>1041</v>
      </c>
      <c r="J15" s="1701">
        <v>1063</v>
      </c>
      <c r="K15" s="1139">
        <v>494</v>
      </c>
      <c r="L15" s="1140">
        <v>505</v>
      </c>
      <c r="M15" s="1359">
        <v>517</v>
      </c>
      <c r="N15" s="1864">
        <v>554</v>
      </c>
      <c r="O15" s="1864">
        <v>560</v>
      </c>
      <c r="P15" s="2169">
        <v>611</v>
      </c>
      <c r="Q15" s="1701">
        <v>614</v>
      </c>
      <c r="R15" s="1863">
        <v>179</v>
      </c>
      <c r="S15" s="1864">
        <v>186</v>
      </c>
      <c r="T15" s="1864">
        <v>196</v>
      </c>
      <c r="U15" s="1864">
        <v>172</v>
      </c>
      <c r="V15" s="1864">
        <v>158</v>
      </c>
      <c r="W15" s="2169">
        <v>224</v>
      </c>
      <c r="X15" s="1701">
        <v>209</v>
      </c>
      <c r="Y15" s="1860"/>
      <c r="Z15" s="1708">
        <v>572</v>
      </c>
      <c r="AA15" s="2219">
        <v>381</v>
      </c>
    </row>
    <row r="16" spans="1:27" ht="15.6" x14ac:dyDescent="0.3">
      <c r="A16" s="449" t="s">
        <v>30</v>
      </c>
      <c r="B16" s="532" t="s">
        <v>31</v>
      </c>
      <c r="C16" s="934" t="s">
        <v>256</v>
      </c>
      <c r="D16" s="1139">
        <v>193</v>
      </c>
      <c r="E16" s="1140">
        <v>194</v>
      </c>
      <c r="F16" s="1864">
        <v>199</v>
      </c>
      <c r="G16" s="1864">
        <v>182</v>
      </c>
      <c r="H16" s="1864">
        <v>165</v>
      </c>
      <c r="I16" s="2169">
        <v>144</v>
      </c>
      <c r="J16" s="1701">
        <v>145</v>
      </c>
      <c r="K16" s="1139">
        <v>82</v>
      </c>
      <c r="L16" s="1140">
        <v>64</v>
      </c>
      <c r="M16" s="1359">
        <v>65</v>
      </c>
      <c r="N16" s="1864">
        <v>37</v>
      </c>
      <c r="O16" s="1864">
        <v>49</v>
      </c>
      <c r="P16" s="2169">
        <v>49</v>
      </c>
      <c r="Q16" s="1701">
        <v>36</v>
      </c>
      <c r="R16" s="1863">
        <v>42</v>
      </c>
      <c r="S16" s="1864">
        <v>41</v>
      </c>
      <c r="T16" s="1864">
        <v>34</v>
      </c>
      <c r="U16" s="1864">
        <v>21</v>
      </c>
      <c r="V16" s="1864">
        <v>16</v>
      </c>
      <c r="W16" s="2169">
        <v>22</v>
      </c>
      <c r="X16" s="1701">
        <v>11</v>
      </c>
      <c r="Y16" s="1860"/>
      <c r="Z16" s="1708">
        <v>55</v>
      </c>
      <c r="AA16" s="2219">
        <v>34</v>
      </c>
    </row>
    <row r="17" spans="1:27" ht="15.6" x14ac:dyDescent="0.3">
      <c r="A17" s="449" t="s">
        <v>32</v>
      </c>
      <c r="B17" s="532" t="s">
        <v>33</v>
      </c>
      <c r="C17" s="934" t="s">
        <v>253</v>
      </c>
      <c r="D17" s="1139">
        <v>314</v>
      </c>
      <c r="E17" s="1140">
        <v>308</v>
      </c>
      <c r="F17" s="1864">
        <v>319</v>
      </c>
      <c r="G17" s="1864">
        <v>278</v>
      </c>
      <c r="H17" s="1864">
        <v>251</v>
      </c>
      <c r="I17" s="2169">
        <v>236</v>
      </c>
      <c r="J17" s="1701">
        <v>246</v>
      </c>
      <c r="K17" s="1139">
        <v>116</v>
      </c>
      <c r="L17" s="1140">
        <v>114</v>
      </c>
      <c r="M17" s="1359">
        <v>114</v>
      </c>
      <c r="N17" s="1864">
        <v>112</v>
      </c>
      <c r="O17" s="1864">
        <v>99</v>
      </c>
      <c r="P17" s="2169">
        <v>129</v>
      </c>
      <c r="Q17" s="1701">
        <v>106</v>
      </c>
      <c r="R17" s="1863">
        <v>71</v>
      </c>
      <c r="S17" s="1864">
        <v>84</v>
      </c>
      <c r="T17" s="1864">
        <v>82</v>
      </c>
      <c r="U17" s="1864">
        <v>40</v>
      </c>
      <c r="V17" s="1864">
        <v>45</v>
      </c>
      <c r="W17" s="2169">
        <v>60</v>
      </c>
      <c r="X17" s="1701">
        <v>41</v>
      </c>
      <c r="Y17" s="1860"/>
      <c r="Z17" s="1708">
        <v>103</v>
      </c>
      <c r="AA17" s="2219">
        <v>67</v>
      </c>
    </row>
    <row r="18" spans="1:27" ht="15.6" x14ac:dyDescent="0.3">
      <c r="A18" s="449" t="s">
        <v>36</v>
      </c>
      <c r="B18" s="532" t="s">
        <v>37</v>
      </c>
      <c r="C18" s="934" t="s">
        <v>252</v>
      </c>
      <c r="D18" s="1139">
        <v>1178</v>
      </c>
      <c r="E18" s="1140">
        <v>1128</v>
      </c>
      <c r="F18" s="1864">
        <v>1101</v>
      </c>
      <c r="G18" s="1864">
        <v>1047</v>
      </c>
      <c r="H18" s="1864">
        <v>988</v>
      </c>
      <c r="I18" s="2169">
        <v>965</v>
      </c>
      <c r="J18" s="1701">
        <v>921</v>
      </c>
      <c r="K18" s="1139">
        <v>591</v>
      </c>
      <c r="L18" s="1140">
        <v>591</v>
      </c>
      <c r="M18" s="1359">
        <v>609</v>
      </c>
      <c r="N18" s="1864">
        <v>598</v>
      </c>
      <c r="O18" s="1864">
        <v>569</v>
      </c>
      <c r="P18" s="2169">
        <v>573</v>
      </c>
      <c r="Q18" s="1701">
        <v>578</v>
      </c>
      <c r="R18" s="1863">
        <v>316</v>
      </c>
      <c r="S18" s="1864">
        <v>294</v>
      </c>
      <c r="T18" s="1864">
        <v>270</v>
      </c>
      <c r="U18" s="1864">
        <v>218</v>
      </c>
      <c r="V18" s="1864">
        <v>152</v>
      </c>
      <c r="W18" s="2169">
        <v>193</v>
      </c>
      <c r="X18" s="1701">
        <v>161</v>
      </c>
      <c r="Y18" s="1860"/>
      <c r="Z18" s="1708">
        <v>585</v>
      </c>
      <c r="AA18" s="2219">
        <v>345</v>
      </c>
    </row>
    <row r="19" spans="1:27" ht="15.6" x14ac:dyDescent="0.3">
      <c r="A19" s="449" t="s">
        <v>38</v>
      </c>
      <c r="B19" s="532" t="s">
        <v>39</v>
      </c>
      <c r="C19" s="934" t="s">
        <v>256</v>
      </c>
      <c r="D19" s="1139">
        <v>1929</v>
      </c>
      <c r="E19" s="1140">
        <v>1895</v>
      </c>
      <c r="F19" s="1864">
        <v>1903</v>
      </c>
      <c r="G19" s="1864">
        <v>1917</v>
      </c>
      <c r="H19" s="1864">
        <v>1906</v>
      </c>
      <c r="I19" s="2169">
        <v>1817</v>
      </c>
      <c r="J19" s="1701">
        <v>1806</v>
      </c>
      <c r="K19" s="1139">
        <v>959</v>
      </c>
      <c r="L19" s="1140">
        <v>955</v>
      </c>
      <c r="M19" s="1359">
        <v>1005</v>
      </c>
      <c r="N19" s="1864">
        <v>1084</v>
      </c>
      <c r="O19" s="1864">
        <v>1028</v>
      </c>
      <c r="P19" s="2169">
        <v>1125</v>
      </c>
      <c r="Q19" s="1701">
        <v>1105</v>
      </c>
      <c r="R19" s="1863">
        <v>545</v>
      </c>
      <c r="S19" s="1864">
        <v>541</v>
      </c>
      <c r="T19" s="1864">
        <v>640</v>
      </c>
      <c r="U19" s="1864">
        <v>592</v>
      </c>
      <c r="V19" s="1864">
        <v>540</v>
      </c>
      <c r="W19" s="2169">
        <v>722</v>
      </c>
      <c r="X19" s="1701">
        <v>692</v>
      </c>
      <c r="Y19" s="1860"/>
      <c r="Z19" s="1708">
        <v>1055</v>
      </c>
      <c r="AA19" s="2219">
        <v>568</v>
      </c>
    </row>
    <row r="20" spans="1:27" ht="15.6" x14ac:dyDescent="0.3">
      <c r="A20" s="449" t="s">
        <v>40</v>
      </c>
      <c r="B20" s="532" t="s">
        <v>41</v>
      </c>
      <c r="C20" s="934" t="s">
        <v>254</v>
      </c>
      <c r="D20" s="1139">
        <v>830</v>
      </c>
      <c r="E20" s="1140">
        <v>740</v>
      </c>
      <c r="F20" s="1864">
        <v>738</v>
      </c>
      <c r="G20" s="1864">
        <v>716</v>
      </c>
      <c r="H20" s="1864">
        <v>662</v>
      </c>
      <c r="I20" s="2169">
        <v>657</v>
      </c>
      <c r="J20" s="1701">
        <v>641</v>
      </c>
      <c r="K20" s="1139">
        <v>378</v>
      </c>
      <c r="L20" s="1140">
        <v>337</v>
      </c>
      <c r="M20" s="1359">
        <v>333</v>
      </c>
      <c r="N20" s="1864">
        <v>329</v>
      </c>
      <c r="O20" s="1864">
        <v>338</v>
      </c>
      <c r="P20" s="2169">
        <v>344</v>
      </c>
      <c r="Q20" s="1701">
        <v>348</v>
      </c>
      <c r="R20" s="1863">
        <v>150</v>
      </c>
      <c r="S20" s="1864">
        <v>157</v>
      </c>
      <c r="T20" s="1864">
        <v>137</v>
      </c>
      <c r="U20" s="1864">
        <v>101</v>
      </c>
      <c r="V20" s="1864">
        <v>89</v>
      </c>
      <c r="W20" s="2169">
        <v>138</v>
      </c>
      <c r="X20" s="1701">
        <v>86</v>
      </c>
      <c r="Y20" s="1860"/>
      <c r="Z20" s="1708">
        <v>347</v>
      </c>
      <c r="AA20" s="2219">
        <v>212</v>
      </c>
    </row>
    <row r="21" spans="1:27" ht="15.6" x14ac:dyDescent="0.3">
      <c r="A21" s="449" t="s">
        <v>42</v>
      </c>
      <c r="B21" s="532" t="s">
        <v>43</v>
      </c>
      <c r="C21" s="934" t="s">
        <v>253</v>
      </c>
      <c r="D21" s="1139">
        <v>1841</v>
      </c>
      <c r="E21" s="1140">
        <v>1684</v>
      </c>
      <c r="F21" s="1864">
        <v>1746</v>
      </c>
      <c r="G21" s="1864">
        <v>1656</v>
      </c>
      <c r="H21" s="1864">
        <v>1514</v>
      </c>
      <c r="I21" s="2169">
        <v>1485</v>
      </c>
      <c r="J21" s="1701">
        <v>1372</v>
      </c>
      <c r="K21" s="1139">
        <v>882</v>
      </c>
      <c r="L21" s="1140">
        <v>864</v>
      </c>
      <c r="M21" s="1359">
        <v>847</v>
      </c>
      <c r="N21" s="1864">
        <v>827</v>
      </c>
      <c r="O21" s="1864">
        <v>836</v>
      </c>
      <c r="P21" s="2169">
        <v>844</v>
      </c>
      <c r="Q21" s="1701">
        <v>849</v>
      </c>
      <c r="R21" s="1863">
        <v>516</v>
      </c>
      <c r="S21" s="1864">
        <v>521</v>
      </c>
      <c r="T21" s="1864">
        <v>490</v>
      </c>
      <c r="U21" s="1864">
        <v>350</v>
      </c>
      <c r="V21" s="1864">
        <v>324</v>
      </c>
      <c r="W21" s="2169">
        <v>376</v>
      </c>
      <c r="X21" s="1701">
        <v>359</v>
      </c>
      <c r="Y21" s="1860"/>
      <c r="Z21" s="1708">
        <v>859</v>
      </c>
      <c r="AA21" s="2219">
        <v>483</v>
      </c>
    </row>
    <row r="22" spans="1:27" ht="15.6" x14ac:dyDescent="0.3">
      <c r="A22" s="449" t="s">
        <v>44</v>
      </c>
      <c r="B22" s="532" t="s">
        <v>45</v>
      </c>
      <c r="C22" s="934" t="s">
        <v>254</v>
      </c>
      <c r="D22" s="1139">
        <v>513</v>
      </c>
      <c r="E22" s="1140">
        <v>500</v>
      </c>
      <c r="F22" s="1864">
        <v>530</v>
      </c>
      <c r="G22" s="1864">
        <v>498</v>
      </c>
      <c r="H22" s="1864">
        <v>438</v>
      </c>
      <c r="I22" s="2169">
        <v>424</v>
      </c>
      <c r="J22" s="1701">
        <v>428</v>
      </c>
      <c r="K22" s="1139">
        <v>117</v>
      </c>
      <c r="L22" s="1140">
        <v>134</v>
      </c>
      <c r="M22" s="1359">
        <v>156</v>
      </c>
      <c r="N22" s="1864">
        <v>154</v>
      </c>
      <c r="O22" s="1864">
        <v>151</v>
      </c>
      <c r="P22" s="2169">
        <v>164</v>
      </c>
      <c r="Q22" s="1701">
        <v>164</v>
      </c>
      <c r="R22" s="1863">
        <v>131</v>
      </c>
      <c r="S22" s="1864">
        <v>129</v>
      </c>
      <c r="T22" s="1864">
        <v>118</v>
      </c>
      <c r="U22" s="1864">
        <v>87</v>
      </c>
      <c r="V22" s="1864">
        <v>75</v>
      </c>
      <c r="W22" s="2169">
        <v>66</v>
      </c>
      <c r="X22" s="1701">
        <v>51</v>
      </c>
      <c r="Y22" s="1860"/>
      <c r="Z22" s="1708">
        <v>191</v>
      </c>
      <c r="AA22" s="2219">
        <v>116</v>
      </c>
    </row>
    <row r="23" spans="1:27" ht="15.6" x14ac:dyDescent="0.3">
      <c r="A23" s="449" t="s">
        <v>46</v>
      </c>
      <c r="B23" s="532" t="s">
        <v>47</v>
      </c>
      <c r="C23" s="934" t="s">
        <v>256</v>
      </c>
      <c r="D23" s="1139">
        <v>1797</v>
      </c>
      <c r="E23" s="1140">
        <v>1694</v>
      </c>
      <c r="F23" s="1864">
        <v>1657</v>
      </c>
      <c r="G23" s="1864">
        <v>1486</v>
      </c>
      <c r="H23" s="1864">
        <v>1410</v>
      </c>
      <c r="I23" s="2169">
        <v>1336</v>
      </c>
      <c r="J23" s="1701">
        <v>1272</v>
      </c>
      <c r="K23" s="1139">
        <v>685</v>
      </c>
      <c r="L23" s="1140">
        <v>666</v>
      </c>
      <c r="M23" s="1359">
        <v>706</v>
      </c>
      <c r="N23" s="1864">
        <v>651</v>
      </c>
      <c r="O23" s="1864">
        <v>625</v>
      </c>
      <c r="P23" s="2169">
        <v>643</v>
      </c>
      <c r="Q23" s="1701">
        <v>606</v>
      </c>
      <c r="R23" s="1863">
        <v>229</v>
      </c>
      <c r="S23" s="1864">
        <v>198</v>
      </c>
      <c r="T23" s="1864">
        <v>175</v>
      </c>
      <c r="U23" s="1864">
        <v>116</v>
      </c>
      <c r="V23" s="1864">
        <v>113</v>
      </c>
      <c r="W23" s="2169">
        <v>132</v>
      </c>
      <c r="X23" s="1701">
        <v>131</v>
      </c>
      <c r="Y23" s="1860"/>
      <c r="Z23" s="1708">
        <v>671</v>
      </c>
      <c r="AA23" s="2219">
        <v>399</v>
      </c>
    </row>
    <row r="24" spans="1:27" ht="15.6" x14ac:dyDescent="0.3">
      <c r="A24" s="449" t="s">
        <v>48</v>
      </c>
      <c r="B24" s="532" t="s">
        <v>257</v>
      </c>
      <c r="C24" s="934" t="s">
        <v>254</v>
      </c>
      <c r="D24" s="1139">
        <v>246</v>
      </c>
      <c r="E24" s="1140">
        <v>212</v>
      </c>
      <c r="F24" s="1864">
        <v>216</v>
      </c>
      <c r="G24" s="1864">
        <v>207</v>
      </c>
      <c r="H24" s="1864">
        <v>174</v>
      </c>
      <c r="I24" s="2169">
        <v>188</v>
      </c>
      <c r="J24" s="1701">
        <v>175</v>
      </c>
      <c r="K24" s="1139">
        <v>71</v>
      </c>
      <c r="L24" s="1140">
        <v>87</v>
      </c>
      <c r="M24" s="1359">
        <v>88</v>
      </c>
      <c r="N24" s="1864">
        <v>82</v>
      </c>
      <c r="O24" s="1864">
        <v>78</v>
      </c>
      <c r="P24" s="2169">
        <v>67</v>
      </c>
      <c r="Q24" s="1701">
        <v>69</v>
      </c>
      <c r="R24" s="1863">
        <v>36</v>
      </c>
      <c r="S24" s="1864">
        <v>70</v>
      </c>
      <c r="T24" s="1864">
        <v>61</v>
      </c>
      <c r="U24" s="1864">
        <v>32</v>
      </c>
      <c r="V24" s="1864">
        <v>27</v>
      </c>
      <c r="W24" s="2169">
        <v>28</v>
      </c>
      <c r="X24" s="1701">
        <v>19</v>
      </c>
      <c r="Y24" s="1860"/>
      <c r="Z24" s="1708">
        <v>78</v>
      </c>
      <c r="AA24" s="2219">
        <v>47</v>
      </c>
    </row>
    <row r="25" spans="1:27" ht="15.6" x14ac:dyDescent="0.3">
      <c r="A25" s="449" t="s">
        <v>50</v>
      </c>
      <c r="B25" s="532" t="s">
        <v>51</v>
      </c>
      <c r="C25" s="934" t="s">
        <v>253</v>
      </c>
      <c r="D25" s="1139">
        <v>710</v>
      </c>
      <c r="E25" s="1140">
        <v>652</v>
      </c>
      <c r="F25" s="1864">
        <v>703</v>
      </c>
      <c r="G25" s="1864">
        <v>648</v>
      </c>
      <c r="H25" s="1864">
        <v>614</v>
      </c>
      <c r="I25" s="2169">
        <v>584</v>
      </c>
      <c r="J25" s="1701">
        <v>561</v>
      </c>
      <c r="K25" s="1139">
        <v>331</v>
      </c>
      <c r="L25" s="1140">
        <v>346</v>
      </c>
      <c r="M25" s="1359">
        <v>344</v>
      </c>
      <c r="N25" s="1864">
        <v>335</v>
      </c>
      <c r="O25" s="1864">
        <v>326</v>
      </c>
      <c r="P25" s="2169">
        <v>335</v>
      </c>
      <c r="Q25" s="1701">
        <v>323</v>
      </c>
      <c r="R25" s="1863">
        <v>117</v>
      </c>
      <c r="S25" s="1864">
        <v>153</v>
      </c>
      <c r="T25" s="1864">
        <v>133</v>
      </c>
      <c r="U25" s="1864">
        <v>92</v>
      </c>
      <c r="V25" s="1864">
        <v>73</v>
      </c>
      <c r="W25" s="2169">
        <v>113</v>
      </c>
      <c r="X25" s="1701">
        <v>88</v>
      </c>
      <c r="Y25" s="1860"/>
      <c r="Z25" s="1708">
        <v>350</v>
      </c>
      <c r="AA25" s="2219">
        <v>218</v>
      </c>
    </row>
    <row r="26" spans="1:27" ht="15.6" x14ac:dyDescent="0.3">
      <c r="A26" s="449" t="s">
        <v>56</v>
      </c>
      <c r="B26" s="532" t="s">
        <v>283</v>
      </c>
      <c r="C26" s="934" t="s">
        <v>254</v>
      </c>
      <c r="D26" s="1139">
        <v>2554</v>
      </c>
      <c r="E26" s="1140">
        <v>2275</v>
      </c>
      <c r="F26" s="1864">
        <v>2235</v>
      </c>
      <c r="G26" s="1864">
        <v>1995</v>
      </c>
      <c r="H26" s="1864">
        <v>1827</v>
      </c>
      <c r="I26" s="2169">
        <v>1890</v>
      </c>
      <c r="J26" s="1701">
        <v>1870</v>
      </c>
      <c r="K26" s="1139">
        <v>1352</v>
      </c>
      <c r="L26" s="1140">
        <v>1176</v>
      </c>
      <c r="M26" s="1359">
        <v>1129</v>
      </c>
      <c r="N26" s="1864">
        <v>1159</v>
      </c>
      <c r="O26" s="1864">
        <v>1197</v>
      </c>
      <c r="P26" s="2169">
        <v>1182</v>
      </c>
      <c r="Q26" s="1701">
        <v>1224</v>
      </c>
      <c r="R26" s="1863">
        <v>327</v>
      </c>
      <c r="S26" s="1864">
        <v>232</v>
      </c>
      <c r="T26" s="1864">
        <v>288</v>
      </c>
      <c r="U26" s="1864">
        <v>198</v>
      </c>
      <c r="V26" s="1864">
        <v>191</v>
      </c>
      <c r="W26" s="2169">
        <v>294</v>
      </c>
      <c r="X26" s="1701">
        <v>247</v>
      </c>
      <c r="Y26" s="1860"/>
      <c r="Z26" s="1708">
        <v>1217</v>
      </c>
      <c r="AA26" s="2219">
        <v>732</v>
      </c>
    </row>
    <row r="27" spans="1:27" ht="15.6" x14ac:dyDescent="0.3">
      <c r="A27" s="449" t="s">
        <v>58</v>
      </c>
      <c r="B27" s="532" t="s">
        <v>59</v>
      </c>
      <c r="C27" s="934" t="s">
        <v>255</v>
      </c>
      <c r="D27" s="1139">
        <v>104</v>
      </c>
      <c r="E27" s="1140">
        <v>101</v>
      </c>
      <c r="F27" s="1864">
        <v>95</v>
      </c>
      <c r="G27" s="1864">
        <v>90</v>
      </c>
      <c r="H27" s="1864">
        <v>86</v>
      </c>
      <c r="I27" s="2169">
        <v>87</v>
      </c>
      <c r="J27" s="1701">
        <v>87</v>
      </c>
      <c r="K27" s="1139">
        <v>52</v>
      </c>
      <c r="L27" s="1140">
        <v>43</v>
      </c>
      <c r="M27" s="1359">
        <v>42</v>
      </c>
      <c r="N27" s="1864">
        <v>38</v>
      </c>
      <c r="O27" s="1864">
        <v>39</v>
      </c>
      <c r="P27" s="2169">
        <v>41</v>
      </c>
      <c r="Q27" s="1701">
        <v>36</v>
      </c>
      <c r="R27" s="1863">
        <v>11</v>
      </c>
      <c r="S27" s="1864">
        <v>15</v>
      </c>
      <c r="T27" s="1864">
        <v>13</v>
      </c>
      <c r="U27" s="1864">
        <v>8</v>
      </c>
      <c r="V27" s="1864">
        <v>4</v>
      </c>
      <c r="W27" s="2169">
        <v>3</v>
      </c>
      <c r="X27" s="1701">
        <v>4</v>
      </c>
      <c r="Y27" s="1860"/>
      <c r="Z27" s="1708">
        <v>46</v>
      </c>
      <c r="AA27" s="2219">
        <v>26</v>
      </c>
    </row>
    <row r="28" spans="1:27" ht="15.6" x14ac:dyDescent="0.3">
      <c r="A28" s="449" t="s">
        <v>60</v>
      </c>
      <c r="B28" s="532" t="s">
        <v>61</v>
      </c>
      <c r="C28" s="934" t="s">
        <v>253</v>
      </c>
      <c r="D28" s="1139">
        <v>207</v>
      </c>
      <c r="E28" s="1140">
        <v>175</v>
      </c>
      <c r="F28" s="1864">
        <v>190</v>
      </c>
      <c r="G28" s="1864">
        <v>169</v>
      </c>
      <c r="H28" s="1864">
        <v>153</v>
      </c>
      <c r="I28" s="2169">
        <v>154</v>
      </c>
      <c r="J28" s="1701">
        <v>142</v>
      </c>
      <c r="K28" s="1139">
        <v>106</v>
      </c>
      <c r="L28" s="1140">
        <v>100</v>
      </c>
      <c r="M28" s="1359">
        <v>106</v>
      </c>
      <c r="N28" s="1864">
        <v>105</v>
      </c>
      <c r="O28" s="1864">
        <v>92</v>
      </c>
      <c r="P28" s="2169">
        <v>92</v>
      </c>
      <c r="Q28" s="1701">
        <v>65</v>
      </c>
      <c r="R28" s="1863">
        <v>41</v>
      </c>
      <c r="S28" s="1864">
        <v>30</v>
      </c>
      <c r="T28" s="1864">
        <v>25</v>
      </c>
      <c r="U28" s="1864">
        <v>35</v>
      </c>
      <c r="V28" s="1864">
        <v>33</v>
      </c>
      <c r="W28" s="2169">
        <v>27</v>
      </c>
      <c r="X28" s="1701">
        <v>25</v>
      </c>
      <c r="Y28" s="1860"/>
      <c r="Z28" s="1708">
        <v>96</v>
      </c>
      <c r="AA28" s="2219">
        <v>50</v>
      </c>
    </row>
    <row r="29" spans="1:27" ht="15.6" x14ac:dyDescent="0.3">
      <c r="A29" s="449" t="s">
        <v>62</v>
      </c>
      <c r="B29" s="532" t="s">
        <v>63</v>
      </c>
      <c r="C29" s="934" t="s">
        <v>255</v>
      </c>
      <c r="D29" s="1139">
        <v>687</v>
      </c>
      <c r="E29" s="1140">
        <v>600</v>
      </c>
      <c r="F29" s="1864">
        <v>621</v>
      </c>
      <c r="G29" s="1864">
        <v>578</v>
      </c>
      <c r="H29" s="1864">
        <v>548</v>
      </c>
      <c r="I29" s="2169">
        <v>544</v>
      </c>
      <c r="J29" s="1701">
        <v>521</v>
      </c>
      <c r="K29" s="1139">
        <v>357</v>
      </c>
      <c r="L29" s="1140">
        <v>324</v>
      </c>
      <c r="M29" s="1359">
        <v>325</v>
      </c>
      <c r="N29" s="1864">
        <v>339</v>
      </c>
      <c r="O29" s="1864">
        <v>332</v>
      </c>
      <c r="P29" s="2169">
        <v>360</v>
      </c>
      <c r="Q29" s="1701">
        <v>272</v>
      </c>
      <c r="R29" s="1863">
        <v>134</v>
      </c>
      <c r="S29" s="1864">
        <v>122</v>
      </c>
      <c r="T29" s="1864">
        <v>84</v>
      </c>
      <c r="U29" s="1864">
        <v>61</v>
      </c>
      <c r="V29" s="1864">
        <v>57</v>
      </c>
      <c r="W29" s="2169">
        <v>111</v>
      </c>
      <c r="X29" s="1701">
        <v>83</v>
      </c>
      <c r="Y29" s="1860"/>
      <c r="Z29" s="1708">
        <v>366</v>
      </c>
      <c r="AA29" s="2219">
        <v>232</v>
      </c>
    </row>
    <row r="30" spans="1:27" ht="15.6" x14ac:dyDescent="0.3">
      <c r="A30" s="449" t="s">
        <v>64</v>
      </c>
      <c r="B30" s="532" t="s">
        <v>65</v>
      </c>
      <c r="C30" s="934" t="s">
        <v>254</v>
      </c>
      <c r="D30" s="1139">
        <v>460</v>
      </c>
      <c r="E30" s="1140">
        <v>416</v>
      </c>
      <c r="F30" s="1864">
        <v>413</v>
      </c>
      <c r="G30" s="1864">
        <v>384</v>
      </c>
      <c r="H30" s="1864">
        <v>359</v>
      </c>
      <c r="I30" s="2169">
        <v>349</v>
      </c>
      <c r="J30" s="1701">
        <v>352</v>
      </c>
      <c r="K30" s="1139">
        <v>203</v>
      </c>
      <c r="L30" s="1140">
        <v>166</v>
      </c>
      <c r="M30" s="1359">
        <v>186</v>
      </c>
      <c r="N30" s="1864">
        <v>173</v>
      </c>
      <c r="O30" s="1864">
        <v>171</v>
      </c>
      <c r="P30" s="2169">
        <v>202</v>
      </c>
      <c r="Q30" s="1701">
        <v>217</v>
      </c>
      <c r="R30" s="1863">
        <v>79</v>
      </c>
      <c r="S30" s="1864">
        <v>72</v>
      </c>
      <c r="T30" s="1864">
        <v>70</v>
      </c>
      <c r="U30" s="1864">
        <v>49</v>
      </c>
      <c r="V30" s="1864">
        <v>38</v>
      </c>
      <c r="W30" s="2169">
        <v>57</v>
      </c>
      <c r="X30" s="1701">
        <v>66</v>
      </c>
      <c r="Y30" s="1860"/>
      <c r="Z30" s="1708">
        <v>203</v>
      </c>
      <c r="AA30" s="2219">
        <v>119</v>
      </c>
    </row>
    <row r="31" spans="1:27" ht="15.6" x14ac:dyDescent="0.3">
      <c r="A31" s="449" t="s">
        <v>68</v>
      </c>
      <c r="B31" s="532" t="s">
        <v>69</v>
      </c>
      <c r="C31" s="934" t="s">
        <v>256</v>
      </c>
      <c r="D31" s="1139">
        <v>1205</v>
      </c>
      <c r="E31" s="1140">
        <v>1195</v>
      </c>
      <c r="F31" s="1864">
        <v>1210</v>
      </c>
      <c r="G31" s="1864">
        <v>1155</v>
      </c>
      <c r="H31" s="1864">
        <v>1158</v>
      </c>
      <c r="I31" s="2169">
        <v>1099</v>
      </c>
      <c r="J31" s="1701">
        <v>1063</v>
      </c>
      <c r="K31" s="1139">
        <v>650</v>
      </c>
      <c r="L31" s="1140">
        <v>668</v>
      </c>
      <c r="M31" s="1359">
        <v>693</v>
      </c>
      <c r="N31" s="1864">
        <v>711</v>
      </c>
      <c r="O31" s="1864">
        <v>703</v>
      </c>
      <c r="P31" s="2169">
        <v>694</v>
      </c>
      <c r="Q31" s="1701">
        <v>656</v>
      </c>
      <c r="R31" s="1863">
        <v>306</v>
      </c>
      <c r="S31" s="1864">
        <v>317</v>
      </c>
      <c r="T31" s="1864">
        <v>296</v>
      </c>
      <c r="U31" s="1864">
        <v>193</v>
      </c>
      <c r="V31" s="1864">
        <v>211</v>
      </c>
      <c r="W31" s="2169">
        <v>245</v>
      </c>
      <c r="X31" s="1701">
        <v>173</v>
      </c>
      <c r="Y31" s="1860"/>
      <c r="Z31" s="1708">
        <v>723</v>
      </c>
      <c r="AA31" s="2219">
        <v>382</v>
      </c>
    </row>
    <row r="32" spans="1:27" ht="15.6" x14ac:dyDescent="0.3">
      <c r="A32" s="449" t="s">
        <v>70</v>
      </c>
      <c r="B32" s="532" t="s">
        <v>71</v>
      </c>
      <c r="C32" s="934" t="s">
        <v>252</v>
      </c>
      <c r="D32" s="1139">
        <v>867</v>
      </c>
      <c r="E32" s="1140">
        <v>775</v>
      </c>
      <c r="F32" s="1864">
        <v>765</v>
      </c>
      <c r="G32" s="1864">
        <v>641</v>
      </c>
      <c r="H32" s="1864">
        <v>584</v>
      </c>
      <c r="I32" s="2169">
        <v>605</v>
      </c>
      <c r="J32" s="1701">
        <v>583</v>
      </c>
      <c r="K32" s="1139">
        <v>392</v>
      </c>
      <c r="L32" s="1140">
        <v>396</v>
      </c>
      <c r="M32" s="1359">
        <v>353</v>
      </c>
      <c r="N32" s="1864">
        <v>326</v>
      </c>
      <c r="O32" s="1864">
        <v>329</v>
      </c>
      <c r="P32" s="2169">
        <v>324</v>
      </c>
      <c r="Q32" s="1701">
        <v>341</v>
      </c>
      <c r="R32" s="1863">
        <v>213</v>
      </c>
      <c r="S32" s="1864">
        <v>214</v>
      </c>
      <c r="T32" s="1864">
        <v>186</v>
      </c>
      <c r="U32" s="1864">
        <v>120</v>
      </c>
      <c r="V32" s="1864">
        <v>115</v>
      </c>
      <c r="W32" s="2169">
        <v>129</v>
      </c>
      <c r="X32" s="1701">
        <v>109</v>
      </c>
      <c r="Y32" s="1860"/>
      <c r="Z32" s="1708">
        <v>376</v>
      </c>
      <c r="AA32" s="2219">
        <v>233</v>
      </c>
    </row>
    <row r="33" spans="1:27" ht="15.6" x14ac:dyDescent="0.3">
      <c r="A33" s="449" t="s">
        <v>72</v>
      </c>
      <c r="B33" s="532" t="s">
        <v>73</v>
      </c>
      <c r="C33" s="934" t="s">
        <v>254</v>
      </c>
      <c r="D33" s="1139">
        <v>507</v>
      </c>
      <c r="E33" s="1140">
        <v>466</v>
      </c>
      <c r="F33" s="1864">
        <v>491</v>
      </c>
      <c r="G33" s="1864">
        <v>446</v>
      </c>
      <c r="H33" s="1864">
        <v>422</v>
      </c>
      <c r="I33" s="2169">
        <v>401</v>
      </c>
      <c r="J33" s="1701">
        <v>400</v>
      </c>
      <c r="K33" s="1139">
        <v>215</v>
      </c>
      <c r="L33" s="1140">
        <v>193</v>
      </c>
      <c r="M33" s="1359">
        <v>218</v>
      </c>
      <c r="N33" s="1864">
        <v>227</v>
      </c>
      <c r="O33" s="1864">
        <v>216</v>
      </c>
      <c r="P33" s="2169">
        <v>234</v>
      </c>
      <c r="Q33" s="1701">
        <v>229</v>
      </c>
      <c r="R33" s="1863">
        <v>52</v>
      </c>
      <c r="S33" s="1864">
        <v>80</v>
      </c>
      <c r="T33" s="1864">
        <v>89</v>
      </c>
      <c r="U33" s="1864">
        <v>45</v>
      </c>
      <c r="V33" s="1864">
        <v>56</v>
      </c>
      <c r="W33" s="2169">
        <v>68</v>
      </c>
      <c r="X33" s="1701">
        <v>63</v>
      </c>
      <c r="Y33" s="1860"/>
      <c r="Z33" s="1708">
        <v>244</v>
      </c>
      <c r="AA33" s="2219">
        <v>136</v>
      </c>
    </row>
    <row r="34" spans="1:27" ht="15.6" x14ac:dyDescent="0.3">
      <c r="A34" s="449" t="s">
        <v>74</v>
      </c>
      <c r="B34" s="532" t="s">
        <v>284</v>
      </c>
      <c r="C34" s="934" t="s">
        <v>255</v>
      </c>
      <c r="D34" s="1139">
        <v>1532</v>
      </c>
      <c r="E34" s="1140">
        <v>1500</v>
      </c>
      <c r="F34" s="1864">
        <v>1541</v>
      </c>
      <c r="G34" s="1864">
        <v>1455</v>
      </c>
      <c r="H34" s="1864">
        <v>1429</v>
      </c>
      <c r="I34" s="2169">
        <v>1436</v>
      </c>
      <c r="J34" s="1701">
        <v>1445</v>
      </c>
      <c r="K34" s="1139">
        <v>916</v>
      </c>
      <c r="L34" s="1140">
        <v>913</v>
      </c>
      <c r="M34" s="1359">
        <v>930</v>
      </c>
      <c r="N34" s="1864">
        <v>974</v>
      </c>
      <c r="O34" s="1864">
        <v>976</v>
      </c>
      <c r="P34" s="2169">
        <v>981</v>
      </c>
      <c r="Q34" s="1701">
        <v>984</v>
      </c>
      <c r="R34" s="1863">
        <v>77</v>
      </c>
      <c r="S34" s="1864">
        <v>133</v>
      </c>
      <c r="T34" s="1864">
        <v>124</v>
      </c>
      <c r="U34" s="1864">
        <v>104</v>
      </c>
      <c r="V34" s="1864">
        <v>85</v>
      </c>
      <c r="W34" s="2169">
        <v>101</v>
      </c>
      <c r="X34" s="1701">
        <v>124</v>
      </c>
      <c r="Y34" s="1860"/>
      <c r="Z34" s="1708">
        <v>921</v>
      </c>
      <c r="AA34" s="2219">
        <v>583</v>
      </c>
    </row>
    <row r="35" spans="1:27" ht="15.6" x14ac:dyDescent="0.3">
      <c r="A35" s="449" t="s">
        <v>76</v>
      </c>
      <c r="B35" s="532" t="s">
        <v>77</v>
      </c>
      <c r="C35" s="934" t="s">
        <v>255</v>
      </c>
      <c r="D35" s="1139">
        <v>377</v>
      </c>
      <c r="E35" s="1140">
        <v>327</v>
      </c>
      <c r="F35" s="1864">
        <v>295</v>
      </c>
      <c r="G35" s="1864">
        <v>300</v>
      </c>
      <c r="H35" s="1864">
        <v>271</v>
      </c>
      <c r="I35" s="2169">
        <v>264</v>
      </c>
      <c r="J35" s="1701">
        <v>269</v>
      </c>
      <c r="K35" s="1139">
        <v>148</v>
      </c>
      <c r="L35" s="1140">
        <v>112</v>
      </c>
      <c r="M35" s="1359">
        <v>120</v>
      </c>
      <c r="N35" s="1864">
        <v>120</v>
      </c>
      <c r="O35" s="1864">
        <v>135</v>
      </c>
      <c r="P35" s="2169">
        <v>138</v>
      </c>
      <c r="Q35" s="1701">
        <v>126</v>
      </c>
      <c r="R35" s="1863">
        <v>70</v>
      </c>
      <c r="S35" s="1864">
        <v>74</v>
      </c>
      <c r="T35" s="1864">
        <v>62</v>
      </c>
      <c r="U35" s="1864">
        <v>58</v>
      </c>
      <c r="V35" s="1864">
        <v>32</v>
      </c>
      <c r="W35" s="2169">
        <v>46</v>
      </c>
      <c r="X35" s="1701">
        <v>53</v>
      </c>
      <c r="Y35" s="1860"/>
      <c r="Z35" s="1708">
        <v>150</v>
      </c>
      <c r="AA35" s="2219">
        <v>73</v>
      </c>
    </row>
    <row r="36" spans="1:27" ht="15.6" x14ac:dyDescent="0.3">
      <c r="A36" s="449" t="s">
        <v>78</v>
      </c>
      <c r="B36" s="532" t="s">
        <v>79</v>
      </c>
      <c r="C36" s="934" t="s">
        <v>256</v>
      </c>
      <c r="D36" s="1139">
        <v>527</v>
      </c>
      <c r="E36" s="1140">
        <v>499</v>
      </c>
      <c r="F36" s="1864">
        <v>494</v>
      </c>
      <c r="G36" s="1864">
        <v>455</v>
      </c>
      <c r="H36" s="1864">
        <v>440</v>
      </c>
      <c r="I36" s="2169">
        <v>437</v>
      </c>
      <c r="J36" s="1701">
        <v>414</v>
      </c>
      <c r="K36" s="1139">
        <v>191</v>
      </c>
      <c r="L36" s="1140">
        <v>182</v>
      </c>
      <c r="M36" s="1359">
        <v>186</v>
      </c>
      <c r="N36" s="1864">
        <v>130</v>
      </c>
      <c r="O36" s="1864">
        <v>202</v>
      </c>
      <c r="P36" s="2169">
        <v>199</v>
      </c>
      <c r="Q36" s="1701">
        <v>170</v>
      </c>
      <c r="R36" s="1863">
        <v>94</v>
      </c>
      <c r="S36" s="1864">
        <v>104</v>
      </c>
      <c r="T36" s="1864">
        <v>89</v>
      </c>
      <c r="U36" s="1864">
        <v>66</v>
      </c>
      <c r="V36" s="1864">
        <v>77</v>
      </c>
      <c r="W36" s="2169">
        <v>77</v>
      </c>
      <c r="X36" s="1701">
        <v>52</v>
      </c>
      <c r="Y36" s="1860"/>
      <c r="Z36" s="1708">
        <v>212</v>
      </c>
      <c r="AA36" s="2219">
        <v>126</v>
      </c>
    </row>
    <row r="37" spans="1:27" ht="15.6" x14ac:dyDescent="0.3">
      <c r="A37" s="449" t="s">
        <v>80</v>
      </c>
      <c r="B37" s="532" t="s">
        <v>81</v>
      </c>
      <c r="C37" s="934" t="s">
        <v>254</v>
      </c>
      <c r="D37" s="1139">
        <v>315</v>
      </c>
      <c r="E37" s="1140">
        <v>296</v>
      </c>
      <c r="F37" s="1864">
        <v>308</v>
      </c>
      <c r="G37" s="1864">
        <v>272</v>
      </c>
      <c r="H37" s="1864">
        <v>261</v>
      </c>
      <c r="I37" s="2169">
        <v>255</v>
      </c>
      <c r="J37" s="1701">
        <v>245</v>
      </c>
      <c r="K37" s="1139">
        <v>128</v>
      </c>
      <c r="L37" s="1140">
        <v>139</v>
      </c>
      <c r="M37" s="1359">
        <v>130</v>
      </c>
      <c r="N37" s="1864">
        <v>119</v>
      </c>
      <c r="O37" s="1864">
        <v>112</v>
      </c>
      <c r="P37" s="2169">
        <v>104</v>
      </c>
      <c r="Q37" s="1701">
        <v>135</v>
      </c>
      <c r="R37" s="1863">
        <v>68</v>
      </c>
      <c r="S37" s="1864">
        <v>75</v>
      </c>
      <c r="T37" s="1864">
        <v>59</v>
      </c>
      <c r="U37" s="1864">
        <v>52</v>
      </c>
      <c r="V37" s="1864">
        <v>55</v>
      </c>
      <c r="W37" s="2169">
        <v>66</v>
      </c>
      <c r="X37" s="1701">
        <v>50</v>
      </c>
      <c r="Y37" s="1860"/>
      <c r="Z37" s="1708">
        <v>148</v>
      </c>
      <c r="AA37" s="2219">
        <v>82</v>
      </c>
    </row>
    <row r="38" spans="1:27" ht="15.6" x14ac:dyDescent="0.3">
      <c r="A38" s="449" t="s">
        <v>84</v>
      </c>
      <c r="B38" s="532" t="s">
        <v>85</v>
      </c>
      <c r="C38" s="934" t="s">
        <v>253</v>
      </c>
      <c r="D38" s="1139">
        <v>1830</v>
      </c>
      <c r="E38" s="1140">
        <v>1548</v>
      </c>
      <c r="F38" s="1864">
        <v>1573</v>
      </c>
      <c r="G38" s="1864">
        <v>1380</v>
      </c>
      <c r="H38" s="1864">
        <v>1259</v>
      </c>
      <c r="I38" s="2169">
        <v>1251</v>
      </c>
      <c r="J38" s="1701">
        <v>1269</v>
      </c>
      <c r="K38" s="1139">
        <v>808</v>
      </c>
      <c r="L38" s="1140">
        <v>781</v>
      </c>
      <c r="M38" s="1359">
        <v>784</v>
      </c>
      <c r="N38" s="1864">
        <v>760</v>
      </c>
      <c r="O38" s="1864">
        <v>770</v>
      </c>
      <c r="P38" s="2169">
        <v>793</v>
      </c>
      <c r="Q38" s="1701">
        <v>791</v>
      </c>
      <c r="R38" s="1863">
        <v>375</v>
      </c>
      <c r="S38" s="1864">
        <v>422</v>
      </c>
      <c r="T38" s="1864">
        <v>263</v>
      </c>
      <c r="U38" s="1864">
        <v>222</v>
      </c>
      <c r="V38" s="1864">
        <v>197</v>
      </c>
      <c r="W38" s="2169">
        <v>209</v>
      </c>
      <c r="X38" s="1701">
        <v>167</v>
      </c>
      <c r="Y38" s="1860"/>
      <c r="Z38" s="1708">
        <v>827</v>
      </c>
      <c r="AA38" s="2219">
        <v>458</v>
      </c>
    </row>
    <row r="39" spans="1:27" ht="15.6" x14ac:dyDescent="0.3">
      <c r="A39" s="449" t="s">
        <v>86</v>
      </c>
      <c r="B39" s="532" t="s">
        <v>87</v>
      </c>
      <c r="C39" s="934" t="s">
        <v>255</v>
      </c>
      <c r="D39" s="1139">
        <v>733</v>
      </c>
      <c r="E39" s="1140">
        <v>596</v>
      </c>
      <c r="F39" s="1864">
        <v>562</v>
      </c>
      <c r="G39" s="1864">
        <v>483</v>
      </c>
      <c r="H39" s="1864">
        <v>455</v>
      </c>
      <c r="I39" s="2169">
        <v>393</v>
      </c>
      <c r="J39" s="1701">
        <v>392</v>
      </c>
      <c r="K39" s="1139">
        <v>228</v>
      </c>
      <c r="L39" s="1140">
        <v>195</v>
      </c>
      <c r="M39" s="1359">
        <v>169</v>
      </c>
      <c r="N39" s="1864">
        <v>152</v>
      </c>
      <c r="O39" s="1864">
        <v>147</v>
      </c>
      <c r="P39" s="2169">
        <v>155</v>
      </c>
      <c r="Q39" s="1701">
        <v>152</v>
      </c>
      <c r="R39" s="1863">
        <v>89</v>
      </c>
      <c r="S39" s="1864">
        <v>101</v>
      </c>
      <c r="T39" s="1864">
        <v>77</v>
      </c>
      <c r="U39" s="1864">
        <v>57</v>
      </c>
      <c r="V39" s="1864">
        <v>44</v>
      </c>
      <c r="W39" s="2169">
        <v>47</v>
      </c>
      <c r="X39" s="1701">
        <v>72</v>
      </c>
      <c r="Y39" s="1860"/>
      <c r="Z39" s="1708">
        <v>197</v>
      </c>
      <c r="AA39" s="2219">
        <v>112</v>
      </c>
    </row>
    <row r="40" spans="1:27" ht="15.6" x14ac:dyDescent="0.3">
      <c r="A40" s="449" t="s">
        <v>92</v>
      </c>
      <c r="B40" s="532" t="s">
        <v>93</v>
      </c>
      <c r="C40" s="934" t="s">
        <v>256</v>
      </c>
      <c r="D40" s="1139">
        <v>683</v>
      </c>
      <c r="E40" s="1140">
        <v>650</v>
      </c>
      <c r="F40" s="1864">
        <v>672</v>
      </c>
      <c r="G40" s="1864">
        <v>624</v>
      </c>
      <c r="H40" s="1864">
        <v>599</v>
      </c>
      <c r="I40" s="2169">
        <v>616</v>
      </c>
      <c r="J40" s="1701">
        <v>577</v>
      </c>
      <c r="K40" s="1139">
        <v>262</v>
      </c>
      <c r="L40" s="1140">
        <v>324</v>
      </c>
      <c r="M40" s="1359">
        <v>310</v>
      </c>
      <c r="N40" s="1864">
        <v>289</v>
      </c>
      <c r="O40" s="1864">
        <v>340</v>
      </c>
      <c r="P40" s="2169">
        <v>341</v>
      </c>
      <c r="Q40" s="1701">
        <v>310</v>
      </c>
      <c r="R40" s="1863">
        <v>146</v>
      </c>
      <c r="S40" s="1864">
        <v>176</v>
      </c>
      <c r="T40" s="1864">
        <v>168</v>
      </c>
      <c r="U40" s="1864">
        <v>112</v>
      </c>
      <c r="V40" s="1864">
        <v>125</v>
      </c>
      <c r="W40" s="2169">
        <v>118</v>
      </c>
      <c r="X40" s="1701">
        <v>94</v>
      </c>
      <c r="Y40" s="1860"/>
      <c r="Z40" s="1708">
        <v>346</v>
      </c>
      <c r="AA40" s="2219">
        <v>206</v>
      </c>
    </row>
    <row r="41" spans="1:27" ht="15.6" x14ac:dyDescent="0.3">
      <c r="A41" s="449" t="s">
        <v>94</v>
      </c>
      <c r="B41" s="532" t="s">
        <v>95</v>
      </c>
      <c r="C41" s="934" t="s">
        <v>252</v>
      </c>
      <c r="D41" s="1139">
        <v>651</v>
      </c>
      <c r="E41" s="1140">
        <v>575</v>
      </c>
      <c r="F41" s="1864">
        <v>586</v>
      </c>
      <c r="G41" s="1864">
        <v>546</v>
      </c>
      <c r="H41" s="1864">
        <v>516</v>
      </c>
      <c r="I41" s="2169">
        <v>471</v>
      </c>
      <c r="J41" s="1701">
        <v>479</v>
      </c>
      <c r="K41" s="1139">
        <v>327</v>
      </c>
      <c r="L41" s="1140">
        <v>325</v>
      </c>
      <c r="M41" s="1359">
        <v>296</v>
      </c>
      <c r="N41" s="1864">
        <v>324</v>
      </c>
      <c r="O41" s="1864">
        <v>298</v>
      </c>
      <c r="P41" s="2169">
        <v>320</v>
      </c>
      <c r="Q41" s="1701">
        <v>322</v>
      </c>
      <c r="R41" s="1863">
        <v>130</v>
      </c>
      <c r="S41" s="1864">
        <v>151</v>
      </c>
      <c r="T41" s="1864">
        <v>161</v>
      </c>
      <c r="U41" s="1864">
        <v>127</v>
      </c>
      <c r="V41" s="1864">
        <v>84</v>
      </c>
      <c r="W41" s="2169">
        <v>116</v>
      </c>
      <c r="X41" s="1701">
        <v>102</v>
      </c>
      <c r="Y41" s="1860"/>
      <c r="Z41" s="1708">
        <v>316</v>
      </c>
      <c r="AA41" s="2219">
        <v>204</v>
      </c>
    </row>
    <row r="42" spans="1:27" ht="15.6" x14ac:dyDescent="0.3">
      <c r="A42" s="449" t="s">
        <v>96</v>
      </c>
      <c r="B42" s="532" t="s">
        <v>97</v>
      </c>
      <c r="C42" s="934" t="s">
        <v>254</v>
      </c>
      <c r="D42" s="1139">
        <v>280</v>
      </c>
      <c r="E42" s="1140">
        <v>248</v>
      </c>
      <c r="F42" s="1864">
        <v>258</v>
      </c>
      <c r="G42" s="1864">
        <v>238</v>
      </c>
      <c r="H42" s="1864">
        <v>219</v>
      </c>
      <c r="I42" s="2169">
        <v>192</v>
      </c>
      <c r="J42" s="1701">
        <v>187</v>
      </c>
      <c r="K42" s="1139">
        <v>83</v>
      </c>
      <c r="L42" s="1140">
        <v>88</v>
      </c>
      <c r="M42" s="1359">
        <v>86</v>
      </c>
      <c r="N42" s="1864">
        <v>87</v>
      </c>
      <c r="O42" s="1864">
        <v>75</v>
      </c>
      <c r="P42" s="2169">
        <v>74</v>
      </c>
      <c r="Q42" s="1701">
        <v>75</v>
      </c>
      <c r="R42" s="1863">
        <v>47</v>
      </c>
      <c r="S42" s="1864">
        <v>28</v>
      </c>
      <c r="T42" s="1864">
        <v>24</v>
      </c>
      <c r="U42" s="1864">
        <v>23</v>
      </c>
      <c r="V42" s="1864">
        <v>16</v>
      </c>
      <c r="W42" s="2169">
        <v>20</v>
      </c>
      <c r="X42" s="1701">
        <v>17</v>
      </c>
      <c r="Y42" s="1860"/>
      <c r="Z42" s="1708">
        <v>83</v>
      </c>
      <c r="AA42" s="2219">
        <v>57</v>
      </c>
    </row>
    <row r="43" spans="1:27" ht="15.6" x14ac:dyDescent="0.3">
      <c r="A43" s="449" t="s">
        <v>98</v>
      </c>
      <c r="B43" s="532" t="s">
        <v>99</v>
      </c>
      <c r="C43" s="934" t="s">
        <v>256</v>
      </c>
      <c r="D43" s="1139">
        <v>1130</v>
      </c>
      <c r="E43" s="1140">
        <v>1059</v>
      </c>
      <c r="F43" s="1864">
        <v>1068</v>
      </c>
      <c r="G43" s="1864">
        <v>970</v>
      </c>
      <c r="H43" s="1864">
        <v>898</v>
      </c>
      <c r="I43" s="2169">
        <v>849</v>
      </c>
      <c r="J43" s="1701">
        <v>847</v>
      </c>
      <c r="K43" s="1139">
        <v>470</v>
      </c>
      <c r="L43" s="1140">
        <v>455</v>
      </c>
      <c r="M43" s="1359">
        <v>424</v>
      </c>
      <c r="N43" s="1864">
        <v>420</v>
      </c>
      <c r="O43" s="1864">
        <v>397</v>
      </c>
      <c r="P43" s="2169">
        <v>413</v>
      </c>
      <c r="Q43" s="1701">
        <v>406</v>
      </c>
      <c r="R43" s="1863">
        <v>163</v>
      </c>
      <c r="S43" s="1864">
        <v>169</v>
      </c>
      <c r="T43" s="1864">
        <v>126</v>
      </c>
      <c r="U43" s="1864">
        <v>99</v>
      </c>
      <c r="V43" s="1864">
        <v>80</v>
      </c>
      <c r="W43" s="2169">
        <v>74</v>
      </c>
      <c r="X43" s="1701">
        <v>90</v>
      </c>
      <c r="Y43" s="1860"/>
      <c r="Z43" s="1708">
        <v>410</v>
      </c>
      <c r="AA43" s="2219">
        <v>301</v>
      </c>
    </row>
    <row r="44" spans="1:27" ht="15.6" x14ac:dyDescent="0.3">
      <c r="A44" s="449" t="s">
        <v>100</v>
      </c>
      <c r="B44" s="532" t="s">
        <v>101</v>
      </c>
      <c r="C44" s="934" t="s">
        <v>255</v>
      </c>
      <c r="D44" s="1139">
        <v>325</v>
      </c>
      <c r="E44" s="1140">
        <v>255</v>
      </c>
      <c r="F44" s="1864">
        <v>282</v>
      </c>
      <c r="G44" s="1864">
        <v>277</v>
      </c>
      <c r="H44" s="1864">
        <v>242</v>
      </c>
      <c r="I44" s="2169">
        <v>255</v>
      </c>
      <c r="J44" s="1701">
        <v>246</v>
      </c>
      <c r="K44" s="1139">
        <v>127</v>
      </c>
      <c r="L44" s="1140">
        <v>145</v>
      </c>
      <c r="M44" s="1359">
        <v>174</v>
      </c>
      <c r="N44" s="1864">
        <v>135</v>
      </c>
      <c r="O44" s="1864">
        <v>116</v>
      </c>
      <c r="P44" s="2169">
        <v>131</v>
      </c>
      <c r="Q44" s="1701">
        <v>160</v>
      </c>
      <c r="R44" s="1863">
        <v>57</v>
      </c>
      <c r="S44" s="1864">
        <v>82</v>
      </c>
      <c r="T44" s="1864">
        <v>77</v>
      </c>
      <c r="U44" s="1864">
        <v>53</v>
      </c>
      <c r="V44" s="1864">
        <v>32</v>
      </c>
      <c r="W44" s="2169">
        <v>43</v>
      </c>
      <c r="X44" s="1701">
        <v>43</v>
      </c>
      <c r="Y44" s="1860"/>
      <c r="Z44" s="1708">
        <v>146</v>
      </c>
      <c r="AA44" s="2219">
        <v>101</v>
      </c>
    </row>
    <row r="45" spans="1:27" ht="15.6" x14ac:dyDescent="0.3">
      <c r="A45" s="449" t="s">
        <v>102</v>
      </c>
      <c r="B45" s="532" t="s">
        <v>270</v>
      </c>
      <c r="C45" s="934" t="s">
        <v>252</v>
      </c>
      <c r="D45" s="1139">
        <v>948</v>
      </c>
      <c r="E45" s="1140">
        <v>866</v>
      </c>
      <c r="F45" s="1864">
        <v>906</v>
      </c>
      <c r="G45" s="1864">
        <v>860</v>
      </c>
      <c r="H45" s="1864">
        <v>800</v>
      </c>
      <c r="I45" s="2169">
        <v>718</v>
      </c>
      <c r="J45" s="1701">
        <v>705</v>
      </c>
      <c r="K45" s="1139">
        <v>485</v>
      </c>
      <c r="L45" s="1140">
        <v>521</v>
      </c>
      <c r="M45" s="1359">
        <v>511</v>
      </c>
      <c r="N45" s="1864">
        <v>498</v>
      </c>
      <c r="O45" s="1864">
        <v>446</v>
      </c>
      <c r="P45" s="2169">
        <v>429</v>
      </c>
      <c r="Q45" s="1701">
        <v>466</v>
      </c>
      <c r="R45" s="1863">
        <v>110</v>
      </c>
      <c r="S45" s="1864">
        <v>123</v>
      </c>
      <c r="T45" s="1864">
        <v>126</v>
      </c>
      <c r="U45" s="1864">
        <v>102</v>
      </c>
      <c r="V45" s="1864">
        <v>72</v>
      </c>
      <c r="W45" s="2169">
        <v>85</v>
      </c>
      <c r="X45" s="1701">
        <v>61</v>
      </c>
      <c r="Y45" s="1860"/>
      <c r="Z45" s="1708">
        <v>488</v>
      </c>
      <c r="AA45" s="2219">
        <v>305</v>
      </c>
    </row>
    <row r="46" spans="1:27" ht="15.6" x14ac:dyDescent="0.3">
      <c r="A46" s="449" t="s">
        <v>104</v>
      </c>
      <c r="B46" s="532" t="s">
        <v>105</v>
      </c>
      <c r="C46" s="934" t="s">
        <v>253</v>
      </c>
      <c r="D46" s="1139">
        <v>2381</v>
      </c>
      <c r="E46" s="1140">
        <v>2229</v>
      </c>
      <c r="F46" s="1864">
        <v>2209</v>
      </c>
      <c r="G46" s="1864">
        <v>1995</v>
      </c>
      <c r="H46" s="1864">
        <v>1887</v>
      </c>
      <c r="I46" s="2169">
        <v>1790</v>
      </c>
      <c r="J46" s="1701">
        <v>1697</v>
      </c>
      <c r="K46" s="1139">
        <v>1037</v>
      </c>
      <c r="L46" s="1140">
        <v>1086</v>
      </c>
      <c r="M46" s="1359">
        <v>966</v>
      </c>
      <c r="N46" s="1864">
        <v>908</v>
      </c>
      <c r="O46" s="1864">
        <v>936</v>
      </c>
      <c r="P46" s="2169">
        <v>931</v>
      </c>
      <c r="Q46" s="1701">
        <v>976</v>
      </c>
      <c r="R46" s="1863">
        <v>484</v>
      </c>
      <c r="S46" s="1864">
        <v>447</v>
      </c>
      <c r="T46" s="1864">
        <v>407</v>
      </c>
      <c r="U46" s="1864">
        <v>310</v>
      </c>
      <c r="V46" s="1864">
        <v>261</v>
      </c>
      <c r="W46" s="2169">
        <v>291</v>
      </c>
      <c r="X46" s="1701">
        <v>256</v>
      </c>
      <c r="Y46" s="1860"/>
      <c r="Z46" s="1708">
        <v>1034</v>
      </c>
      <c r="AA46" s="2219">
        <v>670</v>
      </c>
    </row>
    <row r="47" spans="1:27" ht="15.6" x14ac:dyDescent="0.3">
      <c r="A47" s="449" t="s">
        <v>108</v>
      </c>
      <c r="B47" s="532" t="s">
        <v>109</v>
      </c>
      <c r="C47" s="934" t="s">
        <v>254</v>
      </c>
      <c r="D47" s="1139">
        <v>783</v>
      </c>
      <c r="E47" s="1140">
        <v>660</v>
      </c>
      <c r="F47" s="1864">
        <v>659</v>
      </c>
      <c r="G47" s="1864">
        <v>610</v>
      </c>
      <c r="H47" s="1864">
        <v>562</v>
      </c>
      <c r="I47" s="2169">
        <v>529</v>
      </c>
      <c r="J47" s="1701">
        <v>542</v>
      </c>
      <c r="K47" s="1139">
        <v>313</v>
      </c>
      <c r="L47" s="1140">
        <v>315</v>
      </c>
      <c r="M47" s="1359">
        <v>322</v>
      </c>
      <c r="N47" s="1864">
        <v>307</v>
      </c>
      <c r="O47" s="1864">
        <v>326</v>
      </c>
      <c r="P47" s="2169">
        <v>362</v>
      </c>
      <c r="Q47" s="1701">
        <v>353</v>
      </c>
      <c r="R47" s="1863">
        <v>127</v>
      </c>
      <c r="S47" s="1864">
        <v>98</v>
      </c>
      <c r="T47" s="1864">
        <v>81</v>
      </c>
      <c r="U47" s="1864">
        <v>62</v>
      </c>
      <c r="V47" s="1864">
        <v>62</v>
      </c>
      <c r="W47" s="2169">
        <v>75</v>
      </c>
      <c r="X47" s="1701">
        <v>86</v>
      </c>
      <c r="Y47" s="1860"/>
      <c r="Z47" s="1708">
        <v>344</v>
      </c>
      <c r="AA47" s="2219">
        <v>211</v>
      </c>
    </row>
    <row r="48" spans="1:27" ht="15.6" x14ac:dyDescent="0.3">
      <c r="A48" s="449" t="s">
        <v>110</v>
      </c>
      <c r="B48" s="532" t="s">
        <v>111</v>
      </c>
      <c r="C48" s="934" t="s">
        <v>254</v>
      </c>
      <c r="D48" s="1139">
        <v>3983</v>
      </c>
      <c r="E48" s="1140">
        <v>3456</v>
      </c>
      <c r="F48" s="1864">
        <v>3619</v>
      </c>
      <c r="G48" s="1864">
        <v>3206</v>
      </c>
      <c r="H48" s="1864">
        <v>3115</v>
      </c>
      <c r="I48" s="2169">
        <v>3086</v>
      </c>
      <c r="J48" s="1701">
        <v>3121</v>
      </c>
      <c r="K48" s="1139">
        <v>2239</v>
      </c>
      <c r="L48" s="1140">
        <v>1956</v>
      </c>
      <c r="M48" s="1359">
        <v>1184</v>
      </c>
      <c r="N48" s="1864">
        <v>1234</v>
      </c>
      <c r="O48" s="1864">
        <v>1894</v>
      </c>
      <c r="P48" s="2169">
        <v>2071</v>
      </c>
      <c r="Q48" s="1701">
        <v>2130</v>
      </c>
      <c r="R48" s="1863">
        <v>309</v>
      </c>
      <c r="S48" s="1864">
        <v>317</v>
      </c>
      <c r="T48" s="1864">
        <v>335</v>
      </c>
      <c r="U48" s="1864">
        <v>306</v>
      </c>
      <c r="V48" s="1864">
        <v>310</v>
      </c>
      <c r="W48" s="2169">
        <v>327</v>
      </c>
      <c r="X48" s="1701">
        <v>296</v>
      </c>
      <c r="Y48" s="1860"/>
      <c r="Z48" s="1708">
        <v>2053</v>
      </c>
      <c r="AA48" s="2219">
        <v>1153</v>
      </c>
    </row>
    <row r="49" spans="1:27" ht="15.6" x14ac:dyDescent="0.3">
      <c r="A49" s="449" t="s">
        <v>112</v>
      </c>
      <c r="B49" s="532" t="s">
        <v>288</v>
      </c>
      <c r="C49" s="934" t="s">
        <v>253</v>
      </c>
      <c r="D49" s="1139">
        <v>3798</v>
      </c>
      <c r="E49" s="1140">
        <v>3460</v>
      </c>
      <c r="F49" s="1864">
        <v>3483</v>
      </c>
      <c r="G49" s="1864">
        <v>3355</v>
      </c>
      <c r="H49" s="1864">
        <v>3092</v>
      </c>
      <c r="I49" s="2169">
        <v>3043</v>
      </c>
      <c r="J49" s="1701">
        <v>2916</v>
      </c>
      <c r="K49" s="1139">
        <v>1630</v>
      </c>
      <c r="L49" s="1140">
        <v>1705</v>
      </c>
      <c r="M49" s="1359">
        <v>1553</v>
      </c>
      <c r="N49" s="1864">
        <v>1714</v>
      </c>
      <c r="O49" s="1864">
        <v>1724</v>
      </c>
      <c r="P49" s="2169">
        <v>1766</v>
      </c>
      <c r="Q49" s="1701">
        <v>1705</v>
      </c>
      <c r="R49" s="1863">
        <v>707</v>
      </c>
      <c r="S49" s="1864">
        <v>699</v>
      </c>
      <c r="T49" s="1864">
        <v>640</v>
      </c>
      <c r="U49" s="1864">
        <v>464</v>
      </c>
      <c r="V49" s="1864">
        <v>465</v>
      </c>
      <c r="W49" s="2169">
        <v>470</v>
      </c>
      <c r="X49" s="1701">
        <v>482</v>
      </c>
      <c r="Y49" s="1860"/>
      <c r="Z49" s="1708">
        <v>1886</v>
      </c>
      <c r="AA49" s="2219">
        <v>1178</v>
      </c>
    </row>
    <row r="50" spans="1:27" ht="15.6" x14ac:dyDescent="0.3">
      <c r="A50" s="449" t="s">
        <v>114</v>
      </c>
      <c r="B50" s="532" t="s">
        <v>115</v>
      </c>
      <c r="C50" s="934" t="s">
        <v>253</v>
      </c>
      <c r="D50" s="1139">
        <v>50</v>
      </c>
      <c r="E50" s="1140">
        <v>51</v>
      </c>
      <c r="F50" s="1864">
        <v>50</v>
      </c>
      <c r="G50" s="1864">
        <v>48</v>
      </c>
      <c r="H50" s="1864">
        <v>41</v>
      </c>
      <c r="I50" s="2169">
        <v>39</v>
      </c>
      <c r="J50" s="1701">
        <v>37</v>
      </c>
      <c r="K50" s="1139">
        <v>20</v>
      </c>
      <c r="L50" s="1140">
        <v>12</v>
      </c>
      <c r="M50" s="1359">
        <v>26</v>
      </c>
      <c r="N50" s="1864">
        <v>12</v>
      </c>
      <c r="O50" s="1864">
        <v>17</v>
      </c>
      <c r="P50" s="2169">
        <v>18</v>
      </c>
      <c r="Q50" s="1701">
        <v>24</v>
      </c>
      <c r="R50" s="1863">
        <v>4</v>
      </c>
      <c r="S50" s="1864">
        <v>7</v>
      </c>
      <c r="T50" s="1864">
        <v>5</v>
      </c>
      <c r="U50" s="1864">
        <v>1</v>
      </c>
      <c r="V50" s="1864">
        <v>0</v>
      </c>
      <c r="W50" s="2169">
        <v>2</v>
      </c>
      <c r="X50" s="1701">
        <v>3</v>
      </c>
      <c r="Y50" s="1860"/>
      <c r="Z50" s="1708">
        <v>18</v>
      </c>
      <c r="AA50" s="2219">
        <v>17</v>
      </c>
    </row>
    <row r="51" spans="1:27" ht="15.6" x14ac:dyDescent="0.3">
      <c r="A51" s="449" t="s">
        <v>118</v>
      </c>
      <c r="B51" s="532" t="s">
        <v>258</v>
      </c>
      <c r="C51" s="934" t="s">
        <v>252</v>
      </c>
      <c r="D51" s="1139">
        <v>774</v>
      </c>
      <c r="E51" s="1140">
        <v>644</v>
      </c>
      <c r="F51" s="1864">
        <v>609</v>
      </c>
      <c r="G51" s="1864">
        <v>596</v>
      </c>
      <c r="H51" s="1864">
        <v>555</v>
      </c>
      <c r="I51" s="2169">
        <v>562</v>
      </c>
      <c r="J51" s="1701">
        <v>569</v>
      </c>
      <c r="K51" s="1139">
        <v>275</v>
      </c>
      <c r="L51" s="1140">
        <v>278</v>
      </c>
      <c r="M51" s="1359">
        <v>327</v>
      </c>
      <c r="N51" s="1864">
        <v>314</v>
      </c>
      <c r="O51" s="1864">
        <v>321</v>
      </c>
      <c r="P51" s="2169">
        <v>377</v>
      </c>
      <c r="Q51" s="1701">
        <v>366</v>
      </c>
      <c r="R51" s="1863">
        <v>67</v>
      </c>
      <c r="S51" s="1864">
        <v>78</v>
      </c>
      <c r="T51" s="1864">
        <v>59</v>
      </c>
      <c r="U51" s="1864">
        <v>64</v>
      </c>
      <c r="V51" s="1864">
        <v>49</v>
      </c>
      <c r="W51" s="2169">
        <v>87</v>
      </c>
      <c r="X51" s="1701">
        <v>73</v>
      </c>
      <c r="Y51" s="1860"/>
      <c r="Z51" s="1708">
        <v>335</v>
      </c>
      <c r="AA51" s="2219">
        <v>201</v>
      </c>
    </row>
    <row r="52" spans="1:27" ht="15.6" x14ac:dyDescent="0.3">
      <c r="A52" s="449" t="s">
        <v>120</v>
      </c>
      <c r="B52" s="532" t="s">
        <v>121</v>
      </c>
      <c r="C52" s="934" t="s">
        <v>252</v>
      </c>
      <c r="D52" s="1139">
        <v>622</v>
      </c>
      <c r="E52" s="1140">
        <v>544</v>
      </c>
      <c r="F52" s="1864">
        <v>553</v>
      </c>
      <c r="G52" s="1864">
        <v>471</v>
      </c>
      <c r="H52" s="1864">
        <v>442</v>
      </c>
      <c r="I52" s="2169">
        <v>427</v>
      </c>
      <c r="J52" s="1701">
        <v>377</v>
      </c>
      <c r="K52" s="1139">
        <v>322</v>
      </c>
      <c r="L52" s="1140">
        <v>292</v>
      </c>
      <c r="M52" s="1359">
        <v>273</v>
      </c>
      <c r="N52" s="1864">
        <v>266</v>
      </c>
      <c r="O52" s="1864">
        <v>267</v>
      </c>
      <c r="P52" s="2169">
        <v>258</v>
      </c>
      <c r="Q52" s="1701">
        <v>279</v>
      </c>
      <c r="R52" s="1863">
        <v>121</v>
      </c>
      <c r="S52" s="1864">
        <v>109</v>
      </c>
      <c r="T52" s="1864">
        <v>83</v>
      </c>
      <c r="U52" s="1864">
        <v>76</v>
      </c>
      <c r="V52" s="1864">
        <v>49</v>
      </c>
      <c r="W52" s="2169">
        <v>35</v>
      </c>
      <c r="X52" s="1701">
        <v>41</v>
      </c>
      <c r="Y52" s="1860"/>
      <c r="Z52" s="1708">
        <v>312</v>
      </c>
      <c r="AA52" s="2219">
        <v>204</v>
      </c>
    </row>
    <row r="53" spans="1:27" ht="15.6" x14ac:dyDescent="0.3">
      <c r="A53" s="449" t="s">
        <v>122</v>
      </c>
      <c r="B53" s="532" t="s">
        <v>275</v>
      </c>
      <c r="C53" s="934" t="s">
        <v>254</v>
      </c>
      <c r="D53" s="1139">
        <v>258</v>
      </c>
      <c r="E53" s="1140">
        <v>230</v>
      </c>
      <c r="F53" s="1864">
        <v>247</v>
      </c>
      <c r="G53" s="1864">
        <v>230</v>
      </c>
      <c r="H53" s="1864">
        <v>202</v>
      </c>
      <c r="I53" s="2169">
        <v>181</v>
      </c>
      <c r="J53" s="1701">
        <v>180</v>
      </c>
      <c r="K53" s="1139">
        <v>68</v>
      </c>
      <c r="L53" s="1140">
        <v>78</v>
      </c>
      <c r="M53" s="1359">
        <v>90</v>
      </c>
      <c r="N53" s="1864">
        <v>80</v>
      </c>
      <c r="O53" s="1864">
        <v>79</v>
      </c>
      <c r="P53" s="2169">
        <v>81</v>
      </c>
      <c r="Q53" s="1701">
        <v>73</v>
      </c>
      <c r="R53" s="1863">
        <v>56</v>
      </c>
      <c r="S53" s="1864">
        <v>65</v>
      </c>
      <c r="T53" s="1864">
        <v>64</v>
      </c>
      <c r="U53" s="1864">
        <v>34</v>
      </c>
      <c r="V53" s="1864">
        <v>37</v>
      </c>
      <c r="W53" s="2169">
        <v>34</v>
      </c>
      <c r="X53" s="1701">
        <v>30</v>
      </c>
      <c r="Y53" s="1860"/>
      <c r="Z53" s="1708">
        <v>85</v>
      </c>
      <c r="AA53" s="2219">
        <v>47</v>
      </c>
    </row>
    <row r="54" spans="1:27" ht="15.6" x14ac:dyDescent="0.3">
      <c r="A54" s="449" t="s">
        <v>124</v>
      </c>
      <c r="B54" s="532" t="s">
        <v>125</v>
      </c>
      <c r="C54" s="934" t="s">
        <v>255</v>
      </c>
      <c r="D54" s="1139">
        <v>383</v>
      </c>
      <c r="E54" s="1140">
        <v>353</v>
      </c>
      <c r="F54" s="1864">
        <v>351</v>
      </c>
      <c r="G54" s="1864">
        <v>278</v>
      </c>
      <c r="H54" s="1864">
        <v>288</v>
      </c>
      <c r="I54" s="2169">
        <v>253</v>
      </c>
      <c r="J54" s="1701">
        <v>237</v>
      </c>
      <c r="K54" s="1139">
        <v>150</v>
      </c>
      <c r="L54" s="1140">
        <v>163</v>
      </c>
      <c r="M54" s="1359">
        <v>113</v>
      </c>
      <c r="N54" s="1864">
        <v>127</v>
      </c>
      <c r="O54" s="1864">
        <v>130</v>
      </c>
      <c r="P54" s="2169">
        <v>137</v>
      </c>
      <c r="Q54" s="1701">
        <v>121</v>
      </c>
      <c r="R54" s="1863">
        <v>129</v>
      </c>
      <c r="S54" s="1864">
        <v>131</v>
      </c>
      <c r="T54" s="1864">
        <v>119</v>
      </c>
      <c r="U54" s="1864">
        <v>53</v>
      </c>
      <c r="V54" s="1864">
        <v>57</v>
      </c>
      <c r="W54" s="2169">
        <v>65</v>
      </c>
      <c r="X54" s="1701">
        <v>59</v>
      </c>
      <c r="Y54" s="1860"/>
      <c r="Z54" s="1708">
        <v>112</v>
      </c>
      <c r="AA54" s="2219">
        <v>56</v>
      </c>
    </row>
    <row r="55" spans="1:27" ht="15.6" x14ac:dyDescent="0.3">
      <c r="A55" s="449" t="s">
        <v>126</v>
      </c>
      <c r="B55" s="532" t="s">
        <v>127</v>
      </c>
      <c r="C55" s="934" t="s">
        <v>254</v>
      </c>
      <c r="D55" s="1139">
        <v>282</v>
      </c>
      <c r="E55" s="1140">
        <v>270</v>
      </c>
      <c r="F55" s="1864">
        <v>252</v>
      </c>
      <c r="G55" s="1864">
        <v>233</v>
      </c>
      <c r="H55" s="1864">
        <v>190</v>
      </c>
      <c r="I55" s="2169">
        <v>198</v>
      </c>
      <c r="J55" s="1701">
        <v>205</v>
      </c>
      <c r="K55" s="1139">
        <v>104</v>
      </c>
      <c r="L55" s="1140">
        <v>104</v>
      </c>
      <c r="M55" s="1359">
        <v>90</v>
      </c>
      <c r="N55" s="1864">
        <v>77</v>
      </c>
      <c r="O55" s="1864">
        <v>79</v>
      </c>
      <c r="P55" s="2169">
        <v>102</v>
      </c>
      <c r="Q55" s="1701">
        <v>115</v>
      </c>
      <c r="R55" s="1863">
        <v>64</v>
      </c>
      <c r="S55" s="1864">
        <v>43</v>
      </c>
      <c r="T55" s="1864">
        <v>67</v>
      </c>
      <c r="U55" s="1864">
        <v>26</v>
      </c>
      <c r="V55" s="1864">
        <v>44</v>
      </c>
      <c r="W55" s="2169">
        <v>41</v>
      </c>
      <c r="X55" s="1701">
        <v>40</v>
      </c>
      <c r="Y55" s="1860"/>
      <c r="Z55" s="1708">
        <v>95</v>
      </c>
      <c r="AA55" s="2219">
        <v>59</v>
      </c>
    </row>
    <row r="56" spans="1:27" ht="15.6" x14ac:dyDescent="0.3">
      <c r="A56" s="449" t="s">
        <v>128</v>
      </c>
      <c r="B56" s="532" t="s">
        <v>129</v>
      </c>
      <c r="C56" s="934" t="s">
        <v>254</v>
      </c>
      <c r="D56" s="1139">
        <v>477</v>
      </c>
      <c r="E56" s="1140">
        <v>411</v>
      </c>
      <c r="F56" s="1864">
        <v>429</v>
      </c>
      <c r="G56" s="1864">
        <v>402</v>
      </c>
      <c r="H56" s="1864">
        <v>374</v>
      </c>
      <c r="I56" s="2169">
        <v>368</v>
      </c>
      <c r="J56" s="1701">
        <v>339</v>
      </c>
      <c r="K56" s="1139">
        <v>177</v>
      </c>
      <c r="L56" s="1140">
        <v>181</v>
      </c>
      <c r="M56" s="1359">
        <v>210</v>
      </c>
      <c r="N56" s="1864">
        <v>199</v>
      </c>
      <c r="O56" s="1864">
        <v>190</v>
      </c>
      <c r="P56" s="2169">
        <v>198</v>
      </c>
      <c r="Q56" s="1701">
        <v>199</v>
      </c>
      <c r="R56" s="1863">
        <v>138</v>
      </c>
      <c r="S56" s="1864">
        <v>155</v>
      </c>
      <c r="T56" s="1864">
        <v>138</v>
      </c>
      <c r="U56" s="1864">
        <v>112</v>
      </c>
      <c r="V56" s="1864">
        <v>98</v>
      </c>
      <c r="W56" s="2169">
        <v>100</v>
      </c>
      <c r="X56" s="1701">
        <v>78</v>
      </c>
      <c r="Y56" s="1860"/>
      <c r="Z56" s="1708">
        <v>209</v>
      </c>
      <c r="AA56" s="2219">
        <v>131</v>
      </c>
    </row>
    <row r="57" spans="1:27" ht="15.6" x14ac:dyDescent="0.3">
      <c r="A57" s="449" t="s">
        <v>130</v>
      </c>
      <c r="B57" s="532" t="s">
        <v>131</v>
      </c>
      <c r="C57" s="934" t="s">
        <v>256</v>
      </c>
      <c r="D57" s="1139">
        <v>2312</v>
      </c>
      <c r="E57" s="1140">
        <v>2170</v>
      </c>
      <c r="F57" s="1864">
        <v>2323</v>
      </c>
      <c r="G57" s="1864">
        <v>2209</v>
      </c>
      <c r="H57" s="1864">
        <v>2209</v>
      </c>
      <c r="I57" s="2169">
        <v>2168</v>
      </c>
      <c r="J57" s="1701">
        <v>2019</v>
      </c>
      <c r="K57" s="1139">
        <v>1170</v>
      </c>
      <c r="L57" s="1140">
        <v>1296</v>
      </c>
      <c r="M57" s="1359">
        <v>1235</v>
      </c>
      <c r="N57" s="1864">
        <v>1290</v>
      </c>
      <c r="O57" s="1864">
        <v>1282</v>
      </c>
      <c r="P57" s="2169">
        <v>1352</v>
      </c>
      <c r="Q57" s="1701">
        <v>1246</v>
      </c>
      <c r="R57" s="1863">
        <v>641</v>
      </c>
      <c r="S57" s="1864">
        <v>767</v>
      </c>
      <c r="T57" s="1864">
        <v>595</v>
      </c>
      <c r="U57" s="1864">
        <v>627</v>
      </c>
      <c r="V57" s="1864">
        <v>628</v>
      </c>
      <c r="W57" s="2169">
        <v>767</v>
      </c>
      <c r="X57" s="1701">
        <v>623</v>
      </c>
      <c r="Y57" s="1860"/>
      <c r="Z57" s="1708">
        <v>1342</v>
      </c>
      <c r="AA57" s="2219">
        <v>948</v>
      </c>
    </row>
    <row r="58" spans="1:27" ht="15.6" x14ac:dyDescent="0.3">
      <c r="A58" s="449" t="s">
        <v>132</v>
      </c>
      <c r="B58" s="532" t="s">
        <v>133</v>
      </c>
      <c r="C58" s="934" t="s">
        <v>255</v>
      </c>
      <c r="D58" s="1139">
        <v>282</v>
      </c>
      <c r="E58" s="1140">
        <v>273</v>
      </c>
      <c r="F58" s="1864">
        <v>245</v>
      </c>
      <c r="G58" s="1864">
        <v>269</v>
      </c>
      <c r="H58" s="1864">
        <v>242</v>
      </c>
      <c r="I58" s="2169">
        <v>238</v>
      </c>
      <c r="J58" s="1701">
        <v>259</v>
      </c>
      <c r="K58" s="1139">
        <v>131</v>
      </c>
      <c r="L58" s="1140">
        <v>116</v>
      </c>
      <c r="M58" s="1359">
        <v>118</v>
      </c>
      <c r="N58" s="1864">
        <v>132</v>
      </c>
      <c r="O58" s="1864">
        <v>127</v>
      </c>
      <c r="P58" s="2169">
        <v>161</v>
      </c>
      <c r="Q58" s="1701">
        <v>159</v>
      </c>
      <c r="R58" s="1863">
        <v>13</v>
      </c>
      <c r="S58" s="1864">
        <v>8</v>
      </c>
      <c r="T58" s="1864">
        <v>15</v>
      </c>
      <c r="U58" s="1864">
        <v>10</v>
      </c>
      <c r="V58" s="1864">
        <v>14</v>
      </c>
      <c r="W58" s="2169">
        <v>9</v>
      </c>
      <c r="X58" s="1701">
        <v>28</v>
      </c>
      <c r="Y58" s="1860"/>
      <c r="Z58" s="1708">
        <v>134</v>
      </c>
      <c r="AA58" s="2219">
        <v>87</v>
      </c>
    </row>
    <row r="59" spans="1:27" ht="15.6" x14ac:dyDescent="0.3">
      <c r="A59" s="449" t="s">
        <v>134</v>
      </c>
      <c r="B59" s="532" t="s">
        <v>135</v>
      </c>
      <c r="C59" s="934" t="s">
        <v>255</v>
      </c>
      <c r="D59" s="1139">
        <v>934</v>
      </c>
      <c r="E59" s="1140">
        <v>878</v>
      </c>
      <c r="F59" s="1864">
        <v>912</v>
      </c>
      <c r="G59" s="1864">
        <v>820</v>
      </c>
      <c r="H59" s="1864">
        <v>701</v>
      </c>
      <c r="I59" s="2169">
        <v>688</v>
      </c>
      <c r="J59" s="1701">
        <v>660</v>
      </c>
      <c r="K59" s="1139">
        <v>466</v>
      </c>
      <c r="L59" s="1140">
        <v>458</v>
      </c>
      <c r="M59" s="1359">
        <v>411</v>
      </c>
      <c r="N59" s="1864">
        <v>394</v>
      </c>
      <c r="O59" s="1864">
        <v>383</v>
      </c>
      <c r="P59" s="2169">
        <v>358</v>
      </c>
      <c r="Q59" s="1701">
        <v>350</v>
      </c>
      <c r="R59" s="1863">
        <v>214</v>
      </c>
      <c r="S59" s="1864">
        <v>273</v>
      </c>
      <c r="T59" s="1864">
        <v>213</v>
      </c>
      <c r="U59" s="1864">
        <v>108</v>
      </c>
      <c r="V59" s="1864">
        <v>105</v>
      </c>
      <c r="W59" s="2169">
        <v>123</v>
      </c>
      <c r="X59" s="1701">
        <v>123</v>
      </c>
      <c r="Y59" s="1860"/>
      <c r="Z59" s="1708">
        <v>420</v>
      </c>
      <c r="AA59" s="2219">
        <v>278</v>
      </c>
    </row>
    <row r="60" spans="1:27" ht="15.6" x14ac:dyDescent="0.3">
      <c r="A60" s="449" t="s">
        <v>136</v>
      </c>
      <c r="B60" s="532" t="s">
        <v>137</v>
      </c>
      <c r="C60" s="934" t="s">
        <v>254</v>
      </c>
      <c r="D60" s="1139">
        <v>760</v>
      </c>
      <c r="E60" s="1140">
        <v>702</v>
      </c>
      <c r="F60" s="1864">
        <v>732</v>
      </c>
      <c r="G60" s="1864">
        <v>675</v>
      </c>
      <c r="H60" s="1864">
        <v>621</v>
      </c>
      <c r="I60" s="2169">
        <v>593</v>
      </c>
      <c r="J60" s="1701">
        <v>572</v>
      </c>
      <c r="K60" s="1139">
        <v>380</v>
      </c>
      <c r="L60" s="1140">
        <v>435</v>
      </c>
      <c r="M60" s="1359">
        <v>393</v>
      </c>
      <c r="N60" s="1864">
        <v>388</v>
      </c>
      <c r="O60" s="1864">
        <v>364</v>
      </c>
      <c r="P60" s="2169">
        <v>379</v>
      </c>
      <c r="Q60" s="1701">
        <v>372</v>
      </c>
      <c r="R60" s="1863">
        <v>217</v>
      </c>
      <c r="S60" s="1864">
        <v>213</v>
      </c>
      <c r="T60" s="1864">
        <v>233</v>
      </c>
      <c r="U60" s="1864">
        <v>128</v>
      </c>
      <c r="V60" s="1864">
        <v>127</v>
      </c>
      <c r="W60" s="2169">
        <v>158</v>
      </c>
      <c r="X60" s="1701">
        <v>136</v>
      </c>
      <c r="Y60" s="1860"/>
      <c r="Z60" s="1708">
        <v>365</v>
      </c>
      <c r="AA60" s="2219">
        <v>234</v>
      </c>
    </row>
    <row r="61" spans="1:27" ht="15.6" x14ac:dyDescent="0.3">
      <c r="A61" s="449" t="s">
        <v>140</v>
      </c>
      <c r="B61" s="532" t="s">
        <v>141</v>
      </c>
      <c r="C61" s="934" t="s">
        <v>255</v>
      </c>
      <c r="D61" s="1139">
        <v>264</v>
      </c>
      <c r="E61" s="1140">
        <v>240</v>
      </c>
      <c r="F61" s="1864">
        <v>253</v>
      </c>
      <c r="G61" s="1864">
        <v>241</v>
      </c>
      <c r="H61" s="1864">
        <v>214</v>
      </c>
      <c r="I61" s="2169">
        <v>172</v>
      </c>
      <c r="J61" s="1701">
        <v>165</v>
      </c>
      <c r="K61" s="1139">
        <v>101</v>
      </c>
      <c r="L61" s="1140">
        <v>110</v>
      </c>
      <c r="M61" s="1359">
        <v>101</v>
      </c>
      <c r="N61" s="1864">
        <v>97</v>
      </c>
      <c r="O61" s="1864">
        <v>68</v>
      </c>
      <c r="P61" s="2169">
        <v>85</v>
      </c>
      <c r="Q61" s="1701">
        <v>65</v>
      </c>
      <c r="R61" s="1863">
        <v>50</v>
      </c>
      <c r="S61" s="1864">
        <v>69</v>
      </c>
      <c r="T61" s="1864">
        <v>39</v>
      </c>
      <c r="U61" s="1864">
        <v>33</v>
      </c>
      <c r="V61" s="1864">
        <v>22</v>
      </c>
      <c r="W61" s="2169">
        <v>16</v>
      </c>
      <c r="X61" s="1701">
        <v>23</v>
      </c>
      <c r="Y61" s="1860"/>
      <c r="Z61" s="1708">
        <v>85</v>
      </c>
      <c r="AA61" s="2219">
        <v>59</v>
      </c>
    </row>
    <row r="62" spans="1:27" ht="15.6" x14ac:dyDescent="0.3">
      <c r="A62" s="449" t="s">
        <v>146</v>
      </c>
      <c r="B62" s="532" t="s">
        <v>147</v>
      </c>
      <c r="C62" s="934" t="s">
        <v>252</v>
      </c>
      <c r="D62" s="1139">
        <v>198</v>
      </c>
      <c r="E62" s="1140">
        <v>200</v>
      </c>
      <c r="F62" s="1864">
        <v>196</v>
      </c>
      <c r="G62" s="1864">
        <v>189</v>
      </c>
      <c r="H62" s="1864">
        <v>163</v>
      </c>
      <c r="I62" s="2169">
        <v>162</v>
      </c>
      <c r="J62" s="1701">
        <v>140</v>
      </c>
      <c r="K62" s="1139">
        <v>97</v>
      </c>
      <c r="L62" s="1140">
        <v>115</v>
      </c>
      <c r="M62" s="1359">
        <v>96</v>
      </c>
      <c r="N62" s="1864">
        <v>88</v>
      </c>
      <c r="O62" s="1864">
        <v>76</v>
      </c>
      <c r="P62" s="2169">
        <v>73</v>
      </c>
      <c r="Q62" s="1701">
        <v>93</v>
      </c>
      <c r="R62" s="1863">
        <v>39</v>
      </c>
      <c r="S62" s="1864">
        <v>54</v>
      </c>
      <c r="T62" s="1864">
        <v>41</v>
      </c>
      <c r="U62" s="1864">
        <v>27</v>
      </c>
      <c r="V62" s="1864">
        <v>25</v>
      </c>
      <c r="W62" s="2169">
        <v>35</v>
      </c>
      <c r="X62" s="1701">
        <v>26</v>
      </c>
      <c r="Y62" s="1860"/>
      <c r="Z62" s="1708">
        <v>81</v>
      </c>
      <c r="AA62" s="2219">
        <v>52</v>
      </c>
    </row>
    <row r="63" spans="1:27" ht="15.6" x14ac:dyDescent="0.3">
      <c r="A63" s="449" t="s">
        <v>148</v>
      </c>
      <c r="B63" s="532" t="s">
        <v>149</v>
      </c>
      <c r="C63" s="934" t="s">
        <v>253</v>
      </c>
      <c r="D63" s="1139">
        <v>1718</v>
      </c>
      <c r="E63" s="1140">
        <v>1589</v>
      </c>
      <c r="F63" s="1864">
        <v>1581</v>
      </c>
      <c r="G63" s="1864">
        <v>1474</v>
      </c>
      <c r="H63" s="1864">
        <v>1335</v>
      </c>
      <c r="I63" s="2169">
        <v>1292</v>
      </c>
      <c r="J63" s="1701">
        <v>1255</v>
      </c>
      <c r="K63" s="1139">
        <v>778</v>
      </c>
      <c r="L63" s="1140">
        <v>796</v>
      </c>
      <c r="M63" s="1359">
        <v>802</v>
      </c>
      <c r="N63" s="1864">
        <v>732</v>
      </c>
      <c r="O63" s="1864">
        <v>765</v>
      </c>
      <c r="P63" s="2169">
        <v>775</v>
      </c>
      <c r="Q63" s="1701">
        <v>699</v>
      </c>
      <c r="R63" s="1863">
        <v>384</v>
      </c>
      <c r="S63" s="1864">
        <v>371</v>
      </c>
      <c r="T63" s="1864">
        <v>330</v>
      </c>
      <c r="U63" s="1864">
        <v>274</v>
      </c>
      <c r="V63" s="1864">
        <v>229</v>
      </c>
      <c r="W63" s="2169">
        <v>274</v>
      </c>
      <c r="X63" s="1701">
        <v>244</v>
      </c>
      <c r="Y63" s="1860"/>
      <c r="Z63" s="1708">
        <v>811</v>
      </c>
      <c r="AA63" s="2219">
        <v>496</v>
      </c>
    </row>
    <row r="64" spans="1:27" ht="15.6" x14ac:dyDescent="0.3">
      <c r="A64" s="449" t="s">
        <v>150</v>
      </c>
      <c r="B64" s="532" t="s">
        <v>151</v>
      </c>
      <c r="C64" s="934" t="s">
        <v>254</v>
      </c>
      <c r="D64" s="1139">
        <v>327</v>
      </c>
      <c r="E64" s="1140">
        <v>301</v>
      </c>
      <c r="F64" s="1864">
        <v>316</v>
      </c>
      <c r="G64" s="1864">
        <v>293</v>
      </c>
      <c r="H64" s="1864">
        <v>273</v>
      </c>
      <c r="I64" s="2169">
        <v>248</v>
      </c>
      <c r="J64" s="1701">
        <v>266</v>
      </c>
      <c r="K64" s="1139">
        <v>122</v>
      </c>
      <c r="L64" s="1140">
        <v>158</v>
      </c>
      <c r="M64" s="1359">
        <v>106</v>
      </c>
      <c r="N64" s="1864">
        <v>105</v>
      </c>
      <c r="O64" s="1864">
        <v>114</v>
      </c>
      <c r="P64" s="2169">
        <v>121</v>
      </c>
      <c r="Q64" s="1701">
        <v>137</v>
      </c>
      <c r="R64" s="1863">
        <v>79</v>
      </c>
      <c r="S64" s="1864">
        <v>104</v>
      </c>
      <c r="T64" s="1864">
        <v>110</v>
      </c>
      <c r="U64" s="1864">
        <v>56</v>
      </c>
      <c r="V64" s="1864">
        <v>61</v>
      </c>
      <c r="W64" s="2169">
        <v>64</v>
      </c>
      <c r="X64" s="1701">
        <v>60</v>
      </c>
      <c r="Y64" s="1860"/>
      <c r="Z64" s="1708">
        <v>132</v>
      </c>
      <c r="AA64" s="2219">
        <v>64</v>
      </c>
    </row>
    <row r="65" spans="1:27" ht="15.6" x14ac:dyDescent="0.3">
      <c r="A65" s="449" t="s">
        <v>152</v>
      </c>
      <c r="B65" s="532" t="s">
        <v>153</v>
      </c>
      <c r="C65" s="934" t="s">
        <v>256</v>
      </c>
      <c r="D65" s="1139">
        <v>1688</v>
      </c>
      <c r="E65" s="1140">
        <v>1559</v>
      </c>
      <c r="F65" s="1864">
        <v>1574</v>
      </c>
      <c r="G65" s="1864">
        <v>1427</v>
      </c>
      <c r="H65" s="1864">
        <v>1344</v>
      </c>
      <c r="I65" s="2169">
        <v>1384</v>
      </c>
      <c r="J65" s="1701">
        <v>1348</v>
      </c>
      <c r="K65" s="1139">
        <v>825</v>
      </c>
      <c r="L65" s="1140">
        <v>791</v>
      </c>
      <c r="M65" s="1359">
        <v>844</v>
      </c>
      <c r="N65" s="1864">
        <v>843</v>
      </c>
      <c r="O65" s="1864">
        <v>830</v>
      </c>
      <c r="P65" s="2169">
        <v>914</v>
      </c>
      <c r="Q65" s="1701">
        <v>876</v>
      </c>
      <c r="R65" s="1863">
        <v>320</v>
      </c>
      <c r="S65" s="1864">
        <v>314</v>
      </c>
      <c r="T65" s="1864">
        <v>262</v>
      </c>
      <c r="U65" s="1864">
        <v>196</v>
      </c>
      <c r="V65" s="1864">
        <v>169</v>
      </c>
      <c r="W65" s="2169">
        <v>210</v>
      </c>
      <c r="X65" s="1701">
        <v>169</v>
      </c>
      <c r="Y65" s="1860"/>
      <c r="Z65" s="1708">
        <v>860</v>
      </c>
      <c r="AA65" s="2219">
        <v>490</v>
      </c>
    </row>
    <row r="66" spans="1:27" ht="15.6" x14ac:dyDescent="0.3">
      <c r="A66" s="449" t="s">
        <v>154</v>
      </c>
      <c r="B66" s="532" t="s">
        <v>155</v>
      </c>
      <c r="C66" s="934" t="s">
        <v>253</v>
      </c>
      <c r="D66" s="1139">
        <v>619</v>
      </c>
      <c r="E66" s="1140">
        <v>606</v>
      </c>
      <c r="F66" s="1864">
        <v>616</v>
      </c>
      <c r="G66" s="1864">
        <v>551</v>
      </c>
      <c r="H66" s="1864">
        <v>495</v>
      </c>
      <c r="I66" s="2169">
        <v>473</v>
      </c>
      <c r="J66" s="1701">
        <v>452</v>
      </c>
      <c r="K66" s="1139">
        <v>310</v>
      </c>
      <c r="L66" s="1140">
        <v>303</v>
      </c>
      <c r="M66" s="1359">
        <v>280</v>
      </c>
      <c r="N66" s="1864">
        <v>255</v>
      </c>
      <c r="O66" s="1864">
        <v>225</v>
      </c>
      <c r="P66" s="2169">
        <v>229</v>
      </c>
      <c r="Q66" s="1701">
        <v>235</v>
      </c>
      <c r="R66" s="1863">
        <v>177</v>
      </c>
      <c r="S66" s="1864">
        <v>190</v>
      </c>
      <c r="T66" s="1864">
        <v>145</v>
      </c>
      <c r="U66" s="1864">
        <v>87</v>
      </c>
      <c r="V66" s="1864">
        <v>80</v>
      </c>
      <c r="W66" s="2169">
        <v>111</v>
      </c>
      <c r="X66" s="1701">
        <v>111</v>
      </c>
      <c r="Y66" s="1860"/>
      <c r="Z66" s="1708">
        <v>247</v>
      </c>
      <c r="AA66" s="2219">
        <v>163</v>
      </c>
    </row>
    <row r="67" spans="1:27" ht="15.6" x14ac:dyDescent="0.3">
      <c r="A67" s="449" t="s">
        <v>156</v>
      </c>
      <c r="B67" s="532" t="s">
        <v>157</v>
      </c>
      <c r="C67" s="934" t="s">
        <v>254</v>
      </c>
      <c r="D67" s="1139">
        <v>127</v>
      </c>
      <c r="E67" s="1140">
        <v>109</v>
      </c>
      <c r="F67" s="1864">
        <v>116</v>
      </c>
      <c r="G67" s="1864">
        <v>97</v>
      </c>
      <c r="H67" s="1864">
        <v>99</v>
      </c>
      <c r="I67" s="2169">
        <v>86</v>
      </c>
      <c r="J67" s="1701">
        <v>91</v>
      </c>
      <c r="K67" s="1139">
        <v>38</v>
      </c>
      <c r="L67" s="1140">
        <v>50</v>
      </c>
      <c r="M67" s="1359">
        <v>38</v>
      </c>
      <c r="N67" s="1864">
        <v>36</v>
      </c>
      <c r="O67" s="1864">
        <v>39</v>
      </c>
      <c r="P67" s="2169">
        <v>29</v>
      </c>
      <c r="Q67" s="1701">
        <v>30</v>
      </c>
      <c r="R67" s="1863">
        <v>33</v>
      </c>
      <c r="S67" s="1864">
        <v>43</v>
      </c>
      <c r="T67" s="1864">
        <v>37</v>
      </c>
      <c r="U67" s="1864">
        <v>28</v>
      </c>
      <c r="V67" s="1864">
        <v>17</v>
      </c>
      <c r="W67" s="2169">
        <v>21</v>
      </c>
      <c r="X67" s="1701">
        <v>27</v>
      </c>
      <c r="Y67" s="1860"/>
      <c r="Z67" s="1708">
        <v>44</v>
      </c>
      <c r="AA67" s="2219">
        <v>24</v>
      </c>
    </row>
    <row r="68" spans="1:27" ht="15.6" x14ac:dyDescent="0.3">
      <c r="A68" s="449" t="s">
        <v>162</v>
      </c>
      <c r="B68" s="532" t="s">
        <v>163</v>
      </c>
      <c r="C68" s="934" t="s">
        <v>252</v>
      </c>
      <c r="D68" s="1139">
        <v>975</v>
      </c>
      <c r="E68" s="1140">
        <v>898</v>
      </c>
      <c r="F68" s="1864">
        <v>913</v>
      </c>
      <c r="G68" s="1864">
        <v>872</v>
      </c>
      <c r="H68" s="1864">
        <v>845</v>
      </c>
      <c r="I68" s="2169">
        <v>789</v>
      </c>
      <c r="J68" s="1701">
        <v>774</v>
      </c>
      <c r="K68" s="1139">
        <v>476</v>
      </c>
      <c r="L68" s="1140">
        <v>483</v>
      </c>
      <c r="M68" s="1359">
        <v>479</v>
      </c>
      <c r="N68" s="1864">
        <v>464</v>
      </c>
      <c r="O68" s="1864">
        <v>449</v>
      </c>
      <c r="P68" s="2169">
        <v>415</v>
      </c>
      <c r="Q68" s="1701">
        <v>482</v>
      </c>
      <c r="R68" s="1863">
        <v>291</v>
      </c>
      <c r="S68" s="1864">
        <v>345</v>
      </c>
      <c r="T68" s="1864">
        <v>299</v>
      </c>
      <c r="U68" s="1864">
        <v>241</v>
      </c>
      <c r="V68" s="1864">
        <v>197</v>
      </c>
      <c r="W68" s="2169">
        <v>217</v>
      </c>
      <c r="X68" s="1701">
        <v>202</v>
      </c>
      <c r="Y68" s="1860"/>
      <c r="Z68" s="1708">
        <v>481</v>
      </c>
      <c r="AA68" s="2219">
        <v>369</v>
      </c>
    </row>
    <row r="69" spans="1:27" ht="15.6" x14ac:dyDescent="0.3">
      <c r="A69" s="449" t="s">
        <v>164</v>
      </c>
      <c r="B69" s="532" t="s">
        <v>165</v>
      </c>
      <c r="C69" s="934" t="s">
        <v>254</v>
      </c>
      <c r="D69" s="1139">
        <v>444</v>
      </c>
      <c r="E69" s="1140">
        <v>427</v>
      </c>
      <c r="F69" s="1864">
        <v>460</v>
      </c>
      <c r="G69" s="1864">
        <v>423</v>
      </c>
      <c r="H69" s="1864">
        <v>389</v>
      </c>
      <c r="I69" s="2169">
        <v>393</v>
      </c>
      <c r="J69" s="1701">
        <v>398</v>
      </c>
      <c r="K69" s="1139">
        <v>183</v>
      </c>
      <c r="L69" s="1140">
        <v>188</v>
      </c>
      <c r="M69" s="1359">
        <v>180</v>
      </c>
      <c r="N69" s="1864">
        <v>192</v>
      </c>
      <c r="O69" s="1864">
        <v>194</v>
      </c>
      <c r="P69" s="2169">
        <v>210</v>
      </c>
      <c r="Q69" s="1701">
        <v>230</v>
      </c>
      <c r="R69" s="1863">
        <v>179</v>
      </c>
      <c r="S69" s="1864">
        <v>219</v>
      </c>
      <c r="T69" s="1864">
        <v>192</v>
      </c>
      <c r="U69" s="1864">
        <v>139</v>
      </c>
      <c r="V69" s="1864">
        <v>109</v>
      </c>
      <c r="W69" s="2169">
        <v>143</v>
      </c>
      <c r="X69" s="1701">
        <v>117</v>
      </c>
      <c r="Y69" s="1860"/>
      <c r="Z69" s="1708">
        <v>215</v>
      </c>
      <c r="AA69" s="2219">
        <v>148</v>
      </c>
    </row>
    <row r="70" spans="1:27" ht="15.6" x14ac:dyDescent="0.3">
      <c r="A70" s="449" t="s">
        <v>168</v>
      </c>
      <c r="B70" s="532" t="s">
        <v>169</v>
      </c>
      <c r="C70" s="934" t="s">
        <v>254</v>
      </c>
      <c r="D70" s="1139">
        <v>826</v>
      </c>
      <c r="E70" s="1140">
        <v>770</v>
      </c>
      <c r="F70" s="1864">
        <v>789</v>
      </c>
      <c r="G70" s="1864">
        <v>717</v>
      </c>
      <c r="H70" s="1864">
        <v>687</v>
      </c>
      <c r="I70" s="2169">
        <v>670</v>
      </c>
      <c r="J70" s="1701">
        <v>648</v>
      </c>
      <c r="K70" s="1139">
        <v>354</v>
      </c>
      <c r="L70" s="1140">
        <v>362</v>
      </c>
      <c r="M70" s="1359">
        <v>353</v>
      </c>
      <c r="N70" s="1864">
        <v>363</v>
      </c>
      <c r="O70" s="1864">
        <v>340</v>
      </c>
      <c r="P70" s="2169">
        <v>326</v>
      </c>
      <c r="Q70" s="1701">
        <v>340</v>
      </c>
      <c r="R70" s="1863">
        <v>179</v>
      </c>
      <c r="S70" s="1864">
        <v>160</v>
      </c>
      <c r="T70" s="1864">
        <v>184</v>
      </c>
      <c r="U70" s="1864">
        <v>107</v>
      </c>
      <c r="V70" s="1864">
        <v>101</v>
      </c>
      <c r="W70" s="2169">
        <v>130</v>
      </c>
      <c r="X70" s="1701">
        <v>114</v>
      </c>
      <c r="Y70" s="1860"/>
      <c r="Z70" s="1708">
        <v>363</v>
      </c>
      <c r="AA70" s="2219">
        <v>218</v>
      </c>
    </row>
    <row r="71" spans="1:27" ht="15.6" x14ac:dyDescent="0.3">
      <c r="A71" s="449" t="s">
        <v>170</v>
      </c>
      <c r="B71" s="532" t="s">
        <v>171</v>
      </c>
      <c r="C71" s="934" t="s">
        <v>255</v>
      </c>
      <c r="D71" s="1139">
        <v>595</v>
      </c>
      <c r="E71" s="1140">
        <v>558</v>
      </c>
      <c r="F71" s="1864">
        <v>529</v>
      </c>
      <c r="G71" s="1864">
        <v>486</v>
      </c>
      <c r="H71" s="1864">
        <v>441</v>
      </c>
      <c r="I71" s="2169">
        <v>434</v>
      </c>
      <c r="J71" s="1701">
        <v>469</v>
      </c>
      <c r="K71" s="1139">
        <v>242</v>
      </c>
      <c r="L71" s="1140">
        <v>276</v>
      </c>
      <c r="M71" s="1359">
        <v>232</v>
      </c>
      <c r="N71" s="1864">
        <v>201</v>
      </c>
      <c r="O71" s="1864">
        <v>215</v>
      </c>
      <c r="P71" s="2169">
        <v>253</v>
      </c>
      <c r="Q71" s="1701">
        <v>249</v>
      </c>
      <c r="R71" s="1863">
        <v>72</v>
      </c>
      <c r="S71" s="1864">
        <v>87</v>
      </c>
      <c r="T71" s="1864">
        <v>82</v>
      </c>
      <c r="U71" s="1864">
        <v>67</v>
      </c>
      <c r="V71" s="1864">
        <v>31</v>
      </c>
      <c r="W71" s="2169">
        <v>38</v>
      </c>
      <c r="X71" s="1701">
        <v>62</v>
      </c>
      <c r="Y71" s="1860"/>
      <c r="Z71" s="1708">
        <v>225</v>
      </c>
      <c r="AA71" s="2219">
        <v>136</v>
      </c>
    </row>
    <row r="72" spans="1:27" ht="15.6" x14ac:dyDescent="0.3">
      <c r="A72" s="449" t="s">
        <v>172</v>
      </c>
      <c r="B72" s="532" t="s">
        <v>173</v>
      </c>
      <c r="C72" s="934" t="s">
        <v>255</v>
      </c>
      <c r="D72" s="1139">
        <v>959</v>
      </c>
      <c r="E72" s="1140">
        <v>895</v>
      </c>
      <c r="F72" s="1864">
        <v>869</v>
      </c>
      <c r="G72" s="1864">
        <v>798</v>
      </c>
      <c r="H72" s="1864">
        <v>685</v>
      </c>
      <c r="I72" s="2169">
        <v>676</v>
      </c>
      <c r="J72" s="1701">
        <v>633</v>
      </c>
      <c r="K72" s="1139">
        <v>328</v>
      </c>
      <c r="L72" s="1140">
        <v>318</v>
      </c>
      <c r="M72" s="1359">
        <v>297</v>
      </c>
      <c r="N72" s="1864">
        <v>302</v>
      </c>
      <c r="O72" s="1864">
        <v>285</v>
      </c>
      <c r="P72" s="2169">
        <v>286</v>
      </c>
      <c r="Q72" s="1701">
        <v>303</v>
      </c>
      <c r="R72" s="1863">
        <v>106</v>
      </c>
      <c r="S72" s="1864">
        <v>137</v>
      </c>
      <c r="T72" s="1864">
        <v>121</v>
      </c>
      <c r="U72" s="1864">
        <v>78</v>
      </c>
      <c r="V72" s="1864">
        <v>92</v>
      </c>
      <c r="W72" s="2169">
        <v>83</v>
      </c>
      <c r="X72" s="1701">
        <v>84</v>
      </c>
      <c r="Y72" s="1860"/>
      <c r="Z72" s="1708">
        <v>312</v>
      </c>
      <c r="AA72" s="2219">
        <v>242</v>
      </c>
    </row>
    <row r="73" spans="1:27" ht="15.6" x14ac:dyDescent="0.3">
      <c r="A73" s="449" t="s">
        <v>174</v>
      </c>
      <c r="B73" s="532" t="s">
        <v>175</v>
      </c>
      <c r="C73" s="934" t="s">
        <v>256</v>
      </c>
      <c r="D73" s="1139">
        <v>1003</v>
      </c>
      <c r="E73" s="1140">
        <v>946</v>
      </c>
      <c r="F73" s="1864">
        <v>909</v>
      </c>
      <c r="G73" s="1864">
        <v>911</v>
      </c>
      <c r="H73" s="1864">
        <v>800</v>
      </c>
      <c r="I73" s="2169">
        <v>793</v>
      </c>
      <c r="J73" s="1701">
        <v>725</v>
      </c>
      <c r="K73" s="1139">
        <v>483</v>
      </c>
      <c r="L73" s="1140">
        <v>487</v>
      </c>
      <c r="M73" s="1359">
        <v>474</v>
      </c>
      <c r="N73" s="1864">
        <v>452</v>
      </c>
      <c r="O73" s="1864">
        <v>414</v>
      </c>
      <c r="P73" s="2169">
        <v>389</v>
      </c>
      <c r="Q73" s="1701">
        <v>389</v>
      </c>
      <c r="R73" s="1863">
        <v>265</v>
      </c>
      <c r="S73" s="1864">
        <v>214</v>
      </c>
      <c r="T73" s="1864">
        <v>202</v>
      </c>
      <c r="U73" s="1864">
        <v>130</v>
      </c>
      <c r="V73" s="1864">
        <v>120</v>
      </c>
      <c r="W73" s="2169">
        <v>130</v>
      </c>
      <c r="X73" s="1701">
        <v>130</v>
      </c>
      <c r="Y73" s="1860"/>
      <c r="Z73" s="1708">
        <v>430</v>
      </c>
      <c r="AA73" s="2219">
        <v>259</v>
      </c>
    </row>
    <row r="74" spans="1:27" ht="15.6" x14ac:dyDescent="0.3">
      <c r="A74" s="449" t="s">
        <v>178</v>
      </c>
      <c r="B74" s="532" t="s">
        <v>179</v>
      </c>
      <c r="C74" s="934" t="s">
        <v>253</v>
      </c>
      <c r="D74" s="1139">
        <v>2618</v>
      </c>
      <c r="E74" s="1140">
        <v>2340</v>
      </c>
      <c r="F74" s="1864">
        <v>2319</v>
      </c>
      <c r="G74" s="1864">
        <v>2110</v>
      </c>
      <c r="H74" s="1864">
        <v>1945</v>
      </c>
      <c r="I74" s="2169">
        <v>1900</v>
      </c>
      <c r="J74" s="1701">
        <v>1838</v>
      </c>
      <c r="K74" s="1139">
        <v>1087</v>
      </c>
      <c r="L74" s="1140">
        <v>1090</v>
      </c>
      <c r="M74" s="1359">
        <v>979</v>
      </c>
      <c r="N74" s="1864">
        <v>924</v>
      </c>
      <c r="O74" s="1864">
        <v>948</v>
      </c>
      <c r="P74" s="2169">
        <v>980</v>
      </c>
      <c r="Q74" s="1701">
        <v>951</v>
      </c>
      <c r="R74" s="1863">
        <v>549</v>
      </c>
      <c r="S74" s="1864">
        <v>570</v>
      </c>
      <c r="T74" s="1864">
        <v>470</v>
      </c>
      <c r="U74" s="1864">
        <v>296</v>
      </c>
      <c r="V74" s="1864">
        <v>296</v>
      </c>
      <c r="W74" s="2169">
        <v>403</v>
      </c>
      <c r="X74" s="1701">
        <v>325</v>
      </c>
      <c r="Y74" s="1860"/>
      <c r="Z74" s="1708">
        <v>1036</v>
      </c>
      <c r="AA74" s="2219">
        <v>620</v>
      </c>
    </row>
    <row r="75" spans="1:27" ht="15.6" x14ac:dyDescent="0.3">
      <c r="A75" s="449" t="s">
        <v>182</v>
      </c>
      <c r="B75" s="532" t="s">
        <v>183</v>
      </c>
      <c r="C75" s="934" t="s">
        <v>254</v>
      </c>
      <c r="D75" s="1139">
        <v>206</v>
      </c>
      <c r="E75" s="1140">
        <v>190</v>
      </c>
      <c r="F75" s="1864">
        <v>170</v>
      </c>
      <c r="G75" s="1864">
        <v>139</v>
      </c>
      <c r="H75" s="1864">
        <v>118</v>
      </c>
      <c r="I75" s="2169">
        <v>107</v>
      </c>
      <c r="J75" s="1701">
        <v>114</v>
      </c>
      <c r="K75" s="1139">
        <v>74</v>
      </c>
      <c r="L75" s="1140">
        <v>54</v>
      </c>
      <c r="M75" s="1359">
        <v>54</v>
      </c>
      <c r="N75" s="1864">
        <v>57</v>
      </c>
      <c r="O75" s="1864">
        <v>58</v>
      </c>
      <c r="P75" s="2169">
        <v>55</v>
      </c>
      <c r="Q75" s="1701">
        <v>45</v>
      </c>
      <c r="R75" s="1863">
        <v>35</v>
      </c>
      <c r="S75" s="1864">
        <v>16</v>
      </c>
      <c r="T75" s="1864">
        <v>29</v>
      </c>
      <c r="U75" s="1864">
        <v>12</v>
      </c>
      <c r="V75" s="1864">
        <v>7</v>
      </c>
      <c r="W75" s="2169">
        <v>12</v>
      </c>
      <c r="X75" s="1701">
        <v>13</v>
      </c>
      <c r="Y75" s="1860"/>
      <c r="Z75" s="1708">
        <v>46</v>
      </c>
      <c r="AA75" s="2219">
        <v>40</v>
      </c>
    </row>
    <row r="76" spans="1:27" ht="15.6" x14ac:dyDescent="0.3">
      <c r="A76" s="449" t="s">
        <v>184</v>
      </c>
      <c r="B76" s="532" t="s">
        <v>185</v>
      </c>
      <c r="C76" s="934" t="s">
        <v>254</v>
      </c>
      <c r="D76" s="1139">
        <v>893</v>
      </c>
      <c r="E76" s="1140">
        <v>834</v>
      </c>
      <c r="F76" s="1864">
        <v>826</v>
      </c>
      <c r="G76" s="1864">
        <v>779</v>
      </c>
      <c r="H76" s="1864">
        <v>705</v>
      </c>
      <c r="I76" s="2169">
        <v>699</v>
      </c>
      <c r="J76" s="1701">
        <v>636</v>
      </c>
      <c r="K76" s="1139">
        <v>447</v>
      </c>
      <c r="L76" s="1140">
        <v>430</v>
      </c>
      <c r="M76" s="1359">
        <v>455</v>
      </c>
      <c r="N76" s="1864">
        <v>303</v>
      </c>
      <c r="O76" s="1864">
        <v>390</v>
      </c>
      <c r="P76" s="2169">
        <v>399</v>
      </c>
      <c r="Q76" s="1701">
        <v>393</v>
      </c>
      <c r="R76" s="1863">
        <v>119</v>
      </c>
      <c r="S76" s="1864">
        <v>136</v>
      </c>
      <c r="T76" s="1864">
        <v>188</v>
      </c>
      <c r="U76" s="1864">
        <v>84</v>
      </c>
      <c r="V76" s="1864">
        <v>83</v>
      </c>
      <c r="W76" s="2169">
        <v>86</v>
      </c>
      <c r="X76" s="1701">
        <v>108</v>
      </c>
      <c r="Y76" s="1860"/>
      <c r="Z76" s="1708">
        <v>417</v>
      </c>
      <c r="AA76" s="2219">
        <v>239</v>
      </c>
    </row>
    <row r="77" spans="1:27" ht="15.6" x14ac:dyDescent="0.3">
      <c r="A77" s="449" t="s">
        <v>186</v>
      </c>
      <c r="B77" s="532" t="s">
        <v>187</v>
      </c>
      <c r="C77" s="934" t="s">
        <v>252</v>
      </c>
      <c r="D77" s="1139">
        <v>332</v>
      </c>
      <c r="E77" s="1140">
        <v>273</v>
      </c>
      <c r="F77" s="1864">
        <v>302</v>
      </c>
      <c r="G77" s="1864">
        <v>275</v>
      </c>
      <c r="H77" s="1864">
        <v>270</v>
      </c>
      <c r="I77" s="2169">
        <v>272</v>
      </c>
      <c r="J77" s="1701">
        <v>257</v>
      </c>
      <c r="K77" s="1139">
        <v>126</v>
      </c>
      <c r="L77" s="1140">
        <v>133</v>
      </c>
      <c r="M77" s="1359">
        <v>171</v>
      </c>
      <c r="N77" s="1864">
        <v>153</v>
      </c>
      <c r="O77" s="1864">
        <v>131</v>
      </c>
      <c r="P77" s="2169">
        <v>167</v>
      </c>
      <c r="Q77" s="1701">
        <v>151</v>
      </c>
      <c r="R77" s="1863">
        <v>47</v>
      </c>
      <c r="S77" s="1864">
        <v>54</v>
      </c>
      <c r="T77" s="1864">
        <v>47</v>
      </c>
      <c r="U77" s="1864">
        <v>48</v>
      </c>
      <c r="V77" s="1864">
        <v>52</v>
      </c>
      <c r="W77" s="2169">
        <v>57</v>
      </c>
      <c r="X77" s="1701">
        <v>72</v>
      </c>
      <c r="Y77" s="1860"/>
      <c r="Z77" s="1708">
        <v>148</v>
      </c>
      <c r="AA77" s="2219">
        <v>78</v>
      </c>
    </row>
    <row r="78" spans="1:27" ht="15.6" x14ac:dyDescent="0.3">
      <c r="A78" s="449" t="s">
        <v>188</v>
      </c>
      <c r="B78" s="532" t="s">
        <v>189</v>
      </c>
      <c r="C78" s="934" t="s">
        <v>255</v>
      </c>
      <c r="D78" s="1139">
        <v>903</v>
      </c>
      <c r="E78" s="1140">
        <v>853</v>
      </c>
      <c r="F78" s="1864">
        <v>888</v>
      </c>
      <c r="G78" s="1864">
        <v>804</v>
      </c>
      <c r="H78" s="1864">
        <v>721</v>
      </c>
      <c r="I78" s="2169">
        <v>673</v>
      </c>
      <c r="J78" s="1701">
        <v>737</v>
      </c>
      <c r="K78" s="1139">
        <v>449</v>
      </c>
      <c r="L78" s="1140">
        <v>426</v>
      </c>
      <c r="M78" s="1359">
        <v>468</v>
      </c>
      <c r="N78" s="1864">
        <v>377</v>
      </c>
      <c r="O78" s="1864">
        <v>383</v>
      </c>
      <c r="P78" s="2169">
        <v>465</v>
      </c>
      <c r="Q78" s="1701">
        <v>450</v>
      </c>
      <c r="R78" s="1863">
        <v>192</v>
      </c>
      <c r="S78" s="1864">
        <v>176</v>
      </c>
      <c r="T78" s="1864">
        <v>173</v>
      </c>
      <c r="U78" s="1864">
        <v>115</v>
      </c>
      <c r="V78" s="1864">
        <v>114</v>
      </c>
      <c r="W78" s="2169">
        <v>149</v>
      </c>
      <c r="X78" s="1701">
        <v>147</v>
      </c>
      <c r="Y78" s="1860"/>
      <c r="Z78" s="1708">
        <v>414</v>
      </c>
      <c r="AA78" s="2219">
        <v>275</v>
      </c>
    </row>
    <row r="79" spans="1:27" ht="15.6" x14ac:dyDescent="0.3">
      <c r="A79" s="449" t="s">
        <v>190</v>
      </c>
      <c r="B79" s="532" t="s">
        <v>191</v>
      </c>
      <c r="C79" s="934" t="s">
        <v>256</v>
      </c>
      <c r="D79" s="1139">
        <v>1684</v>
      </c>
      <c r="E79" s="1140">
        <v>1559</v>
      </c>
      <c r="F79" s="1864">
        <v>1590</v>
      </c>
      <c r="G79" s="1864">
        <v>1406</v>
      </c>
      <c r="H79" s="1864">
        <v>1363</v>
      </c>
      <c r="I79" s="2169">
        <v>1355</v>
      </c>
      <c r="J79" s="1701">
        <v>1316</v>
      </c>
      <c r="K79" s="1139">
        <v>887</v>
      </c>
      <c r="L79" s="1140">
        <v>849</v>
      </c>
      <c r="M79" s="1359">
        <v>820</v>
      </c>
      <c r="N79" s="1864">
        <v>802</v>
      </c>
      <c r="O79" s="1864">
        <v>799</v>
      </c>
      <c r="P79" s="2169">
        <v>800</v>
      </c>
      <c r="Q79" s="1701">
        <v>721</v>
      </c>
      <c r="R79" s="1863">
        <v>480</v>
      </c>
      <c r="S79" s="1864">
        <v>450</v>
      </c>
      <c r="T79" s="1864">
        <v>318</v>
      </c>
      <c r="U79" s="1864">
        <v>287</v>
      </c>
      <c r="V79" s="1864">
        <v>263</v>
      </c>
      <c r="W79" s="2169">
        <v>248</v>
      </c>
      <c r="X79" s="1701">
        <v>233</v>
      </c>
      <c r="Y79" s="1860"/>
      <c r="Z79" s="1708">
        <v>850</v>
      </c>
      <c r="AA79" s="2219">
        <v>496</v>
      </c>
    </row>
    <row r="80" spans="1:27" ht="15.6" x14ac:dyDescent="0.3">
      <c r="A80" s="449" t="s">
        <v>194</v>
      </c>
      <c r="B80" s="532" t="s">
        <v>195</v>
      </c>
      <c r="C80" s="934" t="s">
        <v>255</v>
      </c>
      <c r="D80" s="1139">
        <v>92</v>
      </c>
      <c r="E80" s="1140">
        <v>79</v>
      </c>
      <c r="F80" s="1864">
        <v>83</v>
      </c>
      <c r="G80" s="1864">
        <v>68</v>
      </c>
      <c r="H80" s="1864">
        <v>68</v>
      </c>
      <c r="I80" s="2169">
        <v>49</v>
      </c>
      <c r="J80" s="1701">
        <v>50</v>
      </c>
      <c r="K80" s="1139">
        <v>38</v>
      </c>
      <c r="L80" s="1140">
        <v>31</v>
      </c>
      <c r="M80" s="1359">
        <v>34</v>
      </c>
      <c r="N80" s="1864">
        <v>22</v>
      </c>
      <c r="O80" s="1864">
        <v>15</v>
      </c>
      <c r="P80" s="2169">
        <v>17</v>
      </c>
      <c r="Q80" s="1701">
        <v>17</v>
      </c>
      <c r="R80" s="1863">
        <v>19</v>
      </c>
      <c r="S80" s="1864">
        <v>15</v>
      </c>
      <c r="T80" s="1864">
        <v>10</v>
      </c>
      <c r="U80" s="1864">
        <v>5</v>
      </c>
      <c r="V80" s="1864">
        <v>11</v>
      </c>
      <c r="W80" s="2169">
        <v>6</v>
      </c>
      <c r="X80" s="1701">
        <v>11</v>
      </c>
      <c r="Y80" s="1860"/>
      <c r="Z80" s="1708">
        <v>46</v>
      </c>
      <c r="AA80" s="2219">
        <v>14</v>
      </c>
    </row>
    <row r="81" spans="1:27" ht="15.6" x14ac:dyDescent="0.3">
      <c r="A81" s="449" t="s">
        <v>198</v>
      </c>
      <c r="B81" s="532" t="s">
        <v>260</v>
      </c>
      <c r="C81" s="934" t="s">
        <v>254</v>
      </c>
      <c r="D81" s="1139">
        <v>376</v>
      </c>
      <c r="E81" s="1140">
        <v>347</v>
      </c>
      <c r="F81" s="1864">
        <v>345</v>
      </c>
      <c r="G81" s="1864">
        <v>332</v>
      </c>
      <c r="H81" s="1864">
        <v>333</v>
      </c>
      <c r="I81" s="2169">
        <v>321</v>
      </c>
      <c r="J81" s="1701">
        <v>312</v>
      </c>
      <c r="K81" s="1139">
        <v>154</v>
      </c>
      <c r="L81" s="1140">
        <v>139</v>
      </c>
      <c r="M81" s="1359">
        <v>143</v>
      </c>
      <c r="N81" s="1864">
        <v>140</v>
      </c>
      <c r="O81" s="1864">
        <v>164</v>
      </c>
      <c r="P81" s="2169">
        <v>173</v>
      </c>
      <c r="Q81" s="1701">
        <v>176</v>
      </c>
      <c r="R81" s="1863">
        <v>107</v>
      </c>
      <c r="S81" s="1864">
        <v>118</v>
      </c>
      <c r="T81" s="1864">
        <v>96</v>
      </c>
      <c r="U81" s="1864">
        <v>75</v>
      </c>
      <c r="V81" s="1864">
        <v>62</v>
      </c>
      <c r="W81" s="2169">
        <v>80</v>
      </c>
      <c r="X81" s="1701">
        <v>74</v>
      </c>
      <c r="Y81" s="1860"/>
      <c r="Z81" s="1708">
        <v>187</v>
      </c>
      <c r="AA81" s="2219">
        <v>106</v>
      </c>
    </row>
    <row r="82" spans="1:27" ht="15.6" x14ac:dyDescent="0.3">
      <c r="A82" s="449" t="s">
        <v>202</v>
      </c>
      <c r="B82" s="532" t="s">
        <v>289</v>
      </c>
      <c r="C82" s="934" t="s">
        <v>253</v>
      </c>
      <c r="D82" s="1139">
        <v>1128</v>
      </c>
      <c r="E82" s="1140">
        <v>1084</v>
      </c>
      <c r="F82" s="1864">
        <v>1054</v>
      </c>
      <c r="G82" s="1864">
        <v>1049</v>
      </c>
      <c r="H82" s="1864">
        <v>998</v>
      </c>
      <c r="I82" s="2169">
        <v>928</v>
      </c>
      <c r="J82" s="1701">
        <v>893</v>
      </c>
      <c r="K82" s="1139">
        <v>664</v>
      </c>
      <c r="L82" s="1140">
        <v>656</v>
      </c>
      <c r="M82" s="1359">
        <v>647</v>
      </c>
      <c r="N82" s="1864">
        <v>640</v>
      </c>
      <c r="O82" s="1864">
        <v>627</v>
      </c>
      <c r="P82" s="2169">
        <v>591</v>
      </c>
      <c r="Q82" s="1701">
        <v>601</v>
      </c>
      <c r="R82" s="1863">
        <v>156</v>
      </c>
      <c r="S82" s="1864">
        <v>227</v>
      </c>
      <c r="T82" s="1864">
        <v>139</v>
      </c>
      <c r="U82" s="1864">
        <v>151</v>
      </c>
      <c r="V82" s="1864">
        <v>119</v>
      </c>
      <c r="W82" s="2169">
        <v>148</v>
      </c>
      <c r="X82" s="1701">
        <v>126</v>
      </c>
      <c r="Y82" s="1860"/>
      <c r="Z82" s="1708">
        <v>666</v>
      </c>
      <c r="AA82" s="2219">
        <v>428</v>
      </c>
    </row>
    <row r="83" spans="1:27" ht="15.6" x14ac:dyDescent="0.3">
      <c r="A83" s="449" t="s">
        <v>204</v>
      </c>
      <c r="B83" s="532" t="s">
        <v>281</v>
      </c>
      <c r="C83" s="934" t="s">
        <v>253</v>
      </c>
      <c r="D83" s="1139">
        <v>1212</v>
      </c>
      <c r="E83" s="1140">
        <v>1131</v>
      </c>
      <c r="F83" s="1864">
        <v>1187</v>
      </c>
      <c r="G83" s="1864">
        <v>1074</v>
      </c>
      <c r="H83" s="1864">
        <v>1072</v>
      </c>
      <c r="I83" s="2169">
        <v>1040</v>
      </c>
      <c r="J83" s="1701">
        <v>1051</v>
      </c>
      <c r="K83" s="1139">
        <v>704</v>
      </c>
      <c r="L83" s="1140">
        <v>665</v>
      </c>
      <c r="M83" s="1359">
        <v>680</v>
      </c>
      <c r="N83" s="1864">
        <v>611</v>
      </c>
      <c r="O83" s="1864">
        <v>630</v>
      </c>
      <c r="P83" s="2169">
        <v>684</v>
      </c>
      <c r="Q83" s="1701">
        <v>615</v>
      </c>
      <c r="R83" s="1863">
        <v>261</v>
      </c>
      <c r="S83" s="1864">
        <v>289</v>
      </c>
      <c r="T83" s="1864">
        <v>253</v>
      </c>
      <c r="U83" s="1864">
        <v>189</v>
      </c>
      <c r="V83" s="1864">
        <v>153</v>
      </c>
      <c r="W83" s="2169">
        <v>179</v>
      </c>
      <c r="X83" s="1701">
        <v>152</v>
      </c>
      <c r="Y83" s="1860"/>
      <c r="Z83" s="1708">
        <v>693</v>
      </c>
      <c r="AA83" s="2219">
        <v>424</v>
      </c>
    </row>
    <row r="84" spans="1:27" ht="15.6" x14ac:dyDescent="0.3">
      <c r="A84" s="449" t="s">
        <v>206</v>
      </c>
      <c r="B84" s="532" t="s">
        <v>282</v>
      </c>
      <c r="C84" s="934" t="s">
        <v>255</v>
      </c>
      <c r="D84" s="1139">
        <v>1893</v>
      </c>
      <c r="E84" s="1140">
        <v>1866</v>
      </c>
      <c r="F84" s="1864">
        <v>1817</v>
      </c>
      <c r="G84" s="1864">
        <v>1714</v>
      </c>
      <c r="H84" s="1864">
        <v>1452</v>
      </c>
      <c r="I84" s="2169">
        <v>1422</v>
      </c>
      <c r="J84" s="1701">
        <v>1364</v>
      </c>
      <c r="K84" s="1139">
        <v>811</v>
      </c>
      <c r="L84" s="1140">
        <v>806</v>
      </c>
      <c r="M84" s="1359">
        <v>800</v>
      </c>
      <c r="N84" s="1864">
        <v>691</v>
      </c>
      <c r="O84" s="1864">
        <v>688</v>
      </c>
      <c r="P84" s="2169">
        <v>639</v>
      </c>
      <c r="Q84" s="1701">
        <v>621</v>
      </c>
      <c r="R84" s="1863">
        <v>238</v>
      </c>
      <c r="S84" s="1864">
        <v>260</v>
      </c>
      <c r="T84" s="1864">
        <v>211</v>
      </c>
      <c r="U84" s="1864">
        <v>116</v>
      </c>
      <c r="V84" s="1864">
        <v>132</v>
      </c>
      <c r="W84" s="2169">
        <v>125</v>
      </c>
      <c r="X84" s="1701">
        <v>161</v>
      </c>
      <c r="Y84" s="1860"/>
      <c r="Z84" s="1708">
        <v>760</v>
      </c>
      <c r="AA84" s="2219">
        <v>511</v>
      </c>
    </row>
    <row r="85" spans="1:27" ht="15.6" x14ac:dyDescent="0.3">
      <c r="A85" s="449" t="s">
        <v>208</v>
      </c>
      <c r="B85" s="532" t="s">
        <v>209</v>
      </c>
      <c r="C85" s="934" t="s">
        <v>256</v>
      </c>
      <c r="D85" s="1139">
        <v>1992</v>
      </c>
      <c r="E85" s="1140">
        <v>1914</v>
      </c>
      <c r="F85" s="1864">
        <v>2014</v>
      </c>
      <c r="G85" s="1864">
        <v>1848</v>
      </c>
      <c r="H85" s="1864">
        <v>1763</v>
      </c>
      <c r="I85" s="2169">
        <v>1729</v>
      </c>
      <c r="J85" s="1701">
        <v>1703</v>
      </c>
      <c r="K85" s="1139">
        <v>1107</v>
      </c>
      <c r="L85" s="1140">
        <v>1117</v>
      </c>
      <c r="M85" s="1359">
        <v>1023</v>
      </c>
      <c r="N85" s="1864">
        <v>993</v>
      </c>
      <c r="O85" s="1864">
        <v>1040</v>
      </c>
      <c r="P85" s="2169">
        <v>1007</v>
      </c>
      <c r="Q85" s="1701">
        <v>1027</v>
      </c>
      <c r="R85" s="1863">
        <v>446</v>
      </c>
      <c r="S85" s="1864">
        <v>569</v>
      </c>
      <c r="T85" s="1864">
        <v>450</v>
      </c>
      <c r="U85" s="1864">
        <v>311</v>
      </c>
      <c r="V85" s="1864">
        <v>289</v>
      </c>
      <c r="W85" s="2169">
        <v>351</v>
      </c>
      <c r="X85" s="1701">
        <v>285</v>
      </c>
      <c r="Y85" s="1860"/>
      <c r="Z85" s="1708">
        <v>1104</v>
      </c>
      <c r="AA85" s="2219">
        <v>599</v>
      </c>
    </row>
    <row r="86" spans="1:27" ht="15.6" x14ac:dyDescent="0.3">
      <c r="A86" s="449" t="s">
        <v>210</v>
      </c>
      <c r="B86" s="532" t="s">
        <v>211</v>
      </c>
      <c r="C86" s="934" t="s">
        <v>256</v>
      </c>
      <c r="D86" s="1139">
        <v>1442</v>
      </c>
      <c r="E86" s="1140">
        <v>1350</v>
      </c>
      <c r="F86" s="1864">
        <v>1370</v>
      </c>
      <c r="G86" s="1864">
        <v>1307</v>
      </c>
      <c r="H86" s="1864">
        <v>1229</v>
      </c>
      <c r="I86" s="2169">
        <v>1165</v>
      </c>
      <c r="J86" s="1701">
        <v>1128</v>
      </c>
      <c r="K86" s="1139">
        <v>599</v>
      </c>
      <c r="L86" s="1140">
        <v>623</v>
      </c>
      <c r="M86" s="1359">
        <v>663</v>
      </c>
      <c r="N86" s="1864">
        <v>626</v>
      </c>
      <c r="O86" s="1864">
        <v>666</v>
      </c>
      <c r="P86" s="2169">
        <v>689</v>
      </c>
      <c r="Q86" s="1701">
        <v>645</v>
      </c>
      <c r="R86" s="1863">
        <v>251</v>
      </c>
      <c r="S86" s="1864">
        <v>303</v>
      </c>
      <c r="T86" s="1864">
        <v>217</v>
      </c>
      <c r="U86" s="1864">
        <v>165</v>
      </c>
      <c r="V86" s="1864">
        <v>114</v>
      </c>
      <c r="W86" s="2169">
        <v>176</v>
      </c>
      <c r="X86" s="1701">
        <v>162</v>
      </c>
      <c r="Y86" s="1860"/>
      <c r="Z86" s="1708">
        <v>678</v>
      </c>
      <c r="AA86" s="2219">
        <v>471</v>
      </c>
    </row>
    <row r="87" spans="1:27" ht="15.6" x14ac:dyDescent="0.3">
      <c r="A87" s="449" t="s">
        <v>212</v>
      </c>
      <c r="B87" s="532" t="s">
        <v>213</v>
      </c>
      <c r="C87" s="934" t="s">
        <v>255</v>
      </c>
      <c r="D87" s="1139">
        <v>1003</v>
      </c>
      <c r="E87" s="1140">
        <v>937</v>
      </c>
      <c r="F87" s="1864">
        <v>862</v>
      </c>
      <c r="G87" s="1864">
        <v>768</v>
      </c>
      <c r="H87" s="1864">
        <v>717</v>
      </c>
      <c r="I87" s="2169">
        <v>714</v>
      </c>
      <c r="J87" s="1701">
        <v>675</v>
      </c>
      <c r="K87" s="1139">
        <v>493</v>
      </c>
      <c r="L87" s="1140">
        <v>463</v>
      </c>
      <c r="M87" s="1359">
        <v>379</v>
      </c>
      <c r="N87" s="1864">
        <v>364</v>
      </c>
      <c r="O87" s="1864">
        <v>402</v>
      </c>
      <c r="P87" s="2169">
        <v>378</v>
      </c>
      <c r="Q87" s="1701">
        <v>390</v>
      </c>
      <c r="R87" s="1863">
        <v>170</v>
      </c>
      <c r="S87" s="1864">
        <v>256</v>
      </c>
      <c r="T87" s="1864">
        <v>115</v>
      </c>
      <c r="U87" s="1864">
        <v>61</v>
      </c>
      <c r="V87" s="1864">
        <v>52</v>
      </c>
      <c r="W87" s="2169">
        <v>84</v>
      </c>
      <c r="X87" s="1701">
        <v>101</v>
      </c>
      <c r="Y87" s="1860"/>
      <c r="Z87" s="1708">
        <v>420</v>
      </c>
      <c r="AA87" s="2219">
        <v>277</v>
      </c>
    </row>
    <row r="88" spans="1:27" ht="15.6" x14ac:dyDescent="0.3">
      <c r="A88" s="449" t="s">
        <v>214</v>
      </c>
      <c r="B88" s="532" t="s">
        <v>215</v>
      </c>
      <c r="C88" s="934" t="s">
        <v>256</v>
      </c>
      <c r="D88" s="1139">
        <v>1909</v>
      </c>
      <c r="E88" s="1140">
        <v>1793</v>
      </c>
      <c r="F88" s="1864">
        <v>1737</v>
      </c>
      <c r="G88" s="1864">
        <v>1611</v>
      </c>
      <c r="H88" s="1864">
        <v>1537</v>
      </c>
      <c r="I88" s="2169">
        <v>1483</v>
      </c>
      <c r="J88" s="1701">
        <v>1501</v>
      </c>
      <c r="K88" s="1139">
        <v>762</v>
      </c>
      <c r="L88" s="1140">
        <v>785</v>
      </c>
      <c r="M88" s="1359">
        <v>808</v>
      </c>
      <c r="N88" s="1864">
        <v>773</v>
      </c>
      <c r="O88" s="1864">
        <v>769</v>
      </c>
      <c r="P88" s="2169">
        <v>767</v>
      </c>
      <c r="Q88" s="1701">
        <v>732</v>
      </c>
      <c r="R88" s="1863">
        <v>504</v>
      </c>
      <c r="S88" s="1864">
        <v>555</v>
      </c>
      <c r="T88" s="1864">
        <v>548</v>
      </c>
      <c r="U88" s="1864">
        <v>372</v>
      </c>
      <c r="V88" s="1864">
        <v>368</v>
      </c>
      <c r="W88" s="2169">
        <v>415</v>
      </c>
      <c r="X88" s="1701">
        <v>296</v>
      </c>
      <c r="Y88" s="1860"/>
      <c r="Z88" s="1708">
        <v>793</v>
      </c>
      <c r="AA88" s="2219">
        <v>443</v>
      </c>
    </row>
    <row r="89" spans="1:27" ht="15.6" x14ac:dyDescent="0.3">
      <c r="A89" s="449" t="s">
        <v>216</v>
      </c>
      <c r="B89" s="532" t="s">
        <v>217</v>
      </c>
      <c r="C89" s="934" t="s">
        <v>252</v>
      </c>
      <c r="D89" s="1139">
        <v>684</v>
      </c>
      <c r="E89" s="1140">
        <v>624</v>
      </c>
      <c r="F89" s="1864">
        <v>572</v>
      </c>
      <c r="G89" s="1864">
        <v>571</v>
      </c>
      <c r="H89" s="1864">
        <v>514</v>
      </c>
      <c r="I89" s="2169">
        <v>521</v>
      </c>
      <c r="J89" s="1701">
        <v>496</v>
      </c>
      <c r="K89" s="1139">
        <v>338</v>
      </c>
      <c r="L89" s="1140">
        <v>334</v>
      </c>
      <c r="M89" s="1359">
        <v>347</v>
      </c>
      <c r="N89" s="1864">
        <v>335</v>
      </c>
      <c r="O89" s="1864">
        <v>335</v>
      </c>
      <c r="P89" s="2169">
        <v>307</v>
      </c>
      <c r="Q89" s="1701">
        <v>312</v>
      </c>
      <c r="R89" s="1863">
        <v>155</v>
      </c>
      <c r="S89" s="1864">
        <v>148</v>
      </c>
      <c r="T89" s="1864">
        <v>133</v>
      </c>
      <c r="U89" s="1864">
        <v>77</v>
      </c>
      <c r="V89" s="1864">
        <v>96</v>
      </c>
      <c r="W89" s="2169">
        <v>123</v>
      </c>
      <c r="X89" s="1701">
        <v>107</v>
      </c>
      <c r="Y89" s="1860"/>
      <c r="Z89" s="1708">
        <v>360</v>
      </c>
      <c r="AA89" s="2219">
        <v>214</v>
      </c>
    </row>
    <row r="90" spans="1:27" ht="15.6" x14ac:dyDescent="0.3">
      <c r="A90" s="449" t="s">
        <v>218</v>
      </c>
      <c r="B90" s="532" t="s">
        <v>219</v>
      </c>
      <c r="C90" s="934" t="s">
        <v>255</v>
      </c>
      <c r="D90" s="1139">
        <v>829</v>
      </c>
      <c r="E90" s="1140">
        <v>738</v>
      </c>
      <c r="F90" s="1864">
        <v>797</v>
      </c>
      <c r="G90" s="1864">
        <v>768</v>
      </c>
      <c r="H90" s="1864">
        <v>673</v>
      </c>
      <c r="I90" s="2169">
        <v>670</v>
      </c>
      <c r="J90" s="1701">
        <v>678</v>
      </c>
      <c r="K90" s="1139">
        <v>274</v>
      </c>
      <c r="L90" s="1140">
        <v>260</v>
      </c>
      <c r="M90" s="1359">
        <v>297</v>
      </c>
      <c r="N90" s="1864">
        <v>311</v>
      </c>
      <c r="O90" s="1864">
        <v>302</v>
      </c>
      <c r="P90" s="2169">
        <v>321</v>
      </c>
      <c r="Q90" s="1701">
        <v>289</v>
      </c>
      <c r="R90" s="1863">
        <v>146</v>
      </c>
      <c r="S90" s="1864">
        <v>175</v>
      </c>
      <c r="T90" s="1864">
        <v>123</v>
      </c>
      <c r="U90" s="1864">
        <v>71</v>
      </c>
      <c r="V90" s="1864">
        <v>77</v>
      </c>
      <c r="W90" s="2169">
        <v>114</v>
      </c>
      <c r="X90" s="1701">
        <v>137</v>
      </c>
      <c r="Y90" s="1860"/>
      <c r="Z90" s="1708">
        <v>310</v>
      </c>
      <c r="AA90" s="2219">
        <v>187</v>
      </c>
    </row>
    <row r="91" spans="1:27" ht="15.6" x14ac:dyDescent="0.3">
      <c r="A91" s="449" t="s">
        <v>220</v>
      </c>
      <c r="B91" s="532" t="s">
        <v>221</v>
      </c>
      <c r="C91" s="934" t="s">
        <v>255</v>
      </c>
      <c r="D91" s="1139">
        <v>472</v>
      </c>
      <c r="E91" s="1140">
        <v>422</v>
      </c>
      <c r="F91" s="1864">
        <v>471</v>
      </c>
      <c r="G91" s="1864">
        <v>399</v>
      </c>
      <c r="H91" s="1864">
        <v>326</v>
      </c>
      <c r="I91" s="2169">
        <v>367</v>
      </c>
      <c r="J91" s="1701">
        <v>333</v>
      </c>
      <c r="K91" s="1139">
        <v>140</v>
      </c>
      <c r="L91" s="1140">
        <v>152</v>
      </c>
      <c r="M91" s="1359">
        <v>139</v>
      </c>
      <c r="N91" s="1864">
        <v>140</v>
      </c>
      <c r="O91" s="1864">
        <v>161</v>
      </c>
      <c r="P91" s="2169">
        <v>146</v>
      </c>
      <c r="Q91" s="1701">
        <v>161</v>
      </c>
      <c r="R91" s="1863">
        <v>108</v>
      </c>
      <c r="S91" s="1864">
        <v>103</v>
      </c>
      <c r="T91" s="1864">
        <v>93</v>
      </c>
      <c r="U91" s="1864">
        <v>61</v>
      </c>
      <c r="V91" s="1864">
        <v>68</v>
      </c>
      <c r="W91" s="2169">
        <v>70</v>
      </c>
      <c r="X91" s="1701">
        <v>104</v>
      </c>
      <c r="Y91" s="1860"/>
      <c r="Z91" s="1708">
        <v>181</v>
      </c>
      <c r="AA91" s="2219">
        <v>107</v>
      </c>
    </row>
    <row r="92" spans="1:27" ht="15.6" x14ac:dyDescent="0.3">
      <c r="A92" s="449" t="s">
        <v>224</v>
      </c>
      <c r="B92" s="532" t="s">
        <v>225</v>
      </c>
      <c r="C92" s="934" t="s">
        <v>252</v>
      </c>
      <c r="D92" s="1139">
        <v>228</v>
      </c>
      <c r="E92" s="1140">
        <v>216</v>
      </c>
      <c r="F92" s="1864">
        <v>212</v>
      </c>
      <c r="G92" s="1864">
        <v>200</v>
      </c>
      <c r="H92" s="1864">
        <v>189</v>
      </c>
      <c r="I92" s="2169">
        <v>169</v>
      </c>
      <c r="J92" s="1701">
        <v>178</v>
      </c>
      <c r="K92" s="1139">
        <v>97</v>
      </c>
      <c r="L92" s="1140">
        <v>109</v>
      </c>
      <c r="M92" s="1359">
        <v>101</v>
      </c>
      <c r="N92" s="1864">
        <v>92</v>
      </c>
      <c r="O92" s="1864">
        <v>85</v>
      </c>
      <c r="P92" s="2169">
        <v>104</v>
      </c>
      <c r="Q92" s="1701">
        <v>80</v>
      </c>
      <c r="R92" s="1863">
        <v>22</v>
      </c>
      <c r="S92" s="1864">
        <v>44</v>
      </c>
      <c r="T92" s="1864">
        <v>29</v>
      </c>
      <c r="U92" s="1864">
        <v>31</v>
      </c>
      <c r="V92" s="1864">
        <v>13</v>
      </c>
      <c r="W92" s="2169">
        <v>35</v>
      </c>
      <c r="X92" s="1701">
        <v>28</v>
      </c>
      <c r="Y92" s="1860"/>
      <c r="Z92" s="1708">
        <v>100</v>
      </c>
      <c r="AA92" s="2219">
        <v>72</v>
      </c>
    </row>
    <row r="93" spans="1:27" ht="15.6" x14ac:dyDescent="0.3">
      <c r="A93" s="449" t="s">
        <v>226</v>
      </c>
      <c r="B93" s="532" t="s">
        <v>227</v>
      </c>
      <c r="C93" s="934" t="s">
        <v>252</v>
      </c>
      <c r="D93" s="1139">
        <v>487</v>
      </c>
      <c r="E93" s="1140">
        <v>460</v>
      </c>
      <c r="F93" s="1864">
        <v>458</v>
      </c>
      <c r="G93" s="1864">
        <v>437</v>
      </c>
      <c r="H93" s="1864">
        <v>409</v>
      </c>
      <c r="I93" s="2169">
        <v>400</v>
      </c>
      <c r="J93" s="1701">
        <v>400</v>
      </c>
      <c r="K93" s="1139">
        <v>207</v>
      </c>
      <c r="L93" s="1140">
        <v>184</v>
      </c>
      <c r="M93" s="1359">
        <v>198</v>
      </c>
      <c r="N93" s="1864">
        <v>204</v>
      </c>
      <c r="O93" s="1864">
        <v>217</v>
      </c>
      <c r="P93" s="2169">
        <v>229</v>
      </c>
      <c r="Q93" s="1701">
        <v>223</v>
      </c>
      <c r="R93" s="1863">
        <v>52</v>
      </c>
      <c r="S93" s="1864">
        <v>63</v>
      </c>
      <c r="T93" s="1864">
        <v>57</v>
      </c>
      <c r="U93" s="1864">
        <v>37</v>
      </c>
      <c r="V93" s="1864">
        <v>38</v>
      </c>
      <c r="W93" s="2169">
        <v>67</v>
      </c>
      <c r="X93" s="1701">
        <v>43</v>
      </c>
      <c r="Y93" s="1860"/>
      <c r="Z93" s="1708">
        <v>234</v>
      </c>
      <c r="AA93" s="2219">
        <v>144</v>
      </c>
    </row>
    <row r="94" spans="1:27" ht="15.6" x14ac:dyDescent="0.3">
      <c r="A94" s="449" t="s">
        <v>228</v>
      </c>
      <c r="B94" s="532" t="s">
        <v>229</v>
      </c>
      <c r="C94" s="934" t="s">
        <v>256</v>
      </c>
      <c r="D94" s="1139">
        <v>2431</v>
      </c>
      <c r="E94" s="1140">
        <v>2299</v>
      </c>
      <c r="F94" s="1864">
        <v>2483</v>
      </c>
      <c r="G94" s="1864">
        <v>2373</v>
      </c>
      <c r="H94" s="1864">
        <v>2343</v>
      </c>
      <c r="I94" s="2169">
        <v>2307</v>
      </c>
      <c r="J94" s="1701">
        <v>2255</v>
      </c>
      <c r="K94" s="1139">
        <v>1090</v>
      </c>
      <c r="L94" s="1140">
        <v>1088</v>
      </c>
      <c r="M94" s="1359">
        <v>1162</v>
      </c>
      <c r="N94" s="1864">
        <v>1213</v>
      </c>
      <c r="O94" s="1864">
        <v>1128</v>
      </c>
      <c r="P94" s="2169">
        <v>1193</v>
      </c>
      <c r="Q94" s="1701">
        <v>1168</v>
      </c>
      <c r="R94" s="1863">
        <v>662</v>
      </c>
      <c r="S94" s="1864">
        <v>683</v>
      </c>
      <c r="T94" s="1864">
        <v>628</v>
      </c>
      <c r="U94" s="1864">
        <v>521</v>
      </c>
      <c r="V94" s="1864">
        <v>474</v>
      </c>
      <c r="W94" s="2169">
        <v>547</v>
      </c>
      <c r="X94" s="1701">
        <v>489</v>
      </c>
      <c r="Y94" s="1860"/>
      <c r="Z94" s="1708">
        <v>1274</v>
      </c>
      <c r="AA94" s="2219">
        <v>817</v>
      </c>
    </row>
    <row r="95" spans="1:27" ht="15.6" x14ac:dyDescent="0.3">
      <c r="A95" s="449" t="s">
        <v>232</v>
      </c>
      <c r="B95" s="532" t="s">
        <v>233</v>
      </c>
      <c r="C95" s="934" t="s">
        <v>255</v>
      </c>
      <c r="D95" s="1139">
        <v>661</v>
      </c>
      <c r="E95" s="1140">
        <v>584</v>
      </c>
      <c r="F95" s="1864">
        <v>575</v>
      </c>
      <c r="G95" s="1864">
        <v>531</v>
      </c>
      <c r="H95" s="1864">
        <v>469</v>
      </c>
      <c r="I95" s="2169">
        <v>465</v>
      </c>
      <c r="J95" s="1701">
        <v>471</v>
      </c>
      <c r="K95" s="1139">
        <v>275</v>
      </c>
      <c r="L95" s="1140">
        <v>248</v>
      </c>
      <c r="M95" s="1359">
        <v>244</v>
      </c>
      <c r="N95" s="1864">
        <v>235</v>
      </c>
      <c r="O95" s="1864">
        <v>231</v>
      </c>
      <c r="P95" s="2169">
        <v>223</v>
      </c>
      <c r="Q95" s="1701">
        <v>232</v>
      </c>
      <c r="R95" s="1863">
        <v>106</v>
      </c>
      <c r="S95" s="1864">
        <v>119</v>
      </c>
      <c r="T95" s="1864">
        <v>111</v>
      </c>
      <c r="U95" s="1864">
        <v>56</v>
      </c>
      <c r="V95" s="1864">
        <v>65</v>
      </c>
      <c r="W95" s="2169">
        <v>73</v>
      </c>
      <c r="X95" s="1701">
        <v>79</v>
      </c>
      <c r="Y95" s="1860"/>
      <c r="Z95" s="1708">
        <v>268</v>
      </c>
      <c r="AA95" s="2219">
        <v>208</v>
      </c>
    </row>
    <row r="96" spans="1:27" ht="15.6" x14ac:dyDescent="0.3">
      <c r="A96" s="449" t="s">
        <v>234</v>
      </c>
      <c r="B96" s="532" t="s">
        <v>235</v>
      </c>
      <c r="C96" s="934" t="s">
        <v>256</v>
      </c>
      <c r="D96" s="1139">
        <v>2048</v>
      </c>
      <c r="E96" s="1140">
        <v>1930</v>
      </c>
      <c r="F96" s="1864">
        <v>1922</v>
      </c>
      <c r="G96" s="1864">
        <v>1815</v>
      </c>
      <c r="H96" s="1864">
        <v>1661</v>
      </c>
      <c r="I96" s="2169">
        <v>1597</v>
      </c>
      <c r="J96" s="1701">
        <v>1569</v>
      </c>
      <c r="K96" s="1139">
        <v>773</v>
      </c>
      <c r="L96" s="1140">
        <v>753</v>
      </c>
      <c r="M96" s="1359">
        <v>798</v>
      </c>
      <c r="N96" s="1864">
        <v>678</v>
      </c>
      <c r="O96" s="1864">
        <v>711</v>
      </c>
      <c r="P96" s="2169">
        <v>774</v>
      </c>
      <c r="Q96" s="1701">
        <v>676</v>
      </c>
      <c r="R96" s="1863">
        <v>290</v>
      </c>
      <c r="S96" s="1864">
        <v>265</v>
      </c>
      <c r="T96" s="1864">
        <v>187</v>
      </c>
      <c r="U96" s="1864">
        <v>110</v>
      </c>
      <c r="V96" s="1864">
        <v>136</v>
      </c>
      <c r="W96" s="2169">
        <v>141</v>
      </c>
      <c r="X96" s="1701">
        <v>138</v>
      </c>
      <c r="Y96" s="1860"/>
      <c r="Z96" s="1708">
        <v>752</v>
      </c>
      <c r="AA96" s="2219">
        <v>476</v>
      </c>
    </row>
    <row r="97" spans="1:27" ht="15.6" x14ac:dyDescent="0.3">
      <c r="A97" s="449" t="s">
        <v>236</v>
      </c>
      <c r="B97" s="532" t="s">
        <v>237</v>
      </c>
      <c r="C97" s="934" t="s">
        <v>254</v>
      </c>
      <c r="D97" s="1139">
        <v>773</v>
      </c>
      <c r="E97" s="1140">
        <v>698</v>
      </c>
      <c r="F97" s="1864">
        <v>690</v>
      </c>
      <c r="G97" s="1864">
        <v>618</v>
      </c>
      <c r="H97" s="1864">
        <v>583</v>
      </c>
      <c r="I97" s="2169">
        <v>589</v>
      </c>
      <c r="J97" s="1701">
        <v>588</v>
      </c>
      <c r="K97" s="1139">
        <v>288</v>
      </c>
      <c r="L97" s="1140">
        <v>297</v>
      </c>
      <c r="M97" s="1359">
        <v>287</v>
      </c>
      <c r="N97" s="1864">
        <v>289</v>
      </c>
      <c r="O97" s="1864">
        <v>277</v>
      </c>
      <c r="P97" s="2169">
        <v>320</v>
      </c>
      <c r="Q97" s="1701">
        <v>320</v>
      </c>
      <c r="R97" s="1863">
        <v>237</v>
      </c>
      <c r="S97" s="1864">
        <v>256</v>
      </c>
      <c r="T97" s="1864">
        <v>227</v>
      </c>
      <c r="U97" s="1864">
        <v>183</v>
      </c>
      <c r="V97" s="1864">
        <v>158</v>
      </c>
      <c r="W97" s="2169">
        <v>173</v>
      </c>
      <c r="X97" s="1701">
        <v>168</v>
      </c>
      <c r="Y97" s="1860"/>
      <c r="Z97" s="1708">
        <v>320</v>
      </c>
      <c r="AA97" s="2219">
        <v>174</v>
      </c>
    </row>
    <row r="98" spans="1:27" ht="15.6" x14ac:dyDescent="0.3">
      <c r="A98" s="449" t="s">
        <v>242</v>
      </c>
      <c r="B98" s="532" t="s">
        <v>243</v>
      </c>
      <c r="C98" s="934" t="s">
        <v>256</v>
      </c>
      <c r="D98" s="1139">
        <v>2535</v>
      </c>
      <c r="E98" s="1140">
        <v>2428</v>
      </c>
      <c r="F98" s="1864">
        <v>2449</v>
      </c>
      <c r="G98" s="1864">
        <v>2457</v>
      </c>
      <c r="H98" s="1864">
        <v>2433</v>
      </c>
      <c r="I98" s="2169">
        <v>2338</v>
      </c>
      <c r="J98" s="1701">
        <v>2208</v>
      </c>
      <c r="K98" s="1139">
        <v>1227</v>
      </c>
      <c r="L98" s="1140">
        <v>1212</v>
      </c>
      <c r="M98" s="1359">
        <v>1242</v>
      </c>
      <c r="N98" s="1864">
        <v>1305</v>
      </c>
      <c r="O98" s="1864">
        <v>1328</v>
      </c>
      <c r="P98" s="2169">
        <v>1370</v>
      </c>
      <c r="Q98" s="1701">
        <v>1271</v>
      </c>
      <c r="R98" s="1863">
        <v>403</v>
      </c>
      <c r="S98" s="1864">
        <v>503</v>
      </c>
      <c r="T98" s="1864">
        <v>378</v>
      </c>
      <c r="U98" s="1864">
        <v>310</v>
      </c>
      <c r="V98" s="1864">
        <v>331</v>
      </c>
      <c r="W98" s="2169">
        <v>432</v>
      </c>
      <c r="X98" s="1701">
        <v>375</v>
      </c>
      <c r="Y98" s="1860"/>
      <c r="Z98" s="1708">
        <v>1510</v>
      </c>
      <c r="AA98" s="2219">
        <v>1065</v>
      </c>
    </row>
    <row r="99" spans="1:27" ht="15.6" x14ac:dyDescent="0.3">
      <c r="A99" s="449" t="s">
        <v>244</v>
      </c>
      <c r="B99" s="532" t="s">
        <v>245</v>
      </c>
      <c r="C99" s="934" t="s">
        <v>256</v>
      </c>
      <c r="D99" s="1139">
        <v>1256</v>
      </c>
      <c r="E99" s="1140">
        <v>1190</v>
      </c>
      <c r="F99" s="1864">
        <v>1170</v>
      </c>
      <c r="G99" s="1864">
        <v>1046</v>
      </c>
      <c r="H99" s="1864">
        <v>991</v>
      </c>
      <c r="I99" s="2169">
        <v>944</v>
      </c>
      <c r="J99" s="1701">
        <v>948</v>
      </c>
      <c r="K99" s="1139">
        <v>468</v>
      </c>
      <c r="L99" s="1140">
        <v>461</v>
      </c>
      <c r="M99" s="1359">
        <v>432</v>
      </c>
      <c r="N99" s="1864">
        <v>407</v>
      </c>
      <c r="O99" s="1864">
        <v>432</v>
      </c>
      <c r="P99" s="2169">
        <v>439</v>
      </c>
      <c r="Q99" s="1701">
        <v>432</v>
      </c>
      <c r="R99" s="1863">
        <v>237</v>
      </c>
      <c r="S99" s="1864">
        <v>224</v>
      </c>
      <c r="T99" s="1864">
        <v>188</v>
      </c>
      <c r="U99" s="1864">
        <v>113</v>
      </c>
      <c r="V99" s="1864">
        <v>103</v>
      </c>
      <c r="W99" s="2169">
        <v>133</v>
      </c>
      <c r="X99" s="1701">
        <v>130</v>
      </c>
      <c r="Y99" s="1860"/>
      <c r="Z99" s="1708">
        <v>477</v>
      </c>
      <c r="AA99" s="2219">
        <v>286</v>
      </c>
    </row>
    <row r="100" spans="1:27" ht="15.6" x14ac:dyDescent="0.3">
      <c r="A100" s="449" t="s">
        <v>246</v>
      </c>
      <c r="B100" s="532" t="s">
        <v>247</v>
      </c>
      <c r="C100" s="934" t="s">
        <v>252</v>
      </c>
      <c r="D100" s="1139">
        <v>339</v>
      </c>
      <c r="E100" s="1140">
        <v>310</v>
      </c>
      <c r="F100" s="1864">
        <v>316</v>
      </c>
      <c r="G100" s="1864">
        <v>302</v>
      </c>
      <c r="H100" s="1864">
        <v>267</v>
      </c>
      <c r="I100" s="2169">
        <v>258</v>
      </c>
      <c r="J100" s="1701">
        <v>237</v>
      </c>
      <c r="K100" s="1139">
        <v>153</v>
      </c>
      <c r="L100" s="1140">
        <v>147</v>
      </c>
      <c r="M100" s="1359">
        <v>158</v>
      </c>
      <c r="N100" s="1864">
        <v>142</v>
      </c>
      <c r="O100" s="1864">
        <v>136</v>
      </c>
      <c r="P100" s="2169">
        <v>133</v>
      </c>
      <c r="Q100" s="1701">
        <v>149</v>
      </c>
      <c r="R100" s="1863">
        <v>45</v>
      </c>
      <c r="S100" s="1864">
        <v>47</v>
      </c>
      <c r="T100" s="1864">
        <v>36</v>
      </c>
      <c r="U100" s="1864">
        <v>39</v>
      </c>
      <c r="V100" s="1864">
        <v>34</v>
      </c>
      <c r="W100" s="2169">
        <v>55</v>
      </c>
      <c r="X100" s="1701">
        <v>31</v>
      </c>
      <c r="Y100" s="1860"/>
      <c r="Z100" s="1708">
        <v>135</v>
      </c>
      <c r="AA100" s="2219">
        <v>74</v>
      </c>
    </row>
    <row r="101" spans="1:27" ht="15.6" x14ac:dyDescent="0.3">
      <c r="A101" s="449" t="s">
        <v>14</v>
      </c>
      <c r="B101" s="532" t="s">
        <v>15</v>
      </c>
      <c r="C101" s="934" t="s">
        <v>255</v>
      </c>
      <c r="D101" s="1139">
        <v>732</v>
      </c>
      <c r="E101" s="1140">
        <v>607</v>
      </c>
      <c r="F101" s="1864">
        <v>650</v>
      </c>
      <c r="G101" s="1864">
        <v>611</v>
      </c>
      <c r="H101" s="1864">
        <v>514</v>
      </c>
      <c r="I101" s="2169">
        <v>491</v>
      </c>
      <c r="J101" s="1701">
        <v>474</v>
      </c>
      <c r="K101" s="1139">
        <v>367</v>
      </c>
      <c r="L101" s="1140">
        <v>384</v>
      </c>
      <c r="M101" s="1359">
        <v>402</v>
      </c>
      <c r="N101" s="1864">
        <v>294</v>
      </c>
      <c r="O101" s="1864">
        <v>297</v>
      </c>
      <c r="P101" s="2169">
        <v>348</v>
      </c>
      <c r="Q101" s="1701">
        <v>326</v>
      </c>
      <c r="R101" s="1863">
        <v>30</v>
      </c>
      <c r="S101" s="1864">
        <v>49</v>
      </c>
      <c r="T101" s="1864">
        <v>31</v>
      </c>
      <c r="U101" s="1864">
        <v>19</v>
      </c>
      <c r="V101" s="1864">
        <v>8</v>
      </c>
      <c r="W101" s="2169">
        <v>17</v>
      </c>
      <c r="X101" s="1701">
        <v>19</v>
      </c>
      <c r="Y101" s="1860"/>
      <c r="Z101" s="1708">
        <v>298</v>
      </c>
      <c r="AA101" s="2219">
        <v>203</v>
      </c>
    </row>
    <row r="102" spans="1:27" ht="15.6" x14ac:dyDescent="0.3">
      <c r="A102" s="449" t="s">
        <v>34</v>
      </c>
      <c r="B102" s="532" t="s">
        <v>35</v>
      </c>
      <c r="C102" s="934" t="s">
        <v>256</v>
      </c>
      <c r="D102" s="1139">
        <v>722</v>
      </c>
      <c r="E102" s="1140">
        <v>649</v>
      </c>
      <c r="F102" s="1864">
        <v>670</v>
      </c>
      <c r="G102" s="1864">
        <v>703</v>
      </c>
      <c r="H102" s="1864">
        <v>692</v>
      </c>
      <c r="I102" s="2169">
        <v>688</v>
      </c>
      <c r="J102" s="1701">
        <v>712</v>
      </c>
      <c r="K102" s="1139">
        <v>322</v>
      </c>
      <c r="L102" s="1140">
        <v>325</v>
      </c>
      <c r="M102" s="1359">
        <v>389</v>
      </c>
      <c r="N102" s="1864">
        <v>399</v>
      </c>
      <c r="O102" s="1864">
        <v>401</v>
      </c>
      <c r="P102" s="2169">
        <v>425</v>
      </c>
      <c r="Q102" s="1701">
        <v>437</v>
      </c>
      <c r="R102" s="1863">
        <v>12</v>
      </c>
      <c r="S102" s="1864">
        <v>21</v>
      </c>
      <c r="T102" s="1864">
        <v>23</v>
      </c>
      <c r="U102" s="1864">
        <v>39</v>
      </c>
      <c r="V102" s="1864">
        <v>33</v>
      </c>
      <c r="W102" s="2169">
        <v>58</v>
      </c>
      <c r="X102" s="1701">
        <v>68</v>
      </c>
      <c r="Y102" s="1860"/>
      <c r="Z102" s="1708">
        <v>364</v>
      </c>
      <c r="AA102" s="2219">
        <v>267</v>
      </c>
    </row>
    <row r="103" spans="1:27" ht="15.6" x14ac:dyDescent="0.3">
      <c r="A103" s="449" t="s">
        <v>52</v>
      </c>
      <c r="B103" s="532" t="s">
        <v>53</v>
      </c>
      <c r="C103" s="934" t="s">
        <v>253</v>
      </c>
      <c r="D103" s="1139">
        <v>761</v>
      </c>
      <c r="E103" s="1140">
        <v>657</v>
      </c>
      <c r="F103" s="1864">
        <v>650</v>
      </c>
      <c r="G103" s="1864">
        <v>643</v>
      </c>
      <c r="H103" s="1864">
        <v>524</v>
      </c>
      <c r="I103" s="2169">
        <v>556</v>
      </c>
      <c r="J103" s="1701">
        <v>571</v>
      </c>
      <c r="K103" s="1139">
        <v>436</v>
      </c>
      <c r="L103" s="1140">
        <v>404</v>
      </c>
      <c r="M103" s="1359">
        <v>227</v>
      </c>
      <c r="N103" s="1864">
        <v>344</v>
      </c>
      <c r="O103" s="1864">
        <v>331</v>
      </c>
      <c r="P103" s="2169">
        <v>376</v>
      </c>
      <c r="Q103" s="1701">
        <v>379</v>
      </c>
      <c r="R103" s="1863">
        <v>33</v>
      </c>
      <c r="S103" s="1864">
        <v>45</v>
      </c>
      <c r="T103" s="1864">
        <v>59</v>
      </c>
      <c r="U103" s="1864">
        <v>32</v>
      </c>
      <c r="V103" s="1864">
        <v>40</v>
      </c>
      <c r="W103" s="2169">
        <v>34</v>
      </c>
      <c r="X103" s="1701">
        <v>40</v>
      </c>
      <c r="Y103" s="1860"/>
      <c r="Z103" s="1708">
        <v>343</v>
      </c>
      <c r="AA103" s="2219">
        <v>220</v>
      </c>
    </row>
    <row r="104" spans="1:27" ht="15.6" x14ac:dyDescent="0.3">
      <c r="A104" s="449" t="s">
        <v>54</v>
      </c>
      <c r="B104" s="532" t="s">
        <v>55</v>
      </c>
      <c r="C104" s="934" t="s">
        <v>252</v>
      </c>
      <c r="D104" s="1139">
        <v>2313</v>
      </c>
      <c r="E104" s="1140">
        <v>1989</v>
      </c>
      <c r="F104" s="1864">
        <v>2020</v>
      </c>
      <c r="G104" s="1864">
        <v>1864</v>
      </c>
      <c r="H104" s="1864">
        <v>1784</v>
      </c>
      <c r="I104" s="2169">
        <v>1714</v>
      </c>
      <c r="J104" s="1701">
        <v>1617</v>
      </c>
      <c r="K104" s="1139">
        <v>1326</v>
      </c>
      <c r="L104" s="1140">
        <v>1181</v>
      </c>
      <c r="M104" s="1359">
        <v>1245</v>
      </c>
      <c r="N104" s="1864">
        <v>1289</v>
      </c>
      <c r="O104" s="1864">
        <v>1299</v>
      </c>
      <c r="P104" s="2169">
        <v>1130</v>
      </c>
      <c r="Q104" s="1701">
        <v>1242</v>
      </c>
      <c r="R104" s="1863">
        <v>198</v>
      </c>
      <c r="S104" s="1864">
        <v>196</v>
      </c>
      <c r="T104" s="1864">
        <v>227</v>
      </c>
      <c r="U104" s="1864">
        <v>182</v>
      </c>
      <c r="V104" s="1864">
        <v>239</v>
      </c>
      <c r="W104" s="2169">
        <v>175</v>
      </c>
      <c r="X104" s="1701">
        <v>224</v>
      </c>
      <c r="Y104" s="1860"/>
      <c r="Z104" s="1708">
        <v>1360</v>
      </c>
      <c r="AA104" s="2219">
        <v>926</v>
      </c>
    </row>
    <row r="105" spans="1:27" ht="15.6" x14ac:dyDescent="0.3">
      <c r="A105" s="449" t="s">
        <v>66</v>
      </c>
      <c r="B105" s="532" t="s">
        <v>67</v>
      </c>
      <c r="C105" s="934" t="s">
        <v>253</v>
      </c>
      <c r="D105" s="1139">
        <v>2862</v>
      </c>
      <c r="E105" s="1140">
        <v>2656</v>
      </c>
      <c r="F105" s="1864">
        <v>2772</v>
      </c>
      <c r="G105" s="1864">
        <v>2650</v>
      </c>
      <c r="H105" s="1864">
        <v>2487</v>
      </c>
      <c r="I105" s="2169">
        <v>2497</v>
      </c>
      <c r="J105" s="1701">
        <v>2475</v>
      </c>
      <c r="K105" s="1139">
        <v>1605</v>
      </c>
      <c r="L105" s="1140">
        <v>1791</v>
      </c>
      <c r="M105" s="1359">
        <v>1841</v>
      </c>
      <c r="N105" s="1864">
        <v>1793</v>
      </c>
      <c r="O105" s="1864">
        <v>1861</v>
      </c>
      <c r="P105" s="2169">
        <v>1977</v>
      </c>
      <c r="Q105" s="1701">
        <v>1937</v>
      </c>
      <c r="R105" s="1863">
        <v>231</v>
      </c>
      <c r="S105" s="1864">
        <v>198</v>
      </c>
      <c r="T105" s="1864">
        <v>318</v>
      </c>
      <c r="U105" s="1864">
        <v>183</v>
      </c>
      <c r="V105" s="1864">
        <v>235</v>
      </c>
      <c r="W105" s="2169">
        <v>443</v>
      </c>
      <c r="X105" s="1701">
        <v>311</v>
      </c>
      <c r="Y105" s="1860"/>
      <c r="Z105" s="1708">
        <v>1956</v>
      </c>
      <c r="AA105" s="2219">
        <v>1429</v>
      </c>
    </row>
    <row r="106" spans="1:27" ht="15.6" x14ac:dyDescent="0.3">
      <c r="A106" s="449" t="s">
        <v>82</v>
      </c>
      <c r="B106" s="532" t="s">
        <v>83</v>
      </c>
      <c r="C106" s="934" t="s">
        <v>252</v>
      </c>
      <c r="D106" s="1139">
        <v>602</v>
      </c>
      <c r="E106" s="1140">
        <v>543</v>
      </c>
      <c r="F106" s="1864">
        <v>541</v>
      </c>
      <c r="G106" s="1864">
        <v>495</v>
      </c>
      <c r="H106" s="1864">
        <v>505</v>
      </c>
      <c r="I106" s="2169">
        <v>520</v>
      </c>
      <c r="J106" s="1701">
        <v>490</v>
      </c>
      <c r="K106" s="1139">
        <v>337</v>
      </c>
      <c r="L106" s="1140">
        <v>357</v>
      </c>
      <c r="M106" s="1359">
        <v>359</v>
      </c>
      <c r="N106" s="1864">
        <v>341</v>
      </c>
      <c r="O106" s="1864">
        <v>345</v>
      </c>
      <c r="P106" s="2169">
        <v>349</v>
      </c>
      <c r="Q106" s="1701">
        <v>323</v>
      </c>
      <c r="R106" s="1863">
        <v>159</v>
      </c>
      <c r="S106" s="1864">
        <v>201</v>
      </c>
      <c r="T106" s="1864">
        <v>161</v>
      </c>
      <c r="U106" s="1864">
        <v>162</v>
      </c>
      <c r="V106" s="1864">
        <v>86</v>
      </c>
      <c r="W106" s="2169">
        <v>95</v>
      </c>
      <c r="X106" s="1701">
        <v>93</v>
      </c>
      <c r="Y106" s="1860"/>
      <c r="Z106" s="1708">
        <v>389</v>
      </c>
      <c r="AA106" s="2219">
        <v>313</v>
      </c>
    </row>
    <row r="107" spans="1:27" ht="15.6" x14ac:dyDescent="0.3">
      <c r="A107" s="449" t="s">
        <v>88</v>
      </c>
      <c r="B107" s="532" t="s">
        <v>89</v>
      </c>
      <c r="C107" s="934" t="s">
        <v>255</v>
      </c>
      <c r="D107" s="1139">
        <v>490</v>
      </c>
      <c r="E107" s="1140">
        <v>461</v>
      </c>
      <c r="F107" s="1864">
        <v>473</v>
      </c>
      <c r="G107" s="1864">
        <v>470</v>
      </c>
      <c r="H107" s="1864">
        <v>477</v>
      </c>
      <c r="I107" s="2169">
        <v>457</v>
      </c>
      <c r="J107" s="1701">
        <v>444</v>
      </c>
      <c r="K107" s="1139">
        <v>285</v>
      </c>
      <c r="L107" s="1140">
        <v>262</v>
      </c>
      <c r="M107" s="1359">
        <v>309</v>
      </c>
      <c r="N107" s="1864">
        <v>309</v>
      </c>
      <c r="O107" s="1864">
        <v>306</v>
      </c>
      <c r="P107" s="2169">
        <v>304</v>
      </c>
      <c r="Q107" s="1701">
        <v>317</v>
      </c>
      <c r="R107" s="1863">
        <v>53</v>
      </c>
      <c r="S107" s="1864">
        <v>51</v>
      </c>
      <c r="T107" s="1864">
        <v>73</v>
      </c>
      <c r="U107" s="1864">
        <v>45</v>
      </c>
      <c r="V107" s="1864">
        <v>37</v>
      </c>
      <c r="W107" s="2169">
        <v>46</v>
      </c>
      <c r="X107" s="1701">
        <v>46</v>
      </c>
      <c r="Y107" s="1860"/>
      <c r="Z107" s="1708">
        <v>344</v>
      </c>
      <c r="AA107" s="2219">
        <v>212</v>
      </c>
    </row>
    <row r="108" spans="1:27" ht="15.6" x14ac:dyDescent="0.3">
      <c r="A108" s="449" t="s">
        <v>90</v>
      </c>
      <c r="B108" s="532" t="s">
        <v>91</v>
      </c>
      <c r="C108" s="934" t="s">
        <v>256</v>
      </c>
      <c r="D108" s="1139">
        <v>633</v>
      </c>
      <c r="E108" s="1140">
        <v>604</v>
      </c>
      <c r="F108" s="1864">
        <v>621</v>
      </c>
      <c r="G108" s="1864">
        <v>576</v>
      </c>
      <c r="H108" s="1864">
        <v>535</v>
      </c>
      <c r="I108" s="2169">
        <v>504</v>
      </c>
      <c r="J108" s="1701">
        <v>479</v>
      </c>
      <c r="K108" s="1139">
        <v>338</v>
      </c>
      <c r="L108" s="1140">
        <v>350</v>
      </c>
      <c r="M108" s="1359">
        <v>359</v>
      </c>
      <c r="N108" s="1864">
        <v>333</v>
      </c>
      <c r="O108" s="1864">
        <v>332</v>
      </c>
      <c r="P108" s="2169">
        <v>312</v>
      </c>
      <c r="Q108" s="1701">
        <v>278</v>
      </c>
      <c r="R108" s="1863">
        <v>105</v>
      </c>
      <c r="S108" s="1864">
        <v>109</v>
      </c>
      <c r="T108" s="1864">
        <v>81</v>
      </c>
      <c r="U108" s="1864">
        <v>55</v>
      </c>
      <c r="V108" s="1864">
        <v>56</v>
      </c>
      <c r="W108" s="2169">
        <v>43</v>
      </c>
      <c r="X108" s="1701">
        <v>39</v>
      </c>
      <c r="Y108" s="1860"/>
      <c r="Z108" s="1708">
        <v>340</v>
      </c>
      <c r="AA108" s="2219">
        <v>236</v>
      </c>
    </row>
    <row r="109" spans="1:27" ht="15.6" x14ac:dyDescent="0.3">
      <c r="A109" s="449" t="s">
        <v>106</v>
      </c>
      <c r="B109" s="532" t="s">
        <v>107</v>
      </c>
      <c r="C109" s="934" t="s">
        <v>252</v>
      </c>
      <c r="D109" s="1139">
        <v>2352</v>
      </c>
      <c r="E109" s="1140">
        <v>2044</v>
      </c>
      <c r="F109" s="1864">
        <v>2104</v>
      </c>
      <c r="G109" s="1864">
        <v>1950</v>
      </c>
      <c r="H109" s="1864">
        <v>1905</v>
      </c>
      <c r="I109" s="2169">
        <v>1993</v>
      </c>
      <c r="J109" s="1701">
        <v>2000</v>
      </c>
      <c r="K109" s="1139">
        <v>1265</v>
      </c>
      <c r="L109" s="1140">
        <v>1117</v>
      </c>
      <c r="M109" s="1359">
        <v>1148</v>
      </c>
      <c r="N109" s="1864">
        <v>1118</v>
      </c>
      <c r="O109" s="1864">
        <v>1304</v>
      </c>
      <c r="P109" s="2169">
        <v>1350</v>
      </c>
      <c r="Q109" s="1701">
        <v>1378</v>
      </c>
      <c r="R109" s="1863">
        <v>205</v>
      </c>
      <c r="S109" s="1864">
        <v>207</v>
      </c>
      <c r="T109" s="1864">
        <v>198</v>
      </c>
      <c r="U109" s="1864">
        <v>205</v>
      </c>
      <c r="V109" s="1864">
        <v>207</v>
      </c>
      <c r="W109" s="2169">
        <v>198</v>
      </c>
      <c r="X109" s="1701">
        <v>189</v>
      </c>
      <c r="Y109" s="1860"/>
      <c r="Z109" s="1708">
        <v>1337</v>
      </c>
      <c r="AA109" s="2219">
        <v>798</v>
      </c>
    </row>
    <row r="110" spans="1:27" ht="15.6" x14ac:dyDescent="0.3">
      <c r="A110" s="449" t="s">
        <v>116</v>
      </c>
      <c r="B110" s="532" t="s">
        <v>117</v>
      </c>
      <c r="C110" s="934" t="s">
        <v>254</v>
      </c>
      <c r="D110" s="1139">
        <v>741</v>
      </c>
      <c r="E110" s="1140">
        <v>699</v>
      </c>
      <c r="F110" s="1864">
        <v>711</v>
      </c>
      <c r="G110" s="1864">
        <v>668</v>
      </c>
      <c r="H110" s="1864">
        <v>677</v>
      </c>
      <c r="I110" s="2169">
        <v>728</v>
      </c>
      <c r="J110" s="1701">
        <v>679</v>
      </c>
      <c r="K110" s="1139">
        <v>478</v>
      </c>
      <c r="L110" s="1140">
        <v>492</v>
      </c>
      <c r="M110" s="1359">
        <v>560</v>
      </c>
      <c r="N110" s="1864">
        <v>513</v>
      </c>
      <c r="O110" s="1864">
        <v>535</v>
      </c>
      <c r="P110" s="2169">
        <v>479</v>
      </c>
      <c r="Q110" s="1701">
        <v>473</v>
      </c>
      <c r="R110" s="1863">
        <v>95</v>
      </c>
      <c r="S110" s="1864">
        <v>125</v>
      </c>
      <c r="T110" s="1864">
        <v>119</v>
      </c>
      <c r="U110" s="1864">
        <v>114</v>
      </c>
      <c r="V110" s="1864">
        <v>113</v>
      </c>
      <c r="W110" s="2169">
        <v>129</v>
      </c>
      <c r="X110" s="1701">
        <v>102</v>
      </c>
      <c r="Y110" s="1860"/>
      <c r="Z110" s="1708">
        <v>565</v>
      </c>
      <c r="AA110" s="2219">
        <v>346</v>
      </c>
    </row>
    <row r="111" spans="1:27" ht="15.6" x14ac:dyDescent="0.3">
      <c r="A111" s="449" t="s">
        <v>138</v>
      </c>
      <c r="B111" s="532" t="s">
        <v>139</v>
      </c>
      <c r="C111" s="934" t="s">
        <v>253</v>
      </c>
      <c r="D111" s="1139">
        <v>2914</v>
      </c>
      <c r="E111" s="1140">
        <v>2711</v>
      </c>
      <c r="F111" s="1864">
        <v>2733</v>
      </c>
      <c r="G111" s="1864">
        <v>2619</v>
      </c>
      <c r="H111" s="1864">
        <v>2433</v>
      </c>
      <c r="I111" s="2169">
        <v>2505</v>
      </c>
      <c r="J111" s="1701">
        <v>2369</v>
      </c>
      <c r="K111" s="1139">
        <v>1703</v>
      </c>
      <c r="L111" s="1140">
        <v>1672</v>
      </c>
      <c r="M111" s="1359">
        <v>1689</v>
      </c>
      <c r="N111" s="1864">
        <v>1657</v>
      </c>
      <c r="O111" s="1864">
        <v>1710</v>
      </c>
      <c r="P111" s="2169">
        <v>1712</v>
      </c>
      <c r="Q111" s="1701">
        <v>1595</v>
      </c>
      <c r="R111" s="1863">
        <v>859</v>
      </c>
      <c r="S111" s="1864">
        <v>814</v>
      </c>
      <c r="T111" s="1864">
        <v>775</v>
      </c>
      <c r="U111" s="1864">
        <v>487</v>
      </c>
      <c r="V111" s="1864">
        <v>517</v>
      </c>
      <c r="W111" s="2169">
        <v>518</v>
      </c>
      <c r="X111" s="1701">
        <v>520</v>
      </c>
      <c r="Y111" s="1860"/>
      <c r="Z111" s="1708">
        <v>1815</v>
      </c>
      <c r="AA111" s="2219">
        <v>1098</v>
      </c>
    </row>
    <row r="112" spans="1:27" ht="15.6" x14ac:dyDescent="0.3">
      <c r="A112" s="449" t="s">
        <v>142</v>
      </c>
      <c r="B112" s="532" t="s">
        <v>143</v>
      </c>
      <c r="C112" s="934" t="s">
        <v>255</v>
      </c>
      <c r="D112" s="1139">
        <v>111</v>
      </c>
      <c r="E112" s="1140">
        <v>118</v>
      </c>
      <c r="F112" s="1864">
        <v>117</v>
      </c>
      <c r="G112" s="1864">
        <v>122</v>
      </c>
      <c r="H112" s="1864">
        <v>115</v>
      </c>
      <c r="I112" s="2169">
        <v>114</v>
      </c>
      <c r="J112" s="1701">
        <v>107</v>
      </c>
      <c r="K112" s="1139">
        <v>64</v>
      </c>
      <c r="L112" s="1140">
        <v>43</v>
      </c>
      <c r="M112" s="1359">
        <v>64</v>
      </c>
      <c r="N112" s="1864">
        <v>55</v>
      </c>
      <c r="O112" s="1864">
        <v>59</v>
      </c>
      <c r="P112" s="2169">
        <v>57</v>
      </c>
      <c r="Q112" s="1701">
        <v>52</v>
      </c>
      <c r="R112" s="1863">
        <v>10</v>
      </c>
      <c r="S112" s="1864">
        <v>16</v>
      </c>
      <c r="T112" s="1864">
        <v>11</v>
      </c>
      <c r="U112" s="1864">
        <v>8</v>
      </c>
      <c r="V112" s="1864">
        <v>5</v>
      </c>
      <c r="W112" s="2169">
        <v>8</v>
      </c>
      <c r="X112" s="1701">
        <v>13</v>
      </c>
      <c r="Y112" s="1860"/>
      <c r="Z112" s="1708">
        <v>63</v>
      </c>
      <c r="AA112" s="2219">
        <v>54</v>
      </c>
    </row>
    <row r="113" spans="1:27" ht="15.6" x14ac:dyDescent="0.3">
      <c r="A113" s="449" t="s">
        <v>144</v>
      </c>
      <c r="B113" s="532" t="s">
        <v>145</v>
      </c>
      <c r="C113" s="934" t="s">
        <v>255</v>
      </c>
      <c r="D113" s="1139">
        <v>50</v>
      </c>
      <c r="E113" s="1140">
        <v>38</v>
      </c>
      <c r="F113" s="1864">
        <v>39</v>
      </c>
      <c r="G113" s="1864">
        <v>40</v>
      </c>
      <c r="H113" s="1864">
        <v>28</v>
      </c>
      <c r="I113" s="2169">
        <v>30</v>
      </c>
      <c r="J113" s="1701">
        <v>26</v>
      </c>
      <c r="K113" s="1139">
        <v>22</v>
      </c>
      <c r="L113" s="1140">
        <v>25</v>
      </c>
      <c r="M113" s="1359">
        <v>22</v>
      </c>
      <c r="N113" s="1864">
        <v>19</v>
      </c>
      <c r="O113" s="1864">
        <v>20</v>
      </c>
      <c r="P113" s="2169">
        <v>21</v>
      </c>
      <c r="Q113" s="1701">
        <v>23</v>
      </c>
      <c r="R113" s="1863">
        <v>8</v>
      </c>
      <c r="S113" s="1864">
        <v>10</v>
      </c>
      <c r="T113" s="1864">
        <v>7</v>
      </c>
      <c r="U113" s="1864">
        <v>4</v>
      </c>
      <c r="V113" s="1864">
        <v>1</v>
      </c>
      <c r="W113" s="2169">
        <v>3</v>
      </c>
      <c r="X113" s="1701"/>
      <c r="Y113" s="1860"/>
      <c r="Z113" s="1708">
        <v>21</v>
      </c>
      <c r="AA113" s="2219">
        <v>14</v>
      </c>
    </row>
    <row r="114" spans="1:27" ht="15.6" x14ac:dyDescent="0.3">
      <c r="A114" s="449" t="s">
        <v>158</v>
      </c>
      <c r="B114" s="532" t="s">
        <v>159</v>
      </c>
      <c r="C114" s="934" t="s">
        <v>252</v>
      </c>
      <c r="D114" s="1139">
        <v>4034</v>
      </c>
      <c r="E114" s="1140">
        <v>3548</v>
      </c>
      <c r="F114" s="1864">
        <v>3669</v>
      </c>
      <c r="G114" s="1864">
        <v>3465</v>
      </c>
      <c r="H114" s="1864">
        <v>3283</v>
      </c>
      <c r="I114" s="2169">
        <v>3190</v>
      </c>
      <c r="J114" s="1701">
        <v>3237</v>
      </c>
      <c r="K114" s="1139">
        <v>2020</v>
      </c>
      <c r="L114" s="1140">
        <v>1950</v>
      </c>
      <c r="M114" s="1359">
        <v>2025</v>
      </c>
      <c r="N114" s="1864">
        <v>2170</v>
      </c>
      <c r="O114" s="1864">
        <v>2196</v>
      </c>
      <c r="P114" s="2169">
        <v>2273</v>
      </c>
      <c r="Q114" s="1701">
        <v>2380</v>
      </c>
      <c r="R114" s="1863">
        <v>247</v>
      </c>
      <c r="S114" s="1864">
        <v>309</v>
      </c>
      <c r="T114" s="1864">
        <v>237</v>
      </c>
      <c r="U114" s="1864">
        <v>207</v>
      </c>
      <c r="V114" s="1864">
        <v>230</v>
      </c>
      <c r="W114" s="2169">
        <v>338</v>
      </c>
      <c r="X114" s="1701">
        <v>311</v>
      </c>
      <c r="Y114" s="1860"/>
      <c r="Z114" s="1708">
        <v>2137</v>
      </c>
      <c r="AA114" s="2219">
        <v>1303</v>
      </c>
    </row>
    <row r="115" spans="1:27" ht="15.6" x14ac:dyDescent="0.3">
      <c r="A115" s="449" t="s">
        <v>160</v>
      </c>
      <c r="B115" s="532" t="s">
        <v>161</v>
      </c>
      <c r="C115" s="934" t="s">
        <v>252</v>
      </c>
      <c r="D115" s="1139">
        <v>5020</v>
      </c>
      <c r="E115" s="1140">
        <v>4442</v>
      </c>
      <c r="F115" s="1864">
        <v>4426</v>
      </c>
      <c r="G115" s="1864">
        <v>3961</v>
      </c>
      <c r="H115" s="1864">
        <v>3719</v>
      </c>
      <c r="I115" s="2169">
        <v>3599</v>
      </c>
      <c r="J115" s="1701">
        <v>3580</v>
      </c>
      <c r="K115" s="1139">
        <v>2862</v>
      </c>
      <c r="L115" s="1140">
        <v>2668</v>
      </c>
      <c r="M115" s="1359">
        <v>2699</v>
      </c>
      <c r="N115" s="1864">
        <v>2707</v>
      </c>
      <c r="O115" s="1864">
        <v>2619</v>
      </c>
      <c r="P115" s="2169">
        <v>2646</v>
      </c>
      <c r="Q115" s="1701">
        <v>2751</v>
      </c>
      <c r="R115" s="1863">
        <v>268</v>
      </c>
      <c r="S115" s="1864">
        <v>310</v>
      </c>
      <c r="T115" s="1864">
        <v>298</v>
      </c>
      <c r="U115" s="1864">
        <v>239</v>
      </c>
      <c r="V115" s="1864">
        <v>246</v>
      </c>
      <c r="W115" s="2169">
        <v>327</v>
      </c>
      <c r="X115" s="1701">
        <v>342</v>
      </c>
      <c r="Y115" s="1860"/>
      <c r="Z115" s="1708">
        <v>2766</v>
      </c>
      <c r="AA115" s="2219">
        <v>1958</v>
      </c>
    </row>
    <row r="116" spans="1:27" ht="15.6" x14ac:dyDescent="0.3">
      <c r="A116" s="449" t="s">
        <v>166</v>
      </c>
      <c r="B116" s="532" t="s">
        <v>167</v>
      </c>
      <c r="C116" s="934" t="s">
        <v>256</v>
      </c>
      <c r="D116" s="1139">
        <v>374</v>
      </c>
      <c r="E116" s="1140">
        <v>338</v>
      </c>
      <c r="F116" s="1864">
        <v>365</v>
      </c>
      <c r="G116" s="1864">
        <v>354</v>
      </c>
      <c r="H116" s="1864">
        <v>344</v>
      </c>
      <c r="I116" s="2169">
        <v>344</v>
      </c>
      <c r="J116" s="1701">
        <v>333</v>
      </c>
      <c r="K116" s="1139">
        <v>218</v>
      </c>
      <c r="L116" s="1140">
        <v>230</v>
      </c>
      <c r="M116" s="1359">
        <v>222</v>
      </c>
      <c r="N116" s="1864">
        <v>244</v>
      </c>
      <c r="O116" s="1864">
        <v>231</v>
      </c>
      <c r="P116" s="2169">
        <v>249</v>
      </c>
      <c r="Q116" s="1701">
        <v>246</v>
      </c>
      <c r="R116" s="1863">
        <v>34</v>
      </c>
      <c r="S116" s="1864">
        <v>41</v>
      </c>
      <c r="T116" s="1864">
        <v>32</v>
      </c>
      <c r="U116" s="1864">
        <v>31</v>
      </c>
      <c r="V116" s="1864">
        <v>24</v>
      </c>
      <c r="W116" s="2169">
        <v>29</v>
      </c>
      <c r="X116" s="1701">
        <v>19</v>
      </c>
      <c r="Y116" s="1860"/>
      <c r="Z116" s="1708">
        <v>246</v>
      </c>
      <c r="AA116" s="2219">
        <v>214</v>
      </c>
    </row>
    <row r="117" spans="1:27" ht="15.6" x14ac:dyDescent="0.3">
      <c r="A117" s="449" t="s">
        <v>176</v>
      </c>
      <c r="B117" s="532" t="s">
        <v>177</v>
      </c>
      <c r="C117" s="934" t="s">
        <v>254</v>
      </c>
      <c r="D117" s="1139">
        <v>1812</v>
      </c>
      <c r="E117" s="1140">
        <v>1516</v>
      </c>
      <c r="F117" s="1864">
        <v>1524</v>
      </c>
      <c r="G117" s="1864">
        <v>1431</v>
      </c>
      <c r="H117" s="1864">
        <v>1410</v>
      </c>
      <c r="I117" s="2169">
        <v>1511</v>
      </c>
      <c r="J117" s="1701">
        <v>1604</v>
      </c>
      <c r="K117" s="1139">
        <v>851</v>
      </c>
      <c r="L117" s="1140">
        <v>892</v>
      </c>
      <c r="M117" s="1359">
        <v>953</v>
      </c>
      <c r="N117" s="1864">
        <v>903</v>
      </c>
      <c r="O117" s="1864">
        <v>1001</v>
      </c>
      <c r="P117" s="2169">
        <v>996</v>
      </c>
      <c r="Q117" s="1701">
        <v>1024</v>
      </c>
      <c r="R117" s="1863">
        <v>210</v>
      </c>
      <c r="S117" s="1864">
        <v>217</v>
      </c>
      <c r="T117" s="1864">
        <v>211</v>
      </c>
      <c r="U117" s="1864">
        <v>181</v>
      </c>
      <c r="V117" s="1864">
        <v>170</v>
      </c>
      <c r="W117" s="2169">
        <v>222</v>
      </c>
      <c r="X117" s="1701">
        <v>221</v>
      </c>
      <c r="Y117" s="1860"/>
      <c r="Z117" s="1708">
        <v>983</v>
      </c>
      <c r="AA117" s="2219">
        <v>544</v>
      </c>
    </row>
    <row r="118" spans="1:27" ht="15.6" x14ac:dyDescent="0.3">
      <c r="A118" s="449" t="s">
        <v>180</v>
      </c>
      <c r="B118" s="532" t="s">
        <v>181</v>
      </c>
      <c r="C118" s="934" t="s">
        <v>252</v>
      </c>
      <c r="D118" s="1139">
        <v>2045</v>
      </c>
      <c r="E118" s="1140">
        <v>1850</v>
      </c>
      <c r="F118" s="1864">
        <v>1672</v>
      </c>
      <c r="G118" s="1864">
        <v>1754</v>
      </c>
      <c r="H118" s="1864">
        <v>1633</v>
      </c>
      <c r="I118" s="2169">
        <v>1817</v>
      </c>
      <c r="J118" s="1701">
        <v>1790</v>
      </c>
      <c r="K118" s="1139">
        <v>1390</v>
      </c>
      <c r="L118" s="1140">
        <v>1238</v>
      </c>
      <c r="M118" s="1359">
        <v>1300</v>
      </c>
      <c r="N118" s="1864">
        <v>1214</v>
      </c>
      <c r="O118" s="1864">
        <v>1287</v>
      </c>
      <c r="P118" s="2169">
        <v>1265</v>
      </c>
      <c r="Q118" s="1701">
        <v>1306</v>
      </c>
      <c r="R118" s="1863">
        <v>290</v>
      </c>
      <c r="S118" s="1864">
        <v>190</v>
      </c>
      <c r="T118" s="1864">
        <v>291</v>
      </c>
      <c r="U118" s="1864">
        <v>154</v>
      </c>
      <c r="V118" s="1864">
        <v>351</v>
      </c>
      <c r="W118" s="2169">
        <v>260</v>
      </c>
      <c r="X118" s="1701">
        <v>254</v>
      </c>
      <c r="Y118" s="1860"/>
      <c r="Z118" s="1708">
        <v>1261</v>
      </c>
      <c r="AA118" s="2219">
        <v>721</v>
      </c>
    </row>
    <row r="119" spans="1:27" ht="15.6" x14ac:dyDescent="0.3">
      <c r="A119" s="449" t="s">
        <v>192</v>
      </c>
      <c r="B119" s="532" t="s">
        <v>193</v>
      </c>
      <c r="C119" s="934" t="s">
        <v>256</v>
      </c>
      <c r="D119" s="1139">
        <v>378</v>
      </c>
      <c r="E119" s="1140">
        <v>353</v>
      </c>
      <c r="F119" s="1864">
        <v>327</v>
      </c>
      <c r="G119" s="1864">
        <v>322</v>
      </c>
      <c r="H119" s="1864">
        <v>302</v>
      </c>
      <c r="I119" s="2169">
        <v>288</v>
      </c>
      <c r="J119" s="1701">
        <v>265</v>
      </c>
      <c r="K119" s="1139">
        <v>301</v>
      </c>
      <c r="L119" s="1140">
        <v>232</v>
      </c>
      <c r="M119" s="1359">
        <v>232</v>
      </c>
      <c r="N119" s="1864">
        <v>238</v>
      </c>
      <c r="O119" s="1864">
        <v>239</v>
      </c>
      <c r="P119" s="2169">
        <v>240</v>
      </c>
      <c r="Q119" s="1701">
        <v>240</v>
      </c>
      <c r="R119" s="1863">
        <v>117</v>
      </c>
      <c r="S119" s="1864">
        <v>69</v>
      </c>
      <c r="T119" s="1864">
        <v>49</v>
      </c>
      <c r="U119" s="1864">
        <v>28</v>
      </c>
      <c r="V119" s="1864">
        <v>22</v>
      </c>
      <c r="W119" s="2169">
        <v>41</v>
      </c>
      <c r="X119" s="1701">
        <v>42</v>
      </c>
      <c r="Y119" s="1860"/>
      <c r="Z119" s="1708">
        <v>234</v>
      </c>
      <c r="AA119" s="2219">
        <v>142</v>
      </c>
    </row>
    <row r="120" spans="1:27" ht="15.6" x14ac:dyDescent="0.3">
      <c r="A120" s="449" t="s">
        <v>196</v>
      </c>
      <c r="B120" s="532" t="s">
        <v>197</v>
      </c>
      <c r="C120" s="934" t="s">
        <v>254</v>
      </c>
      <c r="D120" s="1139">
        <v>5720</v>
      </c>
      <c r="E120" s="1140">
        <v>5262</v>
      </c>
      <c r="F120" s="1864">
        <v>5439</v>
      </c>
      <c r="G120" s="1864">
        <v>4864</v>
      </c>
      <c r="H120" s="1864">
        <v>4472</v>
      </c>
      <c r="I120" s="2169">
        <v>4273</v>
      </c>
      <c r="J120" s="1701">
        <v>4108</v>
      </c>
      <c r="K120" s="1139">
        <v>3288</v>
      </c>
      <c r="L120" s="1140">
        <v>3177</v>
      </c>
      <c r="M120" s="1359">
        <v>2382</v>
      </c>
      <c r="N120" s="1864">
        <v>2501</v>
      </c>
      <c r="O120" s="1864">
        <v>3067</v>
      </c>
      <c r="P120" s="2169">
        <v>2964</v>
      </c>
      <c r="Q120" s="1701">
        <v>2683</v>
      </c>
      <c r="R120" s="1863">
        <v>508</v>
      </c>
      <c r="S120" s="1864">
        <v>493</v>
      </c>
      <c r="T120" s="1864">
        <v>593</v>
      </c>
      <c r="U120" s="1864">
        <v>486</v>
      </c>
      <c r="V120" s="1864">
        <v>371</v>
      </c>
      <c r="W120" s="2169">
        <v>429</v>
      </c>
      <c r="X120" s="1701">
        <v>375</v>
      </c>
      <c r="Y120" s="1860"/>
      <c r="Z120" s="1708">
        <v>3060</v>
      </c>
      <c r="AA120" s="2219">
        <v>1833</v>
      </c>
    </row>
    <row r="121" spans="1:27" ht="15.6" x14ac:dyDescent="0.3">
      <c r="A121" s="449" t="s">
        <v>200</v>
      </c>
      <c r="B121" s="532" t="s">
        <v>201</v>
      </c>
      <c r="C121" s="934" t="s">
        <v>253</v>
      </c>
      <c r="D121" s="1139">
        <v>3412</v>
      </c>
      <c r="E121" s="1140">
        <v>3160</v>
      </c>
      <c r="F121" s="1864">
        <v>3288</v>
      </c>
      <c r="G121" s="1864">
        <v>3047</v>
      </c>
      <c r="H121" s="1864">
        <v>3012</v>
      </c>
      <c r="I121" s="2169">
        <v>2895</v>
      </c>
      <c r="J121" s="1701">
        <v>2821</v>
      </c>
      <c r="K121" s="1139">
        <v>1804</v>
      </c>
      <c r="L121" s="1140">
        <v>1823</v>
      </c>
      <c r="M121" s="1359">
        <v>1844</v>
      </c>
      <c r="N121" s="1864">
        <v>1894</v>
      </c>
      <c r="O121" s="1864">
        <v>1983</v>
      </c>
      <c r="P121" s="2169">
        <v>2064</v>
      </c>
      <c r="Q121" s="1701">
        <v>2216</v>
      </c>
      <c r="R121" s="1863">
        <v>441</v>
      </c>
      <c r="S121" s="1864">
        <v>486</v>
      </c>
      <c r="T121" s="1864">
        <v>335</v>
      </c>
      <c r="U121" s="1864">
        <v>299</v>
      </c>
      <c r="V121" s="1864">
        <v>213</v>
      </c>
      <c r="W121" s="2169">
        <v>237</v>
      </c>
      <c r="X121" s="1701">
        <v>226</v>
      </c>
      <c r="Y121" s="1860"/>
      <c r="Z121" s="1708">
        <v>1908</v>
      </c>
      <c r="AA121" s="2219">
        <v>1175</v>
      </c>
    </row>
    <row r="122" spans="1:27" ht="15.6" x14ac:dyDescent="0.3">
      <c r="A122" s="449" t="s">
        <v>222</v>
      </c>
      <c r="B122" s="532" t="s">
        <v>223</v>
      </c>
      <c r="C122" s="934" t="s">
        <v>252</v>
      </c>
      <c r="D122" s="1139">
        <v>2075</v>
      </c>
      <c r="E122" s="1140">
        <v>1790</v>
      </c>
      <c r="F122" s="1864">
        <v>1833</v>
      </c>
      <c r="G122" s="1864">
        <v>1675</v>
      </c>
      <c r="H122" s="1864">
        <v>1597</v>
      </c>
      <c r="I122" s="2169">
        <v>1543</v>
      </c>
      <c r="J122" s="1701">
        <v>1499</v>
      </c>
      <c r="K122" s="1139">
        <v>1046</v>
      </c>
      <c r="L122" s="1140">
        <v>1017</v>
      </c>
      <c r="M122" s="1359">
        <v>1055</v>
      </c>
      <c r="N122" s="1864">
        <v>1068</v>
      </c>
      <c r="O122" s="1864">
        <v>1056</v>
      </c>
      <c r="P122" s="2169">
        <v>1100</v>
      </c>
      <c r="Q122" s="1701">
        <v>1065</v>
      </c>
      <c r="R122" s="1863">
        <v>262</v>
      </c>
      <c r="S122" s="1864">
        <v>236</v>
      </c>
      <c r="T122" s="1864">
        <v>202</v>
      </c>
      <c r="U122" s="1864">
        <v>142</v>
      </c>
      <c r="V122" s="1864">
        <v>137</v>
      </c>
      <c r="W122" s="2169">
        <v>185</v>
      </c>
      <c r="X122" s="1701">
        <v>174</v>
      </c>
      <c r="Y122" s="1860"/>
      <c r="Z122" s="1708">
        <v>1075</v>
      </c>
      <c r="AA122" s="2219">
        <v>633</v>
      </c>
    </row>
    <row r="123" spans="1:27" ht="15.6" x14ac:dyDescent="0.3">
      <c r="A123" s="449" t="s">
        <v>230</v>
      </c>
      <c r="B123" s="532" t="s">
        <v>231</v>
      </c>
      <c r="C123" s="934" t="s">
        <v>252</v>
      </c>
      <c r="D123" s="1139">
        <v>2782</v>
      </c>
      <c r="E123" s="1140">
        <v>2413</v>
      </c>
      <c r="F123" s="1864">
        <v>2321</v>
      </c>
      <c r="G123" s="1864">
        <v>2161</v>
      </c>
      <c r="H123" s="1864">
        <v>2009</v>
      </c>
      <c r="I123" s="2169">
        <v>1978</v>
      </c>
      <c r="J123" s="1701">
        <v>1896</v>
      </c>
      <c r="K123" s="1139">
        <v>1280</v>
      </c>
      <c r="L123" s="1140">
        <v>1237</v>
      </c>
      <c r="M123" s="1359">
        <v>1149</v>
      </c>
      <c r="N123" s="1864">
        <v>1181</v>
      </c>
      <c r="O123" s="1864">
        <v>1273</v>
      </c>
      <c r="P123" s="2169">
        <v>1296</v>
      </c>
      <c r="Q123" s="1701">
        <v>1278</v>
      </c>
      <c r="R123" s="1863">
        <v>275</v>
      </c>
      <c r="S123" s="1864">
        <v>293</v>
      </c>
      <c r="T123" s="1864">
        <v>251</v>
      </c>
      <c r="U123" s="1864">
        <v>222</v>
      </c>
      <c r="V123" s="1864">
        <v>187</v>
      </c>
      <c r="W123" s="2169">
        <v>250</v>
      </c>
      <c r="X123" s="1701">
        <v>267</v>
      </c>
      <c r="Y123" s="1860"/>
      <c r="Z123" s="1708">
        <v>1338</v>
      </c>
      <c r="AA123" s="2219">
        <v>883</v>
      </c>
    </row>
    <row r="124" spans="1:27" ht="15.6" x14ac:dyDescent="0.3">
      <c r="A124" s="449" t="s">
        <v>238</v>
      </c>
      <c r="B124" s="532" t="s">
        <v>239</v>
      </c>
      <c r="C124" s="934" t="s">
        <v>252</v>
      </c>
      <c r="D124" s="1139">
        <v>55</v>
      </c>
      <c r="E124" s="1140">
        <v>42</v>
      </c>
      <c r="F124" s="1864">
        <v>41</v>
      </c>
      <c r="G124" s="1864">
        <v>43</v>
      </c>
      <c r="H124" s="1864">
        <v>39</v>
      </c>
      <c r="I124" s="2169">
        <v>47</v>
      </c>
      <c r="J124" s="1701">
        <v>59</v>
      </c>
      <c r="K124" s="1139">
        <v>24</v>
      </c>
      <c r="L124" s="1140">
        <v>22</v>
      </c>
      <c r="M124" s="1359">
        <v>31</v>
      </c>
      <c r="N124" s="1864">
        <v>26</v>
      </c>
      <c r="O124" s="1864">
        <v>29</v>
      </c>
      <c r="P124" s="2169">
        <v>40</v>
      </c>
      <c r="Q124" s="1701">
        <v>40</v>
      </c>
      <c r="R124" s="1863">
        <v>5</v>
      </c>
      <c r="S124" s="1864">
        <v>4</v>
      </c>
      <c r="T124" s="1864">
        <v>11</v>
      </c>
      <c r="U124" s="1864">
        <v>3</v>
      </c>
      <c r="V124" s="1864">
        <v>1</v>
      </c>
      <c r="W124" s="2169">
        <v>5</v>
      </c>
      <c r="X124" s="1701">
        <v>2</v>
      </c>
      <c r="Y124" s="1860"/>
      <c r="Z124" s="1708">
        <v>30</v>
      </c>
      <c r="AA124" s="2219">
        <v>23</v>
      </c>
    </row>
    <row r="125" spans="1:27" ht="15.6" x14ac:dyDescent="0.3">
      <c r="A125" s="450" t="s">
        <v>240</v>
      </c>
      <c r="B125" s="453" t="s">
        <v>241</v>
      </c>
      <c r="C125" s="935" t="s">
        <v>255</v>
      </c>
      <c r="D125" s="1141">
        <v>456</v>
      </c>
      <c r="E125" s="1142">
        <v>395</v>
      </c>
      <c r="F125" s="1284">
        <v>396</v>
      </c>
      <c r="G125" s="1284">
        <v>391</v>
      </c>
      <c r="H125" s="1284">
        <v>344</v>
      </c>
      <c r="I125" s="2307">
        <v>329</v>
      </c>
      <c r="J125" s="2308">
        <v>337</v>
      </c>
      <c r="K125" s="1141">
        <v>220</v>
      </c>
      <c r="L125" s="1142">
        <v>191</v>
      </c>
      <c r="M125" s="2227">
        <v>211</v>
      </c>
      <c r="N125" s="1284">
        <v>191</v>
      </c>
      <c r="O125" s="1284">
        <v>181</v>
      </c>
      <c r="P125" s="2307">
        <v>173</v>
      </c>
      <c r="Q125" s="2308">
        <v>197</v>
      </c>
      <c r="R125" s="1141">
        <v>81</v>
      </c>
      <c r="S125" s="1284">
        <v>77</v>
      </c>
      <c r="T125" s="1284">
        <v>56</v>
      </c>
      <c r="U125" s="1284">
        <v>42</v>
      </c>
      <c r="V125" s="1284">
        <v>33</v>
      </c>
      <c r="W125" s="2307">
        <v>35</v>
      </c>
      <c r="X125" s="2308">
        <v>36</v>
      </c>
      <c r="Y125" s="1860"/>
      <c r="Z125" s="1857">
        <v>219</v>
      </c>
      <c r="AA125" s="2220">
        <v>134</v>
      </c>
    </row>
    <row r="127" spans="1:27" ht="30.75" customHeight="1" x14ac:dyDescent="0.3">
      <c r="A127" s="2737" t="s">
        <v>1147</v>
      </c>
      <c r="B127" s="2737"/>
      <c r="C127" s="2737"/>
      <c r="D127" s="2737"/>
      <c r="E127" s="2737"/>
      <c r="F127" s="2737"/>
      <c r="G127" s="2737"/>
      <c r="H127" s="2737"/>
      <c r="I127" s="2737"/>
      <c r="J127" s="2737"/>
      <c r="K127" s="2737"/>
      <c r="L127" s="2737"/>
      <c r="M127" s="2737"/>
      <c r="N127" s="1268"/>
      <c r="O127" s="2222"/>
      <c r="P127" s="2222"/>
      <c r="Q127" s="2300"/>
      <c r="S127" s="911"/>
      <c r="T127" s="1121"/>
      <c r="U127" s="1268"/>
      <c r="V127" s="2222"/>
      <c r="W127" s="2222"/>
      <c r="X127" s="2300"/>
      <c r="Y127" s="1858"/>
    </row>
    <row r="129" spans="1:25" s="359" customFormat="1" ht="15.6" x14ac:dyDescent="0.3">
      <c r="A129" s="359" t="s">
        <v>248</v>
      </c>
      <c r="Y129" s="714"/>
    </row>
    <row r="130" spans="1:25" s="359" customFormat="1" ht="15.6" x14ac:dyDescent="0.3">
      <c r="A130" s="360" t="s">
        <v>249</v>
      </c>
      <c r="B130" s="361" t="s">
        <v>250</v>
      </c>
      <c r="C130" s="361"/>
      <c r="Y130" s="714"/>
    </row>
  </sheetData>
  <autoFilter ref="A4:C125"/>
  <sortState ref="A6:AA125">
    <sortCondition ref="A6:A125"/>
  </sortState>
  <mergeCells count="5">
    <mergeCell ref="Z3:AA3"/>
    <mergeCell ref="D3:J3"/>
    <mergeCell ref="K3:Q3"/>
    <mergeCell ref="R3:X3"/>
    <mergeCell ref="A127:M127"/>
  </mergeCells>
  <hyperlinks>
    <hyperlink ref="B130"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131"/>
  <sheetViews>
    <sheetView topLeftCell="A100" workbookViewId="0">
      <selection activeCell="A4" sqref="A4:G124"/>
    </sheetView>
  </sheetViews>
  <sheetFormatPr defaultColWidth="9" defaultRowHeight="15.6" x14ac:dyDescent="0.3"/>
  <cols>
    <col min="1" max="1" width="5.796875" style="441" customWidth="1"/>
    <col min="2" max="2" width="29.5" style="441" customWidth="1"/>
    <col min="3" max="3" width="16.19921875" style="441" customWidth="1"/>
    <col min="4" max="7" width="11.296875" style="441" customWidth="1"/>
    <col min="8" max="8" width="3.796875" style="441" customWidth="1"/>
    <col min="9" max="16384" width="9" style="441"/>
  </cols>
  <sheetData>
    <row r="1" spans="1:7" x14ac:dyDescent="0.3">
      <c r="A1" s="253" t="s">
        <v>997</v>
      </c>
    </row>
    <row r="3" spans="1:7" x14ac:dyDescent="0.3">
      <c r="A3" s="536" t="s">
        <v>4</v>
      </c>
      <c r="B3" s="503" t="s">
        <v>5</v>
      </c>
      <c r="C3" s="503" t="s">
        <v>251</v>
      </c>
      <c r="D3" s="1707" t="s">
        <v>705</v>
      </c>
      <c r="E3" s="1707" t="s">
        <v>810</v>
      </c>
      <c r="F3" s="1707" t="s">
        <v>891</v>
      </c>
      <c r="G3" s="1707" t="s">
        <v>996</v>
      </c>
    </row>
    <row r="4" spans="1:7" x14ac:dyDescent="0.3">
      <c r="A4" s="1196">
        <v>999</v>
      </c>
      <c r="B4" s="1197" t="s">
        <v>642</v>
      </c>
      <c r="C4" s="1197"/>
      <c r="D4" s="1855">
        <f>SUM(D5:D124)</f>
        <v>26081</v>
      </c>
      <c r="E4" s="1855">
        <f>SUM(E5:E124)</f>
        <v>25344</v>
      </c>
      <c r="F4" s="1855">
        <f>SUM(F5:F124)</f>
        <v>22359</v>
      </c>
      <c r="G4" s="1855">
        <v>19929</v>
      </c>
    </row>
    <row r="5" spans="1:7" s="535" customFormat="1" x14ac:dyDescent="0.3">
      <c r="A5" s="531" t="s">
        <v>10</v>
      </c>
      <c r="B5" s="532" t="s">
        <v>11</v>
      </c>
      <c r="C5" s="532" t="s">
        <v>252</v>
      </c>
      <c r="D5" s="1835">
        <v>62</v>
      </c>
      <c r="E5" s="1835">
        <v>55</v>
      </c>
      <c r="F5" s="1835">
        <v>52</v>
      </c>
      <c r="G5" s="1835">
        <v>27</v>
      </c>
    </row>
    <row r="6" spans="1:7" s="535" customFormat="1" x14ac:dyDescent="0.3">
      <c r="A6" s="531" t="s">
        <v>12</v>
      </c>
      <c r="B6" s="532" t="s">
        <v>13</v>
      </c>
      <c r="C6" s="532" t="s">
        <v>253</v>
      </c>
      <c r="D6" s="1835">
        <v>196</v>
      </c>
      <c r="E6" s="1835">
        <v>180</v>
      </c>
      <c r="F6" s="1835">
        <v>159</v>
      </c>
      <c r="G6" s="1835">
        <v>146</v>
      </c>
    </row>
    <row r="7" spans="1:7" s="535" customFormat="1" x14ac:dyDescent="0.3">
      <c r="A7" s="531" t="s">
        <v>16</v>
      </c>
      <c r="B7" s="532" t="s">
        <v>285</v>
      </c>
      <c r="C7" s="532" t="s">
        <v>253</v>
      </c>
      <c r="D7" s="1835">
        <v>56</v>
      </c>
      <c r="E7" s="1835">
        <v>50</v>
      </c>
      <c r="F7" s="1835">
        <v>48</v>
      </c>
      <c r="G7" s="1835">
        <v>33</v>
      </c>
    </row>
    <row r="8" spans="1:7" s="535" customFormat="1" x14ac:dyDescent="0.3">
      <c r="A8" s="531" t="s">
        <v>18</v>
      </c>
      <c r="B8" s="532" t="s">
        <v>19</v>
      </c>
      <c r="C8" s="532" t="s">
        <v>254</v>
      </c>
      <c r="D8" s="1835">
        <v>31</v>
      </c>
      <c r="E8" s="1835">
        <v>29</v>
      </c>
      <c r="F8" s="1835">
        <v>21</v>
      </c>
      <c r="G8" s="1835">
        <v>15</v>
      </c>
    </row>
    <row r="9" spans="1:7" s="535" customFormat="1" x14ac:dyDescent="0.3">
      <c r="A9" s="531" t="s">
        <v>20</v>
      </c>
      <c r="B9" s="532" t="s">
        <v>21</v>
      </c>
      <c r="C9" s="532" t="s">
        <v>253</v>
      </c>
      <c r="D9" s="1835">
        <v>108</v>
      </c>
      <c r="E9" s="1835">
        <v>84</v>
      </c>
      <c r="F9" s="1835">
        <v>85</v>
      </c>
      <c r="G9" s="1835">
        <v>69</v>
      </c>
    </row>
    <row r="10" spans="1:7" s="535" customFormat="1" x14ac:dyDescent="0.3">
      <c r="A10" s="531" t="s">
        <v>22</v>
      </c>
      <c r="B10" s="532" t="s">
        <v>23</v>
      </c>
      <c r="C10" s="532" t="s">
        <v>253</v>
      </c>
      <c r="D10" s="1835">
        <v>34</v>
      </c>
      <c r="E10" s="1835">
        <v>32</v>
      </c>
      <c r="F10" s="1835">
        <v>27</v>
      </c>
      <c r="G10" s="1835">
        <v>18</v>
      </c>
    </row>
    <row r="11" spans="1:7" s="535" customFormat="1" x14ac:dyDescent="0.3">
      <c r="A11" s="531" t="s">
        <v>24</v>
      </c>
      <c r="B11" s="532" t="s">
        <v>25</v>
      </c>
      <c r="C11" s="532" t="s">
        <v>255</v>
      </c>
      <c r="D11" s="1835">
        <v>384</v>
      </c>
      <c r="E11" s="1835">
        <v>352</v>
      </c>
      <c r="F11" s="1835">
        <v>309</v>
      </c>
      <c r="G11" s="1835">
        <v>255</v>
      </c>
    </row>
    <row r="12" spans="1:7" s="535" customFormat="1" x14ac:dyDescent="0.3">
      <c r="A12" s="531" t="s">
        <v>26</v>
      </c>
      <c r="B12" s="532" t="s">
        <v>547</v>
      </c>
      <c r="C12" s="532" t="s">
        <v>253</v>
      </c>
      <c r="D12" s="1835">
        <v>392</v>
      </c>
      <c r="E12" s="1835">
        <v>312</v>
      </c>
      <c r="F12" s="1835">
        <v>262</v>
      </c>
      <c r="G12" s="1835">
        <v>264</v>
      </c>
    </row>
    <row r="13" spans="1:7" s="535" customFormat="1" x14ac:dyDescent="0.3">
      <c r="A13" s="531" t="s">
        <v>27</v>
      </c>
      <c r="B13" s="532" t="s">
        <v>28</v>
      </c>
      <c r="C13" s="532" t="s">
        <v>253</v>
      </c>
      <c r="D13" s="1835">
        <v>1</v>
      </c>
      <c r="E13" s="1835">
        <v>1</v>
      </c>
      <c r="F13" s="1835">
        <v>1</v>
      </c>
      <c r="G13" s="1835">
        <v>0</v>
      </c>
    </row>
    <row r="14" spans="1:7" s="535" customFormat="1" x14ac:dyDescent="0.3">
      <c r="A14" s="531" t="s">
        <v>29</v>
      </c>
      <c r="B14" s="532" t="s">
        <v>736</v>
      </c>
      <c r="C14" s="532" t="s">
        <v>253</v>
      </c>
      <c r="D14" s="1835">
        <v>142</v>
      </c>
      <c r="E14" s="1835">
        <v>138</v>
      </c>
      <c r="F14" s="1835">
        <v>131</v>
      </c>
      <c r="G14" s="1835">
        <v>102</v>
      </c>
    </row>
    <row r="15" spans="1:7" s="535" customFormat="1" x14ac:dyDescent="0.3">
      <c r="A15" s="531" t="s">
        <v>30</v>
      </c>
      <c r="B15" s="532" t="s">
        <v>31</v>
      </c>
      <c r="C15" s="532" t="s">
        <v>256</v>
      </c>
      <c r="D15" s="1835">
        <v>6</v>
      </c>
      <c r="E15" s="1835">
        <v>6</v>
      </c>
      <c r="F15" s="1835">
        <v>5</v>
      </c>
      <c r="G15" s="1835">
        <v>12</v>
      </c>
    </row>
    <row r="16" spans="1:7" s="535" customFormat="1" x14ac:dyDescent="0.3">
      <c r="A16" s="531" t="s">
        <v>32</v>
      </c>
      <c r="B16" s="532" t="s">
        <v>33</v>
      </c>
      <c r="C16" s="532" t="s">
        <v>253</v>
      </c>
      <c r="D16" s="1835">
        <v>57</v>
      </c>
      <c r="E16" s="1835">
        <v>50</v>
      </c>
      <c r="F16" s="1835">
        <v>52</v>
      </c>
      <c r="G16" s="1835">
        <v>43</v>
      </c>
    </row>
    <row r="17" spans="1:7" s="535" customFormat="1" x14ac:dyDescent="0.3">
      <c r="A17" s="531" t="s">
        <v>36</v>
      </c>
      <c r="B17" s="532" t="s">
        <v>37</v>
      </c>
      <c r="C17" s="532" t="s">
        <v>252</v>
      </c>
      <c r="D17" s="1835">
        <v>38</v>
      </c>
      <c r="E17" s="1835">
        <v>28</v>
      </c>
      <c r="F17" s="1835">
        <v>25</v>
      </c>
      <c r="G17" s="1835">
        <v>20</v>
      </c>
    </row>
    <row r="18" spans="1:7" s="535" customFormat="1" x14ac:dyDescent="0.3">
      <c r="A18" s="531" t="s">
        <v>38</v>
      </c>
      <c r="B18" s="532" t="s">
        <v>39</v>
      </c>
      <c r="C18" s="532" t="s">
        <v>256</v>
      </c>
      <c r="D18" s="1835">
        <v>6</v>
      </c>
      <c r="E18" s="1835">
        <v>1</v>
      </c>
      <c r="F18" s="1835">
        <v>0</v>
      </c>
      <c r="G18" s="1835">
        <v>4</v>
      </c>
    </row>
    <row r="19" spans="1:7" s="535" customFormat="1" x14ac:dyDescent="0.3">
      <c r="A19" s="531" t="s">
        <v>40</v>
      </c>
      <c r="B19" s="532" t="s">
        <v>41</v>
      </c>
      <c r="C19" s="532" t="s">
        <v>254</v>
      </c>
      <c r="D19" s="1835">
        <v>26</v>
      </c>
      <c r="E19" s="1835">
        <v>24</v>
      </c>
      <c r="F19" s="1835">
        <v>18</v>
      </c>
      <c r="G19" s="1835">
        <v>13</v>
      </c>
    </row>
    <row r="20" spans="1:7" s="535" customFormat="1" x14ac:dyDescent="0.3">
      <c r="A20" s="531" t="s">
        <v>42</v>
      </c>
      <c r="B20" s="532" t="s">
        <v>43</v>
      </c>
      <c r="C20" s="532" t="s">
        <v>253</v>
      </c>
      <c r="D20" s="1835">
        <v>164</v>
      </c>
      <c r="E20" s="1835">
        <v>180</v>
      </c>
      <c r="F20" s="1835">
        <v>141</v>
      </c>
      <c r="G20" s="1835">
        <v>150</v>
      </c>
    </row>
    <row r="21" spans="1:7" s="535" customFormat="1" x14ac:dyDescent="0.3">
      <c r="A21" s="531" t="s">
        <v>44</v>
      </c>
      <c r="B21" s="532" t="s">
        <v>45</v>
      </c>
      <c r="C21" s="532" t="s">
        <v>254</v>
      </c>
      <c r="D21" s="1835">
        <v>89</v>
      </c>
      <c r="E21" s="1835">
        <v>93</v>
      </c>
      <c r="F21" s="1835">
        <v>101</v>
      </c>
      <c r="G21" s="1835">
        <v>87</v>
      </c>
    </row>
    <row r="22" spans="1:7" s="535" customFormat="1" x14ac:dyDescent="0.3">
      <c r="A22" s="531" t="s">
        <v>46</v>
      </c>
      <c r="B22" s="532" t="s">
        <v>47</v>
      </c>
      <c r="C22" s="532" t="s">
        <v>256</v>
      </c>
      <c r="D22" s="1835">
        <v>106</v>
      </c>
      <c r="E22" s="1835">
        <v>118</v>
      </c>
      <c r="F22" s="1835">
        <v>111</v>
      </c>
      <c r="G22" s="1835">
        <v>97</v>
      </c>
    </row>
    <row r="23" spans="1:7" s="535" customFormat="1" x14ac:dyDescent="0.3">
      <c r="A23" s="531" t="s">
        <v>48</v>
      </c>
      <c r="B23" s="532" t="s">
        <v>257</v>
      </c>
      <c r="C23" s="532" t="s">
        <v>254</v>
      </c>
      <c r="D23" s="1835">
        <v>25</v>
      </c>
      <c r="E23" s="1835">
        <v>29</v>
      </c>
      <c r="F23" s="1835">
        <v>33</v>
      </c>
      <c r="G23" s="1835">
        <v>15</v>
      </c>
    </row>
    <row r="24" spans="1:7" s="535" customFormat="1" x14ac:dyDescent="0.3">
      <c r="A24" s="531" t="s">
        <v>50</v>
      </c>
      <c r="B24" s="532" t="s">
        <v>51</v>
      </c>
      <c r="C24" s="532" t="s">
        <v>253</v>
      </c>
      <c r="D24" s="1835">
        <v>15</v>
      </c>
      <c r="E24" s="1835">
        <v>8</v>
      </c>
      <c r="F24" s="1835">
        <v>5</v>
      </c>
      <c r="G24" s="1835">
        <v>6</v>
      </c>
    </row>
    <row r="25" spans="1:7" s="535" customFormat="1" x14ac:dyDescent="0.3">
      <c r="A25" s="531" t="s">
        <v>56</v>
      </c>
      <c r="B25" s="532" t="s">
        <v>283</v>
      </c>
      <c r="C25" s="532" t="s">
        <v>254</v>
      </c>
      <c r="D25" s="1835">
        <v>576</v>
      </c>
      <c r="E25" s="1835">
        <v>525</v>
      </c>
      <c r="F25" s="1835">
        <v>534</v>
      </c>
      <c r="G25" s="1835">
        <v>496</v>
      </c>
    </row>
    <row r="26" spans="1:7" s="535" customFormat="1" x14ac:dyDescent="0.3">
      <c r="A26" s="531" t="s">
        <v>58</v>
      </c>
      <c r="B26" s="532" t="s">
        <v>59</v>
      </c>
      <c r="C26" s="532" t="s">
        <v>255</v>
      </c>
      <c r="D26" s="1835">
        <v>29</v>
      </c>
      <c r="E26" s="1835">
        <v>33</v>
      </c>
      <c r="F26" s="1835">
        <v>27</v>
      </c>
      <c r="G26" s="1835">
        <v>11</v>
      </c>
    </row>
    <row r="27" spans="1:7" s="535" customFormat="1" x14ac:dyDescent="0.3">
      <c r="A27" s="531" t="s">
        <v>60</v>
      </c>
      <c r="B27" s="532" t="s">
        <v>61</v>
      </c>
      <c r="C27" s="532" t="s">
        <v>253</v>
      </c>
      <c r="D27" s="1835">
        <v>16</v>
      </c>
      <c r="E27" s="1835">
        <v>24</v>
      </c>
      <c r="F27" s="1835">
        <v>27</v>
      </c>
      <c r="G27" s="1835">
        <v>33</v>
      </c>
    </row>
    <row r="28" spans="1:7" s="535" customFormat="1" x14ac:dyDescent="0.3">
      <c r="A28" s="531" t="s">
        <v>62</v>
      </c>
      <c r="B28" s="532" t="s">
        <v>63</v>
      </c>
      <c r="C28" s="532" t="s">
        <v>255</v>
      </c>
      <c r="D28" s="1835">
        <v>262</v>
      </c>
      <c r="E28" s="1835">
        <v>244</v>
      </c>
      <c r="F28" s="1835">
        <v>238</v>
      </c>
      <c r="G28" s="1835">
        <v>292</v>
      </c>
    </row>
    <row r="29" spans="1:7" s="535" customFormat="1" x14ac:dyDescent="0.3">
      <c r="A29" s="531" t="s">
        <v>64</v>
      </c>
      <c r="B29" s="532" t="s">
        <v>65</v>
      </c>
      <c r="C29" s="532" t="s">
        <v>254</v>
      </c>
      <c r="D29" s="1835">
        <v>24</v>
      </c>
      <c r="E29" s="1835">
        <v>32</v>
      </c>
      <c r="F29" s="1835">
        <v>29</v>
      </c>
      <c r="G29" s="1835">
        <v>21</v>
      </c>
    </row>
    <row r="30" spans="1:7" s="535" customFormat="1" x14ac:dyDescent="0.3">
      <c r="A30" s="531" t="s">
        <v>68</v>
      </c>
      <c r="B30" s="532" t="s">
        <v>69</v>
      </c>
      <c r="C30" s="532" t="s">
        <v>256</v>
      </c>
      <c r="D30" s="1835">
        <v>19</v>
      </c>
      <c r="E30" s="1835">
        <v>15</v>
      </c>
      <c r="F30" s="1835">
        <v>16</v>
      </c>
      <c r="G30" s="1835">
        <v>15</v>
      </c>
    </row>
    <row r="31" spans="1:7" s="535" customFormat="1" x14ac:dyDescent="0.3">
      <c r="A31" s="531" t="s">
        <v>70</v>
      </c>
      <c r="B31" s="532" t="s">
        <v>71</v>
      </c>
      <c r="C31" s="532" t="s">
        <v>252</v>
      </c>
      <c r="D31" s="1835">
        <v>72</v>
      </c>
      <c r="E31" s="1835">
        <v>70</v>
      </c>
      <c r="F31" s="1835">
        <v>47</v>
      </c>
      <c r="G31" s="1835">
        <v>33</v>
      </c>
    </row>
    <row r="32" spans="1:7" s="535" customFormat="1" x14ac:dyDescent="0.3">
      <c r="A32" s="531" t="s">
        <v>72</v>
      </c>
      <c r="B32" s="532" t="s">
        <v>73</v>
      </c>
      <c r="C32" s="532" t="s">
        <v>254</v>
      </c>
      <c r="D32" s="1835">
        <v>97</v>
      </c>
      <c r="E32" s="1835">
        <v>79</v>
      </c>
      <c r="F32" s="1835">
        <v>69</v>
      </c>
      <c r="G32" s="1835">
        <v>45</v>
      </c>
    </row>
    <row r="33" spans="1:7" s="535" customFormat="1" x14ac:dyDescent="0.3">
      <c r="A33" s="531" t="s">
        <v>74</v>
      </c>
      <c r="B33" s="532" t="s">
        <v>284</v>
      </c>
      <c r="C33" s="532" t="s">
        <v>255</v>
      </c>
      <c r="D33" s="1835">
        <v>2566</v>
      </c>
      <c r="E33" s="1835">
        <v>2829</v>
      </c>
      <c r="F33" s="1835">
        <v>2441</v>
      </c>
      <c r="G33" s="1835">
        <v>2321</v>
      </c>
    </row>
    <row r="34" spans="1:7" s="535" customFormat="1" x14ac:dyDescent="0.3">
      <c r="A34" s="531" t="s">
        <v>76</v>
      </c>
      <c r="B34" s="532" t="s">
        <v>77</v>
      </c>
      <c r="C34" s="532" t="s">
        <v>255</v>
      </c>
      <c r="D34" s="1835">
        <v>177</v>
      </c>
      <c r="E34" s="1835">
        <v>142</v>
      </c>
      <c r="F34" s="1835">
        <v>121</v>
      </c>
      <c r="G34" s="1835">
        <v>100</v>
      </c>
    </row>
    <row r="35" spans="1:7" s="535" customFormat="1" x14ac:dyDescent="0.3">
      <c r="A35" s="531" t="s">
        <v>78</v>
      </c>
      <c r="B35" s="532" t="s">
        <v>79</v>
      </c>
      <c r="C35" s="532" t="s">
        <v>256</v>
      </c>
      <c r="D35" s="1835">
        <v>17</v>
      </c>
      <c r="E35" s="1835">
        <v>13</v>
      </c>
      <c r="F35" s="1835">
        <v>13</v>
      </c>
      <c r="G35" s="1835">
        <v>8</v>
      </c>
    </row>
    <row r="36" spans="1:7" s="535" customFormat="1" x14ac:dyDescent="0.3">
      <c r="A36" s="531" t="s">
        <v>80</v>
      </c>
      <c r="B36" s="532" t="s">
        <v>81</v>
      </c>
      <c r="C36" s="532" t="s">
        <v>254</v>
      </c>
      <c r="D36" s="1835">
        <v>55</v>
      </c>
      <c r="E36" s="1835">
        <v>45</v>
      </c>
      <c r="F36" s="1835">
        <v>38</v>
      </c>
      <c r="G36" s="1835">
        <v>33</v>
      </c>
    </row>
    <row r="37" spans="1:7" s="535" customFormat="1" x14ac:dyDescent="0.3">
      <c r="A37" s="531" t="s">
        <v>84</v>
      </c>
      <c r="B37" s="532" t="s">
        <v>85</v>
      </c>
      <c r="C37" s="532" t="s">
        <v>253</v>
      </c>
      <c r="D37" s="1835">
        <v>143</v>
      </c>
      <c r="E37" s="1835">
        <v>157</v>
      </c>
      <c r="F37" s="1835">
        <v>136</v>
      </c>
      <c r="G37" s="1835">
        <v>111</v>
      </c>
    </row>
    <row r="38" spans="1:7" s="535" customFormat="1" x14ac:dyDescent="0.3">
      <c r="A38" s="531" t="s">
        <v>86</v>
      </c>
      <c r="B38" s="532" t="s">
        <v>87</v>
      </c>
      <c r="C38" s="532" t="s">
        <v>255</v>
      </c>
      <c r="D38" s="1835">
        <v>158</v>
      </c>
      <c r="E38" s="1835">
        <v>139</v>
      </c>
      <c r="F38" s="1835">
        <v>138</v>
      </c>
      <c r="G38" s="1835">
        <v>144</v>
      </c>
    </row>
    <row r="39" spans="1:7" s="535" customFormat="1" x14ac:dyDescent="0.3">
      <c r="A39" s="531" t="s">
        <v>92</v>
      </c>
      <c r="B39" s="532" t="s">
        <v>93</v>
      </c>
      <c r="C39" s="532" t="s">
        <v>256</v>
      </c>
      <c r="D39" s="1835">
        <v>41</v>
      </c>
      <c r="E39" s="1835">
        <v>41</v>
      </c>
      <c r="F39" s="1835">
        <v>28</v>
      </c>
      <c r="G39" s="1835">
        <v>23</v>
      </c>
    </row>
    <row r="40" spans="1:7" s="535" customFormat="1" x14ac:dyDescent="0.3">
      <c r="A40" s="531" t="s">
        <v>94</v>
      </c>
      <c r="B40" s="532" t="s">
        <v>95</v>
      </c>
      <c r="C40" s="532" t="s">
        <v>252</v>
      </c>
      <c r="D40" s="1835">
        <v>100</v>
      </c>
      <c r="E40" s="1835">
        <v>101</v>
      </c>
      <c r="F40" s="1835">
        <v>93</v>
      </c>
      <c r="G40" s="1835">
        <v>74</v>
      </c>
    </row>
    <row r="41" spans="1:7" s="535" customFormat="1" x14ac:dyDescent="0.3">
      <c r="A41" s="531" t="s">
        <v>96</v>
      </c>
      <c r="B41" s="532" t="s">
        <v>97</v>
      </c>
      <c r="C41" s="532" t="s">
        <v>254</v>
      </c>
      <c r="D41" s="1835">
        <v>46</v>
      </c>
      <c r="E41" s="1835">
        <v>45</v>
      </c>
      <c r="F41" s="1835">
        <v>41</v>
      </c>
      <c r="G41" s="1835">
        <v>30</v>
      </c>
    </row>
    <row r="42" spans="1:7" s="535" customFormat="1" x14ac:dyDescent="0.3">
      <c r="A42" s="531" t="s">
        <v>98</v>
      </c>
      <c r="B42" s="532" t="s">
        <v>99</v>
      </c>
      <c r="C42" s="532" t="s">
        <v>256</v>
      </c>
      <c r="D42" s="1835">
        <v>18</v>
      </c>
      <c r="E42" s="1835">
        <v>16</v>
      </c>
      <c r="F42" s="1835">
        <v>16</v>
      </c>
      <c r="G42" s="1835">
        <v>16</v>
      </c>
    </row>
    <row r="43" spans="1:7" s="535" customFormat="1" x14ac:dyDescent="0.3">
      <c r="A43" s="531" t="s">
        <v>100</v>
      </c>
      <c r="B43" s="532" t="s">
        <v>101</v>
      </c>
      <c r="C43" s="532" t="s">
        <v>255</v>
      </c>
      <c r="D43" s="1835">
        <v>28</v>
      </c>
      <c r="E43" s="1835">
        <v>27</v>
      </c>
      <c r="F43" s="1835">
        <v>29</v>
      </c>
      <c r="G43" s="1835">
        <v>34</v>
      </c>
    </row>
    <row r="44" spans="1:7" s="535" customFormat="1" x14ac:dyDescent="0.3">
      <c r="A44" s="531" t="s">
        <v>102</v>
      </c>
      <c r="B44" s="532" t="s">
        <v>270</v>
      </c>
      <c r="C44" s="532" t="s">
        <v>252</v>
      </c>
      <c r="D44" s="1835">
        <v>103</v>
      </c>
      <c r="E44" s="1835">
        <v>95</v>
      </c>
      <c r="F44" s="1835">
        <v>79</v>
      </c>
      <c r="G44" s="1835">
        <v>83</v>
      </c>
    </row>
    <row r="45" spans="1:7" s="535" customFormat="1" x14ac:dyDescent="0.3">
      <c r="A45" s="531" t="s">
        <v>104</v>
      </c>
      <c r="B45" s="532" t="s">
        <v>105</v>
      </c>
      <c r="C45" s="532" t="s">
        <v>253</v>
      </c>
      <c r="D45" s="1835">
        <v>38</v>
      </c>
      <c r="E45" s="1835">
        <v>44</v>
      </c>
      <c r="F45" s="1835">
        <v>45</v>
      </c>
      <c r="G45" s="1835">
        <v>42</v>
      </c>
    </row>
    <row r="46" spans="1:7" s="535" customFormat="1" x14ac:dyDescent="0.3">
      <c r="A46" s="531" t="s">
        <v>108</v>
      </c>
      <c r="B46" s="532" t="s">
        <v>109</v>
      </c>
      <c r="C46" s="532" t="s">
        <v>254</v>
      </c>
      <c r="D46" s="1835">
        <v>154</v>
      </c>
      <c r="E46" s="1835">
        <v>164</v>
      </c>
      <c r="F46" s="1835">
        <v>131</v>
      </c>
      <c r="G46" s="1835">
        <v>154</v>
      </c>
    </row>
    <row r="47" spans="1:7" s="535" customFormat="1" x14ac:dyDescent="0.3">
      <c r="A47" s="531" t="s">
        <v>110</v>
      </c>
      <c r="B47" s="532" t="s">
        <v>111</v>
      </c>
      <c r="C47" s="532" t="s">
        <v>254</v>
      </c>
      <c r="D47" s="1835">
        <v>1135</v>
      </c>
      <c r="E47" s="1835">
        <v>1067</v>
      </c>
      <c r="F47" s="1835">
        <v>1029</v>
      </c>
      <c r="G47" s="1835">
        <v>976</v>
      </c>
    </row>
    <row r="48" spans="1:7" s="535" customFormat="1" x14ac:dyDescent="0.3">
      <c r="A48" s="531" t="s">
        <v>112</v>
      </c>
      <c r="B48" s="532" t="s">
        <v>288</v>
      </c>
      <c r="C48" s="532" t="s">
        <v>253</v>
      </c>
      <c r="D48" s="1835">
        <v>325</v>
      </c>
      <c r="E48" s="1835">
        <v>326</v>
      </c>
      <c r="F48" s="1835">
        <v>241</v>
      </c>
      <c r="G48" s="1835">
        <v>192</v>
      </c>
    </row>
    <row r="49" spans="1:7" s="535" customFormat="1" x14ac:dyDescent="0.3">
      <c r="A49" s="531" t="s">
        <v>114</v>
      </c>
      <c r="B49" s="532" t="s">
        <v>115</v>
      </c>
      <c r="C49" s="532" t="s">
        <v>253</v>
      </c>
      <c r="D49" s="1835">
        <v>0</v>
      </c>
      <c r="E49" s="1835">
        <v>0</v>
      </c>
      <c r="F49" s="1835">
        <v>0</v>
      </c>
      <c r="G49" s="1835">
        <v>0</v>
      </c>
    </row>
    <row r="50" spans="1:7" s="535" customFormat="1" x14ac:dyDescent="0.3">
      <c r="A50" s="531" t="s">
        <v>118</v>
      </c>
      <c r="B50" s="532" t="s">
        <v>258</v>
      </c>
      <c r="C50" s="532" t="s">
        <v>252</v>
      </c>
      <c r="D50" s="1835">
        <v>60</v>
      </c>
      <c r="E50" s="1835">
        <v>52</v>
      </c>
      <c r="F50" s="1835">
        <v>35</v>
      </c>
      <c r="G50" s="1835">
        <v>33</v>
      </c>
    </row>
    <row r="51" spans="1:7" s="535" customFormat="1" x14ac:dyDescent="0.3">
      <c r="A51" s="531" t="s">
        <v>120</v>
      </c>
      <c r="B51" s="532" t="s">
        <v>121</v>
      </c>
      <c r="C51" s="532" t="s">
        <v>252</v>
      </c>
      <c r="D51" s="1835">
        <v>191</v>
      </c>
      <c r="E51" s="1835">
        <v>186</v>
      </c>
      <c r="F51" s="1835">
        <v>153</v>
      </c>
      <c r="G51" s="1835">
        <v>96</v>
      </c>
    </row>
    <row r="52" spans="1:7" s="535" customFormat="1" x14ac:dyDescent="0.3">
      <c r="A52" s="531" t="s">
        <v>122</v>
      </c>
      <c r="B52" s="532" t="s">
        <v>275</v>
      </c>
      <c r="C52" s="532" t="s">
        <v>254</v>
      </c>
      <c r="D52" s="1835">
        <v>19</v>
      </c>
      <c r="E52" s="1835">
        <v>27</v>
      </c>
      <c r="F52" s="1835">
        <v>71</v>
      </c>
      <c r="G52" s="1835">
        <v>69</v>
      </c>
    </row>
    <row r="53" spans="1:7" s="535" customFormat="1" x14ac:dyDescent="0.3">
      <c r="A53" s="531" t="s">
        <v>124</v>
      </c>
      <c r="B53" s="532" t="s">
        <v>125</v>
      </c>
      <c r="C53" s="532" t="s">
        <v>255</v>
      </c>
      <c r="D53" s="1835">
        <v>82</v>
      </c>
      <c r="E53" s="1835">
        <v>81</v>
      </c>
      <c r="F53" s="1835">
        <v>54</v>
      </c>
      <c r="G53" s="1835">
        <v>35</v>
      </c>
    </row>
    <row r="54" spans="1:7" s="535" customFormat="1" x14ac:dyDescent="0.3">
      <c r="A54" s="531" t="s">
        <v>126</v>
      </c>
      <c r="B54" s="532" t="s">
        <v>127</v>
      </c>
      <c r="C54" s="532" t="s">
        <v>254</v>
      </c>
      <c r="D54" s="1835">
        <v>63</v>
      </c>
      <c r="E54" s="1835">
        <v>63</v>
      </c>
      <c r="F54" s="1835">
        <v>14</v>
      </c>
      <c r="G54" s="1835">
        <v>20</v>
      </c>
    </row>
    <row r="55" spans="1:7" s="535" customFormat="1" x14ac:dyDescent="0.3">
      <c r="A55" s="531" t="s">
        <v>128</v>
      </c>
      <c r="B55" s="532" t="s">
        <v>129</v>
      </c>
      <c r="C55" s="532" t="s">
        <v>254</v>
      </c>
      <c r="D55" s="1835">
        <v>20</v>
      </c>
      <c r="E55" s="1835">
        <v>20</v>
      </c>
      <c r="F55" s="1835">
        <v>18</v>
      </c>
      <c r="G55" s="1835">
        <v>8</v>
      </c>
    </row>
    <row r="56" spans="1:7" s="535" customFormat="1" x14ac:dyDescent="0.3">
      <c r="A56" s="531" t="s">
        <v>130</v>
      </c>
      <c r="B56" s="532" t="s">
        <v>131</v>
      </c>
      <c r="C56" s="532" t="s">
        <v>256</v>
      </c>
      <c r="D56" s="1835">
        <v>30</v>
      </c>
      <c r="E56" s="1835">
        <v>28</v>
      </c>
      <c r="F56" s="1835">
        <v>15</v>
      </c>
      <c r="G56" s="1835">
        <v>21</v>
      </c>
    </row>
    <row r="57" spans="1:7" s="535" customFormat="1" x14ac:dyDescent="0.3">
      <c r="A57" s="531" t="s">
        <v>132</v>
      </c>
      <c r="B57" s="532" t="s">
        <v>133</v>
      </c>
      <c r="C57" s="532" t="s">
        <v>255</v>
      </c>
      <c r="D57" s="1835">
        <v>398</v>
      </c>
      <c r="E57" s="1835">
        <v>367</v>
      </c>
      <c r="F57" s="1835">
        <v>354</v>
      </c>
      <c r="G57" s="1835">
        <v>323</v>
      </c>
    </row>
    <row r="58" spans="1:7" s="535" customFormat="1" x14ac:dyDescent="0.3">
      <c r="A58" s="531" t="s">
        <v>134</v>
      </c>
      <c r="B58" s="532" t="s">
        <v>135</v>
      </c>
      <c r="C58" s="532" t="s">
        <v>255</v>
      </c>
      <c r="D58" s="1835">
        <v>54</v>
      </c>
      <c r="E58" s="1835">
        <v>59</v>
      </c>
      <c r="F58" s="1835">
        <v>45</v>
      </c>
      <c r="G58" s="1835">
        <v>39</v>
      </c>
    </row>
    <row r="59" spans="1:7" s="535" customFormat="1" x14ac:dyDescent="0.3">
      <c r="A59" s="531" t="s">
        <v>136</v>
      </c>
      <c r="B59" s="532" t="s">
        <v>137</v>
      </c>
      <c r="C59" s="532" t="s">
        <v>254</v>
      </c>
      <c r="D59" s="1835">
        <v>10</v>
      </c>
      <c r="E59" s="1835">
        <v>12</v>
      </c>
      <c r="F59" s="1835">
        <v>9</v>
      </c>
      <c r="G59" s="1835">
        <v>4</v>
      </c>
    </row>
    <row r="60" spans="1:7" s="535" customFormat="1" x14ac:dyDescent="0.3">
      <c r="A60" s="531" t="s">
        <v>140</v>
      </c>
      <c r="B60" s="532" t="s">
        <v>141</v>
      </c>
      <c r="C60" s="532" t="s">
        <v>255</v>
      </c>
      <c r="D60" s="1835">
        <v>7</v>
      </c>
      <c r="E60" s="1835">
        <v>14</v>
      </c>
      <c r="F60" s="1835">
        <v>19</v>
      </c>
      <c r="G60" s="1835">
        <v>11</v>
      </c>
    </row>
    <row r="61" spans="1:7" s="535" customFormat="1" x14ac:dyDescent="0.3">
      <c r="A61" s="531" t="s">
        <v>146</v>
      </c>
      <c r="B61" s="532" t="s">
        <v>147</v>
      </c>
      <c r="C61" s="532" t="s">
        <v>252</v>
      </c>
      <c r="D61" s="1835">
        <v>23</v>
      </c>
      <c r="E61" s="1835">
        <v>23</v>
      </c>
      <c r="F61" s="1835">
        <v>18</v>
      </c>
      <c r="G61" s="1835">
        <v>14</v>
      </c>
    </row>
    <row r="62" spans="1:7" s="535" customFormat="1" x14ac:dyDescent="0.3">
      <c r="A62" s="531" t="s">
        <v>148</v>
      </c>
      <c r="B62" s="532" t="s">
        <v>149</v>
      </c>
      <c r="C62" s="532" t="s">
        <v>253</v>
      </c>
      <c r="D62" s="1835">
        <v>63</v>
      </c>
      <c r="E62" s="1835">
        <v>66</v>
      </c>
      <c r="F62" s="1835">
        <v>52</v>
      </c>
      <c r="G62" s="1835">
        <v>42</v>
      </c>
    </row>
    <row r="63" spans="1:7" s="535" customFormat="1" x14ac:dyDescent="0.3">
      <c r="A63" s="531" t="s">
        <v>150</v>
      </c>
      <c r="B63" s="532" t="s">
        <v>151</v>
      </c>
      <c r="C63" s="532" t="s">
        <v>254</v>
      </c>
      <c r="D63" s="1835">
        <v>45</v>
      </c>
      <c r="E63" s="1835">
        <v>51</v>
      </c>
      <c r="F63" s="1835">
        <v>50</v>
      </c>
      <c r="G63" s="1835">
        <v>34</v>
      </c>
    </row>
    <row r="64" spans="1:7" s="535" customFormat="1" x14ac:dyDescent="0.3">
      <c r="A64" s="531" t="s">
        <v>152</v>
      </c>
      <c r="B64" s="532" t="s">
        <v>153</v>
      </c>
      <c r="C64" s="532" t="s">
        <v>256</v>
      </c>
      <c r="D64" s="1835">
        <v>242</v>
      </c>
      <c r="E64" s="1835">
        <v>216</v>
      </c>
      <c r="F64" s="1835">
        <v>205</v>
      </c>
      <c r="G64" s="1835">
        <v>165</v>
      </c>
    </row>
    <row r="65" spans="1:7" s="535" customFormat="1" x14ac:dyDescent="0.3">
      <c r="A65" s="531" t="s">
        <v>154</v>
      </c>
      <c r="B65" s="532" t="s">
        <v>155</v>
      </c>
      <c r="C65" s="532" t="s">
        <v>253</v>
      </c>
      <c r="D65" s="1835">
        <v>19</v>
      </c>
      <c r="E65" s="1835">
        <v>22</v>
      </c>
      <c r="F65" s="1835">
        <v>20</v>
      </c>
      <c r="G65" s="1835">
        <v>12</v>
      </c>
    </row>
    <row r="66" spans="1:7" s="535" customFormat="1" x14ac:dyDescent="0.3">
      <c r="A66" s="531" t="s">
        <v>156</v>
      </c>
      <c r="B66" s="532" t="s">
        <v>157</v>
      </c>
      <c r="C66" s="532" t="s">
        <v>254</v>
      </c>
      <c r="D66" s="1835">
        <v>43</v>
      </c>
      <c r="E66" s="1835">
        <v>46</v>
      </c>
      <c r="F66" s="1835">
        <v>50</v>
      </c>
      <c r="G66" s="1835">
        <v>29</v>
      </c>
    </row>
    <row r="67" spans="1:7" s="535" customFormat="1" x14ac:dyDescent="0.3">
      <c r="A67" s="531" t="s">
        <v>162</v>
      </c>
      <c r="B67" s="532" t="s">
        <v>163</v>
      </c>
      <c r="C67" s="532" t="s">
        <v>252</v>
      </c>
      <c r="D67" s="1835">
        <v>83</v>
      </c>
      <c r="E67" s="1835">
        <v>84</v>
      </c>
      <c r="F67" s="1835">
        <v>90</v>
      </c>
      <c r="G67" s="1835">
        <v>54</v>
      </c>
    </row>
    <row r="68" spans="1:7" s="535" customFormat="1" x14ac:dyDescent="0.3">
      <c r="A68" s="531" t="s">
        <v>164</v>
      </c>
      <c r="B68" s="532" t="s">
        <v>165</v>
      </c>
      <c r="C68" s="532" t="s">
        <v>254</v>
      </c>
      <c r="D68" s="1835">
        <v>23</v>
      </c>
      <c r="E68" s="1835">
        <v>13</v>
      </c>
      <c r="F68" s="1835">
        <v>8</v>
      </c>
      <c r="G68" s="1835">
        <v>6</v>
      </c>
    </row>
    <row r="69" spans="1:7" s="535" customFormat="1" x14ac:dyDescent="0.3">
      <c r="A69" s="531" t="s">
        <v>168</v>
      </c>
      <c r="B69" s="532" t="s">
        <v>169</v>
      </c>
      <c r="C69" s="532" t="s">
        <v>254</v>
      </c>
      <c r="D69" s="1835">
        <v>50</v>
      </c>
      <c r="E69" s="1835">
        <v>48</v>
      </c>
      <c r="F69" s="1835">
        <v>37</v>
      </c>
      <c r="G69" s="1835">
        <v>33</v>
      </c>
    </row>
    <row r="70" spans="1:7" s="535" customFormat="1" x14ac:dyDescent="0.3">
      <c r="A70" s="531" t="s">
        <v>170</v>
      </c>
      <c r="B70" s="532" t="s">
        <v>171</v>
      </c>
      <c r="C70" s="532" t="s">
        <v>255</v>
      </c>
      <c r="D70" s="1835">
        <v>97</v>
      </c>
      <c r="E70" s="1835">
        <v>87</v>
      </c>
      <c r="F70" s="1835">
        <v>83</v>
      </c>
      <c r="G70" s="1835">
        <v>88</v>
      </c>
    </row>
    <row r="71" spans="1:7" s="535" customFormat="1" x14ac:dyDescent="0.3">
      <c r="A71" s="531" t="s">
        <v>172</v>
      </c>
      <c r="B71" s="532" t="s">
        <v>173</v>
      </c>
      <c r="C71" s="532" t="s">
        <v>255</v>
      </c>
      <c r="D71" s="1835">
        <v>40</v>
      </c>
      <c r="E71" s="1835">
        <v>38</v>
      </c>
      <c r="F71" s="1835">
        <v>21</v>
      </c>
      <c r="G71" s="1835">
        <v>22</v>
      </c>
    </row>
    <row r="72" spans="1:7" s="535" customFormat="1" x14ac:dyDescent="0.3">
      <c r="A72" s="531" t="s">
        <v>174</v>
      </c>
      <c r="B72" s="532" t="s">
        <v>175</v>
      </c>
      <c r="C72" s="532" t="s">
        <v>256</v>
      </c>
      <c r="D72" s="1835">
        <v>46</v>
      </c>
      <c r="E72" s="1835">
        <v>54</v>
      </c>
      <c r="F72" s="1835">
        <v>38</v>
      </c>
      <c r="G72" s="1835">
        <v>9</v>
      </c>
    </row>
    <row r="73" spans="1:7" s="535" customFormat="1" x14ac:dyDescent="0.3">
      <c r="A73" s="531" t="s">
        <v>178</v>
      </c>
      <c r="B73" s="532" t="s">
        <v>179</v>
      </c>
      <c r="C73" s="532" t="s">
        <v>253</v>
      </c>
      <c r="D73" s="1835">
        <v>145</v>
      </c>
      <c r="E73" s="1835">
        <v>110</v>
      </c>
      <c r="F73" s="1835">
        <v>87</v>
      </c>
      <c r="G73" s="1835">
        <v>75</v>
      </c>
    </row>
    <row r="74" spans="1:7" s="535" customFormat="1" x14ac:dyDescent="0.3">
      <c r="A74" s="531" t="s">
        <v>182</v>
      </c>
      <c r="B74" s="532" t="s">
        <v>183</v>
      </c>
      <c r="C74" s="532" t="s">
        <v>254</v>
      </c>
      <c r="D74" s="1835">
        <v>44</v>
      </c>
      <c r="E74" s="1835">
        <v>37</v>
      </c>
      <c r="F74" s="1835">
        <v>37</v>
      </c>
      <c r="G74" s="1835">
        <v>37</v>
      </c>
    </row>
    <row r="75" spans="1:7" s="535" customFormat="1" x14ac:dyDescent="0.3">
      <c r="A75" s="531" t="s">
        <v>184</v>
      </c>
      <c r="B75" s="532" t="s">
        <v>185</v>
      </c>
      <c r="C75" s="532" t="s">
        <v>254</v>
      </c>
      <c r="D75" s="1835">
        <v>62</v>
      </c>
      <c r="E75" s="1835">
        <v>66</v>
      </c>
      <c r="F75" s="1835">
        <v>52</v>
      </c>
      <c r="G75" s="1835">
        <v>24</v>
      </c>
    </row>
    <row r="76" spans="1:7" s="535" customFormat="1" x14ac:dyDescent="0.3">
      <c r="A76" s="531" t="s">
        <v>186</v>
      </c>
      <c r="B76" s="532" t="s">
        <v>187</v>
      </c>
      <c r="C76" s="532" t="s">
        <v>252</v>
      </c>
      <c r="D76" s="1835">
        <v>35</v>
      </c>
      <c r="E76" s="1835">
        <v>37</v>
      </c>
      <c r="F76" s="1835">
        <v>39</v>
      </c>
      <c r="G76" s="1835">
        <v>31</v>
      </c>
    </row>
    <row r="77" spans="1:7" s="535" customFormat="1" x14ac:dyDescent="0.3">
      <c r="A77" s="531" t="s">
        <v>188</v>
      </c>
      <c r="B77" s="532" t="s">
        <v>189</v>
      </c>
      <c r="C77" s="532" t="s">
        <v>255</v>
      </c>
      <c r="D77" s="1835">
        <v>983</v>
      </c>
      <c r="E77" s="1835">
        <v>875</v>
      </c>
      <c r="F77" s="1835">
        <v>804</v>
      </c>
      <c r="G77" s="1835">
        <v>695</v>
      </c>
    </row>
    <row r="78" spans="1:7" s="535" customFormat="1" x14ac:dyDescent="0.3">
      <c r="A78" s="531" t="s">
        <v>190</v>
      </c>
      <c r="B78" s="532" t="s">
        <v>191</v>
      </c>
      <c r="C78" s="532" t="s">
        <v>256</v>
      </c>
      <c r="D78" s="1835">
        <v>100</v>
      </c>
      <c r="E78" s="1835">
        <v>84</v>
      </c>
      <c r="F78" s="1835">
        <v>80</v>
      </c>
      <c r="G78" s="1835">
        <v>53</v>
      </c>
    </row>
    <row r="79" spans="1:7" s="535" customFormat="1" x14ac:dyDescent="0.3">
      <c r="A79" s="531" t="s">
        <v>194</v>
      </c>
      <c r="B79" s="532" t="s">
        <v>195</v>
      </c>
      <c r="C79" s="532" t="s">
        <v>255</v>
      </c>
      <c r="D79" s="1835">
        <v>17</v>
      </c>
      <c r="E79" s="1835">
        <v>15</v>
      </c>
      <c r="F79" s="1835">
        <v>15</v>
      </c>
      <c r="G79" s="1835">
        <v>7</v>
      </c>
    </row>
    <row r="80" spans="1:7" s="535" customFormat="1" x14ac:dyDescent="0.3">
      <c r="A80" s="531" t="s">
        <v>198</v>
      </c>
      <c r="B80" s="532" t="s">
        <v>260</v>
      </c>
      <c r="C80" s="532" t="s">
        <v>254</v>
      </c>
      <c r="D80" s="1835">
        <v>21</v>
      </c>
      <c r="E80" s="1835">
        <v>17</v>
      </c>
      <c r="F80" s="1835">
        <v>14</v>
      </c>
      <c r="G80" s="1835">
        <v>8</v>
      </c>
    </row>
    <row r="81" spans="1:7" s="535" customFormat="1" x14ac:dyDescent="0.3">
      <c r="A81" s="531" t="s">
        <v>202</v>
      </c>
      <c r="B81" s="532" t="s">
        <v>289</v>
      </c>
      <c r="C81" s="532" t="s">
        <v>253</v>
      </c>
      <c r="D81" s="1835">
        <v>350</v>
      </c>
      <c r="E81" s="1835">
        <v>348</v>
      </c>
      <c r="F81" s="1835">
        <v>356</v>
      </c>
      <c r="G81" s="1835">
        <v>307</v>
      </c>
    </row>
    <row r="82" spans="1:7" s="535" customFormat="1" x14ac:dyDescent="0.3">
      <c r="A82" s="531" t="s">
        <v>204</v>
      </c>
      <c r="B82" s="532" t="s">
        <v>281</v>
      </c>
      <c r="C82" s="532" t="s">
        <v>253</v>
      </c>
      <c r="D82" s="1835">
        <v>46</v>
      </c>
      <c r="E82" s="1835">
        <v>41</v>
      </c>
      <c r="F82" s="1835">
        <v>31</v>
      </c>
      <c r="G82" s="1835">
        <v>18</v>
      </c>
    </row>
    <row r="83" spans="1:7" s="535" customFormat="1" x14ac:dyDescent="0.3">
      <c r="A83" s="531" t="s">
        <v>206</v>
      </c>
      <c r="B83" s="532" t="s">
        <v>282</v>
      </c>
      <c r="C83" s="532" t="s">
        <v>255</v>
      </c>
      <c r="D83" s="1835">
        <v>273</v>
      </c>
      <c r="E83" s="1835">
        <v>268</v>
      </c>
      <c r="F83" s="1835">
        <v>209</v>
      </c>
      <c r="G83" s="1835">
        <v>230</v>
      </c>
    </row>
    <row r="84" spans="1:7" s="535" customFormat="1" x14ac:dyDescent="0.3">
      <c r="A84" s="531" t="s">
        <v>208</v>
      </c>
      <c r="B84" s="532" t="s">
        <v>209</v>
      </c>
      <c r="C84" s="532" t="s">
        <v>256</v>
      </c>
      <c r="D84" s="1835">
        <v>30</v>
      </c>
      <c r="E84" s="1835">
        <v>32</v>
      </c>
      <c r="F84" s="1835">
        <v>26</v>
      </c>
      <c r="G84" s="1835">
        <v>27</v>
      </c>
    </row>
    <row r="85" spans="1:7" s="535" customFormat="1" x14ac:dyDescent="0.3">
      <c r="A85" s="531" t="s">
        <v>210</v>
      </c>
      <c r="B85" s="532" t="s">
        <v>211</v>
      </c>
      <c r="C85" s="532" t="s">
        <v>256</v>
      </c>
      <c r="D85" s="1835">
        <v>14</v>
      </c>
      <c r="E85" s="1835">
        <v>12</v>
      </c>
      <c r="F85" s="1835">
        <v>8</v>
      </c>
      <c r="G85" s="1835">
        <v>4</v>
      </c>
    </row>
    <row r="86" spans="1:7" s="535" customFormat="1" x14ac:dyDescent="0.3">
      <c r="A86" s="531" t="s">
        <v>212</v>
      </c>
      <c r="B86" s="532" t="s">
        <v>213</v>
      </c>
      <c r="C86" s="532" t="s">
        <v>255</v>
      </c>
      <c r="D86" s="1835">
        <v>93</v>
      </c>
      <c r="E86" s="1835">
        <v>82</v>
      </c>
      <c r="F86" s="1835">
        <v>80</v>
      </c>
      <c r="G86" s="1835">
        <v>54</v>
      </c>
    </row>
    <row r="87" spans="1:7" s="535" customFormat="1" x14ac:dyDescent="0.3">
      <c r="A87" s="531" t="s">
        <v>214</v>
      </c>
      <c r="B87" s="532" t="s">
        <v>215</v>
      </c>
      <c r="C87" s="532" t="s">
        <v>256</v>
      </c>
      <c r="D87" s="1835">
        <v>76</v>
      </c>
      <c r="E87" s="1835">
        <v>83</v>
      </c>
      <c r="F87" s="1835">
        <v>64</v>
      </c>
      <c r="G87" s="1835">
        <v>54</v>
      </c>
    </row>
    <row r="88" spans="1:7" s="535" customFormat="1" x14ac:dyDescent="0.3">
      <c r="A88" s="531" t="s">
        <v>216</v>
      </c>
      <c r="B88" s="532" t="s">
        <v>217</v>
      </c>
      <c r="C88" s="532" t="s">
        <v>252</v>
      </c>
      <c r="D88" s="1835">
        <v>31</v>
      </c>
      <c r="E88" s="1835">
        <v>23</v>
      </c>
      <c r="F88" s="1835">
        <v>17</v>
      </c>
      <c r="G88" s="1835">
        <v>20</v>
      </c>
    </row>
    <row r="89" spans="1:7" s="535" customFormat="1" x14ac:dyDescent="0.3">
      <c r="A89" s="531" t="s">
        <v>218</v>
      </c>
      <c r="B89" s="532" t="s">
        <v>219</v>
      </c>
      <c r="C89" s="532" t="s">
        <v>255</v>
      </c>
      <c r="D89" s="1835">
        <v>260</v>
      </c>
      <c r="E89" s="1835">
        <v>234</v>
      </c>
      <c r="F89" s="1835">
        <v>200</v>
      </c>
      <c r="G89" s="1835">
        <v>210</v>
      </c>
    </row>
    <row r="90" spans="1:7" s="535" customFormat="1" x14ac:dyDescent="0.3">
      <c r="A90" s="531" t="s">
        <v>220</v>
      </c>
      <c r="B90" s="532" t="s">
        <v>221</v>
      </c>
      <c r="C90" s="532" t="s">
        <v>255</v>
      </c>
      <c r="D90" s="1835">
        <v>267</v>
      </c>
      <c r="E90" s="1835">
        <v>246</v>
      </c>
      <c r="F90" s="1835">
        <v>244</v>
      </c>
      <c r="G90" s="1835">
        <v>251</v>
      </c>
    </row>
    <row r="91" spans="1:7" s="535" customFormat="1" x14ac:dyDescent="0.3">
      <c r="A91" s="531" t="s">
        <v>224</v>
      </c>
      <c r="B91" s="532" t="s">
        <v>225</v>
      </c>
      <c r="C91" s="532" t="s">
        <v>252</v>
      </c>
      <c r="D91" s="1835">
        <v>35</v>
      </c>
      <c r="E91" s="1835">
        <v>31</v>
      </c>
      <c r="F91" s="1835">
        <v>26</v>
      </c>
      <c r="G91" s="1835">
        <v>21</v>
      </c>
    </row>
    <row r="92" spans="1:7" s="535" customFormat="1" x14ac:dyDescent="0.3">
      <c r="A92" s="531" t="s">
        <v>226</v>
      </c>
      <c r="B92" s="532" t="s">
        <v>227</v>
      </c>
      <c r="C92" s="532" t="s">
        <v>252</v>
      </c>
      <c r="D92" s="1835">
        <v>47</v>
      </c>
      <c r="E92" s="1835">
        <v>49</v>
      </c>
      <c r="F92" s="1835">
        <v>40</v>
      </c>
      <c r="G92" s="1835">
        <v>23</v>
      </c>
    </row>
    <row r="93" spans="1:7" s="535" customFormat="1" x14ac:dyDescent="0.3">
      <c r="A93" s="531" t="s">
        <v>228</v>
      </c>
      <c r="B93" s="532" t="s">
        <v>229</v>
      </c>
      <c r="C93" s="532" t="s">
        <v>256</v>
      </c>
      <c r="D93" s="1835">
        <v>113</v>
      </c>
      <c r="E93" s="1835">
        <v>91</v>
      </c>
      <c r="F93" s="1835">
        <v>74</v>
      </c>
      <c r="G93" s="1835">
        <v>67</v>
      </c>
    </row>
    <row r="94" spans="1:7" s="535" customFormat="1" x14ac:dyDescent="0.3">
      <c r="A94" s="531" t="s">
        <v>232</v>
      </c>
      <c r="B94" s="532" t="s">
        <v>233</v>
      </c>
      <c r="C94" s="532" t="s">
        <v>255</v>
      </c>
      <c r="D94" s="1835">
        <v>136</v>
      </c>
      <c r="E94" s="1835">
        <v>151</v>
      </c>
      <c r="F94" s="1835">
        <v>151</v>
      </c>
      <c r="G94" s="1835">
        <v>140</v>
      </c>
    </row>
    <row r="95" spans="1:7" s="535" customFormat="1" x14ac:dyDescent="0.3">
      <c r="A95" s="531" t="s">
        <v>234</v>
      </c>
      <c r="B95" s="532" t="s">
        <v>235</v>
      </c>
      <c r="C95" s="532" t="s">
        <v>256</v>
      </c>
      <c r="D95" s="1835">
        <v>65</v>
      </c>
      <c r="E95" s="1835">
        <v>68</v>
      </c>
      <c r="F95" s="1835">
        <v>61</v>
      </c>
      <c r="G95" s="1835">
        <v>65</v>
      </c>
    </row>
    <row r="96" spans="1:7" s="535" customFormat="1" x14ac:dyDescent="0.3">
      <c r="A96" s="531" t="s">
        <v>236</v>
      </c>
      <c r="B96" s="532" t="s">
        <v>237</v>
      </c>
      <c r="C96" s="532" t="s">
        <v>254</v>
      </c>
      <c r="D96" s="1835">
        <v>48</v>
      </c>
      <c r="E96" s="1835">
        <v>57</v>
      </c>
      <c r="F96" s="1835">
        <v>51</v>
      </c>
      <c r="G96" s="1835">
        <v>39</v>
      </c>
    </row>
    <row r="97" spans="1:7" s="535" customFormat="1" x14ac:dyDescent="0.3">
      <c r="A97" s="531" t="s">
        <v>242</v>
      </c>
      <c r="B97" s="532" t="s">
        <v>243</v>
      </c>
      <c r="C97" s="532" t="s">
        <v>256</v>
      </c>
      <c r="D97" s="1835">
        <v>67</v>
      </c>
      <c r="E97" s="1835">
        <v>65</v>
      </c>
      <c r="F97" s="1835">
        <v>58</v>
      </c>
      <c r="G97" s="1835">
        <v>50</v>
      </c>
    </row>
    <row r="98" spans="1:7" s="535" customFormat="1" x14ac:dyDescent="0.3">
      <c r="A98" s="531" t="s">
        <v>244</v>
      </c>
      <c r="B98" s="532" t="s">
        <v>245</v>
      </c>
      <c r="C98" s="532" t="s">
        <v>256</v>
      </c>
      <c r="D98" s="1835">
        <v>104</v>
      </c>
      <c r="E98" s="1835">
        <v>107</v>
      </c>
      <c r="F98" s="1835">
        <v>86</v>
      </c>
      <c r="G98" s="1835">
        <v>64</v>
      </c>
    </row>
    <row r="99" spans="1:7" s="535" customFormat="1" x14ac:dyDescent="0.3">
      <c r="A99" s="531" t="s">
        <v>246</v>
      </c>
      <c r="B99" s="532" t="s">
        <v>247</v>
      </c>
      <c r="C99" s="532" t="s">
        <v>252</v>
      </c>
      <c r="D99" s="1835">
        <v>150</v>
      </c>
      <c r="E99" s="1835">
        <v>145</v>
      </c>
      <c r="F99" s="1835">
        <v>140</v>
      </c>
      <c r="G99" s="1835">
        <v>137</v>
      </c>
    </row>
    <row r="100" spans="1:7" s="535" customFormat="1" x14ac:dyDescent="0.3">
      <c r="A100" s="531" t="s">
        <v>14</v>
      </c>
      <c r="B100" s="532" t="s">
        <v>15</v>
      </c>
      <c r="C100" s="532" t="s">
        <v>255</v>
      </c>
      <c r="D100" s="1835">
        <v>502</v>
      </c>
      <c r="E100" s="1835">
        <v>489</v>
      </c>
      <c r="F100" s="1835">
        <v>431</v>
      </c>
      <c r="G100" s="1835">
        <v>507</v>
      </c>
    </row>
    <row r="101" spans="1:7" s="535" customFormat="1" x14ac:dyDescent="0.3">
      <c r="A101" s="531" t="s">
        <v>34</v>
      </c>
      <c r="B101" s="532" t="s">
        <v>35</v>
      </c>
      <c r="C101" s="532" t="s">
        <v>256</v>
      </c>
      <c r="D101" s="1835">
        <v>203</v>
      </c>
      <c r="E101" s="1835">
        <v>176</v>
      </c>
      <c r="F101" s="1835">
        <v>170</v>
      </c>
      <c r="G101" s="1835">
        <v>129</v>
      </c>
    </row>
    <row r="102" spans="1:7" s="535" customFormat="1" x14ac:dyDescent="0.3">
      <c r="A102" s="531" t="s">
        <v>52</v>
      </c>
      <c r="B102" s="532" t="s">
        <v>53</v>
      </c>
      <c r="C102" s="532" t="s">
        <v>253</v>
      </c>
      <c r="D102" s="1835">
        <v>272</v>
      </c>
      <c r="E102" s="1835">
        <v>266</v>
      </c>
      <c r="F102" s="1835">
        <v>229</v>
      </c>
      <c r="G102" s="1835">
        <v>170</v>
      </c>
    </row>
    <row r="103" spans="1:7" s="535" customFormat="1" x14ac:dyDescent="0.3">
      <c r="A103" s="531" t="s">
        <v>54</v>
      </c>
      <c r="B103" s="532" t="s">
        <v>55</v>
      </c>
      <c r="C103" s="532" t="s">
        <v>252</v>
      </c>
      <c r="D103" s="1835">
        <v>930</v>
      </c>
      <c r="E103" s="1835">
        <v>851</v>
      </c>
      <c r="F103" s="1835">
        <v>760</v>
      </c>
      <c r="G103" s="1835">
        <v>781</v>
      </c>
    </row>
    <row r="104" spans="1:7" s="535" customFormat="1" x14ac:dyDescent="0.3">
      <c r="A104" s="531" t="s">
        <v>66</v>
      </c>
      <c r="B104" s="532" t="s">
        <v>67</v>
      </c>
      <c r="C104" s="532" t="s">
        <v>253</v>
      </c>
      <c r="D104" s="1835">
        <v>315</v>
      </c>
      <c r="E104" s="1835">
        <v>331</v>
      </c>
      <c r="F104" s="1835">
        <v>263</v>
      </c>
      <c r="G104" s="1835">
        <v>227</v>
      </c>
    </row>
    <row r="105" spans="1:7" s="535" customFormat="1" x14ac:dyDescent="0.3">
      <c r="A105" s="531" t="s">
        <v>82</v>
      </c>
      <c r="B105" s="532" t="s">
        <v>83</v>
      </c>
      <c r="C105" s="532" t="s">
        <v>252</v>
      </c>
      <c r="D105" s="1835">
        <v>46</v>
      </c>
      <c r="E105" s="1835">
        <v>40</v>
      </c>
      <c r="F105" s="1835">
        <v>31</v>
      </c>
      <c r="G105" s="1835">
        <v>47</v>
      </c>
    </row>
    <row r="106" spans="1:7" s="535" customFormat="1" x14ac:dyDescent="0.3">
      <c r="A106" s="531" t="s">
        <v>88</v>
      </c>
      <c r="B106" s="532" t="s">
        <v>89</v>
      </c>
      <c r="C106" s="532" t="s">
        <v>255</v>
      </c>
      <c r="D106" s="1835">
        <v>183</v>
      </c>
      <c r="E106" s="1835">
        <v>199</v>
      </c>
      <c r="F106" s="1835">
        <v>180</v>
      </c>
      <c r="G106" s="1835">
        <v>154</v>
      </c>
    </row>
    <row r="107" spans="1:7" s="535" customFormat="1" x14ac:dyDescent="0.3">
      <c r="A107" s="531" t="s">
        <v>90</v>
      </c>
      <c r="B107" s="532" t="s">
        <v>91</v>
      </c>
      <c r="C107" s="532" t="s">
        <v>256</v>
      </c>
      <c r="D107" s="1835">
        <v>45</v>
      </c>
      <c r="E107" s="1835">
        <v>35</v>
      </c>
      <c r="F107" s="1835">
        <v>27</v>
      </c>
      <c r="G107" s="1835">
        <v>24</v>
      </c>
    </row>
    <row r="108" spans="1:7" s="535" customFormat="1" x14ac:dyDescent="0.3">
      <c r="A108" s="531" t="s">
        <v>106</v>
      </c>
      <c r="B108" s="532" t="s">
        <v>107</v>
      </c>
      <c r="C108" s="532" t="s">
        <v>252</v>
      </c>
      <c r="D108" s="1835">
        <v>719</v>
      </c>
      <c r="E108" s="1835">
        <v>605</v>
      </c>
      <c r="F108" s="1835">
        <v>572</v>
      </c>
      <c r="G108" s="1835">
        <v>569</v>
      </c>
    </row>
    <row r="109" spans="1:7" s="535" customFormat="1" x14ac:dyDescent="0.3">
      <c r="A109" s="531" t="s">
        <v>116</v>
      </c>
      <c r="B109" s="532" t="s">
        <v>117</v>
      </c>
      <c r="C109" s="532" t="s">
        <v>254</v>
      </c>
      <c r="D109" s="1835">
        <v>160</v>
      </c>
      <c r="E109" s="1835">
        <v>157</v>
      </c>
      <c r="F109" s="1835">
        <v>159</v>
      </c>
      <c r="G109" s="1835">
        <v>140</v>
      </c>
    </row>
    <row r="110" spans="1:7" s="535" customFormat="1" x14ac:dyDescent="0.3">
      <c r="A110" s="531" t="s">
        <v>138</v>
      </c>
      <c r="B110" s="532" t="s">
        <v>139</v>
      </c>
      <c r="C110" s="532" t="s">
        <v>253</v>
      </c>
      <c r="D110" s="1835">
        <v>393</v>
      </c>
      <c r="E110" s="1835">
        <v>408</v>
      </c>
      <c r="F110" s="1835">
        <v>387</v>
      </c>
      <c r="G110" s="1835">
        <v>324</v>
      </c>
    </row>
    <row r="111" spans="1:7" s="535" customFormat="1" x14ac:dyDescent="0.3">
      <c r="A111" s="531" t="s">
        <v>142</v>
      </c>
      <c r="B111" s="532" t="s">
        <v>143</v>
      </c>
      <c r="C111" s="532" t="s">
        <v>255</v>
      </c>
      <c r="D111" s="1835">
        <v>182</v>
      </c>
      <c r="E111" s="1835">
        <v>209</v>
      </c>
      <c r="F111" s="1835">
        <v>183</v>
      </c>
      <c r="G111" s="1835">
        <v>123</v>
      </c>
    </row>
    <row r="112" spans="1:7" s="535" customFormat="1" x14ac:dyDescent="0.3">
      <c r="A112" s="531" t="s">
        <v>144</v>
      </c>
      <c r="B112" s="532" t="s">
        <v>145</v>
      </c>
      <c r="C112" s="532" t="s">
        <v>255</v>
      </c>
      <c r="D112" s="1835">
        <v>34</v>
      </c>
      <c r="E112" s="1835">
        <v>50</v>
      </c>
      <c r="F112" s="1835">
        <v>38</v>
      </c>
      <c r="G112" s="1835">
        <v>26</v>
      </c>
    </row>
    <row r="113" spans="1:8" s="535" customFormat="1" x14ac:dyDescent="0.3">
      <c r="A113" s="531" t="s">
        <v>158</v>
      </c>
      <c r="B113" s="532" t="s">
        <v>159</v>
      </c>
      <c r="C113" s="532" t="s">
        <v>252</v>
      </c>
      <c r="D113" s="1835">
        <v>1336</v>
      </c>
      <c r="E113" s="1835">
        <v>1365</v>
      </c>
      <c r="F113" s="1835">
        <v>1216</v>
      </c>
      <c r="G113" s="1835">
        <v>1185</v>
      </c>
    </row>
    <row r="114" spans="1:8" s="535" customFormat="1" x14ac:dyDescent="0.3">
      <c r="A114" s="531" t="s">
        <v>160</v>
      </c>
      <c r="B114" s="532" t="s">
        <v>161</v>
      </c>
      <c r="C114" s="532" t="s">
        <v>252</v>
      </c>
      <c r="D114" s="1835">
        <v>1767</v>
      </c>
      <c r="E114" s="1835">
        <v>1680</v>
      </c>
      <c r="F114" s="1835">
        <v>1411</v>
      </c>
      <c r="G114" s="1835">
        <v>1226</v>
      </c>
    </row>
    <row r="115" spans="1:8" s="535" customFormat="1" x14ac:dyDescent="0.3">
      <c r="A115" s="531" t="s">
        <v>166</v>
      </c>
      <c r="B115" s="532" t="s">
        <v>167</v>
      </c>
      <c r="C115" s="532" t="s">
        <v>256</v>
      </c>
      <c r="D115" s="1835">
        <v>16</v>
      </c>
      <c r="E115" s="1835">
        <v>13</v>
      </c>
      <c r="F115" s="1835">
        <v>11</v>
      </c>
      <c r="G115" s="1835">
        <v>7</v>
      </c>
    </row>
    <row r="116" spans="1:8" s="535" customFormat="1" x14ac:dyDescent="0.3">
      <c r="A116" s="531" t="s">
        <v>176</v>
      </c>
      <c r="B116" s="532" t="s">
        <v>177</v>
      </c>
      <c r="C116" s="532" t="s">
        <v>254</v>
      </c>
      <c r="D116" s="1835">
        <v>410</v>
      </c>
      <c r="E116" s="1835">
        <v>395</v>
      </c>
      <c r="F116" s="1835">
        <v>282</v>
      </c>
      <c r="G116" s="1835">
        <v>220</v>
      </c>
    </row>
    <row r="117" spans="1:8" s="535" customFormat="1" x14ac:dyDescent="0.3">
      <c r="A117" s="531" t="s">
        <v>180</v>
      </c>
      <c r="B117" s="532" t="s">
        <v>181</v>
      </c>
      <c r="C117" s="532" t="s">
        <v>252</v>
      </c>
      <c r="D117" s="1835">
        <v>591</v>
      </c>
      <c r="E117" s="1835">
        <v>615</v>
      </c>
      <c r="F117" s="1835">
        <v>623</v>
      </c>
      <c r="G117" s="1835">
        <v>480</v>
      </c>
    </row>
    <row r="118" spans="1:8" s="535" customFormat="1" x14ac:dyDescent="0.3">
      <c r="A118" s="531" t="s">
        <v>192</v>
      </c>
      <c r="B118" s="532" t="s">
        <v>193</v>
      </c>
      <c r="C118" s="532" t="s">
        <v>256</v>
      </c>
      <c r="D118" s="1835">
        <v>43</v>
      </c>
      <c r="E118" s="1835">
        <v>44</v>
      </c>
      <c r="F118" s="1835">
        <v>45</v>
      </c>
      <c r="G118" s="1835">
        <v>30</v>
      </c>
    </row>
    <row r="119" spans="1:8" s="535" customFormat="1" x14ac:dyDescent="0.3">
      <c r="A119" s="531" t="s">
        <v>196</v>
      </c>
      <c r="B119" s="532" t="s">
        <v>197</v>
      </c>
      <c r="C119" s="532" t="s">
        <v>254</v>
      </c>
      <c r="D119" s="1835">
        <v>1780</v>
      </c>
      <c r="E119" s="1835">
        <v>1488</v>
      </c>
      <c r="F119" s="1835">
        <v>1305</v>
      </c>
      <c r="G119" s="1835">
        <v>985</v>
      </c>
    </row>
    <row r="120" spans="1:8" s="535" customFormat="1" x14ac:dyDescent="0.3">
      <c r="A120" s="531" t="s">
        <v>200</v>
      </c>
      <c r="B120" s="532" t="s">
        <v>201</v>
      </c>
      <c r="C120" s="532" t="s">
        <v>253</v>
      </c>
      <c r="D120" s="1835">
        <v>775</v>
      </c>
      <c r="E120" s="1835">
        <v>824</v>
      </c>
      <c r="F120" s="1835">
        <v>806</v>
      </c>
      <c r="G120" s="1835">
        <v>698</v>
      </c>
    </row>
    <row r="121" spans="1:8" s="535" customFormat="1" x14ac:dyDescent="0.3">
      <c r="A121" s="531" t="s">
        <v>222</v>
      </c>
      <c r="B121" s="532" t="s">
        <v>223</v>
      </c>
      <c r="C121" s="532" t="s">
        <v>252</v>
      </c>
      <c r="D121" s="1835">
        <v>268</v>
      </c>
      <c r="E121" s="1835">
        <v>280</v>
      </c>
      <c r="F121" s="1835">
        <v>226</v>
      </c>
      <c r="G121" s="1835">
        <v>195</v>
      </c>
    </row>
    <row r="122" spans="1:8" s="535" customFormat="1" x14ac:dyDescent="0.3">
      <c r="A122" s="531" t="s">
        <v>230</v>
      </c>
      <c r="B122" s="532" t="s">
        <v>231</v>
      </c>
      <c r="C122" s="532" t="s">
        <v>252</v>
      </c>
      <c r="D122" s="1835">
        <v>1496</v>
      </c>
      <c r="E122" s="1835">
        <v>1584</v>
      </c>
      <c r="F122" s="1835">
        <v>1171</v>
      </c>
      <c r="G122" s="1835">
        <v>1120</v>
      </c>
    </row>
    <row r="123" spans="1:8" s="535" customFormat="1" x14ac:dyDescent="0.3">
      <c r="A123" s="531" t="s">
        <v>238</v>
      </c>
      <c r="B123" s="532" t="s">
        <v>239</v>
      </c>
      <c r="C123" s="532" t="s">
        <v>252</v>
      </c>
      <c r="D123" s="1835">
        <v>43</v>
      </c>
      <c r="E123" s="1835">
        <v>58</v>
      </c>
      <c r="F123" s="1835">
        <v>51</v>
      </c>
      <c r="G123" s="1835">
        <v>48</v>
      </c>
    </row>
    <row r="124" spans="1:8" s="535" customFormat="1" x14ac:dyDescent="0.3">
      <c r="A124" s="531" t="s">
        <v>240</v>
      </c>
      <c r="B124" s="532" t="s">
        <v>241</v>
      </c>
      <c r="C124" s="532" t="s">
        <v>255</v>
      </c>
      <c r="D124" s="1856">
        <v>115</v>
      </c>
      <c r="E124" s="1856">
        <v>108</v>
      </c>
      <c r="F124" s="1856">
        <v>81</v>
      </c>
      <c r="G124" s="1856">
        <v>73</v>
      </c>
    </row>
    <row r="126" spans="1:8" ht="12.75" customHeight="1" x14ac:dyDescent="0.3">
      <c r="A126" s="2737" t="s">
        <v>1003</v>
      </c>
      <c r="B126" s="2738"/>
      <c r="C126" s="2738"/>
      <c r="D126" s="2738"/>
      <c r="E126" s="2738"/>
      <c r="F126" s="2738"/>
      <c r="G126" s="2738"/>
      <c r="H126" s="2738"/>
    </row>
    <row r="127" spans="1:8" x14ac:dyDescent="0.3">
      <c r="A127" s="2738"/>
      <c r="B127" s="2738"/>
      <c r="C127" s="2738"/>
      <c r="D127" s="2738"/>
      <c r="E127" s="2738"/>
      <c r="F127" s="2738"/>
      <c r="G127" s="2738"/>
      <c r="H127" s="2738"/>
    </row>
    <row r="128" spans="1:8" ht="18" customHeight="1" x14ac:dyDescent="0.3">
      <c r="A128" s="2738"/>
      <c r="B128" s="2738"/>
      <c r="C128" s="2738"/>
      <c r="D128" s="2738"/>
      <c r="E128" s="2738"/>
      <c r="F128" s="2738"/>
      <c r="G128" s="2738"/>
      <c r="H128" s="2738"/>
    </row>
    <row r="129" spans="1:8" x14ac:dyDescent="0.3">
      <c r="A129" s="1060"/>
      <c r="B129" s="1060"/>
      <c r="C129" s="1060"/>
      <c r="D129" s="1060"/>
      <c r="E129" s="1151"/>
      <c r="F129" s="1299"/>
      <c r="G129" s="1837"/>
      <c r="H129" s="1060"/>
    </row>
    <row r="130" spans="1:8" s="359" customFormat="1" x14ac:dyDescent="0.3">
      <c r="A130" s="359" t="s">
        <v>248</v>
      </c>
    </row>
    <row r="131" spans="1:8" s="359" customFormat="1" x14ac:dyDescent="0.3">
      <c r="A131" s="360" t="s">
        <v>249</v>
      </c>
      <c r="B131" s="361" t="s">
        <v>250</v>
      </c>
      <c r="C131" s="361"/>
    </row>
  </sheetData>
  <sortState ref="A5:I124">
    <sortCondition ref="A5:A124"/>
  </sortState>
  <mergeCells count="1">
    <mergeCell ref="A126:H128"/>
  </mergeCells>
  <hyperlinks>
    <hyperlink ref="B131" r:id="rId1"/>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0"/>
  <sheetViews>
    <sheetView workbookViewId="0">
      <pane xSplit="3" ySplit="5" topLeftCell="D112" activePane="bottomRight" state="frozen"/>
      <selection pane="topRight" activeCell="D1" sqref="D1"/>
      <selection pane="bottomLeft" activeCell="A6" sqref="A6"/>
      <selection pane="bottomRight"/>
    </sheetView>
  </sheetViews>
  <sheetFormatPr defaultColWidth="14.296875" defaultRowHeight="15.6" x14ac:dyDescent="0.3"/>
  <cols>
    <col min="1" max="1" width="14.296875" style="413"/>
    <col min="2" max="2" width="32.19921875" style="413" customWidth="1"/>
    <col min="3" max="4" width="14.5" style="413" customWidth="1"/>
    <col min="5" max="5" width="11.796875" style="413" customWidth="1"/>
    <col min="6" max="7" width="11.09765625" style="413" customWidth="1"/>
    <col min="8" max="9" width="14.5" style="413" customWidth="1"/>
    <col min="10" max="12" width="9.59765625" style="413" customWidth="1"/>
    <col min="13" max="16" width="12.09765625" style="413" customWidth="1"/>
    <col min="17" max="16384" width="14.296875" style="413"/>
  </cols>
  <sheetData>
    <row r="1" spans="1:17" x14ac:dyDescent="0.3">
      <c r="A1" s="252" t="s">
        <v>1169</v>
      </c>
    </row>
    <row r="2" spans="1:17" x14ac:dyDescent="0.3">
      <c r="B2" s="414"/>
      <c r="C2" s="414"/>
      <c r="D2" s="414"/>
      <c r="E2" s="414"/>
      <c r="F2" s="414"/>
      <c r="G2" s="414"/>
      <c r="H2" s="414"/>
      <c r="I2" s="414"/>
      <c r="J2" s="414"/>
      <c r="K2" s="414"/>
      <c r="L2" s="414"/>
    </row>
    <row r="3" spans="1:17" ht="23.25" customHeight="1" x14ac:dyDescent="0.3">
      <c r="A3" s="415"/>
      <c r="B3" s="416"/>
      <c r="C3" s="513"/>
      <c r="D3" s="513"/>
      <c r="E3" s="2750" t="s">
        <v>711</v>
      </c>
      <c r="F3" s="2751"/>
      <c r="G3" s="2751"/>
      <c r="H3" s="2751"/>
      <c r="I3" s="2752"/>
      <c r="J3" s="2750" t="s">
        <v>706</v>
      </c>
      <c r="K3" s="2751"/>
      <c r="L3" s="2752"/>
      <c r="M3" s="2750" t="s">
        <v>626</v>
      </c>
      <c r="N3" s="2751"/>
      <c r="O3" s="2751"/>
      <c r="P3" s="2752"/>
      <c r="Q3" s="2753" t="s">
        <v>979</v>
      </c>
    </row>
    <row r="4" spans="1:17" ht="35.25" customHeight="1" x14ac:dyDescent="0.3">
      <c r="A4" s="417" t="s">
        <v>4</v>
      </c>
      <c r="B4" s="416" t="s">
        <v>5</v>
      </c>
      <c r="C4" s="513" t="s">
        <v>251</v>
      </c>
      <c r="D4" s="513" t="s">
        <v>269</v>
      </c>
      <c r="E4" s="1823" t="s">
        <v>480</v>
      </c>
      <c r="F4" s="1824" t="s">
        <v>984</v>
      </c>
      <c r="G4" s="1824" t="s">
        <v>985</v>
      </c>
      <c r="H4" s="1824" t="s">
        <v>637</v>
      </c>
      <c r="I4" s="1825" t="s">
        <v>978</v>
      </c>
      <c r="J4" s="1797" t="s">
        <v>418</v>
      </c>
      <c r="K4" s="1779" t="s">
        <v>417</v>
      </c>
      <c r="L4" s="1798" t="s">
        <v>978</v>
      </c>
      <c r="M4" s="1797" t="s">
        <v>2</v>
      </c>
      <c r="N4" s="1779" t="s">
        <v>314</v>
      </c>
      <c r="O4" s="1779" t="s">
        <v>683</v>
      </c>
      <c r="P4" s="1798" t="s">
        <v>978</v>
      </c>
      <c r="Q4" s="2753"/>
    </row>
    <row r="5" spans="1:17" x14ac:dyDescent="0.3">
      <c r="A5" s="927" t="s">
        <v>8</v>
      </c>
      <c r="B5" s="928" t="s">
        <v>9</v>
      </c>
      <c r="C5" s="929"/>
      <c r="D5" s="1804">
        <v>941846</v>
      </c>
      <c r="E5" s="1804">
        <v>408935</v>
      </c>
      <c r="F5" s="1796">
        <v>200871</v>
      </c>
      <c r="G5" s="1796">
        <v>261227</v>
      </c>
      <c r="H5" s="1796">
        <v>70679</v>
      </c>
      <c r="I5" s="1811">
        <v>134</v>
      </c>
      <c r="J5" s="1804">
        <v>544028</v>
      </c>
      <c r="K5" s="1796">
        <v>397816</v>
      </c>
      <c r="L5" s="1796">
        <f t="shared" ref="L5" si="0">SUM(L6:L125)</f>
        <v>2</v>
      </c>
      <c r="M5" s="1799">
        <v>475694</v>
      </c>
      <c r="N5" s="1800">
        <v>425807</v>
      </c>
      <c r="O5" s="1800">
        <v>38978</v>
      </c>
      <c r="P5" s="1801">
        <v>1367</v>
      </c>
      <c r="Q5" s="1801">
        <v>46309</v>
      </c>
    </row>
    <row r="6" spans="1:17" s="512" customFormat="1" x14ac:dyDescent="0.3">
      <c r="A6" s="514" t="s">
        <v>10</v>
      </c>
      <c r="B6" s="510" t="s">
        <v>11</v>
      </c>
      <c r="C6" s="509" t="s">
        <v>252</v>
      </c>
      <c r="D6" s="1829">
        <v>6523</v>
      </c>
      <c r="E6" s="1805">
        <v>2899</v>
      </c>
      <c r="F6" s="817">
        <v>1361</v>
      </c>
      <c r="G6" s="817">
        <v>1748</v>
      </c>
      <c r="H6" s="817">
        <v>515</v>
      </c>
      <c r="I6" s="1806">
        <v>0</v>
      </c>
      <c r="J6" s="1805">
        <v>3738</v>
      </c>
      <c r="K6" s="817">
        <v>2785</v>
      </c>
      <c r="L6" s="1806"/>
      <c r="M6" s="1802">
        <v>3192</v>
      </c>
      <c r="N6" s="511">
        <v>3290</v>
      </c>
      <c r="O6" s="511">
        <v>36</v>
      </c>
      <c r="P6" s="1803">
        <v>5</v>
      </c>
      <c r="Q6" s="512">
        <v>324</v>
      </c>
    </row>
    <row r="7" spans="1:17" s="512" customFormat="1" x14ac:dyDescent="0.3">
      <c r="A7" s="514" t="s">
        <v>12</v>
      </c>
      <c r="B7" s="510" t="s">
        <v>13</v>
      </c>
      <c r="C7" s="509" t="s">
        <v>253</v>
      </c>
      <c r="D7" s="1829">
        <v>6513</v>
      </c>
      <c r="E7" s="1805">
        <v>3000</v>
      </c>
      <c r="F7" s="817">
        <v>1252</v>
      </c>
      <c r="G7" s="817">
        <v>1830</v>
      </c>
      <c r="H7" s="817">
        <v>431</v>
      </c>
      <c r="I7" s="1806">
        <v>0</v>
      </c>
      <c r="J7" s="1805">
        <v>3776</v>
      </c>
      <c r="K7" s="817">
        <v>2737</v>
      </c>
      <c r="L7" s="1806"/>
      <c r="M7" s="1802">
        <v>4135</v>
      </c>
      <c r="N7" s="511">
        <v>2032</v>
      </c>
      <c r="O7" s="511">
        <v>325</v>
      </c>
      <c r="P7" s="1803">
        <v>21</v>
      </c>
      <c r="Q7" s="512">
        <v>285</v>
      </c>
    </row>
    <row r="8" spans="1:17" s="512" customFormat="1" x14ac:dyDescent="0.3">
      <c r="A8" s="514" t="s">
        <v>16</v>
      </c>
      <c r="B8" s="510" t="s">
        <v>285</v>
      </c>
      <c r="C8" s="509" t="s">
        <v>253</v>
      </c>
      <c r="D8" s="1829">
        <v>4165</v>
      </c>
      <c r="E8" s="1805">
        <v>1668</v>
      </c>
      <c r="F8" s="817">
        <v>952</v>
      </c>
      <c r="G8" s="817">
        <v>1261</v>
      </c>
      <c r="H8" s="817">
        <v>284</v>
      </c>
      <c r="I8" s="1806">
        <v>0</v>
      </c>
      <c r="J8" s="1805">
        <v>2381</v>
      </c>
      <c r="K8" s="817">
        <v>1784</v>
      </c>
      <c r="L8" s="1806"/>
      <c r="M8" s="1802">
        <v>3643</v>
      </c>
      <c r="N8" s="511">
        <v>483</v>
      </c>
      <c r="O8" s="511">
        <v>38</v>
      </c>
      <c r="P8" s="1803">
        <v>1</v>
      </c>
      <c r="Q8" s="512">
        <v>46</v>
      </c>
    </row>
    <row r="9" spans="1:17" s="512" customFormat="1" x14ac:dyDescent="0.3">
      <c r="A9" s="514" t="s">
        <v>18</v>
      </c>
      <c r="B9" s="510" t="s">
        <v>19</v>
      </c>
      <c r="C9" s="509" t="s">
        <v>254</v>
      </c>
      <c r="D9" s="1829">
        <v>1997</v>
      </c>
      <c r="E9" s="1805">
        <v>805</v>
      </c>
      <c r="F9" s="817">
        <v>415</v>
      </c>
      <c r="G9" s="817">
        <v>598</v>
      </c>
      <c r="H9" s="817">
        <v>179</v>
      </c>
      <c r="I9" s="1806">
        <v>0</v>
      </c>
      <c r="J9" s="1805">
        <v>1139</v>
      </c>
      <c r="K9" s="817">
        <v>858</v>
      </c>
      <c r="L9" s="1806"/>
      <c r="M9" s="1802">
        <v>1247</v>
      </c>
      <c r="N9" s="511">
        <v>715</v>
      </c>
      <c r="O9" s="511">
        <v>33</v>
      </c>
      <c r="P9" s="1803">
        <v>2</v>
      </c>
      <c r="Q9" s="512">
        <v>76</v>
      </c>
    </row>
    <row r="10" spans="1:17" s="512" customFormat="1" x14ac:dyDescent="0.3">
      <c r="A10" s="514" t="s">
        <v>20</v>
      </c>
      <c r="B10" s="510" t="s">
        <v>21</v>
      </c>
      <c r="C10" s="509" t="s">
        <v>253</v>
      </c>
      <c r="D10" s="1829">
        <v>4497</v>
      </c>
      <c r="E10" s="1805">
        <v>1908</v>
      </c>
      <c r="F10" s="817">
        <v>993</v>
      </c>
      <c r="G10" s="817">
        <v>1298</v>
      </c>
      <c r="H10" s="817">
        <v>297</v>
      </c>
      <c r="I10" s="1806">
        <v>1</v>
      </c>
      <c r="J10" s="1805">
        <v>2547</v>
      </c>
      <c r="K10" s="817">
        <v>1950</v>
      </c>
      <c r="L10" s="1806"/>
      <c r="M10" s="1802">
        <v>3104</v>
      </c>
      <c r="N10" s="511">
        <v>1314</v>
      </c>
      <c r="O10" s="511">
        <v>73</v>
      </c>
      <c r="P10" s="1803">
        <v>6</v>
      </c>
      <c r="Q10" s="512">
        <v>89</v>
      </c>
    </row>
    <row r="11" spans="1:17" s="512" customFormat="1" x14ac:dyDescent="0.3">
      <c r="A11" s="514" t="s">
        <v>22</v>
      </c>
      <c r="B11" s="510" t="s">
        <v>23</v>
      </c>
      <c r="C11" s="509" t="s">
        <v>253</v>
      </c>
      <c r="D11" s="1829">
        <v>2908</v>
      </c>
      <c r="E11" s="1805">
        <v>1147</v>
      </c>
      <c r="F11" s="817">
        <v>645</v>
      </c>
      <c r="G11" s="817">
        <v>895</v>
      </c>
      <c r="H11" s="817">
        <v>221</v>
      </c>
      <c r="I11" s="1806">
        <v>0</v>
      </c>
      <c r="J11" s="1805">
        <v>1637</v>
      </c>
      <c r="K11" s="817">
        <v>1271</v>
      </c>
      <c r="L11" s="1806"/>
      <c r="M11" s="1802">
        <v>1803</v>
      </c>
      <c r="N11" s="511">
        <v>1079</v>
      </c>
      <c r="O11" s="511">
        <v>25</v>
      </c>
      <c r="P11" s="1803">
        <v>1</v>
      </c>
      <c r="Q11" s="512">
        <v>34</v>
      </c>
    </row>
    <row r="12" spans="1:17" s="512" customFormat="1" x14ac:dyDescent="0.3">
      <c r="A12" s="514" t="s">
        <v>24</v>
      </c>
      <c r="B12" s="510" t="s">
        <v>25</v>
      </c>
      <c r="C12" s="509" t="s">
        <v>255</v>
      </c>
      <c r="D12" s="1829">
        <v>8301</v>
      </c>
      <c r="E12" s="1805">
        <v>3447</v>
      </c>
      <c r="F12" s="817">
        <v>1042</v>
      </c>
      <c r="G12" s="817">
        <v>2205</v>
      </c>
      <c r="H12" s="817">
        <v>1607</v>
      </c>
      <c r="I12" s="1806">
        <v>0</v>
      </c>
      <c r="J12" s="1805">
        <v>4692</v>
      </c>
      <c r="K12" s="817">
        <v>3609</v>
      </c>
      <c r="L12" s="1806"/>
      <c r="M12" s="1802">
        <v>4304</v>
      </c>
      <c r="N12" s="511">
        <v>3057</v>
      </c>
      <c r="O12" s="511">
        <v>919</v>
      </c>
      <c r="P12" s="1803">
        <v>21</v>
      </c>
      <c r="Q12" s="512">
        <v>1047</v>
      </c>
    </row>
    <row r="13" spans="1:17" s="512" customFormat="1" x14ac:dyDescent="0.3">
      <c r="A13" s="514" t="s">
        <v>26</v>
      </c>
      <c r="B13" s="510" t="s">
        <v>547</v>
      </c>
      <c r="C13" s="509" t="s">
        <v>253</v>
      </c>
      <c r="D13" s="1829">
        <v>15198</v>
      </c>
      <c r="E13" s="1805">
        <v>6295</v>
      </c>
      <c r="F13" s="817">
        <v>3427</v>
      </c>
      <c r="G13" s="817">
        <v>4492</v>
      </c>
      <c r="H13" s="817">
        <v>982</v>
      </c>
      <c r="I13" s="1806">
        <v>2</v>
      </c>
      <c r="J13" s="1805">
        <v>8806</v>
      </c>
      <c r="K13" s="817">
        <v>6392</v>
      </c>
      <c r="L13" s="1806"/>
      <c r="M13" s="1802">
        <v>12432</v>
      </c>
      <c r="N13" s="511">
        <v>2581</v>
      </c>
      <c r="O13" s="511">
        <v>175</v>
      </c>
      <c r="P13" s="1803">
        <v>10</v>
      </c>
      <c r="Q13" s="512">
        <v>385</v>
      </c>
    </row>
    <row r="14" spans="1:17" s="512" customFormat="1" x14ac:dyDescent="0.3">
      <c r="A14" s="514" t="s">
        <v>27</v>
      </c>
      <c r="B14" s="510" t="s">
        <v>28</v>
      </c>
      <c r="C14" s="509" t="s">
        <v>253</v>
      </c>
      <c r="D14" s="1829">
        <v>440</v>
      </c>
      <c r="E14" s="1805">
        <v>188</v>
      </c>
      <c r="F14" s="817">
        <v>81</v>
      </c>
      <c r="G14" s="817">
        <v>131</v>
      </c>
      <c r="H14" s="817">
        <v>40</v>
      </c>
      <c r="I14" s="1806">
        <v>0</v>
      </c>
      <c r="J14" s="1805">
        <v>246</v>
      </c>
      <c r="K14" s="817">
        <v>194</v>
      </c>
      <c r="L14" s="1806"/>
      <c r="M14" s="1802">
        <v>418</v>
      </c>
      <c r="N14" s="511">
        <v>14</v>
      </c>
      <c r="O14" s="511">
        <v>6</v>
      </c>
      <c r="P14" s="1803">
        <v>2</v>
      </c>
      <c r="Q14" s="512">
        <v>8</v>
      </c>
    </row>
    <row r="15" spans="1:17" s="512" customFormat="1" x14ac:dyDescent="0.3">
      <c r="A15" s="514" t="s">
        <v>29</v>
      </c>
      <c r="B15" s="510" t="s">
        <v>736</v>
      </c>
      <c r="C15" s="509" t="s">
        <v>253</v>
      </c>
      <c r="D15" s="1829">
        <v>7609</v>
      </c>
      <c r="E15" s="1805">
        <v>3179</v>
      </c>
      <c r="F15" s="817">
        <v>1698</v>
      </c>
      <c r="G15" s="817">
        <v>2305</v>
      </c>
      <c r="H15" s="817">
        <v>427</v>
      </c>
      <c r="I15" s="1806">
        <v>0</v>
      </c>
      <c r="J15" s="1805">
        <v>4308</v>
      </c>
      <c r="K15" s="817">
        <v>3301</v>
      </c>
      <c r="L15" s="1806"/>
      <c r="M15" s="1802">
        <v>6202</v>
      </c>
      <c r="N15" s="511">
        <v>1305</v>
      </c>
      <c r="O15" s="511">
        <v>97</v>
      </c>
      <c r="P15" s="1803">
        <v>5</v>
      </c>
      <c r="Q15" s="512">
        <v>168</v>
      </c>
    </row>
    <row r="16" spans="1:17" s="512" customFormat="1" x14ac:dyDescent="0.3">
      <c r="A16" s="514" t="s">
        <v>30</v>
      </c>
      <c r="B16" s="510" t="s">
        <v>31</v>
      </c>
      <c r="C16" s="509" t="s">
        <v>256</v>
      </c>
      <c r="D16" s="1829">
        <v>656</v>
      </c>
      <c r="E16" s="1805">
        <v>219</v>
      </c>
      <c r="F16" s="817">
        <v>160</v>
      </c>
      <c r="G16" s="817">
        <v>229</v>
      </c>
      <c r="H16" s="817">
        <v>48</v>
      </c>
      <c r="I16" s="1806">
        <v>0</v>
      </c>
      <c r="J16" s="1805">
        <v>368</v>
      </c>
      <c r="K16" s="817">
        <v>288</v>
      </c>
      <c r="L16" s="1806"/>
      <c r="M16" s="1802">
        <v>638</v>
      </c>
      <c r="N16" s="511">
        <v>11</v>
      </c>
      <c r="O16" s="511">
        <v>4</v>
      </c>
      <c r="P16" s="1803">
        <v>3</v>
      </c>
      <c r="Q16" s="512">
        <v>1</v>
      </c>
    </row>
    <row r="17" spans="1:17" s="512" customFormat="1" x14ac:dyDescent="0.3">
      <c r="A17" s="514" t="s">
        <v>32</v>
      </c>
      <c r="B17" s="510" t="s">
        <v>33</v>
      </c>
      <c r="C17" s="509" t="s">
        <v>253</v>
      </c>
      <c r="D17" s="1829">
        <v>2199</v>
      </c>
      <c r="E17" s="1805">
        <v>977</v>
      </c>
      <c r="F17" s="817">
        <v>445</v>
      </c>
      <c r="G17" s="817">
        <v>639</v>
      </c>
      <c r="H17" s="817">
        <v>138</v>
      </c>
      <c r="I17" s="1806">
        <v>0</v>
      </c>
      <c r="J17" s="1805">
        <v>1224</v>
      </c>
      <c r="K17" s="817">
        <v>975</v>
      </c>
      <c r="L17" s="1806"/>
      <c r="M17" s="1802">
        <v>2021</v>
      </c>
      <c r="N17" s="511">
        <v>113</v>
      </c>
      <c r="O17" s="511">
        <v>64</v>
      </c>
      <c r="P17" s="1803">
        <v>1</v>
      </c>
      <c r="Q17" s="512">
        <v>99</v>
      </c>
    </row>
    <row r="18" spans="1:17" s="512" customFormat="1" x14ac:dyDescent="0.3">
      <c r="A18" s="514" t="s">
        <v>36</v>
      </c>
      <c r="B18" s="510" t="s">
        <v>37</v>
      </c>
      <c r="C18" s="509" t="s">
        <v>252</v>
      </c>
      <c r="D18" s="1829">
        <v>3873</v>
      </c>
      <c r="E18" s="1805">
        <v>1412</v>
      </c>
      <c r="F18" s="817">
        <v>881</v>
      </c>
      <c r="G18" s="817">
        <v>1151</v>
      </c>
      <c r="H18" s="817">
        <v>429</v>
      </c>
      <c r="I18" s="1806">
        <v>0</v>
      </c>
      <c r="J18" s="1805">
        <v>2181</v>
      </c>
      <c r="K18" s="817">
        <v>1692</v>
      </c>
      <c r="L18" s="1806"/>
      <c r="M18" s="1802">
        <v>1027</v>
      </c>
      <c r="N18" s="511">
        <v>2821</v>
      </c>
      <c r="O18" s="511">
        <v>24</v>
      </c>
      <c r="P18" s="1803">
        <v>1</v>
      </c>
      <c r="Q18" s="512">
        <v>42</v>
      </c>
    </row>
    <row r="19" spans="1:17" s="512" customFormat="1" x14ac:dyDescent="0.3">
      <c r="A19" s="514" t="s">
        <v>38</v>
      </c>
      <c r="B19" s="510" t="s">
        <v>39</v>
      </c>
      <c r="C19" s="509" t="s">
        <v>256</v>
      </c>
      <c r="D19" s="1829">
        <v>5478</v>
      </c>
      <c r="E19" s="1805">
        <v>1742</v>
      </c>
      <c r="F19" s="817">
        <v>1362</v>
      </c>
      <c r="G19" s="817">
        <v>2043</v>
      </c>
      <c r="H19" s="817">
        <v>331</v>
      </c>
      <c r="I19" s="1806">
        <v>0</v>
      </c>
      <c r="J19" s="1805">
        <v>3015</v>
      </c>
      <c r="K19" s="817">
        <v>2463</v>
      </c>
      <c r="L19" s="1806"/>
      <c r="M19" s="1802">
        <v>5430</v>
      </c>
      <c r="N19" s="511">
        <v>33</v>
      </c>
      <c r="O19" s="511">
        <v>15</v>
      </c>
      <c r="P19" s="1803">
        <v>0</v>
      </c>
      <c r="Q19" s="512">
        <v>21</v>
      </c>
    </row>
    <row r="20" spans="1:17" s="512" customFormat="1" x14ac:dyDescent="0.3">
      <c r="A20" s="514" t="s">
        <v>40</v>
      </c>
      <c r="B20" s="510" t="s">
        <v>41</v>
      </c>
      <c r="C20" s="509" t="s">
        <v>254</v>
      </c>
      <c r="D20" s="1829">
        <v>3333</v>
      </c>
      <c r="E20" s="1805">
        <v>1278</v>
      </c>
      <c r="F20" s="817">
        <v>719</v>
      </c>
      <c r="G20" s="817">
        <v>1033</v>
      </c>
      <c r="H20" s="817">
        <v>303</v>
      </c>
      <c r="I20" s="1806">
        <v>0</v>
      </c>
      <c r="J20" s="1805">
        <v>1858</v>
      </c>
      <c r="K20" s="817">
        <v>1475</v>
      </c>
      <c r="L20" s="1806"/>
      <c r="M20" s="1802">
        <v>1795</v>
      </c>
      <c r="N20" s="511">
        <v>1511</v>
      </c>
      <c r="O20" s="511">
        <v>21</v>
      </c>
      <c r="P20" s="1803">
        <v>6</v>
      </c>
      <c r="Q20" s="512">
        <v>44</v>
      </c>
    </row>
    <row r="21" spans="1:17" s="512" customFormat="1" x14ac:dyDescent="0.3">
      <c r="A21" s="514" t="s">
        <v>42</v>
      </c>
      <c r="B21" s="510" t="s">
        <v>43</v>
      </c>
      <c r="C21" s="509" t="s">
        <v>253</v>
      </c>
      <c r="D21" s="1829">
        <v>8405</v>
      </c>
      <c r="E21" s="1805">
        <v>3463</v>
      </c>
      <c r="F21" s="817">
        <v>1931</v>
      </c>
      <c r="G21" s="817">
        <v>2405</v>
      </c>
      <c r="H21" s="817">
        <v>600</v>
      </c>
      <c r="I21" s="1806">
        <v>6</v>
      </c>
      <c r="J21" s="1805">
        <v>4880</v>
      </c>
      <c r="K21" s="817">
        <v>3525</v>
      </c>
      <c r="L21" s="1806"/>
      <c r="M21" s="1802">
        <v>6059</v>
      </c>
      <c r="N21" s="511">
        <v>2205</v>
      </c>
      <c r="O21" s="511">
        <v>127</v>
      </c>
      <c r="P21" s="1803">
        <v>14</v>
      </c>
      <c r="Q21" s="512">
        <v>187</v>
      </c>
    </row>
    <row r="22" spans="1:17" s="512" customFormat="1" x14ac:dyDescent="0.3">
      <c r="A22" s="514" t="s">
        <v>44</v>
      </c>
      <c r="B22" s="510" t="s">
        <v>45</v>
      </c>
      <c r="C22" s="509" t="s">
        <v>254</v>
      </c>
      <c r="D22" s="1829">
        <v>4858</v>
      </c>
      <c r="E22" s="1805">
        <v>2070</v>
      </c>
      <c r="F22" s="817">
        <v>1037</v>
      </c>
      <c r="G22" s="817">
        <v>1413</v>
      </c>
      <c r="H22" s="817">
        <v>335</v>
      </c>
      <c r="I22" s="1806">
        <v>3</v>
      </c>
      <c r="J22" s="1805">
        <v>2834</v>
      </c>
      <c r="K22" s="817">
        <v>2024</v>
      </c>
      <c r="L22" s="1806"/>
      <c r="M22" s="1802">
        <v>2742</v>
      </c>
      <c r="N22" s="511">
        <v>1983</v>
      </c>
      <c r="O22" s="511">
        <v>127</v>
      </c>
      <c r="P22" s="1803">
        <v>6</v>
      </c>
      <c r="Q22" s="512">
        <v>141</v>
      </c>
    </row>
    <row r="23" spans="1:17" s="512" customFormat="1" x14ac:dyDescent="0.3">
      <c r="A23" s="514" t="s">
        <v>46</v>
      </c>
      <c r="B23" s="510" t="s">
        <v>47</v>
      </c>
      <c r="C23" s="509" t="s">
        <v>256</v>
      </c>
      <c r="D23" s="1829">
        <v>5510</v>
      </c>
      <c r="E23" s="1805">
        <v>1959</v>
      </c>
      <c r="F23" s="817">
        <v>1279</v>
      </c>
      <c r="G23" s="817">
        <v>1763</v>
      </c>
      <c r="H23" s="817">
        <v>509</v>
      </c>
      <c r="I23" s="1806">
        <v>0</v>
      </c>
      <c r="J23" s="1805">
        <v>3049</v>
      </c>
      <c r="K23" s="817">
        <v>2461</v>
      </c>
      <c r="L23" s="1806"/>
      <c r="M23" s="1802">
        <v>5378</v>
      </c>
      <c r="N23" s="511">
        <v>87</v>
      </c>
      <c r="O23" s="511">
        <v>42</v>
      </c>
      <c r="P23" s="1803">
        <v>3</v>
      </c>
      <c r="Q23" s="512">
        <v>96</v>
      </c>
    </row>
    <row r="24" spans="1:17" s="512" customFormat="1" x14ac:dyDescent="0.3">
      <c r="A24" s="514" t="s">
        <v>48</v>
      </c>
      <c r="B24" s="510" t="s">
        <v>257</v>
      </c>
      <c r="C24" s="509" t="s">
        <v>254</v>
      </c>
      <c r="D24" s="1829">
        <v>1091</v>
      </c>
      <c r="E24" s="1805">
        <v>400</v>
      </c>
      <c r="F24" s="817">
        <v>224</v>
      </c>
      <c r="G24" s="817">
        <v>373</v>
      </c>
      <c r="H24" s="817">
        <v>94</v>
      </c>
      <c r="I24" s="1806">
        <v>0</v>
      </c>
      <c r="J24" s="1805">
        <v>623</v>
      </c>
      <c r="K24" s="817">
        <v>468</v>
      </c>
      <c r="L24" s="1806"/>
      <c r="M24" s="1802">
        <v>410</v>
      </c>
      <c r="N24" s="511">
        <v>643</v>
      </c>
      <c r="O24" s="511">
        <v>36</v>
      </c>
      <c r="P24" s="1803">
        <v>2</v>
      </c>
      <c r="Q24" s="512">
        <v>3</v>
      </c>
    </row>
    <row r="25" spans="1:17" s="512" customFormat="1" x14ac:dyDescent="0.3">
      <c r="A25" s="514" t="s">
        <v>50</v>
      </c>
      <c r="B25" s="510" t="s">
        <v>51</v>
      </c>
      <c r="C25" s="509" t="s">
        <v>253</v>
      </c>
      <c r="D25" s="1829">
        <v>2536</v>
      </c>
      <c r="E25" s="1805">
        <v>998</v>
      </c>
      <c r="F25" s="817">
        <v>554</v>
      </c>
      <c r="G25" s="817">
        <v>725</v>
      </c>
      <c r="H25" s="817">
        <v>259</v>
      </c>
      <c r="I25" s="1806">
        <v>0</v>
      </c>
      <c r="J25" s="1805">
        <v>1439</v>
      </c>
      <c r="K25" s="817">
        <v>1097</v>
      </c>
      <c r="L25" s="1806"/>
      <c r="M25" s="1802">
        <v>1249</v>
      </c>
      <c r="N25" s="511">
        <v>1266</v>
      </c>
      <c r="O25" s="511">
        <v>21</v>
      </c>
      <c r="P25" s="1803">
        <v>0</v>
      </c>
      <c r="Q25" s="512">
        <v>42</v>
      </c>
    </row>
    <row r="26" spans="1:17" s="512" customFormat="1" x14ac:dyDescent="0.3">
      <c r="A26" s="514" t="s">
        <v>56</v>
      </c>
      <c r="B26" s="510" t="s">
        <v>283</v>
      </c>
      <c r="C26" s="509" t="s">
        <v>254</v>
      </c>
      <c r="D26" s="1829">
        <v>38552</v>
      </c>
      <c r="E26" s="1805">
        <v>19010</v>
      </c>
      <c r="F26" s="817">
        <v>8440</v>
      </c>
      <c r="G26" s="817">
        <v>9385</v>
      </c>
      <c r="H26" s="817">
        <v>1710</v>
      </c>
      <c r="I26" s="1806">
        <v>7</v>
      </c>
      <c r="J26" s="1805">
        <v>22756</v>
      </c>
      <c r="K26" s="817">
        <v>15796</v>
      </c>
      <c r="L26" s="1806"/>
      <c r="M26" s="1802">
        <v>19280</v>
      </c>
      <c r="N26" s="511">
        <v>17632</v>
      </c>
      <c r="O26" s="511">
        <v>1540</v>
      </c>
      <c r="P26" s="1803">
        <v>100</v>
      </c>
      <c r="Q26" s="512">
        <v>2939</v>
      </c>
    </row>
    <row r="27" spans="1:17" s="512" customFormat="1" x14ac:dyDescent="0.3">
      <c r="A27" s="514" t="s">
        <v>58</v>
      </c>
      <c r="B27" s="510" t="s">
        <v>59</v>
      </c>
      <c r="C27" s="509" t="s">
        <v>255</v>
      </c>
      <c r="D27" s="1829">
        <v>674</v>
      </c>
      <c r="E27" s="1805">
        <v>270</v>
      </c>
      <c r="F27" s="817">
        <v>121</v>
      </c>
      <c r="G27" s="817">
        <v>206</v>
      </c>
      <c r="H27" s="817">
        <v>77</v>
      </c>
      <c r="I27" s="1806">
        <v>0</v>
      </c>
      <c r="J27" s="1805">
        <v>385</v>
      </c>
      <c r="K27" s="817">
        <v>289</v>
      </c>
      <c r="L27" s="1806"/>
      <c r="M27" s="1802">
        <v>546</v>
      </c>
      <c r="N27" s="511">
        <v>115</v>
      </c>
      <c r="O27" s="511">
        <v>11</v>
      </c>
      <c r="P27" s="1803">
        <v>2</v>
      </c>
      <c r="Q27" s="512">
        <v>21</v>
      </c>
    </row>
    <row r="28" spans="1:17" s="512" customFormat="1" x14ac:dyDescent="0.3">
      <c r="A28" s="514" t="s">
        <v>60</v>
      </c>
      <c r="B28" s="510" t="s">
        <v>61</v>
      </c>
      <c r="C28" s="509" t="s">
        <v>253</v>
      </c>
      <c r="D28" s="1829">
        <v>656</v>
      </c>
      <c r="E28" s="1805">
        <v>243</v>
      </c>
      <c r="F28" s="817">
        <v>141</v>
      </c>
      <c r="G28" s="817">
        <v>218</v>
      </c>
      <c r="H28" s="817">
        <v>54</v>
      </c>
      <c r="I28" s="1806">
        <v>0</v>
      </c>
      <c r="J28" s="1805">
        <v>358</v>
      </c>
      <c r="K28" s="817">
        <v>298</v>
      </c>
      <c r="L28" s="1806"/>
      <c r="M28" s="1802">
        <v>646</v>
      </c>
      <c r="N28" s="511">
        <v>5</v>
      </c>
      <c r="O28" s="511">
        <v>5</v>
      </c>
      <c r="P28" s="1803">
        <v>0</v>
      </c>
      <c r="Q28" s="512">
        <v>1</v>
      </c>
    </row>
    <row r="29" spans="1:17" s="512" customFormat="1" x14ac:dyDescent="0.3">
      <c r="A29" s="514" t="s">
        <v>62</v>
      </c>
      <c r="B29" s="510" t="s">
        <v>63</v>
      </c>
      <c r="C29" s="509" t="s">
        <v>255</v>
      </c>
      <c r="D29" s="1829">
        <v>5902</v>
      </c>
      <c r="E29" s="1805">
        <v>2731</v>
      </c>
      <c r="F29" s="817">
        <v>1222</v>
      </c>
      <c r="G29" s="817">
        <v>1527</v>
      </c>
      <c r="H29" s="817">
        <v>422</v>
      </c>
      <c r="I29" s="1806">
        <v>0</v>
      </c>
      <c r="J29" s="1805">
        <v>3381</v>
      </c>
      <c r="K29" s="817">
        <v>2521</v>
      </c>
      <c r="L29" s="1806"/>
      <c r="M29" s="1802">
        <v>3855</v>
      </c>
      <c r="N29" s="511">
        <v>1904</v>
      </c>
      <c r="O29" s="511">
        <v>139</v>
      </c>
      <c r="P29" s="1803">
        <v>4</v>
      </c>
      <c r="Q29" s="512">
        <v>315</v>
      </c>
    </row>
    <row r="30" spans="1:17" s="512" customFormat="1" x14ac:dyDescent="0.3">
      <c r="A30" s="514" t="s">
        <v>64</v>
      </c>
      <c r="B30" s="510" t="s">
        <v>65</v>
      </c>
      <c r="C30" s="509" t="s">
        <v>254</v>
      </c>
      <c r="D30" s="1829">
        <v>2336</v>
      </c>
      <c r="E30" s="1805">
        <v>927</v>
      </c>
      <c r="F30" s="817">
        <v>536</v>
      </c>
      <c r="G30" s="817">
        <v>674</v>
      </c>
      <c r="H30" s="817">
        <v>199</v>
      </c>
      <c r="I30" s="1806">
        <v>0</v>
      </c>
      <c r="J30" s="1805">
        <v>1358</v>
      </c>
      <c r="K30" s="817">
        <v>978</v>
      </c>
      <c r="L30" s="1806"/>
      <c r="M30" s="1802">
        <v>1179</v>
      </c>
      <c r="N30" s="511">
        <v>1137</v>
      </c>
      <c r="O30" s="511">
        <v>18</v>
      </c>
      <c r="P30" s="1803">
        <v>2</v>
      </c>
      <c r="Q30" s="512">
        <v>43</v>
      </c>
    </row>
    <row r="31" spans="1:17" s="512" customFormat="1" x14ac:dyDescent="0.3">
      <c r="A31" s="514" t="s">
        <v>68</v>
      </c>
      <c r="B31" s="510" t="s">
        <v>69</v>
      </c>
      <c r="C31" s="509" t="s">
        <v>256</v>
      </c>
      <c r="D31" s="1829">
        <v>3609</v>
      </c>
      <c r="E31" s="1805">
        <v>1208</v>
      </c>
      <c r="F31" s="817">
        <v>892</v>
      </c>
      <c r="G31" s="817">
        <v>1275</v>
      </c>
      <c r="H31" s="817">
        <v>234</v>
      </c>
      <c r="I31" s="1806">
        <v>0</v>
      </c>
      <c r="J31" s="1805">
        <v>1945</v>
      </c>
      <c r="K31" s="817">
        <v>1664</v>
      </c>
      <c r="L31" s="1806"/>
      <c r="M31" s="1802">
        <v>3564</v>
      </c>
      <c r="N31" s="511">
        <v>31</v>
      </c>
      <c r="O31" s="511">
        <v>12</v>
      </c>
      <c r="P31" s="1803">
        <v>2</v>
      </c>
      <c r="Q31" s="512">
        <v>6</v>
      </c>
    </row>
    <row r="32" spans="1:17" s="512" customFormat="1" x14ac:dyDescent="0.3">
      <c r="A32" s="514" t="s">
        <v>70</v>
      </c>
      <c r="B32" s="510" t="s">
        <v>71</v>
      </c>
      <c r="C32" s="509" t="s">
        <v>252</v>
      </c>
      <c r="D32" s="1829">
        <v>5196</v>
      </c>
      <c r="E32" s="1805">
        <v>2204</v>
      </c>
      <c r="F32" s="817">
        <v>1163</v>
      </c>
      <c r="G32" s="817">
        <v>1538</v>
      </c>
      <c r="H32" s="817">
        <v>291</v>
      </c>
      <c r="I32" s="1806">
        <v>0</v>
      </c>
      <c r="J32" s="1805">
        <v>2981</v>
      </c>
      <c r="K32" s="817">
        <v>2215</v>
      </c>
      <c r="L32" s="1806"/>
      <c r="M32" s="1802">
        <v>2907</v>
      </c>
      <c r="N32" s="511">
        <v>2194</v>
      </c>
      <c r="O32" s="511">
        <v>78</v>
      </c>
      <c r="P32" s="1803">
        <v>17</v>
      </c>
      <c r="Q32" s="512">
        <v>180</v>
      </c>
    </row>
    <row r="33" spans="1:17" s="512" customFormat="1" x14ac:dyDescent="0.3">
      <c r="A33" s="514" t="s">
        <v>72</v>
      </c>
      <c r="B33" s="510" t="s">
        <v>73</v>
      </c>
      <c r="C33" s="509" t="s">
        <v>254</v>
      </c>
      <c r="D33" s="1829">
        <v>2479</v>
      </c>
      <c r="E33" s="1805">
        <v>1033</v>
      </c>
      <c r="F33" s="817">
        <v>596</v>
      </c>
      <c r="G33" s="817">
        <v>698</v>
      </c>
      <c r="H33" s="817">
        <v>151</v>
      </c>
      <c r="I33" s="1806">
        <v>1</v>
      </c>
      <c r="J33" s="1805">
        <v>1467</v>
      </c>
      <c r="K33" s="817">
        <v>1012</v>
      </c>
      <c r="L33" s="1806"/>
      <c r="M33" s="1802">
        <v>832</v>
      </c>
      <c r="N33" s="511">
        <v>1602</v>
      </c>
      <c r="O33" s="511">
        <v>37</v>
      </c>
      <c r="P33" s="1803">
        <v>8</v>
      </c>
      <c r="Q33" s="512">
        <v>59</v>
      </c>
    </row>
    <row r="34" spans="1:17" s="512" customFormat="1" x14ac:dyDescent="0.3">
      <c r="A34" s="514" t="s">
        <v>74</v>
      </c>
      <c r="B34" s="510" t="s">
        <v>284</v>
      </c>
      <c r="C34" s="509" t="s">
        <v>255</v>
      </c>
      <c r="D34" s="1829">
        <v>54959</v>
      </c>
      <c r="E34" s="1805">
        <v>27103</v>
      </c>
      <c r="F34" s="817">
        <v>7409</v>
      </c>
      <c r="G34" s="817">
        <v>11611</v>
      </c>
      <c r="H34" s="817">
        <v>8833</v>
      </c>
      <c r="I34" s="1806">
        <v>3</v>
      </c>
      <c r="J34" s="1805">
        <v>31066</v>
      </c>
      <c r="K34" s="817">
        <v>23893</v>
      </c>
      <c r="L34" s="1806"/>
      <c r="M34" s="1802">
        <v>30597</v>
      </c>
      <c r="N34" s="511">
        <v>13995</v>
      </c>
      <c r="O34" s="511">
        <v>10305</v>
      </c>
      <c r="P34" s="1803">
        <v>62</v>
      </c>
      <c r="Q34" s="512">
        <v>6783</v>
      </c>
    </row>
    <row r="35" spans="1:17" s="512" customFormat="1" x14ac:dyDescent="0.3">
      <c r="A35" s="514" t="s">
        <v>76</v>
      </c>
      <c r="B35" s="510" t="s">
        <v>77</v>
      </c>
      <c r="C35" s="509" t="s">
        <v>255</v>
      </c>
      <c r="D35" s="1829">
        <v>4220</v>
      </c>
      <c r="E35" s="1805">
        <v>1915</v>
      </c>
      <c r="F35" s="817">
        <v>863</v>
      </c>
      <c r="G35" s="817">
        <v>1115</v>
      </c>
      <c r="H35" s="817">
        <v>327</v>
      </c>
      <c r="I35" s="1806">
        <v>0</v>
      </c>
      <c r="J35" s="1805">
        <v>2422</v>
      </c>
      <c r="K35" s="817">
        <v>1798</v>
      </c>
      <c r="L35" s="1806"/>
      <c r="M35" s="1802">
        <v>2938</v>
      </c>
      <c r="N35" s="511">
        <v>1159</v>
      </c>
      <c r="O35" s="511">
        <v>116</v>
      </c>
      <c r="P35" s="1803">
        <v>7</v>
      </c>
      <c r="Q35" s="512">
        <v>159</v>
      </c>
    </row>
    <row r="36" spans="1:17" s="512" customFormat="1" x14ac:dyDescent="0.3">
      <c r="A36" s="514" t="s">
        <v>78</v>
      </c>
      <c r="B36" s="510" t="s">
        <v>79</v>
      </c>
      <c r="C36" s="509" t="s">
        <v>256</v>
      </c>
      <c r="D36" s="1829">
        <v>2210</v>
      </c>
      <c r="E36" s="1805">
        <v>847</v>
      </c>
      <c r="F36" s="817">
        <v>479</v>
      </c>
      <c r="G36" s="817">
        <v>707</v>
      </c>
      <c r="H36" s="817">
        <v>177</v>
      </c>
      <c r="I36" s="1806">
        <v>0</v>
      </c>
      <c r="J36" s="1805">
        <v>1214</v>
      </c>
      <c r="K36" s="817">
        <v>996</v>
      </c>
      <c r="L36" s="1806"/>
      <c r="M36" s="1802">
        <v>2082</v>
      </c>
      <c r="N36" s="511">
        <v>95</v>
      </c>
      <c r="O36" s="511">
        <v>32</v>
      </c>
      <c r="P36" s="1803">
        <v>1</v>
      </c>
      <c r="Q36" s="512">
        <v>94</v>
      </c>
    </row>
    <row r="37" spans="1:17" s="512" customFormat="1" x14ac:dyDescent="0.3">
      <c r="A37" s="514" t="s">
        <v>80</v>
      </c>
      <c r="B37" s="510" t="s">
        <v>81</v>
      </c>
      <c r="C37" s="509" t="s">
        <v>254</v>
      </c>
      <c r="D37" s="1829">
        <v>1965</v>
      </c>
      <c r="E37" s="1805">
        <v>862</v>
      </c>
      <c r="F37" s="817">
        <v>411</v>
      </c>
      <c r="G37" s="817">
        <v>540</v>
      </c>
      <c r="H37" s="817">
        <v>152</v>
      </c>
      <c r="I37" s="1806">
        <v>0</v>
      </c>
      <c r="J37" s="1805">
        <v>1130</v>
      </c>
      <c r="K37" s="817">
        <v>835</v>
      </c>
      <c r="L37" s="1806"/>
      <c r="M37" s="1802">
        <v>1284</v>
      </c>
      <c r="N37" s="511">
        <v>662</v>
      </c>
      <c r="O37" s="511">
        <v>19</v>
      </c>
      <c r="P37" s="1803">
        <v>0</v>
      </c>
      <c r="Q37" s="512">
        <v>50</v>
      </c>
    </row>
    <row r="38" spans="1:17" s="512" customFormat="1" x14ac:dyDescent="0.3">
      <c r="A38" s="514" t="s">
        <v>84</v>
      </c>
      <c r="B38" s="510" t="s">
        <v>85</v>
      </c>
      <c r="C38" s="509" t="s">
        <v>253</v>
      </c>
      <c r="D38" s="1829">
        <v>8036</v>
      </c>
      <c r="E38" s="1805">
        <v>3366</v>
      </c>
      <c r="F38" s="817">
        <v>1753</v>
      </c>
      <c r="G38" s="817">
        <v>2356</v>
      </c>
      <c r="H38" s="817">
        <v>560</v>
      </c>
      <c r="I38" s="1806">
        <v>1</v>
      </c>
      <c r="J38" s="1805">
        <v>4559</v>
      </c>
      <c r="K38" s="817">
        <v>3477</v>
      </c>
      <c r="L38" s="1806"/>
      <c r="M38" s="1802">
        <v>6755</v>
      </c>
      <c r="N38" s="511">
        <v>1147</v>
      </c>
      <c r="O38" s="511">
        <v>118</v>
      </c>
      <c r="P38" s="1803">
        <v>16</v>
      </c>
      <c r="Q38" s="512">
        <v>205</v>
      </c>
    </row>
    <row r="39" spans="1:17" s="512" customFormat="1" x14ac:dyDescent="0.3">
      <c r="A39" s="514" t="s">
        <v>86</v>
      </c>
      <c r="B39" s="510" t="s">
        <v>87</v>
      </c>
      <c r="C39" s="509" t="s">
        <v>255</v>
      </c>
      <c r="D39" s="1829">
        <v>6713</v>
      </c>
      <c r="E39" s="1805">
        <v>3165</v>
      </c>
      <c r="F39" s="817">
        <v>1422</v>
      </c>
      <c r="G39" s="817">
        <v>1724</v>
      </c>
      <c r="H39" s="817">
        <v>402</v>
      </c>
      <c r="I39" s="1806">
        <v>0</v>
      </c>
      <c r="J39" s="1805">
        <v>3879</v>
      </c>
      <c r="K39" s="817">
        <v>2834</v>
      </c>
      <c r="L39" s="1806"/>
      <c r="M39" s="1802">
        <v>5825</v>
      </c>
      <c r="N39" s="511">
        <v>750</v>
      </c>
      <c r="O39" s="511">
        <v>132</v>
      </c>
      <c r="P39" s="1803">
        <v>6</v>
      </c>
      <c r="Q39" s="512">
        <v>613</v>
      </c>
    </row>
    <row r="40" spans="1:17" s="512" customFormat="1" x14ac:dyDescent="0.3">
      <c r="A40" s="514" t="s">
        <v>92</v>
      </c>
      <c r="B40" s="510" t="s">
        <v>93</v>
      </c>
      <c r="C40" s="509" t="s">
        <v>256</v>
      </c>
      <c r="D40" s="1829">
        <v>2563</v>
      </c>
      <c r="E40" s="1805">
        <v>963</v>
      </c>
      <c r="F40" s="817">
        <v>590</v>
      </c>
      <c r="G40" s="817">
        <v>794</v>
      </c>
      <c r="H40" s="817">
        <v>216</v>
      </c>
      <c r="I40" s="1806">
        <v>0</v>
      </c>
      <c r="J40" s="1805">
        <v>1455</v>
      </c>
      <c r="K40" s="817">
        <v>1108</v>
      </c>
      <c r="L40" s="1806"/>
      <c r="M40" s="1802">
        <v>2472</v>
      </c>
      <c r="N40" s="511">
        <v>76</v>
      </c>
      <c r="O40" s="511">
        <v>14</v>
      </c>
      <c r="P40" s="1803">
        <v>1</v>
      </c>
      <c r="Q40" s="512">
        <v>27</v>
      </c>
    </row>
    <row r="41" spans="1:17" s="512" customFormat="1" x14ac:dyDescent="0.3">
      <c r="A41" s="514" t="s">
        <v>94</v>
      </c>
      <c r="B41" s="510" t="s">
        <v>95</v>
      </c>
      <c r="C41" s="509" t="s">
        <v>252</v>
      </c>
      <c r="D41" s="1829">
        <v>4427</v>
      </c>
      <c r="E41" s="1805">
        <v>1743</v>
      </c>
      <c r="F41" s="817">
        <v>983</v>
      </c>
      <c r="G41" s="817">
        <v>1421</v>
      </c>
      <c r="H41" s="817">
        <v>280</v>
      </c>
      <c r="I41" s="1806">
        <v>0</v>
      </c>
      <c r="J41" s="1805">
        <v>2479</v>
      </c>
      <c r="K41" s="817">
        <v>1948</v>
      </c>
      <c r="L41" s="1806"/>
      <c r="M41" s="1802">
        <v>3607</v>
      </c>
      <c r="N41" s="511">
        <v>735</v>
      </c>
      <c r="O41" s="511">
        <v>85</v>
      </c>
      <c r="P41" s="1803">
        <v>0</v>
      </c>
      <c r="Q41" s="512">
        <v>121</v>
      </c>
    </row>
    <row r="42" spans="1:17" s="512" customFormat="1" x14ac:dyDescent="0.3">
      <c r="A42" s="514" t="s">
        <v>96</v>
      </c>
      <c r="B42" s="510" t="s">
        <v>97</v>
      </c>
      <c r="C42" s="509" t="s">
        <v>254</v>
      </c>
      <c r="D42" s="1829">
        <v>1371</v>
      </c>
      <c r="E42" s="1805">
        <v>537</v>
      </c>
      <c r="F42" s="817">
        <v>274</v>
      </c>
      <c r="G42" s="817">
        <v>448</v>
      </c>
      <c r="H42" s="817">
        <v>111</v>
      </c>
      <c r="I42" s="1806">
        <v>1</v>
      </c>
      <c r="J42" s="1805">
        <v>783</v>
      </c>
      <c r="K42" s="817">
        <v>588</v>
      </c>
      <c r="L42" s="1806"/>
      <c r="M42" s="1802">
        <v>805</v>
      </c>
      <c r="N42" s="511">
        <v>538</v>
      </c>
      <c r="O42" s="511">
        <v>27</v>
      </c>
      <c r="P42" s="1803">
        <v>1</v>
      </c>
      <c r="Q42" s="512">
        <v>81</v>
      </c>
    </row>
    <row r="43" spans="1:17" s="512" customFormat="1" x14ac:dyDescent="0.3">
      <c r="A43" s="514" t="s">
        <v>98</v>
      </c>
      <c r="B43" s="510" t="s">
        <v>99</v>
      </c>
      <c r="C43" s="509" t="s">
        <v>256</v>
      </c>
      <c r="D43" s="1829">
        <v>2956</v>
      </c>
      <c r="E43" s="1805">
        <v>1092</v>
      </c>
      <c r="F43" s="817">
        <v>669</v>
      </c>
      <c r="G43" s="817">
        <v>907</v>
      </c>
      <c r="H43" s="817">
        <v>286</v>
      </c>
      <c r="I43" s="1806">
        <v>2</v>
      </c>
      <c r="J43" s="1805">
        <v>1652</v>
      </c>
      <c r="K43" s="817">
        <v>1304</v>
      </c>
      <c r="L43" s="1806"/>
      <c r="M43" s="1802">
        <v>2806</v>
      </c>
      <c r="N43" s="511">
        <v>127</v>
      </c>
      <c r="O43" s="511">
        <v>23</v>
      </c>
      <c r="P43" s="1803">
        <v>0</v>
      </c>
      <c r="Q43" s="512">
        <v>84</v>
      </c>
    </row>
    <row r="44" spans="1:17" s="512" customFormat="1" x14ac:dyDescent="0.3">
      <c r="A44" s="514" t="s">
        <v>100</v>
      </c>
      <c r="B44" s="510" t="s">
        <v>101</v>
      </c>
      <c r="C44" s="509" t="s">
        <v>255</v>
      </c>
      <c r="D44" s="1829">
        <v>2400</v>
      </c>
      <c r="E44" s="1805">
        <v>1118</v>
      </c>
      <c r="F44" s="817">
        <v>469</v>
      </c>
      <c r="G44" s="817">
        <v>681</v>
      </c>
      <c r="H44" s="817">
        <v>132</v>
      </c>
      <c r="I44" s="1806">
        <v>0</v>
      </c>
      <c r="J44" s="1805">
        <v>1356</v>
      </c>
      <c r="K44" s="817">
        <v>1044</v>
      </c>
      <c r="L44" s="1806"/>
      <c r="M44" s="1802">
        <v>1930</v>
      </c>
      <c r="N44" s="511">
        <v>439</v>
      </c>
      <c r="O44" s="511">
        <v>30</v>
      </c>
      <c r="P44" s="1803">
        <v>1</v>
      </c>
      <c r="Q44" s="512">
        <v>51</v>
      </c>
    </row>
    <row r="45" spans="1:17" s="512" customFormat="1" x14ac:dyDescent="0.3">
      <c r="A45" s="514" t="s">
        <v>102</v>
      </c>
      <c r="B45" s="510" t="s">
        <v>270</v>
      </c>
      <c r="C45" s="509" t="s">
        <v>252</v>
      </c>
      <c r="D45" s="1829">
        <v>4512</v>
      </c>
      <c r="E45" s="1805">
        <v>1922</v>
      </c>
      <c r="F45" s="817">
        <v>1066</v>
      </c>
      <c r="G45" s="817">
        <v>1199</v>
      </c>
      <c r="H45" s="817">
        <v>325</v>
      </c>
      <c r="I45" s="1806">
        <v>0</v>
      </c>
      <c r="J45" s="1805">
        <v>2653</v>
      </c>
      <c r="K45" s="817">
        <v>1859</v>
      </c>
      <c r="L45" s="1806"/>
      <c r="M45" s="1802">
        <v>641</v>
      </c>
      <c r="N45" s="511">
        <v>3796</v>
      </c>
      <c r="O45" s="511">
        <v>74</v>
      </c>
      <c r="P45" s="1803">
        <v>1</v>
      </c>
      <c r="Q45" s="512">
        <v>130</v>
      </c>
    </row>
    <row r="46" spans="1:17" s="512" customFormat="1" x14ac:dyDescent="0.3">
      <c r="A46" s="514" t="s">
        <v>104</v>
      </c>
      <c r="B46" s="510" t="s">
        <v>105</v>
      </c>
      <c r="C46" s="509" t="s">
        <v>253</v>
      </c>
      <c r="D46" s="1829">
        <v>7502</v>
      </c>
      <c r="E46" s="1805">
        <v>2924</v>
      </c>
      <c r="F46" s="817">
        <v>1756</v>
      </c>
      <c r="G46" s="817">
        <v>2122</v>
      </c>
      <c r="H46" s="817">
        <v>698</v>
      </c>
      <c r="I46" s="1806">
        <v>2</v>
      </c>
      <c r="J46" s="1805">
        <v>4296</v>
      </c>
      <c r="K46" s="817">
        <v>3206</v>
      </c>
      <c r="L46" s="1806"/>
      <c r="M46" s="1802">
        <v>3040</v>
      </c>
      <c r="N46" s="511">
        <v>4369</v>
      </c>
      <c r="O46" s="511">
        <v>88</v>
      </c>
      <c r="P46" s="1803">
        <v>5</v>
      </c>
      <c r="Q46" s="512">
        <v>132</v>
      </c>
    </row>
    <row r="47" spans="1:17" s="512" customFormat="1" x14ac:dyDescent="0.3">
      <c r="A47" s="514" t="s">
        <v>108</v>
      </c>
      <c r="B47" s="510" t="s">
        <v>109</v>
      </c>
      <c r="C47" s="509" t="s">
        <v>254</v>
      </c>
      <c r="D47" s="1829">
        <v>6255</v>
      </c>
      <c r="E47" s="1805">
        <v>2736</v>
      </c>
      <c r="F47" s="817">
        <v>1326</v>
      </c>
      <c r="G47" s="817">
        <v>1778</v>
      </c>
      <c r="H47" s="817">
        <v>414</v>
      </c>
      <c r="I47" s="1806">
        <v>1</v>
      </c>
      <c r="J47" s="1805">
        <v>3635</v>
      </c>
      <c r="K47" s="817">
        <v>2620</v>
      </c>
      <c r="L47" s="1806"/>
      <c r="M47" s="1802">
        <v>4307</v>
      </c>
      <c r="N47" s="511">
        <v>1775</v>
      </c>
      <c r="O47" s="511">
        <v>169</v>
      </c>
      <c r="P47" s="1803">
        <v>4</v>
      </c>
      <c r="Q47" s="512">
        <v>221</v>
      </c>
    </row>
    <row r="48" spans="1:17" s="512" customFormat="1" x14ac:dyDescent="0.3">
      <c r="A48" s="514" t="s">
        <v>110</v>
      </c>
      <c r="B48" s="510" t="s">
        <v>111</v>
      </c>
      <c r="C48" s="509" t="s">
        <v>254</v>
      </c>
      <c r="D48" s="1829">
        <v>41251</v>
      </c>
      <c r="E48" s="1805">
        <v>19197</v>
      </c>
      <c r="F48" s="817">
        <v>9236</v>
      </c>
      <c r="G48" s="817">
        <v>10383</v>
      </c>
      <c r="H48" s="817">
        <v>2432</v>
      </c>
      <c r="I48" s="1806">
        <v>3</v>
      </c>
      <c r="J48" s="1805">
        <v>24453</v>
      </c>
      <c r="K48" s="817">
        <v>16798</v>
      </c>
      <c r="L48" s="1806"/>
      <c r="M48" s="1802">
        <v>13106</v>
      </c>
      <c r="N48" s="511">
        <v>25396</v>
      </c>
      <c r="O48" s="511">
        <v>2666</v>
      </c>
      <c r="P48" s="1803">
        <v>83</v>
      </c>
      <c r="Q48" s="512">
        <v>1546</v>
      </c>
    </row>
    <row r="49" spans="1:17" s="512" customFormat="1" x14ac:dyDescent="0.3">
      <c r="A49" s="514" t="s">
        <v>112</v>
      </c>
      <c r="B49" s="510" t="s">
        <v>288</v>
      </c>
      <c r="C49" s="509" t="s">
        <v>253</v>
      </c>
      <c r="D49" s="1829">
        <v>17053</v>
      </c>
      <c r="E49" s="1805">
        <v>6723</v>
      </c>
      <c r="F49" s="817">
        <v>3927</v>
      </c>
      <c r="G49" s="817">
        <v>5261</v>
      </c>
      <c r="H49" s="817">
        <v>1141</v>
      </c>
      <c r="I49" s="1806">
        <v>1</v>
      </c>
      <c r="J49" s="1805">
        <v>9579</v>
      </c>
      <c r="K49" s="817">
        <v>7474</v>
      </c>
      <c r="L49" s="1806"/>
      <c r="M49" s="1802">
        <v>10268</v>
      </c>
      <c r="N49" s="511">
        <v>6657</v>
      </c>
      <c r="O49" s="511">
        <v>120</v>
      </c>
      <c r="P49" s="1803">
        <v>8</v>
      </c>
      <c r="Q49" s="512">
        <v>1049</v>
      </c>
    </row>
    <row r="50" spans="1:17" s="512" customFormat="1" x14ac:dyDescent="0.3">
      <c r="A50" s="514" t="s">
        <v>114</v>
      </c>
      <c r="B50" s="510" t="s">
        <v>115</v>
      </c>
      <c r="C50" s="509" t="s">
        <v>253</v>
      </c>
      <c r="D50" s="1829">
        <v>141</v>
      </c>
      <c r="E50" s="1805">
        <v>43</v>
      </c>
      <c r="F50" s="817">
        <v>26</v>
      </c>
      <c r="G50" s="817">
        <v>57</v>
      </c>
      <c r="H50" s="817">
        <v>15</v>
      </c>
      <c r="I50" s="1806">
        <v>0</v>
      </c>
      <c r="J50" s="1805">
        <v>81</v>
      </c>
      <c r="K50" s="817">
        <v>60</v>
      </c>
      <c r="L50" s="1806"/>
      <c r="M50" s="1802">
        <v>138</v>
      </c>
      <c r="N50" s="511">
        <v>1</v>
      </c>
      <c r="O50" s="511">
        <v>2</v>
      </c>
      <c r="P50" s="1803">
        <v>0</v>
      </c>
    </row>
    <row r="51" spans="1:17" s="512" customFormat="1" x14ac:dyDescent="0.3">
      <c r="A51" s="514" t="s">
        <v>118</v>
      </c>
      <c r="B51" s="510" t="s">
        <v>258</v>
      </c>
      <c r="C51" s="509" t="s">
        <v>252</v>
      </c>
      <c r="D51" s="1829">
        <v>4257</v>
      </c>
      <c r="E51" s="1805">
        <v>1726</v>
      </c>
      <c r="F51" s="817">
        <v>907</v>
      </c>
      <c r="G51" s="817">
        <v>1278</v>
      </c>
      <c r="H51" s="817">
        <v>346</v>
      </c>
      <c r="I51" s="1806">
        <v>0</v>
      </c>
      <c r="J51" s="1805">
        <v>2467</v>
      </c>
      <c r="K51" s="817">
        <v>1790</v>
      </c>
      <c r="L51" s="1806"/>
      <c r="M51" s="1802">
        <v>1880</v>
      </c>
      <c r="N51" s="511">
        <v>2310</v>
      </c>
      <c r="O51" s="511">
        <v>63</v>
      </c>
      <c r="P51" s="1803">
        <v>4</v>
      </c>
      <c r="Q51" s="512">
        <v>91</v>
      </c>
    </row>
    <row r="52" spans="1:17" s="512" customFormat="1" x14ac:dyDescent="0.3">
      <c r="A52" s="514" t="s">
        <v>120</v>
      </c>
      <c r="B52" s="510" t="s">
        <v>121</v>
      </c>
      <c r="C52" s="509" t="s">
        <v>252</v>
      </c>
      <c r="D52" s="1829">
        <v>5398</v>
      </c>
      <c r="E52" s="1805">
        <v>2553</v>
      </c>
      <c r="F52" s="817">
        <v>1158</v>
      </c>
      <c r="G52" s="817">
        <v>1419</v>
      </c>
      <c r="H52" s="817">
        <v>268</v>
      </c>
      <c r="I52" s="1806">
        <v>0</v>
      </c>
      <c r="J52" s="1805">
        <v>3147</v>
      </c>
      <c r="K52" s="817">
        <v>2251</v>
      </c>
      <c r="L52" s="1806"/>
      <c r="M52" s="1802">
        <v>2737</v>
      </c>
      <c r="N52" s="511">
        <v>2454</v>
      </c>
      <c r="O52" s="511">
        <v>199</v>
      </c>
      <c r="P52" s="1803">
        <v>8</v>
      </c>
      <c r="Q52" s="512">
        <v>395</v>
      </c>
    </row>
    <row r="53" spans="1:17" s="512" customFormat="1" x14ac:dyDescent="0.3">
      <c r="A53" s="514" t="s">
        <v>122</v>
      </c>
      <c r="B53" s="510" t="s">
        <v>275</v>
      </c>
      <c r="C53" s="509" t="s">
        <v>254</v>
      </c>
      <c r="D53" s="1829">
        <v>1232</v>
      </c>
      <c r="E53" s="1805">
        <v>488</v>
      </c>
      <c r="F53" s="817">
        <v>260</v>
      </c>
      <c r="G53" s="817">
        <v>371</v>
      </c>
      <c r="H53" s="817">
        <v>113</v>
      </c>
      <c r="I53" s="1806">
        <v>0</v>
      </c>
      <c r="J53" s="1805">
        <v>728</v>
      </c>
      <c r="K53" s="817">
        <v>504</v>
      </c>
      <c r="L53" s="1806"/>
      <c r="M53" s="1802">
        <v>678</v>
      </c>
      <c r="N53" s="511">
        <v>525</v>
      </c>
      <c r="O53" s="511">
        <v>28</v>
      </c>
      <c r="P53" s="1803">
        <v>1</v>
      </c>
      <c r="Q53" s="512">
        <v>22</v>
      </c>
    </row>
    <row r="54" spans="1:17" s="512" customFormat="1" x14ac:dyDescent="0.3">
      <c r="A54" s="514" t="s">
        <v>124</v>
      </c>
      <c r="B54" s="510" t="s">
        <v>125</v>
      </c>
      <c r="C54" s="509" t="s">
        <v>255</v>
      </c>
      <c r="D54" s="1829">
        <v>2912</v>
      </c>
      <c r="E54" s="1805">
        <v>1302</v>
      </c>
      <c r="F54" s="817">
        <v>673</v>
      </c>
      <c r="G54" s="817">
        <v>768</v>
      </c>
      <c r="H54" s="817">
        <v>169</v>
      </c>
      <c r="I54" s="1806">
        <v>0</v>
      </c>
      <c r="J54" s="1805">
        <v>1710</v>
      </c>
      <c r="K54" s="817">
        <v>1202</v>
      </c>
      <c r="L54" s="1806"/>
      <c r="M54" s="1802">
        <v>1737</v>
      </c>
      <c r="N54" s="511">
        <v>1122</v>
      </c>
      <c r="O54" s="511">
        <v>53</v>
      </c>
      <c r="P54" s="1803">
        <v>0</v>
      </c>
      <c r="Q54" s="512">
        <v>72</v>
      </c>
    </row>
    <row r="55" spans="1:17" s="512" customFormat="1" x14ac:dyDescent="0.3">
      <c r="A55" s="514" t="s">
        <v>126</v>
      </c>
      <c r="B55" s="510" t="s">
        <v>127</v>
      </c>
      <c r="C55" s="509" t="s">
        <v>254</v>
      </c>
      <c r="D55" s="1829">
        <v>1847</v>
      </c>
      <c r="E55" s="1805">
        <v>810</v>
      </c>
      <c r="F55" s="817">
        <v>380</v>
      </c>
      <c r="G55" s="817">
        <v>535</v>
      </c>
      <c r="H55" s="817">
        <v>121</v>
      </c>
      <c r="I55" s="1806">
        <v>1</v>
      </c>
      <c r="J55" s="1805">
        <v>1104</v>
      </c>
      <c r="K55" s="817">
        <v>743</v>
      </c>
      <c r="L55" s="1806"/>
      <c r="M55" s="1802">
        <v>1063</v>
      </c>
      <c r="N55" s="511">
        <v>721</v>
      </c>
      <c r="O55" s="511">
        <v>57</v>
      </c>
      <c r="P55" s="1803">
        <v>6</v>
      </c>
      <c r="Q55" s="512">
        <v>49</v>
      </c>
    </row>
    <row r="56" spans="1:17" s="512" customFormat="1" x14ac:dyDescent="0.3">
      <c r="A56" s="514" t="s">
        <v>128</v>
      </c>
      <c r="B56" s="510" t="s">
        <v>129</v>
      </c>
      <c r="C56" s="509" t="s">
        <v>254</v>
      </c>
      <c r="D56" s="1829">
        <v>1833</v>
      </c>
      <c r="E56" s="1805">
        <v>746</v>
      </c>
      <c r="F56" s="817">
        <v>425</v>
      </c>
      <c r="G56" s="817">
        <v>497</v>
      </c>
      <c r="H56" s="817">
        <v>165</v>
      </c>
      <c r="I56" s="1806">
        <v>0</v>
      </c>
      <c r="J56" s="1805">
        <v>1087</v>
      </c>
      <c r="K56" s="817">
        <v>746</v>
      </c>
      <c r="L56" s="1806"/>
      <c r="M56" s="1802">
        <v>592</v>
      </c>
      <c r="N56" s="511">
        <v>1222</v>
      </c>
      <c r="O56" s="511">
        <v>19</v>
      </c>
      <c r="P56" s="1803">
        <v>0</v>
      </c>
      <c r="Q56" s="512">
        <v>11</v>
      </c>
    </row>
    <row r="57" spans="1:17" s="512" customFormat="1" x14ac:dyDescent="0.3">
      <c r="A57" s="514" t="s">
        <v>130</v>
      </c>
      <c r="B57" s="510" t="s">
        <v>131</v>
      </c>
      <c r="C57" s="509" t="s">
        <v>256</v>
      </c>
      <c r="D57" s="1829">
        <v>6903</v>
      </c>
      <c r="E57" s="1805">
        <v>2307</v>
      </c>
      <c r="F57" s="817">
        <v>1575</v>
      </c>
      <c r="G57" s="817">
        <v>2433</v>
      </c>
      <c r="H57" s="817">
        <v>588</v>
      </c>
      <c r="I57" s="1806">
        <v>0</v>
      </c>
      <c r="J57" s="1805">
        <v>3691</v>
      </c>
      <c r="K57" s="817">
        <v>3212</v>
      </c>
      <c r="L57" s="1806"/>
      <c r="M57" s="1802">
        <v>6814</v>
      </c>
      <c r="N57" s="511">
        <v>48</v>
      </c>
      <c r="O57" s="511">
        <v>35</v>
      </c>
      <c r="P57" s="1803">
        <v>6</v>
      </c>
      <c r="Q57" s="512">
        <v>29</v>
      </c>
    </row>
    <row r="58" spans="1:17" s="512" customFormat="1" x14ac:dyDescent="0.3">
      <c r="A58" s="514" t="s">
        <v>132</v>
      </c>
      <c r="B58" s="510" t="s">
        <v>133</v>
      </c>
      <c r="C58" s="509" t="s">
        <v>255</v>
      </c>
      <c r="D58" s="1829">
        <v>12080</v>
      </c>
      <c r="E58" s="1805">
        <v>5878</v>
      </c>
      <c r="F58" s="817">
        <v>1768</v>
      </c>
      <c r="G58" s="817">
        <v>2558</v>
      </c>
      <c r="H58" s="817">
        <v>1871</v>
      </c>
      <c r="I58" s="1806">
        <v>5</v>
      </c>
      <c r="J58" s="1805">
        <v>7026</v>
      </c>
      <c r="K58" s="817">
        <v>5054</v>
      </c>
      <c r="L58" s="1806"/>
      <c r="M58" s="1802">
        <v>7630</v>
      </c>
      <c r="N58" s="511">
        <v>2270</v>
      </c>
      <c r="O58" s="511">
        <v>2125</v>
      </c>
      <c r="P58" s="1803">
        <v>55</v>
      </c>
      <c r="Q58" s="512">
        <v>1015</v>
      </c>
    </row>
    <row r="59" spans="1:17" s="512" customFormat="1" x14ac:dyDescent="0.3">
      <c r="A59" s="514" t="s">
        <v>134</v>
      </c>
      <c r="B59" s="510" t="s">
        <v>135</v>
      </c>
      <c r="C59" s="509" t="s">
        <v>255</v>
      </c>
      <c r="D59" s="1829">
        <v>4560</v>
      </c>
      <c r="E59" s="1805">
        <v>1898</v>
      </c>
      <c r="F59" s="817">
        <v>903</v>
      </c>
      <c r="G59" s="817">
        <v>1362</v>
      </c>
      <c r="H59" s="817">
        <v>396</v>
      </c>
      <c r="I59" s="1806">
        <v>1</v>
      </c>
      <c r="J59" s="1805">
        <v>2613</v>
      </c>
      <c r="K59" s="817">
        <v>1947</v>
      </c>
      <c r="L59" s="1806"/>
      <c r="M59" s="1802">
        <v>3250</v>
      </c>
      <c r="N59" s="511">
        <v>1258</v>
      </c>
      <c r="O59" s="511">
        <v>50</v>
      </c>
      <c r="P59" s="1803">
        <v>2</v>
      </c>
      <c r="Q59" s="512">
        <v>79</v>
      </c>
    </row>
    <row r="60" spans="1:17" s="512" customFormat="1" x14ac:dyDescent="0.3">
      <c r="A60" s="514" t="s">
        <v>136</v>
      </c>
      <c r="B60" s="510" t="s">
        <v>137</v>
      </c>
      <c r="C60" s="509" t="s">
        <v>254</v>
      </c>
      <c r="D60" s="1829">
        <v>2575</v>
      </c>
      <c r="E60" s="1805">
        <v>1067</v>
      </c>
      <c r="F60" s="817">
        <v>560</v>
      </c>
      <c r="G60" s="817">
        <v>712</v>
      </c>
      <c r="H60" s="817">
        <v>236</v>
      </c>
      <c r="I60" s="1806">
        <v>0</v>
      </c>
      <c r="J60" s="1805">
        <v>1477</v>
      </c>
      <c r="K60" s="817">
        <v>1098</v>
      </c>
      <c r="L60" s="1806"/>
      <c r="M60" s="1802">
        <v>1235</v>
      </c>
      <c r="N60" s="511">
        <v>1240</v>
      </c>
      <c r="O60" s="511">
        <v>99</v>
      </c>
      <c r="P60" s="1803">
        <v>1</v>
      </c>
      <c r="Q60" s="512">
        <v>102</v>
      </c>
    </row>
    <row r="61" spans="1:17" s="512" customFormat="1" x14ac:dyDescent="0.3">
      <c r="A61" s="514" t="s">
        <v>140</v>
      </c>
      <c r="B61" s="510" t="s">
        <v>141</v>
      </c>
      <c r="C61" s="509" t="s">
        <v>255</v>
      </c>
      <c r="D61" s="1829">
        <v>1375</v>
      </c>
      <c r="E61" s="1805">
        <v>579</v>
      </c>
      <c r="F61" s="817">
        <v>288</v>
      </c>
      <c r="G61" s="817">
        <v>383</v>
      </c>
      <c r="H61" s="817">
        <v>125</v>
      </c>
      <c r="I61" s="1806">
        <v>0</v>
      </c>
      <c r="J61" s="1805">
        <v>791</v>
      </c>
      <c r="K61" s="817">
        <v>584</v>
      </c>
      <c r="L61" s="1806"/>
      <c r="M61" s="1802">
        <v>1107</v>
      </c>
      <c r="N61" s="511">
        <v>257</v>
      </c>
      <c r="O61" s="511">
        <v>9</v>
      </c>
      <c r="P61" s="1803">
        <v>2</v>
      </c>
      <c r="Q61" s="512">
        <v>25</v>
      </c>
    </row>
    <row r="62" spans="1:17" s="512" customFormat="1" x14ac:dyDescent="0.3">
      <c r="A62" s="514" t="s">
        <v>146</v>
      </c>
      <c r="B62" s="510" t="s">
        <v>147</v>
      </c>
      <c r="C62" s="509" t="s">
        <v>252</v>
      </c>
      <c r="D62" s="1829">
        <v>1011</v>
      </c>
      <c r="E62" s="1805">
        <v>379</v>
      </c>
      <c r="F62" s="817">
        <v>217</v>
      </c>
      <c r="G62" s="817">
        <v>316</v>
      </c>
      <c r="H62" s="817">
        <v>99</v>
      </c>
      <c r="I62" s="1806">
        <v>0</v>
      </c>
      <c r="J62" s="1805">
        <v>575</v>
      </c>
      <c r="K62" s="817">
        <v>436</v>
      </c>
      <c r="L62" s="1806"/>
      <c r="M62" s="1802">
        <v>772</v>
      </c>
      <c r="N62" s="511">
        <v>220</v>
      </c>
      <c r="O62" s="511">
        <v>16</v>
      </c>
      <c r="P62" s="1803">
        <v>3</v>
      </c>
      <c r="Q62" s="512">
        <v>11</v>
      </c>
    </row>
    <row r="63" spans="1:17" s="512" customFormat="1" x14ac:dyDescent="0.3">
      <c r="A63" s="514" t="s">
        <v>148</v>
      </c>
      <c r="B63" s="510" t="s">
        <v>149</v>
      </c>
      <c r="C63" s="509" t="s">
        <v>253</v>
      </c>
      <c r="D63" s="1829">
        <v>5727</v>
      </c>
      <c r="E63" s="1805">
        <v>2296</v>
      </c>
      <c r="F63" s="817">
        <v>1253</v>
      </c>
      <c r="G63" s="817">
        <v>1663</v>
      </c>
      <c r="H63" s="817">
        <v>515</v>
      </c>
      <c r="I63" s="1806">
        <v>0</v>
      </c>
      <c r="J63" s="1805">
        <v>3307</v>
      </c>
      <c r="K63" s="817">
        <v>2420</v>
      </c>
      <c r="L63" s="1806"/>
      <c r="M63" s="1802">
        <v>2229</v>
      </c>
      <c r="N63" s="511">
        <v>3449</v>
      </c>
      <c r="O63" s="511">
        <v>48</v>
      </c>
      <c r="P63" s="1803">
        <v>1</v>
      </c>
      <c r="Q63" s="512">
        <v>67</v>
      </c>
    </row>
    <row r="64" spans="1:17" s="512" customFormat="1" x14ac:dyDescent="0.3">
      <c r="A64" s="514" t="s">
        <v>150</v>
      </c>
      <c r="B64" s="510" t="s">
        <v>151</v>
      </c>
      <c r="C64" s="509" t="s">
        <v>254</v>
      </c>
      <c r="D64" s="1829">
        <v>1873</v>
      </c>
      <c r="E64" s="1805">
        <v>723</v>
      </c>
      <c r="F64" s="817">
        <v>398</v>
      </c>
      <c r="G64" s="817">
        <v>590</v>
      </c>
      <c r="H64" s="817">
        <v>162</v>
      </c>
      <c r="I64" s="1806">
        <v>0</v>
      </c>
      <c r="J64" s="1805">
        <v>1055</v>
      </c>
      <c r="K64" s="817">
        <v>818</v>
      </c>
      <c r="L64" s="1806"/>
      <c r="M64" s="1802">
        <v>1276</v>
      </c>
      <c r="N64" s="511">
        <v>580</v>
      </c>
      <c r="O64" s="511">
        <v>16</v>
      </c>
      <c r="P64" s="1803">
        <v>1</v>
      </c>
      <c r="Q64" s="512">
        <v>26</v>
      </c>
    </row>
    <row r="65" spans="1:17" s="512" customFormat="1" x14ac:dyDescent="0.3">
      <c r="A65" s="514" t="s">
        <v>152</v>
      </c>
      <c r="B65" s="510" t="s">
        <v>153</v>
      </c>
      <c r="C65" s="509" t="s">
        <v>256</v>
      </c>
      <c r="D65" s="1829">
        <v>7821</v>
      </c>
      <c r="E65" s="1805">
        <v>3287</v>
      </c>
      <c r="F65" s="817">
        <v>1813</v>
      </c>
      <c r="G65" s="817">
        <v>2217</v>
      </c>
      <c r="H65" s="817">
        <v>504</v>
      </c>
      <c r="I65" s="1806">
        <v>0</v>
      </c>
      <c r="J65" s="1805">
        <v>4483</v>
      </c>
      <c r="K65" s="817">
        <v>3338</v>
      </c>
      <c r="L65" s="1806"/>
      <c r="M65" s="1802">
        <v>6772</v>
      </c>
      <c r="N65" s="511">
        <v>931</v>
      </c>
      <c r="O65" s="511">
        <v>114</v>
      </c>
      <c r="P65" s="1803">
        <v>4</v>
      </c>
      <c r="Q65" s="512">
        <v>235</v>
      </c>
    </row>
    <row r="66" spans="1:17" s="512" customFormat="1" x14ac:dyDescent="0.3">
      <c r="A66" s="514" t="s">
        <v>154</v>
      </c>
      <c r="B66" s="510" t="s">
        <v>155</v>
      </c>
      <c r="C66" s="509" t="s">
        <v>253</v>
      </c>
      <c r="D66" s="1829">
        <v>2119</v>
      </c>
      <c r="E66" s="1805">
        <v>813</v>
      </c>
      <c r="F66" s="817">
        <v>442</v>
      </c>
      <c r="G66" s="817">
        <v>636</v>
      </c>
      <c r="H66" s="817">
        <v>227</v>
      </c>
      <c r="I66" s="1806">
        <v>1</v>
      </c>
      <c r="J66" s="1805">
        <v>1177</v>
      </c>
      <c r="K66" s="817">
        <v>942</v>
      </c>
      <c r="L66" s="1806"/>
      <c r="M66" s="1802">
        <v>1598</v>
      </c>
      <c r="N66" s="511">
        <v>476</v>
      </c>
      <c r="O66" s="511">
        <v>42</v>
      </c>
      <c r="P66" s="1803">
        <v>3</v>
      </c>
      <c r="Q66" s="512">
        <v>70</v>
      </c>
    </row>
    <row r="67" spans="1:17" s="512" customFormat="1" x14ac:dyDescent="0.3">
      <c r="A67" s="514" t="s">
        <v>156</v>
      </c>
      <c r="B67" s="510" t="s">
        <v>157</v>
      </c>
      <c r="C67" s="509" t="s">
        <v>254</v>
      </c>
      <c r="D67" s="1829">
        <v>1370</v>
      </c>
      <c r="E67" s="1805">
        <v>596</v>
      </c>
      <c r="F67" s="817">
        <v>293</v>
      </c>
      <c r="G67" s="817">
        <v>398</v>
      </c>
      <c r="H67" s="817">
        <v>83</v>
      </c>
      <c r="I67" s="1806">
        <v>0</v>
      </c>
      <c r="J67" s="1805">
        <v>817</v>
      </c>
      <c r="K67" s="817">
        <v>553</v>
      </c>
      <c r="L67" s="1806"/>
      <c r="M67" s="1802">
        <v>984</v>
      </c>
      <c r="N67" s="511">
        <v>340</v>
      </c>
      <c r="O67" s="511">
        <v>45</v>
      </c>
      <c r="P67" s="1803">
        <v>1</v>
      </c>
      <c r="Q67" s="512">
        <v>37</v>
      </c>
    </row>
    <row r="68" spans="1:17" s="512" customFormat="1" x14ac:dyDescent="0.3">
      <c r="A68" s="514" t="s">
        <v>162</v>
      </c>
      <c r="B68" s="510" t="s">
        <v>163</v>
      </c>
      <c r="C68" s="509" t="s">
        <v>252</v>
      </c>
      <c r="D68" s="1829">
        <v>2826</v>
      </c>
      <c r="E68" s="1805">
        <v>1083</v>
      </c>
      <c r="F68" s="817">
        <v>549</v>
      </c>
      <c r="G68" s="817">
        <v>804</v>
      </c>
      <c r="H68" s="817">
        <v>390</v>
      </c>
      <c r="I68" s="1806">
        <v>0</v>
      </c>
      <c r="J68" s="1805">
        <v>1629</v>
      </c>
      <c r="K68" s="817">
        <v>1197</v>
      </c>
      <c r="L68" s="1806"/>
      <c r="M68" s="1802">
        <v>1041</v>
      </c>
      <c r="N68" s="511">
        <v>1770</v>
      </c>
      <c r="O68" s="511">
        <v>15</v>
      </c>
      <c r="P68" s="1803">
        <v>0</v>
      </c>
      <c r="Q68" s="512">
        <v>129</v>
      </c>
    </row>
    <row r="69" spans="1:17" s="512" customFormat="1" x14ac:dyDescent="0.3">
      <c r="A69" s="514" t="s">
        <v>164</v>
      </c>
      <c r="B69" s="510" t="s">
        <v>165</v>
      </c>
      <c r="C69" s="509" t="s">
        <v>254</v>
      </c>
      <c r="D69" s="1829">
        <v>2005</v>
      </c>
      <c r="E69" s="1805">
        <v>802</v>
      </c>
      <c r="F69" s="817">
        <v>424</v>
      </c>
      <c r="G69" s="817">
        <v>590</v>
      </c>
      <c r="H69" s="817">
        <v>189</v>
      </c>
      <c r="I69" s="1806">
        <v>0</v>
      </c>
      <c r="J69" s="1805">
        <v>1123</v>
      </c>
      <c r="K69" s="817">
        <v>882</v>
      </c>
      <c r="L69" s="1806"/>
      <c r="M69" s="1802">
        <v>849</v>
      </c>
      <c r="N69" s="511">
        <v>1126</v>
      </c>
      <c r="O69" s="511">
        <v>29</v>
      </c>
      <c r="P69" s="1803">
        <v>1</v>
      </c>
      <c r="Q69" s="512">
        <v>31</v>
      </c>
    </row>
    <row r="70" spans="1:17" s="512" customFormat="1" x14ac:dyDescent="0.3">
      <c r="A70" s="514" t="s">
        <v>168</v>
      </c>
      <c r="B70" s="510" t="s">
        <v>169</v>
      </c>
      <c r="C70" s="509" t="s">
        <v>254</v>
      </c>
      <c r="D70" s="1829">
        <v>3513</v>
      </c>
      <c r="E70" s="1805">
        <v>1468</v>
      </c>
      <c r="F70" s="817">
        <v>778</v>
      </c>
      <c r="G70" s="817">
        <v>984</v>
      </c>
      <c r="H70" s="817">
        <v>283</v>
      </c>
      <c r="I70" s="1806">
        <v>0</v>
      </c>
      <c r="J70" s="1805">
        <v>2059</v>
      </c>
      <c r="K70" s="817">
        <v>1454</v>
      </c>
      <c r="L70" s="1806"/>
      <c r="M70" s="1802">
        <v>1577</v>
      </c>
      <c r="N70" s="511">
        <v>1904</v>
      </c>
      <c r="O70" s="511">
        <v>32</v>
      </c>
      <c r="P70" s="1803">
        <v>0</v>
      </c>
      <c r="Q70" s="512">
        <v>132</v>
      </c>
    </row>
    <row r="71" spans="1:17" s="512" customFormat="1" x14ac:dyDescent="0.3">
      <c r="A71" s="514" t="s">
        <v>170</v>
      </c>
      <c r="B71" s="510" t="s">
        <v>171</v>
      </c>
      <c r="C71" s="509" t="s">
        <v>255</v>
      </c>
      <c r="D71" s="1829">
        <v>3914</v>
      </c>
      <c r="E71" s="1805">
        <v>1677</v>
      </c>
      <c r="F71" s="817">
        <v>855</v>
      </c>
      <c r="G71" s="817">
        <v>1079</v>
      </c>
      <c r="H71" s="817">
        <v>303</v>
      </c>
      <c r="I71" s="1806">
        <v>0</v>
      </c>
      <c r="J71" s="1805">
        <v>2301</v>
      </c>
      <c r="K71" s="817">
        <v>1613</v>
      </c>
      <c r="L71" s="1806"/>
      <c r="M71" s="1802">
        <v>2771</v>
      </c>
      <c r="N71" s="511">
        <v>1079</v>
      </c>
      <c r="O71" s="511">
        <v>52</v>
      </c>
      <c r="P71" s="1803">
        <v>12</v>
      </c>
      <c r="Q71" s="512">
        <v>117</v>
      </c>
    </row>
    <row r="72" spans="1:17" s="512" customFormat="1" x14ac:dyDescent="0.3">
      <c r="A72" s="514" t="s">
        <v>172</v>
      </c>
      <c r="B72" s="510" t="s">
        <v>173</v>
      </c>
      <c r="C72" s="509" t="s">
        <v>255</v>
      </c>
      <c r="D72" s="1829">
        <v>3627</v>
      </c>
      <c r="E72" s="1805">
        <v>1359</v>
      </c>
      <c r="F72" s="817">
        <v>752</v>
      </c>
      <c r="G72" s="817">
        <v>1204</v>
      </c>
      <c r="H72" s="817">
        <v>312</v>
      </c>
      <c r="I72" s="1806">
        <v>0</v>
      </c>
      <c r="J72" s="1805">
        <v>2017</v>
      </c>
      <c r="K72" s="817">
        <v>1610</v>
      </c>
      <c r="L72" s="1806"/>
      <c r="M72" s="1802">
        <v>3452</v>
      </c>
      <c r="N72" s="511">
        <v>146</v>
      </c>
      <c r="O72" s="511">
        <v>28</v>
      </c>
      <c r="P72" s="1803">
        <v>1</v>
      </c>
      <c r="Q72" s="512">
        <v>47</v>
      </c>
    </row>
    <row r="73" spans="1:17" s="512" customFormat="1" x14ac:dyDescent="0.3">
      <c r="A73" s="514" t="s">
        <v>174</v>
      </c>
      <c r="B73" s="510" t="s">
        <v>175</v>
      </c>
      <c r="C73" s="509" t="s">
        <v>256</v>
      </c>
      <c r="D73" s="1829">
        <v>3395</v>
      </c>
      <c r="E73" s="1805">
        <v>1220</v>
      </c>
      <c r="F73" s="817">
        <v>736</v>
      </c>
      <c r="G73" s="817">
        <v>1118</v>
      </c>
      <c r="H73" s="817">
        <v>321</v>
      </c>
      <c r="I73" s="1806">
        <v>0</v>
      </c>
      <c r="J73" s="1805">
        <v>1842</v>
      </c>
      <c r="K73" s="817">
        <v>1553</v>
      </c>
      <c r="L73" s="1806"/>
      <c r="M73" s="1802">
        <v>3090</v>
      </c>
      <c r="N73" s="511">
        <v>271</v>
      </c>
      <c r="O73" s="511">
        <v>34</v>
      </c>
      <c r="P73" s="1803">
        <v>0</v>
      </c>
      <c r="Q73" s="512">
        <v>64</v>
      </c>
    </row>
    <row r="74" spans="1:17" s="512" customFormat="1" x14ac:dyDescent="0.3">
      <c r="A74" s="514" t="s">
        <v>178</v>
      </c>
      <c r="B74" s="510" t="s">
        <v>179</v>
      </c>
      <c r="C74" s="509" t="s">
        <v>253</v>
      </c>
      <c r="D74" s="1829">
        <v>10758</v>
      </c>
      <c r="E74" s="1805">
        <v>4166</v>
      </c>
      <c r="F74" s="817">
        <v>2310</v>
      </c>
      <c r="G74" s="817">
        <v>3420</v>
      </c>
      <c r="H74" s="817">
        <v>860</v>
      </c>
      <c r="I74" s="1806">
        <v>2</v>
      </c>
      <c r="J74" s="1805">
        <v>6158</v>
      </c>
      <c r="K74" s="817">
        <v>4600</v>
      </c>
      <c r="L74" s="1806"/>
      <c r="M74" s="1802">
        <v>6904</v>
      </c>
      <c r="N74" s="511">
        <v>3694</v>
      </c>
      <c r="O74" s="511">
        <v>134</v>
      </c>
      <c r="P74" s="1803">
        <v>26</v>
      </c>
      <c r="Q74" s="512">
        <v>236</v>
      </c>
    </row>
    <row r="75" spans="1:17" s="512" customFormat="1" x14ac:dyDescent="0.3">
      <c r="A75" s="514" t="s">
        <v>182</v>
      </c>
      <c r="B75" s="510" t="s">
        <v>183</v>
      </c>
      <c r="C75" s="509" t="s">
        <v>254</v>
      </c>
      <c r="D75" s="1829">
        <v>1533</v>
      </c>
      <c r="E75" s="1805">
        <v>631</v>
      </c>
      <c r="F75" s="817">
        <v>301</v>
      </c>
      <c r="G75" s="817">
        <v>502</v>
      </c>
      <c r="H75" s="817">
        <v>99</v>
      </c>
      <c r="I75" s="1806">
        <v>0</v>
      </c>
      <c r="J75" s="1805">
        <v>889</v>
      </c>
      <c r="K75" s="817">
        <v>644</v>
      </c>
      <c r="L75" s="1806"/>
      <c r="M75" s="1802">
        <v>1214</v>
      </c>
      <c r="N75" s="511">
        <v>295</v>
      </c>
      <c r="O75" s="511">
        <v>22</v>
      </c>
      <c r="P75" s="1803">
        <v>2</v>
      </c>
      <c r="Q75" s="512">
        <v>33</v>
      </c>
    </row>
    <row r="76" spans="1:17" s="512" customFormat="1" x14ac:dyDescent="0.3">
      <c r="A76" s="514" t="s">
        <v>184</v>
      </c>
      <c r="B76" s="510" t="s">
        <v>185</v>
      </c>
      <c r="C76" s="509" t="s">
        <v>254</v>
      </c>
      <c r="D76" s="1829">
        <v>3996</v>
      </c>
      <c r="E76" s="1805">
        <v>1589</v>
      </c>
      <c r="F76" s="817">
        <v>937</v>
      </c>
      <c r="G76" s="817">
        <v>1145</v>
      </c>
      <c r="H76" s="817">
        <v>325</v>
      </c>
      <c r="I76" s="1806">
        <v>0</v>
      </c>
      <c r="J76" s="1805">
        <v>2276</v>
      </c>
      <c r="K76" s="817">
        <v>1720</v>
      </c>
      <c r="L76" s="1806"/>
      <c r="M76" s="1802">
        <v>1527</v>
      </c>
      <c r="N76" s="511">
        <v>2430</v>
      </c>
      <c r="O76" s="511">
        <v>36</v>
      </c>
      <c r="P76" s="1803">
        <v>3</v>
      </c>
      <c r="Q76" s="512">
        <v>65</v>
      </c>
    </row>
    <row r="77" spans="1:17" s="512" customFormat="1" x14ac:dyDescent="0.3">
      <c r="A77" s="514" t="s">
        <v>186</v>
      </c>
      <c r="B77" s="510" t="s">
        <v>187</v>
      </c>
      <c r="C77" s="509" t="s">
        <v>252</v>
      </c>
      <c r="D77" s="1829">
        <v>4316</v>
      </c>
      <c r="E77" s="1805">
        <v>2034</v>
      </c>
      <c r="F77" s="817">
        <v>1077</v>
      </c>
      <c r="G77" s="817">
        <v>1071</v>
      </c>
      <c r="H77" s="817">
        <v>133</v>
      </c>
      <c r="I77" s="1806">
        <v>1</v>
      </c>
      <c r="J77" s="1805">
        <v>2553</v>
      </c>
      <c r="K77" s="817">
        <v>1763</v>
      </c>
      <c r="L77" s="1806"/>
      <c r="M77" s="1802">
        <v>2130</v>
      </c>
      <c r="N77" s="511">
        <v>2099</v>
      </c>
      <c r="O77" s="511">
        <v>77</v>
      </c>
      <c r="P77" s="1803">
        <v>10</v>
      </c>
      <c r="Q77" s="512">
        <v>217</v>
      </c>
    </row>
    <row r="78" spans="1:17" s="512" customFormat="1" x14ac:dyDescent="0.3">
      <c r="A78" s="514" t="s">
        <v>188</v>
      </c>
      <c r="B78" s="510" t="s">
        <v>189</v>
      </c>
      <c r="C78" s="509" t="s">
        <v>255</v>
      </c>
      <c r="D78" s="1829">
        <v>33649</v>
      </c>
      <c r="E78" s="1805">
        <v>17645</v>
      </c>
      <c r="F78" s="817">
        <v>6422</v>
      </c>
      <c r="G78" s="817">
        <v>7046</v>
      </c>
      <c r="H78" s="817">
        <v>2535</v>
      </c>
      <c r="I78" s="1806">
        <v>1</v>
      </c>
      <c r="J78" s="1805">
        <v>19442</v>
      </c>
      <c r="K78" s="817">
        <v>14207</v>
      </c>
      <c r="L78" s="1806"/>
      <c r="M78" s="1802">
        <v>16808</v>
      </c>
      <c r="N78" s="511">
        <v>12971</v>
      </c>
      <c r="O78" s="511">
        <v>3807</v>
      </c>
      <c r="P78" s="1803">
        <v>63</v>
      </c>
      <c r="Q78" s="512">
        <v>3733</v>
      </c>
    </row>
    <row r="79" spans="1:17" s="512" customFormat="1" x14ac:dyDescent="0.3">
      <c r="A79" s="514" t="s">
        <v>190</v>
      </c>
      <c r="B79" s="510" t="s">
        <v>191</v>
      </c>
      <c r="C79" s="509" t="s">
        <v>256</v>
      </c>
      <c r="D79" s="1829">
        <v>6227</v>
      </c>
      <c r="E79" s="1805">
        <v>2143</v>
      </c>
      <c r="F79" s="817">
        <v>1503</v>
      </c>
      <c r="G79" s="817">
        <v>2117</v>
      </c>
      <c r="H79" s="817">
        <v>464</v>
      </c>
      <c r="I79" s="1806">
        <v>0</v>
      </c>
      <c r="J79" s="1805">
        <v>3516</v>
      </c>
      <c r="K79" s="817">
        <v>2711</v>
      </c>
      <c r="L79" s="1806"/>
      <c r="M79" s="1802">
        <v>5518</v>
      </c>
      <c r="N79" s="511">
        <v>647</v>
      </c>
      <c r="O79" s="511">
        <v>61</v>
      </c>
      <c r="P79" s="1803">
        <v>1</v>
      </c>
      <c r="Q79" s="512">
        <v>79</v>
      </c>
    </row>
    <row r="80" spans="1:17" s="512" customFormat="1" x14ac:dyDescent="0.3">
      <c r="A80" s="514" t="s">
        <v>194</v>
      </c>
      <c r="B80" s="510" t="s">
        <v>195</v>
      </c>
      <c r="C80" s="509" t="s">
        <v>255</v>
      </c>
      <c r="D80" s="1829">
        <v>493</v>
      </c>
      <c r="E80" s="1805">
        <v>204</v>
      </c>
      <c r="F80" s="817">
        <v>107</v>
      </c>
      <c r="G80" s="817">
        <v>138</v>
      </c>
      <c r="H80" s="817">
        <v>44</v>
      </c>
      <c r="I80" s="1806">
        <v>0</v>
      </c>
      <c r="J80" s="1805">
        <v>276</v>
      </c>
      <c r="K80" s="817">
        <v>217</v>
      </c>
      <c r="L80" s="1806"/>
      <c r="M80" s="1802">
        <v>425</v>
      </c>
      <c r="N80" s="511">
        <v>61</v>
      </c>
      <c r="O80" s="511">
        <v>7</v>
      </c>
      <c r="P80" s="1803">
        <v>0</v>
      </c>
      <c r="Q80" s="512">
        <v>24</v>
      </c>
    </row>
    <row r="81" spans="1:17" s="512" customFormat="1" x14ac:dyDescent="0.3">
      <c r="A81" s="514" t="s">
        <v>198</v>
      </c>
      <c r="B81" s="510" t="s">
        <v>260</v>
      </c>
      <c r="C81" s="509" t="s">
        <v>254</v>
      </c>
      <c r="D81" s="1829">
        <v>1811</v>
      </c>
      <c r="E81" s="1805">
        <v>701</v>
      </c>
      <c r="F81" s="817">
        <v>441</v>
      </c>
      <c r="G81" s="817">
        <v>513</v>
      </c>
      <c r="H81" s="817">
        <v>156</v>
      </c>
      <c r="I81" s="1806">
        <v>0</v>
      </c>
      <c r="J81" s="1805">
        <v>1030</v>
      </c>
      <c r="K81" s="817">
        <v>781</v>
      </c>
      <c r="L81" s="1806"/>
      <c r="M81" s="1802">
        <v>880</v>
      </c>
      <c r="N81" s="511">
        <v>913</v>
      </c>
      <c r="O81" s="511">
        <v>15</v>
      </c>
      <c r="P81" s="1803">
        <v>3</v>
      </c>
      <c r="Q81" s="512">
        <v>66</v>
      </c>
    </row>
    <row r="82" spans="1:17" s="512" customFormat="1" x14ac:dyDescent="0.3">
      <c r="A82" s="514" t="s">
        <v>202</v>
      </c>
      <c r="B82" s="510" t="s">
        <v>289</v>
      </c>
      <c r="C82" s="509" t="s">
        <v>253</v>
      </c>
      <c r="D82" s="1829">
        <v>9134</v>
      </c>
      <c r="E82" s="1805">
        <v>3893</v>
      </c>
      <c r="F82" s="817">
        <v>1812</v>
      </c>
      <c r="G82" s="817">
        <v>2743</v>
      </c>
      <c r="H82" s="817">
        <v>686</v>
      </c>
      <c r="I82" s="1806">
        <v>0</v>
      </c>
      <c r="J82" s="1805">
        <v>5295</v>
      </c>
      <c r="K82" s="817">
        <v>3839</v>
      </c>
      <c r="L82" s="1806"/>
      <c r="M82" s="1802">
        <v>7084</v>
      </c>
      <c r="N82" s="511">
        <v>1744</v>
      </c>
      <c r="O82" s="511">
        <v>294</v>
      </c>
      <c r="P82" s="1803">
        <v>12</v>
      </c>
      <c r="Q82" s="512">
        <v>281</v>
      </c>
    </row>
    <row r="83" spans="1:17" s="512" customFormat="1" x14ac:dyDescent="0.3">
      <c r="A83" s="514" t="s">
        <v>204</v>
      </c>
      <c r="B83" s="510" t="s">
        <v>281</v>
      </c>
      <c r="C83" s="509" t="s">
        <v>253</v>
      </c>
      <c r="D83" s="1829">
        <v>4624</v>
      </c>
      <c r="E83" s="1805">
        <v>1913</v>
      </c>
      <c r="F83" s="817">
        <v>952</v>
      </c>
      <c r="G83" s="817">
        <v>1362</v>
      </c>
      <c r="H83" s="817">
        <v>397</v>
      </c>
      <c r="I83" s="1806">
        <v>0</v>
      </c>
      <c r="J83" s="1805">
        <v>2708</v>
      </c>
      <c r="K83" s="817">
        <v>1916</v>
      </c>
      <c r="L83" s="1806"/>
      <c r="M83" s="1802">
        <v>4079</v>
      </c>
      <c r="N83" s="511">
        <v>482</v>
      </c>
      <c r="O83" s="511">
        <v>62</v>
      </c>
      <c r="P83" s="1803">
        <v>1</v>
      </c>
      <c r="Q83" s="512">
        <v>94</v>
      </c>
    </row>
    <row r="84" spans="1:17" s="512" customFormat="1" x14ac:dyDescent="0.3">
      <c r="A84" s="514" t="s">
        <v>206</v>
      </c>
      <c r="B84" s="510" t="s">
        <v>282</v>
      </c>
      <c r="C84" s="509" t="s">
        <v>255</v>
      </c>
      <c r="D84" s="1829">
        <v>12403</v>
      </c>
      <c r="E84" s="1805">
        <v>5806</v>
      </c>
      <c r="F84" s="817">
        <v>2542</v>
      </c>
      <c r="G84" s="817">
        <v>3290</v>
      </c>
      <c r="H84" s="817">
        <v>762</v>
      </c>
      <c r="I84" s="1806">
        <v>3</v>
      </c>
      <c r="J84" s="1805">
        <v>7027</v>
      </c>
      <c r="K84" s="817">
        <v>5376</v>
      </c>
      <c r="L84" s="1806"/>
      <c r="M84" s="1802">
        <v>10578</v>
      </c>
      <c r="N84" s="511">
        <v>1590</v>
      </c>
      <c r="O84" s="511">
        <v>232</v>
      </c>
      <c r="P84" s="1803">
        <v>3</v>
      </c>
      <c r="Q84" s="512">
        <v>1561</v>
      </c>
    </row>
    <row r="85" spans="1:17" s="512" customFormat="1" x14ac:dyDescent="0.3">
      <c r="A85" s="514" t="s">
        <v>208</v>
      </c>
      <c r="B85" s="510" t="s">
        <v>209</v>
      </c>
      <c r="C85" s="509" t="s">
        <v>256</v>
      </c>
      <c r="D85" s="1829">
        <v>6438</v>
      </c>
      <c r="E85" s="1805">
        <v>2241</v>
      </c>
      <c r="F85" s="817">
        <v>1483</v>
      </c>
      <c r="G85" s="817">
        <v>2249</v>
      </c>
      <c r="H85" s="817">
        <v>463</v>
      </c>
      <c r="I85" s="1806">
        <v>2</v>
      </c>
      <c r="J85" s="1805">
        <v>3607</v>
      </c>
      <c r="K85" s="817">
        <v>2831</v>
      </c>
      <c r="L85" s="1806"/>
      <c r="M85" s="1802">
        <v>6328</v>
      </c>
      <c r="N85" s="511">
        <v>66</v>
      </c>
      <c r="O85" s="511">
        <v>39</v>
      </c>
      <c r="P85" s="1803">
        <v>5</v>
      </c>
      <c r="Q85" s="512">
        <v>30</v>
      </c>
    </row>
    <row r="86" spans="1:17" s="512" customFormat="1" x14ac:dyDescent="0.3">
      <c r="A86" s="514" t="s">
        <v>210</v>
      </c>
      <c r="B86" s="510" t="s">
        <v>211</v>
      </c>
      <c r="C86" s="509" t="s">
        <v>256</v>
      </c>
      <c r="D86" s="1829">
        <v>4310</v>
      </c>
      <c r="E86" s="1805">
        <v>1489</v>
      </c>
      <c r="F86" s="817">
        <v>914</v>
      </c>
      <c r="G86" s="817">
        <v>1504</v>
      </c>
      <c r="H86" s="817">
        <v>403</v>
      </c>
      <c r="I86" s="1806">
        <v>0</v>
      </c>
      <c r="J86" s="1805">
        <v>2290</v>
      </c>
      <c r="K86" s="817">
        <v>2020</v>
      </c>
      <c r="L86" s="1806"/>
      <c r="M86" s="1802">
        <v>4246</v>
      </c>
      <c r="N86" s="511">
        <v>34</v>
      </c>
      <c r="O86" s="511">
        <v>26</v>
      </c>
      <c r="P86" s="1803">
        <v>4</v>
      </c>
      <c r="Q86" s="512">
        <v>37</v>
      </c>
    </row>
    <row r="87" spans="1:17" s="512" customFormat="1" x14ac:dyDescent="0.3">
      <c r="A87" s="514" t="s">
        <v>212</v>
      </c>
      <c r="B87" s="510" t="s">
        <v>213</v>
      </c>
      <c r="C87" s="509" t="s">
        <v>255</v>
      </c>
      <c r="D87" s="1829">
        <v>5931</v>
      </c>
      <c r="E87" s="1805">
        <v>2724</v>
      </c>
      <c r="F87" s="817">
        <v>1234</v>
      </c>
      <c r="G87" s="817">
        <v>1614</v>
      </c>
      <c r="H87" s="817">
        <v>359</v>
      </c>
      <c r="I87" s="1806">
        <v>0</v>
      </c>
      <c r="J87" s="1805">
        <v>3374</v>
      </c>
      <c r="K87" s="817">
        <v>2557</v>
      </c>
      <c r="L87" s="1806"/>
      <c r="M87" s="1802">
        <v>5354</v>
      </c>
      <c r="N87" s="511">
        <v>386</v>
      </c>
      <c r="O87" s="511">
        <v>185</v>
      </c>
      <c r="P87" s="1803">
        <v>6</v>
      </c>
      <c r="Q87" s="512">
        <v>549</v>
      </c>
    </row>
    <row r="88" spans="1:17" s="512" customFormat="1" x14ac:dyDescent="0.3">
      <c r="A88" s="514" t="s">
        <v>214</v>
      </c>
      <c r="B88" s="510" t="s">
        <v>215</v>
      </c>
      <c r="C88" s="509" t="s">
        <v>256</v>
      </c>
      <c r="D88" s="1829">
        <v>7061</v>
      </c>
      <c r="E88" s="1805">
        <v>2486</v>
      </c>
      <c r="F88" s="817">
        <v>1675</v>
      </c>
      <c r="G88" s="817">
        <v>2382</v>
      </c>
      <c r="H88" s="817">
        <v>517</v>
      </c>
      <c r="I88" s="1806">
        <v>1</v>
      </c>
      <c r="J88" s="1805">
        <v>3898</v>
      </c>
      <c r="K88" s="817">
        <v>3163</v>
      </c>
      <c r="L88" s="1806"/>
      <c r="M88" s="1802">
        <v>6832</v>
      </c>
      <c r="N88" s="511">
        <v>182</v>
      </c>
      <c r="O88" s="511">
        <v>45</v>
      </c>
      <c r="P88" s="1803">
        <v>2</v>
      </c>
      <c r="Q88" s="512">
        <v>78</v>
      </c>
    </row>
    <row r="89" spans="1:17" s="512" customFormat="1" x14ac:dyDescent="0.3">
      <c r="A89" s="514" t="s">
        <v>216</v>
      </c>
      <c r="B89" s="510" t="s">
        <v>217</v>
      </c>
      <c r="C89" s="509" t="s">
        <v>252</v>
      </c>
      <c r="D89" s="1829">
        <v>3118</v>
      </c>
      <c r="E89" s="1805">
        <v>1291</v>
      </c>
      <c r="F89" s="817">
        <v>629</v>
      </c>
      <c r="G89" s="817">
        <v>931</v>
      </c>
      <c r="H89" s="817">
        <v>264</v>
      </c>
      <c r="I89" s="1806">
        <v>3</v>
      </c>
      <c r="J89" s="1805">
        <v>1831</v>
      </c>
      <c r="K89" s="817">
        <v>1287</v>
      </c>
      <c r="L89" s="1806"/>
      <c r="M89" s="1802">
        <v>1055</v>
      </c>
      <c r="N89" s="511">
        <v>2040</v>
      </c>
      <c r="O89" s="511">
        <v>22</v>
      </c>
      <c r="P89" s="1803">
        <v>1</v>
      </c>
      <c r="Q89" s="512">
        <v>26</v>
      </c>
    </row>
    <row r="90" spans="1:17" s="512" customFormat="1" x14ac:dyDescent="0.3">
      <c r="A90" s="514" t="s">
        <v>218</v>
      </c>
      <c r="B90" s="510" t="s">
        <v>219</v>
      </c>
      <c r="C90" s="509" t="s">
        <v>255</v>
      </c>
      <c r="D90" s="1829">
        <v>14244</v>
      </c>
      <c r="E90" s="1805">
        <v>6963</v>
      </c>
      <c r="F90" s="817">
        <v>3114</v>
      </c>
      <c r="G90" s="817">
        <v>3464</v>
      </c>
      <c r="H90" s="817">
        <v>703</v>
      </c>
      <c r="I90" s="1806">
        <v>0</v>
      </c>
      <c r="J90" s="1805">
        <v>8285</v>
      </c>
      <c r="K90" s="817">
        <v>5959</v>
      </c>
      <c r="L90" s="1806"/>
      <c r="M90" s="1802">
        <v>8565</v>
      </c>
      <c r="N90" s="511">
        <v>5146</v>
      </c>
      <c r="O90" s="511">
        <v>504</v>
      </c>
      <c r="P90" s="1803">
        <v>29</v>
      </c>
      <c r="Q90" s="512">
        <v>631</v>
      </c>
    </row>
    <row r="91" spans="1:17" s="512" customFormat="1" x14ac:dyDescent="0.3">
      <c r="A91" s="514" t="s">
        <v>220</v>
      </c>
      <c r="B91" s="510" t="s">
        <v>221</v>
      </c>
      <c r="C91" s="509" t="s">
        <v>255</v>
      </c>
      <c r="D91" s="1829">
        <v>12112</v>
      </c>
      <c r="E91" s="1805">
        <v>6232</v>
      </c>
      <c r="F91" s="817">
        <v>2719</v>
      </c>
      <c r="G91" s="817">
        <v>2626</v>
      </c>
      <c r="H91" s="817">
        <v>534</v>
      </c>
      <c r="I91" s="1806">
        <v>1</v>
      </c>
      <c r="J91" s="1805">
        <v>7157</v>
      </c>
      <c r="K91" s="817">
        <v>4955</v>
      </c>
      <c r="L91" s="1806"/>
      <c r="M91" s="1802">
        <v>6361</v>
      </c>
      <c r="N91" s="511">
        <v>4862</v>
      </c>
      <c r="O91" s="511">
        <v>864</v>
      </c>
      <c r="P91" s="1803">
        <v>25</v>
      </c>
      <c r="Q91" s="512">
        <v>966</v>
      </c>
    </row>
    <row r="92" spans="1:17" s="512" customFormat="1" x14ac:dyDescent="0.3">
      <c r="A92" s="514" t="s">
        <v>224</v>
      </c>
      <c r="B92" s="510" t="s">
        <v>225</v>
      </c>
      <c r="C92" s="509" t="s">
        <v>252</v>
      </c>
      <c r="D92" s="1829">
        <v>1128</v>
      </c>
      <c r="E92" s="1805">
        <v>420</v>
      </c>
      <c r="F92" s="817">
        <v>248</v>
      </c>
      <c r="G92" s="817">
        <v>374</v>
      </c>
      <c r="H92" s="817">
        <v>85</v>
      </c>
      <c r="I92" s="1806">
        <v>1</v>
      </c>
      <c r="J92" s="1805">
        <v>625</v>
      </c>
      <c r="K92" s="817">
        <v>503</v>
      </c>
      <c r="L92" s="1806"/>
      <c r="M92" s="1802">
        <v>452</v>
      </c>
      <c r="N92" s="511">
        <v>662</v>
      </c>
      <c r="O92" s="511">
        <v>13</v>
      </c>
      <c r="P92" s="1803">
        <v>1</v>
      </c>
      <c r="Q92" s="512">
        <v>13</v>
      </c>
    </row>
    <row r="93" spans="1:17" s="512" customFormat="1" x14ac:dyDescent="0.3">
      <c r="A93" s="514" t="s">
        <v>226</v>
      </c>
      <c r="B93" s="510" t="s">
        <v>227</v>
      </c>
      <c r="C93" s="509" t="s">
        <v>252</v>
      </c>
      <c r="D93" s="1829">
        <v>2195</v>
      </c>
      <c r="E93" s="1805">
        <v>873</v>
      </c>
      <c r="F93" s="817">
        <v>501</v>
      </c>
      <c r="G93" s="817">
        <v>626</v>
      </c>
      <c r="H93" s="817">
        <v>195</v>
      </c>
      <c r="I93" s="1806">
        <v>0</v>
      </c>
      <c r="J93" s="1805">
        <v>1270</v>
      </c>
      <c r="K93" s="817">
        <v>925</v>
      </c>
      <c r="L93" s="1806"/>
      <c r="M93" s="1802">
        <v>561</v>
      </c>
      <c r="N93" s="511">
        <v>1610</v>
      </c>
      <c r="O93" s="511">
        <v>24</v>
      </c>
      <c r="P93" s="1803">
        <v>0</v>
      </c>
      <c r="Q93" s="512">
        <v>34</v>
      </c>
    </row>
    <row r="94" spans="1:17" s="512" customFormat="1" x14ac:dyDescent="0.3">
      <c r="A94" s="514" t="s">
        <v>228</v>
      </c>
      <c r="B94" s="510" t="s">
        <v>229</v>
      </c>
      <c r="C94" s="509" t="s">
        <v>256</v>
      </c>
      <c r="D94" s="1829">
        <v>9574</v>
      </c>
      <c r="E94" s="1805">
        <v>3452</v>
      </c>
      <c r="F94" s="817">
        <v>2246</v>
      </c>
      <c r="G94" s="817">
        <v>3248</v>
      </c>
      <c r="H94" s="817">
        <v>628</v>
      </c>
      <c r="I94" s="1806">
        <v>0</v>
      </c>
      <c r="J94" s="1805">
        <v>5452</v>
      </c>
      <c r="K94" s="817">
        <v>4122</v>
      </c>
      <c r="L94" s="1806"/>
      <c r="M94" s="1802">
        <v>9123</v>
      </c>
      <c r="N94" s="511">
        <v>384</v>
      </c>
      <c r="O94" s="511">
        <v>51</v>
      </c>
      <c r="P94" s="1803">
        <v>16</v>
      </c>
      <c r="Q94" s="512">
        <v>53</v>
      </c>
    </row>
    <row r="95" spans="1:17" s="512" customFormat="1" x14ac:dyDescent="0.3">
      <c r="A95" s="514" t="s">
        <v>232</v>
      </c>
      <c r="B95" s="510" t="s">
        <v>233</v>
      </c>
      <c r="C95" s="509" t="s">
        <v>255</v>
      </c>
      <c r="D95" s="1829">
        <v>5293</v>
      </c>
      <c r="E95" s="1805">
        <v>2369</v>
      </c>
      <c r="F95" s="817">
        <v>1112</v>
      </c>
      <c r="G95" s="817">
        <v>1512</v>
      </c>
      <c r="H95" s="817">
        <v>300</v>
      </c>
      <c r="I95" s="1806">
        <v>0</v>
      </c>
      <c r="J95" s="1805">
        <v>3012</v>
      </c>
      <c r="K95" s="817">
        <v>2281</v>
      </c>
      <c r="L95" s="1806"/>
      <c r="M95" s="1802">
        <v>4518</v>
      </c>
      <c r="N95" s="511">
        <v>663</v>
      </c>
      <c r="O95" s="511">
        <v>100</v>
      </c>
      <c r="P95" s="1803">
        <v>12</v>
      </c>
      <c r="Q95" s="512">
        <v>139</v>
      </c>
    </row>
    <row r="96" spans="1:17" s="512" customFormat="1" x14ac:dyDescent="0.3">
      <c r="A96" s="514" t="s">
        <v>234</v>
      </c>
      <c r="B96" s="510" t="s">
        <v>235</v>
      </c>
      <c r="C96" s="509" t="s">
        <v>256</v>
      </c>
      <c r="D96" s="1829">
        <v>8644</v>
      </c>
      <c r="E96" s="1805">
        <v>3326</v>
      </c>
      <c r="F96" s="817">
        <v>1902</v>
      </c>
      <c r="G96" s="817">
        <v>2768</v>
      </c>
      <c r="H96" s="817">
        <v>646</v>
      </c>
      <c r="I96" s="1806">
        <v>2</v>
      </c>
      <c r="J96" s="1805">
        <v>4956</v>
      </c>
      <c r="K96" s="817">
        <v>3688</v>
      </c>
      <c r="L96" s="1806"/>
      <c r="M96" s="1802">
        <v>8348</v>
      </c>
      <c r="N96" s="511">
        <v>203</v>
      </c>
      <c r="O96" s="511">
        <v>83</v>
      </c>
      <c r="P96" s="1803">
        <v>10</v>
      </c>
      <c r="Q96" s="512">
        <v>157</v>
      </c>
    </row>
    <row r="97" spans="1:17" s="512" customFormat="1" x14ac:dyDescent="0.3">
      <c r="A97" s="514" t="s">
        <v>236</v>
      </c>
      <c r="B97" s="510" t="s">
        <v>237</v>
      </c>
      <c r="C97" s="509" t="s">
        <v>254</v>
      </c>
      <c r="D97" s="1829">
        <v>3835</v>
      </c>
      <c r="E97" s="1805">
        <v>1569</v>
      </c>
      <c r="F97" s="817">
        <v>838</v>
      </c>
      <c r="G97" s="817">
        <v>1123</v>
      </c>
      <c r="H97" s="817">
        <v>305</v>
      </c>
      <c r="I97" s="1806">
        <v>0</v>
      </c>
      <c r="J97" s="1805">
        <v>2176</v>
      </c>
      <c r="K97" s="817">
        <v>1659</v>
      </c>
      <c r="L97" s="1806"/>
      <c r="M97" s="1802">
        <v>1931</v>
      </c>
      <c r="N97" s="511">
        <v>1813</v>
      </c>
      <c r="O97" s="511">
        <v>88</v>
      </c>
      <c r="P97" s="1803">
        <v>3</v>
      </c>
      <c r="Q97" s="512">
        <v>141</v>
      </c>
    </row>
    <row r="98" spans="1:17" s="512" customFormat="1" x14ac:dyDescent="0.3">
      <c r="A98" s="514" t="s">
        <v>242</v>
      </c>
      <c r="B98" s="510" t="s">
        <v>243</v>
      </c>
      <c r="C98" s="509" t="s">
        <v>256</v>
      </c>
      <c r="D98" s="1829">
        <v>9431</v>
      </c>
      <c r="E98" s="1805">
        <v>3439</v>
      </c>
      <c r="F98" s="817">
        <v>2202</v>
      </c>
      <c r="G98" s="817">
        <v>3239</v>
      </c>
      <c r="H98" s="817">
        <v>551</v>
      </c>
      <c r="I98" s="1806">
        <v>0</v>
      </c>
      <c r="J98" s="1805">
        <v>5343</v>
      </c>
      <c r="K98" s="817">
        <v>4088</v>
      </c>
      <c r="L98" s="1806"/>
      <c r="M98" s="1802">
        <v>9144</v>
      </c>
      <c r="N98" s="511">
        <v>236</v>
      </c>
      <c r="O98" s="511">
        <v>38</v>
      </c>
      <c r="P98" s="1803">
        <v>13</v>
      </c>
      <c r="Q98" s="512">
        <v>45</v>
      </c>
    </row>
    <row r="99" spans="1:17" s="512" customFormat="1" x14ac:dyDescent="0.3">
      <c r="A99" s="514" t="s">
        <v>244</v>
      </c>
      <c r="B99" s="510" t="s">
        <v>245</v>
      </c>
      <c r="C99" s="509" t="s">
        <v>256</v>
      </c>
      <c r="D99" s="1829">
        <v>5025</v>
      </c>
      <c r="E99" s="1805">
        <v>1867</v>
      </c>
      <c r="F99" s="817">
        <v>1165</v>
      </c>
      <c r="G99" s="817">
        <v>1599</v>
      </c>
      <c r="H99" s="817">
        <v>394</v>
      </c>
      <c r="I99" s="1806">
        <v>0</v>
      </c>
      <c r="J99" s="1805">
        <v>2861</v>
      </c>
      <c r="K99" s="817">
        <v>2164</v>
      </c>
      <c r="L99" s="1806"/>
      <c r="M99" s="1802">
        <v>4718</v>
      </c>
      <c r="N99" s="511">
        <v>283</v>
      </c>
      <c r="O99" s="511">
        <v>22</v>
      </c>
      <c r="P99" s="1803">
        <v>2</v>
      </c>
      <c r="Q99" s="512">
        <v>44</v>
      </c>
    </row>
    <row r="100" spans="1:17" s="512" customFormat="1" x14ac:dyDescent="0.3">
      <c r="A100" s="514" t="s">
        <v>246</v>
      </c>
      <c r="B100" s="510" t="s">
        <v>247</v>
      </c>
      <c r="C100" s="509" t="s">
        <v>252</v>
      </c>
      <c r="D100" s="1829">
        <v>3923</v>
      </c>
      <c r="E100" s="1805">
        <v>1856</v>
      </c>
      <c r="F100" s="817">
        <v>842</v>
      </c>
      <c r="G100" s="817">
        <v>1019</v>
      </c>
      <c r="H100" s="817">
        <v>206</v>
      </c>
      <c r="I100" s="1806">
        <v>0</v>
      </c>
      <c r="J100" s="1805">
        <v>2362</v>
      </c>
      <c r="K100" s="817">
        <v>1561</v>
      </c>
      <c r="L100" s="1806"/>
      <c r="M100" s="1802">
        <v>2306</v>
      </c>
      <c r="N100" s="511">
        <v>1452</v>
      </c>
      <c r="O100" s="511">
        <v>163</v>
      </c>
      <c r="P100" s="1803">
        <v>2</v>
      </c>
      <c r="Q100" s="512">
        <v>193</v>
      </c>
    </row>
    <row r="101" spans="1:17" s="512" customFormat="1" x14ac:dyDescent="0.3">
      <c r="A101" s="514" t="s">
        <v>14</v>
      </c>
      <c r="B101" s="510" t="s">
        <v>15</v>
      </c>
      <c r="C101" s="509" t="s">
        <v>255</v>
      </c>
      <c r="D101" s="1829">
        <v>12116</v>
      </c>
      <c r="E101" s="1805">
        <v>5998</v>
      </c>
      <c r="F101" s="817">
        <v>2078</v>
      </c>
      <c r="G101" s="817">
        <v>2796</v>
      </c>
      <c r="H101" s="817">
        <v>1243</v>
      </c>
      <c r="I101" s="1806">
        <v>1</v>
      </c>
      <c r="J101" s="1805">
        <v>6911</v>
      </c>
      <c r="K101" s="817">
        <v>5205</v>
      </c>
      <c r="L101" s="1806"/>
      <c r="M101" s="1802">
        <v>5053</v>
      </c>
      <c r="N101" s="511">
        <v>5603</v>
      </c>
      <c r="O101" s="511">
        <v>1414</v>
      </c>
      <c r="P101" s="1803">
        <v>46</v>
      </c>
      <c r="Q101" s="512">
        <v>1087</v>
      </c>
    </row>
    <row r="102" spans="1:17" s="512" customFormat="1" x14ac:dyDescent="0.3">
      <c r="A102" s="514" t="s">
        <v>34</v>
      </c>
      <c r="B102" s="510" t="s">
        <v>35</v>
      </c>
      <c r="C102" s="509" t="s">
        <v>256</v>
      </c>
      <c r="D102" s="1829">
        <v>5543</v>
      </c>
      <c r="E102" s="1805">
        <v>2121</v>
      </c>
      <c r="F102" s="817">
        <v>1343</v>
      </c>
      <c r="G102" s="817">
        <v>1725</v>
      </c>
      <c r="H102" s="817">
        <v>353</v>
      </c>
      <c r="I102" s="1806">
        <v>1</v>
      </c>
      <c r="J102" s="1805">
        <v>3171</v>
      </c>
      <c r="K102" s="817">
        <v>2372</v>
      </c>
      <c r="L102" s="1806"/>
      <c r="M102" s="1802">
        <v>4687</v>
      </c>
      <c r="N102" s="511">
        <v>783</v>
      </c>
      <c r="O102" s="511">
        <v>68</v>
      </c>
      <c r="P102" s="1803">
        <v>5</v>
      </c>
      <c r="Q102" s="512">
        <v>84</v>
      </c>
    </row>
    <row r="103" spans="1:17" s="512" customFormat="1" x14ac:dyDescent="0.3">
      <c r="A103" s="514" t="s">
        <v>52</v>
      </c>
      <c r="B103" s="510" t="s">
        <v>53</v>
      </c>
      <c r="C103" s="509" t="s">
        <v>253</v>
      </c>
      <c r="D103" s="1829">
        <v>5464</v>
      </c>
      <c r="E103" s="1805">
        <v>2238</v>
      </c>
      <c r="F103" s="817">
        <v>1136</v>
      </c>
      <c r="G103" s="817">
        <v>1694</v>
      </c>
      <c r="H103" s="817">
        <v>396</v>
      </c>
      <c r="I103" s="1806">
        <v>0</v>
      </c>
      <c r="J103" s="1805">
        <v>2933</v>
      </c>
      <c r="K103" s="817">
        <v>2531</v>
      </c>
      <c r="L103" s="1806"/>
      <c r="M103" s="1802">
        <v>2048</v>
      </c>
      <c r="N103" s="511">
        <v>3092</v>
      </c>
      <c r="O103" s="511">
        <v>314</v>
      </c>
      <c r="P103" s="1803">
        <v>10</v>
      </c>
      <c r="Q103" s="512">
        <v>223</v>
      </c>
    </row>
    <row r="104" spans="1:17" s="512" customFormat="1" x14ac:dyDescent="0.3">
      <c r="A104" s="514" t="s">
        <v>54</v>
      </c>
      <c r="B104" s="510" t="s">
        <v>55</v>
      </c>
      <c r="C104" s="509" t="s">
        <v>252</v>
      </c>
      <c r="D104" s="1829">
        <v>26650</v>
      </c>
      <c r="E104" s="1805">
        <v>12382</v>
      </c>
      <c r="F104" s="817">
        <v>5954</v>
      </c>
      <c r="G104" s="817">
        <v>6836</v>
      </c>
      <c r="H104" s="817">
        <v>1472</v>
      </c>
      <c r="I104" s="1806">
        <v>6</v>
      </c>
      <c r="J104" s="1805">
        <v>16132</v>
      </c>
      <c r="K104" s="817">
        <v>10518</v>
      </c>
      <c r="L104" s="1806"/>
      <c r="M104" s="1802">
        <v>8686</v>
      </c>
      <c r="N104" s="511">
        <v>17061</v>
      </c>
      <c r="O104" s="511">
        <v>839</v>
      </c>
      <c r="P104" s="1803">
        <v>64</v>
      </c>
      <c r="Q104" s="512">
        <v>1061</v>
      </c>
    </row>
    <row r="105" spans="1:17" s="512" customFormat="1" x14ac:dyDescent="0.3">
      <c r="A105" s="514" t="s">
        <v>66</v>
      </c>
      <c r="B105" s="510" t="s">
        <v>67</v>
      </c>
      <c r="C105" s="509" t="s">
        <v>253</v>
      </c>
      <c r="D105" s="1829">
        <v>14888</v>
      </c>
      <c r="E105" s="1805">
        <v>5824</v>
      </c>
      <c r="F105" s="817">
        <v>3662</v>
      </c>
      <c r="G105" s="817">
        <v>4361</v>
      </c>
      <c r="H105" s="817">
        <v>1039</v>
      </c>
      <c r="I105" s="1806">
        <v>2</v>
      </c>
      <c r="J105" s="1805">
        <v>8645</v>
      </c>
      <c r="K105" s="817">
        <v>6243</v>
      </c>
      <c r="L105" s="1806"/>
      <c r="M105" s="1802">
        <v>4156</v>
      </c>
      <c r="N105" s="511">
        <v>10514</v>
      </c>
      <c r="O105" s="511">
        <v>197</v>
      </c>
      <c r="P105" s="1803">
        <v>21</v>
      </c>
      <c r="Q105" s="512">
        <v>349</v>
      </c>
    </row>
    <row r="106" spans="1:17" s="512" customFormat="1" x14ac:dyDescent="0.3">
      <c r="A106" s="514" t="s">
        <v>82</v>
      </c>
      <c r="B106" s="510" t="s">
        <v>83</v>
      </c>
      <c r="C106" s="509" t="s">
        <v>252</v>
      </c>
      <c r="D106" s="1829">
        <v>2983</v>
      </c>
      <c r="E106" s="1805">
        <v>1271</v>
      </c>
      <c r="F106" s="817">
        <v>685</v>
      </c>
      <c r="G106" s="817">
        <v>829</v>
      </c>
      <c r="H106" s="817">
        <v>198</v>
      </c>
      <c r="I106" s="1806">
        <v>0</v>
      </c>
      <c r="J106" s="1805">
        <v>1753</v>
      </c>
      <c r="K106" s="817">
        <v>1230</v>
      </c>
      <c r="L106" s="1806"/>
      <c r="M106" s="1802">
        <v>364</v>
      </c>
      <c r="N106" s="511">
        <v>2592</v>
      </c>
      <c r="O106" s="511">
        <v>24</v>
      </c>
      <c r="P106" s="1803">
        <v>3</v>
      </c>
      <c r="Q106" s="512">
        <v>51</v>
      </c>
    </row>
    <row r="107" spans="1:17" s="512" customFormat="1" x14ac:dyDescent="0.3">
      <c r="A107" s="514" t="s">
        <v>88</v>
      </c>
      <c r="B107" s="510" t="s">
        <v>89</v>
      </c>
      <c r="C107" s="509" t="s">
        <v>255</v>
      </c>
      <c r="D107" s="1829">
        <v>5721</v>
      </c>
      <c r="E107" s="1805">
        <v>2556</v>
      </c>
      <c r="F107" s="817">
        <v>1327</v>
      </c>
      <c r="G107" s="817">
        <v>1514</v>
      </c>
      <c r="H107" s="817">
        <v>323</v>
      </c>
      <c r="I107" s="1806">
        <v>1</v>
      </c>
      <c r="J107" s="1805">
        <v>3243</v>
      </c>
      <c r="K107" s="817">
        <v>2478</v>
      </c>
      <c r="L107" s="1806"/>
      <c r="M107" s="1802">
        <v>2516</v>
      </c>
      <c r="N107" s="511">
        <v>2763</v>
      </c>
      <c r="O107" s="511">
        <v>429</v>
      </c>
      <c r="P107" s="1803">
        <v>13</v>
      </c>
      <c r="Q107" s="512">
        <v>266</v>
      </c>
    </row>
    <row r="108" spans="1:17" s="512" customFormat="1" x14ac:dyDescent="0.3">
      <c r="A108" s="514" t="s">
        <v>90</v>
      </c>
      <c r="B108" s="510" t="s">
        <v>91</v>
      </c>
      <c r="C108" s="509" t="s">
        <v>256</v>
      </c>
      <c r="D108" s="1829">
        <v>2184</v>
      </c>
      <c r="E108" s="1805">
        <v>859</v>
      </c>
      <c r="F108" s="817">
        <v>524</v>
      </c>
      <c r="G108" s="817">
        <v>622</v>
      </c>
      <c r="H108" s="817">
        <v>179</v>
      </c>
      <c r="I108" s="1806">
        <v>0</v>
      </c>
      <c r="J108" s="1805">
        <v>1209</v>
      </c>
      <c r="K108" s="817">
        <v>975</v>
      </c>
      <c r="L108" s="1806"/>
      <c r="M108" s="1802">
        <v>1954</v>
      </c>
      <c r="N108" s="511">
        <v>216</v>
      </c>
      <c r="O108" s="511">
        <v>14</v>
      </c>
      <c r="P108" s="1803">
        <v>0</v>
      </c>
      <c r="Q108" s="512">
        <v>268</v>
      </c>
    </row>
    <row r="109" spans="1:17" s="512" customFormat="1" x14ac:dyDescent="0.3">
      <c r="A109" s="514" t="s">
        <v>106</v>
      </c>
      <c r="B109" s="510" t="s">
        <v>107</v>
      </c>
      <c r="C109" s="509" t="s">
        <v>252</v>
      </c>
      <c r="D109" s="1829">
        <v>26370</v>
      </c>
      <c r="E109" s="1805">
        <v>11475</v>
      </c>
      <c r="F109" s="817">
        <v>6154</v>
      </c>
      <c r="G109" s="817">
        <v>7381</v>
      </c>
      <c r="H109" s="817">
        <v>1356</v>
      </c>
      <c r="I109" s="1806">
        <v>4</v>
      </c>
      <c r="J109" s="1805">
        <v>15510</v>
      </c>
      <c r="K109" s="817">
        <v>10860</v>
      </c>
      <c r="L109" s="1806"/>
      <c r="M109" s="1802">
        <v>6142</v>
      </c>
      <c r="N109" s="511">
        <v>19487</v>
      </c>
      <c r="O109" s="511">
        <v>709</v>
      </c>
      <c r="P109" s="1803">
        <v>32</v>
      </c>
      <c r="Q109" s="512">
        <v>991</v>
      </c>
    </row>
    <row r="110" spans="1:17" s="512" customFormat="1" x14ac:dyDescent="0.3">
      <c r="A110" s="514" t="s">
        <v>116</v>
      </c>
      <c r="B110" s="510" t="s">
        <v>117</v>
      </c>
      <c r="C110" s="509" t="s">
        <v>254</v>
      </c>
      <c r="D110" s="1829">
        <v>8889</v>
      </c>
      <c r="E110" s="1805">
        <v>3926</v>
      </c>
      <c r="F110" s="817">
        <v>2274</v>
      </c>
      <c r="G110" s="817">
        <v>2321</v>
      </c>
      <c r="H110" s="817">
        <v>368</v>
      </c>
      <c r="I110" s="1806">
        <v>0</v>
      </c>
      <c r="J110" s="1805">
        <v>5215</v>
      </c>
      <c r="K110" s="817">
        <v>3674</v>
      </c>
      <c r="L110" s="1806"/>
      <c r="M110" s="1802">
        <v>3414</v>
      </c>
      <c r="N110" s="511">
        <v>5287</v>
      </c>
      <c r="O110" s="511">
        <v>177</v>
      </c>
      <c r="P110" s="1803">
        <v>11</v>
      </c>
      <c r="Q110" s="512">
        <v>441</v>
      </c>
    </row>
    <row r="111" spans="1:17" s="512" customFormat="1" x14ac:dyDescent="0.3">
      <c r="A111" s="514" t="s">
        <v>138</v>
      </c>
      <c r="B111" s="510" t="s">
        <v>139</v>
      </c>
      <c r="C111" s="509" t="s">
        <v>253</v>
      </c>
      <c r="D111" s="1829">
        <v>14392</v>
      </c>
      <c r="E111" s="1805">
        <v>6304</v>
      </c>
      <c r="F111" s="817">
        <v>3293</v>
      </c>
      <c r="G111" s="817">
        <v>3907</v>
      </c>
      <c r="H111" s="817">
        <v>887</v>
      </c>
      <c r="I111" s="1806">
        <v>1</v>
      </c>
      <c r="J111" s="1805">
        <v>8553</v>
      </c>
      <c r="K111" s="817">
        <v>5839</v>
      </c>
      <c r="L111" s="1806"/>
      <c r="M111" s="1802">
        <v>4968</v>
      </c>
      <c r="N111" s="511">
        <v>9167</v>
      </c>
      <c r="O111" s="511">
        <v>230</v>
      </c>
      <c r="P111" s="1803">
        <v>27</v>
      </c>
      <c r="Q111" s="512">
        <v>271</v>
      </c>
    </row>
    <row r="112" spans="1:17" s="512" customFormat="1" x14ac:dyDescent="0.3">
      <c r="A112" s="514" t="s">
        <v>142</v>
      </c>
      <c r="B112" s="510" t="s">
        <v>143</v>
      </c>
      <c r="C112" s="509" t="s">
        <v>255</v>
      </c>
      <c r="D112" s="1829">
        <v>4359</v>
      </c>
      <c r="E112" s="1805">
        <v>2686</v>
      </c>
      <c r="F112" s="817">
        <v>715</v>
      </c>
      <c r="G112" s="817">
        <v>741</v>
      </c>
      <c r="H112" s="817">
        <v>217</v>
      </c>
      <c r="I112" s="1806">
        <v>0</v>
      </c>
      <c r="J112" s="1805">
        <v>2430</v>
      </c>
      <c r="K112" s="817">
        <v>1929</v>
      </c>
      <c r="L112" s="1806"/>
      <c r="M112" s="1802">
        <v>2919</v>
      </c>
      <c r="N112" s="511">
        <v>1185</v>
      </c>
      <c r="O112" s="511">
        <v>246</v>
      </c>
      <c r="P112" s="1803">
        <v>9</v>
      </c>
      <c r="Q112" s="512">
        <v>1015</v>
      </c>
    </row>
    <row r="113" spans="1:17" s="512" customFormat="1" x14ac:dyDescent="0.3">
      <c r="A113" s="514" t="s">
        <v>144</v>
      </c>
      <c r="B113" s="510" t="s">
        <v>145</v>
      </c>
      <c r="C113" s="509" t="s">
        <v>255</v>
      </c>
      <c r="D113" s="1829">
        <v>1354</v>
      </c>
      <c r="E113" s="1805">
        <v>766</v>
      </c>
      <c r="F113" s="817">
        <v>202</v>
      </c>
      <c r="G113" s="817">
        <v>268</v>
      </c>
      <c r="H113" s="817">
        <v>118</v>
      </c>
      <c r="I113" s="1806">
        <v>0</v>
      </c>
      <c r="J113" s="1805">
        <v>773</v>
      </c>
      <c r="K113" s="817">
        <v>581</v>
      </c>
      <c r="L113" s="1806"/>
      <c r="M113" s="1802">
        <v>964</v>
      </c>
      <c r="N113" s="511">
        <v>283</v>
      </c>
      <c r="O113" s="511">
        <v>106</v>
      </c>
      <c r="P113" s="1803">
        <v>1</v>
      </c>
      <c r="Q113" s="512">
        <v>464</v>
      </c>
    </row>
    <row r="114" spans="1:17" s="512" customFormat="1" x14ac:dyDescent="0.3">
      <c r="A114" s="514" t="s">
        <v>158</v>
      </c>
      <c r="B114" s="510" t="s">
        <v>159</v>
      </c>
      <c r="C114" s="509" t="s">
        <v>252</v>
      </c>
      <c r="D114" s="1829">
        <v>40863</v>
      </c>
      <c r="E114" s="1805">
        <v>18945</v>
      </c>
      <c r="F114" s="817">
        <v>9670</v>
      </c>
      <c r="G114" s="817">
        <v>10341</v>
      </c>
      <c r="H114" s="817">
        <v>1898</v>
      </c>
      <c r="I114" s="1806">
        <v>9</v>
      </c>
      <c r="J114" s="1805">
        <v>24416</v>
      </c>
      <c r="K114" s="817">
        <v>16447</v>
      </c>
      <c r="L114" s="1806"/>
      <c r="M114" s="1802">
        <v>9267</v>
      </c>
      <c r="N114" s="511">
        <v>30238</v>
      </c>
      <c r="O114" s="511">
        <v>1311</v>
      </c>
      <c r="P114" s="1803">
        <v>47</v>
      </c>
      <c r="Q114" s="512">
        <v>2448</v>
      </c>
    </row>
    <row r="115" spans="1:17" s="512" customFormat="1" x14ac:dyDescent="0.3">
      <c r="A115" s="514" t="s">
        <v>160</v>
      </c>
      <c r="B115" s="510" t="s">
        <v>161</v>
      </c>
      <c r="C115" s="509" t="s">
        <v>252</v>
      </c>
      <c r="D115" s="1829">
        <v>48937</v>
      </c>
      <c r="E115" s="1805">
        <v>21807</v>
      </c>
      <c r="F115" s="817">
        <v>10740</v>
      </c>
      <c r="G115" s="817">
        <v>13404</v>
      </c>
      <c r="H115" s="817">
        <v>2984</v>
      </c>
      <c r="I115" s="1806">
        <v>2</v>
      </c>
      <c r="J115" s="1805">
        <v>29176</v>
      </c>
      <c r="K115" s="817">
        <v>19759</v>
      </c>
      <c r="L115" s="1806">
        <v>2</v>
      </c>
      <c r="M115" s="1802">
        <v>9393</v>
      </c>
      <c r="N115" s="511">
        <v>38246</v>
      </c>
      <c r="O115" s="511">
        <v>1212</v>
      </c>
      <c r="P115" s="1803">
        <v>86</v>
      </c>
      <c r="Q115" s="512">
        <v>1888</v>
      </c>
    </row>
    <row r="116" spans="1:17" s="512" customFormat="1" x14ac:dyDescent="0.3">
      <c r="A116" s="514" t="s">
        <v>166</v>
      </c>
      <c r="B116" s="510" t="s">
        <v>167</v>
      </c>
      <c r="C116" s="509" t="s">
        <v>256</v>
      </c>
      <c r="D116" s="1829">
        <v>1233</v>
      </c>
      <c r="E116" s="1805">
        <v>419</v>
      </c>
      <c r="F116" s="817">
        <v>298</v>
      </c>
      <c r="G116" s="817">
        <v>414</v>
      </c>
      <c r="H116" s="817">
        <v>102</v>
      </c>
      <c r="I116" s="1806">
        <v>0</v>
      </c>
      <c r="J116" s="1805">
        <v>744</v>
      </c>
      <c r="K116" s="817">
        <v>489</v>
      </c>
      <c r="L116" s="1806"/>
      <c r="M116" s="1802">
        <v>1114</v>
      </c>
      <c r="N116" s="511">
        <v>99</v>
      </c>
      <c r="O116" s="511">
        <v>19</v>
      </c>
      <c r="P116" s="1803">
        <v>1</v>
      </c>
      <c r="Q116" s="512">
        <v>15</v>
      </c>
    </row>
    <row r="117" spans="1:17" s="512" customFormat="1" x14ac:dyDescent="0.3">
      <c r="A117" s="514" t="s">
        <v>176</v>
      </c>
      <c r="B117" s="510" t="s">
        <v>177</v>
      </c>
      <c r="C117" s="509" t="s">
        <v>254</v>
      </c>
      <c r="D117" s="1829">
        <v>12770</v>
      </c>
      <c r="E117" s="1805">
        <v>4883</v>
      </c>
      <c r="F117" s="817">
        <v>3278</v>
      </c>
      <c r="G117" s="817">
        <v>3853</v>
      </c>
      <c r="H117" s="817">
        <v>752</v>
      </c>
      <c r="I117" s="1806">
        <v>4</v>
      </c>
      <c r="J117" s="1805">
        <v>7271</v>
      </c>
      <c r="K117" s="817">
        <v>5499</v>
      </c>
      <c r="L117" s="1806"/>
      <c r="M117" s="1802">
        <v>1363</v>
      </c>
      <c r="N117" s="511">
        <v>11215</v>
      </c>
      <c r="O117" s="511">
        <v>172</v>
      </c>
      <c r="P117" s="1803">
        <v>20</v>
      </c>
      <c r="Q117" s="512">
        <v>340</v>
      </c>
    </row>
    <row r="118" spans="1:17" s="512" customFormat="1" x14ac:dyDescent="0.3">
      <c r="A118" s="514" t="s">
        <v>180</v>
      </c>
      <c r="B118" s="510" t="s">
        <v>181</v>
      </c>
      <c r="C118" s="509" t="s">
        <v>252</v>
      </c>
      <c r="D118" s="1829">
        <v>26952</v>
      </c>
      <c r="E118" s="1805">
        <v>11823</v>
      </c>
      <c r="F118" s="817">
        <v>6436</v>
      </c>
      <c r="G118" s="817">
        <v>7335</v>
      </c>
      <c r="H118" s="817">
        <v>1336</v>
      </c>
      <c r="I118" s="1806">
        <v>22</v>
      </c>
      <c r="J118" s="1805">
        <v>15876</v>
      </c>
      <c r="K118" s="817">
        <v>11076</v>
      </c>
      <c r="L118" s="1806"/>
      <c r="M118" s="1802">
        <v>4448</v>
      </c>
      <c r="N118" s="511">
        <v>22108</v>
      </c>
      <c r="O118" s="511">
        <v>365</v>
      </c>
      <c r="P118" s="1803">
        <v>31</v>
      </c>
      <c r="Q118" s="512">
        <v>461</v>
      </c>
    </row>
    <row r="119" spans="1:17" s="512" customFormat="1" x14ac:dyDescent="0.3">
      <c r="A119" s="514" t="s">
        <v>192</v>
      </c>
      <c r="B119" s="510" t="s">
        <v>193</v>
      </c>
      <c r="C119" s="509" t="s">
        <v>256</v>
      </c>
      <c r="D119" s="1829">
        <v>1998</v>
      </c>
      <c r="E119" s="1805">
        <v>827</v>
      </c>
      <c r="F119" s="817">
        <v>536</v>
      </c>
      <c r="G119" s="817">
        <v>551</v>
      </c>
      <c r="H119" s="817">
        <v>84</v>
      </c>
      <c r="I119" s="1806">
        <v>0</v>
      </c>
      <c r="J119" s="1805">
        <v>1150</v>
      </c>
      <c r="K119" s="817">
        <v>848</v>
      </c>
      <c r="L119" s="1806"/>
      <c r="M119" s="1802">
        <v>1524</v>
      </c>
      <c r="N119" s="511">
        <v>448</v>
      </c>
      <c r="O119" s="511">
        <v>26</v>
      </c>
      <c r="P119" s="1803">
        <v>0</v>
      </c>
      <c r="Q119" s="512">
        <v>46</v>
      </c>
    </row>
    <row r="120" spans="1:17" s="512" customFormat="1" x14ac:dyDescent="0.3">
      <c r="A120" s="514" t="s">
        <v>196</v>
      </c>
      <c r="B120" s="510" t="s">
        <v>197</v>
      </c>
      <c r="C120" s="509" t="s">
        <v>254</v>
      </c>
      <c r="D120" s="1829">
        <v>51315</v>
      </c>
      <c r="E120" s="1805">
        <v>21722</v>
      </c>
      <c r="F120" s="817">
        <v>11940</v>
      </c>
      <c r="G120" s="817">
        <v>14417</v>
      </c>
      <c r="H120" s="817">
        <v>3221</v>
      </c>
      <c r="I120" s="1806">
        <v>15</v>
      </c>
      <c r="J120" s="1805">
        <v>29459</v>
      </c>
      <c r="K120" s="817">
        <v>21856</v>
      </c>
      <c r="L120" s="1806"/>
      <c r="M120" s="1802">
        <v>7362</v>
      </c>
      <c r="N120" s="511">
        <v>42916</v>
      </c>
      <c r="O120" s="511">
        <v>943</v>
      </c>
      <c r="P120" s="1803">
        <v>94</v>
      </c>
      <c r="Q120" s="512">
        <v>2095</v>
      </c>
    </row>
    <row r="121" spans="1:17" s="512" customFormat="1" x14ac:dyDescent="0.3">
      <c r="A121" s="514" t="s">
        <v>200</v>
      </c>
      <c r="B121" s="510" t="s">
        <v>201</v>
      </c>
      <c r="C121" s="509" t="s">
        <v>253</v>
      </c>
      <c r="D121" s="1829">
        <v>27030</v>
      </c>
      <c r="E121" s="1805">
        <v>11636</v>
      </c>
      <c r="F121" s="817">
        <v>5930</v>
      </c>
      <c r="G121" s="817">
        <v>7906</v>
      </c>
      <c r="H121" s="817">
        <v>1547</v>
      </c>
      <c r="I121" s="1806">
        <v>11</v>
      </c>
      <c r="J121" s="1805">
        <v>15455</v>
      </c>
      <c r="K121" s="817">
        <v>11575</v>
      </c>
      <c r="L121" s="1806"/>
      <c r="M121" s="1802">
        <v>13103</v>
      </c>
      <c r="N121" s="511">
        <v>12873</v>
      </c>
      <c r="O121" s="511">
        <v>989</v>
      </c>
      <c r="P121" s="1803">
        <v>65</v>
      </c>
      <c r="Q121" s="512">
        <v>1055</v>
      </c>
    </row>
    <row r="122" spans="1:17" s="512" customFormat="1" x14ac:dyDescent="0.3">
      <c r="A122" s="514" t="s">
        <v>222</v>
      </c>
      <c r="B122" s="510" t="s">
        <v>223</v>
      </c>
      <c r="C122" s="509" t="s">
        <v>252</v>
      </c>
      <c r="D122" s="1829">
        <v>14411</v>
      </c>
      <c r="E122" s="1805">
        <v>6346</v>
      </c>
      <c r="F122" s="817">
        <v>3196</v>
      </c>
      <c r="G122" s="817">
        <v>3927</v>
      </c>
      <c r="H122" s="817">
        <v>941</v>
      </c>
      <c r="I122" s="1806">
        <v>1</v>
      </c>
      <c r="J122" s="1805">
        <v>8393</v>
      </c>
      <c r="K122" s="817">
        <v>6018</v>
      </c>
      <c r="L122" s="1806"/>
      <c r="M122" s="1802">
        <v>3176</v>
      </c>
      <c r="N122" s="511">
        <v>10965</v>
      </c>
      <c r="O122" s="511">
        <v>246</v>
      </c>
      <c r="P122" s="1803">
        <v>24</v>
      </c>
      <c r="Q122" s="512">
        <v>317</v>
      </c>
    </row>
    <row r="123" spans="1:17" s="512" customFormat="1" x14ac:dyDescent="0.3">
      <c r="A123" s="514" t="s">
        <v>230</v>
      </c>
      <c r="B123" s="510" t="s">
        <v>231</v>
      </c>
      <c r="C123" s="509" t="s">
        <v>252</v>
      </c>
      <c r="D123" s="1829">
        <v>38621</v>
      </c>
      <c r="E123" s="1805">
        <v>17520</v>
      </c>
      <c r="F123" s="817">
        <v>8425</v>
      </c>
      <c r="G123" s="817">
        <v>10278</v>
      </c>
      <c r="H123" s="817">
        <v>2392</v>
      </c>
      <c r="I123" s="1806">
        <v>6</v>
      </c>
      <c r="J123" s="1805">
        <v>22912</v>
      </c>
      <c r="K123" s="817">
        <v>15709</v>
      </c>
      <c r="L123" s="1806"/>
      <c r="M123" s="1802">
        <v>16661</v>
      </c>
      <c r="N123" s="511">
        <v>19709</v>
      </c>
      <c r="O123" s="511">
        <v>2145</v>
      </c>
      <c r="P123" s="1803">
        <v>106</v>
      </c>
      <c r="Q123" s="512">
        <v>2343</v>
      </c>
    </row>
    <row r="124" spans="1:17" s="512" customFormat="1" x14ac:dyDescent="0.3">
      <c r="A124" s="514" t="s">
        <v>238</v>
      </c>
      <c r="B124" s="510" t="s">
        <v>239</v>
      </c>
      <c r="C124" s="509" t="s">
        <v>252</v>
      </c>
      <c r="D124" s="1829">
        <v>1746</v>
      </c>
      <c r="E124" s="1805">
        <v>765</v>
      </c>
      <c r="F124" s="817">
        <v>392</v>
      </c>
      <c r="G124" s="817">
        <v>519</v>
      </c>
      <c r="H124" s="817">
        <v>70</v>
      </c>
      <c r="I124" s="1806">
        <v>0</v>
      </c>
      <c r="J124" s="1805">
        <v>978</v>
      </c>
      <c r="K124" s="817">
        <v>768</v>
      </c>
      <c r="L124" s="1806"/>
      <c r="M124" s="1802">
        <v>765</v>
      </c>
      <c r="N124" s="511">
        <v>915</v>
      </c>
      <c r="O124" s="511">
        <v>63</v>
      </c>
      <c r="P124" s="1803">
        <v>3</v>
      </c>
      <c r="Q124" s="512">
        <v>105</v>
      </c>
    </row>
    <row r="125" spans="1:17" s="512" customFormat="1" x14ac:dyDescent="0.3">
      <c r="A125" s="514" t="s">
        <v>240</v>
      </c>
      <c r="B125" s="510" t="s">
        <v>241</v>
      </c>
      <c r="C125" s="509" t="s">
        <v>255</v>
      </c>
      <c r="D125" s="1829">
        <v>4766</v>
      </c>
      <c r="E125" s="1805">
        <v>2254</v>
      </c>
      <c r="F125" s="817">
        <v>967</v>
      </c>
      <c r="G125" s="817">
        <v>1245</v>
      </c>
      <c r="H125" s="817">
        <v>300</v>
      </c>
      <c r="I125" s="1806">
        <v>0</v>
      </c>
      <c r="J125" s="1805">
        <v>2636</v>
      </c>
      <c r="K125" s="817">
        <v>2130</v>
      </c>
      <c r="L125" s="1806"/>
      <c r="M125" s="1802">
        <v>3501</v>
      </c>
      <c r="N125" s="511">
        <v>1189</v>
      </c>
      <c r="O125" s="511">
        <v>70</v>
      </c>
      <c r="P125" s="1803">
        <v>6</v>
      </c>
      <c r="Q125" s="512">
        <v>633</v>
      </c>
    </row>
    <row r="126" spans="1:17" x14ac:dyDescent="0.3">
      <c r="B126" s="418"/>
      <c r="C126" s="418"/>
      <c r="D126" s="418"/>
      <c r="E126" s="418"/>
      <c r="F126" s="418"/>
      <c r="G126" s="418"/>
      <c r="H126" s="418"/>
      <c r="I126" s="418"/>
      <c r="J126" s="418"/>
      <c r="K126" s="418"/>
      <c r="L126" s="418"/>
    </row>
    <row r="127" spans="1:17" ht="15.75" customHeight="1" x14ac:dyDescent="0.3">
      <c r="A127" s="2749" t="s">
        <v>1170</v>
      </c>
      <c r="B127" s="2749"/>
      <c r="C127" s="2749"/>
      <c r="D127" s="2749"/>
      <c r="E127" s="2749"/>
      <c r="F127" s="2749"/>
      <c r="G127" s="2749"/>
      <c r="H127" s="2749"/>
      <c r="I127" s="2749"/>
      <c r="J127" s="2749"/>
      <c r="K127" s="2749"/>
      <c r="L127" s="2749"/>
      <c r="M127" s="2749"/>
      <c r="N127" s="2749"/>
      <c r="O127" s="2749"/>
      <c r="P127" s="2749"/>
    </row>
    <row r="128" spans="1:17" x14ac:dyDescent="0.3">
      <c r="A128" s="2749"/>
      <c r="B128" s="2749"/>
      <c r="C128" s="2749"/>
      <c r="D128" s="2749"/>
      <c r="E128" s="2749"/>
      <c r="F128" s="2749"/>
      <c r="G128" s="2749"/>
      <c r="H128" s="2749"/>
      <c r="I128" s="2749"/>
      <c r="J128" s="2749"/>
      <c r="K128" s="2749"/>
      <c r="L128" s="2749"/>
      <c r="M128" s="2749"/>
      <c r="N128" s="2749"/>
      <c r="O128" s="2749"/>
      <c r="P128" s="2749"/>
    </row>
    <row r="129" spans="1:12" s="359" customFormat="1" x14ac:dyDescent="0.3">
      <c r="A129" s="359" t="s">
        <v>248</v>
      </c>
    </row>
    <row r="130" spans="1:12" s="359" customFormat="1" x14ac:dyDescent="0.3">
      <c r="A130" s="360" t="s">
        <v>249</v>
      </c>
      <c r="B130" s="361" t="s">
        <v>250</v>
      </c>
      <c r="C130" s="361"/>
      <c r="D130" s="361"/>
      <c r="E130" s="361"/>
      <c r="F130" s="361"/>
      <c r="G130" s="361"/>
      <c r="H130" s="361"/>
      <c r="I130" s="361"/>
      <c r="J130" s="361"/>
      <c r="K130" s="361"/>
      <c r="L130" s="361"/>
    </row>
  </sheetData>
  <autoFilter ref="A4:C4"/>
  <sortState ref="A6:Q125">
    <sortCondition ref="A6:A125"/>
  </sortState>
  <mergeCells count="5">
    <mergeCell ref="A127:P128"/>
    <mergeCell ref="M3:P3"/>
    <mergeCell ref="E3:I3"/>
    <mergeCell ref="J3:L3"/>
    <mergeCell ref="Q3:Q4"/>
  </mergeCells>
  <hyperlinks>
    <hyperlink ref="B130" r:id="rId1"/>
  </hyperlinks>
  <pageMargins left="0.75" right="0.75" top="1" bottom="1" header="0.5" footer="0.5"/>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topLeftCell="A2" workbookViewId="0">
      <selection activeCell="B27" sqref="B27"/>
    </sheetView>
  </sheetViews>
  <sheetFormatPr defaultRowHeight="15.6" x14ac:dyDescent="0.3"/>
  <cols>
    <col min="1" max="1" width="18.19921875" customWidth="1"/>
    <col min="2" max="2" width="17.69921875" customWidth="1"/>
    <col min="3" max="3" width="14.59765625" customWidth="1"/>
    <col min="4" max="4" width="13.19921875" customWidth="1"/>
    <col min="5" max="5" width="16.796875" customWidth="1"/>
  </cols>
  <sheetData>
    <row r="1" spans="1:19" x14ac:dyDescent="0.3">
      <c r="A1" t="s">
        <v>717</v>
      </c>
      <c r="F1" t="s">
        <v>716</v>
      </c>
      <c r="L1" s="2693" t="str">
        <f>Profile!D3</f>
        <v>Accomack</v>
      </c>
      <c r="M1" s="2693"/>
      <c r="N1" s="2693" t="str">
        <f>Profile!D3</f>
        <v>Accomack</v>
      </c>
      <c r="O1" s="2693"/>
      <c r="P1" s="2693" t="str">
        <f>Profile!D3</f>
        <v>Accomack</v>
      </c>
      <c r="Q1" s="2693"/>
      <c r="R1" s="2693" t="str">
        <f>Profile!D3</f>
        <v>Accomack</v>
      </c>
      <c r="S1" s="2693"/>
    </row>
    <row r="2" spans="1:19" x14ac:dyDescent="0.3">
      <c r="B2" t="str">
        <f>Profile!D3</f>
        <v>Accomack</v>
      </c>
      <c r="C2" t="str">
        <f>Profile!K3</f>
        <v>Eastern</v>
      </c>
      <c r="D2" t="s">
        <v>693</v>
      </c>
      <c r="G2" t="str">
        <f>Profile!D3</f>
        <v>Accomack</v>
      </c>
      <c r="H2" t="str">
        <f>Profile!K3</f>
        <v>Eastern</v>
      </c>
      <c r="I2" t="s">
        <v>693</v>
      </c>
      <c r="L2" s="2693" t="s">
        <v>306</v>
      </c>
      <c r="M2" s="2693"/>
      <c r="N2" s="2693" t="s">
        <v>312</v>
      </c>
      <c r="O2" s="2693"/>
      <c r="P2" s="2693" t="s">
        <v>918</v>
      </c>
      <c r="Q2" s="2693"/>
      <c r="R2" t="s">
        <v>918</v>
      </c>
    </row>
    <row r="3" spans="1:19" x14ac:dyDescent="0.3">
      <c r="A3">
        <v>1998</v>
      </c>
      <c r="B3" s="1929">
        <f>VLOOKUP(Profile!$I$3,NMBirths_Trend,48,FALSE)</f>
        <v>0.5298329355608592</v>
      </c>
      <c r="C3" s="1929">
        <f>VLOOKUP(Profile!$K$3,NMBirths_Trend,48,FALSE)</f>
        <v>0.37341746714360358</v>
      </c>
      <c r="D3" s="1929">
        <f>'NM Births_Trend'!AV5</f>
        <v>0.2981171770406103</v>
      </c>
      <c r="F3">
        <v>1998</v>
      </c>
      <c r="G3" s="981">
        <f>VLOOKUP(Profile!$I$3,TeenBirths_Trend,48,FALSE)</f>
        <v>33.483258370814596</v>
      </c>
      <c r="H3" s="981">
        <f>VLOOKUP(Profile!$K$3,TeenBirths_Trend,48,FALSE)</f>
        <v>26.16430374830064</v>
      </c>
      <c r="I3" s="981">
        <f>'Teen Births_Trend'!AV5</f>
        <v>21.993094229370861</v>
      </c>
      <c r="L3" t="s">
        <v>916</v>
      </c>
      <c r="M3" t="s">
        <v>917</v>
      </c>
      <c r="N3" t="s">
        <v>916</v>
      </c>
      <c r="O3" t="s">
        <v>917</v>
      </c>
      <c r="P3" t="s">
        <v>916</v>
      </c>
      <c r="Q3" t="s">
        <v>917</v>
      </c>
      <c r="R3" t="s">
        <v>916</v>
      </c>
      <c r="S3" t="s">
        <v>917</v>
      </c>
    </row>
    <row r="4" spans="1:19" x14ac:dyDescent="0.3">
      <c r="A4">
        <v>1999</v>
      </c>
      <c r="B4" s="1929">
        <f>VLOOKUP(Profile!$I$3,NMBirths_Trend,49,FALSE)</f>
        <v>0.51756440281030447</v>
      </c>
      <c r="C4" s="1929">
        <f>VLOOKUP(Profile!$K$3,NMBirths_Trend,49,FALSE)</f>
        <v>0.37722880362269035</v>
      </c>
      <c r="D4" s="1929">
        <f>'NM Births_Trend'!AW5</f>
        <v>0.29729956830905291</v>
      </c>
      <c r="F4">
        <v>1999</v>
      </c>
      <c r="G4" s="981">
        <f>VLOOKUP(Profile!$I$3,TeenBirths_Trend,49,FALSE)</f>
        <v>40.520260130065033</v>
      </c>
      <c r="H4" s="981">
        <f>VLOOKUP(Profile!$K$3,TeenBirths_Trend,49,FALSE)</f>
        <v>25.422437567612867</v>
      </c>
      <c r="I4" s="981">
        <f>'Teen Births_Trend'!AW5</f>
        <v>21.672451714894493</v>
      </c>
      <c r="K4" s="1410">
        <v>43282</v>
      </c>
      <c r="L4">
        <f>VLOOKUP(Profile!I3,snap_apps_recvd,4,FALSE)</f>
        <v>148</v>
      </c>
      <c r="M4">
        <f>VLOOKUP(Profile!I3,snap_apps_disp,4,FALSE)</f>
        <v>141</v>
      </c>
      <c r="N4">
        <f>VLOOKUP(Profile!I3,tanf_apps_recvd,4,FALSE)</f>
        <v>26</v>
      </c>
      <c r="O4">
        <f>VLOOKUP(Profile!I3,tanf_apps_disp,4,FALSE)</f>
        <v>29</v>
      </c>
      <c r="P4">
        <f>VLOOKUP(Profile!I3,ma_apps_recvd,4,FALSE)</f>
        <v>136</v>
      </c>
      <c r="Q4">
        <f>VLOOKUP(Profile!I3,ma_apps_disp,4,FALSE)</f>
        <v>125</v>
      </c>
      <c r="R4">
        <f>VLOOKUP(Profile!I3,cc_apps_recvd,4,FALSE)</f>
        <v>4</v>
      </c>
      <c r="S4">
        <f>VLOOKUP(Profile!I3,cc_apps_disp,4,FALSE)</f>
        <v>4</v>
      </c>
    </row>
    <row r="5" spans="1:19" x14ac:dyDescent="0.3">
      <c r="A5">
        <v>2000</v>
      </c>
      <c r="B5" s="1929">
        <f>VLOOKUP(Profile!$I$3,NMBirths_Trend,50,FALSE)</f>
        <v>0.4946236559139785</v>
      </c>
      <c r="C5" s="1929">
        <f>VLOOKUP(Profile!$K$3,NMBirths_Trend,50,FALSE)</f>
        <v>0.37406208040439143</v>
      </c>
      <c r="D5" s="1929">
        <f>'NM Births_Trend'!AX5</f>
        <v>0.29975521929114746</v>
      </c>
      <c r="F5">
        <v>2000</v>
      </c>
      <c r="G5" s="981">
        <f>VLOOKUP(Profile!$I$3,TeenBirths_Trend,50,FALSE)</f>
        <v>34.803723188992308</v>
      </c>
      <c r="H5" s="981">
        <f>VLOOKUP(Profile!$K$3,TeenBirths_Trend,50,FALSE)</f>
        <v>24.942933231881302</v>
      </c>
      <c r="I5" s="981">
        <f>'Teen Births_Trend'!AX5</f>
        <v>20.498076279692203</v>
      </c>
      <c r="K5" s="1410">
        <v>43313</v>
      </c>
      <c r="L5">
        <f>VLOOKUP(Profile!I3,snap_apps_recvd,5,FALSE)</f>
        <v>142</v>
      </c>
      <c r="M5">
        <f>VLOOKUP(Profile!I3,snap_apps_disp,5,FALSE)</f>
        <v>145</v>
      </c>
      <c r="N5">
        <f>VLOOKUP(Profile!I3,tanf_apps_recvd,5,FALSE)</f>
        <v>30</v>
      </c>
      <c r="O5">
        <f>VLOOKUP(Profile!I3,tanf_apps_disp,5,FALSE)</f>
        <v>24</v>
      </c>
      <c r="P5">
        <f>VLOOKUP(Profile!I3,ma_apps_recvd,5,FALSE)</f>
        <v>143</v>
      </c>
      <c r="Q5">
        <f>VLOOKUP(Profile!I3,ma_apps_disp,5,FALSE)</f>
        <v>135</v>
      </c>
      <c r="R5">
        <f>VLOOKUP(Profile!I3,cc_apps_recvd,5,FALSE)</f>
        <v>10</v>
      </c>
      <c r="S5">
        <f>VLOOKUP(Profile!I3,cc_apps_disp,5,FALSE)</f>
        <v>10</v>
      </c>
    </row>
    <row r="6" spans="1:19" x14ac:dyDescent="0.3">
      <c r="A6">
        <v>2001</v>
      </c>
      <c r="B6" s="1929">
        <f>VLOOKUP(Profile!$I$3,NMBirths_Trend,51,FALSE)</f>
        <v>0.48988764044943822</v>
      </c>
      <c r="C6" s="1929">
        <f>VLOOKUP(Profile!$K$3,NMBirths_Trend,51,FALSE)</f>
        <v>0.3923052157115261</v>
      </c>
      <c r="D6" s="1929">
        <f>'NM Births_Trend'!AY5</f>
        <v>0.303681074991627</v>
      </c>
      <c r="F6">
        <v>2001</v>
      </c>
      <c r="G6" s="981">
        <f>VLOOKUP(Profile!$I$3,TeenBirths_Trend,51,FALSE)</f>
        <v>23.668639053254438</v>
      </c>
      <c r="H6" s="981">
        <f>VLOOKUP(Profile!$K$3,TeenBirths_Trend,51,FALSE)</f>
        <v>24.200348308497308</v>
      </c>
      <c r="I6" s="981">
        <f>'Teen Births_Trend'!AY5</f>
        <v>19.688543968751606</v>
      </c>
      <c r="K6" s="1410">
        <v>43344</v>
      </c>
      <c r="L6">
        <f>VLOOKUP(Profile!I3,snap_apps_recvd,6,FALSE)</f>
        <v>158</v>
      </c>
      <c r="M6">
        <f>VLOOKUP(Profile!I3,snap_apps_disp,6,FALSE)</f>
        <v>132</v>
      </c>
      <c r="N6">
        <f>VLOOKUP(Profile!I3,tanf_apps_recvd,6,FALSE)</f>
        <v>12</v>
      </c>
      <c r="O6">
        <f>VLOOKUP(Profile!I3,tanf_apps_disp,6,FALSE)</f>
        <v>21</v>
      </c>
      <c r="P6">
        <f>VLOOKUP(Profile!I3,ma_apps_recvd,6,FALSE)</f>
        <v>133</v>
      </c>
      <c r="Q6">
        <f>VLOOKUP(Profile!I3,ma_apps_disp,6,FALSE)</f>
        <v>123</v>
      </c>
      <c r="R6">
        <f>VLOOKUP(Profile!I3,cc_apps_recvd,6,FALSE)</f>
        <v>4</v>
      </c>
      <c r="S6">
        <f>VLOOKUP(Profile!I3,cc_apps_disp,6,FALSE)</f>
        <v>2</v>
      </c>
    </row>
    <row r="7" spans="1:19" x14ac:dyDescent="0.3">
      <c r="A7">
        <v>2002</v>
      </c>
      <c r="B7" s="1929">
        <f>VLOOKUP(Profile!$I$3,NMBirths_Trend,52,FALSE)</f>
        <v>0.54716981132075471</v>
      </c>
      <c r="C7" s="1929">
        <f>VLOOKUP(Profile!$K$3,NMBirths_Trend,52,FALSE)</f>
        <v>0.38504755407520364</v>
      </c>
      <c r="D7" s="1929">
        <f>'NM Births_Trend'!AZ5</f>
        <v>0.30455988310575904</v>
      </c>
      <c r="F7">
        <v>2002</v>
      </c>
      <c r="G7" s="981">
        <f>VLOOKUP(Profile!$I$3,TeenBirths_Trend,52,FALSE)</f>
        <v>33.307210031347964</v>
      </c>
      <c r="H7" s="981">
        <f>VLOOKUP(Profile!$K$3,TeenBirths_Trend,52,FALSE)</f>
        <v>23.263812888902788</v>
      </c>
      <c r="I7" s="981">
        <f>'Teen Births_Trend'!AZ5</f>
        <v>18.674449210372391</v>
      </c>
      <c r="K7" s="1410">
        <v>43374</v>
      </c>
      <c r="L7">
        <f>VLOOKUP(Profile!I3,snap_apps_recvd,7,FALSE)</f>
        <v>161</v>
      </c>
      <c r="M7">
        <f>VLOOKUP(Profile!I3,snap_apps_disp,7,FALSE)</f>
        <v>163</v>
      </c>
      <c r="N7">
        <f>VLOOKUP(Profile!I3,tanf_apps_recvd,7,FALSE)</f>
        <v>27</v>
      </c>
      <c r="O7">
        <f>VLOOKUP(Profile!I3,tanf_apps_disp,7,FALSE)</f>
        <v>14</v>
      </c>
      <c r="P7">
        <f>VLOOKUP(Profile!I3,ma_apps_recvd,7,FALSE)</f>
        <v>157</v>
      </c>
      <c r="Q7">
        <f>VLOOKUP(Profile!I3,ma_apps_disp,7,FALSE)</f>
        <v>133</v>
      </c>
      <c r="R7">
        <f>VLOOKUP(Profile!I3,cc_apps_recvd,7,FALSE)</f>
        <v>6</v>
      </c>
      <c r="S7">
        <f>VLOOKUP(Profile!I3,cc_apps_disp,7,FALSE)</f>
        <v>10</v>
      </c>
    </row>
    <row r="8" spans="1:19" x14ac:dyDescent="0.3">
      <c r="A8">
        <v>2003</v>
      </c>
      <c r="B8" s="1929">
        <f>VLOOKUP(Profile!$I$3,NMBirths_Trend,53,FALSE)</f>
        <v>0.57236842105263153</v>
      </c>
      <c r="C8" s="1929">
        <f>VLOOKUP(Profile!$K$3,NMBirths_Trend,53,FALSE)</f>
        <v>0.37942966233146402</v>
      </c>
      <c r="D8" s="1929">
        <f>'NM Births_Trend'!BA5</f>
        <v>0.3059734887282346</v>
      </c>
      <c r="F8">
        <v>2003</v>
      </c>
      <c r="G8" s="981">
        <f>VLOOKUP(Profile!$I$3,TeenBirths_Trend,53,FALSE)</f>
        <v>33.397312859884835</v>
      </c>
      <c r="H8" s="981">
        <f>VLOOKUP(Profile!$K$3,TeenBirths_Trend,53,FALSE)</f>
        <v>21.303566215447969</v>
      </c>
      <c r="I8" s="981">
        <f>'Teen Births_Trend'!BA5</f>
        <v>17.903555881281065</v>
      </c>
      <c r="K8" s="1410">
        <v>43405</v>
      </c>
      <c r="L8">
        <f>VLOOKUP(Profile!I3,snap_apps_recvd,8,FALSE)</f>
        <v>150</v>
      </c>
      <c r="M8">
        <f>VLOOKUP(Profile!I3,snap_apps_disp,8,FALSE)</f>
        <v>157</v>
      </c>
      <c r="N8">
        <f>VLOOKUP(Profile!I3,tanf_apps_recvd,8,FALSE)</f>
        <v>22</v>
      </c>
      <c r="O8">
        <f>VLOOKUP(Profile!I3,tanf_apps_disp,8,FALSE)</f>
        <v>27</v>
      </c>
      <c r="P8">
        <f>VLOOKUP(Profile!I3,ma_apps_recvd,8,FALSE)</f>
        <v>368</v>
      </c>
      <c r="Q8">
        <f>VLOOKUP(Profile!I3,ma_apps_disp,8,FALSE)</f>
        <v>233</v>
      </c>
      <c r="R8">
        <f>VLOOKUP(Profile!I3,cc_apps_recvd,8,FALSE)</f>
        <v>3</v>
      </c>
      <c r="S8">
        <f>VLOOKUP(Profile!I3,cc_apps_disp,8,FALSE)</f>
        <v>0</v>
      </c>
    </row>
    <row r="9" spans="1:19" x14ac:dyDescent="0.3">
      <c r="A9">
        <v>2004</v>
      </c>
      <c r="B9" s="1929">
        <f>VLOOKUP(Profile!$I$3,NMBirths_Trend,54,FALSE)</f>
        <v>0.55463917525773199</v>
      </c>
      <c r="C9" s="1929">
        <f>VLOOKUP(Profile!$K$3,NMBirths_Trend,54,FALSE)</f>
        <v>0.37898931075437725</v>
      </c>
      <c r="D9" s="1929">
        <f>'NM Births_Trend'!BB5</f>
        <v>0.31002600404507369</v>
      </c>
      <c r="F9">
        <v>2004</v>
      </c>
      <c r="G9" s="981">
        <f>VLOOKUP(Profile!$I$3,TeenBirths_Trend,54,FALSE)</f>
        <v>28.974158183241972</v>
      </c>
      <c r="H9" s="981">
        <f>VLOOKUP(Profile!$K$3,TeenBirths_Trend,54,FALSE)</f>
        <v>21.586554001015838</v>
      </c>
      <c r="I9" s="981">
        <f>'Teen Births_Trend'!BB5</f>
        <v>17.707166297187989</v>
      </c>
      <c r="K9" s="1410">
        <v>43435</v>
      </c>
      <c r="L9">
        <f>VLOOKUP(Profile!I3,snap_apps_recvd,9,FALSE)</f>
        <v>110</v>
      </c>
      <c r="M9">
        <f>VLOOKUP(Profile!I3,snap_apps_disp,9,FALSE)</f>
        <v>133</v>
      </c>
      <c r="N9">
        <f>VLOOKUP(Profile!I3,tanf_apps_recvd,9,FALSE)</f>
        <v>12</v>
      </c>
      <c r="O9">
        <f>VLOOKUP(Profile!I3,tanf_apps_disp,9,FALSE)</f>
        <v>20</v>
      </c>
      <c r="P9">
        <f>VLOOKUP(Profile!I3,ma_apps_recvd,9,FALSE)</f>
        <v>304</v>
      </c>
      <c r="Q9">
        <f>VLOOKUP(Profile!I3,ma_apps_disp,9,FALSE)</f>
        <v>323</v>
      </c>
      <c r="R9">
        <f>VLOOKUP(Profile!I3,cc_apps_recvd,9,FALSE)</f>
        <v>3</v>
      </c>
      <c r="S9">
        <f>VLOOKUP(Profile!I3,cc_apps_disp,9,FALSE)</f>
        <v>6</v>
      </c>
    </row>
    <row r="10" spans="1:19" x14ac:dyDescent="0.3">
      <c r="A10">
        <v>2005</v>
      </c>
      <c r="B10" s="1929">
        <f>VLOOKUP(Profile!$I$3,NMBirths_Trend,55,FALSE)</f>
        <v>0.59023354564755837</v>
      </c>
      <c r="C10" s="1929">
        <f>VLOOKUP(Profile!$K$3,NMBirths_Trend,55,FALSE)</f>
        <v>0.38483135114057321</v>
      </c>
      <c r="D10" s="1929">
        <f>'NM Births_Trend'!BC5</f>
        <v>0.32234323558686168</v>
      </c>
      <c r="F10">
        <v>2005</v>
      </c>
      <c r="G10" s="981">
        <f>VLOOKUP(Profile!$I$3,TeenBirths_Trend,55,FALSE)</f>
        <v>34.194831013916499</v>
      </c>
      <c r="H10" s="981">
        <f>VLOOKUP(Profile!$K$3,TeenBirths_Trend,55,FALSE)</f>
        <v>21.111042222084446</v>
      </c>
      <c r="I10" s="981">
        <f>'Teen Births_Trend'!BC5</f>
        <v>17.591687162315662</v>
      </c>
      <c r="K10" s="1410">
        <v>43466</v>
      </c>
      <c r="L10">
        <f>VLOOKUP(Profile!I3,snap_apps_recvd,10,FALSE)</f>
        <v>170</v>
      </c>
      <c r="M10">
        <f>VLOOKUP(Profile!I3,snap_apps_disp,10,FALSE)</f>
        <v>165</v>
      </c>
      <c r="N10">
        <f>VLOOKUP(Profile!I3,tanf_apps_recvd,10,FALSE)</f>
        <v>12</v>
      </c>
      <c r="O10">
        <f>VLOOKUP(Profile!I3,tanf_apps_disp,10,FALSE)</f>
        <v>13</v>
      </c>
      <c r="P10">
        <f>VLOOKUP(Profile!I3,ma_apps_recvd,10,FALSE)</f>
        <v>233</v>
      </c>
      <c r="Q10">
        <f>VLOOKUP(Profile!I3,ma_apps_disp,10,FALSE)</f>
        <v>260</v>
      </c>
      <c r="R10">
        <f>VLOOKUP(Profile!I3,cc_apps_recvd,10,FALSE)</f>
        <v>4</v>
      </c>
      <c r="S10">
        <f>VLOOKUP(Profile!I3,cc_apps_disp,10,FALSE)</f>
        <v>3</v>
      </c>
    </row>
    <row r="11" spans="1:19" x14ac:dyDescent="0.3">
      <c r="A11">
        <v>2006</v>
      </c>
      <c r="B11" s="1929">
        <f>VLOOKUP(Profile!$I$3,NMBirths_Trend,56,FALSE)</f>
        <v>0.65638766519823788</v>
      </c>
      <c r="C11" s="1929">
        <f>VLOOKUP(Profile!$K$3,NMBirths_Trend,56,FALSE)</f>
        <v>0.39784905228633538</v>
      </c>
      <c r="D11" s="1929">
        <f>'NM Births_Trend'!BD5</f>
        <v>0.34083438210267297</v>
      </c>
      <c r="F11">
        <v>2006</v>
      </c>
      <c r="G11" s="981">
        <f>VLOOKUP(Profile!$I$3,TeenBirths_Trend,56,FALSE)</f>
        <v>32.271241830065364</v>
      </c>
      <c r="H11" s="981">
        <f>VLOOKUP(Profile!$K$3,TeenBirths_Trend,56,FALSE)</f>
        <v>21.461512562932111</v>
      </c>
      <c r="I11" s="981">
        <f>'Teen Births_Trend'!BD5</f>
        <v>18.306180625228926</v>
      </c>
      <c r="K11" s="1410">
        <v>43497</v>
      </c>
      <c r="L11">
        <f>VLOOKUP(Profile!I3,snap_apps_recvd,11,FALSE)</f>
        <v>112</v>
      </c>
      <c r="M11">
        <f>VLOOKUP(Profile!I3,snap_apps_disp,11,FALSE)</f>
        <v>124</v>
      </c>
      <c r="N11">
        <f>VLOOKUP(Profile!I3,tanf_apps_recvd,11,FALSE)</f>
        <v>16</v>
      </c>
      <c r="O11">
        <f>VLOOKUP(Profile!I3,tanf_apps_disp,11,FALSE)</f>
        <v>13</v>
      </c>
      <c r="P11">
        <f>VLOOKUP(Profile!I3,ma_apps_recvd,11,FALSE)</f>
        <v>157</v>
      </c>
      <c r="Q11">
        <f>VLOOKUP(Profile!I3,ma_apps_disp,11,FALSE)</f>
        <v>208</v>
      </c>
      <c r="R11">
        <f>VLOOKUP(Profile!I3,cc_apps_recvd,11,FALSE)</f>
        <v>5</v>
      </c>
      <c r="S11">
        <f>VLOOKUP(Profile!I3,cc_apps_disp,11,FALSE)</f>
        <v>3</v>
      </c>
    </row>
    <row r="12" spans="1:19" x14ac:dyDescent="0.3">
      <c r="A12">
        <v>2007</v>
      </c>
      <c r="B12" s="1929">
        <f>VLOOKUP(Profile!$I$3,NMBirths_Trend,57,FALSE)</f>
        <v>0.62204724409448819</v>
      </c>
      <c r="C12" s="1929">
        <f>VLOOKUP(Profile!$K$3,NMBirths_Trend,57,FALSE)</f>
        <v>0.40717948717948715</v>
      </c>
      <c r="D12" s="1929">
        <f>'NM Births_Trend'!BE5</f>
        <v>0.35309038250458874</v>
      </c>
      <c r="F12">
        <v>2007</v>
      </c>
      <c r="G12" s="981">
        <f>VLOOKUP(Profile!$I$3,TeenBirths_Trend,57,FALSE)</f>
        <v>37.663986457892513</v>
      </c>
      <c r="H12" s="981">
        <f>VLOOKUP(Profile!$K$3,TeenBirths_Trend,57,FALSE)</f>
        <v>21.50318710748461</v>
      </c>
      <c r="I12" s="981">
        <f>'Teen Births_Trend'!BE5</f>
        <v>18.39683066850121</v>
      </c>
      <c r="K12" s="1410">
        <v>43525</v>
      </c>
      <c r="L12">
        <f>VLOOKUP(Profile!I3,snap_apps_recvd,12,FALSE)</f>
        <v>110</v>
      </c>
      <c r="M12">
        <f>VLOOKUP(Profile!I3,snap_apps_disp,12,FALSE)</f>
        <v>101</v>
      </c>
      <c r="N12">
        <f>VLOOKUP(Profile!I3,tanf_apps_recvd,12,FALSE)</f>
        <v>13</v>
      </c>
      <c r="O12">
        <f>VLOOKUP(Profile!I3,tanf_apps_disp,12,FALSE)</f>
        <v>13</v>
      </c>
      <c r="P12">
        <f>VLOOKUP(Profile!I3,ma_apps_recvd,12,FALSE)</f>
        <v>187</v>
      </c>
      <c r="Q12">
        <f>VLOOKUP(Profile!I3,ma_apps_disp,12,FALSE)</f>
        <v>224</v>
      </c>
      <c r="R12">
        <f>VLOOKUP(Profile!I3,cc_apps_recvd,12,FALSE)</f>
        <v>0</v>
      </c>
      <c r="S12">
        <f>VLOOKUP(Profile!I3,cc_apps_disp,12,FALSE)</f>
        <v>3</v>
      </c>
    </row>
    <row r="13" spans="1:19" x14ac:dyDescent="0.3">
      <c r="A13">
        <v>2008</v>
      </c>
      <c r="B13" s="1929">
        <f>VLOOKUP(Profile!$I$3,NMBirths_Trend,58,FALSE)</f>
        <v>0.61814345991561181</v>
      </c>
      <c r="C13" s="1929">
        <f>VLOOKUP(Profile!$K$3,NMBirths_Trend,58,FALSE)</f>
        <v>0.42314872433105166</v>
      </c>
      <c r="D13" s="1929">
        <f>'NM Births_Trend'!BF5</f>
        <v>0.35843232186755242</v>
      </c>
      <c r="F13">
        <v>2008</v>
      </c>
      <c r="G13" s="981">
        <f>VLOOKUP(Profile!$I$3,TeenBirths_Trend,58,FALSE)</f>
        <v>32.77274687365243</v>
      </c>
      <c r="H13" s="981">
        <f>VLOOKUP(Profile!$K$3,TeenBirths_Trend,58,FALSE)</f>
        <v>20.230346309403437</v>
      </c>
      <c r="I13" s="981">
        <f>'Teen Births_Trend'!BF5</f>
        <v>17.690427455734188</v>
      </c>
      <c r="K13" s="1410">
        <v>43556</v>
      </c>
      <c r="L13">
        <f>VLOOKUP(Profile!I3,snap_apps_recvd,13,FALSE)</f>
        <v>111</v>
      </c>
      <c r="M13">
        <f>VLOOKUP(Profile!I3,snap_apps_disp,13,FALSE)</f>
        <v>118</v>
      </c>
      <c r="N13">
        <f>VLOOKUP(Profile!I3,tanf_apps_recvd,13,FALSE)</f>
        <v>14</v>
      </c>
      <c r="O13">
        <f>VLOOKUP(Profile!I3,tanf_apps_disp,13,FALSE)</f>
        <v>15</v>
      </c>
      <c r="P13">
        <f>VLOOKUP(Profile!I3,ma_apps_recvd,13,FALSE)</f>
        <v>169</v>
      </c>
      <c r="Q13">
        <f>VLOOKUP(Profile!I3,ma_apps_disp,13,FALSE)</f>
        <v>183</v>
      </c>
      <c r="R13">
        <f>VLOOKUP(Profile!I3,cc_apps_recvd,13,FALSE)</f>
        <v>2</v>
      </c>
      <c r="S13">
        <f>VLOOKUP(Profile!I3,cc_apps_disp,13,FALSE)</f>
        <v>2</v>
      </c>
    </row>
    <row r="14" spans="1:19" x14ac:dyDescent="0.3">
      <c r="A14">
        <v>2009</v>
      </c>
      <c r="B14" s="1929">
        <f>VLOOKUP(Profile!$I$3,NMBirths_Trend,59,FALSE)</f>
        <v>0.62383177570093462</v>
      </c>
      <c r="C14" s="1929">
        <f>VLOOKUP(Profile!$K$3,NMBirths_Trend,59,FALSE)</f>
        <v>0.42440128678660788</v>
      </c>
      <c r="D14" s="1929">
        <f>'NM Births_Trend'!BG5</f>
        <v>0.35824307718686593</v>
      </c>
      <c r="F14">
        <v>2009</v>
      </c>
      <c r="G14" s="981">
        <f>VLOOKUP(Profile!$I$3,TeenBirths_Trend,59,FALSE)</f>
        <v>21.557413110426747</v>
      </c>
      <c r="H14" s="981">
        <f>VLOOKUP(Profile!$K$3,TeenBirths_Trend,59,FALSE)</f>
        <v>19.306958769150995</v>
      </c>
      <c r="I14" s="981">
        <f>'Teen Births_Trend'!BG5</f>
        <v>16.372318054611284</v>
      </c>
      <c r="K14" s="1410">
        <v>43586</v>
      </c>
      <c r="L14">
        <f>VLOOKUP(Profile!I3,snap_apps_recvd,14,FALSE)</f>
        <v>98</v>
      </c>
      <c r="M14">
        <f>VLOOKUP(Profile!I3,snap_apps_disp,14,FALSE)</f>
        <v>104</v>
      </c>
      <c r="N14">
        <f>VLOOKUP(Profile!I3,tanf_apps_recvd,14,FALSE)</f>
        <v>16</v>
      </c>
      <c r="O14">
        <f>VLOOKUP(Profile!I3,tanf_apps_disp,14,FALSE)</f>
        <v>15</v>
      </c>
      <c r="P14">
        <f>VLOOKUP(Profile!I3,ma_apps_recvd,14,FALSE)</f>
        <v>164</v>
      </c>
      <c r="Q14">
        <f>VLOOKUP(Profile!I3,ma_apps_disp,14,FALSE)</f>
        <v>175</v>
      </c>
      <c r="R14">
        <f>VLOOKUP(Profile!I3,cc_apps_recvd,14,FALSE)</f>
        <v>10</v>
      </c>
      <c r="S14">
        <f>VLOOKUP(Profile!I3,cc_apps_disp,14,FALSE)</f>
        <v>5</v>
      </c>
    </row>
    <row r="15" spans="1:19" x14ac:dyDescent="0.3">
      <c r="A15">
        <v>2010</v>
      </c>
      <c r="B15" s="1929">
        <f>VLOOKUP(Profile!$I$3,NMBirths_Trend,60,FALSE)</f>
        <v>0.5889145496535797</v>
      </c>
      <c r="C15" s="1929">
        <f>VLOOKUP(Profile!$K$3,NMBirths_Trend,60,FALSE)</f>
        <v>0.42288821653446723</v>
      </c>
      <c r="D15" s="1929">
        <f>'NM Births_Trend'!BH5</f>
        <v>0.35490702780422406</v>
      </c>
      <c r="F15">
        <v>2010</v>
      </c>
      <c r="G15" s="981">
        <f>VLOOKUP(Profile!$I$3,TeenBirths_Trend,60,FALSE)</f>
        <v>29.168959823885526</v>
      </c>
      <c r="H15" s="981">
        <f>VLOOKUP(Profile!$K$3,TeenBirths_Trend,60,FALSE)</f>
        <v>17.725513398910337</v>
      </c>
      <c r="I15" s="981">
        <f>'Teen Births_Trend'!BH5</f>
        <v>14.340618588477803</v>
      </c>
      <c r="K15" s="1410">
        <v>43617</v>
      </c>
      <c r="L15">
        <f>VLOOKUP(Profile!I3,snap_apps_recvd,15,FALSE)</f>
        <v>103</v>
      </c>
      <c r="M15">
        <f>VLOOKUP(Profile!I3,snap_apps_disp,15,FALSE)</f>
        <v>91</v>
      </c>
      <c r="N15">
        <f>VLOOKUP(Profile!I3,tanf_apps_recvd,15,FALSE)</f>
        <v>18</v>
      </c>
      <c r="O15">
        <f>VLOOKUP(Profile!I3,tanf_apps_disp,15,FALSE)</f>
        <v>15</v>
      </c>
      <c r="P15">
        <f>VLOOKUP(Profile!I3,ma_apps_recvd,15,FALSE)</f>
        <v>162</v>
      </c>
      <c r="Q15">
        <f>VLOOKUP(Profile!I3,ma_apps_disp,15,FALSE)</f>
        <v>155</v>
      </c>
      <c r="R15">
        <f>VLOOKUP(Profile!I3,cc_apps_recvd,15,FALSE)</f>
        <v>7</v>
      </c>
      <c r="S15">
        <f>VLOOKUP(Profile!I3,cc_apps_disp,15,FALSE)</f>
        <v>7</v>
      </c>
    </row>
    <row r="16" spans="1:19" x14ac:dyDescent="0.3">
      <c r="A16">
        <v>2011</v>
      </c>
      <c r="B16" s="1929">
        <f>VLOOKUP(Profile!$I$3,NMBirths_Trend,61,FALSE)</f>
        <v>0.57740585774058573</v>
      </c>
      <c r="C16" s="1929">
        <f>VLOOKUP(Profile!$K$3,NMBirths_Trend,61,FALSE)</f>
        <v>0.42436647971506941</v>
      </c>
      <c r="D16" s="1929">
        <f>'NM Births_Trend'!BI5</f>
        <v>0.35493782004389174</v>
      </c>
      <c r="F16">
        <v>2011</v>
      </c>
      <c r="G16" s="981">
        <f>VLOOKUP(Profile!$I$3,TeenBirths_Trend,61,FALSE)</f>
        <v>23.982152816508645</v>
      </c>
      <c r="H16" s="981">
        <f>VLOOKUP(Profile!$K$3,TeenBirths_Trend,61,FALSE)</f>
        <v>15.679046633170904</v>
      </c>
      <c r="I16" s="981">
        <f>'Teen Births_Trend'!BI5</f>
        <v>12.702167795404645</v>
      </c>
      <c r="K16" s="1410"/>
    </row>
    <row r="17" spans="1:11" x14ac:dyDescent="0.3">
      <c r="A17">
        <v>2012</v>
      </c>
      <c r="B17" s="1929">
        <f>VLOOKUP(Profile!$I$3,NMBirths_Trend,62,FALSE)</f>
        <v>0.56060606060606055</v>
      </c>
      <c r="C17" s="1929">
        <f>VLOOKUP(Profile!$K$3,NMBirths_Trend,62,FALSE)</f>
        <v>0.42346055560135193</v>
      </c>
      <c r="D17" s="1929">
        <f>'NM Births_Trend'!BJ5</f>
        <v>0.35279298907704426</v>
      </c>
      <c r="F17">
        <v>2012</v>
      </c>
      <c r="G17" s="981">
        <f>VLOOKUP(Profile!$I$3,TeenBirths_Trend,62,FALSE)</f>
        <v>18.212862834376779</v>
      </c>
      <c r="H17" s="981">
        <f>VLOOKUP(Profile!$K$3,TeenBirths_Trend,62,FALSE)</f>
        <v>14.462774596119328</v>
      </c>
      <c r="I17" s="981">
        <f>'Teen Births_Trend'!BJ5</f>
        <v>11.846432840922917</v>
      </c>
      <c r="K17" s="1410"/>
    </row>
    <row r="18" spans="1:11" x14ac:dyDescent="0.3">
      <c r="A18">
        <v>2013</v>
      </c>
      <c r="B18" s="1929">
        <f>VLOOKUP(Profile!$I$3,NMBirths_Trend,63,FALSE)</f>
        <v>0.54415954415954415</v>
      </c>
      <c r="C18" s="1929">
        <f>VLOOKUP(Profile!$K$3,NMBirths_Trend,63,FALSE)</f>
        <v>0.40094525403702247</v>
      </c>
      <c r="D18" s="1929">
        <f>'NM Births_Trend'!BK5</f>
        <v>0.33788354796294251</v>
      </c>
      <c r="F18">
        <v>2013</v>
      </c>
      <c r="G18" s="981">
        <f>VLOOKUP(Profile!$I$3,TeenBirths_Trend,63,FALSE)</f>
        <v>13.248847926267281</v>
      </c>
      <c r="H18" s="981">
        <f>VLOOKUP(Profile!$K$3,TeenBirths_Trend,63,FALSE)</f>
        <v>12.668737947289479</v>
      </c>
      <c r="I18" s="981">
        <f>'Teen Births_Trend'!BK5</f>
        <v>10.25553965050911</v>
      </c>
      <c r="K18" s="1410"/>
    </row>
    <row r="19" spans="1:11" x14ac:dyDescent="0.3">
      <c r="A19">
        <v>2014</v>
      </c>
      <c r="B19" s="1929">
        <f>VLOOKUP(Profile!$I$3,NMBirths_Trend,64,FALSE)</f>
        <v>0.55585106382978722</v>
      </c>
      <c r="C19" s="1929">
        <f>VLOOKUP(Profile!$K$3,NMBirths_Trend,64,FALSE)</f>
        <v>0.39805019705455302</v>
      </c>
      <c r="D19" s="1929">
        <f>'NM Births_Trend'!BL5</f>
        <v>0.340045722068194</v>
      </c>
      <c r="F19">
        <v>2014</v>
      </c>
      <c r="G19" s="981">
        <f>VLOOKUP(Profile!$I$3,TeenBirths_Trend,64,FALSE)</f>
        <v>17.793594306049823</v>
      </c>
      <c r="H19" s="981">
        <f>VLOOKUP(Profile!$K$3,TeenBirths_Trend,64,FALSE)</f>
        <v>10.34276433883238</v>
      </c>
      <c r="I19" s="981">
        <f>'Teen Births_Trend'!BL5</f>
        <v>9.405709207785387</v>
      </c>
      <c r="K19" s="1410"/>
    </row>
    <row r="20" spans="1:11" x14ac:dyDescent="0.3">
      <c r="A20">
        <v>2015</v>
      </c>
      <c r="B20" s="1929">
        <f>VLOOKUP(Profile!$I$3,NMBirths_Trend,65,FALSE)</f>
        <v>0.57622739018087854</v>
      </c>
      <c r="C20" s="1929">
        <f>VLOOKUP(Profile!$K$3,NMBirths_Trend,65,FALSE)</f>
        <v>0.40568625820932747</v>
      </c>
      <c r="D20" s="1929">
        <f>'NM Births_Trend'!BM5</f>
        <v>0.34452917321535986</v>
      </c>
      <c r="F20">
        <v>2015</v>
      </c>
      <c r="G20" s="981">
        <f>VLOOKUP(Profile!$I$3,TeenBirths_Trend,65,FALSE)</f>
        <v>14.979029358897543</v>
      </c>
      <c r="H20" s="981">
        <f>VLOOKUP(Profile!$K$3,TeenBirths_Trend,65,FALSE)</f>
        <v>10.234008261187393</v>
      </c>
      <c r="I20" s="1282">
        <f>'Teen Births_Trend'!BM5</f>
        <v>8.735085092108628</v>
      </c>
      <c r="K20" s="1410"/>
    </row>
    <row r="21" spans="1:11" x14ac:dyDescent="0.3">
      <c r="A21">
        <v>2016</v>
      </c>
      <c r="B21" s="1929">
        <f>VLOOKUP(Profile!$I$3,NMBirths_Trend,66,FALSE)</f>
        <v>0.58064516129032262</v>
      </c>
      <c r="C21" s="1929">
        <f>VLOOKUP(Profile!$K$3,NMBirths_Trend,66,FALSE)</f>
        <v>0.39988199098073923</v>
      </c>
      <c r="D21" s="1929">
        <f>'NM Births_Trend'!BN5</f>
        <v>0.34030691587688155</v>
      </c>
      <c r="F21">
        <v>2016</v>
      </c>
      <c r="G21" s="981">
        <f>VLOOKUP(Profile!$I$3,TeenBirths_Trend,66,FALSE)</f>
        <v>12.131715771230503</v>
      </c>
      <c r="H21" s="981">
        <f>VLOOKUP(Profile!$K$3,TeenBirths_Trend,66,FALSE)</f>
        <v>9.2260560823792961</v>
      </c>
      <c r="I21" s="1282">
        <f>'Teen Births_Trend'!BN5</f>
        <v>7.9419432438809618</v>
      </c>
      <c r="K21" s="1410"/>
    </row>
    <row r="22" spans="1:11" x14ac:dyDescent="0.3">
      <c r="A22">
        <v>2017</v>
      </c>
      <c r="B22" s="1929">
        <f>VLOOKUP(Profile!$I$3,NMBirths_Trend,67,FALSE)</f>
        <v>0.54591836734693877</v>
      </c>
      <c r="C22" s="1929">
        <f>VLOOKUP(Profile!$K$3,NMBirths_Trend,67,FALSE)</f>
        <v>0.40467212759502447</v>
      </c>
      <c r="D22" s="1929">
        <f>'NM Births_Trend'!BO5</f>
        <v>0.34618124893380031</v>
      </c>
      <c r="F22">
        <v>2017</v>
      </c>
      <c r="G22" s="981">
        <f>VLOOKUP(Profile!$I$3,TeenBirths_Trend,67,FALSE)</f>
        <v>14.697236919459142</v>
      </c>
      <c r="H22" s="981">
        <f>VLOOKUP(Profile!$K$3,TeenBirths_Trend,67,FALSE)</f>
        <v>8.7405429461504216</v>
      </c>
      <c r="I22" s="1282">
        <f>'Teen Births_Trend'!BO5</f>
        <v>7.6474440227776652</v>
      </c>
    </row>
    <row r="23" spans="1:11" x14ac:dyDescent="0.3">
      <c r="A23">
        <v>2018</v>
      </c>
      <c r="B23" s="1929">
        <f>VLOOKUP(Profile!$I$3,NMBirths_Trend,68,FALSE)</f>
        <v>0.54415954415954415</v>
      </c>
      <c r="C23" s="1929">
        <f>VLOOKUP(Profile!$K$3,NMBirths_Trend,68,FALSE)</f>
        <v>0.40094525403702247</v>
      </c>
      <c r="D23" s="1929">
        <f>'NM Births_Trend'!BP5</f>
        <v>0.33788354796294251</v>
      </c>
      <c r="F23">
        <v>2018</v>
      </c>
      <c r="G23" s="981">
        <f>VLOOKUP(Profile!$I$3,TeenBirths_Trend,68,FALSE)</f>
        <v>12.941176470588236</v>
      </c>
      <c r="H23" s="981">
        <f>VLOOKUP(Profile!$K$3,TeenBirths_Trend,68,FALSE)</f>
        <v>8.2672666238125849</v>
      </c>
      <c r="I23" s="1282">
        <f>'Teen Births_Trend'!BP5</f>
        <v>7.2760622499091445</v>
      </c>
    </row>
    <row r="26" spans="1:11" x14ac:dyDescent="0.3">
      <c r="A26" s="81"/>
      <c r="B26" s="81" t="s">
        <v>1038</v>
      </c>
      <c r="C26" s="81" t="s">
        <v>774</v>
      </c>
      <c r="D26" s="81" t="s">
        <v>773</v>
      </c>
      <c r="E26" s="66" t="s">
        <v>269</v>
      </c>
    </row>
    <row r="27" spans="1:11" x14ac:dyDescent="0.3">
      <c r="A27" s="81" t="s">
        <v>302</v>
      </c>
      <c r="B27" s="2157">
        <f>'Spending By Region'!D5</f>
        <v>341173709.11590004</v>
      </c>
      <c r="C27" s="2157">
        <f>'Spending By Region'!D10</f>
        <v>12276416.750000002</v>
      </c>
      <c r="D27" s="2157">
        <f>'Spending By Region'!D13</f>
        <v>6536650122.6274605</v>
      </c>
      <c r="E27" s="2158">
        <f>'Spending By Region'!D24</f>
        <v>6890100248.4933605</v>
      </c>
    </row>
    <row r="28" spans="1:11" x14ac:dyDescent="0.3">
      <c r="A28" s="81" t="s">
        <v>303</v>
      </c>
      <c r="B28" s="2157">
        <f>'Spending By Region'!E5</f>
        <v>124318479.13409998</v>
      </c>
      <c r="C28" s="2157">
        <f>'Spending By Region'!E10</f>
        <v>8133023.4599999981</v>
      </c>
      <c r="D28" s="2157">
        <f>'Spending By Region'!E13</f>
        <v>5372851060.9247608</v>
      </c>
      <c r="E28" s="2158">
        <f>'Spending By Region'!E24</f>
        <v>5505302563.5188608</v>
      </c>
    </row>
    <row r="29" spans="1:11" x14ac:dyDescent="0.3">
      <c r="A29" s="81" t="s">
        <v>304</v>
      </c>
      <c r="B29" s="2157">
        <f>'Spending By Region'!F5</f>
        <v>217085149.17999998</v>
      </c>
      <c r="C29" s="2157">
        <f>'Spending By Region'!F10</f>
        <v>4138339.3400000008</v>
      </c>
      <c r="D29" s="2157">
        <f>'Spending By Region'!F13</f>
        <v>162411444.69</v>
      </c>
      <c r="E29" s="2158">
        <f>'Spending By Region'!F24</f>
        <v>383634933.20999998</v>
      </c>
    </row>
    <row r="30" spans="1:11" x14ac:dyDescent="0.3">
      <c r="A30" s="66" t="s">
        <v>292</v>
      </c>
      <c r="B30" s="2157">
        <f>'Spending By Region'!G5</f>
        <v>40271036.829999998</v>
      </c>
      <c r="C30" s="2157">
        <f>'Spending By Region'!G10</f>
        <v>4489742.1499999994</v>
      </c>
      <c r="D30" s="2157">
        <f>'Spending By Region'!G13</f>
        <v>1075464.58</v>
      </c>
      <c r="E30" s="2158">
        <f>'Spending By Region'!G24</f>
        <v>45836243.559999995</v>
      </c>
    </row>
    <row r="31" spans="1:11" x14ac:dyDescent="0.3">
      <c r="A31" s="81" t="s">
        <v>269</v>
      </c>
      <c r="B31" s="2157">
        <f>'Spending By Region'!H5</f>
        <v>722848374.25999999</v>
      </c>
      <c r="C31" s="2157">
        <f>'Spending By Region'!H10</f>
        <v>29037521.700000003</v>
      </c>
      <c r="D31" s="2157">
        <f>'Spending By Region'!H13</f>
        <v>12072988092.822222</v>
      </c>
      <c r="E31" s="2159">
        <f>'Spending By Region'!H24</f>
        <v>12824873988.782223</v>
      </c>
    </row>
    <row r="32" spans="1:11" x14ac:dyDescent="0.3">
      <c r="A32" s="81" t="s">
        <v>1042</v>
      </c>
      <c r="B32" s="2157">
        <f>B29+B30</f>
        <v>257356186.00999999</v>
      </c>
      <c r="C32" s="2157">
        <f>C29+C30</f>
        <v>8628081.4900000002</v>
      </c>
      <c r="D32" s="2157">
        <f>D29+D30</f>
        <v>163486909.27000001</v>
      </c>
      <c r="E32" s="2157">
        <f>E29+E30</f>
        <v>429471176.76999998</v>
      </c>
    </row>
  </sheetData>
  <mergeCells count="7">
    <mergeCell ref="R1:S1"/>
    <mergeCell ref="L2:M2"/>
    <mergeCell ref="L1:M1"/>
    <mergeCell ref="N1:O1"/>
    <mergeCell ref="N2:O2"/>
    <mergeCell ref="P1:Q1"/>
    <mergeCell ref="P2:Q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G6" activePane="bottomRight" state="frozen"/>
      <selection pane="topRight" activeCell="D1" sqref="D1"/>
      <selection pane="bottomLeft" activeCell="A6" sqref="A6"/>
      <selection pane="bottomRight" activeCell="M6" sqref="M6:P6"/>
    </sheetView>
  </sheetViews>
  <sheetFormatPr defaultColWidth="14.296875" defaultRowHeight="15.6" x14ac:dyDescent="0.3"/>
  <cols>
    <col min="1" max="1" width="14.296875" style="413"/>
    <col min="2" max="2" width="32.19921875" style="413" customWidth="1"/>
    <col min="3" max="4" width="14.5" style="413" customWidth="1"/>
    <col min="5" max="5" width="10.5" style="413" customWidth="1"/>
    <col min="6" max="7" width="11.09765625" style="413" customWidth="1"/>
    <col min="8" max="8" width="14.5" style="413" customWidth="1"/>
    <col min="9" max="9" width="11.59765625" style="413" customWidth="1"/>
    <col min="10" max="12" width="9.69921875" style="413" customWidth="1"/>
    <col min="13" max="16" width="10.69921875" style="413" customWidth="1"/>
    <col min="17" max="17" width="10.09765625" style="413" customWidth="1"/>
    <col min="18" max="16384" width="14.296875" style="413"/>
  </cols>
  <sheetData>
    <row r="1" spans="1:17" x14ac:dyDescent="0.3">
      <c r="A1" s="252" t="s">
        <v>1171</v>
      </c>
    </row>
    <row r="2" spans="1:17" x14ac:dyDescent="0.3">
      <c r="B2" s="414"/>
      <c r="C2" s="414"/>
      <c r="D2" s="414"/>
      <c r="E2" s="414"/>
      <c r="F2" s="414"/>
      <c r="G2" s="414"/>
      <c r="H2" s="414"/>
      <c r="I2" s="414"/>
      <c r="J2" s="414"/>
      <c r="K2" s="414"/>
      <c r="L2" s="414"/>
    </row>
    <row r="3" spans="1:17" ht="23.25" customHeight="1" x14ac:dyDescent="0.3">
      <c r="A3" s="415"/>
      <c r="B3" s="416"/>
      <c r="C3" s="513"/>
      <c r="D3" s="513"/>
      <c r="E3" s="2750" t="s">
        <v>711</v>
      </c>
      <c r="F3" s="2751"/>
      <c r="G3" s="2751"/>
      <c r="H3" s="2751"/>
      <c r="I3" s="2751"/>
      <c r="J3" s="2750" t="s">
        <v>706</v>
      </c>
      <c r="K3" s="2751"/>
      <c r="L3" s="2752"/>
      <c r="M3" s="2751" t="s">
        <v>626</v>
      </c>
      <c r="N3" s="2751"/>
      <c r="O3" s="2751"/>
      <c r="P3" s="2751"/>
      <c r="Q3" s="2754" t="s">
        <v>979</v>
      </c>
    </row>
    <row r="4" spans="1:17" ht="35.25" customHeight="1" x14ac:dyDescent="0.3">
      <c r="A4" s="417" t="s">
        <v>4</v>
      </c>
      <c r="B4" s="416" t="s">
        <v>5</v>
      </c>
      <c r="C4" s="513" t="s">
        <v>251</v>
      </c>
      <c r="D4" s="513" t="s">
        <v>269</v>
      </c>
      <c r="E4" s="1808" t="s">
        <v>480</v>
      </c>
      <c r="F4" s="1809" t="s">
        <v>984</v>
      </c>
      <c r="G4" s="1809" t="s">
        <v>985</v>
      </c>
      <c r="H4" s="1809" t="s">
        <v>637</v>
      </c>
      <c r="I4" s="1809" t="s">
        <v>978</v>
      </c>
      <c r="J4" s="1808" t="s">
        <v>418</v>
      </c>
      <c r="K4" s="1809" t="s">
        <v>417</v>
      </c>
      <c r="L4" s="1810" t="s">
        <v>978</v>
      </c>
      <c r="M4" s="513" t="s">
        <v>2</v>
      </c>
      <c r="N4" s="513" t="s">
        <v>314</v>
      </c>
      <c r="O4" s="513" t="s">
        <v>683</v>
      </c>
      <c r="P4" s="1123" t="s">
        <v>978</v>
      </c>
      <c r="Q4" s="2754"/>
    </row>
    <row r="5" spans="1:17" x14ac:dyDescent="0.3">
      <c r="A5" s="927" t="s">
        <v>8</v>
      </c>
      <c r="B5" s="928" t="s">
        <v>9</v>
      </c>
      <c r="C5" s="929"/>
      <c r="D5" s="1830">
        <v>75439</v>
      </c>
      <c r="E5" s="1804">
        <v>53009</v>
      </c>
      <c r="F5" s="1796">
        <v>15432</v>
      </c>
      <c r="G5" s="1796">
        <v>6969</v>
      </c>
      <c r="H5" s="1796">
        <v>18</v>
      </c>
      <c r="I5" s="1796">
        <v>11</v>
      </c>
      <c r="J5" s="1804">
        <v>45269</v>
      </c>
      <c r="K5" s="1796">
        <v>30170</v>
      </c>
      <c r="L5" s="1811"/>
      <c r="M5" s="930">
        <v>30146</v>
      </c>
      <c r="N5" s="930">
        <v>41728</v>
      </c>
      <c r="O5" s="930">
        <v>3542</v>
      </c>
      <c r="P5" s="930">
        <v>23</v>
      </c>
      <c r="Q5" s="1831">
        <v>3523</v>
      </c>
    </row>
    <row r="6" spans="1:17" s="512" customFormat="1" x14ac:dyDescent="0.3">
      <c r="A6" s="514" t="s">
        <v>10</v>
      </c>
      <c r="B6" s="510" t="s">
        <v>11</v>
      </c>
      <c r="C6" s="509" t="s">
        <v>252</v>
      </c>
      <c r="D6" s="1829">
        <v>374</v>
      </c>
      <c r="E6" s="1805">
        <v>269</v>
      </c>
      <c r="F6" s="817">
        <v>74</v>
      </c>
      <c r="G6" s="817">
        <v>31</v>
      </c>
      <c r="H6" s="817">
        <v>0</v>
      </c>
      <c r="I6" s="817">
        <v>0</v>
      </c>
      <c r="J6" s="1805">
        <v>231</v>
      </c>
      <c r="K6" s="817">
        <v>143</v>
      </c>
      <c r="L6" s="1806"/>
      <c r="M6" s="511">
        <v>166</v>
      </c>
      <c r="N6" s="511">
        <v>206</v>
      </c>
      <c r="O6" s="511">
        <v>2</v>
      </c>
      <c r="P6" s="511">
        <v>0</v>
      </c>
      <c r="Q6" s="1828">
        <v>14</v>
      </c>
    </row>
    <row r="7" spans="1:17" s="512" customFormat="1" x14ac:dyDescent="0.3">
      <c r="A7" s="514" t="s">
        <v>12</v>
      </c>
      <c r="B7" s="510" t="s">
        <v>13</v>
      </c>
      <c r="C7" s="509" t="s">
        <v>253</v>
      </c>
      <c r="D7" s="1829">
        <v>528</v>
      </c>
      <c r="E7" s="1805">
        <v>365</v>
      </c>
      <c r="F7" s="817">
        <v>105</v>
      </c>
      <c r="G7" s="817">
        <v>58</v>
      </c>
      <c r="H7" s="817">
        <v>0</v>
      </c>
      <c r="I7" s="817">
        <v>0</v>
      </c>
      <c r="J7" s="1805">
        <v>304</v>
      </c>
      <c r="K7" s="817">
        <v>224</v>
      </c>
      <c r="L7" s="1806"/>
      <c r="M7" s="511">
        <v>299</v>
      </c>
      <c r="N7" s="511">
        <v>199</v>
      </c>
      <c r="O7" s="511">
        <v>30</v>
      </c>
      <c r="P7" s="511">
        <v>0</v>
      </c>
      <c r="Q7" s="1828">
        <v>33</v>
      </c>
    </row>
    <row r="8" spans="1:17" s="512" customFormat="1" x14ac:dyDescent="0.3">
      <c r="A8" s="514" t="s">
        <v>16</v>
      </c>
      <c r="B8" s="510" t="s">
        <v>285</v>
      </c>
      <c r="C8" s="509" t="s">
        <v>253</v>
      </c>
      <c r="D8" s="1829">
        <v>227</v>
      </c>
      <c r="E8" s="1805">
        <v>157</v>
      </c>
      <c r="F8" s="817">
        <v>48</v>
      </c>
      <c r="G8" s="817">
        <v>22</v>
      </c>
      <c r="H8" s="817">
        <v>0</v>
      </c>
      <c r="I8" s="817">
        <v>0</v>
      </c>
      <c r="J8" s="1805">
        <v>123</v>
      </c>
      <c r="K8" s="817">
        <v>104</v>
      </c>
      <c r="L8" s="1806"/>
      <c r="M8" s="511">
        <v>198</v>
      </c>
      <c r="N8" s="511">
        <v>29</v>
      </c>
      <c r="O8" s="511">
        <v>0</v>
      </c>
      <c r="P8" s="511">
        <v>0</v>
      </c>
      <c r="Q8" s="1828">
        <v>7</v>
      </c>
    </row>
    <row r="9" spans="1:17" s="512" customFormat="1" x14ac:dyDescent="0.3">
      <c r="A9" s="514" t="s">
        <v>18</v>
      </c>
      <c r="B9" s="510" t="s">
        <v>19</v>
      </c>
      <c r="C9" s="509" t="s">
        <v>254</v>
      </c>
      <c r="D9" s="1829">
        <v>104</v>
      </c>
      <c r="E9" s="1805">
        <v>71</v>
      </c>
      <c r="F9" s="817">
        <v>21</v>
      </c>
      <c r="G9" s="817">
        <v>12</v>
      </c>
      <c r="H9" s="817">
        <v>0</v>
      </c>
      <c r="I9" s="817">
        <v>0</v>
      </c>
      <c r="J9" s="1805">
        <v>59</v>
      </c>
      <c r="K9" s="817">
        <v>45</v>
      </c>
      <c r="L9" s="1806"/>
      <c r="M9" s="511">
        <v>59</v>
      </c>
      <c r="N9" s="511">
        <v>45</v>
      </c>
      <c r="O9" s="511">
        <v>0</v>
      </c>
      <c r="P9" s="511">
        <v>0</v>
      </c>
      <c r="Q9" s="1828">
        <v>6</v>
      </c>
    </row>
    <row r="10" spans="1:17" s="512" customFormat="1" x14ac:dyDescent="0.3">
      <c r="A10" s="514" t="s">
        <v>20</v>
      </c>
      <c r="B10" s="510" t="s">
        <v>21</v>
      </c>
      <c r="C10" s="509" t="s">
        <v>253</v>
      </c>
      <c r="D10" s="1829">
        <v>239</v>
      </c>
      <c r="E10" s="1805">
        <v>183</v>
      </c>
      <c r="F10" s="817">
        <v>35</v>
      </c>
      <c r="G10" s="817">
        <v>21</v>
      </c>
      <c r="H10" s="817">
        <v>0</v>
      </c>
      <c r="I10" s="817">
        <v>0</v>
      </c>
      <c r="J10" s="1805">
        <v>132</v>
      </c>
      <c r="K10" s="817">
        <v>107</v>
      </c>
      <c r="L10" s="1806"/>
      <c r="M10" s="511">
        <v>165</v>
      </c>
      <c r="N10" s="511">
        <v>67</v>
      </c>
      <c r="O10" s="511">
        <v>6</v>
      </c>
      <c r="P10" s="511">
        <v>1</v>
      </c>
      <c r="Q10" s="1828">
        <v>5</v>
      </c>
    </row>
    <row r="11" spans="1:17" s="512" customFormat="1" x14ac:dyDescent="0.3">
      <c r="A11" s="514" t="s">
        <v>22</v>
      </c>
      <c r="B11" s="510" t="s">
        <v>23</v>
      </c>
      <c r="C11" s="509" t="s">
        <v>253</v>
      </c>
      <c r="D11" s="1829">
        <v>174</v>
      </c>
      <c r="E11" s="1805">
        <v>129</v>
      </c>
      <c r="F11" s="817">
        <v>30</v>
      </c>
      <c r="G11" s="817">
        <v>15</v>
      </c>
      <c r="H11" s="817">
        <v>0</v>
      </c>
      <c r="I11" s="817">
        <v>0</v>
      </c>
      <c r="J11" s="1805">
        <v>105</v>
      </c>
      <c r="K11" s="817">
        <v>69</v>
      </c>
      <c r="L11" s="1806"/>
      <c r="M11" s="511">
        <v>88</v>
      </c>
      <c r="N11" s="511">
        <v>86</v>
      </c>
      <c r="O11" s="511">
        <v>0</v>
      </c>
      <c r="P11" s="511">
        <v>0</v>
      </c>
      <c r="Q11" s="1828">
        <v>5</v>
      </c>
    </row>
    <row r="12" spans="1:17" s="512" customFormat="1" x14ac:dyDescent="0.3">
      <c r="A12" s="514" t="s">
        <v>24</v>
      </c>
      <c r="B12" s="510" t="s">
        <v>25</v>
      </c>
      <c r="C12" s="509" t="s">
        <v>255</v>
      </c>
      <c r="D12" s="1829">
        <v>525</v>
      </c>
      <c r="E12" s="1805">
        <v>350</v>
      </c>
      <c r="F12" s="817">
        <v>111</v>
      </c>
      <c r="G12" s="817">
        <v>64</v>
      </c>
      <c r="H12" s="817">
        <v>0</v>
      </c>
      <c r="I12" s="817">
        <v>0</v>
      </c>
      <c r="J12" s="1805">
        <v>331</v>
      </c>
      <c r="K12" s="817">
        <v>194</v>
      </c>
      <c r="L12" s="1806"/>
      <c r="M12" s="511">
        <v>203</v>
      </c>
      <c r="N12" s="511">
        <v>294</v>
      </c>
      <c r="O12" s="511">
        <v>28</v>
      </c>
      <c r="P12" s="511">
        <v>0</v>
      </c>
      <c r="Q12" s="1828">
        <v>49</v>
      </c>
    </row>
    <row r="13" spans="1:17" s="512" customFormat="1" x14ac:dyDescent="0.3">
      <c r="A13" s="514" t="s">
        <v>26</v>
      </c>
      <c r="B13" s="510" t="s">
        <v>547</v>
      </c>
      <c r="C13" s="509" t="s">
        <v>253</v>
      </c>
      <c r="D13" s="1829">
        <v>1588</v>
      </c>
      <c r="E13" s="1805">
        <v>1144</v>
      </c>
      <c r="F13" s="817">
        <v>289</v>
      </c>
      <c r="G13" s="817">
        <v>155</v>
      </c>
      <c r="H13" s="817">
        <v>0</v>
      </c>
      <c r="I13" s="817">
        <v>0</v>
      </c>
      <c r="J13" s="1805">
        <v>926</v>
      </c>
      <c r="K13" s="817">
        <v>662</v>
      </c>
      <c r="L13" s="1806"/>
      <c r="M13" s="511">
        <v>1196</v>
      </c>
      <c r="N13" s="511">
        <v>386</v>
      </c>
      <c r="O13" s="511">
        <v>6</v>
      </c>
      <c r="P13" s="511">
        <v>0</v>
      </c>
      <c r="Q13" s="1828">
        <v>73</v>
      </c>
    </row>
    <row r="14" spans="1:17" s="512" customFormat="1" x14ac:dyDescent="0.3">
      <c r="A14" s="514" t="s">
        <v>27</v>
      </c>
      <c r="B14" s="510" t="s">
        <v>28</v>
      </c>
      <c r="C14" s="509" t="s">
        <v>253</v>
      </c>
      <c r="D14" s="1829">
        <v>30</v>
      </c>
      <c r="E14" s="1805">
        <v>28</v>
      </c>
      <c r="F14" s="817">
        <v>2</v>
      </c>
      <c r="G14" s="817">
        <v>0</v>
      </c>
      <c r="H14" s="817">
        <v>0</v>
      </c>
      <c r="I14" s="817">
        <v>0</v>
      </c>
      <c r="J14" s="1805">
        <v>18</v>
      </c>
      <c r="K14" s="817">
        <v>12</v>
      </c>
      <c r="L14" s="1806"/>
      <c r="M14" s="511">
        <v>29</v>
      </c>
      <c r="N14" s="511">
        <v>1</v>
      </c>
      <c r="O14" s="511">
        <v>0</v>
      </c>
      <c r="P14" s="511">
        <v>0</v>
      </c>
      <c r="Q14" s="1828"/>
    </row>
    <row r="15" spans="1:17" s="512" customFormat="1" x14ac:dyDescent="0.3">
      <c r="A15" s="514" t="s">
        <v>29</v>
      </c>
      <c r="B15" s="510" t="s">
        <v>736</v>
      </c>
      <c r="C15" s="509" t="s">
        <v>253</v>
      </c>
      <c r="D15" s="1829">
        <v>470</v>
      </c>
      <c r="E15" s="1805">
        <v>355</v>
      </c>
      <c r="F15" s="817">
        <v>84</v>
      </c>
      <c r="G15" s="817">
        <v>31</v>
      </c>
      <c r="H15" s="817">
        <v>0</v>
      </c>
      <c r="I15" s="817">
        <v>0</v>
      </c>
      <c r="J15" s="1805">
        <v>269</v>
      </c>
      <c r="K15" s="817">
        <v>201</v>
      </c>
      <c r="L15" s="1806"/>
      <c r="M15" s="511">
        <v>344</v>
      </c>
      <c r="N15" s="511">
        <v>118</v>
      </c>
      <c r="O15" s="511">
        <v>8</v>
      </c>
      <c r="P15" s="511">
        <v>0</v>
      </c>
      <c r="Q15" s="1828">
        <v>11</v>
      </c>
    </row>
    <row r="16" spans="1:17" s="512" customFormat="1" x14ac:dyDescent="0.3">
      <c r="A16" s="514" t="s">
        <v>30</v>
      </c>
      <c r="B16" s="510" t="s">
        <v>31</v>
      </c>
      <c r="C16" s="509" t="s">
        <v>256</v>
      </c>
      <c r="D16" s="1829">
        <v>48</v>
      </c>
      <c r="E16" s="1805">
        <v>32</v>
      </c>
      <c r="F16" s="817">
        <v>14</v>
      </c>
      <c r="G16" s="817">
        <v>2</v>
      </c>
      <c r="H16" s="817">
        <v>0</v>
      </c>
      <c r="I16" s="817">
        <v>0</v>
      </c>
      <c r="J16" s="1805">
        <v>23</v>
      </c>
      <c r="K16" s="817">
        <v>25</v>
      </c>
      <c r="L16" s="1806"/>
      <c r="M16" s="511">
        <v>47</v>
      </c>
      <c r="N16" s="511">
        <v>1</v>
      </c>
      <c r="O16" s="511">
        <v>0</v>
      </c>
      <c r="P16" s="511">
        <v>0</v>
      </c>
      <c r="Q16" s="1828">
        <v>1</v>
      </c>
    </row>
    <row r="17" spans="1:17" s="512" customFormat="1" x14ac:dyDescent="0.3">
      <c r="A17" s="514" t="s">
        <v>32</v>
      </c>
      <c r="B17" s="510" t="s">
        <v>33</v>
      </c>
      <c r="C17" s="509" t="s">
        <v>253</v>
      </c>
      <c r="D17" s="1829">
        <v>126</v>
      </c>
      <c r="E17" s="1805">
        <v>98</v>
      </c>
      <c r="F17" s="817">
        <v>17</v>
      </c>
      <c r="G17" s="817">
        <v>11</v>
      </c>
      <c r="H17" s="817">
        <v>0</v>
      </c>
      <c r="I17" s="817">
        <v>0</v>
      </c>
      <c r="J17" s="1805">
        <v>68</v>
      </c>
      <c r="K17" s="817">
        <v>58</v>
      </c>
      <c r="L17" s="1806"/>
      <c r="M17" s="511">
        <v>113</v>
      </c>
      <c r="N17" s="511">
        <v>11</v>
      </c>
      <c r="O17" s="511">
        <v>2</v>
      </c>
      <c r="P17" s="511">
        <v>0</v>
      </c>
      <c r="Q17" s="1828">
        <v>5</v>
      </c>
    </row>
    <row r="18" spans="1:17" s="512" customFormat="1" x14ac:dyDescent="0.3">
      <c r="A18" s="514" t="s">
        <v>36</v>
      </c>
      <c r="B18" s="510" t="s">
        <v>37</v>
      </c>
      <c r="C18" s="509" t="s">
        <v>252</v>
      </c>
      <c r="D18" s="1829">
        <v>261</v>
      </c>
      <c r="E18" s="1805">
        <v>174</v>
      </c>
      <c r="F18" s="817">
        <v>70</v>
      </c>
      <c r="G18" s="817">
        <v>17</v>
      </c>
      <c r="H18" s="817">
        <v>0</v>
      </c>
      <c r="I18" s="817">
        <v>0</v>
      </c>
      <c r="J18" s="1805">
        <v>165</v>
      </c>
      <c r="K18" s="817">
        <v>96</v>
      </c>
      <c r="L18" s="1806"/>
      <c r="M18" s="511">
        <v>38</v>
      </c>
      <c r="N18" s="511">
        <v>223</v>
      </c>
      <c r="O18" s="511">
        <v>0</v>
      </c>
      <c r="P18" s="511">
        <v>0</v>
      </c>
      <c r="Q18" s="1828"/>
    </row>
    <row r="19" spans="1:17" s="512" customFormat="1" x14ac:dyDescent="0.3">
      <c r="A19" s="514" t="s">
        <v>38</v>
      </c>
      <c r="B19" s="510" t="s">
        <v>39</v>
      </c>
      <c r="C19" s="509" t="s">
        <v>256</v>
      </c>
      <c r="D19" s="1829">
        <v>327</v>
      </c>
      <c r="E19" s="1805">
        <v>226</v>
      </c>
      <c r="F19" s="817">
        <v>65</v>
      </c>
      <c r="G19" s="817">
        <v>36</v>
      </c>
      <c r="H19" s="817">
        <v>0</v>
      </c>
      <c r="I19" s="817">
        <v>0</v>
      </c>
      <c r="J19" s="1805">
        <v>184</v>
      </c>
      <c r="K19" s="817">
        <v>143</v>
      </c>
      <c r="L19" s="1806"/>
      <c r="M19" s="511">
        <v>324</v>
      </c>
      <c r="N19" s="511">
        <v>3</v>
      </c>
      <c r="O19" s="511">
        <v>0</v>
      </c>
      <c r="P19" s="511">
        <v>0</v>
      </c>
      <c r="Q19" s="1828">
        <v>4</v>
      </c>
    </row>
    <row r="20" spans="1:17" s="512" customFormat="1" x14ac:dyDescent="0.3">
      <c r="A20" s="514" t="s">
        <v>40</v>
      </c>
      <c r="B20" s="510" t="s">
        <v>41</v>
      </c>
      <c r="C20" s="509" t="s">
        <v>254</v>
      </c>
      <c r="D20" s="1829">
        <v>199</v>
      </c>
      <c r="E20" s="1805">
        <v>138</v>
      </c>
      <c r="F20" s="817">
        <v>43</v>
      </c>
      <c r="G20" s="817">
        <v>18</v>
      </c>
      <c r="H20" s="817">
        <v>0</v>
      </c>
      <c r="I20" s="817">
        <v>0</v>
      </c>
      <c r="J20" s="1805">
        <v>126</v>
      </c>
      <c r="K20" s="817">
        <v>73</v>
      </c>
      <c r="L20" s="1806"/>
      <c r="M20" s="511">
        <v>93</v>
      </c>
      <c r="N20" s="511">
        <v>103</v>
      </c>
      <c r="O20" s="511">
        <v>3</v>
      </c>
      <c r="P20" s="511">
        <v>0</v>
      </c>
      <c r="Q20" s="1828">
        <v>2</v>
      </c>
    </row>
    <row r="21" spans="1:17" s="512" customFormat="1" x14ac:dyDescent="0.3">
      <c r="A21" s="514" t="s">
        <v>42</v>
      </c>
      <c r="B21" s="510" t="s">
        <v>43</v>
      </c>
      <c r="C21" s="509" t="s">
        <v>253</v>
      </c>
      <c r="D21" s="1829">
        <v>564</v>
      </c>
      <c r="E21" s="1805">
        <v>398</v>
      </c>
      <c r="F21" s="817">
        <v>119</v>
      </c>
      <c r="G21" s="817">
        <v>47</v>
      </c>
      <c r="H21" s="817">
        <v>0</v>
      </c>
      <c r="I21" s="817">
        <v>0</v>
      </c>
      <c r="J21" s="1805">
        <v>357</v>
      </c>
      <c r="K21" s="817">
        <v>207</v>
      </c>
      <c r="L21" s="1806"/>
      <c r="M21" s="511">
        <v>375</v>
      </c>
      <c r="N21" s="511">
        <v>184</v>
      </c>
      <c r="O21" s="511">
        <v>5</v>
      </c>
      <c r="P21" s="511">
        <v>0</v>
      </c>
      <c r="Q21" s="1828">
        <v>15</v>
      </c>
    </row>
    <row r="22" spans="1:17" s="512" customFormat="1" x14ac:dyDescent="0.3">
      <c r="A22" s="514" t="s">
        <v>44</v>
      </c>
      <c r="B22" s="510" t="s">
        <v>45</v>
      </c>
      <c r="C22" s="509" t="s">
        <v>254</v>
      </c>
      <c r="D22" s="1829">
        <v>328</v>
      </c>
      <c r="E22" s="1805">
        <v>224</v>
      </c>
      <c r="F22" s="817">
        <v>74</v>
      </c>
      <c r="G22" s="817">
        <v>30</v>
      </c>
      <c r="H22" s="817">
        <v>0</v>
      </c>
      <c r="I22" s="817">
        <v>0</v>
      </c>
      <c r="J22" s="1805">
        <v>199</v>
      </c>
      <c r="K22" s="817">
        <v>129</v>
      </c>
      <c r="L22" s="1806"/>
      <c r="M22" s="511">
        <v>146</v>
      </c>
      <c r="N22" s="511">
        <v>177</v>
      </c>
      <c r="O22" s="511">
        <v>5</v>
      </c>
      <c r="P22" s="511">
        <v>0</v>
      </c>
      <c r="Q22" s="1828">
        <v>10</v>
      </c>
    </row>
    <row r="23" spans="1:17" s="512" customFormat="1" x14ac:dyDescent="0.3">
      <c r="A23" s="514" t="s">
        <v>46</v>
      </c>
      <c r="B23" s="510" t="s">
        <v>47</v>
      </c>
      <c r="C23" s="509" t="s">
        <v>256</v>
      </c>
      <c r="D23" s="1829">
        <v>335</v>
      </c>
      <c r="E23" s="1805">
        <v>252</v>
      </c>
      <c r="F23" s="817">
        <v>59</v>
      </c>
      <c r="G23" s="817">
        <v>24</v>
      </c>
      <c r="H23" s="817">
        <v>0</v>
      </c>
      <c r="I23" s="817">
        <v>0</v>
      </c>
      <c r="J23" s="1805">
        <v>201</v>
      </c>
      <c r="K23" s="817">
        <v>134</v>
      </c>
      <c r="L23" s="1806"/>
      <c r="M23" s="511">
        <v>327</v>
      </c>
      <c r="N23" s="511">
        <v>8</v>
      </c>
      <c r="O23" s="511">
        <v>0</v>
      </c>
      <c r="P23" s="511">
        <v>0</v>
      </c>
      <c r="Q23" s="1828">
        <v>11</v>
      </c>
    </row>
    <row r="24" spans="1:17" s="512" customFormat="1" x14ac:dyDescent="0.3">
      <c r="A24" s="514" t="s">
        <v>48</v>
      </c>
      <c r="B24" s="510" t="s">
        <v>257</v>
      </c>
      <c r="C24" s="509" t="s">
        <v>254</v>
      </c>
      <c r="D24" s="1829">
        <v>42</v>
      </c>
      <c r="E24" s="1805">
        <v>32</v>
      </c>
      <c r="F24" s="817">
        <v>8</v>
      </c>
      <c r="G24" s="817">
        <v>2</v>
      </c>
      <c r="H24" s="817">
        <v>0</v>
      </c>
      <c r="I24" s="817">
        <v>0</v>
      </c>
      <c r="J24" s="1805">
        <v>24</v>
      </c>
      <c r="K24" s="817">
        <v>18</v>
      </c>
      <c r="L24" s="1806"/>
      <c r="M24" s="511">
        <v>15</v>
      </c>
      <c r="N24" s="511">
        <v>27</v>
      </c>
      <c r="O24" s="511">
        <v>0</v>
      </c>
      <c r="P24" s="511">
        <v>0</v>
      </c>
      <c r="Q24" s="1828"/>
    </row>
    <row r="25" spans="1:17" s="512" customFormat="1" x14ac:dyDescent="0.3">
      <c r="A25" s="514" t="s">
        <v>50</v>
      </c>
      <c r="B25" s="510" t="s">
        <v>51</v>
      </c>
      <c r="C25" s="509" t="s">
        <v>253</v>
      </c>
      <c r="D25" s="1829">
        <v>190</v>
      </c>
      <c r="E25" s="1805">
        <v>134</v>
      </c>
      <c r="F25" s="817">
        <v>40</v>
      </c>
      <c r="G25" s="817">
        <v>16</v>
      </c>
      <c r="H25" s="817">
        <v>0</v>
      </c>
      <c r="I25" s="817">
        <v>0</v>
      </c>
      <c r="J25" s="1805">
        <v>110</v>
      </c>
      <c r="K25" s="817">
        <v>80</v>
      </c>
      <c r="L25" s="1806"/>
      <c r="M25" s="511">
        <v>84</v>
      </c>
      <c r="N25" s="511">
        <v>106</v>
      </c>
      <c r="O25" s="511">
        <v>0</v>
      </c>
      <c r="P25" s="511">
        <v>0</v>
      </c>
      <c r="Q25" s="1828">
        <v>12</v>
      </c>
    </row>
    <row r="26" spans="1:17" s="512" customFormat="1" x14ac:dyDescent="0.3">
      <c r="A26" s="514" t="s">
        <v>56</v>
      </c>
      <c r="B26" s="510" t="s">
        <v>283</v>
      </c>
      <c r="C26" s="509" t="s">
        <v>254</v>
      </c>
      <c r="D26" s="1829">
        <v>2343</v>
      </c>
      <c r="E26" s="1805">
        <v>1693</v>
      </c>
      <c r="F26" s="817">
        <v>426</v>
      </c>
      <c r="G26" s="817">
        <v>222</v>
      </c>
      <c r="H26" s="817">
        <v>1</v>
      </c>
      <c r="I26" s="817">
        <v>1</v>
      </c>
      <c r="J26" s="1805">
        <v>1401</v>
      </c>
      <c r="K26" s="817">
        <v>942</v>
      </c>
      <c r="L26" s="1806"/>
      <c r="M26" s="511">
        <v>778</v>
      </c>
      <c r="N26" s="511">
        <v>1509</v>
      </c>
      <c r="O26" s="511">
        <v>56</v>
      </c>
      <c r="P26" s="511">
        <v>0</v>
      </c>
      <c r="Q26" s="1828">
        <v>175</v>
      </c>
    </row>
    <row r="27" spans="1:17" s="512" customFormat="1" x14ac:dyDescent="0.3">
      <c r="A27" s="514" t="s">
        <v>58</v>
      </c>
      <c r="B27" s="510" t="s">
        <v>59</v>
      </c>
      <c r="C27" s="509" t="s">
        <v>255</v>
      </c>
      <c r="D27" s="1829">
        <v>46</v>
      </c>
      <c r="E27" s="1805">
        <v>36</v>
      </c>
      <c r="F27" s="817">
        <v>5</v>
      </c>
      <c r="G27" s="817">
        <v>5</v>
      </c>
      <c r="H27" s="817">
        <v>0</v>
      </c>
      <c r="I27" s="817">
        <v>0</v>
      </c>
      <c r="J27" s="1805">
        <v>24</v>
      </c>
      <c r="K27" s="817">
        <v>22</v>
      </c>
      <c r="L27" s="1806"/>
      <c r="M27" s="511">
        <v>33</v>
      </c>
      <c r="N27" s="511">
        <v>13</v>
      </c>
      <c r="O27" s="511">
        <v>0</v>
      </c>
      <c r="P27" s="511">
        <v>0</v>
      </c>
      <c r="Q27" s="1828">
        <v>4</v>
      </c>
    </row>
    <row r="28" spans="1:17" s="512" customFormat="1" x14ac:dyDescent="0.3">
      <c r="A28" s="514" t="s">
        <v>60</v>
      </c>
      <c r="B28" s="510" t="s">
        <v>61</v>
      </c>
      <c r="C28" s="509" t="s">
        <v>253</v>
      </c>
      <c r="D28" s="1829">
        <v>38</v>
      </c>
      <c r="E28" s="1805">
        <v>32</v>
      </c>
      <c r="F28" s="817">
        <v>4</v>
      </c>
      <c r="G28" s="817">
        <v>2</v>
      </c>
      <c r="H28" s="817">
        <v>0</v>
      </c>
      <c r="I28" s="817">
        <v>0</v>
      </c>
      <c r="J28" s="1805">
        <v>21</v>
      </c>
      <c r="K28" s="817">
        <v>17</v>
      </c>
      <c r="L28" s="1806"/>
      <c r="M28" s="511">
        <v>38</v>
      </c>
      <c r="N28" s="511">
        <v>0</v>
      </c>
      <c r="O28" s="511">
        <v>0</v>
      </c>
      <c r="P28" s="511">
        <v>0</v>
      </c>
      <c r="Q28" s="1828"/>
    </row>
    <row r="29" spans="1:17" s="512" customFormat="1" x14ac:dyDescent="0.3">
      <c r="A29" s="514" t="s">
        <v>62</v>
      </c>
      <c r="B29" s="510" t="s">
        <v>63</v>
      </c>
      <c r="C29" s="509" t="s">
        <v>255</v>
      </c>
      <c r="D29" s="1829">
        <v>464</v>
      </c>
      <c r="E29" s="1805">
        <v>326</v>
      </c>
      <c r="F29" s="817">
        <v>97</v>
      </c>
      <c r="G29" s="817">
        <v>41</v>
      </c>
      <c r="H29" s="817">
        <v>0</v>
      </c>
      <c r="I29" s="817">
        <v>0</v>
      </c>
      <c r="J29" s="1805">
        <v>271</v>
      </c>
      <c r="K29" s="817">
        <v>193</v>
      </c>
      <c r="L29" s="1806"/>
      <c r="M29" s="511">
        <v>255</v>
      </c>
      <c r="N29" s="511">
        <v>202</v>
      </c>
      <c r="O29" s="511">
        <v>7</v>
      </c>
      <c r="P29" s="511">
        <v>0</v>
      </c>
      <c r="Q29" s="1828">
        <v>18</v>
      </c>
    </row>
    <row r="30" spans="1:17" s="512" customFormat="1" x14ac:dyDescent="0.3">
      <c r="A30" s="514" t="s">
        <v>64</v>
      </c>
      <c r="B30" s="510" t="s">
        <v>65</v>
      </c>
      <c r="C30" s="509" t="s">
        <v>254</v>
      </c>
      <c r="D30" s="1829">
        <v>196</v>
      </c>
      <c r="E30" s="1805">
        <v>134</v>
      </c>
      <c r="F30" s="817">
        <v>42</v>
      </c>
      <c r="G30" s="817">
        <v>20</v>
      </c>
      <c r="H30" s="817">
        <v>0</v>
      </c>
      <c r="I30" s="817">
        <v>0</v>
      </c>
      <c r="J30" s="1805">
        <v>116</v>
      </c>
      <c r="K30" s="817">
        <v>80</v>
      </c>
      <c r="L30" s="1806"/>
      <c r="M30" s="511">
        <v>88</v>
      </c>
      <c r="N30" s="511">
        <v>107</v>
      </c>
      <c r="O30" s="511">
        <v>1</v>
      </c>
      <c r="P30" s="511">
        <v>0</v>
      </c>
      <c r="Q30" s="1828">
        <v>3</v>
      </c>
    </row>
    <row r="31" spans="1:17" s="512" customFormat="1" x14ac:dyDescent="0.3">
      <c r="A31" s="514" t="s">
        <v>68</v>
      </c>
      <c r="B31" s="510" t="s">
        <v>69</v>
      </c>
      <c r="C31" s="509" t="s">
        <v>256</v>
      </c>
      <c r="D31" s="1829">
        <v>155</v>
      </c>
      <c r="E31" s="1805">
        <v>114</v>
      </c>
      <c r="F31" s="817">
        <v>25</v>
      </c>
      <c r="G31" s="817">
        <v>16</v>
      </c>
      <c r="H31" s="817">
        <v>0</v>
      </c>
      <c r="I31" s="817">
        <v>0</v>
      </c>
      <c r="J31" s="1805">
        <v>88</v>
      </c>
      <c r="K31" s="817">
        <v>67</v>
      </c>
      <c r="L31" s="1806"/>
      <c r="M31" s="511">
        <v>152</v>
      </c>
      <c r="N31" s="511">
        <v>3</v>
      </c>
      <c r="O31" s="511">
        <v>0</v>
      </c>
      <c r="P31" s="511">
        <v>0</v>
      </c>
      <c r="Q31" s="1828"/>
    </row>
    <row r="32" spans="1:17" s="512" customFormat="1" x14ac:dyDescent="0.3">
      <c r="A32" s="514" t="s">
        <v>70</v>
      </c>
      <c r="B32" s="510" t="s">
        <v>71</v>
      </c>
      <c r="C32" s="509" t="s">
        <v>252</v>
      </c>
      <c r="D32" s="1829">
        <v>201</v>
      </c>
      <c r="E32" s="1805">
        <v>150</v>
      </c>
      <c r="F32" s="817">
        <v>37</v>
      </c>
      <c r="G32" s="817">
        <v>14</v>
      </c>
      <c r="H32" s="817">
        <v>0</v>
      </c>
      <c r="I32" s="817">
        <v>0</v>
      </c>
      <c r="J32" s="1805">
        <v>117</v>
      </c>
      <c r="K32" s="817">
        <v>84</v>
      </c>
      <c r="L32" s="1806"/>
      <c r="M32" s="511">
        <v>101</v>
      </c>
      <c r="N32" s="511">
        <v>98</v>
      </c>
      <c r="O32" s="511">
        <v>2</v>
      </c>
      <c r="P32" s="511">
        <v>0</v>
      </c>
      <c r="Q32" s="1828">
        <v>7</v>
      </c>
    </row>
    <row r="33" spans="1:17" s="512" customFormat="1" x14ac:dyDescent="0.3">
      <c r="A33" s="514" t="s">
        <v>72</v>
      </c>
      <c r="B33" s="510" t="s">
        <v>73</v>
      </c>
      <c r="C33" s="509" t="s">
        <v>254</v>
      </c>
      <c r="D33" s="1829">
        <v>246</v>
      </c>
      <c r="E33" s="1805">
        <v>168</v>
      </c>
      <c r="F33" s="817">
        <v>57</v>
      </c>
      <c r="G33" s="817">
        <v>21</v>
      </c>
      <c r="H33" s="817">
        <v>0</v>
      </c>
      <c r="I33" s="817">
        <v>0</v>
      </c>
      <c r="J33" s="1805">
        <v>151</v>
      </c>
      <c r="K33" s="817">
        <v>95</v>
      </c>
      <c r="L33" s="1806"/>
      <c r="M33" s="511">
        <v>72</v>
      </c>
      <c r="N33" s="511">
        <v>174</v>
      </c>
      <c r="O33" s="511">
        <v>0</v>
      </c>
      <c r="P33" s="511">
        <v>0</v>
      </c>
      <c r="Q33" s="1828">
        <v>6</v>
      </c>
    </row>
    <row r="34" spans="1:17" s="512" customFormat="1" x14ac:dyDescent="0.3">
      <c r="A34" s="514" t="s">
        <v>74</v>
      </c>
      <c r="B34" s="510" t="s">
        <v>284</v>
      </c>
      <c r="C34" s="509" t="s">
        <v>255</v>
      </c>
      <c r="D34" s="1829">
        <v>3889</v>
      </c>
      <c r="E34" s="1805">
        <v>2581</v>
      </c>
      <c r="F34" s="817">
        <v>719</v>
      </c>
      <c r="G34" s="817">
        <v>587</v>
      </c>
      <c r="H34" s="817">
        <v>1</v>
      </c>
      <c r="I34" s="817">
        <v>1</v>
      </c>
      <c r="J34" s="1805">
        <v>2268</v>
      </c>
      <c r="K34" s="817">
        <v>1621</v>
      </c>
      <c r="L34" s="1806"/>
      <c r="M34" s="511">
        <v>1632</v>
      </c>
      <c r="N34" s="511">
        <v>1537</v>
      </c>
      <c r="O34" s="511">
        <v>720</v>
      </c>
      <c r="P34" s="511">
        <v>0</v>
      </c>
      <c r="Q34" s="1828">
        <v>280</v>
      </c>
    </row>
    <row r="35" spans="1:17" s="512" customFormat="1" x14ac:dyDescent="0.3">
      <c r="A35" s="514" t="s">
        <v>76</v>
      </c>
      <c r="B35" s="510" t="s">
        <v>77</v>
      </c>
      <c r="C35" s="509" t="s">
        <v>255</v>
      </c>
      <c r="D35" s="1829">
        <v>288</v>
      </c>
      <c r="E35" s="1805">
        <v>210</v>
      </c>
      <c r="F35" s="817">
        <v>53</v>
      </c>
      <c r="G35" s="817">
        <v>25</v>
      </c>
      <c r="H35" s="817">
        <v>0</v>
      </c>
      <c r="I35" s="817">
        <v>0</v>
      </c>
      <c r="J35" s="1805">
        <v>177</v>
      </c>
      <c r="K35" s="817">
        <v>111</v>
      </c>
      <c r="L35" s="1806"/>
      <c r="M35" s="511">
        <v>171</v>
      </c>
      <c r="N35" s="511">
        <v>115</v>
      </c>
      <c r="O35" s="511">
        <v>2</v>
      </c>
      <c r="P35" s="511">
        <v>0</v>
      </c>
      <c r="Q35" s="1828">
        <v>3</v>
      </c>
    </row>
    <row r="36" spans="1:17" s="512" customFormat="1" x14ac:dyDescent="0.3">
      <c r="A36" s="514" t="s">
        <v>78</v>
      </c>
      <c r="B36" s="510" t="s">
        <v>79</v>
      </c>
      <c r="C36" s="509" t="s">
        <v>256</v>
      </c>
      <c r="D36" s="1829">
        <v>161</v>
      </c>
      <c r="E36" s="1805">
        <v>114</v>
      </c>
      <c r="F36" s="817">
        <v>28</v>
      </c>
      <c r="G36" s="817">
        <v>18</v>
      </c>
      <c r="H36" s="817">
        <v>1</v>
      </c>
      <c r="I36" s="817">
        <v>0</v>
      </c>
      <c r="J36" s="1805">
        <v>80</v>
      </c>
      <c r="K36" s="817">
        <v>81</v>
      </c>
      <c r="L36" s="1806"/>
      <c r="M36" s="511">
        <v>149</v>
      </c>
      <c r="N36" s="511">
        <v>6</v>
      </c>
      <c r="O36" s="511">
        <v>6</v>
      </c>
      <c r="P36" s="511">
        <v>0</v>
      </c>
      <c r="Q36" s="1828">
        <v>1</v>
      </c>
    </row>
    <row r="37" spans="1:17" s="512" customFormat="1" x14ac:dyDescent="0.3">
      <c r="A37" s="514" t="s">
        <v>80</v>
      </c>
      <c r="B37" s="510" t="s">
        <v>81</v>
      </c>
      <c r="C37" s="509" t="s">
        <v>254</v>
      </c>
      <c r="D37" s="1829">
        <v>89</v>
      </c>
      <c r="E37" s="1805">
        <v>71</v>
      </c>
      <c r="F37" s="817">
        <v>12</v>
      </c>
      <c r="G37" s="817">
        <v>6</v>
      </c>
      <c r="H37" s="817">
        <v>0</v>
      </c>
      <c r="I37" s="817">
        <v>0</v>
      </c>
      <c r="J37" s="1805">
        <v>52</v>
      </c>
      <c r="K37" s="817">
        <v>37</v>
      </c>
      <c r="L37" s="1806"/>
      <c r="M37" s="511">
        <v>54</v>
      </c>
      <c r="N37" s="511">
        <v>35</v>
      </c>
      <c r="O37" s="511">
        <v>0</v>
      </c>
      <c r="P37" s="511">
        <v>0</v>
      </c>
      <c r="Q37" s="1828">
        <v>2</v>
      </c>
    </row>
    <row r="38" spans="1:17" s="512" customFormat="1" x14ac:dyDescent="0.3">
      <c r="A38" s="514" t="s">
        <v>84</v>
      </c>
      <c r="B38" s="510" t="s">
        <v>85</v>
      </c>
      <c r="C38" s="509" t="s">
        <v>253</v>
      </c>
      <c r="D38" s="1829">
        <v>546</v>
      </c>
      <c r="E38" s="1805">
        <v>395</v>
      </c>
      <c r="F38" s="817">
        <v>103</v>
      </c>
      <c r="G38" s="817">
        <v>48</v>
      </c>
      <c r="H38" s="817">
        <v>0</v>
      </c>
      <c r="I38" s="817">
        <v>0</v>
      </c>
      <c r="J38" s="1805">
        <v>336</v>
      </c>
      <c r="K38" s="817">
        <v>210</v>
      </c>
      <c r="L38" s="1806"/>
      <c r="M38" s="511">
        <v>444</v>
      </c>
      <c r="N38" s="511">
        <v>97</v>
      </c>
      <c r="O38" s="511">
        <v>5</v>
      </c>
      <c r="P38" s="511">
        <v>0</v>
      </c>
      <c r="Q38" s="1828">
        <v>21</v>
      </c>
    </row>
    <row r="39" spans="1:17" s="512" customFormat="1" x14ac:dyDescent="0.3">
      <c r="A39" s="514" t="s">
        <v>86</v>
      </c>
      <c r="B39" s="510" t="s">
        <v>87</v>
      </c>
      <c r="C39" s="509" t="s">
        <v>255</v>
      </c>
      <c r="D39" s="1829">
        <v>346</v>
      </c>
      <c r="E39" s="1805">
        <v>252</v>
      </c>
      <c r="F39" s="817">
        <v>63</v>
      </c>
      <c r="G39" s="817">
        <v>30</v>
      </c>
      <c r="H39" s="817">
        <v>1</v>
      </c>
      <c r="I39" s="817">
        <v>0</v>
      </c>
      <c r="J39" s="1805">
        <v>201</v>
      </c>
      <c r="K39" s="817">
        <v>145</v>
      </c>
      <c r="L39" s="1806"/>
      <c r="M39" s="511">
        <v>271</v>
      </c>
      <c r="N39" s="511">
        <v>71</v>
      </c>
      <c r="O39" s="511">
        <v>4</v>
      </c>
      <c r="P39" s="511">
        <v>0</v>
      </c>
      <c r="Q39" s="1828">
        <v>20</v>
      </c>
    </row>
    <row r="40" spans="1:17" s="512" customFormat="1" x14ac:dyDescent="0.3">
      <c r="A40" s="514" t="s">
        <v>92</v>
      </c>
      <c r="B40" s="510" t="s">
        <v>93</v>
      </c>
      <c r="C40" s="509" t="s">
        <v>256</v>
      </c>
      <c r="D40" s="1829">
        <v>191</v>
      </c>
      <c r="E40" s="1805">
        <v>141</v>
      </c>
      <c r="F40" s="817">
        <v>32</v>
      </c>
      <c r="G40" s="817">
        <v>18</v>
      </c>
      <c r="H40" s="817">
        <v>0</v>
      </c>
      <c r="I40" s="817">
        <v>0</v>
      </c>
      <c r="J40" s="1805">
        <v>116</v>
      </c>
      <c r="K40" s="817">
        <v>75</v>
      </c>
      <c r="L40" s="1806"/>
      <c r="M40" s="511">
        <v>181</v>
      </c>
      <c r="N40" s="511">
        <v>8</v>
      </c>
      <c r="O40" s="511">
        <v>2</v>
      </c>
      <c r="P40" s="511">
        <v>0</v>
      </c>
      <c r="Q40" s="1828">
        <v>1</v>
      </c>
    </row>
    <row r="41" spans="1:17" s="512" customFormat="1" x14ac:dyDescent="0.3">
      <c r="A41" s="514" t="s">
        <v>94</v>
      </c>
      <c r="B41" s="510" t="s">
        <v>95</v>
      </c>
      <c r="C41" s="509" t="s">
        <v>252</v>
      </c>
      <c r="D41" s="1829">
        <v>287</v>
      </c>
      <c r="E41" s="1805">
        <v>203</v>
      </c>
      <c r="F41" s="817">
        <v>53</v>
      </c>
      <c r="G41" s="817">
        <v>31</v>
      </c>
      <c r="H41" s="817">
        <v>0</v>
      </c>
      <c r="I41" s="817">
        <v>0</v>
      </c>
      <c r="J41" s="1805">
        <v>162</v>
      </c>
      <c r="K41" s="817">
        <v>125</v>
      </c>
      <c r="L41" s="1806"/>
      <c r="M41" s="511">
        <v>231</v>
      </c>
      <c r="N41" s="511">
        <v>54</v>
      </c>
      <c r="O41" s="511">
        <v>2</v>
      </c>
      <c r="P41" s="511">
        <v>0</v>
      </c>
      <c r="Q41" s="1828">
        <v>13</v>
      </c>
    </row>
    <row r="42" spans="1:17" s="512" customFormat="1" x14ac:dyDescent="0.3">
      <c r="A42" s="514" t="s">
        <v>96</v>
      </c>
      <c r="B42" s="510" t="s">
        <v>97</v>
      </c>
      <c r="C42" s="509" t="s">
        <v>254</v>
      </c>
      <c r="D42" s="1829">
        <v>62</v>
      </c>
      <c r="E42" s="1805">
        <v>40</v>
      </c>
      <c r="F42" s="817">
        <v>13</v>
      </c>
      <c r="G42" s="817">
        <v>9</v>
      </c>
      <c r="H42" s="817">
        <v>0</v>
      </c>
      <c r="I42" s="817">
        <v>0</v>
      </c>
      <c r="J42" s="1805">
        <v>38</v>
      </c>
      <c r="K42" s="817">
        <v>24</v>
      </c>
      <c r="L42" s="1806"/>
      <c r="M42" s="511">
        <v>37</v>
      </c>
      <c r="N42" s="511">
        <v>24</v>
      </c>
      <c r="O42" s="511">
        <v>1</v>
      </c>
      <c r="P42" s="511">
        <v>0</v>
      </c>
      <c r="Q42" s="1828">
        <v>3</v>
      </c>
    </row>
    <row r="43" spans="1:17" s="512" customFormat="1" x14ac:dyDescent="0.3">
      <c r="A43" s="514" t="s">
        <v>98</v>
      </c>
      <c r="B43" s="510" t="s">
        <v>99</v>
      </c>
      <c r="C43" s="509" t="s">
        <v>256</v>
      </c>
      <c r="D43" s="1829">
        <v>133</v>
      </c>
      <c r="E43" s="1805">
        <v>97</v>
      </c>
      <c r="F43" s="817">
        <v>20</v>
      </c>
      <c r="G43" s="817">
        <v>16</v>
      </c>
      <c r="H43" s="817">
        <v>0</v>
      </c>
      <c r="I43" s="817">
        <v>0</v>
      </c>
      <c r="J43" s="1805">
        <v>72</v>
      </c>
      <c r="K43" s="817">
        <v>61</v>
      </c>
      <c r="L43" s="1806"/>
      <c r="M43" s="511">
        <v>126</v>
      </c>
      <c r="N43" s="511">
        <v>5</v>
      </c>
      <c r="O43" s="511">
        <v>2</v>
      </c>
      <c r="P43" s="511">
        <v>0</v>
      </c>
      <c r="Q43" s="1828">
        <v>7</v>
      </c>
    </row>
    <row r="44" spans="1:17" s="512" customFormat="1" x14ac:dyDescent="0.3">
      <c r="A44" s="514" t="s">
        <v>100</v>
      </c>
      <c r="B44" s="510" t="s">
        <v>101</v>
      </c>
      <c r="C44" s="509" t="s">
        <v>255</v>
      </c>
      <c r="D44" s="1829">
        <v>167</v>
      </c>
      <c r="E44" s="1805">
        <v>121</v>
      </c>
      <c r="F44" s="817">
        <v>27</v>
      </c>
      <c r="G44" s="817">
        <v>19</v>
      </c>
      <c r="H44" s="817">
        <v>0</v>
      </c>
      <c r="I44" s="817">
        <v>0</v>
      </c>
      <c r="J44" s="1805">
        <v>100</v>
      </c>
      <c r="K44" s="817">
        <v>67</v>
      </c>
      <c r="L44" s="1806"/>
      <c r="M44" s="511">
        <v>128</v>
      </c>
      <c r="N44" s="511">
        <v>39</v>
      </c>
      <c r="O44" s="511">
        <v>0</v>
      </c>
      <c r="P44" s="511">
        <v>0</v>
      </c>
      <c r="Q44" s="1828">
        <v>3</v>
      </c>
    </row>
    <row r="45" spans="1:17" s="512" customFormat="1" x14ac:dyDescent="0.3">
      <c r="A45" s="514" t="s">
        <v>102</v>
      </c>
      <c r="B45" s="510" t="s">
        <v>270</v>
      </c>
      <c r="C45" s="509" t="s">
        <v>252</v>
      </c>
      <c r="D45" s="1829">
        <v>399</v>
      </c>
      <c r="E45" s="1805">
        <v>290</v>
      </c>
      <c r="F45" s="817">
        <v>82</v>
      </c>
      <c r="G45" s="817">
        <v>27</v>
      </c>
      <c r="H45" s="817">
        <v>0</v>
      </c>
      <c r="I45" s="817">
        <v>0</v>
      </c>
      <c r="J45" s="1805">
        <v>243</v>
      </c>
      <c r="K45" s="817">
        <v>156</v>
      </c>
      <c r="L45" s="1806"/>
      <c r="M45" s="511">
        <v>32</v>
      </c>
      <c r="N45" s="511">
        <v>365</v>
      </c>
      <c r="O45" s="511">
        <v>2</v>
      </c>
      <c r="P45" s="511">
        <v>0</v>
      </c>
      <c r="Q45" s="1828">
        <v>12</v>
      </c>
    </row>
    <row r="46" spans="1:17" s="512" customFormat="1" x14ac:dyDescent="0.3">
      <c r="A46" s="514" t="s">
        <v>104</v>
      </c>
      <c r="B46" s="510" t="s">
        <v>105</v>
      </c>
      <c r="C46" s="509" t="s">
        <v>253</v>
      </c>
      <c r="D46" s="1829">
        <v>390</v>
      </c>
      <c r="E46" s="1805">
        <v>290</v>
      </c>
      <c r="F46" s="817">
        <v>78</v>
      </c>
      <c r="G46" s="817">
        <v>22</v>
      </c>
      <c r="H46" s="817">
        <v>0</v>
      </c>
      <c r="I46" s="817">
        <v>0</v>
      </c>
      <c r="J46" s="1805">
        <v>251</v>
      </c>
      <c r="K46" s="817">
        <v>139</v>
      </c>
      <c r="L46" s="1806"/>
      <c r="M46" s="511">
        <v>104</v>
      </c>
      <c r="N46" s="511">
        <v>284</v>
      </c>
      <c r="O46" s="511">
        <v>2</v>
      </c>
      <c r="P46" s="511">
        <v>0</v>
      </c>
      <c r="Q46" s="1828">
        <v>12</v>
      </c>
    </row>
    <row r="47" spans="1:17" s="512" customFormat="1" x14ac:dyDescent="0.3">
      <c r="A47" s="514" t="s">
        <v>108</v>
      </c>
      <c r="B47" s="510" t="s">
        <v>109</v>
      </c>
      <c r="C47" s="509" t="s">
        <v>254</v>
      </c>
      <c r="D47" s="1829">
        <v>438</v>
      </c>
      <c r="E47" s="1805">
        <v>304</v>
      </c>
      <c r="F47" s="817">
        <v>81</v>
      </c>
      <c r="G47" s="817">
        <v>53</v>
      </c>
      <c r="H47" s="817">
        <v>0</v>
      </c>
      <c r="I47" s="817">
        <v>0</v>
      </c>
      <c r="J47" s="1805">
        <v>257</v>
      </c>
      <c r="K47" s="817">
        <v>181</v>
      </c>
      <c r="L47" s="1806"/>
      <c r="M47" s="511">
        <v>241</v>
      </c>
      <c r="N47" s="511">
        <v>194</v>
      </c>
      <c r="O47" s="511">
        <v>3</v>
      </c>
      <c r="P47" s="511">
        <v>0</v>
      </c>
      <c r="Q47" s="1828">
        <v>26</v>
      </c>
    </row>
    <row r="48" spans="1:17" s="512" customFormat="1" x14ac:dyDescent="0.3">
      <c r="A48" s="514" t="s">
        <v>110</v>
      </c>
      <c r="B48" s="510" t="s">
        <v>111</v>
      </c>
      <c r="C48" s="509" t="s">
        <v>254</v>
      </c>
      <c r="D48" s="1829">
        <v>3695</v>
      </c>
      <c r="E48" s="1805">
        <v>2498</v>
      </c>
      <c r="F48" s="817">
        <v>804</v>
      </c>
      <c r="G48" s="817">
        <v>391</v>
      </c>
      <c r="H48" s="817">
        <v>2</v>
      </c>
      <c r="I48" s="817">
        <v>0</v>
      </c>
      <c r="J48" s="1805">
        <v>2261</v>
      </c>
      <c r="K48" s="817">
        <v>1434</v>
      </c>
      <c r="L48" s="1806"/>
      <c r="M48" s="511">
        <v>808</v>
      </c>
      <c r="N48" s="511">
        <v>2460</v>
      </c>
      <c r="O48" s="511">
        <v>420</v>
      </c>
      <c r="P48" s="511">
        <v>7</v>
      </c>
      <c r="Q48" s="1828">
        <v>96</v>
      </c>
    </row>
    <row r="49" spans="1:17" s="512" customFormat="1" x14ac:dyDescent="0.3">
      <c r="A49" s="514" t="s">
        <v>112</v>
      </c>
      <c r="B49" s="510" t="s">
        <v>288</v>
      </c>
      <c r="C49" s="509" t="s">
        <v>253</v>
      </c>
      <c r="D49" s="1829">
        <v>1012</v>
      </c>
      <c r="E49" s="1805">
        <v>742</v>
      </c>
      <c r="F49" s="817">
        <v>203</v>
      </c>
      <c r="G49" s="817">
        <v>67</v>
      </c>
      <c r="H49" s="817">
        <v>0</v>
      </c>
      <c r="I49" s="817">
        <v>0</v>
      </c>
      <c r="J49" s="1805">
        <v>601</v>
      </c>
      <c r="K49" s="817">
        <v>411</v>
      </c>
      <c r="L49" s="1806"/>
      <c r="M49" s="511">
        <v>512</v>
      </c>
      <c r="N49" s="511">
        <v>497</v>
      </c>
      <c r="O49" s="511">
        <v>3</v>
      </c>
      <c r="P49" s="511">
        <v>0</v>
      </c>
      <c r="Q49" s="1828">
        <v>49</v>
      </c>
    </row>
    <row r="50" spans="1:17" s="512" customFormat="1" x14ac:dyDescent="0.3">
      <c r="A50" s="514" t="s">
        <v>114</v>
      </c>
      <c r="B50" s="510" t="s">
        <v>115</v>
      </c>
      <c r="C50" s="509" t="s">
        <v>253</v>
      </c>
      <c r="D50" s="1829">
        <v>4</v>
      </c>
      <c r="E50" s="1805">
        <v>3</v>
      </c>
      <c r="F50" s="817">
        <v>1</v>
      </c>
      <c r="G50" s="817">
        <v>0</v>
      </c>
      <c r="H50" s="817">
        <v>0</v>
      </c>
      <c r="I50" s="817">
        <v>0</v>
      </c>
      <c r="J50" s="1805">
        <v>4</v>
      </c>
      <c r="K50" s="817"/>
      <c r="L50" s="1806"/>
      <c r="M50" s="511">
        <v>4</v>
      </c>
      <c r="N50" s="511">
        <v>0</v>
      </c>
      <c r="O50" s="511">
        <v>0</v>
      </c>
      <c r="P50" s="511">
        <v>0</v>
      </c>
      <c r="Q50" s="1828"/>
    </row>
    <row r="51" spans="1:17" s="512" customFormat="1" x14ac:dyDescent="0.3">
      <c r="A51" s="514" t="s">
        <v>118</v>
      </c>
      <c r="B51" s="510" t="s">
        <v>258</v>
      </c>
      <c r="C51" s="509" t="s">
        <v>252</v>
      </c>
      <c r="D51" s="1829">
        <v>267</v>
      </c>
      <c r="E51" s="1805">
        <v>185</v>
      </c>
      <c r="F51" s="817">
        <v>56</v>
      </c>
      <c r="G51" s="817">
        <v>26</v>
      </c>
      <c r="H51" s="817">
        <v>0</v>
      </c>
      <c r="I51" s="817">
        <v>0</v>
      </c>
      <c r="J51" s="1805">
        <v>162</v>
      </c>
      <c r="K51" s="817">
        <v>105</v>
      </c>
      <c r="L51" s="1806"/>
      <c r="M51" s="511">
        <v>108</v>
      </c>
      <c r="N51" s="511">
        <v>154</v>
      </c>
      <c r="O51" s="511">
        <v>5</v>
      </c>
      <c r="P51" s="511">
        <v>0</v>
      </c>
      <c r="Q51" s="1828">
        <v>9</v>
      </c>
    </row>
    <row r="52" spans="1:17" s="512" customFormat="1" x14ac:dyDescent="0.3">
      <c r="A52" s="514" t="s">
        <v>120</v>
      </c>
      <c r="B52" s="510" t="s">
        <v>121</v>
      </c>
      <c r="C52" s="509" t="s">
        <v>252</v>
      </c>
      <c r="D52" s="1829">
        <v>429</v>
      </c>
      <c r="E52" s="1805">
        <v>296</v>
      </c>
      <c r="F52" s="817">
        <v>90</v>
      </c>
      <c r="G52" s="817">
        <v>43</v>
      </c>
      <c r="H52" s="817">
        <v>0</v>
      </c>
      <c r="I52" s="817">
        <v>0</v>
      </c>
      <c r="J52" s="1805">
        <v>253</v>
      </c>
      <c r="K52" s="817">
        <v>176</v>
      </c>
      <c r="L52" s="1806"/>
      <c r="M52" s="511">
        <v>184</v>
      </c>
      <c r="N52" s="511">
        <v>233</v>
      </c>
      <c r="O52" s="511">
        <v>12</v>
      </c>
      <c r="P52" s="511">
        <v>0</v>
      </c>
      <c r="Q52" s="1828">
        <v>38</v>
      </c>
    </row>
    <row r="53" spans="1:17" s="512" customFormat="1" x14ac:dyDescent="0.3">
      <c r="A53" s="514" t="s">
        <v>122</v>
      </c>
      <c r="B53" s="510" t="s">
        <v>275</v>
      </c>
      <c r="C53" s="509" t="s">
        <v>254</v>
      </c>
      <c r="D53" s="1829">
        <v>95</v>
      </c>
      <c r="E53" s="1805">
        <v>68</v>
      </c>
      <c r="F53" s="817">
        <v>18</v>
      </c>
      <c r="G53" s="817">
        <v>9</v>
      </c>
      <c r="H53" s="817">
        <v>0</v>
      </c>
      <c r="I53" s="817">
        <v>0</v>
      </c>
      <c r="J53" s="1805">
        <v>61</v>
      </c>
      <c r="K53" s="817">
        <v>34</v>
      </c>
      <c r="L53" s="1806"/>
      <c r="M53" s="511">
        <v>56</v>
      </c>
      <c r="N53" s="511">
        <v>37</v>
      </c>
      <c r="O53" s="511">
        <v>2</v>
      </c>
      <c r="P53" s="511">
        <v>0</v>
      </c>
      <c r="Q53" s="1828">
        <v>1</v>
      </c>
    </row>
    <row r="54" spans="1:17" s="512" customFormat="1" x14ac:dyDescent="0.3">
      <c r="A54" s="514" t="s">
        <v>124</v>
      </c>
      <c r="B54" s="510" t="s">
        <v>125</v>
      </c>
      <c r="C54" s="509" t="s">
        <v>255</v>
      </c>
      <c r="D54" s="1829">
        <v>170</v>
      </c>
      <c r="E54" s="1805">
        <v>129</v>
      </c>
      <c r="F54" s="817">
        <v>25</v>
      </c>
      <c r="G54" s="817">
        <v>16</v>
      </c>
      <c r="H54" s="817">
        <v>0</v>
      </c>
      <c r="I54" s="817">
        <v>0</v>
      </c>
      <c r="J54" s="1805">
        <v>100</v>
      </c>
      <c r="K54" s="817">
        <v>70</v>
      </c>
      <c r="L54" s="1806"/>
      <c r="M54" s="511">
        <v>104</v>
      </c>
      <c r="N54" s="511">
        <v>66</v>
      </c>
      <c r="O54" s="511">
        <v>0</v>
      </c>
      <c r="P54" s="511">
        <v>0</v>
      </c>
      <c r="Q54" s="1828">
        <v>10</v>
      </c>
    </row>
    <row r="55" spans="1:17" s="512" customFormat="1" x14ac:dyDescent="0.3">
      <c r="A55" s="514" t="s">
        <v>126</v>
      </c>
      <c r="B55" s="510" t="s">
        <v>127</v>
      </c>
      <c r="C55" s="509" t="s">
        <v>254</v>
      </c>
      <c r="D55" s="1829">
        <v>95</v>
      </c>
      <c r="E55" s="1805">
        <v>70</v>
      </c>
      <c r="F55" s="817">
        <v>16</v>
      </c>
      <c r="G55" s="817">
        <v>9</v>
      </c>
      <c r="H55" s="817">
        <v>0</v>
      </c>
      <c r="I55" s="817">
        <v>0</v>
      </c>
      <c r="J55" s="1805">
        <v>64</v>
      </c>
      <c r="K55" s="817">
        <v>31</v>
      </c>
      <c r="L55" s="1806"/>
      <c r="M55" s="511">
        <v>53</v>
      </c>
      <c r="N55" s="511">
        <v>40</v>
      </c>
      <c r="O55" s="511">
        <v>1</v>
      </c>
      <c r="P55" s="511">
        <v>1</v>
      </c>
      <c r="Q55" s="1828"/>
    </row>
    <row r="56" spans="1:17" s="512" customFormat="1" x14ac:dyDescent="0.3">
      <c r="A56" s="514" t="s">
        <v>128</v>
      </c>
      <c r="B56" s="510" t="s">
        <v>129</v>
      </c>
      <c r="C56" s="509" t="s">
        <v>254</v>
      </c>
      <c r="D56" s="1829">
        <v>142</v>
      </c>
      <c r="E56" s="1805">
        <v>98</v>
      </c>
      <c r="F56" s="817">
        <v>33</v>
      </c>
      <c r="G56" s="817">
        <v>11</v>
      </c>
      <c r="H56" s="817">
        <v>0</v>
      </c>
      <c r="I56" s="817">
        <v>0</v>
      </c>
      <c r="J56" s="1805">
        <v>95</v>
      </c>
      <c r="K56" s="817">
        <v>47</v>
      </c>
      <c r="L56" s="1806"/>
      <c r="M56" s="511">
        <v>28</v>
      </c>
      <c r="N56" s="511">
        <v>114</v>
      </c>
      <c r="O56" s="511">
        <v>0</v>
      </c>
      <c r="P56" s="511">
        <v>0</v>
      </c>
      <c r="Q56" s="1828">
        <v>1</v>
      </c>
    </row>
    <row r="57" spans="1:17" s="512" customFormat="1" x14ac:dyDescent="0.3">
      <c r="A57" s="514" t="s">
        <v>130</v>
      </c>
      <c r="B57" s="510" t="s">
        <v>131</v>
      </c>
      <c r="C57" s="509" t="s">
        <v>256</v>
      </c>
      <c r="D57" s="1829">
        <v>701</v>
      </c>
      <c r="E57" s="1805">
        <v>485</v>
      </c>
      <c r="F57" s="817">
        <v>148</v>
      </c>
      <c r="G57" s="817">
        <v>68</v>
      </c>
      <c r="H57" s="817">
        <v>0</v>
      </c>
      <c r="I57" s="817">
        <v>0</v>
      </c>
      <c r="J57" s="1805">
        <v>393</v>
      </c>
      <c r="K57" s="817">
        <v>308</v>
      </c>
      <c r="L57" s="1806"/>
      <c r="M57" s="511">
        <v>685</v>
      </c>
      <c r="N57" s="511">
        <v>12</v>
      </c>
      <c r="O57" s="511">
        <v>4</v>
      </c>
      <c r="P57" s="511">
        <v>0</v>
      </c>
      <c r="Q57" s="1828">
        <v>2</v>
      </c>
    </row>
    <row r="58" spans="1:17" s="512" customFormat="1" x14ac:dyDescent="0.3">
      <c r="A58" s="514" t="s">
        <v>132</v>
      </c>
      <c r="B58" s="510" t="s">
        <v>133</v>
      </c>
      <c r="C58" s="509" t="s">
        <v>255</v>
      </c>
      <c r="D58" s="1829">
        <v>898</v>
      </c>
      <c r="E58" s="1805">
        <v>576</v>
      </c>
      <c r="F58" s="817">
        <v>158</v>
      </c>
      <c r="G58" s="817">
        <v>164</v>
      </c>
      <c r="H58" s="817">
        <v>0</v>
      </c>
      <c r="I58" s="817">
        <v>0</v>
      </c>
      <c r="J58" s="1805">
        <v>500</v>
      </c>
      <c r="K58" s="817">
        <v>398</v>
      </c>
      <c r="L58" s="1806"/>
      <c r="M58" s="511">
        <v>512</v>
      </c>
      <c r="N58" s="511">
        <v>200</v>
      </c>
      <c r="O58" s="511">
        <v>185</v>
      </c>
      <c r="P58" s="511">
        <v>1</v>
      </c>
      <c r="Q58" s="1828">
        <v>59</v>
      </c>
    </row>
    <row r="59" spans="1:17" s="512" customFormat="1" x14ac:dyDescent="0.3">
      <c r="A59" s="514" t="s">
        <v>134</v>
      </c>
      <c r="B59" s="510" t="s">
        <v>135</v>
      </c>
      <c r="C59" s="509" t="s">
        <v>255</v>
      </c>
      <c r="D59" s="1829">
        <v>300</v>
      </c>
      <c r="E59" s="1805">
        <v>220</v>
      </c>
      <c r="F59" s="817">
        <v>51</v>
      </c>
      <c r="G59" s="817">
        <v>29</v>
      </c>
      <c r="H59" s="817">
        <v>0</v>
      </c>
      <c r="I59" s="817">
        <v>0</v>
      </c>
      <c r="J59" s="1805">
        <v>199</v>
      </c>
      <c r="K59" s="817">
        <v>101</v>
      </c>
      <c r="L59" s="1806"/>
      <c r="M59" s="511">
        <v>206</v>
      </c>
      <c r="N59" s="511">
        <v>91</v>
      </c>
      <c r="O59" s="511">
        <v>3</v>
      </c>
      <c r="P59" s="511">
        <v>0</v>
      </c>
      <c r="Q59" s="1828">
        <v>6</v>
      </c>
    </row>
    <row r="60" spans="1:17" s="512" customFormat="1" x14ac:dyDescent="0.3">
      <c r="A60" s="514" t="s">
        <v>136</v>
      </c>
      <c r="B60" s="510" t="s">
        <v>137</v>
      </c>
      <c r="C60" s="509" t="s">
        <v>254</v>
      </c>
      <c r="D60" s="1829">
        <v>205</v>
      </c>
      <c r="E60" s="1805">
        <v>136</v>
      </c>
      <c r="F60" s="817">
        <v>50</v>
      </c>
      <c r="G60" s="817">
        <v>19</v>
      </c>
      <c r="H60" s="817">
        <v>0</v>
      </c>
      <c r="I60" s="817">
        <v>0</v>
      </c>
      <c r="J60" s="1805">
        <v>120</v>
      </c>
      <c r="K60" s="817">
        <v>85</v>
      </c>
      <c r="L60" s="1806"/>
      <c r="M60" s="511">
        <v>92</v>
      </c>
      <c r="N60" s="511">
        <v>107</v>
      </c>
      <c r="O60" s="511">
        <v>4</v>
      </c>
      <c r="P60" s="511">
        <v>2</v>
      </c>
      <c r="Q60" s="1828">
        <v>3</v>
      </c>
    </row>
    <row r="61" spans="1:17" s="512" customFormat="1" x14ac:dyDescent="0.3">
      <c r="A61" s="514" t="s">
        <v>140</v>
      </c>
      <c r="B61" s="510" t="s">
        <v>141</v>
      </c>
      <c r="C61" s="509" t="s">
        <v>255</v>
      </c>
      <c r="D61" s="1829">
        <v>78</v>
      </c>
      <c r="E61" s="1805">
        <v>58</v>
      </c>
      <c r="F61" s="817">
        <v>10</v>
      </c>
      <c r="G61" s="817">
        <v>10</v>
      </c>
      <c r="H61" s="817">
        <v>0</v>
      </c>
      <c r="I61" s="817">
        <v>0</v>
      </c>
      <c r="J61" s="1805">
        <v>48</v>
      </c>
      <c r="K61" s="817">
        <v>30</v>
      </c>
      <c r="L61" s="1806"/>
      <c r="M61" s="511">
        <v>60</v>
      </c>
      <c r="N61" s="511">
        <v>18</v>
      </c>
      <c r="O61" s="511">
        <v>0</v>
      </c>
      <c r="P61" s="511">
        <v>0</v>
      </c>
      <c r="Q61" s="1828"/>
    </row>
    <row r="62" spans="1:17" s="512" customFormat="1" x14ac:dyDescent="0.3">
      <c r="A62" s="514" t="s">
        <v>146</v>
      </c>
      <c r="B62" s="510" t="s">
        <v>147</v>
      </c>
      <c r="C62" s="509" t="s">
        <v>252</v>
      </c>
      <c r="D62" s="1829">
        <v>64</v>
      </c>
      <c r="E62" s="1805">
        <v>50</v>
      </c>
      <c r="F62" s="817">
        <v>6</v>
      </c>
      <c r="G62" s="817">
        <v>8</v>
      </c>
      <c r="H62" s="817">
        <v>0</v>
      </c>
      <c r="I62" s="817">
        <v>0</v>
      </c>
      <c r="J62" s="1805">
        <v>34</v>
      </c>
      <c r="K62" s="817">
        <v>30</v>
      </c>
      <c r="L62" s="1806"/>
      <c r="M62" s="511">
        <v>43</v>
      </c>
      <c r="N62" s="511">
        <v>18</v>
      </c>
      <c r="O62" s="511">
        <v>3</v>
      </c>
      <c r="P62" s="511">
        <v>0</v>
      </c>
      <c r="Q62" s="1828">
        <v>3</v>
      </c>
    </row>
    <row r="63" spans="1:17" s="512" customFormat="1" x14ac:dyDescent="0.3">
      <c r="A63" s="514" t="s">
        <v>148</v>
      </c>
      <c r="B63" s="510" t="s">
        <v>149</v>
      </c>
      <c r="C63" s="509" t="s">
        <v>253</v>
      </c>
      <c r="D63" s="1829">
        <v>361</v>
      </c>
      <c r="E63" s="1805">
        <v>278</v>
      </c>
      <c r="F63" s="817">
        <v>61</v>
      </c>
      <c r="G63" s="817">
        <v>22</v>
      </c>
      <c r="H63" s="817">
        <v>0</v>
      </c>
      <c r="I63" s="817">
        <v>0</v>
      </c>
      <c r="J63" s="1805">
        <v>212</v>
      </c>
      <c r="K63" s="817">
        <v>149</v>
      </c>
      <c r="L63" s="1806"/>
      <c r="M63" s="511">
        <v>97</v>
      </c>
      <c r="N63" s="511">
        <v>263</v>
      </c>
      <c r="O63" s="511">
        <v>1</v>
      </c>
      <c r="P63" s="511">
        <v>0</v>
      </c>
      <c r="Q63" s="1828">
        <v>8</v>
      </c>
    </row>
    <row r="64" spans="1:17" s="512" customFormat="1" x14ac:dyDescent="0.3">
      <c r="A64" s="514" t="s">
        <v>150</v>
      </c>
      <c r="B64" s="510" t="s">
        <v>151</v>
      </c>
      <c r="C64" s="509" t="s">
        <v>254</v>
      </c>
      <c r="D64" s="1829">
        <v>150</v>
      </c>
      <c r="E64" s="1805">
        <v>108</v>
      </c>
      <c r="F64" s="817">
        <v>21</v>
      </c>
      <c r="G64" s="817">
        <v>21</v>
      </c>
      <c r="H64" s="817">
        <v>0</v>
      </c>
      <c r="I64" s="817">
        <v>0</v>
      </c>
      <c r="J64" s="1805">
        <v>93</v>
      </c>
      <c r="K64" s="817">
        <v>57</v>
      </c>
      <c r="L64" s="1806"/>
      <c r="M64" s="511">
        <v>93</v>
      </c>
      <c r="N64" s="511">
        <v>55</v>
      </c>
      <c r="O64" s="511">
        <v>2</v>
      </c>
      <c r="P64" s="511">
        <v>0</v>
      </c>
      <c r="Q64" s="1828">
        <v>6</v>
      </c>
    </row>
    <row r="65" spans="1:17" s="512" customFormat="1" x14ac:dyDescent="0.3">
      <c r="A65" s="514" t="s">
        <v>152</v>
      </c>
      <c r="B65" s="510" t="s">
        <v>153</v>
      </c>
      <c r="C65" s="509" t="s">
        <v>256</v>
      </c>
      <c r="D65" s="1829">
        <v>853</v>
      </c>
      <c r="E65" s="1805">
        <v>618</v>
      </c>
      <c r="F65" s="817">
        <v>160</v>
      </c>
      <c r="G65" s="817">
        <v>75</v>
      </c>
      <c r="H65" s="817">
        <v>0</v>
      </c>
      <c r="I65" s="817">
        <v>0</v>
      </c>
      <c r="J65" s="1805">
        <v>499</v>
      </c>
      <c r="K65" s="817">
        <v>354</v>
      </c>
      <c r="L65" s="1806"/>
      <c r="M65" s="511">
        <v>671</v>
      </c>
      <c r="N65" s="511">
        <v>167</v>
      </c>
      <c r="O65" s="511">
        <v>15</v>
      </c>
      <c r="P65" s="511">
        <v>0</v>
      </c>
      <c r="Q65" s="1828">
        <v>36</v>
      </c>
    </row>
    <row r="66" spans="1:17" s="512" customFormat="1" x14ac:dyDescent="0.3">
      <c r="A66" s="514" t="s">
        <v>154</v>
      </c>
      <c r="B66" s="510" t="s">
        <v>155</v>
      </c>
      <c r="C66" s="509" t="s">
        <v>253</v>
      </c>
      <c r="D66" s="1829">
        <v>120</v>
      </c>
      <c r="E66" s="1805">
        <v>91</v>
      </c>
      <c r="F66" s="817">
        <v>20</v>
      </c>
      <c r="G66" s="817">
        <v>9</v>
      </c>
      <c r="H66" s="817">
        <v>0</v>
      </c>
      <c r="I66" s="817">
        <v>0</v>
      </c>
      <c r="J66" s="1805">
        <v>70</v>
      </c>
      <c r="K66" s="817">
        <v>50</v>
      </c>
      <c r="L66" s="1806"/>
      <c r="M66" s="511">
        <v>70</v>
      </c>
      <c r="N66" s="511">
        <v>48</v>
      </c>
      <c r="O66" s="511">
        <v>2</v>
      </c>
      <c r="P66" s="511">
        <v>0</v>
      </c>
      <c r="Q66" s="1828"/>
    </row>
    <row r="67" spans="1:17" s="512" customFormat="1" x14ac:dyDescent="0.3">
      <c r="A67" s="514" t="s">
        <v>156</v>
      </c>
      <c r="B67" s="510" t="s">
        <v>157</v>
      </c>
      <c r="C67" s="509" t="s">
        <v>254</v>
      </c>
      <c r="D67" s="1829">
        <v>74</v>
      </c>
      <c r="E67" s="1805">
        <v>51</v>
      </c>
      <c r="F67" s="817">
        <v>11</v>
      </c>
      <c r="G67" s="817">
        <v>12</v>
      </c>
      <c r="H67" s="817">
        <v>0</v>
      </c>
      <c r="I67" s="817">
        <v>0</v>
      </c>
      <c r="J67" s="1805">
        <v>50</v>
      </c>
      <c r="K67" s="817">
        <v>24</v>
      </c>
      <c r="L67" s="1806"/>
      <c r="M67" s="511">
        <v>52</v>
      </c>
      <c r="N67" s="511">
        <v>21</v>
      </c>
      <c r="O67" s="511">
        <v>1</v>
      </c>
      <c r="P67" s="511">
        <v>0</v>
      </c>
      <c r="Q67" s="1828"/>
    </row>
    <row r="68" spans="1:17" s="512" customFormat="1" x14ac:dyDescent="0.3">
      <c r="A68" s="514" t="s">
        <v>162</v>
      </c>
      <c r="B68" s="510" t="s">
        <v>163</v>
      </c>
      <c r="C68" s="509" t="s">
        <v>252</v>
      </c>
      <c r="D68" s="1829">
        <v>154</v>
      </c>
      <c r="E68" s="1805">
        <v>104</v>
      </c>
      <c r="F68" s="817">
        <v>38</v>
      </c>
      <c r="G68" s="817">
        <v>12</v>
      </c>
      <c r="H68" s="817">
        <v>0</v>
      </c>
      <c r="I68" s="817">
        <v>0</v>
      </c>
      <c r="J68" s="1805">
        <v>101</v>
      </c>
      <c r="K68" s="817">
        <v>53</v>
      </c>
      <c r="L68" s="1806"/>
      <c r="M68" s="511">
        <v>41</v>
      </c>
      <c r="N68" s="511">
        <v>109</v>
      </c>
      <c r="O68" s="511">
        <v>4</v>
      </c>
      <c r="P68" s="511">
        <v>0</v>
      </c>
      <c r="Q68" s="1828">
        <v>12</v>
      </c>
    </row>
    <row r="69" spans="1:17" s="512" customFormat="1" x14ac:dyDescent="0.3">
      <c r="A69" s="514" t="s">
        <v>164</v>
      </c>
      <c r="B69" s="510" t="s">
        <v>165</v>
      </c>
      <c r="C69" s="509" t="s">
        <v>254</v>
      </c>
      <c r="D69" s="1829">
        <v>134</v>
      </c>
      <c r="E69" s="1805">
        <v>102</v>
      </c>
      <c r="F69" s="817">
        <v>23</v>
      </c>
      <c r="G69" s="817">
        <v>9</v>
      </c>
      <c r="H69" s="817">
        <v>0</v>
      </c>
      <c r="I69" s="817">
        <v>0</v>
      </c>
      <c r="J69" s="1805">
        <v>82</v>
      </c>
      <c r="K69" s="817">
        <v>52</v>
      </c>
      <c r="L69" s="1806"/>
      <c r="M69" s="511">
        <v>55</v>
      </c>
      <c r="N69" s="511">
        <v>77</v>
      </c>
      <c r="O69" s="511">
        <v>2</v>
      </c>
      <c r="P69" s="511">
        <v>0</v>
      </c>
      <c r="Q69" s="1828">
        <v>6</v>
      </c>
    </row>
    <row r="70" spans="1:17" s="512" customFormat="1" x14ac:dyDescent="0.3">
      <c r="A70" s="514" t="s">
        <v>168</v>
      </c>
      <c r="B70" s="510" t="s">
        <v>169</v>
      </c>
      <c r="C70" s="509" t="s">
        <v>254</v>
      </c>
      <c r="D70" s="1829">
        <v>319</v>
      </c>
      <c r="E70" s="1805">
        <v>222</v>
      </c>
      <c r="F70" s="817">
        <v>67</v>
      </c>
      <c r="G70" s="817">
        <v>30</v>
      </c>
      <c r="H70" s="817">
        <v>0</v>
      </c>
      <c r="I70" s="817">
        <v>0</v>
      </c>
      <c r="J70" s="1805">
        <v>204</v>
      </c>
      <c r="K70" s="817">
        <v>115</v>
      </c>
      <c r="L70" s="1806"/>
      <c r="M70" s="511">
        <v>104</v>
      </c>
      <c r="N70" s="511">
        <v>211</v>
      </c>
      <c r="O70" s="511">
        <v>4</v>
      </c>
      <c r="P70" s="511">
        <v>0</v>
      </c>
      <c r="Q70" s="1828">
        <v>7</v>
      </c>
    </row>
    <row r="71" spans="1:17" s="512" customFormat="1" x14ac:dyDescent="0.3">
      <c r="A71" s="514" t="s">
        <v>170</v>
      </c>
      <c r="B71" s="510" t="s">
        <v>171</v>
      </c>
      <c r="C71" s="509" t="s">
        <v>255</v>
      </c>
      <c r="D71" s="1829">
        <v>205</v>
      </c>
      <c r="E71" s="1805">
        <v>152</v>
      </c>
      <c r="F71" s="817">
        <v>39</v>
      </c>
      <c r="G71" s="817">
        <v>14</v>
      </c>
      <c r="H71" s="817">
        <v>0</v>
      </c>
      <c r="I71" s="817">
        <v>0</v>
      </c>
      <c r="J71" s="1805">
        <v>120</v>
      </c>
      <c r="K71" s="817">
        <v>85</v>
      </c>
      <c r="L71" s="1806"/>
      <c r="M71" s="511">
        <v>114</v>
      </c>
      <c r="N71" s="511">
        <v>91</v>
      </c>
      <c r="O71" s="511">
        <v>0</v>
      </c>
      <c r="P71" s="511">
        <v>0</v>
      </c>
      <c r="Q71" s="1828">
        <v>4</v>
      </c>
    </row>
    <row r="72" spans="1:17" s="512" customFormat="1" x14ac:dyDescent="0.3">
      <c r="A72" s="514" t="s">
        <v>172</v>
      </c>
      <c r="B72" s="510" t="s">
        <v>173</v>
      </c>
      <c r="C72" s="509" t="s">
        <v>255</v>
      </c>
      <c r="D72" s="1829">
        <v>107</v>
      </c>
      <c r="E72" s="1805">
        <v>80</v>
      </c>
      <c r="F72" s="817">
        <v>17</v>
      </c>
      <c r="G72" s="817">
        <v>10</v>
      </c>
      <c r="H72" s="817">
        <v>0</v>
      </c>
      <c r="I72" s="817">
        <v>0</v>
      </c>
      <c r="J72" s="1805">
        <v>60</v>
      </c>
      <c r="K72" s="817">
        <v>47</v>
      </c>
      <c r="L72" s="1806"/>
      <c r="M72" s="511">
        <v>101</v>
      </c>
      <c r="N72" s="511">
        <v>6</v>
      </c>
      <c r="O72" s="511">
        <v>0</v>
      </c>
      <c r="P72" s="511">
        <v>0</v>
      </c>
      <c r="Q72" s="1828">
        <v>4</v>
      </c>
    </row>
    <row r="73" spans="1:17" s="512" customFormat="1" x14ac:dyDescent="0.3">
      <c r="A73" s="514" t="s">
        <v>174</v>
      </c>
      <c r="B73" s="510" t="s">
        <v>175</v>
      </c>
      <c r="C73" s="509" t="s">
        <v>256</v>
      </c>
      <c r="D73" s="1829">
        <v>239</v>
      </c>
      <c r="E73" s="1805">
        <v>162</v>
      </c>
      <c r="F73" s="817">
        <v>51</v>
      </c>
      <c r="G73" s="817">
        <v>26</v>
      </c>
      <c r="H73" s="817">
        <v>0</v>
      </c>
      <c r="I73" s="817">
        <v>0</v>
      </c>
      <c r="J73" s="1805">
        <v>136</v>
      </c>
      <c r="K73" s="817">
        <v>103</v>
      </c>
      <c r="L73" s="1806"/>
      <c r="M73" s="511">
        <v>219</v>
      </c>
      <c r="N73" s="511">
        <v>9</v>
      </c>
      <c r="O73" s="511">
        <v>11</v>
      </c>
      <c r="P73" s="511">
        <v>0</v>
      </c>
      <c r="Q73" s="1828">
        <v>2</v>
      </c>
    </row>
    <row r="74" spans="1:17" s="512" customFormat="1" x14ac:dyDescent="0.3">
      <c r="A74" s="514" t="s">
        <v>178</v>
      </c>
      <c r="B74" s="510" t="s">
        <v>179</v>
      </c>
      <c r="C74" s="509" t="s">
        <v>253</v>
      </c>
      <c r="D74" s="1829">
        <v>511</v>
      </c>
      <c r="E74" s="1805">
        <v>396</v>
      </c>
      <c r="F74" s="817">
        <v>81</v>
      </c>
      <c r="G74" s="817">
        <v>34</v>
      </c>
      <c r="H74" s="817">
        <v>0</v>
      </c>
      <c r="I74" s="817">
        <v>0</v>
      </c>
      <c r="J74" s="1805">
        <v>310</v>
      </c>
      <c r="K74" s="817">
        <v>201</v>
      </c>
      <c r="L74" s="1806"/>
      <c r="M74" s="511">
        <v>286</v>
      </c>
      <c r="N74" s="511">
        <v>217</v>
      </c>
      <c r="O74" s="511">
        <v>8</v>
      </c>
      <c r="P74" s="511">
        <v>0</v>
      </c>
      <c r="Q74" s="1828">
        <v>23</v>
      </c>
    </row>
    <row r="75" spans="1:17" s="512" customFormat="1" x14ac:dyDescent="0.3">
      <c r="A75" s="514" t="s">
        <v>182</v>
      </c>
      <c r="B75" s="510" t="s">
        <v>183</v>
      </c>
      <c r="C75" s="509" t="s">
        <v>254</v>
      </c>
      <c r="D75" s="1829">
        <v>98</v>
      </c>
      <c r="E75" s="1805">
        <v>73</v>
      </c>
      <c r="F75" s="817">
        <v>16</v>
      </c>
      <c r="G75" s="817">
        <v>9</v>
      </c>
      <c r="H75" s="817">
        <v>0</v>
      </c>
      <c r="I75" s="817">
        <v>0</v>
      </c>
      <c r="J75" s="1805">
        <v>54</v>
      </c>
      <c r="K75" s="817">
        <v>44</v>
      </c>
      <c r="L75" s="1806"/>
      <c r="M75" s="511">
        <v>71</v>
      </c>
      <c r="N75" s="511">
        <v>27</v>
      </c>
      <c r="O75" s="511">
        <v>0</v>
      </c>
      <c r="P75" s="511">
        <v>0</v>
      </c>
      <c r="Q75" s="1828">
        <v>2</v>
      </c>
    </row>
    <row r="76" spans="1:17" s="512" customFormat="1" x14ac:dyDescent="0.3">
      <c r="A76" s="514" t="s">
        <v>184</v>
      </c>
      <c r="B76" s="510" t="s">
        <v>185</v>
      </c>
      <c r="C76" s="509" t="s">
        <v>254</v>
      </c>
      <c r="D76" s="1829">
        <v>298</v>
      </c>
      <c r="E76" s="1805">
        <v>219</v>
      </c>
      <c r="F76" s="817">
        <v>62</v>
      </c>
      <c r="G76" s="817">
        <v>17</v>
      </c>
      <c r="H76" s="817">
        <v>0</v>
      </c>
      <c r="I76" s="817">
        <v>0</v>
      </c>
      <c r="J76" s="1805">
        <v>180</v>
      </c>
      <c r="K76" s="817">
        <v>118</v>
      </c>
      <c r="L76" s="1806"/>
      <c r="M76" s="511">
        <v>106</v>
      </c>
      <c r="N76" s="511">
        <v>184</v>
      </c>
      <c r="O76" s="511">
        <v>8</v>
      </c>
      <c r="P76" s="511">
        <v>0</v>
      </c>
      <c r="Q76" s="1828">
        <v>10</v>
      </c>
    </row>
    <row r="77" spans="1:17" s="512" customFormat="1" x14ac:dyDescent="0.3">
      <c r="A77" s="514" t="s">
        <v>186</v>
      </c>
      <c r="B77" s="510" t="s">
        <v>187</v>
      </c>
      <c r="C77" s="509" t="s">
        <v>252</v>
      </c>
      <c r="D77" s="1829">
        <v>303</v>
      </c>
      <c r="E77" s="1805">
        <v>210</v>
      </c>
      <c r="F77" s="817">
        <v>67</v>
      </c>
      <c r="G77" s="817">
        <v>26</v>
      </c>
      <c r="H77" s="817">
        <v>0</v>
      </c>
      <c r="I77" s="817">
        <v>0</v>
      </c>
      <c r="J77" s="1805">
        <v>175</v>
      </c>
      <c r="K77" s="817">
        <v>128</v>
      </c>
      <c r="L77" s="1806"/>
      <c r="M77" s="511">
        <v>113</v>
      </c>
      <c r="N77" s="511">
        <v>181</v>
      </c>
      <c r="O77" s="511">
        <v>9</v>
      </c>
      <c r="P77" s="511">
        <v>0</v>
      </c>
      <c r="Q77" s="1828">
        <v>24</v>
      </c>
    </row>
    <row r="78" spans="1:17" s="512" customFormat="1" x14ac:dyDescent="0.3">
      <c r="A78" s="514" t="s">
        <v>188</v>
      </c>
      <c r="B78" s="510" t="s">
        <v>189</v>
      </c>
      <c r="C78" s="509" t="s">
        <v>255</v>
      </c>
      <c r="D78" s="1829">
        <v>3009</v>
      </c>
      <c r="E78" s="1805">
        <v>2066</v>
      </c>
      <c r="F78" s="817">
        <v>598</v>
      </c>
      <c r="G78" s="817">
        <v>344</v>
      </c>
      <c r="H78" s="817">
        <v>1</v>
      </c>
      <c r="I78" s="817">
        <v>0</v>
      </c>
      <c r="J78" s="1805">
        <v>1714</v>
      </c>
      <c r="K78" s="817">
        <v>1295</v>
      </c>
      <c r="L78" s="1806"/>
      <c r="M78" s="511">
        <v>1147</v>
      </c>
      <c r="N78" s="511">
        <v>1442</v>
      </c>
      <c r="O78" s="511">
        <v>420</v>
      </c>
      <c r="P78" s="511">
        <v>0</v>
      </c>
      <c r="Q78" s="1828">
        <v>232</v>
      </c>
    </row>
    <row r="79" spans="1:17" s="512" customFormat="1" x14ac:dyDescent="0.3">
      <c r="A79" s="514" t="s">
        <v>190</v>
      </c>
      <c r="B79" s="510" t="s">
        <v>191</v>
      </c>
      <c r="C79" s="509" t="s">
        <v>256</v>
      </c>
      <c r="D79" s="1829">
        <v>378</v>
      </c>
      <c r="E79" s="1805">
        <v>284</v>
      </c>
      <c r="F79" s="817">
        <v>65</v>
      </c>
      <c r="G79" s="817">
        <v>29</v>
      </c>
      <c r="H79" s="817">
        <v>0</v>
      </c>
      <c r="I79" s="817">
        <v>0</v>
      </c>
      <c r="J79" s="1805">
        <v>235</v>
      </c>
      <c r="K79" s="817">
        <v>143</v>
      </c>
      <c r="L79" s="1806"/>
      <c r="M79" s="511">
        <v>313</v>
      </c>
      <c r="N79" s="511">
        <v>64</v>
      </c>
      <c r="O79" s="511">
        <v>1</v>
      </c>
      <c r="P79" s="511">
        <v>0</v>
      </c>
      <c r="Q79" s="1828">
        <v>6</v>
      </c>
    </row>
    <row r="80" spans="1:17" s="512" customFormat="1" x14ac:dyDescent="0.3">
      <c r="A80" s="514" t="s">
        <v>194</v>
      </c>
      <c r="B80" s="510" t="s">
        <v>195</v>
      </c>
      <c r="C80" s="509" t="s">
        <v>255</v>
      </c>
      <c r="D80" s="1829">
        <v>9</v>
      </c>
      <c r="E80" s="1805">
        <v>6</v>
      </c>
      <c r="F80" s="817">
        <v>3</v>
      </c>
      <c r="G80" s="817">
        <v>0</v>
      </c>
      <c r="H80" s="817">
        <v>0</v>
      </c>
      <c r="I80" s="817">
        <v>0</v>
      </c>
      <c r="J80" s="1805">
        <v>5</v>
      </c>
      <c r="K80" s="817">
        <v>4</v>
      </c>
      <c r="L80" s="1806"/>
      <c r="M80" s="511">
        <v>7</v>
      </c>
      <c r="N80" s="511">
        <v>2</v>
      </c>
      <c r="O80" s="511">
        <v>0</v>
      </c>
      <c r="P80" s="511">
        <v>0</v>
      </c>
      <c r="Q80" s="1828"/>
    </row>
    <row r="81" spans="1:17" s="512" customFormat="1" x14ac:dyDescent="0.3">
      <c r="A81" s="514" t="s">
        <v>198</v>
      </c>
      <c r="B81" s="510" t="s">
        <v>260</v>
      </c>
      <c r="C81" s="509" t="s">
        <v>254</v>
      </c>
      <c r="D81" s="1829">
        <v>102</v>
      </c>
      <c r="E81" s="1805">
        <v>68</v>
      </c>
      <c r="F81" s="817">
        <v>30</v>
      </c>
      <c r="G81" s="817">
        <v>4</v>
      </c>
      <c r="H81" s="817">
        <v>0</v>
      </c>
      <c r="I81" s="817">
        <v>0</v>
      </c>
      <c r="J81" s="1805">
        <v>64</v>
      </c>
      <c r="K81" s="817">
        <v>38</v>
      </c>
      <c r="L81" s="1806"/>
      <c r="M81" s="511">
        <v>39</v>
      </c>
      <c r="N81" s="511">
        <v>63</v>
      </c>
      <c r="O81" s="511">
        <v>0</v>
      </c>
      <c r="P81" s="511">
        <v>0</v>
      </c>
      <c r="Q81" s="1828">
        <v>4</v>
      </c>
    </row>
    <row r="82" spans="1:17" s="512" customFormat="1" x14ac:dyDescent="0.3">
      <c r="A82" s="514" t="s">
        <v>202</v>
      </c>
      <c r="B82" s="510" t="s">
        <v>289</v>
      </c>
      <c r="C82" s="509" t="s">
        <v>253</v>
      </c>
      <c r="D82" s="1829">
        <v>777</v>
      </c>
      <c r="E82" s="1805">
        <v>572</v>
      </c>
      <c r="F82" s="817">
        <v>121</v>
      </c>
      <c r="G82" s="817">
        <v>84</v>
      </c>
      <c r="H82" s="817">
        <v>0</v>
      </c>
      <c r="I82" s="817">
        <v>0</v>
      </c>
      <c r="J82" s="1805">
        <v>467</v>
      </c>
      <c r="K82" s="817">
        <v>310</v>
      </c>
      <c r="L82" s="1806"/>
      <c r="M82" s="511">
        <v>558</v>
      </c>
      <c r="N82" s="511">
        <v>192</v>
      </c>
      <c r="O82" s="511">
        <v>27</v>
      </c>
      <c r="P82" s="511">
        <v>0</v>
      </c>
      <c r="Q82" s="1828">
        <v>19</v>
      </c>
    </row>
    <row r="83" spans="1:17" s="512" customFormat="1" x14ac:dyDescent="0.3">
      <c r="A83" s="514" t="s">
        <v>204</v>
      </c>
      <c r="B83" s="510" t="s">
        <v>281</v>
      </c>
      <c r="C83" s="509" t="s">
        <v>253</v>
      </c>
      <c r="D83" s="1829">
        <v>359</v>
      </c>
      <c r="E83" s="1805">
        <v>256</v>
      </c>
      <c r="F83" s="817">
        <v>65</v>
      </c>
      <c r="G83" s="817">
        <v>38</v>
      </c>
      <c r="H83" s="817">
        <v>0</v>
      </c>
      <c r="I83" s="817">
        <v>0</v>
      </c>
      <c r="J83" s="1805">
        <v>210</v>
      </c>
      <c r="K83" s="817">
        <v>149</v>
      </c>
      <c r="L83" s="1806"/>
      <c r="M83" s="511">
        <v>285</v>
      </c>
      <c r="N83" s="511">
        <v>67</v>
      </c>
      <c r="O83" s="511">
        <v>7</v>
      </c>
      <c r="P83" s="511">
        <v>0</v>
      </c>
      <c r="Q83" s="1828">
        <v>1</v>
      </c>
    </row>
    <row r="84" spans="1:17" s="512" customFormat="1" x14ac:dyDescent="0.3">
      <c r="A84" s="514" t="s">
        <v>206</v>
      </c>
      <c r="B84" s="510" t="s">
        <v>282</v>
      </c>
      <c r="C84" s="509" t="s">
        <v>255</v>
      </c>
      <c r="D84" s="1829">
        <v>1263</v>
      </c>
      <c r="E84" s="1805">
        <v>876</v>
      </c>
      <c r="F84" s="817">
        <v>240</v>
      </c>
      <c r="G84" s="817">
        <v>145</v>
      </c>
      <c r="H84" s="817">
        <v>2</v>
      </c>
      <c r="I84" s="817">
        <v>0</v>
      </c>
      <c r="J84" s="1805">
        <v>741</v>
      </c>
      <c r="K84" s="817">
        <v>522</v>
      </c>
      <c r="L84" s="1806"/>
      <c r="M84" s="511">
        <v>920</v>
      </c>
      <c r="N84" s="511">
        <v>318</v>
      </c>
      <c r="O84" s="511">
        <v>25</v>
      </c>
      <c r="P84" s="511">
        <v>0</v>
      </c>
      <c r="Q84" s="1828">
        <v>183</v>
      </c>
    </row>
    <row r="85" spans="1:17" s="512" customFormat="1" x14ac:dyDescent="0.3">
      <c r="A85" s="514" t="s">
        <v>208</v>
      </c>
      <c r="B85" s="510" t="s">
        <v>209</v>
      </c>
      <c r="C85" s="509" t="s">
        <v>256</v>
      </c>
      <c r="D85" s="1829">
        <v>389</v>
      </c>
      <c r="E85" s="1805">
        <v>274</v>
      </c>
      <c r="F85" s="817">
        <v>78</v>
      </c>
      <c r="G85" s="817">
        <v>35</v>
      </c>
      <c r="H85" s="817">
        <v>0</v>
      </c>
      <c r="I85" s="817">
        <v>2</v>
      </c>
      <c r="J85" s="1805">
        <v>222</v>
      </c>
      <c r="K85" s="817">
        <v>167</v>
      </c>
      <c r="L85" s="1806"/>
      <c r="M85" s="511">
        <v>376</v>
      </c>
      <c r="N85" s="511">
        <v>9</v>
      </c>
      <c r="O85" s="511">
        <v>4</v>
      </c>
      <c r="P85" s="511">
        <v>0</v>
      </c>
      <c r="Q85" s="1828">
        <v>6</v>
      </c>
    </row>
    <row r="86" spans="1:17" s="512" customFormat="1" x14ac:dyDescent="0.3">
      <c r="A86" s="514" t="s">
        <v>210</v>
      </c>
      <c r="B86" s="510" t="s">
        <v>211</v>
      </c>
      <c r="C86" s="509" t="s">
        <v>256</v>
      </c>
      <c r="D86" s="1829">
        <v>346</v>
      </c>
      <c r="E86" s="1805">
        <v>250</v>
      </c>
      <c r="F86" s="817">
        <v>65</v>
      </c>
      <c r="G86" s="817">
        <v>31</v>
      </c>
      <c r="H86" s="817">
        <v>0</v>
      </c>
      <c r="I86" s="817">
        <v>0</v>
      </c>
      <c r="J86" s="1805">
        <v>183</v>
      </c>
      <c r="K86" s="817">
        <v>163</v>
      </c>
      <c r="L86" s="1806"/>
      <c r="M86" s="511">
        <v>342</v>
      </c>
      <c r="N86" s="511">
        <v>4</v>
      </c>
      <c r="O86" s="511">
        <v>0</v>
      </c>
      <c r="P86" s="511">
        <v>0</v>
      </c>
      <c r="Q86" s="1828">
        <v>1</v>
      </c>
    </row>
    <row r="87" spans="1:17" s="512" customFormat="1" x14ac:dyDescent="0.3">
      <c r="A87" s="514" t="s">
        <v>212</v>
      </c>
      <c r="B87" s="510" t="s">
        <v>213</v>
      </c>
      <c r="C87" s="509" t="s">
        <v>255</v>
      </c>
      <c r="D87" s="1829">
        <v>481</v>
      </c>
      <c r="E87" s="1805">
        <v>332</v>
      </c>
      <c r="F87" s="817">
        <v>96</v>
      </c>
      <c r="G87" s="817">
        <v>53</v>
      </c>
      <c r="H87" s="817">
        <v>0</v>
      </c>
      <c r="I87" s="817">
        <v>0</v>
      </c>
      <c r="J87" s="1805">
        <v>299</v>
      </c>
      <c r="K87" s="817">
        <v>182</v>
      </c>
      <c r="L87" s="1806"/>
      <c r="M87" s="511">
        <v>410</v>
      </c>
      <c r="N87" s="511">
        <v>67</v>
      </c>
      <c r="O87" s="511">
        <v>4</v>
      </c>
      <c r="P87" s="511">
        <v>0</v>
      </c>
      <c r="Q87" s="1828">
        <v>46</v>
      </c>
    </row>
    <row r="88" spans="1:17" s="512" customFormat="1" x14ac:dyDescent="0.3">
      <c r="A88" s="514" t="s">
        <v>214</v>
      </c>
      <c r="B88" s="510" t="s">
        <v>215</v>
      </c>
      <c r="C88" s="509" t="s">
        <v>256</v>
      </c>
      <c r="D88" s="1829">
        <v>562</v>
      </c>
      <c r="E88" s="1805">
        <v>410</v>
      </c>
      <c r="F88" s="817">
        <v>93</v>
      </c>
      <c r="G88" s="817">
        <v>59</v>
      </c>
      <c r="H88" s="817">
        <v>0</v>
      </c>
      <c r="I88" s="817">
        <v>0</v>
      </c>
      <c r="J88" s="1805">
        <v>315</v>
      </c>
      <c r="K88" s="817">
        <v>247</v>
      </c>
      <c r="L88" s="1806"/>
      <c r="M88" s="511">
        <v>537</v>
      </c>
      <c r="N88" s="511">
        <v>23</v>
      </c>
      <c r="O88" s="511">
        <v>2</v>
      </c>
      <c r="P88" s="511">
        <v>0</v>
      </c>
      <c r="Q88" s="1828">
        <v>11</v>
      </c>
    </row>
    <row r="89" spans="1:17" s="512" customFormat="1" x14ac:dyDescent="0.3">
      <c r="A89" s="514" t="s">
        <v>216</v>
      </c>
      <c r="B89" s="510" t="s">
        <v>217</v>
      </c>
      <c r="C89" s="509" t="s">
        <v>252</v>
      </c>
      <c r="D89" s="1829">
        <v>251</v>
      </c>
      <c r="E89" s="1805">
        <v>177</v>
      </c>
      <c r="F89" s="817">
        <v>53</v>
      </c>
      <c r="G89" s="817">
        <v>21</v>
      </c>
      <c r="H89" s="817">
        <v>0</v>
      </c>
      <c r="I89" s="817">
        <v>0</v>
      </c>
      <c r="J89" s="1805">
        <v>149</v>
      </c>
      <c r="K89" s="817">
        <v>102</v>
      </c>
      <c r="L89" s="1806"/>
      <c r="M89" s="511">
        <v>71</v>
      </c>
      <c r="N89" s="511">
        <v>178</v>
      </c>
      <c r="O89" s="511">
        <v>2</v>
      </c>
      <c r="P89" s="511">
        <v>0</v>
      </c>
      <c r="Q89" s="1828">
        <v>2</v>
      </c>
    </row>
    <row r="90" spans="1:17" s="512" customFormat="1" x14ac:dyDescent="0.3">
      <c r="A90" s="514" t="s">
        <v>218</v>
      </c>
      <c r="B90" s="510" t="s">
        <v>219</v>
      </c>
      <c r="C90" s="509" t="s">
        <v>255</v>
      </c>
      <c r="D90" s="1829">
        <v>1547</v>
      </c>
      <c r="E90" s="1805">
        <v>1069</v>
      </c>
      <c r="F90" s="817">
        <v>334</v>
      </c>
      <c r="G90" s="817">
        <v>144</v>
      </c>
      <c r="H90" s="817">
        <v>0</v>
      </c>
      <c r="I90" s="817">
        <v>0</v>
      </c>
      <c r="J90" s="1805">
        <v>898</v>
      </c>
      <c r="K90" s="817">
        <v>649</v>
      </c>
      <c r="L90" s="1806"/>
      <c r="M90" s="511">
        <v>733</v>
      </c>
      <c r="N90" s="511">
        <v>755</v>
      </c>
      <c r="O90" s="511">
        <v>59</v>
      </c>
      <c r="P90" s="511">
        <v>0</v>
      </c>
      <c r="Q90" s="1828">
        <v>54</v>
      </c>
    </row>
    <row r="91" spans="1:17" s="512" customFormat="1" x14ac:dyDescent="0.3">
      <c r="A91" s="514" t="s">
        <v>220</v>
      </c>
      <c r="B91" s="510" t="s">
        <v>221</v>
      </c>
      <c r="C91" s="509" t="s">
        <v>255</v>
      </c>
      <c r="D91" s="1829">
        <v>1340</v>
      </c>
      <c r="E91" s="1805">
        <v>930</v>
      </c>
      <c r="F91" s="817">
        <v>293</v>
      </c>
      <c r="G91" s="817">
        <v>116</v>
      </c>
      <c r="H91" s="817">
        <v>1</v>
      </c>
      <c r="I91" s="817">
        <v>0</v>
      </c>
      <c r="J91" s="1805">
        <v>797</v>
      </c>
      <c r="K91" s="817">
        <v>543</v>
      </c>
      <c r="L91" s="1806"/>
      <c r="M91" s="511">
        <v>532</v>
      </c>
      <c r="N91" s="511">
        <v>672</v>
      </c>
      <c r="O91" s="511">
        <v>136</v>
      </c>
      <c r="P91" s="511">
        <v>0</v>
      </c>
      <c r="Q91" s="1828">
        <v>69</v>
      </c>
    </row>
    <row r="92" spans="1:17" s="512" customFormat="1" x14ac:dyDescent="0.3">
      <c r="A92" s="514" t="s">
        <v>224</v>
      </c>
      <c r="B92" s="510" t="s">
        <v>225</v>
      </c>
      <c r="C92" s="509" t="s">
        <v>252</v>
      </c>
      <c r="D92" s="1829">
        <v>84</v>
      </c>
      <c r="E92" s="1805">
        <v>58</v>
      </c>
      <c r="F92" s="817">
        <v>19</v>
      </c>
      <c r="G92" s="817">
        <v>7</v>
      </c>
      <c r="H92" s="817">
        <v>0</v>
      </c>
      <c r="I92" s="817">
        <v>0</v>
      </c>
      <c r="J92" s="1805">
        <v>50</v>
      </c>
      <c r="K92" s="817">
        <v>34</v>
      </c>
      <c r="L92" s="1806"/>
      <c r="M92" s="511">
        <v>39</v>
      </c>
      <c r="N92" s="511">
        <v>43</v>
      </c>
      <c r="O92" s="511">
        <v>2</v>
      </c>
      <c r="P92" s="511">
        <v>0</v>
      </c>
      <c r="Q92" s="1828">
        <v>3</v>
      </c>
    </row>
    <row r="93" spans="1:17" s="512" customFormat="1" x14ac:dyDescent="0.3">
      <c r="A93" s="514" t="s">
        <v>226</v>
      </c>
      <c r="B93" s="510" t="s">
        <v>227</v>
      </c>
      <c r="C93" s="509" t="s">
        <v>252</v>
      </c>
      <c r="D93" s="1829">
        <v>238</v>
      </c>
      <c r="E93" s="1805">
        <v>165</v>
      </c>
      <c r="F93" s="817">
        <v>52</v>
      </c>
      <c r="G93" s="817">
        <v>21</v>
      </c>
      <c r="H93" s="817">
        <v>0</v>
      </c>
      <c r="I93" s="817">
        <v>0</v>
      </c>
      <c r="J93" s="1805">
        <v>148</v>
      </c>
      <c r="K93" s="817">
        <v>90</v>
      </c>
      <c r="L93" s="1806"/>
      <c r="M93" s="511">
        <v>42</v>
      </c>
      <c r="N93" s="511">
        <v>192</v>
      </c>
      <c r="O93" s="511">
        <v>4</v>
      </c>
      <c r="P93" s="511">
        <v>0</v>
      </c>
      <c r="Q93" s="1828">
        <v>10</v>
      </c>
    </row>
    <row r="94" spans="1:17" s="512" customFormat="1" x14ac:dyDescent="0.3">
      <c r="A94" s="514" t="s">
        <v>228</v>
      </c>
      <c r="B94" s="510" t="s">
        <v>229</v>
      </c>
      <c r="C94" s="509" t="s">
        <v>256</v>
      </c>
      <c r="D94" s="1829">
        <v>547</v>
      </c>
      <c r="E94" s="1805">
        <v>397</v>
      </c>
      <c r="F94" s="817">
        <v>89</v>
      </c>
      <c r="G94" s="817">
        <v>61</v>
      </c>
      <c r="H94" s="817">
        <v>0</v>
      </c>
      <c r="I94" s="817">
        <v>0</v>
      </c>
      <c r="J94" s="1805">
        <v>302</v>
      </c>
      <c r="K94" s="817">
        <v>245</v>
      </c>
      <c r="L94" s="1806"/>
      <c r="M94" s="511">
        <v>502</v>
      </c>
      <c r="N94" s="511">
        <v>41</v>
      </c>
      <c r="O94" s="511">
        <v>4</v>
      </c>
      <c r="P94" s="511">
        <v>0</v>
      </c>
      <c r="Q94" s="1828">
        <v>6</v>
      </c>
    </row>
    <row r="95" spans="1:17" s="512" customFormat="1" x14ac:dyDescent="0.3">
      <c r="A95" s="514" t="s">
        <v>232</v>
      </c>
      <c r="B95" s="510" t="s">
        <v>233</v>
      </c>
      <c r="C95" s="509" t="s">
        <v>255</v>
      </c>
      <c r="D95" s="1829">
        <v>431</v>
      </c>
      <c r="E95" s="1805">
        <v>305</v>
      </c>
      <c r="F95" s="817">
        <v>92</v>
      </c>
      <c r="G95" s="817">
        <v>34</v>
      </c>
      <c r="H95" s="817">
        <v>0</v>
      </c>
      <c r="I95" s="817">
        <v>0</v>
      </c>
      <c r="J95" s="1805">
        <v>256</v>
      </c>
      <c r="K95" s="817">
        <v>175</v>
      </c>
      <c r="L95" s="1806"/>
      <c r="M95" s="511">
        <v>330</v>
      </c>
      <c r="N95" s="511">
        <v>93</v>
      </c>
      <c r="O95" s="511">
        <v>8</v>
      </c>
      <c r="P95" s="511">
        <v>0</v>
      </c>
      <c r="Q95" s="1828">
        <v>8</v>
      </c>
    </row>
    <row r="96" spans="1:17" s="512" customFormat="1" x14ac:dyDescent="0.3">
      <c r="A96" s="514" t="s">
        <v>234</v>
      </c>
      <c r="B96" s="510" t="s">
        <v>235</v>
      </c>
      <c r="C96" s="509" t="s">
        <v>256</v>
      </c>
      <c r="D96" s="1829">
        <v>615</v>
      </c>
      <c r="E96" s="1805">
        <v>441</v>
      </c>
      <c r="F96" s="817">
        <v>110</v>
      </c>
      <c r="G96" s="817">
        <v>64</v>
      </c>
      <c r="H96" s="817">
        <v>0</v>
      </c>
      <c r="I96" s="817">
        <v>0</v>
      </c>
      <c r="J96" s="1805">
        <v>351</v>
      </c>
      <c r="K96" s="817">
        <v>264</v>
      </c>
      <c r="L96" s="1806"/>
      <c r="M96" s="511">
        <v>575</v>
      </c>
      <c r="N96" s="511">
        <v>34</v>
      </c>
      <c r="O96" s="511">
        <v>6</v>
      </c>
      <c r="P96" s="511">
        <v>0</v>
      </c>
      <c r="Q96" s="1828">
        <v>19</v>
      </c>
    </row>
    <row r="97" spans="1:17" s="512" customFormat="1" x14ac:dyDescent="0.3">
      <c r="A97" s="514" t="s">
        <v>236</v>
      </c>
      <c r="B97" s="510" t="s">
        <v>237</v>
      </c>
      <c r="C97" s="509" t="s">
        <v>254</v>
      </c>
      <c r="D97" s="1829">
        <v>264</v>
      </c>
      <c r="E97" s="1805">
        <v>188</v>
      </c>
      <c r="F97" s="817">
        <v>56</v>
      </c>
      <c r="G97" s="817">
        <v>20</v>
      </c>
      <c r="H97" s="817">
        <v>0</v>
      </c>
      <c r="I97" s="817">
        <v>0</v>
      </c>
      <c r="J97" s="1805">
        <v>167</v>
      </c>
      <c r="K97" s="817">
        <v>97</v>
      </c>
      <c r="L97" s="1806"/>
      <c r="M97" s="511">
        <v>94</v>
      </c>
      <c r="N97" s="511">
        <v>162</v>
      </c>
      <c r="O97" s="511">
        <v>8</v>
      </c>
      <c r="P97" s="511">
        <v>0</v>
      </c>
      <c r="Q97" s="1828">
        <v>11</v>
      </c>
    </row>
    <row r="98" spans="1:17" s="512" customFormat="1" x14ac:dyDescent="0.3">
      <c r="A98" s="514" t="s">
        <v>242</v>
      </c>
      <c r="B98" s="510" t="s">
        <v>243</v>
      </c>
      <c r="C98" s="509" t="s">
        <v>256</v>
      </c>
      <c r="D98" s="1829">
        <v>939</v>
      </c>
      <c r="E98" s="1805">
        <v>681</v>
      </c>
      <c r="F98" s="817">
        <v>180</v>
      </c>
      <c r="G98" s="817">
        <v>78</v>
      </c>
      <c r="H98" s="817">
        <v>0</v>
      </c>
      <c r="I98" s="817">
        <v>0</v>
      </c>
      <c r="J98" s="1805">
        <v>533</v>
      </c>
      <c r="K98" s="817">
        <v>406</v>
      </c>
      <c r="L98" s="1806"/>
      <c r="M98" s="511">
        <v>889</v>
      </c>
      <c r="N98" s="511">
        <v>49</v>
      </c>
      <c r="O98" s="511">
        <v>1</v>
      </c>
      <c r="P98" s="511">
        <v>0</v>
      </c>
      <c r="Q98" s="1828">
        <v>5</v>
      </c>
    </row>
    <row r="99" spans="1:17" s="512" customFormat="1" x14ac:dyDescent="0.3">
      <c r="A99" s="514" t="s">
        <v>244</v>
      </c>
      <c r="B99" s="510" t="s">
        <v>245</v>
      </c>
      <c r="C99" s="509" t="s">
        <v>256</v>
      </c>
      <c r="D99" s="1829">
        <v>349</v>
      </c>
      <c r="E99" s="1805">
        <v>257</v>
      </c>
      <c r="F99" s="817">
        <v>65</v>
      </c>
      <c r="G99" s="817">
        <v>26</v>
      </c>
      <c r="H99" s="817">
        <v>1</v>
      </c>
      <c r="I99" s="817">
        <v>0</v>
      </c>
      <c r="J99" s="1805">
        <v>205</v>
      </c>
      <c r="K99" s="817">
        <v>144</v>
      </c>
      <c r="L99" s="1806"/>
      <c r="M99" s="511">
        <v>310</v>
      </c>
      <c r="N99" s="511">
        <v>34</v>
      </c>
      <c r="O99" s="511">
        <v>5</v>
      </c>
      <c r="P99" s="511">
        <v>0</v>
      </c>
      <c r="Q99" s="1828">
        <v>8</v>
      </c>
    </row>
    <row r="100" spans="1:17" s="512" customFormat="1" x14ac:dyDescent="0.3">
      <c r="A100" s="514" t="s">
        <v>246</v>
      </c>
      <c r="B100" s="510" t="s">
        <v>247</v>
      </c>
      <c r="C100" s="509" t="s">
        <v>252</v>
      </c>
      <c r="D100" s="1829">
        <v>400</v>
      </c>
      <c r="E100" s="1805">
        <v>272</v>
      </c>
      <c r="F100" s="817">
        <v>78</v>
      </c>
      <c r="G100" s="817">
        <v>50</v>
      </c>
      <c r="H100" s="817">
        <v>0</v>
      </c>
      <c r="I100" s="817">
        <v>0</v>
      </c>
      <c r="J100" s="1805">
        <v>233</v>
      </c>
      <c r="K100" s="817">
        <v>167</v>
      </c>
      <c r="L100" s="1806"/>
      <c r="M100" s="511">
        <v>211</v>
      </c>
      <c r="N100" s="511">
        <v>176</v>
      </c>
      <c r="O100" s="511">
        <v>13</v>
      </c>
      <c r="P100" s="511">
        <v>0</v>
      </c>
      <c r="Q100" s="1828">
        <v>26</v>
      </c>
    </row>
    <row r="101" spans="1:17" s="512" customFormat="1" x14ac:dyDescent="0.3">
      <c r="A101" s="514" t="s">
        <v>14</v>
      </c>
      <c r="B101" s="510" t="s">
        <v>15</v>
      </c>
      <c r="C101" s="509" t="s">
        <v>255</v>
      </c>
      <c r="D101" s="1829">
        <v>1930</v>
      </c>
      <c r="E101" s="1805">
        <v>1233</v>
      </c>
      <c r="F101" s="817">
        <v>433</v>
      </c>
      <c r="G101" s="817">
        <v>264</v>
      </c>
      <c r="H101" s="817">
        <v>0</v>
      </c>
      <c r="I101" s="817">
        <v>0</v>
      </c>
      <c r="J101" s="1805">
        <v>1067</v>
      </c>
      <c r="K101" s="817">
        <v>863</v>
      </c>
      <c r="L101" s="1806"/>
      <c r="M101" s="511">
        <v>700</v>
      </c>
      <c r="N101" s="511">
        <v>745</v>
      </c>
      <c r="O101" s="511">
        <v>482</v>
      </c>
      <c r="P101" s="511">
        <v>3</v>
      </c>
      <c r="Q101" s="1828">
        <v>120</v>
      </c>
    </row>
    <row r="102" spans="1:17" s="512" customFormat="1" x14ac:dyDescent="0.3">
      <c r="A102" s="514" t="s">
        <v>34</v>
      </c>
      <c r="B102" s="510" t="s">
        <v>35</v>
      </c>
      <c r="C102" s="509" t="s">
        <v>256</v>
      </c>
      <c r="D102" s="1829">
        <v>607</v>
      </c>
      <c r="E102" s="1805">
        <v>410</v>
      </c>
      <c r="F102" s="817">
        <v>142</v>
      </c>
      <c r="G102" s="817">
        <v>55</v>
      </c>
      <c r="H102" s="817">
        <v>0</v>
      </c>
      <c r="I102" s="817">
        <v>0</v>
      </c>
      <c r="J102" s="1805">
        <v>368</v>
      </c>
      <c r="K102" s="817">
        <v>239</v>
      </c>
      <c r="L102" s="1806"/>
      <c r="M102" s="511">
        <v>458</v>
      </c>
      <c r="N102" s="511">
        <v>143</v>
      </c>
      <c r="O102" s="511">
        <v>6</v>
      </c>
      <c r="P102" s="511">
        <v>0</v>
      </c>
      <c r="Q102" s="1828">
        <v>22</v>
      </c>
    </row>
    <row r="103" spans="1:17" s="512" customFormat="1" x14ac:dyDescent="0.3">
      <c r="A103" s="514" t="s">
        <v>52</v>
      </c>
      <c r="B103" s="510" t="s">
        <v>53</v>
      </c>
      <c r="C103" s="509" t="s">
        <v>253</v>
      </c>
      <c r="D103" s="1829">
        <v>867</v>
      </c>
      <c r="E103" s="1805">
        <v>564</v>
      </c>
      <c r="F103" s="817">
        <v>193</v>
      </c>
      <c r="G103" s="817">
        <v>110</v>
      </c>
      <c r="H103" s="817">
        <v>0</v>
      </c>
      <c r="I103" s="817">
        <v>0</v>
      </c>
      <c r="J103" s="1805">
        <v>493</v>
      </c>
      <c r="K103" s="817">
        <v>374</v>
      </c>
      <c r="L103" s="1806"/>
      <c r="M103" s="511">
        <v>346</v>
      </c>
      <c r="N103" s="511">
        <v>446</v>
      </c>
      <c r="O103" s="511">
        <v>75</v>
      </c>
      <c r="P103" s="511">
        <v>0</v>
      </c>
      <c r="Q103" s="1828">
        <v>18</v>
      </c>
    </row>
    <row r="104" spans="1:17" s="512" customFormat="1" x14ac:dyDescent="0.3">
      <c r="A104" s="514" t="s">
        <v>54</v>
      </c>
      <c r="B104" s="510" t="s">
        <v>55</v>
      </c>
      <c r="C104" s="509" t="s">
        <v>252</v>
      </c>
      <c r="D104" s="1829">
        <v>2156</v>
      </c>
      <c r="E104" s="1805">
        <v>1524</v>
      </c>
      <c r="F104" s="817">
        <v>454</v>
      </c>
      <c r="G104" s="817">
        <v>176</v>
      </c>
      <c r="H104" s="817">
        <v>1</v>
      </c>
      <c r="I104" s="817">
        <v>1</v>
      </c>
      <c r="J104" s="1805">
        <v>1304</v>
      </c>
      <c r="K104" s="817">
        <v>852</v>
      </c>
      <c r="L104" s="1806"/>
      <c r="M104" s="511">
        <v>455</v>
      </c>
      <c r="N104" s="511">
        <v>1655</v>
      </c>
      <c r="O104" s="511">
        <v>46</v>
      </c>
      <c r="P104" s="511">
        <v>0</v>
      </c>
      <c r="Q104" s="1828">
        <v>89</v>
      </c>
    </row>
    <row r="105" spans="1:17" s="512" customFormat="1" x14ac:dyDescent="0.3">
      <c r="A105" s="514" t="s">
        <v>66</v>
      </c>
      <c r="B105" s="510" t="s">
        <v>67</v>
      </c>
      <c r="C105" s="509" t="s">
        <v>253</v>
      </c>
      <c r="D105" s="1829">
        <v>1134</v>
      </c>
      <c r="E105" s="1805">
        <v>843</v>
      </c>
      <c r="F105" s="817">
        <v>225</v>
      </c>
      <c r="G105" s="817">
        <v>66</v>
      </c>
      <c r="H105" s="817">
        <v>0</v>
      </c>
      <c r="I105" s="817">
        <v>0</v>
      </c>
      <c r="J105" s="1805">
        <v>694</v>
      </c>
      <c r="K105" s="817">
        <v>440</v>
      </c>
      <c r="L105" s="1806"/>
      <c r="M105" s="511">
        <v>232</v>
      </c>
      <c r="N105" s="511">
        <v>877</v>
      </c>
      <c r="O105" s="511">
        <v>22</v>
      </c>
      <c r="P105" s="511">
        <v>3</v>
      </c>
      <c r="Q105" s="1828">
        <v>44</v>
      </c>
    </row>
    <row r="106" spans="1:17" s="512" customFormat="1" x14ac:dyDescent="0.3">
      <c r="A106" s="514" t="s">
        <v>82</v>
      </c>
      <c r="B106" s="510" t="s">
        <v>83</v>
      </c>
      <c r="C106" s="509" t="s">
        <v>252</v>
      </c>
      <c r="D106" s="1829">
        <v>210</v>
      </c>
      <c r="E106" s="1805">
        <v>156</v>
      </c>
      <c r="F106" s="817">
        <v>42</v>
      </c>
      <c r="G106" s="817">
        <v>12</v>
      </c>
      <c r="H106" s="817">
        <v>0</v>
      </c>
      <c r="I106" s="817">
        <v>0</v>
      </c>
      <c r="J106" s="1805">
        <v>136</v>
      </c>
      <c r="K106" s="817">
        <v>74</v>
      </c>
      <c r="L106" s="1806"/>
      <c r="M106" s="511">
        <v>12</v>
      </c>
      <c r="N106" s="511">
        <v>197</v>
      </c>
      <c r="O106" s="511">
        <v>1</v>
      </c>
      <c r="P106" s="511">
        <v>0</v>
      </c>
      <c r="Q106" s="1828"/>
    </row>
    <row r="107" spans="1:17" s="512" customFormat="1" x14ac:dyDescent="0.3">
      <c r="A107" s="514" t="s">
        <v>88</v>
      </c>
      <c r="B107" s="510" t="s">
        <v>89</v>
      </c>
      <c r="C107" s="509" t="s">
        <v>255</v>
      </c>
      <c r="D107" s="1829">
        <v>762</v>
      </c>
      <c r="E107" s="1805">
        <v>515</v>
      </c>
      <c r="F107" s="817">
        <v>186</v>
      </c>
      <c r="G107" s="817">
        <v>61</v>
      </c>
      <c r="H107" s="817">
        <v>0</v>
      </c>
      <c r="I107" s="817">
        <v>0</v>
      </c>
      <c r="J107" s="1805">
        <v>463</v>
      </c>
      <c r="K107" s="817">
        <v>299</v>
      </c>
      <c r="L107" s="1806"/>
      <c r="M107" s="511">
        <v>236</v>
      </c>
      <c r="N107" s="511">
        <v>414</v>
      </c>
      <c r="O107" s="511">
        <v>110</v>
      </c>
      <c r="P107" s="511">
        <v>2</v>
      </c>
      <c r="Q107" s="1828">
        <v>36</v>
      </c>
    </row>
    <row r="108" spans="1:17" s="512" customFormat="1" x14ac:dyDescent="0.3">
      <c r="A108" s="514" t="s">
        <v>90</v>
      </c>
      <c r="B108" s="510" t="s">
        <v>91</v>
      </c>
      <c r="C108" s="509" t="s">
        <v>256</v>
      </c>
      <c r="D108" s="1829">
        <v>87</v>
      </c>
      <c r="E108" s="1805">
        <v>66</v>
      </c>
      <c r="F108" s="817">
        <v>15</v>
      </c>
      <c r="G108" s="817">
        <v>6</v>
      </c>
      <c r="H108" s="817">
        <v>0</v>
      </c>
      <c r="I108" s="817">
        <v>0</v>
      </c>
      <c r="J108" s="1805">
        <v>51</v>
      </c>
      <c r="K108" s="817">
        <v>36</v>
      </c>
      <c r="L108" s="1806"/>
      <c r="M108" s="511">
        <v>80</v>
      </c>
      <c r="N108" s="511">
        <v>7</v>
      </c>
      <c r="O108" s="511">
        <v>0</v>
      </c>
      <c r="P108" s="511">
        <v>0</v>
      </c>
      <c r="Q108" s="1828">
        <v>22</v>
      </c>
    </row>
    <row r="109" spans="1:17" s="512" customFormat="1" x14ac:dyDescent="0.3">
      <c r="A109" s="514" t="s">
        <v>106</v>
      </c>
      <c r="B109" s="510" t="s">
        <v>107</v>
      </c>
      <c r="C109" s="509" t="s">
        <v>252</v>
      </c>
      <c r="D109" s="1829">
        <v>2907</v>
      </c>
      <c r="E109" s="1805">
        <v>2016</v>
      </c>
      <c r="F109" s="817">
        <v>640</v>
      </c>
      <c r="G109" s="817">
        <v>251</v>
      </c>
      <c r="H109" s="817">
        <v>0</v>
      </c>
      <c r="I109" s="817">
        <v>0</v>
      </c>
      <c r="J109" s="1805">
        <v>1853</v>
      </c>
      <c r="K109" s="817">
        <v>1054</v>
      </c>
      <c r="L109" s="1806"/>
      <c r="M109" s="511">
        <v>489</v>
      </c>
      <c r="N109" s="511">
        <v>2341</v>
      </c>
      <c r="O109" s="511">
        <v>77</v>
      </c>
      <c r="P109" s="511">
        <v>0</v>
      </c>
      <c r="Q109" s="1828">
        <v>147</v>
      </c>
    </row>
    <row r="110" spans="1:17" s="512" customFormat="1" x14ac:dyDescent="0.3">
      <c r="A110" s="514" t="s">
        <v>116</v>
      </c>
      <c r="B110" s="510" t="s">
        <v>117</v>
      </c>
      <c r="C110" s="509" t="s">
        <v>254</v>
      </c>
      <c r="D110" s="1829">
        <v>916</v>
      </c>
      <c r="E110" s="1805">
        <v>630</v>
      </c>
      <c r="F110" s="817">
        <v>208</v>
      </c>
      <c r="G110" s="817">
        <v>77</v>
      </c>
      <c r="H110" s="817">
        <v>1</v>
      </c>
      <c r="I110" s="817">
        <v>0</v>
      </c>
      <c r="J110" s="1805">
        <v>575</v>
      </c>
      <c r="K110" s="817">
        <v>341</v>
      </c>
      <c r="L110" s="1806"/>
      <c r="M110" s="511">
        <v>244</v>
      </c>
      <c r="N110" s="511">
        <v>658</v>
      </c>
      <c r="O110" s="511">
        <v>14</v>
      </c>
      <c r="P110" s="511">
        <v>0</v>
      </c>
      <c r="Q110" s="1828">
        <v>45</v>
      </c>
    </row>
    <row r="111" spans="1:17" s="512" customFormat="1" x14ac:dyDescent="0.3">
      <c r="A111" s="514" t="s">
        <v>138</v>
      </c>
      <c r="B111" s="510" t="s">
        <v>139</v>
      </c>
      <c r="C111" s="509" t="s">
        <v>253</v>
      </c>
      <c r="D111" s="1829">
        <v>1056</v>
      </c>
      <c r="E111" s="1805">
        <v>765</v>
      </c>
      <c r="F111" s="817">
        <v>235</v>
      </c>
      <c r="G111" s="817">
        <v>56</v>
      </c>
      <c r="H111" s="817">
        <v>0</v>
      </c>
      <c r="I111" s="817">
        <v>0</v>
      </c>
      <c r="J111" s="1805">
        <v>642</v>
      </c>
      <c r="K111" s="817">
        <v>414</v>
      </c>
      <c r="L111" s="1806"/>
      <c r="M111" s="511">
        <v>231</v>
      </c>
      <c r="N111" s="511">
        <v>820</v>
      </c>
      <c r="O111" s="511">
        <v>5</v>
      </c>
      <c r="P111" s="511">
        <v>0</v>
      </c>
      <c r="Q111" s="1828">
        <v>27</v>
      </c>
    </row>
    <row r="112" spans="1:17" s="512" customFormat="1" x14ac:dyDescent="0.3">
      <c r="A112" s="514" t="s">
        <v>142</v>
      </c>
      <c r="B112" s="510" t="s">
        <v>143</v>
      </c>
      <c r="C112" s="509" t="s">
        <v>255</v>
      </c>
      <c r="D112" s="1829">
        <v>334</v>
      </c>
      <c r="E112" s="1805">
        <v>248</v>
      </c>
      <c r="F112" s="817">
        <v>58</v>
      </c>
      <c r="G112" s="817">
        <v>28</v>
      </c>
      <c r="H112" s="817">
        <v>0</v>
      </c>
      <c r="I112" s="817">
        <v>0</v>
      </c>
      <c r="J112" s="1805">
        <v>192</v>
      </c>
      <c r="K112" s="817">
        <v>142</v>
      </c>
      <c r="L112" s="1806"/>
      <c r="M112" s="511">
        <v>163</v>
      </c>
      <c r="N112" s="511">
        <v>159</v>
      </c>
      <c r="O112" s="511">
        <v>12</v>
      </c>
      <c r="P112" s="511">
        <v>0</v>
      </c>
      <c r="Q112" s="1828">
        <v>61</v>
      </c>
    </row>
    <row r="113" spans="1:17" s="512" customFormat="1" x14ac:dyDescent="0.3">
      <c r="A113" s="514" t="s">
        <v>144</v>
      </c>
      <c r="B113" s="510" t="s">
        <v>145</v>
      </c>
      <c r="C113" s="509" t="s">
        <v>255</v>
      </c>
      <c r="D113" s="1829">
        <v>66</v>
      </c>
      <c r="E113" s="1805">
        <v>46</v>
      </c>
      <c r="F113" s="817">
        <v>9</v>
      </c>
      <c r="G113" s="817">
        <v>11</v>
      </c>
      <c r="H113" s="817">
        <v>0</v>
      </c>
      <c r="I113" s="817">
        <v>0</v>
      </c>
      <c r="J113" s="1805">
        <v>38</v>
      </c>
      <c r="K113" s="817">
        <v>28</v>
      </c>
      <c r="L113" s="1806"/>
      <c r="M113" s="511">
        <v>37</v>
      </c>
      <c r="N113" s="511">
        <v>29</v>
      </c>
      <c r="O113" s="511">
        <v>0</v>
      </c>
      <c r="P113" s="511">
        <v>0</v>
      </c>
      <c r="Q113" s="1828">
        <v>8</v>
      </c>
    </row>
    <row r="114" spans="1:17" s="512" customFormat="1" x14ac:dyDescent="0.3">
      <c r="A114" s="514" t="s">
        <v>158</v>
      </c>
      <c r="B114" s="510" t="s">
        <v>159</v>
      </c>
      <c r="C114" s="509" t="s">
        <v>252</v>
      </c>
      <c r="D114" s="1829">
        <v>4830</v>
      </c>
      <c r="E114" s="1805">
        <v>3304</v>
      </c>
      <c r="F114" s="817">
        <v>1122</v>
      </c>
      <c r="G114" s="817">
        <v>401</v>
      </c>
      <c r="H114" s="817">
        <v>2</v>
      </c>
      <c r="I114" s="817">
        <v>1</v>
      </c>
      <c r="J114" s="1805">
        <v>2972</v>
      </c>
      <c r="K114" s="817">
        <v>1858</v>
      </c>
      <c r="L114" s="1806"/>
      <c r="M114" s="511">
        <v>851</v>
      </c>
      <c r="N114" s="511">
        <v>3821</v>
      </c>
      <c r="O114" s="511">
        <v>158</v>
      </c>
      <c r="P114" s="511">
        <v>0</v>
      </c>
      <c r="Q114" s="1828">
        <v>302</v>
      </c>
    </row>
    <row r="115" spans="1:17" s="512" customFormat="1" x14ac:dyDescent="0.3">
      <c r="A115" s="514" t="s">
        <v>160</v>
      </c>
      <c r="B115" s="510" t="s">
        <v>161</v>
      </c>
      <c r="C115" s="509" t="s">
        <v>252</v>
      </c>
      <c r="D115" s="1829">
        <v>4154</v>
      </c>
      <c r="E115" s="1805">
        <v>3017</v>
      </c>
      <c r="F115" s="817">
        <v>864</v>
      </c>
      <c r="G115" s="817">
        <v>273</v>
      </c>
      <c r="H115" s="817">
        <v>0</v>
      </c>
      <c r="I115" s="817">
        <v>0</v>
      </c>
      <c r="J115" s="1805">
        <v>2584</v>
      </c>
      <c r="K115" s="817">
        <v>1570</v>
      </c>
      <c r="L115" s="1806"/>
      <c r="M115" s="511">
        <v>494</v>
      </c>
      <c r="N115" s="511">
        <v>3563</v>
      </c>
      <c r="O115" s="511">
        <v>97</v>
      </c>
      <c r="P115" s="511">
        <v>0</v>
      </c>
      <c r="Q115" s="1828">
        <v>220</v>
      </c>
    </row>
    <row r="116" spans="1:17" s="512" customFormat="1" x14ac:dyDescent="0.3">
      <c r="A116" s="514" t="s">
        <v>166</v>
      </c>
      <c r="B116" s="510" t="s">
        <v>167</v>
      </c>
      <c r="C116" s="509" t="s">
        <v>256</v>
      </c>
      <c r="D116" s="1829">
        <v>133</v>
      </c>
      <c r="E116" s="1805">
        <v>93</v>
      </c>
      <c r="F116" s="817">
        <v>26</v>
      </c>
      <c r="G116" s="817">
        <v>14</v>
      </c>
      <c r="H116" s="817">
        <v>0</v>
      </c>
      <c r="I116" s="817">
        <v>0</v>
      </c>
      <c r="J116" s="1805">
        <v>79</v>
      </c>
      <c r="K116" s="817">
        <v>54</v>
      </c>
      <c r="L116" s="1806"/>
      <c r="M116" s="511">
        <v>112</v>
      </c>
      <c r="N116" s="511">
        <v>21</v>
      </c>
      <c r="O116" s="511">
        <v>0</v>
      </c>
      <c r="P116" s="511">
        <v>0</v>
      </c>
      <c r="Q116" s="1828">
        <v>1</v>
      </c>
    </row>
    <row r="117" spans="1:17" s="512" customFormat="1" x14ac:dyDescent="0.3">
      <c r="A117" s="514" t="s">
        <v>176</v>
      </c>
      <c r="B117" s="510" t="s">
        <v>177</v>
      </c>
      <c r="C117" s="509" t="s">
        <v>254</v>
      </c>
      <c r="D117" s="1829">
        <v>1238</v>
      </c>
      <c r="E117" s="1805">
        <v>855</v>
      </c>
      <c r="F117" s="817">
        <v>299</v>
      </c>
      <c r="G117" s="817">
        <v>84</v>
      </c>
      <c r="H117" s="817">
        <v>0</v>
      </c>
      <c r="I117" s="817">
        <v>0</v>
      </c>
      <c r="J117" s="1805">
        <v>776</v>
      </c>
      <c r="K117" s="817">
        <v>462</v>
      </c>
      <c r="L117" s="1806"/>
      <c r="M117" s="511">
        <v>92</v>
      </c>
      <c r="N117" s="511">
        <v>1127</v>
      </c>
      <c r="O117" s="511">
        <v>19</v>
      </c>
      <c r="P117" s="511">
        <v>0</v>
      </c>
      <c r="Q117" s="1828">
        <v>35</v>
      </c>
    </row>
    <row r="118" spans="1:17" s="512" customFormat="1" x14ac:dyDescent="0.3">
      <c r="A118" s="514" t="s">
        <v>180</v>
      </c>
      <c r="B118" s="510" t="s">
        <v>181</v>
      </c>
      <c r="C118" s="509" t="s">
        <v>252</v>
      </c>
      <c r="D118" s="1829">
        <v>2541</v>
      </c>
      <c r="E118" s="1805">
        <v>1826</v>
      </c>
      <c r="F118" s="817">
        <v>583</v>
      </c>
      <c r="G118" s="817">
        <v>130</v>
      </c>
      <c r="H118" s="817">
        <v>0</v>
      </c>
      <c r="I118" s="817">
        <v>2</v>
      </c>
      <c r="J118" s="1805">
        <v>1589</v>
      </c>
      <c r="K118" s="817">
        <v>952</v>
      </c>
      <c r="L118" s="1806"/>
      <c r="M118" s="511">
        <v>254</v>
      </c>
      <c r="N118" s="511">
        <v>2266</v>
      </c>
      <c r="O118" s="511">
        <v>21</v>
      </c>
      <c r="P118" s="511">
        <v>0</v>
      </c>
      <c r="Q118" s="1828">
        <v>62</v>
      </c>
    </row>
    <row r="119" spans="1:17" s="512" customFormat="1" x14ac:dyDescent="0.3">
      <c r="A119" s="514" t="s">
        <v>192</v>
      </c>
      <c r="B119" s="510" t="s">
        <v>193</v>
      </c>
      <c r="C119" s="509" t="s">
        <v>256</v>
      </c>
      <c r="D119" s="1829">
        <v>166</v>
      </c>
      <c r="E119" s="1805">
        <v>126</v>
      </c>
      <c r="F119" s="817">
        <v>31</v>
      </c>
      <c r="G119" s="817">
        <v>9</v>
      </c>
      <c r="H119" s="817">
        <v>0</v>
      </c>
      <c r="I119" s="817">
        <v>0</v>
      </c>
      <c r="J119" s="1805">
        <v>100</v>
      </c>
      <c r="K119" s="817">
        <v>66</v>
      </c>
      <c r="L119" s="1806"/>
      <c r="M119" s="511">
        <v>109</v>
      </c>
      <c r="N119" s="511">
        <v>56</v>
      </c>
      <c r="O119" s="511">
        <v>1</v>
      </c>
      <c r="P119" s="511">
        <v>0</v>
      </c>
      <c r="Q119" s="1828">
        <v>4</v>
      </c>
    </row>
    <row r="120" spans="1:17" s="512" customFormat="1" x14ac:dyDescent="0.3">
      <c r="A120" s="514" t="s">
        <v>196</v>
      </c>
      <c r="B120" s="510" t="s">
        <v>197</v>
      </c>
      <c r="C120" s="509" t="s">
        <v>254</v>
      </c>
      <c r="D120" s="1829">
        <v>4891</v>
      </c>
      <c r="E120" s="1805">
        <v>3466</v>
      </c>
      <c r="F120" s="817">
        <v>1140</v>
      </c>
      <c r="G120" s="817">
        <v>282</v>
      </c>
      <c r="H120" s="817">
        <v>2</v>
      </c>
      <c r="I120" s="817">
        <v>1</v>
      </c>
      <c r="J120" s="1805">
        <v>3104</v>
      </c>
      <c r="K120" s="817">
        <v>1787</v>
      </c>
      <c r="L120" s="1806"/>
      <c r="M120" s="511">
        <v>312</v>
      </c>
      <c r="N120" s="511">
        <v>4506</v>
      </c>
      <c r="O120" s="511">
        <v>70</v>
      </c>
      <c r="P120" s="511">
        <v>3</v>
      </c>
      <c r="Q120" s="1828">
        <v>219</v>
      </c>
    </row>
    <row r="121" spans="1:17" s="512" customFormat="1" x14ac:dyDescent="0.3">
      <c r="A121" s="514" t="s">
        <v>200</v>
      </c>
      <c r="B121" s="510" t="s">
        <v>201</v>
      </c>
      <c r="C121" s="509" t="s">
        <v>253</v>
      </c>
      <c r="D121" s="1829">
        <v>2410</v>
      </c>
      <c r="E121" s="1805">
        <v>1746</v>
      </c>
      <c r="F121" s="817">
        <v>471</v>
      </c>
      <c r="G121" s="817">
        <v>192</v>
      </c>
      <c r="H121" s="817">
        <v>0</v>
      </c>
      <c r="I121" s="817">
        <v>1</v>
      </c>
      <c r="J121" s="1805">
        <v>1434</v>
      </c>
      <c r="K121" s="817">
        <v>976</v>
      </c>
      <c r="L121" s="1806"/>
      <c r="M121" s="511">
        <v>945</v>
      </c>
      <c r="N121" s="511">
        <v>1389</v>
      </c>
      <c r="O121" s="511">
        <v>71</v>
      </c>
      <c r="P121" s="511">
        <v>5</v>
      </c>
      <c r="Q121" s="1828">
        <v>81</v>
      </c>
    </row>
    <row r="122" spans="1:17" s="512" customFormat="1" x14ac:dyDescent="0.3">
      <c r="A122" s="514" t="s">
        <v>222</v>
      </c>
      <c r="B122" s="510" t="s">
        <v>223</v>
      </c>
      <c r="C122" s="509" t="s">
        <v>252</v>
      </c>
      <c r="D122" s="1829">
        <v>1126</v>
      </c>
      <c r="E122" s="1805">
        <v>821</v>
      </c>
      <c r="F122" s="817">
        <v>251</v>
      </c>
      <c r="G122" s="817">
        <v>54</v>
      </c>
      <c r="H122" s="817">
        <v>0</v>
      </c>
      <c r="I122" s="817">
        <v>0</v>
      </c>
      <c r="J122" s="1805">
        <v>698</v>
      </c>
      <c r="K122" s="817">
        <v>428</v>
      </c>
      <c r="L122" s="1806"/>
      <c r="M122" s="511">
        <v>186</v>
      </c>
      <c r="N122" s="511">
        <v>925</v>
      </c>
      <c r="O122" s="511">
        <v>15</v>
      </c>
      <c r="P122" s="511">
        <v>0</v>
      </c>
      <c r="Q122" s="1828">
        <v>23</v>
      </c>
    </row>
    <row r="123" spans="1:17" s="512" customFormat="1" x14ac:dyDescent="0.3">
      <c r="A123" s="514" t="s">
        <v>230</v>
      </c>
      <c r="B123" s="510" t="s">
        <v>231</v>
      </c>
      <c r="C123" s="509" t="s">
        <v>252</v>
      </c>
      <c r="D123" s="1829">
        <v>1884</v>
      </c>
      <c r="E123" s="1805">
        <v>1377</v>
      </c>
      <c r="F123" s="817">
        <v>348</v>
      </c>
      <c r="G123" s="817">
        <v>157</v>
      </c>
      <c r="H123" s="817">
        <v>1</v>
      </c>
      <c r="I123" s="817">
        <v>1</v>
      </c>
      <c r="J123" s="1805">
        <v>1117</v>
      </c>
      <c r="K123" s="817">
        <v>767</v>
      </c>
      <c r="L123" s="1806"/>
      <c r="M123" s="511">
        <v>593</v>
      </c>
      <c r="N123" s="511">
        <v>1204</v>
      </c>
      <c r="O123" s="511">
        <v>86</v>
      </c>
      <c r="P123" s="511">
        <v>1</v>
      </c>
      <c r="Q123" s="1828">
        <v>120</v>
      </c>
    </row>
    <row r="124" spans="1:17" s="512" customFormat="1" x14ac:dyDescent="0.3">
      <c r="A124" s="514" t="s">
        <v>238</v>
      </c>
      <c r="B124" s="510" t="s">
        <v>239</v>
      </c>
      <c r="C124" s="509" t="s">
        <v>252</v>
      </c>
      <c r="D124" s="1829">
        <v>134</v>
      </c>
      <c r="E124" s="1805">
        <v>92</v>
      </c>
      <c r="F124" s="817">
        <v>28</v>
      </c>
      <c r="G124" s="817">
        <v>14</v>
      </c>
      <c r="H124" s="817">
        <v>0</v>
      </c>
      <c r="I124" s="817">
        <v>0</v>
      </c>
      <c r="J124" s="1805">
        <v>71</v>
      </c>
      <c r="K124" s="817">
        <v>63</v>
      </c>
      <c r="L124" s="1806"/>
      <c r="M124" s="511">
        <v>41</v>
      </c>
      <c r="N124" s="511">
        <v>92</v>
      </c>
      <c r="O124" s="511">
        <v>1</v>
      </c>
      <c r="P124" s="511">
        <v>0</v>
      </c>
      <c r="Q124" s="1828">
        <v>9</v>
      </c>
    </row>
    <row r="125" spans="1:17" s="512" customFormat="1" x14ac:dyDescent="0.3">
      <c r="A125" s="514" t="s">
        <v>240</v>
      </c>
      <c r="B125" s="510" t="s">
        <v>241</v>
      </c>
      <c r="C125" s="509" t="s">
        <v>255</v>
      </c>
      <c r="D125" s="1829">
        <v>358</v>
      </c>
      <c r="E125" s="1805">
        <v>250</v>
      </c>
      <c r="F125" s="817">
        <v>70</v>
      </c>
      <c r="G125" s="817">
        <v>38</v>
      </c>
      <c r="H125" s="817">
        <v>0</v>
      </c>
      <c r="I125" s="817">
        <v>0</v>
      </c>
      <c r="J125" s="1805">
        <v>202</v>
      </c>
      <c r="K125" s="817">
        <v>156</v>
      </c>
      <c r="L125" s="1806"/>
      <c r="M125" s="511">
        <v>213</v>
      </c>
      <c r="N125" s="511">
        <v>137</v>
      </c>
      <c r="O125" s="511">
        <v>8</v>
      </c>
      <c r="P125" s="511">
        <v>0</v>
      </c>
      <c r="Q125" s="1828">
        <v>19</v>
      </c>
    </row>
    <row r="126" spans="1:17" x14ac:dyDescent="0.3">
      <c r="B126" s="418"/>
      <c r="C126" s="418"/>
      <c r="D126" s="418"/>
      <c r="E126" s="418"/>
      <c r="F126" s="418"/>
      <c r="G126" s="418"/>
      <c r="H126" s="418"/>
      <c r="I126" s="418"/>
      <c r="J126" s="418"/>
      <c r="K126" s="418"/>
      <c r="L126" s="418"/>
    </row>
    <row r="128" spans="1:17" ht="45" customHeight="1" x14ac:dyDescent="0.3">
      <c r="A128" s="2749" t="s">
        <v>1172</v>
      </c>
      <c r="B128" s="2749"/>
      <c r="C128" s="2749"/>
      <c r="D128" s="2749"/>
      <c r="E128" s="2749"/>
      <c r="F128" s="2749"/>
      <c r="G128" s="2749"/>
      <c r="H128" s="2749"/>
      <c r="I128" s="2749"/>
      <c r="J128" s="910"/>
      <c r="K128" s="910"/>
      <c r="L128" s="1807"/>
    </row>
    <row r="129" spans="1:12" x14ac:dyDescent="0.3">
      <c r="A129" s="2749"/>
      <c r="B129" s="2749"/>
      <c r="C129" s="2749"/>
      <c r="D129" s="2749"/>
      <c r="E129" s="2749"/>
      <c r="F129" s="2749"/>
      <c r="G129" s="2749"/>
      <c r="H129" s="2749"/>
      <c r="I129" s="2749"/>
    </row>
    <row r="130" spans="1:12" s="359" customFormat="1" x14ac:dyDescent="0.3">
      <c r="A130" s="359" t="s">
        <v>248</v>
      </c>
    </row>
    <row r="131" spans="1:12" s="359" customFormat="1" x14ac:dyDescent="0.3">
      <c r="A131" s="360" t="s">
        <v>249</v>
      </c>
      <c r="B131" s="361" t="s">
        <v>250</v>
      </c>
      <c r="C131" s="361"/>
      <c r="D131" s="361"/>
      <c r="E131" s="361"/>
      <c r="F131" s="361"/>
      <c r="G131" s="361"/>
      <c r="H131" s="361"/>
      <c r="I131" s="361"/>
      <c r="J131" s="361"/>
      <c r="K131" s="361"/>
      <c r="L131" s="361"/>
    </row>
  </sheetData>
  <autoFilter ref="A4:C4"/>
  <sortState ref="A6:Q125">
    <sortCondition ref="A6:A125"/>
  </sortState>
  <mergeCells count="5">
    <mergeCell ref="Q3:Q4"/>
    <mergeCell ref="A128:I129"/>
    <mergeCell ref="M3:P3"/>
    <mergeCell ref="E3:I3"/>
    <mergeCell ref="J3:L3"/>
  </mergeCells>
  <hyperlinks>
    <hyperlink ref="B131" r:id="rId1"/>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D125" sqref="D6:D125"/>
    </sheetView>
  </sheetViews>
  <sheetFormatPr defaultColWidth="14.296875" defaultRowHeight="15.6" x14ac:dyDescent="0.3"/>
  <cols>
    <col min="1" max="1" width="14.296875" style="413"/>
    <col min="2" max="2" width="32.19921875" style="413" customWidth="1"/>
    <col min="3" max="3" width="14.5" style="413" customWidth="1"/>
    <col min="4" max="4" width="12.19921875" style="413" customWidth="1"/>
    <col min="5" max="5" width="11.796875" style="413" customWidth="1"/>
    <col min="6" max="7" width="11.09765625" style="413" customWidth="1"/>
    <col min="8" max="8" width="14.5" style="413" customWidth="1"/>
    <col min="9" max="9" width="9.59765625" style="413" bestFit="1" customWidth="1"/>
    <col min="10" max="12" width="10.09765625" style="413" customWidth="1"/>
    <col min="13" max="16" width="12.19921875" style="413" customWidth="1"/>
    <col min="17" max="17" width="15.296875" style="413" customWidth="1"/>
    <col min="18" max="16384" width="14.296875" style="413"/>
  </cols>
  <sheetData>
    <row r="1" spans="1:17" x14ac:dyDescent="0.3">
      <c r="A1" s="252" t="s">
        <v>1173</v>
      </c>
    </row>
    <row r="2" spans="1:17" x14ac:dyDescent="0.3">
      <c r="B2" s="414"/>
      <c r="C2" s="414"/>
      <c r="E2" s="414"/>
      <c r="F2" s="414"/>
      <c r="G2" s="414"/>
      <c r="H2" s="414"/>
      <c r="I2" s="414"/>
      <c r="J2" s="414"/>
      <c r="K2" s="414"/>
      <c r="L2" s="414"/>
    </row>
    <row r="3" spans="1:17" ht="23.25" customHeight="1" x14ac:dyDescent="0.3">
      <c r="A3" s="415"/>
      <c r="B3" s="416"/>
      <c r="C3" s="513"/>
      <c r="D3" s="909"/>
      <c r="E3" s="2750" t="s">
        <v>711</v>
      </c>
      <c r="F3" s="2751"/>
      <c r="G3" s="2751"/>
      <c r="H3" s="2751"/>
      <c r="I3" s="2752"/>
      <c r="J3" s="2750" t="s">
        <v>706</v>
      </c>
      <c r="K3" s="2751"/>
      <c r="L3" s="2752"/>
      <c r="M3" s="2751" t="s">
        <v>626</v>
      </c>
      <c r="N3" s="2751"/>
      <c r="O3" s="2751"/>
      <c r="P3" s="2751"/>
      <c r="Q3" s="2755" t="s">
        <v>485</v>
      </c>
    </row>
    <row r="4" spans="1:17" ht="35.25" customHeight="1" x14ac:dyDescent="0.3">
      <c r="A4" s="417" t="s">
        <v>4</v>
      </c>
      <c r="B4" s="416" t="s">
        <v>5</v>
      </c>
      <c r="C4" s="513" t="s">
        <v>251</v>
      </c>
      <c r="D4" s="909" t="s">
        <v>269</v>
      </c>
      <c r="E4" s="1797" t="s">
        <v>480</v>
      </c>
      <c r="F4" s="1780" t="s">
        <v>986</v>
      </c>
      <c r="G4" s="1809" t="s">
        <v>987</v>
      </c>
      <c r="H4" s="1780" t="s">
        <v>637</v>
      </c>
      <c r="I4" s="1798" t="s">
        <v>978</v>
      </c>
      <c r="J4" s="1797" t="s">
        <v>418</v>
      </c>
      <c r="K4" s="1780" t="s">
        <v>417</v>
      </c>
      <c r="L4" s="1798" t="s">
        <v>978</v>
      </c>
      <c r="M4" s="513" t="s">
        <v>2</v>
      </c>
      <c r="N4" s="513" t="s">
        <v>314</v>
      </c>
      <c r="O4" s="513" t="s">
        <v>683</v>
      </c>
      <c r="P4" s="513" t="s">
        <v>978</v>
      </c>
      <c r="Q4" s="2756"/>
    </row>
    <row r="5" spans="1:17" x14ac:dyDescent="0.3">
      <c r="A5" s="927" t="s">
        <v>8</v>
      </c>
      <c r="B5" s="928" t="s">
        <v>9</v>
      </c>
      <c r="C5" s="929"/>
      <c r="D5" s="930">
        <v>1608957</v>
      </c>
      <c r="E5" s="1804">
        <v>733880</v>
      </c>
      <c r="F5" s="1796">
        <v>346968</v>
      </c>
      <c r="G5" s="1796">
        <v>389892</v>
      </c>
      <c r="H5" s="1796">
        <v>138006</v>
      </c>
      <c r="I5" s="1811">
        <v>211</v>
      </c>
      <c r="J5" s="1804">
        <v>920330</v>
      </c>
      <c r="K5" s="1796">
        <v>688627</v>
      </c>
      <c r="L5" s="1811"/>
      <c r="M5" s="930">
        <v>896790</v>
      </c>
      <c r="N5" s="930">
        <v>594244</v>
      </c>
      <c r="O5" s="930">
        <v>87983</v>
      </c>
      <c r="P5" s="930">
        <v>29940</v>
      </c>
      <c r="Q5" s="1826">
        <v>91038</v>
      </c>
    </row>
    <row r="6" spans="1:17" s="512" customFormat="1" x14ac:dyDescent="0.3">
      <c r="A6" s="514" t="s">
        <v>10</v>
      </c>
      <c r="B6" s="510" t="s">
        <v>11</v>
      </c>
      <c r="C6" s="509" t="s">
        <v>252</v>
      </c>
      <c r="D6" s="511">
        <v>10729</v>
      </c>
      <c r="E6" s="1805">
        <v>4982</v>
      </c>
      <c r="F6" s="817">
        <v>2027</v>
      </c>
      <c r="G6" s="817">
        <v>2595</v>
      </c>
      <c r="H6" s="817">
        <v>1125</v>
      </c>
      <c r="I6" s="1806">
        <v>0</v>
      </c>
      <c r="J6" s="1805">
        <v>6156</v>
      </c>
      <c r="K6" s="817">
        <v>4573</v>
      </c>
      <c r="L6" s="1806"/>
      <c r="M6" s="511">
        <v>5680</v>
      </c>
      <c r="N6" s="511">
        <v>4806</v>
      </c>
      <c r="O6" s="511">
        <v>119</v>
      </c>
      <c r="P6" s="511">
        <v>124</v>
      </c>
      <c r="Q6" s="1827">
        <v>672</v>
      </c>
    </row>
    <row r="7" spans="1:17" s="512" customFormat="1" x14ac:dyDescent="0.3">
      <c r="A7" s="514" t="s">
        <v>12</v>
      </c>
      <c r="B7" s="510" t="s">
        <v>13</v>
      </c>
      <c r="C7" s="509" t="s">
        <v>253</v>
      </c>
      <c r="D7" s="511">
        <v>13431</v>
      </c>
      <c r="E7" s="1805">
        <v>6471</v>
      </c>
      <c r="F7" s="817">
        <v>2888</v>
      </c>
      <c r="G7" s="817">
        <v>2993</v>
      </c>
      <c r="H7" s="817">
        <v>1079</v>
      </c>
      <c r="I7" s="1806">
        <v>0</v>
      </c>
      <c r="J7" s="1805">
        <v>7608</v>
      </c>
      <c r="K7" s="817">
        <v>5823</v>
      </c>
      <c r="L7" s="1806"/>
      <c r="M7" s="511">
        <v>8859</v>
      </c>
      <c r="N7" s="511">
        <v>3406</v>
      </c>
      <c r="O7" s="511">
        <v>694</v>
      </c>
      <c r="P7" s="511">
        <v>472</v>
      </c>
      <c r="Q7" s="1827">
        <v>661</v>
      </c>
    </row>
    <row r="8" spans="1:17" s="512" customFormat="1" x14ac:dyDescent="0.3">
      <c r="A8" s="514" t="s">
        <v>16</v>
      </c>
      <c r="B8" s="510" t="s">
        <v>285</v>
      </c>
      <c r="C8" s="509" t="s">
        <v>253</v>
      </c>
      <c r="D8" s="511">
        <v>6463</v>
      </c>
      <c r="E8" s="1805">
        <v>2612</v>
      </c>
      <c r="F8" s="817">
        <v>1402</v>
      </c>
      <c r="G8" s="817">
        <v>1760</v>
      </c>
      <c r="H8" s="817">
        <v>689</v>
      </c>
      <c r="I8" s="1806">
        <v>0</v>
      </c>
      <c r="J8" s="1805">
        <v>3720</v>
      </c>
      <c r="K8" s="817">
        <v>2743</v>
      </c>
      <c r="L8" s="1806"/>
      <c r="M8" s="511">
        <v>5602</v>
      </c>
      <c r="N8" s="511">
        <v>734</v>
      </c>
      <c r="O8" s="511">
        <v>69</v>
      </c>
      <c r="P8" s="511">
        <v>58</v>
      </c>
      <c r="Q8" s="1827">
        <v>77</v>
      </c>
    </row>
    <row r="9" spans="1:17" s="512" customFormat="1" x14ac:dyDescent="0.3">
      <c r="A9" s="514" t="s">
        <v>18</v>
      </c>
      <c r="B9" s="510" t="s">
        <v>19</v>
      </c>
      <c r="C9" s="509" t="s">
        <v>254</v>
      </c>
      <c r="D9" s="511">
        <v>3162</v>
      </c>
      <c r="E9" s="1805">
        <v>1331</v>
      </c>
      <c r="F9" s="817">
        <v>658</v>
      </c>
      <c r="G9" s="817">
        <v>823</v>
      </c>
      <c r="H9" s="817">
        <v>350</v>
      </c>
      <c r="I9" s="1806">
        <v>0</v>
      </c>
      <c r="J9" s="1805">
        <v>1800</v>
      </c>
      <c r="K9" s="817">
        <v>1362</v>
      </c>
      <c r="L9" s="1806"/>
      <c r="M9" s="511">
        <v>1974</v>
      </c>
      <c r="N9" s="511">
        <v>1087</v>
      </c>
      <c r="O9" s="511">
        <v>52</v>
      </c>
      <c r="P9" s="511">
        <v>49</v>
      </c>
      <c r="Q9" s="1827">
        <v>96</v>
      </c>
    </row>
    <row r="10" spans="1:17" s="512" customFormat="1" x14ac:dyDescent="0.3">
      <c r="A10" s="514" t="s">
        <v>20</v>
      </c>
      <c r="B10" s="510" t="s">
        <v>21</v>
      </c>
      <c r="C10" s="509" t="s">
        <v>253</v>
      </c>
      <c r="D10" s="511">
        <v>7689</v>
      </c>
      <c r="E10" s="1805">
        <v>3146</v>
      </c>
      <c r="F10" s="817">
        <v>1675</v>
      </c>
      <c r="G10" s="817">
        <v>2072</v>
      </c>
      <c r="H10" s="817">
        <v>796</v>
      </c>
      <c r="I10" s="1806">
        <v>0</v>
      </c>
      <c r="J10" s="1805">
        <v>4343</v>
      </c>
      <c r="K10" s="817">
        <v>3346</v>
      </c>
      <c r="L10" s="1806"/>
      <c r="M10" s="511">
        <v>5391</v>
      </c>
      <c r="N10" s="511">
        <v>2063</v>
      </c>
      <c r="O10" s="511">
        <v>161</v>
      </c>
      <c r="P10" s="511">
        <v>74</v>
      </c>
      <c r="Q10" s="1827">
        <v>138</v>
      </c>
    </row>
    <row r="11" spans="1:17" s="512" customFormat="1" x14ac:dyDescent="0.3">
      <c r="A11" s="514" t="s">
        <v>22</v>
      </c>
      <c r="B11" s="510" t="s">
        <v>23</v>
      </c>
      <c r="C11" s="509" t="s">
        <v>253</v>
      </c>
      <c r="D11" s="511">
        <v>4353</v>
      </c>
      <c r="E11" s="1805">
        <v>1785</v>
      </c>
      <c r="F11" s="817">
        <v>935</v>
      </c>
      <c r="G11" s="817">
        <v>1187</v>
      </c>
      <c r="H11" s="817">
        <v>446</v>
      </c>
      <c r="I11" s="1806">
        <v>0</v>
      </c>
      <c r="J11" s="1805">
        <v>2530</v>
      </c>
      <c r="K11" s="817">
        <v>1823</v>
      </c>
      <c r="L11" s="1806"/>
      <c r="M11" s="511">
        <v>2789</v>
      </c>
      <c r="N11" s="511">
        <v>1470</v>
      </c>
      <c r="O11" s="511">
        <v>54</v>
      </c>
      <c r="P11" s="511">
        <v>40</v>
      </c>
      <c r="Q11" s="1827">
        <v>35</v>
      </c>
    </row>
    <row r="12" spans="1:17" s="512" customFormat="1" x14ac:dyDescent="0.3">
      <c r="A12" s="514" t="s">
        <v>24</v>
      </c>
      <c r="B12" s="510" t="s">
        <v>25</v>
      </c>
      <c r="C12" s="509" t="s">
        <v>255</v>
      </c>
      <c r="D12" s="511">
        <v>21053</v>
      </c>
      <c r="E12" s="1805">
        <v>10627</v>
      </c>
      <c r="F12" s="817">
        <v>3489</v>
      </c>
      <c r="G12" s="817">
        <v>4365</v>
      </c>
      <c r="H12" s="817">
        <v>2571</v>
      </c>
      <c r="I12" s="1806">
        <v>1</v>
      </c>
      <c r="J12" s="1805">
        <v>11432</v>
      </c>
      <c r="K12" s="817">
        <v>9621</v>
      </c>
      <c r="L12" s="1806"/>
      <c r="M12" s="511">
        <v>12171</v>
      </c>
      <c r="N12" s="511">
        <v>5358</v>
      </c>
      <c r="O12" s="511">
        <v>2691</v>
      </c>
      <c r="P12" s="511">
        <v>833</v>
      </c>
      <c r="Q12" s="1827">
        <v>2777</v>
      </c>
    </row>
    <row r="13" spans="1:17" s="512" customFormat="1" x14ac:dyDescent="0.3">
      <c r="A13" s="514" t="s">
        <v>26</v>
      </c>
      <c r="B13" s="510" t="s">
        <v>547</v>
      </c>
      <c r="C13" s="509" t="s">
        <v>253</v>
      </c>
      <c r="D13" s="511">
        <v>28210</v>
      </c>
      <c r="E13" s="1805">
        <v>12290</v>
      </c>
      <c r="F13" s="817">
        <v>6372</v>
      </c>
      <c r="G13" s="817">
        <v>7271</v>
      </c>
      <c r="H13" s="817">
        <v>2274</v>
      </c>
      <c r="I13" s="1806">
        <v>3</v>
      </c>
      <c r="J13" s="1805">
        <v>16324</v>
      </c>
      <c r="K13" s="817">
        <v>11886</v>
      </c>
      <c r="L13" s="1806"/>
      <c r="M13" s="511">
        <v>23645</v>
      </c>
      <c r="N13" s="511">
        <v>3722</v>
      </c>
      <c r="O13" s="511">
        <v>438</v>
      </c>
      <c r="P13" s="511">
        <v>405</v>
      </c>
      <c r="Q13" s="1827">
        <v>721</v>
      </c>
    </row>
    <row r="14" spans="1:17" s="512" customFormat="1" x14ac:dyDescent="0.3">
      <c r="A14" s="514" t="s">
        <v>27</v>
      </c>
      <c r="B14" s="510" t="s">
        <v>28</v>
      </c>
      <c r="C14" s="509" t="s">
        <v>253</v>
      </c>
      <c r="D14" s="511">
        <v>979</v>
      </c>
      <c r="E14" s="1805">
        <v>424</v>
      </c>
      <c r="F14" s="817">
        <v>203</v>
      </c>
      <c r="G14" s="817">
        <v>247</v>
      </c>
      <c r="H14" s="817">
        <v>105</v>
      </c>
      <c r="I14" s="1806">
        <v>0</v>
      </c>
      <c r="J14" s="1805">
        <v>557</v>
      </c>
      <c r="K14" s="817">
        <v>422</v>
      </c>
      <c r="L14" s="1806"/>
      <c r="M14" s="511">
        <v>915</v>
      </c>
      <c r="N14" s="511">
        <v>38</v>
      </c>
      <c r="O14" s="511">
        <v>8</v>
      </c>
      <c r="P14" s="511">
        <v>18</v>
      </c>
      <c r="Q14" s="1827">
        <v>12</v>
      </c>
    </row>
    <row r="15" spans="1:17" s="512" customFormat="1" x14ac:dyDescent="0.3">
      <c r="A15" s="514" t="s">
        <v>29</v>
      </c>
      <c r="B15" s="510" t="s">
        <v>736</v>
      </c>
      <c r="C15" s="509" t="s">
        <v>253</v>
      </c>
      <c r="D15" s="511">
        <v>13423</v>
      </c>
      <c r="E15" s="1805">
        <v>5879</v>
      </c>
      <c r="F15" s="817">
        <v>2948</v>
      </c>
      <c r="G15" s="817">
        <v>3469</v>
      </c>
      <c r="H15" s="817">
        <v>1127</v>
      </c>
      <c r="I15" s="1806">
        <v>0</v>
      </c>
      <c r="J15" s="1805">
        <v>7644</v>
      </c>
      <c r="K15" s="817">
        <v>5779</v>
      </c>
      <c r="L15" s="1806"/>
      <c r="M15" s="511">
        <v>10927</v>
      </c>
      <c r="N15" s="511">
        <v>1998</v>
      </c>
      <c r="O15" s="511">
        <v>249</v>
      </c>
      <c r="P15" s="511">
        <v>249</v>
      </c>
      <c r="Q15" s="1827">
        <v>266</v>
      </c>
    </row>
    <row r="16" spans="1:17" s="512" customFormat="1" x14ac:dyDescent="0.3">
      <c r="A16" s="514" t="s">
        <v>30</v>
      </c>
      <c r="B16" s="510" t="s">
        <v>31</v>
      </c>
      <c r="C16" s="509" t="s">
        <v>256</v>
      </c>
      <c r="D16" s="511">
        <v>1270</v>
      </c>
      <c r="E16" s="1805">
        <v>477</v>
      </c>
      <c r="F16" s="817">
        <v>275</v>
      </c>
      <c r="G16" s="817">
        <v>385</v>
      </c>
      <c r="H16" s="817">
        <v>132</v>
      </c>
      <c r="I16" s="1806">
        <v>1</v>
      </c>
      <c r="J16" s="1805">
        <v>726</v>
      </c>
      <c r="K16" s="817">
        <v>544</v>
      </c>
      <c r="L16" s="1806"/>
      <c r="M16" s="511">
        <v>1209</v>
      </c>
      <c r="N16" s="511">
        <v>32</v>
      </c>
      <c r="O16" s="511">
        <v>14</v>
      </c>
      <c r="P16" s="511">
        <v>15</v>
      </c>
      <c r="Q16" s="1827">
        <v>6</v>
      </c>
    </row>
    <row r="17" spans="1:17" s="512" customFormat="1" x14ac:dyDescent="0.3">
      <c r="A17" s="514" t="s">
        <v>32</v>
      </c>
      <c r="B17" s="510" t="s">
        <v>33</v>
      </c>
      <c r="C17" s="509" t="s">
        <v>253</v>
      </c>
      <c r="D17" s="511">
        <v>4630</v>
      </c>
      <c r="E17" s="1805">
        <v>1999</v>
      </c>
      <c r="F17" s="817">
        <v>978</v>
      </c>
      <c r="G17" s="817">
        <v>1227</v>
      </c>
      <c r="H17" s="817">
        <v>426</v>
      </c>
      <c r="I17" s="1806">
        <v>0</v>
      </c>
      <c r="J17" s="1805">
        <v>2622</v>
      </c>
      <c r="K17" s="817">
        <v>2008</v>
      </c>
      <c r="L17" s="1806"/>
      <c r="M17" s="511">
        <v>4187</v>
      </c>
      <c r="N17" s="511">
        <v>238</v>
      </c>
      <c r="O17" s="511">
        <v>113</v>
      </c>
      <c r="P17" s="511">
        <v>92</v>
      </c>
      <c r="Q17" s="1827">
        <v>135</v>
      </c>
    </row>
    <row r="18" spans="1:17" s="512" customFormat="1" x14ac:dyDescent="0.3">
      <c r="A18" s="514" t="s">
        <v>36</v>
      </c>
      <c r="B18" s="510" t="s">
        <v>37</v>
      </c>
      <c r="C18" s="509" t="s">
        <v>252</v>
      </c>
      <c r="D18" s="511">
        <v>5518</v>
      </c>
      <c r="E18" s="1805">
        <v>2014</v>
      </c>
      <c r="F18" s="817">
        <v>1198</v>
      </c>
      <c r="G18" s="817">
        <v>1465</v>
      </c>
      <c r="H18" s="817">
        <v>840</v>
      </c>
      <c r="I18" s="1806">
        <v>1</v>
      </c>
      <c r="J18" s="1805">
        <v>3168</v>
      </c>
      <c r="K18" s="817">
        <v>2350</v>
      </c>
      <c r="L18" s="1806"/>
      <c r="M18" s="511">
        <v>1579</v>
      </c>
      <c r="N18" s="511">
        <v>3837</v>
      </c>
      <c r="O18" s="511">
        <v>67</v>
      </c>
      <c r="P18" s="511">
        <v>35</v>
      </c>
      <c r="Q18" s="1827">
        <v>72</v>
      </c>
    </row>
    <row r="19" spans="1:17" s="512" customFormat="1" x14ac:dyDescent="0.3">
      <c r="A19" s="514" t="s">
        <v>38</v>
      </c>
      <c r="B19" s="510" t="s">
        <v>39</v>
      </c>
      <c r="C19" s="509" t="s">
        <v>256</v>
      </c>
      <c r="D19" s="511">
        <v>8328</v>
      </c>
      <c r="E19" s="1805">
        <v>2713</v>
      </c>
      <c r="F19" s="817">
        <v>1810</v>
      </c>
      <c r="G19" s="817">
        <v>3007</v>
      </c>
      <c r="H19" s="817">
        <v>798</v>
      </c>
      <c r="I19" s="1806">
        <v>0</v>
      </c>
      <c r="J19" s="1805">
        <v>4570</v>
      </c>
      <c r="K19" s="817">
        <v>3758</v>
      </c>
      <c r="L19" s="1806"/>
      <c r="M19" s="511">
        <v>8167</v>
      </c>
      <c r="N19" s="511">
        <v>77</v>
      </c>
      <c r="O19" s="511">
        <v>33</v>
      </c>
      <c r="P19" s="511">
        <v>51</v>
      </c>
      <c r="Q19" s="1827">
        <v>27</v>
      </c>
    </row>
    <row r="20" spans="1:17" s="512" customFormat="1" x14ac:dyDescent="0.3">
      <c r="A20" s="514" t="s">
        <v>40</v>
      </c>
      <c r="B20" s="510" t="s">
        <v>41</v>
      </c>
      <c r="C20" s="509" t="s">
        <v>254</v>
      </c>
      <c r="D20" s="511">
        <v>4773</v>
      </c>
      <c r="E20" s="1805">
        <v>1943</v>
      </c>
      <c r="F20" s="817">
        <v>953</v>
      </c>
      <c r="G20" s="817">
        <v>1279</v>
      </c>
      <c r="H20" s="817">
        <v>598</v>
      </c>
      <c r="I20" s="1806">
        <v>0</v>
      </c>
      <c r="J20" s="1805">
        <v>2717</v>
      </c>
      <c r="K20" s="817">
        <v>2056</v>
      </c>
      <c r="L20" s="1806"/>
      <c r="M20" s="511">
        <v>2624</v>
      </c>
      <c r="N20" s="511">
        <v>2047</v>
      </c>
      <c r="O20" s="511">
        <v>51</v>
      </c>
      <c r="P20" s="511">
        <v>51</v>
      </c>
      <c r="Q20" s="1827">
        <v>73</v>
      </c>
    </row>
    <row r="21" spans="1:17" s="512" customFormat="1" x14ac:dyDescent="0.3">
      <c r="A21" s="514" t="s">
        <v>42</v>
      </c>
      <c r="B21" s="510" t="s">
        <v>43</v>
      </c>
      <c r="C21" s="509" t="s">
        <v>253</v>
      </c>
      <c r="D21" s="511">
        <v>13855</v>
      </c>
      <c r="E21" s="1805">
        <v>5903</v>
      </c>
      <c r="F21" s="817">
        <v>3116</v>
      </c>
      <c r="G21" s="817">
        <v>3522</v>
      </c>
      <c r="H21" s="817">
        <v>1310</v>
      </c>
      <c r="I21" s="1806">
        <v>4</v>
      </c>
      <c r="J21" s="1805">
        <v>8070</v>
      </c>
      <c r="K21" s="817">
        <v>5785</v>
      </c>
      <c r="L21" s="1806"/>
      <c r="M21" s="511">
        <v>10060</v>
      </c>
      <c r="N21" s="511">
        <v>3322</v>
      </c>
      <c r="O21" s="511">
        <v>300</v>
      </c>
      <c r="P21" s="511">
        <v>173</v>
      </c>
      <c r="Q21" s="1827">
        <v>323</v>
      </c>
    </row>
    <row r="22" spans="1:17" s="512" customFormat="1" x14ac:dyDescent="0.3">
      <c r="A22" s="514" t="s">
        <v>44</v>
      </c>
      <c r="B22" s="510" t="s">
        <v>45</v>
      </c>
      <c r="C22" s="509" t="s">
        <v>254</v>
      </c>
      <c r="D22" s="511">
        <v>7598</v>
      </c>
      <c r="E22" s="1805">
        <v>3362</v>
      </c>
      <c r="F22" s="817">
        <v>1685</v>
      </c>
      <c r="G22" s="817">
        <v>1955</v>
      </c>
      <c r="H22" s="817">
        <v>593</v>
      </c>
      <c r="I22" s="1806">
        <v>3</v>
      </c>
      <c r="J22" s="1805">
        <v>4400</v>
      </c>
      <c r="K22" s="817">
        <v>3198</v>
      </c>
      <c r="L22" s="1806"/>
      <c r="M22" s="511">
        <v>4465</v>
      </c>
      <c r="N22" s="511">
        <v>2819</v>
      </c>
      <c r="O22" s="511">
        <v>202</v>
      </c>
      <c r="P22" s="511">
        <v>112</v>
      </c>
      <c r="Q22" s="1827">
        <v>207</v>
      </c>
    </row>
    <row r="23" spans="1:17" s="512" customFormat="1" x14ac:dyDescent="0.3">
      <c r="A23" s="514" t="s">
        <v>46</v>
      </c>
      <c r="B23" s="510" t="s">
        <v>47</v>
      </c>
      <c r="C23" s="509" t="s">
        <v>256</v>
      </c>
      <c r="D23" s="511">
        <v>8971</v>
      </c>
      <c r="E23" s="1805">
        <v>3407</v>
      </c>
      <c r="F23" s="817">
        <v>1792</v>
      </c>
      <c r="G23" s="817">
        <v>2538</v>
      </c>
      <c r="H23" s="817">
        <v>1234</v>
      </c>
      <c r="I23" s="1806">
        <v>0</v>
      </c>
      <c r="J23" s="1805">
        <v>5052</v>
      </c>
      <c r="K23" s="817">
        <v>3919</v>
      </c>
      <c r="L23" s="1806"/>
      <c r="M23" s="511">
        <v>8657</v>
      </c>
      <c r="N23" s="511">
        <v>131</v>
      </c>
      <c r="O23" s="511">
        <v>87</v>
      </c>
      <c r="P23" s="511">
        <v>96</v>
      </c>
      <c r="Q23" s="1827">
        <v>237</v>
      </c>
    </row>
    <row r="24" spans="1:17" s="512" customFormat="1" x14ac:dyDescent="0.3">
      <c r="A24" s="514" t="s">
        <v>48</v>
      </c>
      <c r="B24" s="510" t="s">
        <v>257</v>
      </c>
      <c r="C24" s="509" t="s">
        <v>254</v>
      </c>
      <c r="D24" s="511">
        <v>1713</v>
      </c>
      <c r="E24" s="1805">
        <v>675</v>
      </c>
      <c r="F24" s="817">
        <v>338</v>
      </c>
      <c r="G24" s="817">
        <v>489</v>
      </c>
      <c r="H24" s="817">
        <v>211</v>
      </c>
      <c r="I24" s="1806">
        <v>0</v>
      </c>
      <c r="J24" s="1805">
        <v>1000</v>
      </c>
      <c r="K24" s="817">
        <v>713</v>
      </c>
      <c r="L24" s="1806"/>
      <c r="M24" s="511">
        <v>644</v>
      </c>
      <c r="N24" s="511">
        <v>985</v>
      </c>
      <c r="O24" s="511">
        <v>68</v>
      </c>
      <c r="P24" s="511">
        <v>16</v>
      </c>
      <c r="Q24" s="1827">
        <v>4</v>
      </c>
    </row>
    <row r="25" spans="1:17" s="512" customFormat="1" x14ac:dyDescent="0.3">
      <c r="A25" s="514" t="s">
        <v>50</v>
      </c>
      <c r="B25" s="510" t="s">
        <v>51</v>
      </c>
      <c r="C25" s="509" t="s">
        <v>253</v>
      </c>
      <c r="D25" s="511">
        <v>3867</v>
      </c>
      <c r="E25" s="1805">
        <v>1536</v>
      </c>
      <c r="F25" s="817">
        <v>807</v>
      </c>
      <c r="G25" s="817">
        <v>1004</v>
      </c>
      <c r="H25" s="817">
        <v>520</v>
      </c>
      <c r="I25" s="1806">
        <v>0</v>
      </c>
      <c r="J25" s="1805">
        <v>2226</v>
      </c>
      <c r="K25" s="817">
        <v>1641</v>
      </c>
      <c r="L25" s="1806"/>
      <c r="M25" s="511">
        <v>2069</v>
      </c>
      <c r="N25" s="511">
        <v>1725</v>
      </c>
      <c r="O25" s="511">
        <v>37</v>
      </c>
      <c r="P25" s="511">
        <v>36</v>
      </c>
      <c r="Q25" s="1827">
        <v>56</v>
      </c>
    </row>
    <row r="26" spans="1:17" s="512" customFormat="1" x14ac:dyDescent="0.3">
      <c r="A26" s="514" t="s">
        <v>56</v>
      </c>
      <c r="B26" s="510" t="s">
        <v>283</v>
      </c>
      <c r="C26" s="509" t="s">
        <v>254</v>
      </c>
      <c r="D26" s="511">
        <v>70709</v>
      </c>
      <c r="E26" s="1805">
        <v>35075</v>
      </c>
      <c r="F26" s="817">
        <v>16869</v>
      </c>
      <c r="G26" s="817">
        <v>15112</v>
      </c>
      <c r="H26" s="817">
        <v>3638</v>
      </c>
      <c r="I26" s="1806">
        <v>15</v>
      </c>
      <c r="J26" s="1805">
        <v>40758</v>
      </c>
      <c r="K26" s="817">
        <v>29951</v>
      </c>
      <c r="L26" s="1806"/>
      <c r="M26" s="511">
        <v>39199</v>
      </c>
      <c r="N26" s="511">
        <v>26731</v>
      </c>
      <c r="O26" s="511">
        <v>3473</v>
      </c>
      <c r="P26" s="511">
        <v>1306</v>
      </c>
      <c r="Q26" s="1827">
        <v>5239</v>
      </c>
    </row>
    <row r="27" spans="1:17" s="512" customFormat="1" x14ac:dyDescent="0.3">
      <c r="A27" s="514" t="s">
        <v>58</v>
      </c>
      <c r="B27" s="510" t="s">
        <v>59</v>
      </c>
      <c r="C27" s="509" t="s">
        <v>255</v>
      </c>
      <c r="D27" s="511">
        <v>1653</v>
      </c>
      <c r="E27" s="1805">
        <v>731</v>
      </c>
      <c r="F27" s="817">
        <v>318</v>
      </c>
      <c r="G27" s="817">
        <v>414</v>
      </c>
      <c r="H27" s="817">
        <v>190</v>
      </c>
      <c r="I27" s="1806">
        <v>0</v>
      </c>
      <c r="J27" s="1805">
        <v>907</v>
      </c>
      <c r="K27" s="817">
        <v>746</v>
      </c>
      <c r="L27" s="1806"/>
      <c r="M27" s="511">
        <v>1360</v>
      </c>
      <c r="N27" s="511">
        <v>190</v>
      </c>
      <c r="O27" s="511">
        <v>37</v>
      </c>
      <c r="P27" s="511">
        <v>66</v>
      </c>
      <c r="Q27" s="1827">
        <v>111</v>
      </c>
    </row>
    <row r="28" spans="1:17" s="512" customFormat="1" x14ac:dyDescent="0.3">
      <c r="A28" s="514" t="s">
        <v>60</v>
      </c>
      <c r="B28" s="510" t="s">
        <v>61</v>
      </c>
      <c r="C28" s="509" t="s">
        <v>253</v>
      </c>
      <c r="D28" s="511">
        <v>1191</v>
      </c>
      <c r="E28" s="1805">
        <v>491</v>
      </c>
      <c r="F28" s="817">
        <v>254</v>
      </c>
      <c r="G28" s="817">
        <v>314</v>
      </c>
      <c r="H28" s="817">
        <v>132</v>
      </c>
      <c r="I28" s="1806">
        <v>0</v>
      </c>
      <c r="J28" s="1805">
        <v>675</v>
      </c>
      <c r="K28" s="817">
        <v>516</v>
      </c>
      <c r="L28" s="1806"/>
      <c r="M28" s="511">
        <v>1164</v>
      </c>
      <c r="N28" s="511">
        <v>9</v>
      </c>
      <c r="O28" s="511">
        <v>6</v>
      </c>
      <c r="P28" s="511">
        <v>12</v>
      </c>
      <c r="Q28" s="1827">
        <v>1</v>
      </c>
    </row>
    <row r="29" spans="1:17" s="512" customFormat="1" x14ac:dyDescent="0.3">
      <c r="A29" s="514" t="s">
        <v>62</v>
      </c>
      <c r="B29" s="510" t="s">
        <v>63</v>
      </c>
      <c r="C29" s="509" t="s">
        <v>255</v>
      </c>
      <c r="D29" s="511">
        <v>11055</v>
      </c>
      <c r="E29" s="1805">
        <v>5551</v>
      </c>
      <c r="F29" s="817">
        <v>2194</v>
      </c>
      <c r="G29" s="817">
        <v>2464</v>
      </c>
      <c r="H29" s="817">
        <v>845</v>
      </c>
      <c r="I29" s="1806">
        <v>1</v>
      </c>
      <c r="J29" s="1805">
        <v>6239</v>
      </c>
      <c r="K29" s="817">
        <v>4816</v>
      </c>
      <c r="L29" s="1806"/>
      <c r="M29" s="511">
        <v>7754</v>
      </c>
      <c r="N29" s="511">
        <v>2777</v>
      </c>
      <c r="O29" s="511">
        <v>365</v>
      </c>
      <c r="P29" s="511">
        <v>159</v>
      </c>
      <c r="Q29" s="1827">
        <v>893</v>
      </c>
    </row>
    <row r="30" spans="1:17" s="512" customFormat="1" x14ac:dyDescent="0.3">
      <c r="A30" s="514" t="s">
        <v>64</v>
      </c>
      <c r="B30" s="510" t="s">
        <v>65</v>
      </c>
      <c r="C30" s="509" t="s">
        <v>254</v>
      </c>
      <c r="D30" s="511">
        <v>3401</v>
      </c>
      <c r="E30" s="1805">
        <v>1381</v>
      </c>
      <c r="F30" s="817">
        <v>770</v>
      </c>
      <c r="G30" s="817">
        <v>870</v>
      </c>
      <c r="H30" s="817">
        <v>380</v>
      </c>
      <c r="I30" s="1806">
        <v>0</v>
      </c>
      <c r="J30" s="1805">
        <v>1957</v>
      </c>
      <c r="K30" s="817">
        <v>1444</v>
      </c>
      <c r="L30" s="1806"/>
      <c r="M30" s="511">
        <v>1868</v>
      </c>
      <c r="N30" s="511">
        <v>1475</v>
      </c>
      <c r="O30" s="511">
        <v>38</v>
      </c>
      <c r="P30" s="511">
        <v>20</v>
      </c>
      <c r="Q30" s="1827">
        <v>75</v>
      </c>
    </row>
    <row r="31" spans="1:17" s="512" customFormat="1" x14ac:dyDescent="0.3">
      <c r="A31" s="514" t="s">
        <v>68</v>
      </c>
      <c r="B31" s="510" t="s">
        <v>69</v>
      </c>
      <c r="C31" s="509" t="s">
        <v>256</v>
      </c>
      <c r="D31" s="511">
        <v>5681</v>
      </c>
      <c r="E31" s="1805">
        <v>2003</v>
      </c>
      <c r="F31" s="817">
        <v>1190</v>
      </c>
      <c r="G31" s="817">
        <v>1891</v>
      </c>
      <c r="H31" s="817">
        <v>597</v>
      </c>
      <c r="I31" s="1806">
        <v>0</v>
      </c>
      <c r="J31" s="1805">
        <v>3132</v>
      </c>
      <c r="K31" s="817">
        <v>2549</v>
      </c>
      <c r="L31" s="1806"/>
      <c r="M31" s="511">
        <v>5577</v>
      </c>
      <c r="N31" s="511">
        <v>56</v>
      </c>
      <c r="O31" s="511">
        <v>27</v>
      </c>
      <c r="P31" s="511">
        <v>21</v>
      </c>
      <c r="Q31" s="1827">
        <v>9</v>
      </c>
    </row>
    <row r="32" spans="1:17" s="512" customFormat="1" x14ac:dyDescent="0.3">
      <c r="A32" s="514" t="s">
        <v>70</v>
      </c>
      <c r="B32" s="510" t="s">
        <v>71</v>
      </c>
      <c r="C32" s="509" t="s">
        <v>252</v>
      </c>
      <c r="D32" s="511">
        <v>7541</v>
      </c>
      <c r="E32" s="1805">
        <v>3284</v>
      </c>
      <c r="F32" s="817">
        <v>1721</v>
      </c>
      <c r="G32" s="817">
        <v>1956</v>
      </c>
      <c r="H32" s="817">
        <v>580</v>
      </c>
      <c r="I32" s="1806">
        <v>0</v>
      </c>
      <c r="J32" s="1805">
        <v>4363</v>
      </c>
      <c r="K32" s="817">
        <v>3178</v>
      </c>
      <c r="L32" s="1806"/>
      <c r="M32" s="511">
        <v>4281</v>
      </c>
      <c r="N32" s="511">
        <v>3059</v>
      </c>
      <c r="O32" s="511">
        <v>118</v>
      </c>
      <c r="P32" s="511">
        <v>83</v>
      </c>
      <c r="Q32" s="1827">
        <v>269</v>
      </c>
    </row>
    <row r="33" spans="1:17" s="512" customFormat="1" x14ac:dyDescent="0.3">
      <c r="A33" s="514" t="s">
        <v>72</v>
      </c>
      <c r="B33" s="510" t="s">
        <v>73</v>
      </c>
      <c r="C33" s="509" t="s">
        <v>254</v>
      </c>
      <c r="D33" s="511">
        <v>3530</v>
      </c>
      <c r="E33" s="1805">
        <v>1481</v>
      </c>
      <c r="F33" s="817">
        <v>825</v>
      </c>
      <c r="G33" s="817">
        <v>935</v>
      </c>
      <c r="H33" s="817">
        <v>289</v>
      </c>
      <c r="I33" s="1806">
        <v>0</v>
      </c>
      <c r="J33" s="1805">
        <v>2083</v>
      </c>
      <c r="K33" s="817">
        <v>1447</v>
      </c>
      <c r="L33" s="1806"/>
      <c r="M33" s="511">
        <v>1328</v>
      </c>
      <c r="N33" s="511">
        <v>2077</v>
      </c>
      <c r="O33" s="511">
        <v>82</v>
      </c>
      <c r="P33" s="511">
        <v>43</v>
      </c>
      <c r="Q33" s="1827">
        <v>79</v>
      </c>
    </row>
    <row r="34" spans="1:17" s="512" customFormat="1" x14ac:dyDescent="0.3">
      <c r="A34" s="514" t="s">
        <v>74</v>
      </c>
      <c r="B34" s="510" t="s">
        <v>284</v>
      </c>
      <c r="C34" s="509" t="s">
        <v>255</v>
      </c>
      <c r="D34" s="511">
        <v>137459</v>
      </c>
      <c r="E34" s="1805">
        <v>73967</v>
      </c>
      <c r="F34" s="817">
        <v>24260</v>
      </c>
      <c r="G34" s="817">
        <v>25222</v>
      </c>
      <c r="H34" s="817">
        <v>13995</v>
      </c>
      <c r="I34" s="1806">
        <v>15</v>
      </c>
      <c r="J34" s="1805">
        <v>75349</v>
      </c>
      <c r="K34" s="817">
        <v>62110</v>
      </c>
      <c r="L34" s="1806"/>
      <c r="M34" s="511">
        <v>82807</v>
      </c>
      <c r="N34" s="511">
        <v>24561</v>
      </c>
      <c r="O34" s="511">
        <v>25540</v>
      </c>
      <c r="P34" s="511">
        <v>4551</v>
      </c>
      <c r="Q34" s="1827">
        <v>16224</v>
      </c>
    </row>
    <row r="35" spans="1:17" s="512" customFormat="1" x14ac:dyDescent="0.3">
      <c r="A35" s="514" t="s">
        <v>76</v>
      </c>
      <c r="B35" s="510" t="s">
        <v>77</v>
      </c>
      <c r="C35" s="509" t="s">
        <v>255</v>
      </c>
      <c r="D35" s="511">
        <v>9162</v>
      </c>
      <c r="E35" s="1805">
        <v>4499</v>
      </c>
      <c r="F35" s="817">
        <v>1889</v>
      </c>
      <c r="G35" s="817">
        <v>2063</v>
      </c>
      <c r="H35" s="817">
        <v>710</v>
      </c>
      <c r="I35" s="1806">
        <v>1</v>
      </c>
      <c r="J35" s="1805">
        <v>5191</v>
      </c>
      <c r="K35" s="817">
        <v>3971</v>
      </c>
      <c r="L35" s="1806"/>
      <c r="M35" s="511">
        <v>6932</v>
      </c>
      <c r="N35" s="511">
        <v>1780</v>
      </c>
      <c r="O35" s="511">
        <v>224</v>
      </c>
      <c r="P35" s="511">
        <v>226</v>
      </c>
      <c r="Q35" s="1827">
        <v>567</v>
      </c>
    </row>
    <row r="36" spans="1:17" s="512" customFormat="1" x14ac:dyDescent="0.3">
      <c r="A36" s="514" t="s">
        <v>78</v>
      </c>
      <c r="B36" s="510" t="s">
        <v>79</v>
      </c>
      <c r="C36" s="509" t="s">
        <v>256</v>
      </c>
      <c r="D36" s="511">
        <v>3832</v>
      </c>
      <c r="E36" s="1805">
        <v>1591</v>
      </c>
      <c r="F36" s="817">
        <v>795</v>
      </c>
      <c r="G36" s="817">
        <v>1066</v>
      </c>
      <c r="H36" s="817">
        <v>380</v>
      </c>
      <c r="I36" s="1806">
        <v>0</v>
      </c>
      <c r="J36" s="1805">
        <v>2105</v>
      </c>
      <c r="K36" s="817">
        <v>1727</v>
      </c>
      <c r="L36" s="1806"/>
      <c r="M36" s="511">
        <v>3560</v>
      </c>
      <c r="N36" s="511">
        <v>150</v>
      </c>
      <c r="O36" s="511">
        <v>54</v>
      </c>
      <c r="P36" s="511">
        <v>68</v>
      </c>
      <c r="Q36" s="1827">
        <v>118</v>
      </c>
    </row>
    <row r="37" spans="1:17" s="512" customFormat="1" x14ac:dyDescent="0.3">
      <c r="A37" s="514" t="s">
        <v>80</v>
      </c>
      <c r="B37" s="510" t="s">
        <v>81</v>
      </c>
      <c r="C37" s="509" t="s">
        <v>254</v>
      </c>
      <c r="D37" s="511">
        <v>4192</v>
      </c>
      <c r="E37" s="1805">
        <v>1848</v>
      </c>
      <c r="F37" s="817">
        <v>874</v>
      </c>
      <c r="G37" s="817">
        <v>1041</v>
      </c>
      <c r="H37" s="817">
        <v>428</v>
      </c>
      <c r="I37" s="1806">
        <v>1</v>
      </c>
      <c r="J37" s="1805">
        <v>2424</v>
      </c>
      <c r="K37" s="817">
        <v>1768</v>
      </c>
      <c r="L37" s="1806"/>
      <c r="M37" s="511">
        <v>2889</v>
      </c>
      <c r="N37" s="511">
        <v>1146</v>
      </c>
      <c r="O37" s="511">
        <v>69</v>
      </c>
      <c r="P37" s="511">
        <v>88</v>
      </c>
      <c r="Q37" s="1827">
        <v>99</v>
      </c>
    </row>
    <row r="38" spans="1:17" s="512" customFormat="1" x14ac:dyDescent="0.3">
      <c r="A38" s="514" t="s">
        <v>84</v>
      </c>
      <c r="B38" s="510" t="s">
        <v>85</v>
      </c>
      <c r="C38" s="509" t="s">
        <v>253</v>
      </c>
      <c r="D38" s="511">
        <v>12915</v>
      </c>
      <c r="E38" s="1805">
        <v>5646</v>
      </c>
      <c r="F38" s="817">
        <v>2656</v>
      </c>
      <c r="G38" s="817">
        <v>3427</v>
      </c>
      <c r="H38" s="817">
        <v>1185</v>
      </c>
      <c r="I38" s="1806">
        <v>1</v>
      </c>
      <c r="J38" s="1805">
        <v>7351</v>
      </c>
      <c r="K38" s="817">
        <v>5564</v>
      </c>
      <c r="L38" s="1806"/>
      <c r="M38" s="511">
        <v>10879</v>
      </c>
      <c r="N38" s="511">
        <v>1610</v>
      </c>
      <c r="O38" s="511">
        <v>233</v>
      </c>
      <c r="P38" s="511">
        <v>193</v>
      </c>
      <c r="Q38" s="1827">
        <v>418</v>
      </c>
    </row>
    <row r="39" spans="1:17" s="512" customFormat="1" x14ac:dyDescent="0.3">
      <c r="A39" s="514" t="s">
        <v>86</v>
      </c>
      <c r="B39" s="510" t="s">
        <v>87</v>
      </c>
      <c r="C39" s="509" t="s">
        <v>255</v>
      </c>
      <c r="D39" s="511">
        <v>14339</v>
      </c>
      <c r="E39" s="1805">
        <v>7272</v>
      </c>
      <c r="F39" s="817">
        <v>3125</v>
      </c>
      <c r="G39" s="817">
        <v>2969</v>
      </c>
      <c r="H39" s="817">
        <v>973</v>
      </c>
      <c r="I39" s="1806">
        <v>0</v>
      </c>
      <c r="J39" s="1805">
        <v>8130</v>
      </c>
      <c r="K39" s="817">
        <v>6209</v>
      </c>
      <c r="L39" s="1806"/>
      <c r="M39" s="511">
        <v>12532</v>
      </c>
      <c r="N39" s="511">
        <v>1221</v>
      </c>
      <c r="O39" s="511">
        <v>334</v>
      </c>
      <c r="P39" s="511">
        <v>252</v>
      </c>
      <c r="Q39" s="1827">
        <v>1704</v>
      </c>
    </row>
    <row r="40" spans="1:17" s="512" customFormat="1" x14ac:dyDescent="0.3">
      <c r="A40" s="514" t="s">
        <v>92</v>
      </c>
      <c r="B40" s="510" t="s">
        <v>93</v>
      </c>
      <c r="C40" s="509" t="s">
        <v>256</v>
      </c>
      <c r="D40" s="511">
        <v>4416</v>
      </c>
      <c r="E40" s="1805">
        <v>1744</v>
      </c>
      <c r="F40" s="817">
        <v>906</v>
      </c>
      <c r="G40" s="817">
        <v>1249</v>
      </c>
      <c r="H40" s="817">
        <v>516</v>
      </c>
      <c r="I40" s="1806">
        <v>1</v>
      </c>
      <c r="J40" s="1805">
        <v>2487</v>
      </c>
      <c r="K40" s="817">
        <v>1929</v>
      </c>
      <c r="L40" s="1806"/>
      <c r="M40" s="511">
        <v>4215</v>
      </c>
      <c r="N40" s="511">
        <v>117</v>
      </c>
      <c r="O40" s="511">
        <v>31</v>
      </c>
      <c r="P40" s="511">
        <v>53</v>
      </c>
      <c r="Q40" s="1827">
        <v>41</v>
      </c>
    </row>
    <row r="41" spans="1:17" s="512" customFormat="1" x14ac:dyDescent="0.3">
      <c r="A41" s="514" t="s">
        <v>94</v>
      </c>
      <c r="B41" s="510" t="s">
        <v>95</v>
      </c>
      <c r="C41" s="509" t="s">
        <v>252</v>
      </c>
      <c r="D41" s="511">
        <v>7528</v>
      </c>
      <c r="E41" s="1805">
        <v>3075</v>
      </c>
      <c r="F41" s="817">
        <v>1725</v>
      </c>
      <c r="G41" s="817">
        <v>2118</v>
      </c>
      <c r="H41" s="817">
        <v>610</v>
      </c>
      <c r="I41" s="1806">
        <v>0</v>
      </c>
      <c r="J41" s="1805">
        <v>4297</v>
      </c>
      <c r="K41" s="817">
        <v>3231</v>
      </c>
      <c r="L41" s="1806"/>
      <c r="M41" s="511">
        <v>6089</v>
      </c>
      <c r="N41" s="511">
        <v>1183</v>
      </c>
      <c r="O41" s="511">
        <v>130</v>
      </c>
      <c r="P41" s="511">
        <v>126</v>
      </c>
      <c r="Q41" s="1827">
        <v>166</v>
      </c>
    </row>
    <row r="42" spans="1:17" s="512" customFormat="1" x14ac:dyDescent="0.3">
      <c r="A42" s="514" t="s">
        <v>96</v>
      </c>
      <c r="B42" s="510" t="s">
        <v>97</v>
      </c>
      <c r="C42" s="509" t="s">
        <v>254</v>
      </c>
      <c r="D42" s="511">
        <v>2818</v>
      </c>
      <c r="E42" s="1805">
        <v>1136</v>
      </c>
      <c r="F42" s="817">
        <v>589</v>
      </c>
      <c r="G42" s="817">
        <v>844</v>
      </c>
      <c r="H42" s="817">
        <v>248</v>
      </c>
      <c r="I42" s="1806">
        <v>1</v>
      </c>
      <c r="J42" s="1805">
        <v>1586</v>
      </c>
      <c r="K42" s="817">
        <v>1232</v>
      </c>
      <c r="L42" s="1806"/>
      <c r="M42" s="511">
        <v>1709</v>
      </c>
      <c r="N42" s="511">
        <v>949</v>
      </c>
      <c r="O42" s="511">
        <v>67</v>
      </c>
      <c r="P42" s="511">
        <v>93</v>
      </c>
      <c r="Q42" s="1827">
        <v>146</v>
      </c>
    </row>
    <row r="43" spans="1:17" s="512" customFormat="1" x14ac:dyDescent="0.3">
      <c r="A43" s="514" t="s">
        <v>98</v>
      </c>
      <c r="B43" s="510" t="s">
        <v>99</v>
      </c>
      <c r="C43" s="509" t="s">
        <v>256</v>
      </c>
      <c r="D43" s="511">
        <v>4628</v>
      </c>
      <c r="E43" s="1805">
        <v>1747</v>
      </c>
      <c r="F43" s="817">
        <v>899</v>
      </c>
      <c r="G43" s="817">
        <v>1305</v>
      </c>
      <c r="H43" s="817">
        <v>676</v>
      </c>
      <c r="I43" s="1806">
        <v>1</v>
      </c>
      <c r="J43" s="1805">
        <v>2652</v>
      </c>
      <c r="K43" s="817">
        <v>1976</v>
      </c>
      <c r="L43" s="1806"/>
      <c r="M43" s="511">
        <v>4373</v>
      </c>
      <c r="N43" s="511">
        <v>172</v>
      </c>
      <c r="O43" s="511">
        <v>39</v>
      </c>
      <c r="P43" s="511">
        <v>44</v>
      </c>
      <c r="Q43" s="1827">
        <v>117</v>
      </c>
    </row>
    <row r="44" spans="1:17" s="512" customFormat="1" x14ac:dyDescent="0.3">
      <c r="A44" s="514" t="s">
        <v>100</v>
      </c>
      <c r="B44" s="510" t="s">
        <v>101</v>
      </c>
      <c r="C44" s="509" t="s">
        <v>255</v>
      </c>
      <c r="D44" s="511">
        <v>4147</v>
      </c>
      <c r="E44" s="1805">
        <v>2018</v>
      </c>
      <c r="F44" s="817">
        <v>846</v>
      </c>
      <c r="G44" s="817">
        <v>996</v>
      </c>
      <c r="H44" s="817">
        <v>287</v>
      </c>
      <c r="I44" s="1806">
        <v>0</v>
      </c>
      <c r="J44" s="1805">
        <v>2337</v>
      </c>
      <c r="K44" s="817">
        <v>1810</v>
      </c>
      <c r="L44" s="1806"/>
      <c r="M44" s="511">
        <v>3365</v>
      </c>
      <c r="N44" s="511">
        <v>605</v>
      </c>
      <c r="O44" s="511">
        <v>104</v>
      </c>
      <c r="P44" s="511">
        <v>73</v>
      </c>
      <c r="Q44" s="1827">
        <v>114</v>
      </c>
    </row>
    <row r="45" spans="1:17" s="512" customFormat="1" x14ac:dyDescent="0.3">
      <c r="A45" s="514" t="s">
        <v>102</v>
      </c>
      <c r="B45" s="510" t="s">
        <v>270</v>
      </c>
      <c r="C45" s="509" t="s">
        <v>252</v>
      </c>
      <c r="D45" s="511">
        <v>6369</v>
      </c>
      <c r="E45" s="1805">
        <v>2702</v>
      </c>
      <c r="F45" s="817">
        <v>1450</v>
      </c>
      <c r="G45" s="817">
        <v>1543</v>
      </c>
      <c r="H45" s="817">
        <v>671</v>
      </c>
      <c r="I45" s="1806">
        <v>3</v>
      </c>
      <c r="J45" s="1805">
        <v>3752</v>
      </c>
      <c r="K45" s="817">
        <v>2617</v>
      </c>
      <c r="L45" s="1806"/>
      <c r="M45" s="511">
        <v>1147</v>
      </c>
      <c r="N45" s="511">
        <v>5079</v>
      </c>
      <c r="O45" s="511">
        <v>119</v>
      </c>
      <c r="P45" s="511">
        <v>24</v>
      </c>
      <c r="Q45" s="1827">
        <v>179</v>
      </c>
    </row>
    <row r="46" spans="1:17" s="512" customFormat="1" x14ac:dyDescent="0.3">
      <c r="A46" s="514" t="s">
        <v>104</v>
      </c>
      <c r="B46" s="510" t="s">
        <v>105</v>
      </c>
      <c r="C46" s="509" t="s">
        <v>253</v>
      </c>
      <c r="D46" s="511">
        <v>11443</v>
      </c>
      <c r="E46" s="1805">
        <v>4449</v>
      </c>
      <c r="F46" s="817">
        <v>2487</v>
      </c>
      <c r="G46" s="817">
        <v>3000</v>
      </c>
      <c r="H46" s="817">
        <v>1501</v>
      </c>
      <c r="I46" s="1806">
        <v>6</v>
      </c>
      <c r="J46" s="1805">
        <v>6636</v>
      </c>
      <c r="K46" s="817">
        <v>4807</v>
      </c>
      <c r="L46" s="1806"/>
      <c r="M46" s="511">
        <v>5121</v>
      </c>
      <c r="N46" s="511">
        <v>6097</v>
      </c>
      <c r="O46" s="511">
        <v>148</v>
      </c>
      <c r="P46" s="511">
        <v>77</v>
      </c>
      <c r="Q46" s="1827">
        <v>196</v>
      </c>
    </row>
    <row r="47" spans="1:17" s="512" customFormat="1" x14ac:dyDescent="0.3">
      <c r="A47" s="514" t="s">
        <v>108</v>
      </c>
      <c r="B47" s="510" t="s">
        <v>109</v>
      </c>
      <c r="C47" s="509" t="s">
        <v>254</v>
      </c>
      <c r="D47" s="511">
        <v>12215</v>
      </c>
      <c r="E47" s="1805">
        <v>5600</v>
      </c>
      <c r="F47" s="817">
        <v>2784</v>
      </c>
      <c r="G47" s="817">
        <v>2929</v>
      </c>
      <c r="H47" s="817">
        <v>902</v>
      </c>
      <c r="I47" s="1806">
        <v>0</v>
      </c>
      <c r="J47" s="1805">
        <v>7011</v>
      </c>
      <c r="K47" s="817">
        <v>5204</v>
      </c>
      <c r="L47" s="1806"/>
      <c r="M47" s="511">
        <v>8693</v>
      </c>
      <c r="N47" s="511">
        <v>2717</v>
      </c>
      <c r="O47" s="511">
        <v>428</v>
      </c>
      <c r="P47" s="511">
        <v>377</v>
      </c>
      <c r="Q47" s="1827">
        <v>484</v>
      </c>
    </row>
    <row r="48" spans="1:17" s="512" customFormat="1" x14ac:dyDescent="0.3">
      <c r="A48" s="514" t="s">
        <v>110</v>
      </c>
      <c r="B48" s="510" t="s">
        <v>111</v>
      </c>
      <c r="C48" s="509" t="s">
        <v>254</v>
      </c>
      <c r="D48" s="511">
        <v>66594</v>
      </c>
      <c r="E48" s="1805">
        <v>31687</v>
      </c>
      <c r="F48" s="817">
        <v>15515</v>
      </c>
      <c r="G48" s="817">
        <v>15087</v>
      </c>
      <c r="H48" s="817">
        <v>4298</v>
      </c>
      <c r="I48" s="1806">
        <v>7</v>
      </c>
      <c r="J48" s="1805">
        <v>38671</v>
      </c>
      <c r="K48" s="817">
        <v>27923</v>
      </c>
      <c r="L48" s="1806"/>
      <c r="M48" s="511">
        <v>24886</v>
      </c>
      <c r="N48" s="511">
        <v>35097</v>
      </c>
      <c r="O48" s="511">
        <v>5269</v>
      </c>
      <c r="P48" s="511">
        <v>1342</v>
      </c>
      <c r="Q48" s="1827">
        <v>2928</v>
      </c>
    </row>
    <row r="49" spans="1:17" s="512" customFormat="1" x14ac:dyDescent="0.3">
      <c r="A49" s="514" t="s">
        <v>112</v>
      </c>
      <c r="B49" s="510" t="s">
        <v>288</v>
      </c>
      <c r="C49" s="509" t="s">
        <v>253</v>
      </c>
      <c r="D49" s="511">
        <v>24488</v>
      </c>
      <c r="E49" s="1805">
        <v>9826</v>
      </c>
      <c r="F49" s="817">
        <v>5156</v>
      </c>
      <c r="G49" s="817">
        <v>6892</v>
      </c>
      <c r="H49" s="817">
        <v>2609</v>
      </c>
      <c r="I49" s="1806">
        <v>5</v>
      </c>
      <c r="J49" s="1805">
        <v>14186</v>
      </c>
      <c r="K49" s="817">
        <v>10302</v>
      </c>
      <c r="L49" s="1806"/>
      <c r="M49" s="511">
        <v>15206</v>
      </c>
      <c r="N49" s="511">
        <v>8868</v>
      </c>
      <c r="O49" s="511">
        <v>250</v>
      </c>
      <c r="P49" s="511">
        <v>164</v>
      </c>
      <c r="Q49" s="1827">
        <v>1640</v>
      </c>
    </row>
    <row r="50" spans="1:17" s="512" customFormat="1" x14ac:dyDescent="0.3">
      <c r="A50" s="514" t="s">
        <v>114</v>
      </c>
      <c r="B50" s="510" t="s">
        <v>115</v>
      </c>
      <c r="C50" s="509" t="s">
        <v>253</v>
      </c>
      <c r="D50" s="511">
        <v>403</v>
      </c>
      <c r="E50" s="1805">
        <v>140</v>
      </c>
      <c r="F50" s="817">
        <v>77</v>
      </c>
      <c r="G50" s="817">
        <v>144</v>
      </c>
      <c r="H50" s="817">
        <v>42</v>
      </c>
      <c r="I50" s="1806">
        <v>0</v>
      </c>
      <c r="J50" s="1805">
        <v>232</v>
      </c>
      <c r="K50" s="817">
        <v>171</v>
      </c>
      <c r="L50" s="1806"/>
      <c r="M50" s="511">
        <v>380</v>
      </c>
      <c r="N50" s="511">
        <v>7</v>
      </c>
      <c r="O50" s="511">
        <v>1</v>
      </c>
      <c r="P50" s="511">
        <v>15</v>
      </c>
      <c r="Q50" s="1827">
        <v>5</v>
      </c>
    </row>
    <row r="51" spans="1:17" s="512" customFormat="1" x14ac:dyDescent="0.3">
      <c r="A51" s="514" t="s">
        <v>118</v>
      </c>
      <c r="B51" s="510" t="s">
        <v>258</v>
      </c>
      <c r="C51" s="509" t="s">
        <v>252</v>
      </c>
      <c r="D51" s="511">
        <v>6803</v>
      </c>
      <c r="E51" s="1805">
        <v>2799</v>
      </c>
      <c r="F51" s="817">
        <v>1413</v>
      </c>
      <c r="G51" s="817">
        <v>1834</v>
      </c>
      <c r="H51" s="817">
        <v>757</v>
      </c>
      <c r="I51" s="1806">
        <v>0</v>
      </c>
      <c r="J51" s="1805">
        <v>3979</v>
      </c>
      <c r="K51" s="817">
        <v>2824</v>
      </c>
      <c r="L51" s="1806"/>
      <c r="M51" s="511">
        <v>3301</v>
      </c>
      <c r="N51" s="511">
        <v>3254</v>
      </c>
      <c r="O51" s="511">
        <v>147</v>
      </c>
      <c r="P51" s="511">
        <v>101</v>
      </c>
      <c r="Q51" s="1827">
        <v>129</v>
      </c>
    </row>
    <row r="52" spans="1:17" s="512" customFormat="1" x14ac:dyDescent="0.3">
      <c r="A52" s="514" t="s">
        <v>120</v>
      </c>
      <c r="B52" s="510" t="s">
        <v>121</v>
      </c>
      <c r="C52" s="509" t="s">
        <v>252</v>
      </c>
      <c r="D52" s="511">
        <v>9514</v>
      </c>
      <c r="E52" s="1805">
        <v>4653</v>
      </c>
      <c r="F52" s="817">
        <v>2110</v>
      </c>
      <c r="G52" s="817">
        <v>2205</v>
      </c>
      <c r="H52" s="817">
        <v>545</v>
      </c>
      <c r="I52" s="1806">
        <v>1</v>
      </c>
      <c r="J52" s="1805">
        <v>5578</v>
      </c>
      <c r="K52" s="817">
        <v>3936</v>
      </c>
      <c r="L52" s="1806"/>
      <c r="M52" s="511">
        <v>5299</v>
      </c>
      <c r="N52" s="511">
        <v>3575</v>
      </c>
      <c r="O52" s="511">
        <v>368</v>
      </c>
      <c r="P52" s="511">
        <v>272</v>
      </c>
      <c r="Q52" s="1827">
        <v>625</v>
      </c>
    </row>
    <row r="53" spans="1:17" s="512" customFormat="1" x14ac:dyDescent="0.3">
      <c r="A53" s="514" t="s">
        <v>122</v>
      </c>
      <c r="B53" s="510" t="s">
        <v>275</v>
      </c>
      <c r="C53" s="509" t="s">
        <v>254</v>
      </c>
      <c r="D53" s="511">
        <v>1935</v>
      </c>
      <c r="E53" s="1805">
        <v>746</v>
      </c>
      <c r="F53" s="817">
        <v>411</v>
      </c>
      <c r="G53" s="817">
        <v>548</v>
      </c>
      <c r="H53" s="817">
        <v>229</v>
      </c>
      <c r="I53" s="1806">
        <v>1</v>
      </c>
      <c r="J53" s="1805">
        <v>1158</v>
      </c>
      <c r="K53" s="817">
        <v>777</v>
      </c>
      <c r="L53" s="1806"/>
      <c r="M53" s="511">
        <v>1089</v>
      </c>
      <c r="N53" s="511">
        <v>762</v>
      </c>
      <c r="O53" s="511">
        <v>52</v>
      </c>
      <c r="P53" s="511">
        <v>32</v>
      </c>
      <c r="Q53" s="1827">
        <v>30</v>
      </c>
    </row>
    <row r="54" spans="1:17" s="512" customFormat="1" x14ac:dyDescent="0.3">
      <c r="A54" s="514" t="s">
        <v>124</v>
      </c>
      <c r="B54" s="510" t="s">
        <v>125</v>
      </c>
      <c r="C54" s="509" t="s">
        <v>255</v>
      </c>
      <c r="D54" s="511">
        <v>4415</v>
      </c>
      <c r="E54" s="1805">
        <v>2064</v>
      </c>
      <c r="F54" s="817">
        <v>1041</v>
      </c>
      <c r="G54" s="817">
        <v>1004</v>
      </c>
      <c r="H54" s="817">
        <v>306</v>
      </c>
      <c r="I54" s="1806">
        <v>0</v>
      </c>
      <c r="J54" s="1805">
        <v>2583</v>
      </c>
      <c r="K54" s="817">
        <v>1832</v>
      </c>
      <c r="L54" s="1806"/>
      <c r="M54" s="511">
        <v>2767</v>
      </c>
      <c r="N54" s="511">
        <v>1506</v>
      </c>
      <c r="O54" s="511">
        <v>93</v>
      </c>
      <c r="P54" s="511">
        <v>49</v>
      </c>
      <c r="Q54" s="1827">
        <v>121</v>
      </c>
    </row>
    <row r="55" spans="1:17" s="512" customFormat="1" x14ac:dyDescent="0.3">
      <c r="A55" s="514" t="s">
        <v>126</v>
      </c>
      <c r="B55" s="510" t="s">
        <v>127</v>
      </c>
      <c r="C55" s="509" t="s">
        <v>254</v>
      </c>
      <c r="D55" s="511">
        <v>3280</v>
      </c>
      <c r="E55" s="1805">
        <v>1462</v>
      </c>
      <c r="F55" s="817">
        <v>700</v>
      </c>
      <c r="G55" s="817">
        <v>829</v>
      </c>
      <c r="H55" s="817">
        <v>286</v>
      </c>
      <c r="I55" s="1806">
        <v>3</v>
      </c>
      <c r="J55" s="1805">
        <v>1928</v>
      </c>
      <c r="K55" s="817">
        <v>1352</v>
      </c>
      <c r="L55" s="1806"/>
      <c r="M55" s="511">
        <v>2027</v>
      </c>
      <c r="N55" s="511">
        <v>1033</v>
      </c>
      <c r="O55" s="511">
        <v>151</v>
      </c>
      <c r="P55" s="511">
        <v>69</v>
      </c>
      <c r="Q55" s="1827">
        <v>82</v>
      </c>
    </row>
    <row r="56" spans="1:17" s="512" customFormat="1" x14ac:dyDescent="0.3">
      <c r="A56" s="514" t="s">
        <v>128</v>
      </c>
      <c r="B56" s="510" t="s">
        <v>129</v>
      </c>
      <c r="C56" s="509" t="s">
        <v>254</v>
      </c>
      <c r="D56" s="511">
        <v>2792</v>
      </c>
      <c r="E56" s="1805">
        <v>1123</v>
      </c>
      <c r="F56" s="817">
        <v>587</v>
      </c>
      <c r="G56" s="817">
        <v>701</v>
      </c>
      <c r="H56" s="817">
        <v>381</v>
      </c>
      <c r="I56" s="1806">
        <v>0</v>
      </c>
      <c r="J56" s="1805">
        <v>1679</v>
      </c>
      <c r="K56" s="817">
        <v>1113</v>
      </c>
      <c r="L56" s="1806"/>
      <c r="M56" s="511">
        <v>1025</v>
      </c>
      <c r="N56" s="511">
        <v>1694</v>
      </c>
      <c r="O56" s="511">
        <v>43</v>
      </c>
      <c r="P56" s="511">
        <v>30</v>
      </c>
      <c r="Q56" s="1827">
        <v>17</v>
      </c>
    </row>
    <row r="57" spans="1:17" s="512" customFormat="1" x14ac:dyDescent="0.3">
      <c r="A57" s="514" t="s">
        <v>130</v>
      </c>
      <c r="B57" s="510" t="s">
        <v>131</v>
      </c>
      <c r="C57" s="509" t="s">
        <v>256</v>
      </c>
      <c r="D57" s="511">
        <v>9703</v>
      </c>
      <c r="E57" s="1805">
        <v>3274</v>
      </c>
      <c r="F57" s="817">
        <v>1928</v>
      </c>
      <c r="G57" s="817">
        <v>3259</v>
      </c>
      <c r="H57" s="817">
        <v>1242</v>
      </c>
      <c r="I57" s="1806">
        <v>0</v>
      </c>
      <c r="J57" s="1805">
        <v>5274</v>
      </c>
      <c r="K57" s="817">
        <v>4429</v>
      </c>
      <c r="L57" s="1806"/>
      <c r="M57" s="511">
        <v>9518</v>
      </c>
      <c r="N57" s="511">
        <v>74</v>
      </c>
      <c r="O57" s="511">
        <v>54</v>
      </c>
      <c r="P57" s="511">
        <v>57</v>
      </c>
      <c r="Q57" s="1827">
        <v>42</v>
      </c>
    </row>
    <row r="58" spans="1:17" s="512" customFormat="1" x14ac:dyDescent="0.3">
      <c r="A58" s="514" t="s">
        <v>132</v>
      </c>
      <c r="B58" s="510" t="s">
        <v>133</v>
      </c>
      <c r="C58" s="509" t="s">
        <v>255</v>
      </c>
      <c r="D58" s="511">
        <v>34350</v>
      </c>
      <c r="E58" s="1805">
        <v>18951</v>
      </c>
      <c r="F58" s="817">
        <v>6066</v>
      </c>
      <c r="G58" s="817">
        <v>6028</v>
      </c>
      <c r="H58" s="817">
        <v>3301</v>
      </c>
      <c r="I58" s="1806">
        <v>4</v>
      </c>
      <c r="J58" s="1805">
        <v>19038</v>
      </c>
      <c r="K58" s="817">
        <v>15312</v>
      </c>
      <c r="L58" s="1806"/>
      <c r="M58" s="511">
        <v>23016</v>
      </c>
      <c r="N58" s="511">
        <v>4247</v>
      </c>
      <c r="O58" s="511">
        <v>5801</v>
      </c>
      <c r="P58" s="511">
        <v>1286</v>
      </c>
      <c r="Q58" s="1827">
        <v>2728</v>
      </c>
    </row>
    <row r="59" spans="1:17" s="512" customFormat="1" x14ac:dyDescent="0.3">
      <c r="A59" s="514" t="s">
        <v>134</v>
      </c>
      <c r="B59" s="510" t="s">
        <v>135</v>
      </c>
      <c r="C59" s="509" t="s">
        <v>255</v>
      </c>
      <c r="D59" s="511">
        <v>8015</v>
      </c>
      <c r="E59" s="1805">
        <v>3453</v>
      </c>
      <c r="F59" s="817">
        <v>1731</v>
      </c>
      <c r="G59" s="817">
        <v>2079</v>
      </c>
      <c r="H59" s="817">
        <v>752</v>
      </c>
      <c r="I59" s="1806">
        <v>0</v>
      </c>
      <c r="J59" s="1805">
        <v>4570</v>
      </c>
      <c r="K59" s="817">
        <v>3445</v>
      </c>
      <c r="L59" s="1806"/>
      <c r="M59" s="511">
        <v>5718</v>
      </c>
      <c r="N59" s="511">
        <v>2024</v>
      </c>
      <c r="O59" s="511">
        <v>126</v>
      </c>
      <c r="P59" s="511">
        <v>147</v>
      </c>
      <c r="Q59" s="1827">
        <v>159</v>
      </c>
    </row>
    <row r="60" spans="1:17" s="512" customFormat="1" x14ac:dyDescent="0.3">
      <c r="A60" s="514" t="s">
        <v>136</v>
      </c>
      <c r="B60" s="510" t="s">
        <v>137</v>
      </c>
      <c r="C60" s="509" t="s">
        <v>254</v>
      </c>
      <c r="D60" s="511">
        <v>3920</v>
      </c>
      <c r="E60" s="1805">
        <v>1571</v>
      </c>
      <c r="F60" s="817">
        <v>766</v>
      </c>
      <c r="G60" s="817">
        <v>1008</v>
      </c>
      <c r="H60" s="817">
        <v>575</v>
      </c>
      <c r="I60" s="1806">
        <v>0</v>
      </c>
      <c r="J60" s="1805">
        <v>2271</v>
      </c>
      <c r="K60" s="817">
        <v>1649</v>
      </c>
      <c r="L60" s="1806"/>
      <c r="M60" s="511">
        <v>1895</v>
      </c>
      <c r="N60" s="511">
        <v>1844</v>
      </c>
      <c r="O60" s="511">
        <v>147</v>
      </c>
      <c r="P60" s="511">
        <v>34</v>
      </c>
      <c r="Q60" s="1827">
        <v>141</v>
      </c>
    </row>
    <row r="61" spans="1:17" s="512" customFormat="1" x14ac:dyDescent="0.3">
      <c r="A61" s="514" t="s">
        <v>140</v>
      </c>
      <c r="B61" s="510" t="s">
        <v>141</v>
      </c>
      <c r="C61" s="509" t="s">
        <v>255</v>
      </c>
      <c r="D61" s="511">
        <v>2899</v>
      </c>
      <c r="E61" s="1805">
        <v>1289</v>
      </c>
      <c r="F61" s="817">
        <v>586</v>
      </c>
      <c r="G61" s="817">
        <v>707</v>
      </c>
      <c r="H61" s="817">
        <v>317</v>
      </c>
      <c r="I61" s="1806">
        <v>0</v>
      </c>
      <c r="J61" s="1805">
        <v>1642</v>
      </c>
      <c r="K61" s="817">
        <v>1257</v>
      </c>
      <c r="L61" s="1806"/>
      <c r="M61" s="511">
        <v>2349</v>
      </c>
      <c r="N61" s="511">
        <v>471</v>
      </c>
      <c r="O61" s="511">
        <v>36</v>
      </c>
      <c r="P61" s="511">
        <v>43</v>
      </c>
      <c r="Q61" s="1827">
        <v>49</v>
      </c>
    </row>
    <row r="62" spans="1:17" s="512" customFormat="1" x14ac:dyDescent="0.3">
      <c r="A62" s="514" t="s">
        <v>146</v>
      </c>
      <c r="B62" s="510" t="s">
        <v>147</v>
      </c>
      <c r="C62" s="509" t="s">
        <v>252</v>
      </c>
      <c r="D62" s="511">
        <v>1760</v>
      </c>
      <c r="E62" s="1805">
        <v>670</v>
      </c>
      <c r="F62" s="817">
        <v>374</v>
      </c>
      <c r="G62" s="817">
        <v>506</v>
      </c>
      <c r="H62" s="817">
        <v>210</v>
      </c>
      <c r="I62" s="1806">
        <v>0</v>
      </c>
      <c r="J62" s="1805">
        <v>1011</v>
      </c>
      <c r="K62" s="817">
        <v>749</v>
      </c>
      <c r="L62" s="1806"/>
      <c r="M62" s="511">
        <v>1341</v>
      </c>
      <c r="N62" s="511">
        <v>329</v>
      </c>
      <c r="O62" s="511">
        <v>42</v>
      </c>
      <c r="P62" s="511">
        <v>48</v>
      </c>
      <c r="Q62" s="1827">
        <v>30</v>
      </c>
    </row>
    <row r="63" spans="1:17" s="512" customFormat="1" x14ac:dyDescent="0.3">
      <c r="A63" s="514" t="s">
        <v>148</v>
      </c>
      <c r="B63" s="510" t="s">
        <v>149</v>
      </c>
      <c r="C63" s="509" t="s">
        <v>253</v>
      </c>
      <c r="D63" s="511">
        <v>8910</v>
      </c>
      <c r="E63" s="1805">
        <v>3687</v>
      </c>
      <c r="F63" s="817">
        <v>1756</v>
      </c>
      <c r="G63" s="817">
        <v>2297</v>
      </c>
      <c r="H63" s="817">
        <v>1170</v>
      </c>
      <c r="I63" s="1806">
        <v>0</v>
      </c>
      <c r="J63" s="1805">
        <v>5171</v>
      </c>
      <c r="K63" s="817">
        <v>3739</v>
      </c>
      <c r="L63" s="1806"/>
      <c r="M63" s="511">
        <v>3788</v>
      </c>
      <c r="N63" s="511">
        <v>4928</v>
      </c>
      <c r="O63" s="511">
        <v>98</v>
      </c>
      <c r="P63" s="511">
        <v>96</v>
      </c>
      <c r="Q63" s="1827">
        <v>166</v>
      </c>
    </row>
    <row r="64" spans="1:17" s="512" customFormat="1" x14ac:dyDescent="0.3">
      <c r="A64" s="514" t="s">
        <v>150</v>
      </c>
      <c r="B64" s="510" t="s">
        <v>151</v>
      </c>
      <c r="C64" s="509" t="s">
        <v>254</v>
      </c>
      <c r="D64" s="511">
        <v>2838</v>
      </c>
      <c r="E64" s="1805">
        <v>1096</v>
      </c>
      <c r="F64" s="817">
        <v>598</v>
      </c>
      <c r="G64" s="817">
        <v>812</v>
      </c>
      <c r="H64" s="817">
        <v>332</v>
      </c>
      <c r="I64" s="1806">
        <v>0</v>
      </c>
      <c r="J64" s="1805">
        <v>1610</v>
      </c>
      <c r="K64" s="817">
        <v>1228</v>
      </c>
      <c r="L64" s="1806"/>
      <c r="M64" s="511">
        <v>2000</v>
      </c>
      <c r="N64" s="511">
        <v>766</v>
      </c>
      <c r="O64" s="511">
        <v>36</v>
      </c>
      <c r="P64" s="511">
        <v>36</v>
      </c>
      <c r="Q64" s="1827">
        <v>49</v>
      </c>
    </row>
    <row r="65" spans="1:17" s="512" customFormat="1" x14ac:dyDescent="0.3">
      <c r="A65" s="514" t="s">
        <v>152</v>
      </c>
      <c r="B65" s="510" t="s">
        <v>153</v>
      </c>
      <c r="C65" s="509" t="s">
        <v>256</v>
      </c>
      <c r="D65" s="511">
        <v>13231</v>
      </c>
      <c r="E65" s="1805">
        <v>5717</v>
      </c>
      <c r="F65" s="817">
        <v>3221</v>
      </c>
      <c r="G65" s="817">
        <v>3281</v>
      </c>
      <c r="H65" s="817">
        <v>1006</v>
      </c>
      <c r="I65" s="1806">
        <v>6</v>
      </c>
      <c r="J65" s="1805">
        <v>7590</v>
      </c>
      <c r="K65" s="817">
        <v>5641</v>
      </c>
      <c r="L65" s="1806"/>
      <c r="M65" s="511">
        <v>11349</v>
      </c>
      <c r="N65" s="511">
        <v>1210</v>
      </c>
      <c r="O65" s="511">
        <v>346</v>
      </c>
      <c r="P65" s="511">
        <v>326</v>
      </c>
      <c r="Q65" s="1827">
        <v>426</v>
      </c>
    </row>
    <row r="66" spans="1:17" s="512" customFormat="1" x14ac:dyDescent="0.3">
      <c r="A66" s="514" t="s">
        <v>154</v>
      </c>
      <c r="B66" s="510" t="s">
        <v>155</v>
      </c>
      <c r="C66" s="509" t="s">
        <v>253</v>
      </c>
      <c r="D66" s="511">
        <v>3620</v>
      </c>
      <c r="E66" s="1805">
        <v>1454</v>
      </c>
      <c r="F66" s="817">
        <v>747</v>
      </c>
      <c r="G66" s="817">
        <v>940</v>
      </c>
      <c r="H66" s="817">
        <v>478</v>
      </c>
      <c r="I66" s="1806">
        <v>1</v>
      </c>
      <c r="J66" s="1805">
        <v>2058</v>
      </c>
      <c r="K66" s="817">
        <v>1562</v>
      </c>
      <c r="L66" s="1806"/>
      <c r="M66" s="511">
        <v>2726</v>
      </c>
      <c r="N66" s="511">
        <v>732</v>
      </c>
      <c r="O66" s="511">
        <v>113</v>
      </c>
      <c r="P66" s="511">
        <v>49</v>
      </c>
      <c r="Q66" s="1827">
        <v>133</v>
      </c>
    </row>
    <row r="67" spans="1:17" s="512" customFormat="1" x14ac:dyDescent="0.3">
      <c r="A67" s="514" t="s">
        <v>156</v>
      </c>
      <c r="B67" s="510" t="s">
        <v>157</v>
      </c>
      <c r="C67" s="509" t="s">
        <v>254</v>
      </c>
      <c r="D67" s="511">
        <v>2646</v>
      </c>
      <c r="E67" s="1805">
        <v>1206</v>
      </c>
      <c r="F67" s="817">
        <v>604</v>
      </c>
      <c r="G67" s="817">
        <v>652</v>
      </c>
      <c r="H67" s="817">
        <v>184</v>
      </c>
      <c r="I67" s="1806">
        <v>0</v>
      </c>
      <c r="J67" s="1805">
        <v>1542</v>
      </c>
      <c r="K67" s="817">
        <v>1104</v>
      </c>
      <c r="L67" s="1806"/>
      <c r="M67" s="511">
        <v>1935</v>
      </c>
      <c r="N67" s="511">
        <v>548</v>
      </c>
      <c r="O67" s="511">
        <v>97</v>
      </c>
      <c r="P67" s="511">
        <v>66</v>
      </c>
      <c r="Q67" s="1827">
        <v>89</v>
      </c>
    </row>
    <row r="68" spans="1:17" s="512" customFormat="1" x14ac:dyDescent="0.3">
      <c r="A68" s="514" t="s">
        <v>162</v>
      </c>
      <c r="B68" s="510" t="s">
        <v>163</v>
      </c>
      <c r="C68" s="509" t="s">
        <v>252</v>
      </c>
      <c r="D68" s="511">
        <v>4459</v>
      </c>
      <c r="E68" s="1805">
        <v>1771</v>
      </c>
      <c r="F68" s="817">
        <v>812</v>
      </c>
      <c r="G68" s="817">
        <v>1179</v>
      </c>
      <c r="H68" s="817">
        <v>697</v>
      </c>
      <c r="I68" s="1806">
        <v>0</v>
      </c>
      <c r="J68" s="1805">
        <v>2515</v>
      </c>
      <c r="K68" s="817">
        <v>1944</v>
      </c>
      <c r="L68" s="1806"/>
      <c r="M68" s="511">
        <v>1859</v>
      </c>
      <c r="N68" s="511">
        <v>2510</v>
      </c>
      <c r="O68" s="511">
        <v>33</v>
      </c>
      <c r="P68" s="511">
        <v>57</v>
      </c>
      <c r="Q68" s="1827">
        <v>269</v>
      </c>
    </row>
    <row r="69" spans="1:17" s="512" customFormat="1" x14ac:dyDescent="0.3">
      <c r="A69" s="514" t="s">
        <v>164</v>
      </c>
      <c r="B69" s="510" t="s">
        <v>165</v>
      </c>
      <c r="C69" s="509" t="s">
        <v>254</v>
      </c>
      <c r="D69" s="511">
        <v>2904</v>
      </c>
      <c r="E69" s="1805">
        <v>1147</v>
      </c>
      <c r="F69" s="817">
        <v>583</v>
      </c>
      <c r="G69" s="817">
        <v>817</v>
      </c>
      <c r="H69" s="817">
        <v>357</v>
      </c>
      <c r="I69" s="1806">
        <v>0</v>
      </c>
      <c r="J69" s="1805">
        <v>1664</v>
      </c>
      <c r="K69" s="817">
        <v>1240</v>
      </c>
      <c r="L69" s="1806"/>
      <c r="M69" s="511">
        <v>1298</v>
      </c>
      <c r="N69" s="511">
        <v>1507</v>
      </c>
      <c r="O69" s="511">
        <v>51</v>
      </c>
      <c r="P69" s="511">
        <v>48</v>
      </c>
      <c r="Q69" s="1827">
        <v>54</v>
      </c>
    </row>
    <row r="70" spans="1:17" s="512" customFormat="1" x14ac:dyDescent="0.3">
      <c r="A70" s="514" t="s">
        <v>168</v>
      </c>
      <c r="B70" s="510" t="s">
        <v>169</v>
      </c>
      <c r="C70" s="509" t="s">
        <v>254</v>
      </c>
      <c r="D70" s="511">
        <v>5120</v>
      </c>
      <c r="E70" s="1805">
        <v>2094</v>
      </c>
      <c r="F70" s="817">
        <v>1044</v>
      </c>
      <c r="G70" s="817">
        <v>1309</v>
      </c>
      <c r="H70" s="817">
        <v>673</v>
      </c>
      <c r="I70" s="1806">
        <v>0</v>
      </c>
      <c r="J70" s="1805">
        <v>2952</v>
      </c>
      <c r="K70" s="817">
        <v>2168</v>
      </c>
      <c r="L70" s="1806"/>
      <c r="M70" s="511">
        <v>2417</v>
      </c>
      <c r="N70" s="511">
        <v>2597</v>
      </c>
      <c r="O70" s="511">
        <v>68</v>
      </c>
      <c r="P70" s="511">
        <v>38</v>
      </c>
      <c r="Q70" s="1827">
        <v>194</v>
      </c>
    </row>
    <row r="71" spans="1:17" s="512" customFormat="1" x14ac:dyDescent="0.3">
      <c r="A71" s="514" t="s">
        <v>170</v>
      </c>
      <c r="B71" s="510" t="s">
        <v>171</v>
      </c>
      <c r="C71" s="509" t="s">
        <v>255</v>
      </c>
      <c r="D71" s="511">
        <v>7632</v>
      </c>
      <c r="E71" s="1805">
        <v>3338</v>
      </c>
      <c r="F71" s="817">
        <v>1626</v>
      </c>
      <c r="G71" s="817">
        <v>1875</v>
      </c>
      <c r="H71" s="817">
        <v>792</v>
      </c>
      <c r="I71" s="1806">
        <v>1</v>
      </c>
      <c r="J71" s="1805">
        <v>4450</v>
      </c>
      <c r="K71" s="817">
        <v>3182</v>
      </c>
      <c r="L71" s="1806"/>
      <c r="M71" s="511">
        <v>5571</v>
      </c>
      <c r="N71" s="511">
        <v>1766</v>
      </c>
      <c r="O71" s="511">
        <v>157</v>
      </c>
      <c r="P71" s="511">
        <v>138</v>
      </c>
      <c r="Q71" s="1827">
        <v>279</v>
      </c>
    </row>
    <row r="72" spans="1:17" s="512" customFormat="1" x14ac:dyDescent="0.3">
      <c r="A72" s="514" t="s">
        <v>172</v>
      </c>
      <c r="B72" s="510" t="s">
        <v>173</v>
      </c>
      <c r="C72" s="509" t="s">
        <v>255</v>
      </c>
      <c r="D72" s="511">
        <v>6515</v>
      </c>
      <c r="E72" s="1805">
        <v>2629</v>
      </c>
      <c r="F72" s="817">
        <v>1351</v>
      </c>
      <c r="G72" s="817">
        <v>1803</v>
      </c>
      <c r="H72" s="817">
        <v>732</v>
      </c>
      <c r="I72" s="1806">
        <v>0</v>
      </c>
      <c r="J72" s="1805">
        <v>3657</v>
      </c>
      <c r="K72" s="817">
        <v>2858</v>
      </c>
      <c r="L72" s="1806"/>
      <c r="M72" s="511">
        <v>6164</v>
      </c>
      <c r="N72" s="511">
        <v>221</v>
      </c>
      <c r="O72" s="511">
        <v>54</v>
      </c>
      <c r="P72" s="511">
        <v>76</v>
      </c>
      <c r="Q72" s="1827">
        <v>71</v>
      </c>
    </row>
    <row r="73" spans="1:17" s="512" customFormat="1" x14ac:dyDescent="0.3">
      <c r="A73" s="514" t="s">
        <v>174</v>
      </c>
      <c r="B73" s="510" t="s">
        <v>175</v>
      </c>
      <c r="C73" s="509" t="s">
        <v>256</v>
      </c>
      <c r="D73" s="511">
        <v>5264</v>
      </c>
      <c r="E73" s="1805">
        <v>1960</v>
      </c>
      <c r="F73" s="817">
        <v>1030</v>
      </c>
      <c r="G73" s="817">
        <v>1535</v>
      </c>
      <c r="H73" s="817">
        <v>739</v>
      </c>
      <c r="I73" s="1806">
        <v>0</v>
      </c>
      <c r="J73" s="1805">
        <v>2967</v>
      </c>
      <c r="K73" s="817">
        <v>2297</v>
      </c>
      <c r="L73" s="1806"/>
      <c r="M73" s="511">
        <v>4789</v>
      </c>
      <c r="N73" s="511">
        <v>380</v>
      </c>
      <c r="O73" s="511">
        <v>48</v>
      </c>
      <c r="P73" s="511">
        <v>47</v>
      </c>
      <c r="Q73" s="1827">
        <v>115</v>
      </c>
    </row>
    <row r="74" spans="1:17" s="512" customFormat="1" x14ac:dyDescent="0.3">
      <c r="A74" s="514" t="s">
        <v>178</v>
      </c>
      <c r="B74" s="510" t="s">
        <v>179</v>
      </c>
      <c r="C74" s="509" t="s">
        <v>253</v>
      </c>
      <c r="D74" s="511">
        <v>17717</v>
      </c>
      <c r="E74" s="1805">
        <v>6860</v>
      </c>
      <c r="F74" s="817">
        <v>3673</v>
      </c>
      <c r="G74" s="817">
        <v>4996</v>
      </c>
      <c r="H74" s="817">
        <v>2185</v>
      </c>
      <c r="I74" s="1806">
        <v>3</v>
      </c>
      <c r="J74" s="1805">
        <v>10296</v>
      </c>
      <c r="K74" s="817">
        <v>7421</v>
      </c>
      <c r="L74" s="1806"/>
      <c r="M74" s="511">
        <v>11565</v>
      </c>
      <c r="N74" s="511">
        <v>5651</v>
      </c>
      <c r="O74" s="511">
        <v>282</v>
      </c>
      <c r="P74" s="511">
        <v>219</v>
      </c>
      <c r="Q74" s="1827">
        <v>499</v>
      </c>
    </row>
    <row r="75" spans="1:17" s="512" customFormat="1" x14ac:dyDescent="0.3">
      <c r="A75" s="514" t="s">
        <v>182</v>
      </c>
      <c r="B75" s="510" t="s">
        <v>183</v>
      </c>
      <c r="C75" s="509" t="s">
        <v>254</v>
      </c>
      <c r="D75" s="511">
        <v>3285</v>
      </c>
      <c r="E75" s="1805">
        <v>1382</v>
      </c>
      <c r="F75" s="817">
        <v>719</v>
      </c>
      <c r="G75" s="817">
        <v>949</v>
      </c>
      <c r="H75" s="817">
        <v>235</v>
      </c>
      <c r="I75" s="1806">
        <v>0</v>
      </c>
      <c r="J75" s="1805">
        <v>1806</v>
      </c>
      <c r="K75" s="817">
        <v>1479</v>
      </c>
      <c r="L75" s="1806"/>
      <c r="M75" s="511">
        <v>2547</v>
      </c>
      <c r="N75" s="511">
        <v>566</v>
      </c>
      <c r="O75" s="511">
        <v>61</v>
      </c>
      <c r="P75" s="511">
        <v>111</v>
      </c>
      <c r="Q75" s="1827">
        <v>76</v>
      </c>
    </row>
    <row r="76" spans="1:17" s="512" customFormat="1" x14ac:dyDescent="0.3">
      <c r="A76" s="514" t="s">
        <v>184</v>
      </c>
      <c r="B76" s="510" t="s">
        <v>185</v>
      </c>
      <c r="C76" s="509" t="s">
        <v>254</v>
      </c>
      <c r="D76" s="511">
        <v>5790</v>
      </c>
      <c r="E76" s="1805">
        <v>2395</v>
      </c>
      <c r="F76" s="817">
        <v>1274</v>
      </c>
      <c r="G76" s="817">
        <v>1531</v>
      </c>
      <c r="H76" s="817">
        <v>590</v>
      </c>
      <c r="I76" s="1806">
        <v>0</v>
      </c>
      <c r="J76" s="1805">
        <v>3341</v>
      </c>
      <c r="K76" s="817">
        <v>2449</v>
      </c>
      <c r="L76" s="1806"/>
      <c r="M76" s="511">
        <v>2254</v>
      </c>
      <c r="N76" s="511">
        <v>3374</v>
      </c>
      <c r="O76" s="511">
        <v>91</v>
      </c>
      <c r="P76" s="511">
        <v>71</v>
      </c>
      <c r="Q76" s="1827">
        <v>100</v>
      </c>
    </row>
    <row r="77" spans="1:17" s="512" customFormat="1" x14ac:dyDescent="0.3">
      <c r="A77" s="514" t="s">
        <v>186</v>
      </c>
      <c r="B77" s="510" t="s">
        <v>187</v>
      </c>
      <c r="C77" s="509" t="s">
        <v>252</v>
      </c>
      <c r="D77" s="511">
        <v>6689</v>
      </c>
      <c r="E77" s="1805">
        <v>3141</v>
      </c>
      <c r="F77" s="817">
        <v>1711</v>
      </c>
      <c r="G77" s="817">
        <v>1502</v>
      </c>
      <c r="H77" s="817">
        <v>335</v>
      </c>
      <c r="I77" s="1806">
        <v>0</v>
      </c>
      <c r="J77" s="1805">
        <v>3893</v>
      </c>
      <c r="K77" s="817">
        <v>2796</v>
      </c>
      <c r="L77" s="1806"/>
      <c r="M77" s="511">
        <v>3344</v>
      </c>
      <c r="N77" s="511">
        <v>3055</v>
      </c>
      <c r="O77" s="511">
        <v>186</v>
      </c>
      <c r="P77" s="511">
        <v>104</v>
      </c>
      <c r="Q77" s="1827">
        <v>320</v>
      </c>
    </row>
    <row r="78" spans="1:17" s="512" customFormat="1" x14ac:dyDescent="0.3">
      <c r="A78" s="514" t="s">
        <v>188</v>
      </c>
      <c r="B78" s="510" t="s">
        <v>189</v>
      </c>
      <c r="C78" s="509" t="s">
        <v>255</v>
      </c>
      <c r="D78" s="511">
        <v>78374</v>
      </c>
      <c r="E78" s="1805">
        <v>44653</v>
      </c>
      <c r="F78" s="817">
        <v>15785</v>
      </c>
      <c r="G78" s="817">
        <v>13497</v>
      </c>
      <c r="H78" s="817">
        <v>4425</v>
      </c>
      <c r="I78" s="1806">
        <v>14</v>
      </c>
      <c r="J78" s="1805">
        <v>43827</v>
      </c>
      <c r="K78" s="817">
        <v>34547</v>
      </c>
      <c r="L78" s="1806"/>
      <c r="M78" s="511">
        <v>45345</v>
      </c>
      <c r="N78" s="511">
        <v>21592</v>
      </c>
      <c r="O78" s="511">
        <v>9876</v>
      </c>
      <c r="P78" s="511">
        <v>1561</v>
      </c>
      <c r="Q78" s="1827">
        <v>9261</v>
      </c>
    </row>
    <row r="79" spans="1:17" s="512" customFormat="1" x14ac:dyDescent="0.3">
      <c r="A79" s="514" t="s">
        <v>190</v>
      </c>
      <c r="B79" s="510" t="s">
        <v>191</v>
      </c>
      <c r="C79" s="509" t="s">
        <v>256</v>
      </c>
      <c r="D79" s="511">
        <v>9172</v>
      </c>
      <c r="E79" s="1805">
        <v>3414</v>
      </c>
      <c r="F79" s="817">
        <v>1986</v>
      </c>
      <c r="G79" s="817">
        <v>2749</v>
      </c>
      <c r="H79" s="817">
        <v>1023</v>
      </c>
      <c r="I79" s="1806">
        <v>0</v>
      </c>
      <c r="J79" s="1805">
        <v>5184</v>
      </c>
      <c r="K79" s="817">
        <v>3988</v>
      </c>
      <c r="L79" s="1806"/>
      <c r="M79" s="511">
        <v>8152</v>
      </c>
      <c r="N79" s="511">
        <v>828</v>
      </c>
      <c r="O79" s="511">
        <v>105</v>
      </c>
      <c r="P79" s="511">
        <v>87</v>
      </c>
      <c r="Q79" s="1827">
        <v>119</v>
      </c>
    </row>
    <row r="80" spans="1:17" s="512" customFormat="1" x14ac:dyDescent="0.3">
      <c r="A80" s="514" t="s">
        <v>194</v>
      </c>
      <c r="B80" s="510" t="s">
        <v>195</v>
      </c>
      <c r="C80" s="509" t="s">
        <v>255</v>
      </c>
      <c r="D80" s="511">
        <v>1180</v>
      </c>
      <c r="E80" s="1805">
        <v>494</v>
      </c>
      <c r="F80" s="817">
        <v>267</v>
      </c>
      <c r="G80" s="817">
        <v>296</v>
      </c>
      <c r="H80" s="817">
        <v>123</v>
      </c>
      <c r="I80" s="1806">
        <v>0</v>
      </c>
      <c r="J80" s="1805">
        <v>643</v>
      </c>
      <c r="K80" s="817">
        <v>537</v>
      </c>
      <c r="L80" s="1806"/>
      <c r="M80" s="511">
        <v>1002</v>
      </c>
      <c r="N80" s="511">
        <v>116</v>
      </c>
      <c r="O80" s="511">
        <v>18</v>
      </c>
      <c r="P80" s="511">
        <v>44</v>
      </c>
      <c r="Q80" s="1827">
        <v>47</v>
      </c>
    </row>
    <row r="81" spans="1:17" s="512" customFormat="1" x14ac:dyDescent="0.3">
      <c r="A81" s="514" t="s">
        <v>198</v>
      </c>
      <c r="B81" s="510" t="s">
        <v>260</v>
      </c>
      <c r="C81" s="509" t="s">
        <v>254</v>
      </c>
      <c r="D81" s="511">
        <v>2377</v>
      </c>
      <c r="E81" s="1805">
        <v>1017</v>
      </c>
      <c r="F81" s="817">
        <v>557</v>
      </c>
      <c r="G81" s="817">
        <v>582</v>
      </c>
      <c r="H81" s="817">
        <v>221</v>
      </c>
      <c r="I81" s="1806">
        <v>0</v>
      </c>
      <c r="J81" s="1805">
        <v>1390</v>
      </c>
      <c r="K81" s="817">
        <v>987</v>
      </c>
      <c r="L81" s="1806"/>
      <c r="M81" s="511">
        <v>1324</v>
      </c>
      <c r="N81" s="511">
        <v>1005</v>
      </c>
      <c r="O81" s="511">
        <v>25</v>
      </c>
      <c r="P81" s="511">
        <v>23</v>
      </c>
      <c r="Q81" s="1827">
        <v>132</v>
      </c>
    </row>
    <row r="82" spans="1:17" s="512" customFormat="1" x14ac:dyDescent="0.3">
      <c r="A82" s="514" t="s">
        <v>202</v>
      </c>
      <c r="B82" s="510" t="s">
        <v>289</v>
      </c>
      <c r="C82" s="509" t="s">
        <v>253</v>
      </c>
      <c r="D82" s="511">
        <v>18490</v>
      </c>
      <c r="E82" s="1805">
        <v>8413</v>
      </c>
      <c r="F82" s="817">
        <v>3955</v>
      </c>
      <c r="G82" s="817">
        <v>4457</v>
      </c>
      <c r="H82" s="817">
        <v>1664</v>
      </c>
      <c r="I82" s="1806">
        <v>1</v>
      </c>
      <c r="J82" s="1805">
        <v>10505</v>
      </c>
      <c r="K82" s="817">
        <v>7985</v>
      </c>
      <c r="L82" s="1806"/>
      <c r="M82" s="511">
        <v>14520</v>
      </c>
      <c r="N82" s="511">
        <v>2824</v>
      </c>
      <c r="O82" s="511">
        <v>751</v>
      </c>
      <c r="P82" s="511">
        <v>395</v>
      </c>
      <c r="Q82" s="1827">
        <v>562</v>
      </c>
    </row>
    <row r="83" spans="1:17" s="512" customFormat="1" x14ac:dyDescent="0.3">
      <c r="A83" s="514" t="s">
        <v>204</v>
      </c>
      <c r="B83" s="510" t="s">
        <v>281</v>
      </c>
      <c r="C83" s="509" t="s">
        <v>253</v>
      </c>
      <c r="D83" s="511">
        <v>8250</v>
      </c>
      <c r="E83" s="1805">
        <v>3368</v>
      </c>
      <c r="F83" s="817">
        <v>1746</v>
      </c>
      <c r="G83" s="817">
        <v>2181</v>
      </c>
      <c r="H83" s="817">
        <v>953</v>
      </c>
      <c r="I83" s="1806">
        <v>2</v>
      </c>
      <c r="J83" s="1805">
        <v>4790</v>
      </c>
      <c r="K83" s="817">
        <v>3460</v>
      </c>
      <c r="L83" s="1806"/>
      <c r="M83" s="511">
        <v>7286</v>
      </c>
      <c r="N83" s="511">
        <v>673</v>
      </c>
      <c r="O83" s="511">
        <v>152</v>
      </c>
      <c r="P83" s="511">
        <v>139</v>
      </c>
      <c r="Q83" s="1827">
        <v>161</v>
      </c>
    </row>
    <row r="84" spans="1:17" s="512" customFormat="1" x14ac:dyDescent="0.3">
      <c r="A84" s="514" t="s">
        <v>206</v>
      </c>
      <c r="B84" s="510" t="s">
        <v>282</v>
      </c>
      <c r="C84" s="509" t="s">
        <v>255</v>
      </c>
      <c r="D84" s="511">
        <v>25583</v>
      </c>
      <c r="E84" s="1805">
        <v>12888</v>
      </c>
      <c r="F84" s="817">
        <v>5372</v>
      </c>
      <c r="G84" s="817">
        <v>5514</v>
      </c>
      <c r="H84" s="817">
        <v>1804</v>
      </c>
      <c r="I84" s="1806">
        <v>5</v>
      </c>
      <c r="J84" s="1805">
        <v>14436</v>
      </c>
      <c r="K84" s="817">
        <v>11147</v>
      </c>
      <c r="L84" s="1806"/>
      <c r="M84" s="511">
        <v>22112</v>
      </c>
      <c r="N84" s="511">
        <v>2380</v>
      </c>
      <c r="O84" s="511">
        <v>655</v>
      </c>
      <c r="P84" s="511">
        <v>436</v>
      </c>
      <c r="Q84" s="1827">
        <v>2942</v>
      </c>
    </row>
    <row r="85" spans="1:17" s="512" customFormat="1" x14ac:dyDescent="0.3">
      <c r="A85" s="514" t="s">
        <v>208</v>
      </c>
      <c r="B85" s="510" t="s">
        <v>209</v>
      </c>
      <c r="C85" s="509" t="s">
        <v>256</v>
      </c>
      <c r="D85" s="511">
        <v>9190</v>
      </c>
      <c r="E85" s="1805">
        <v>3381</v>
      </c>
      <c r="F85" s="817">
        <v>1880</v>
      </c>
      <c r="G85" s="817">
        <v>2992</v>
      </c>
      <c r="H85" s="817">
        <v>932</v>
      </c>
      <c r="I85" s="1806">
        <v>5</v>
      </c>
      <c r="J85" s="1805">
        <v>5281</v>
      </c>
      <c r="K85" s="817">
        <v>3909</v>
      </c>
      <c r="L85" s="1806"/>
      <c r="M85" s="511">
        <v>9003</v>
      </c>
      <c r="N85" s="511">
        <v>89</v>
      </c>
      <c r="O85" s="511">
        <v>37</v>
      </c>
      <c r="P85" s="511">
        <v>61</v>
      </c>
      <c r="Q85" s="1827">
        <v>47</v>
      </c>
    </row>
    <row r="86" spans="1:17" s="512" customFormat="1" x14ac:dyDescent="0.3">
      <c r="A86" s="514" t="s">
        <v>210</v>
      </c>
      <c r="B86" s="510" t="s">
        <v>211</v>
      </c>
      <c r="C86" s="509" t="s">
        <v>256</v>
      </c>
      <c r="D86" s="511">
        <v>6821</v>
      </c>
      <c r="E86" s="1805">
        <v>2373</v>
      </c>
      <c r="F86" s="817">
        <v>1319</v>
      </c>
      <c r="G86" s="817">
        <v>2208</v>
      </c>
      <c r="H86" s="817">
        <v>921</v>
      </c>
      <c r="I86" s="1806">
        <v>0</v>
      </c>
      <c r="J86" s="1805">
        <v>3731</v>
      </c>
      <c r="K86" s="817">
        <v>3090</v>
      </c>
      <c r="L86" s="1806"/>
      <c r="M86" s="511">
        <v>6644</v>
      </c>
      <c r="N86" s="511">
        <v>74</v>
      </c>
      <c r="O86" s="511">
        <v>50</v>
      </c>
      <c r="P86" s="511">
        <v>53</v>
      </c>
      <c r="Q86" s="1827">
        <v>53</v>
      </c>
    </row>
    <row r="87" spans="1:17" s="512" customFormat="1" x14ac:dyDescent="0.3">
      <c r="A87" s="514" t="s">
        <v>212</v>
      </c>
      <c r="B87" s="510" t="s">
        <v>213</v>
      </c>
      <c r="C87" s="509" t="s">
        <v>255</v>
      </c>
      <c r="D87" s="511">
        <v>9823</v>
      </c>
      <c r="E87" s="1805">
        <v>4613</v>
      </c>
      <c r="F87" s="817">
        <v>2050</v>
      </c>
      <c r="G87" s="817">
        <v>2308</v>
      </c>
      <c r="H87" s="817">
        <v>852</v>
      </c>
      <c r="I87" s="1806">
        <v>0</v>
      </c>
      <c r="J87" s="1805">
        <v>5592</v>
      </c>
      <c r="K87" s="817">
        <v>4231</v>
      </c>
      <c r="L87" s="1806"/>
      <c r="M87" s="511">
        <v>8857</v>
      </c>
      <c r="N87" s="511">
        <v>486</v>
      </c>
      <c r="O87" s="511">
        <v>346</v>
      </c>
      <c r="P87" s="511">
        <v>134</v>
      </c>
      <c r="Q87" s="1827">
        <v>881</v>
      </c>
    </row>
    <row r="88" spans="1:17" s="512" customFormat="1" x14ac:dyDescent="0.3">
      <c r="A88" s="514" t="s">
        <v>214</v>
      </c>
      <c r="B88" s="510" t="s">
        <v>215</v>
      </c>
      <c r="C88" s="509" t="s">
        <v>256</v>
      </c>
      <c r="D88" s="511">
        <v>10063</v>
      </c>
      <c r="E88" s="1805">
        <v>3715</v>
      </c>
      <c r="F88" s="817">
        <v>2137</v>
      </c>
      <c r="G88" s="817">
        <v>3046</v>
      </c>
      <c r="H88" s="817">
        <v>1164</v>
      </c>
      <c r="I88" s="1806">
        <v>1</v>
      </c>
      <c r="J88" s="1805">
        <v>5721</v>
      </c>
      <c r="K88" s="817">
        <v>4342</v>
      </c>
      <c r="L88" s="1806"/>
      <c r="M88" s="511">
        <v>9599</v>
      </c>
      <c r="N88" s="511">
        <v>257</v>
      </c>
      <c r="O88" s="511">
        <v>78</v>
      </c>
      <c r="P88" s="511">
        <v>129</v>
      </c>
      <c r="Q88" s="1827">
        <v>106</v>
      </c>
    </row>
    <row r="89" spans="1:17" s="512" customFormat="1" x14ac:dyDescent="0.3">
      <c r="A89" s="514" t="s">
        <v>216</v>
      </c>
      <c r="B89" s="510" t="s">
        <v>217</v>
      </c>
      <c r="C89" s="509" t="s">
        <v>252</v>
      </c>
      <c r="D89" s="511">
        <v>4831</v>
      </c>
      <c r="E89" s="1805">
        <v>2024</v>
      </c>
      <c r="F89" s="817">
        <v>1000</v>
      </c>
      <c r="G89" s="817">
        <v>1259</v>
      </c>
      <c r="H89" s="817">
        <v>547</v>
      </c>
      <c r="I89" s="1806">
        <v>1</v>
      </c>
      <c r="J89" s="1805">
        <v>2837</v>
      </c>
      <c r="K89" s="817">
        <v>1994</v>
      </c>
      <c r="L89" s="1806"/>
      <c r="M89" s="511">
        <v>2011</v>
      </c>
      <c r="N89" s="511">
        <v>2722</v>
      </c>
      <c r="O89" s="511">
        <v>59</v>
      </c>
      <c r="P89" s="511">
        <v>39</v>
      </c>
      <c r="Q89" s="1827">
        <v>56</v>
      </c>
    </row>
    <row r="90" spans="1:17" s="512" customFormat="1" x14ac:dyDescent="0.3">
      <c r="A90" s="514" t="s">
        <v>218</v>
      </c>
      <c r="B90" s="510" t="s">
        <v>219</v>
      </c>
      <c r="C90" s="509" t="s">
        <v>255</v>
      </c>
      <c r="D90" s="511">
        <v>26645</v>
      </c>
      <c r="E90" s="1805">
        <v>13520</v>
      </c>
      <c r="F90" s="817">
        <v>6132</v>
      </c>
      <c r="G90" s="817">
        <v>5607</v>
      </c>
      <c r="H90" s="817">
        <v>1385</v>
      </c>
      <c r="I90" s="1806">
        <v>1</v>
      </c>
      <c r="J90" s="1805">
        <v>15184</v>
      </c>
      <c r="K90" s="817">
        <v>11461</v>
      </c>
      <c r="L90" s="1806"/>
      <c r="M90" s="511">
        <v>17235</v>
      </c>
      <c r="N90" s="511">
        <v>7588</v>
      </c>
      <c r="O90" s="511">
        <v>1377</v>
      </c>
      <c r="P90" s="511">
        <v>445</v>
      </c>
      <c r="Q90" s="1827">
        <v>1378</v>
      </c>
    </row>
    <row r="91" spans="1:17" s="512" customFormat="1" x14ac:dyDescent="0.3">
      <c r="A91" s="514" t="s">
        <v>220</v>
      </c>
      <c r="B91" s="510" t="s">
        <v>221</v>
      </c>
      <c r="C91" s="509" t="s">
        <v>255</v>
      </c>
      <c r="D91" s="511">
        <v>22891</v>
      </c>
      <c r="E91" s="1805">
        <v>11813</v>
      </c>
      <c r="F91" s="817">
        <v>5558</v>
      </c>
      <c r="G91" s="817">
        <v>4386</v>
      </c>
      <c r="H91" s="817">
        <v>1133</v>
      </c>
      <c r="I91" s="1806">
        <v>1</v>
      </c>
      <c r="J91" s="1805">
        <v>13185</v>
      </c>
      <c r="K91" s="817">
        <v>9706</v>
      </c>
      <c r="L91" s="1806"/>
      <c r="M91" s="511">
        <v>13497</v>
      </c>
      <c r="N91" s="511">
        <v>7285</v>
      </c>
      <c r="O91" s="511">
        <v>1632</v>
      </c>
      <c r="P91" s="511">
        <v>477</v>
      </c>
      <c r="Q91" s="1827">
        <v>1968</v>
      </c>
    </row>
    <row r="92" spans="1:17" s="512" customFormat="1" x14ac:dyDescent="0.3">
      <c r="A92" s="514" t="s">
        <v>224</v>
      </c>
      <c r="B92" s="510" t="s">
        <v>225</v>
      </c>
      <c r="C92" s="509" t="s">
        <v>252</v>
      </c>
      <c r="D92" s="511">
        <v>1606</v>
      </c>
      <c r="E92" s="1805">
        <v>619</v>
      </c>
      <c r="F92" s="817">
        <v>345</v>
      </c>
      <c r="G92" s="817">
        <v>463</v>
      </c>
      <c r="H92" s="817">
        <v>178</v>
      </c>
      <c r="I92" s="1806">
        <v>1</v>
      </c>
      <c r="J92" s="1805">
        <v>932</v>
      </c>
      <c r="K92" s="817">
        <v>674</v>
      </c>
      <c r="L92" s="1806"/>
      <c r="M92" s="511">
        <v>624</v>
      </c>
      <c r="N92" s="511">
        <v>933</v>
      </c>
      <c r="O92" s="511">
        <v>25</v>
      </c>
      <c r="P92" s="511">
        <v>24</v>
      </c>
      <c r="Q92" s="1827">
        <v>18</v>
      </c>
    </row>
    <row r="93" spans="1:17" s="512" customFormat="1" x14ac:dyDescent="0.3">
      <c r="A93" s="514" t="s">
        <v>226</v>
      </c>
      <c r="B93" s="510" t="s">
        <v>227</v>
      </c>
      <c r="C93" s="509" t="s">
        <v>252</v>
      </c>
      <c r="D93" s="511">
        <v>3062</v>
      </c>
      <c r="E93" s="1805">
        <v>1215</v>
      </c>
      <c r="F93" s="817">
        <v>645</v>
      </c>
      <c r="G93" s="817">
        <v>859</v>
      </c>
      <c r="H93" s="817">
        <v>343</v>
      </c>
      <c r="I93" s="1806">
        <v>0</v>
      </c>
      <c r="J93" s="1805">
        <v>1777</v>
      </c>
      <c r="K93" s="817">
        <v>1285</v>
      </c>
      <c r="L93" s="1806"/>
      <c r="M93" s="511">
        <v>873</v>
      </c>
      <c r="N93" s="511">
        <v>2133</v>
      </c>
      <c r="O93" s="511">
        <v>35</v>
      </c>
      <c r="P93" s="511">
        <v>21</v>
      </c>
      <c r="Q93" s="1827">
        <v>50</v>
      </c>
    </row>
    <row r="94" spans="1:17" s="512" customFormat="1" x14ac:dyDescent="0.3">
      <c r="A94" s="514" t="s">
        <v>228</v>
      </c>
      <c r="B94" s="510" t="s">
        <v>229</v>
      </c>
      <c r="C94" s="509" t="s">
        <v>256</v>
      </c>
      <c r="D94" s="511">
        <v>13708</v>
      </c>
      <c r="E94" s="1805">
        <v>5105</v>
      </c>
      <c r="F94" s="817">
        <v>2931</v>
      </c>
      <c r="G94" s="817">
        <v>4375</v>
      </c>
      <c r="H94" s="817">
        <v>1297</v>
      </c>
      <c r="I94" s="1806">
        <v>0</v>
      </c>
      <c r="J94" s="1805">
        <v>7815</v>
      </c>
      <c r="K94" s="817">
        <v>5893</v>
      </c>
      <c r="L94" s="1806"/>
      <c r="M94" s="511">
        <v>13049</v>
      </c>
      <c r="N94" s="511">
        <v>479</v>
      </c>
      <c r="O94" s="511">
        <v>85</v>
      </c>
      <c r="P94" s="511">
        <v>95</v>
      </c>
      <c r="Q94" s="1827">
        <v>67</v>
      </c>
    </row>
    <row r="95" spans="1:17" s="512" customFormat="1" x14ac:dyDescent="0.3">
      <c r="A95" s="514" t="s">
        <v>232</v>
      </c>
      <c r="B95" s="510" t="s">
        <v>233</v>
      </c>
      <c r="C95" s="509" t="s">
        <v>255</v>
      </c>
      <c r="D95" s="511">
        <v>8602</v>
      </c>
      <c r="E95" s="1805">
        <v>3883</v>
      </c>
      <c r="F95" s="817">
        <v>1935</v>
      </c>
      <c r="G95" s="817">
        <v>2148</v>
      </c>
      <c r="H95" s="817">
        <v>635</v>
      </c>
      <c r="I95" s="1806">
        <v>1</v>
      </c>
      <c r="J95" s="1805">
        <v>4901</v>
      </c>
      <c r="K95" s="817">
        <v>3701</v>
      </c>
      <c r="L95" s="1806"/>
      <c r="M95" s="511">
        <v>7391</v>
      </c>
      <c r="N95" s="511">
        <v>913</v>
      </c>
      <c r="O95" s="511">
        <v>208</v>
      </c>
      <c r="P95" s="511">
        <v>90</v>
      </c>
      <c r="Q95" s="1827">
        <v>268</v>
      </c>
    </row>
    <row r="96" spans="1:17" s="512" customFormat="1" x14ac:dyDescent="0.3">
      <c r="A96" s="514" t="s">
        <v>234</v>
      </c>
      <c r="B96" s="510" t="s">
        <v>235</v>
      </c>
      <c r="C96" s="509" t="s">
        <v>256</v>
      </c>
      <c r="D96" s="511">
        <v>13651</v>
      </c>
      <c r="E96" s="1805">
        <v>5298</v>
      </c>
      <c r="F96" s="817">
        <v>2836</v>
      </c>
      <c r="G96" s="817">
        <v>4097</v>
      </c>
      <c r="H96" s="817">
        <v>1417</v>
      </c>
      <c r="I96" s="1806">
        <v>3</v>
      </c>
      <c r="J96" s="1805">
        <v>7800</v>
      </c>
      <c r="K96" s="817">
        <v>5851</v>
      </c>
      <c r="L96" s="1806"/>
      <c r="M96" s="511">
        <v>13002</v>
      </c>
      <c r="N96" s="511">
        <v>309</v>
      </c>
      <c r="O96" s="511">
        <v>151</v>
      </c>
      <c r="P96" s="511">
        <v>189</v>
      </c>
      <c r="Q96" s="1827">
        <v>207</v>
      </c>
    </row>
    <row r="97" spans="1:17" s="512" customFormat="1" x14ac:dyDescent="0.3">
      <c r="A97" s="514" t="s">
        <v>236</v>
      </c>
      <c r="B97" s="510" t="s">
        <v>237</v>
      </c>
      <c r="C97" s="509" t="s">
        <v>254</v>
      </c>
      <c r="D97" s="511">
        <v>5524</v>
      </c>
      <c r="E97" s="1805">
        <v>2335</v>
      </c>
      <c r="F97" s="817">
        <v>1148</v>
      </c>
      <c r="G97" s="817">
        <v>1436</v>
      </c>
      <c r="H97" s="817">
        <v>605</v>
      </c>
      <c r="I97" s="1806">
        <v>0</v>
      </c>
      <c r="J97" s="1805">
        <v>3160</v>
      </c>
      <c r="K97" s="817">
        <v>2364</v>
      </c>
      <c r="L97" s="1806"/>
      <c r="M97" s="511">
        <v>2981</v>
      </c>
      <c r="N97" s="511">
        <v>2325</v>
      </c>
      <c r="O97" s="511">
        <v>145</v>
      </c>
      <c r="P97" s="511">
        <v>73</v>
      </c>
      <c r="Q97" s="1827">
        <v>277</v>
      </c>
    </row>
    <row r="98" spans="1:17" s="512" customFormat="1" x14ac:dyDescent="0.3">
      <c r="A98" s="514" t="s">
        <v>242</v>
      </c>
      <c r="B98" s="510" t="s">
        <v>243</v>
      </c>
      <c r="C98" s="509" t="s">
        <v>256</v>
      </c>
      <c r="D98" s="511">
        <v>13992</v>
      </c>
      <c r="E98" s="1805">
        <v>5092</v>
      </c>
      <c r="F98" s="817">
        <v>3041</v>
      </c>
      <c r="G98" s="817">
        <v>4666</v>
      </c>
      <c r="H98" s="817">
        <v>1193</v>
      </c>
      <c r="I98" s="1806">
        <v>0</v>
      </c>
      <c r="J98" s="1805">
        <v>7910</v>
      </c>
      <c r="K98" s="817">
        <v>6082</v>
      </c>
      <c r="L98" s="1806"/>
      <c r="M98" s="511">
        <v>13490</v>
      </c>
      <c r="N98" s="511">
        <v>357</v>
      </c>
      <c r="O98" s="511">
        <v>64</v>
      </c>
      <c r="P98" s="511">
        <v>81</v>
      </c>
      <c r="Q98" s="1827">
        <v>53</v>
      </c>
    </row>
    <row r="99" spans="1:17" s="512" customFormat="1" x14ac:dyDescent="0.3">
      <c r="A99" s="514" t="s">
        <v>244</v>
      </c>
      <c r="B99" s="510" t="s">
        <v>245</v>
      </c>
      <c r="C99" s="509" t="s">
        <v>256</v>
      </c>
      <c r="D99" s="511">
        <v>8215</v>
      </c>
      <c r="E99" s="1805">
        <v>3145</v>
      </c>
      <c r="F99" s="817">
        <v>1718</v>
      </c>
      <c r="G99" s="817">
        <v>2457</v>
      </c>
      <c r="H99" s="817">
        <v>895</v>
      </c>
      <c r="I99" s="1806">
        <v>0</v>
      </c>
      <c r="J99" s="1805">
        <v>4737</v>
      </c>
      <c r="K99" s="817">
        <v>3478</v>
      </c>
      <c r="L99" s="1806"/>
      <c r="M99" s="511">
        <v>7686</v>
      </c>
      <c r="N99" s="511">
        <v>400</v>
      </c>
      <c r="O99" s="511">
        <v>54</v>
      </c>
      <c r="P99" s="511">
        <v>75</v>
      </c>
      <c r="Q99" s="1827">
        <v>65</v>
      </c>
    </row>
    <row r="100" spans="1:17" s="512" customFormat="1" x14ac:dyDescent="0.3">
      <c r="A100" s="514" t="s">
        <v>246</v>
      </c>
      <c r="B100" s="510" t="s">
        <v>247</v>
      </c>
      <c r="C100" s="509" t="s">
        <v>252</v>
      </c>
      <c r="D100" s="511">
        <v>7820</v>
      </c>
      <c r="E100" s="1805">
        <v>3700</v>
      </c>
      <c r="F100" s="817">
        <v>1856</v>
      </c>
      <c r="G100" s="817">
        <v>1731</v>
      </c>
      <c r="H100" s="817">
        <v>532</v>
      </c>
      <c r="I100" s="1806">
        <v>1</v>
      </c>
      <c r="J100" s="1805">
        <v>4605</v>
      </c>
      <c r="K100" s="817">
        <v>3215</v>
      </c>
      <c r="L100" s="1806"/>
      <c r="M100" s="511">
        <v>4831</v>
      </c>
      <c r="N100" s="511">
        <v>2237</v>
      </c>
      <c r="O100" s="511">
        <v>503</v>
      </c>
      <c r="P100" s="511">
        <v>249</v>
      </c>
      <c r="Q100" s="1827">
        <v>330</v>
      </c>
    </row>
    <row r="101" spans="1:17" s="512" customFormat="1" x14ac:dyDescent="0.3">
      <c r="A101" s="514" t="s">
        <v>14</v>
      </c>
      <c r="B101" s="510" t="s">
        <v>15</v>
      </c>
      <c r="C101" s="509" t="s">
        <v>255</v>
      </c>
      <c r="D101" s="511">
        <v>24501</v>
      </c>
      <c r="E101" s="1805">
        <v>13219</v>
      </c>
      <c r="F101" s="817">
        <v>4372</v>
      </c>
      <c r="G101" s="817">
        <v>4930</v>
      </c>
      <c r="H101" s="817">
        <v>1979</v>
      </c>
      <c r="I101" s="1806">
        <v>1</v>
      </c>
      <c r="J101" s="1805">
        <v>13468</v>
      </c>
      <c r="K101" s="817">
        <v>11033</v>
      </c>
      <c r="L101" s="1806"/>
      <c r="M101" s="511">
        <v>11579</v>
      </c>
      <c r="N101" s="511">
        <v>9773</v>
      </c>
      <c r="O101" s="511">
        <v>2375</v>
      </c>
      <c r="P101" s="511">
        <v>774</v>
      </c>
      <c r="Q101" s="1827">
        <v>2408</v>
      </c>
    </row>
    <row r="102" spans="1:17" s="512" customFormat="1" x14ac:dyDescent="0.3">
      <c r="A102" s="514" t="s">
        <v>34</v>
      </c>
      <c r="B102" s="510" t="s">
        <v>35</v>
      </c>
      <c r="C102" s="509" t="s">
        <v>256</v>
      </c>
      <c r="D102" s="511">
        <v>6977</v>
      </c>
      <c r="E102" s="1805">
        <v>2753</v>
      </c>
      <c r="F102" s="817">
        <v>1473</v>
      </c>
      <c r="G102" s="817">
        <v>2061</v>
      </c>
      <c r="H102" s="817">
        <v>690</v>
      </c>
      <c r="I102" s="1806">
        <v>0</v>
      </c>
      <c r="J102" s="1805">
        <v>4107</v>
      </c>
      <c r="K102" s="817">
        <v>2870</v>
      </c>
      <c r="L102" s="1806"/>
      <c r="M102" s="511">
        <v>5896</v>
      </c>
      <c r="N102" s="511">
        <v>894</v>
      </c>
      <c r="O102" s="511">
        <v>120</v>
      </c>
      <c r="P102" s="511">
        <v>67</v>
      </c>
      <c r="Q102" s="1827">
        <v>94</v>
      </c>
    </row>
    <row r="103" spans="1:17" s="512" customFormat="1" x14ac:dyDescent="0.3">
      <c r="A103" s="514" t="s">
        <v>52</v>
      </c>
      <c r="B103" s="510" t="s">
        <v>53</v>
      </c>
      <c r="C103" s="509" t="s">
        <v>253</v>
      </c>
      <c r="D103" s="511">
        <v>8621</v>
      </c>
      <c r="E103" s="1805">
        <v>3629</v>
      </c>
      <c r="F103" s="817">
        <v>1852</v>
      </c>
      <c r="G103" s="817">
        <v>2387</v>
      </c>
      <c r="H103" s="817">
        <v>753</v>
      </c>
      <c r="I103" s="1806">
        <v>0</v>
      </c>
      <c r="J103" s="1805">
        <v>4629</v>
      </c>
      <c r="K103" s="817">
        <v>3992</v>
      </c>
      <c r="L103" s="1806"/>
      <c r="M103" s="511">
        <v>3647</v>
      </c>
      <c r="N103" s="511">
        <v>4249</v>
      </c>
      <c r="O103" s="511">
        <v>503</v>
      </c>
      <c r="P103" s="511">
        <v>222</v>
      </c>
      <c r="Q103" s="1827">
        <v>433</v>
      </c>
    </row>
    <row r="104" spans="1:17" s="512" customFormat="1" x14ac:dyDescent="0.3">
      <c r="A104" s="514" t="s">
        <v>54</v>
      </c>
      <c r="B104" s="510" t="s">
        <v>55</v>
      </c>
      <c r="C104" s="509" t="s">
        <v>252</v>
      </c>
      <c r="D104" s="511">
        <v>45941</v>
      </c>
      <c r="E104" s="1805">
        <v>21228</v>
      </c>
      <c r="F104" s="817">
        <v>11082</v>
      </c>
      <c r="G104" s="817">
        <v>10666</v>
      </c>
      <c r="H104" s="817">
        <v>2960</v>
      </c>
      <c r="I104" s="1806">
        <v>5</v>
      </c>
      <c r="J104" s="1805">
        <v>27296</v>
      </c>
      <c r="K104" s="817">
        <v>18645</v>
      </c>
      <c r="L104" s="1806"/>
      <c r="M104" s="511">
        <v>18051</v>
      </c>
      <c r="N104" s="511">
        <v>25153</v>
      </c>
      <c r="O104" s="511">
        <v>1922</v>
      </c>
      <c r="P104" s="511">
        <v>815</v>
      </c>
      <c r="Q104" s="1827">
        <v>1954</v>
      </c>
    </row>
    <row r="105" spans="1:17" s="512" customFormat="1" x14ac:dyDescent="0.3">
      <c r="A105" s="514" t="s">
        <v>66</v>
      </c>
      <c r="B105" s="510" t="s">
        <v>67</v>
      </c>
      <c r="C105" s="509" t="s">
        <v>253</v>
      </c>
      <c r="D105" s="511">
        <v>20083</v>
      </c>
      <c r="E105" s="1805">
        <v>7669</v>
      </c>
      <c r="F105" s="817">
        <v>4482</v>
      </c>
      <c r="G105" s="817">
        <v>5676</v>
      </c>
      <c r="H105" s="817">
        <v>2251</v>
      </c>
      <c r="I105" s="1806">
        <v>5</v>
      </c>
      <c r="J105" s="1805">
        <v>11885</v>
      </c>
      <c r="K105" s="817">
        <v>8198</v>
      </c>
      <c r="L105" s="1806"/>
      <c r="M105" s="511">
        <v>6279</v>
      </c>
      <c r="N105" s="511">
        <v>13249</v>
      </c>
      <c r="O105" s="511">
        <v>417</v>
      </c>
      <c r="P105" s="511">
        <v>138</v>
      </c>
      <c r="Q105" s="1827">
        <v>543</v>
      </c>
    </row>
    <row r="106" spans="1:17" s="512" customFormat="1" x14ac:dyDescent="0.3">
      <c r="A106" s="514" t="s">
        <v>82</v>
      </c>
      <c r="B106" s="510" t="s">
        <v>83</v>
      </c>
      <c r="C106" s="509" t="s">
        <v>252</v>
      </c>
      <c r="D106" s="511">
        <v>3803</v>
      </c>
      <c r="E106" s="1805">
        <v>1610</v>
      </c>
      <c r="F106" s="817">
        <v>846</v>
      </c>
      <c r="G106" s="817">
        <v>1015</v>
      </c>
      <c r="H106" s="817">
        <v>332</v>
      </c>
      <c r="I106" s="1806">
        <v>0</v>
      </c>
      <c r="J106" s="1805">
        <v>2310</v>
      </c>
      <c r="K106" s="817">
        <v>1493</v>
      </c>
      <c r="L106" s="1806"/>
      <c r="M106" s="511">
        <v>553</v>
      </c>
      <c r="N106" s="511">
        <v>3170</v>
      </c>
      <c r="O106" s="511">
        <v>53</v>
      </c>
      <c r="P106" s="511">
        <v>27</v>
      </c>
      <c r="Q106" s="1827">
        <v>60</v>
      </c>
    </row>
    <row r="107" spans="1:17" s="512" customFormat="1" x14ac:dyDescent="0.3">
      <c r="A107" s="514" t="s">
        <v>88</v>
      </c>
      <c r="B107" s="510" t="s">
        <v>89</v>
      </c>
      <c r="C107" s="509" t="s">
        <v>255</v>
      </c>
      <c r="D107" s="511">
        <v>8325</v>
      </c>
      <c r="E107" s="1805">
        <v>3871</v>
      </c>
      <c r="F107" s="817">
        <v>1978</v>
      </c>
      <c r="G107" s="817">
        <v>1955</v>
      </c>
      <c r="H107" s="817">
        <v>520</v>
      </c>
      <c r="I107" s="1806">
        <v>1</v>
      </c>
      <c r="J107" s="1805">
        <v>4752</v>
      </c>
      <c r="K107" s="817">
        <v>3573</v>
      </c>
      <c r="L107" s="1806"/>
      <c r="M107" s="511">
        <v>3913</v>
      </c>
      <c r="N107" s="511">
        <v>3673</v>
      </c>
      <c r="O107" s="511">
        <v>621</v>
      </c>
      <c r="P107" s="511">
        <v>118</v>
      </c>
      <c r="Q107" s="1827">
        <v>418</v>
      </c>
    </row>
    <row r="108" spans="1:17" s="512" customFormat="1" x14ac:dyDescent="0.3">
      <c r="A108" s="514" t="s">
        <v>90</v>
      </c>
      <c r="B108" s="510" t="s">
        <v>91</v>
      </c>
      <c r="C108" s="509" t="s">
        <v>256</v>
      </c>
      <c r="D108" s="511">
        <v>3028</v>
      </c>
      <c r="E108" s="1805">
        <v>1244</v>
      </c>
      <c r="F108" s="817">
        <v>636</v>
      </c>
      <c r="G108" s="817">
        <v>749</v>
      </c>
      <c r="H108" s="817">
        <v>399</v>
      </c>
      <c r="I108" s="1806">
        <v>0</v>
      </c>
      <c r="J108" s="1805">
        <v>1687</v>
      </c>
      <c r="K108" s="817">
        <v>1341</v>
      </c>
      <c r="L108" s="1806"/>
      <c r="M108" s="511">
        <v>2719</v>
      </c>
      <c r="N108" s="511">
        <v>259</v>
      </c>
      <c r="O108" s="511">
        <v>28</v>
      </c>
      <c r="P108" s="511">
        <v>22</v>
      </c>
      <c r="Q108" s="1827">
        <v>443</v>
      </c>
    </row>
    <row r="109" spans="1:17" s="512" customFormat="1" x14ac:dyDescent="0.3">
      <c r="A109" s="514" t="s">
        <v>106</v>
      </c>
      <c r="B109" s="510" t="s">
        <v>107</v>
      </c>
      <c r="C109" s="509" t="s">
        <v>252</v>
      </c>
      <c r="D109" s="511">
        <v>37144</v>
      </c>
      <c r="E109" s="1805">
        <v>16587</v>
      </c>
      <c r="F109" s="817">
        <v>8995</v>
      </c>
      <c r="G109" s="817">
        <v>9287</v>
      </c>
      <c r="H109" s="817">
        <v>2274</v>
      </c>
      <c r="I109" s="1806">
        <v>1</v>
      </c>
      <c r="J109" s="1805">
        <v>22124</v>
      </c>
      <c r="K109" s="817">
        <v>15020</v>
      </c>
      <c r="L109" s="1806"/>
      <c r="M109" s="511">
        <v>9565</v>
      </c>
      <c r="N109" s="511">
        <v>25880</v>
      </c>
      <c r="O109" s="511">
        <v>1245</v>
      </c>
      <c r="P109" s="511">
        <v>454</v>
      </c>
      <c r="Q109" s="1827">
        <v>1360</v>
      </c>
    </row>
    <row r="110" spans="1:17" s="512" customFormat="1" x14ac:dyDescent="0.3">
      <c r="A110" s="514" t="s">
        <v>116</v>
      </c>
      <c r="B110" s="510" t="s">
        <v>117</v>
      </c>
      <c r="C110" s="509" t="s">
        <v>254</v>
      </c>
      <c r="D110" s="511">
        <v>11018</v>
      </c>
      <c r="E110" s="1805">
        <v>5029</v>
      </c>
      <c r="F110" s="817">
        <v>2739</v>
      </c>
      <c r="G110" s="817">
        <v>2662</v>
      </c>
      <c r="H110" s="817">
        <v>587</v>
      </c>
      <c r="I110" s="1806">
        <v>1</v>
      </c>
      <c r="J110" s="1805">
        <v>6555</v>
      </c>
      <c r="K110" s="817">
        <v>4463</v>
      </c>
      <c r="L110" s="1806"/>
      <c r="M110" s="511">
        <v>4380</v>
      </c>
      <c r="N110" s="511">
        <v>6337</v>
      </c>
      <c r="O110" s="511">
        <v>235</v>
      </c>
      <c r="P110" s="511">
        <v>66</v>
      </c>
      <c r="Q110" s="1827">
        <v>574</v>
      </c>
    </row>
    <row r="111" spans="1:17" s="512" customFormat="1" x14ac:dyDescent="0.3">
      <c r="A111" s="514" t="s">
        <v>138</v>
      </c>
      <c r="B111" s="510" t="s">
        <v>139</v>
      </c>
      <c r="C111" s="509" t="s">
        <v>253</v>
      </c>
      <c r="D111" s="511">
        <v>21189</v>
      </c>
      <c r="E111" s="1805">
        <v>9288</v>
      </c>
      <c r="F111" s="817">
        <v>5025</v>
      </c>
      <c r="G111" s="817">
        <v>5136</v>
      </c>
      <c r="H111" s="817">
        <v>1739</v>
      </c>
      <c r="I111" s="1806">
        <v>1</v>
      </c>
      <c r="J111" s="1805">
        <v>12419</v>
      </c>
      <c r="K111" s="817">
        <v>8770</v>
      </c>
      <c r="L111" s="1806"/>
      <c r="M111" s="511">
        <v>8334</v>
      </c>
      <c r="N111" s="511">
        <v>12047</v>
      </c>
      <c r="O111" s="511">
        <v>484</v>
      </c>
      <c r="P111" s="511">
        <v>324</v>
      </c>
      <c r="Q111" s="1827">
        <v>429</v>
      </c>
    </row>
    <row r="112" spans="1:17" s="512" customFormat="1" x14ac:dyDescent="0.3">
      <c r="A112" s="514" t="s">
        <v>142</v>
      </c>
      <c r="B112" s="510" t="s">
        <v>143</v>
      </c>
      <c r="C112" s="509" t="s">
        <v>255</v>
      </c>
      <c r="D112" s="511">
        <v>10134</v>
      </c>
      <c r="E112" s="1805">
        <v>6619</v>
      </c>
      <c r="F112" s="817">
        <v>1816</v>
      </c>
      <c r="G112" s="817">
        <v>1354</v>
      </c>
      <c r="H112" s="817">
        <v>344</v>
      </c>
      <c r="I112" s="1806">
        <v>1</v>
      </c>
      <c r="J112" s="1805">
        <v>5523</v>
      </c>
      <c r="K112" s="817">
        <v>4611</v>
      </c>
      <c r="L112" s="1806"/>
      <c r="M112" s="511">
        <v>7431</v>
      </c>
      <c r="N112" s="511">
        <v>1864</v>
      </c>
      <c r="O112" s="511">
        <v>682</v>
      </c>
      <c r="P112" s="511">
        <v>157</v>
      </c>
      <c r="Q112" s="1827">
        <v>2366</v>
      </c>
    </row>
    <row r="113" spans="1:17" s="512" customFormat="1" x14ac:dyDescent="0.3">
      <c r="A113" s="514" t="s">
        <v>144</v>
      </c>
      <c r="B113" s="510" t="s">
        <v>145</v>
      </c>
      <c r="C113" s="509" t="s">
        <v>255</v>
      </c>
      <c r="D113" s="511">
        <v>4037</v>
      </c>
      <c r="E113" s="1805">
        <v>2606</v>
      </c>
      <c r="F113" s="817">
        <v>665</v>
      </c>
      <c r="G113" s="817">
        <v>563</v>
      </c>
      <c r="H113" s="817">
        <v>203</v>
      </c>
      <c r="I113" s="1806">
        <v>0</v>
      </c>
      <c r="J113" s="1805">
        <v>2212</v>
      </c>
      <c r="K113" s="817">
        <v>1825</v>
      </c>
      <c r="L113" s="1806"/>
      <c r="M113" s="511">
        <v>3163</v>
      </c>
      <c r="N113" s="511">
        <v>476</v>
      </c>
      <c r="O113" s="511">
        <v>350</v>
      </c>
      <c r="P113" s="511">
        <v>48</v>
      </c>
      <c r="Q113" s="1827">
        <v>1410</v>
      </c>
    </row>
    <row r="114" spans="1:17" s="512" customFormat="1" x14ac:dyDescent="0.3">
      <c r="A114" s="514" t="s">
        <v>158</v>
      </c>
      <c r="B114" s="510" t="s">
        <v>159</v>
      </c>
      <c r="C114" s="509" t="s">
        <v>252</v>
      </c>
      <c r="D114" s="511">
        <v>57482</v>
      </c>
      <c r="E114" s="1805">
        <v>26795</v>
      </c>
      <c r="F114" s="817">
        <v>13868</v>
      </c>
      <c r="G114" s="817">
        <v>13293</v>
      </c>
      <c r="H114" s="817">
        <v>3513</v>
      </c>
      <c r="I114" s="1806">
        <v>13</v>
      </c>
      <c r="J114" s="1805">
        <v>34597</v>
      </c>
      <c r="K114" s="817">
        <v>22885</v>
      </c>
      <c r="L114" s="1806"/>
      <c r="M114" s="511">
        <v>15392</v>
      </c>
      <c r="N114" s="511">
        <v>39269</v>
      </c>
      <c r="O114" s="511">
        <v>2236</v>
      </c>
      <c r="P114" s="511">
        <v>585</v>
      </c>
      <c r="Q114" s="1827">
        <v>3649</v>
      </c>
    </row>
    <row r="115" spans="1:17" s="512" customFormat="1" x14ac:dyDescent="0.3">
      <c r="A115" s="514" t="s">
        <v>160</v>
      </c>
      <c r="B115" s="510" t="s">
        <v>161</v>
      </c>
      <c r="C115" s="509" t="s">
        <v>252</v>
      </c>
      <c r="D115" s="511">
        <v>69130</v>
      </c>
      <c r="E115" s="1805">
        <v>30343</v>
      </c>
      <c r="F115" s="817">
        <v>16313</v>
      </c>
      <c r="G115" s="817">
        <v>17540</v>
      </c>
      <c r="H115" s="817">
        <v>4929</v>
      </c>
      <c r="I115" s="1806">
        <v>5</v>
      </c>
      <c r="J115" s="1805">
        <v>41244</v>
      </c>
      <c r="K115" s="817">
        <v>27886</v>
      </c>
      <c r="L115" s="1806"/>
      <c r="M115" s="511">
        <v>16087</v>
      </c>
      <c r="N115" s="511">
        <v>49869</v>
      </c>
      <c r="O115" s="511">
        <v>2277</v>
      </c>
      <c r="P115" s="511">
        <v>897</v>
      </c>
      <c r="Q115" s="1827">
        <v>2957</v>
      </c>
    </row>
    <row r="116" spans="1:17" s="512" customFormat="1" x14ac:dyDescent="0.3">
      <c r="A116" s="514" t="s">
        <v>166</v>
      </c>
      <c r="B116" s="510" t="s">
        <v>167</v>
      </c>
      <c r="C116" s="509" t="s">
        <v>256</v>
      </c>
      <c r="D116" s="511">
        <v>1628</v>
      </c>
      <c r="E116" s="1805">
        <v>558</v>
      </c>
      <c r="F116" s="817">
        <v>348</v>
      </c>
      <c r="G116" s="817">
        <v>546</v>
      </c>
      <c r="H116" s="817">
        <v>176</v>
      </c>
      <c r="I116" s="1806">
        <v>0</v>
      </c>
      <c r="J116" s="1805">
        <v>987</v>
      </c>
      <c r="K116" s="817">
        <v>641</v>
      </c>
      <c r="L116" s="1806"/>
      <c r="M116" s="511">
        <v>1450</v>
      </c>
      <c r="N116" s="511">
        <v>139</v>
      </c>
      <c r="O116" s="511">
        <v>25</v>
      </c>
      <c r="P116" s="511">
        <v>14</v>
      </c>
      <c r="Q116" s="1827">
        <v>24</v>
      </c>
    </row>
    <row r="117" spans="1:17" s="512" customFormat="1" x14ac:dyDescent="0.3">
      <c r="A117" s="514" t="s">
        <v>176</v>
      </c>
      <c r="B117" s="510" t="s">
        <v>177</v>
      </c>
      <c r="C117" s="509" t="s">
        <v>254</v>
      </c>
      <c r="D117" s="511">
        <v>16390</v>
      </c>
      <c r="E117" s="1805">
        <v>6248</v>
      </c>
      <c r="F117" s="817">
        <v>4133</v>
      </c>
      <c r="G117" s="817">
        <v>4554</v>
      </c>
      <c r="H117" s="817">
        <v>1452</v>
      </c>
      <c r="I117" s="1806">
        <v>3</v>
      </c>
      <c r="J117" s="1805">
        <v>9491</v>
      </c>
      <c r="K117" s="817">
        <v>6899</v>
      </c>
      <c r="L117" s="1806"/>
      <c r="M117" s="511">
        <v>2204</v>
      </c>
      <c r="N117" s="511">
        <v>13801</v>
      </c>
      <c r="O117" s="511">
        <v>277</v>
      </c>
      <c r="P117" s="511">
        <v>108</v>
      </c>
      <c r="Q117" s="1827">
        <v>498</v>
      </c>
    </row>
    <row r="118" spans="1:17" s="512" customFormat="1" x14ac:dyDescent="0.3">
      <c r="A118" s="514" t="s">
        <v>180</v>
      </c>
      <c r="B118" s="510" t="s">
        <v>181</v>
      </c>
      <c r="C118" s="509" t="s">
        <v>252</v>
      </c>
      <c r="D118" s="511">
        <v>36090</v>
      </c>
      <c r="E118" s="1805">
        <v>15660</v>
      </c>
      <c r="F118" s="817">
        <v>8634</v>
      </c>
      <c r="G118" s="817">
        <v>9423</v>
      </c>
      <c r="H118" s="817">
        <v>2350</v>
      </c>
      <c r="I118" s="1806">
        <v>23</v>
      </c>
      <c r="J118" s="1805">
        <v>21366</v>
      </c>
      <c r="K118" s="817">
        <v>14724</v>
      </c>
      <c r="L118" s="1806"/>
      <c r="M118" s="511">
        <v>7270</v>
      </c>
      <c r="N118" s="511">
        <v>27930</v>
      </c>
      <c r="O118" s="511">
        <v>592</v>
      </c>
      <c r="P118" s="511">
        <v>298</v>
      </c>
      <c r="Q118" s="1827">
        <v>659</v>
      </c>
    </row>
    <row r="119" spans="1:17" s="512" customFormat="1" x14ac:dyDescent="0.3">
      <c r="A119" s="514" t="s">
        <v>192</v>
      </c>
      <c r="B119" s="510" t="s">
        <v>193</v>
      </c>
      <c r="C119" s="509" t="s">
        <v>256</v>
      </c>
      <c r="D119" s="511">
        <v>2972</v>
      </c>
      <c r="E119" s="1805">
        <v>1218</v>
      </c>
      <c r="F119" s="817">
        <v>845</v>
      </c>
      <c r="G119" s="817">
        <v>731</v>
      </c>
      <c r="H119" s="817">
        <v>178</v>
      </c>
      <c r="I119" s="1806">
        <v>0</v>
      </c>
      <c r="J119" s="1805">
        <v>1744</v>
      </c>
      <c r="K119" s="817">
        <v>1228</v>
      </c>
      <c r="L119" s="1806"/>
      <c r="M119" s="511">
        <v>2290</v>
      </c>
      <c r="N119" s="511">
        <v>594</v>
      </c>
      <c r="O119" s="511">
        <v>37</v>
      </c>
      <c r="P119" s="511">
        <v>51</v>
      </c>
      <c r="Q119" s="1827">
        <v>66</v>
      </c>
    </row>
    <row r="120" spans="1:17" s="512" customFormat="1" x14ac:dyDescent="0.3">
      <c r="A120" s="514" t="s">
        <v>196</v>
      </c>
      <c r="B120" s="510" t="s">
        <v>197</v>
      </c>
      <c r="C120" s="509" t="s">
        <v>254</v>
      </c>
      <c r="D120" s="511">
        <v>71349</v>
      </c>
      <c r="E120" s="1805">
        <v>29400</v>
      </c>
      <c r="F120" s="817">
        <v>17311</v>
      </c>
      <c r="G120" s="817">
        <v>18535</v>
      </c>
      <c r="H120" s="817">
        <v>6082</v>
      </c>
      <c r="I120" s="1806">
        <v>21</v>
      </c>
      <c r="J120" s="1805">
        <v>40658</v>
      </c>
      <c r="K120" s="817">
        <v>30691</v>
      </c>
      <c r="L120" s="1806"/>
      <c r="M120" s="511">
        <v>13835</v>
      </c>
      <c r="N120" s="511">
        <v>54455</v>
      </c>
      <c r="O120" s="511">
        <v>1549</v>
      </c>
      <c r="P120" s="511">
        <v>1510</v>
      </c>
      <c r="Q120" s="1827">
        <v>3123</v>
      </c>
    </row>
    <row r="121" spans="1:17" s="512" customFormat="1" x14ac:dyDescent="0.3">
      <c r="A121" s="514" t="s">
        <v>200</v>
      </c>
      <c r="B121" s="510" t="s">
        <v>201</v>
      </c>
      <c r="C121" s="509" t="s">
        <v>253</v>
      </c>
      <c r="D121" s="511">
        <v>37548</v>
      </c>
      <c r="E121" s="1805">
        <v>16665</v>
      </c>
      <c r="F121" s="817">
        <v>8150</v>
      </c>
      <c r="G121" s="817">
        <v>9871</v>
      </c>
      <c r="H121" s="817">
        <v>2852</v>
      </c>
      <c r="I121" s="1806">
        <v>10</v>
      </c>
      <c r="J121" s="1805">
        <v>21523</v>
      </c>
      <c r="K121" s="817">
        <v>16025</v>
      </c>
      <c r="L121" s="1806"/>
      <c r="M121" s="511">
        <v>19461</v>
      </c>
      <c r="N121" s="511">
        <v>16243</v>
      </c>
      <c r="O121" s="511">
        <v>1455</v>
      </c>
      <c r="P121" s="511">
        <v>389</v>
      </c>
      <c r="Q121" s="1827">
        <v>1494</v>
      </c>
    </row>
    <row r="122" spans="1:17" s="512" customFormat="1" x14ac:dyDescent="0.3">
      <c r="A122" s="514" t="s">
        <v>222</v>
      </c>
      <c r="B122" s="510" t="s">
        <v>223</v>
      </c>
      <c r="C122" s="509" t="s">
        <v>252</v>
      </c>
      <c r="D122" s="511">
        <v>20868</v>
      </c>
      <c r="E122" s="1805">
        <v>9078</v>
      </c>
      <c r="F122" s="817">
        <v>4767</v>
      </c>
      <c r="G122" s="817">
        <v>5341</v>
      </c>
      <c r="H122" s="817">
        <v>1680</v>
      </c>
      <c r="I122" s="1806">
        <v>2</v>
      </c>
      <c r="J122" s="1805">
        <v>12280</v>
      </c>
      <c r="K122" s="817">
        <v>8588</v>
      </c>
      <c r="L122" s="1806"/>
      <c r="M122" s="511">
        <v>5393</v>
      </c>
      <c r="N122" s="511">
        <v>14736</v>
      </c>
      <c r="O122" s="511">
        <v>467</v>
      </c>
      <c r="P122" s="511">
        <v>272</v>
      </c>
      <c r="Q122" s="1827">
        <v>507</v>
      </c>
    </row>
    <row r="123" spans="1:17" s="512" customFormat="1" x14ac:dyDescent="0.3">
      <c r="A123" s="514" t="s">
        <v>230</v>
      </c>
      <c r="B123" s="510" t="s">
        <v>231</v>
      </c>
      <c r="C123" s="509" t="s">
        <v>252</v>
      </c>
      <c r="D123" s="511">
        <v>71107</v>
      </c>
      <c r="E123" s="1805">
        <v>33199</v>
      </c>
      <c r="F123" s="817">
        <v>17419</v>
      </c>
      <c r="G123" s="817">
        <v>16221</v>
      </c>
      <c r="H123" s="817">
        <v>4263</v>
      </c>
      <c r="I123" s="1806">
        <v>5</v>
      </c>
      <c r="J123" s="1805">
        <v>41863</v>
      </c>
      <c r="K123" s="817">
        <v>29244</v>
      </c>
      <c r="L123" s="1806"/>
      <c r="M123" s="511">
        <v>34025</v>
      </c>
      <c r="N123" s="511">
        <v>30081</v>
      </c>
      <c r="O123" s="511">
        <v>5081</v>
      </c>
      <c r="P123" s="511">
        <v>1920</v>
      </c>
      <c r="Q123" s="1827">
        <v>4118</v>
      </c>
    </row>
    <row r="124" spans="1:17" s="512" customFormat="1" x14ac:dyDescent="0.3">
      <c r="A124" s="514" t="s">
        <v>238</v>
      </c>
      <c r="B124" s="510" t="s">
        <v>239</v>
      </c>
      <c r="C124" s="509" t="s">
        <v>252</v>
      </c>
      <c r="D124" s="511">
        <v>2394</v>
      </c>
      <c r="E124" s="1805">
        <v>1130</v>
      </c>
      <c r="F124" s="817">
        <v>522</v>
      </c>
      <c r="G124" s="817">
        <v>600</v>
      </c>
      <c r="H124" s="817">
        <v>142</v>
      </c>
      <c r="I124" s="1806">
        <v>0</v>
      </c>
      <c r="J124" s="1805">
        <v>1357</v>
      </c>
      <c r="K124" s="817">
        <v>1037</v>
      </c>
      <c r="L124" s="1806"/>
      <c r="M124" s="511">
        <v>1125</v>
      </c>
      <c r="N124" s="511">
        <v>1075</v>
      </c>
      <c r="O124" s="511">
        <v>142</v>
      </c>
      <c r="P124" s="511">
        <v>52</v>
      </c>
      <c r="Q124" s="1827">
        <v>145</v>
      </c>
    </row>
    <row r="125" spans="1:17" s="512" customFormat="1" x14ac:dyDescent="0.3">
      <c r="A125" s="514" t="s">
        <v>240</v>
      </c>
      <c r="B125" s="510" t="s">
        <v>241</v>
      </c>
      <c r="C125" s="509" t="s">
        <v>255</v>
      </c>
      <c r="D125" s="511">
        <v>8090</v>
      </c>
      <c r="E125" s="1805">
        <v>4184</v>
      </c>
      <c r="F125" s="817">
        <v>1629</v>
      </c>
      <c r="G125" s="817">
        <v>1743</v>
      </c>
      <c r="H125" s="817">
        <v>534</v>
      </c>
      <c r="I125" s="1806">
        <v>0</v>
      </c>
      <c r="J125" s="1805">
        <v>4431</v>
      </c>
      <c r="K125" s="817">
        <v>3659</v>
      </c>
      <c r="L125" s="1806"/>
      <c r="M125" s="511">
        <v>6253</v>
      </c>
      <c r="N125" s="511">
        <v>1545</v>
      </c>
      <c r="O125" s="511">
        <v>175</v>
      </c>
      <c r="P125" s="511">
        <v>117</v>
      </c>
      <c r="Q125" s="1827">
        <v>1290</v>
      </c>
    </row>
    <row r="126" spans="1:17" x14ac:dyDescent="0.3">
      <c r="B126" s="418"/>
      <c r="C126" s="418"/>
      <c r="E126" s="418"/>
      <c r="F126" s="418"/>
      <c r="G126" s="418"/>
      <c r="H126" s="418"/>
      <c r="I126" s="418"/>
      <c r="J126" s="418"/>
      <c r="K126" s="418"/>
      <c r="L126" s="418"/>
    </row>
    <row r="128" spans="1:17" ht="78.599999999999994" customHeight="1" x14ac:dyDescent="0.3">
      <c r="A128" s="2749" t="s">
        <v>1174</v>
      </c>
      <c r="B128" s="2749"/>
      <c r="C128" s="2749"/>
      <c r="D128" s="2749"/>
      <c r="E128" s="2749"/>
      <c r="F128" s="2749"/>
      <c r="G128" s="2749"/>
      <c r="H128" s="2749"/>
      <c r="I128" s="2749"/>
      <c r="J128" s="910"/>
      <c r="K128" s="910"/>
      <c r="L128" s="1781"/>
    </row>
    <row r="130" spans="1:12" s="359" customFormat="1" x14ac:dyDescent="0.3">
      <c r="A130" s="359" t="s">
        <v>248</v>
      </c>
    </row>
    <row r="131" spans="1:12" s="359" customFormat="1" x14ac:dyDescent="0.3">
      <c r="A131" s="360" t="s">
        <v>249</v>
      </c>
      <c r="B131" s="361" t="s">
        <v>250</v>
      </c>
      <c r="C131" s="361"/>
      <c r="E131" s="361"/>
      <c r="F131" s="361"/>
      <c r="G131" s="361"/>
      <c r="H131" s="361"/>
      <c r="I131" s="361"/>
      <c r="J131" s="361"/>
      <c r="K131" s="361"/>
      <c r="L131" s="361"/>
    </row>
  </sheetData>
  <autoFilter ref="A4:C4"/>
  <sortState ref="A6:Q125">
    <sortCondition ref="A6:A125"/>
  </sortState>
  <mergeCells count="5">
    <mergeCell ref="Q3:Q4"/>
    <mergeCell ref="A128:I128"/>
    <mergeCell ref="M3:P3"/>
    <mergeCell ref="E3:I3"/>
    <mergeCell ref="J3:L3"/>
  </mergeCells>
  <hyperlinks>
    <hyperlink ref="B131" r:id="rId1"/>
  </hyperlinks>
  <pageMargins left="0.7" right="0.7" top="0.75" bottom="0.75" header="0.3" footer="0.3"/>
  <pageSetup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5"/>
  <sheetViews>
    <sheetView workbookViewId="0">
      <selection activeCell="B5" sqref="B5"/>
    </sheetView>
  </sheetViews>
  <sheetFormatPr defaultColWidth="9" defaultRowHeight="13.2" x14ac:dyDescent="0.25"/>
  <cols>
    <col min="1" max="1" width="5" style="314" bestFit="1" customWidth="1"/>
    <col min="2" max="2" width="26.296875" style="314" customWidth="1"/>
    <col min="3" max="3" width="8.69921875" style="93" customWidth="1"/>
    <col min="4" max="16384" width="9" style="93"/>
  </cols>
  <sheetData>
    <row r="1" spans="1:24" x14ac:dyDescent="0.25">
      <c r="A1" s="93"/>
      <c r="B1" s="93"/>
    </row>
    <row r="2" spans="1:24" x14ac:dyDescent="0.25">
      <c r="A2" s="93"/>
      <c r="B2" s="93"/>
      <c r="C2" s="2758" t="s">
        <v>637</v>
      </c>
      <c r="D2" s="2758"/>
      <c r="E2" s="2758"/>
      <c r="F2" s="2758"/>
      <c r="G2" s="2758" t="s">
        <v>638</v>
      </c>
      <c r="H2" s="2758"/>
      <c r="I2" s="2758"/>
      <c r="J2" s="2758"/>
      <c r="K2" s="2758" t="s">
        <v>640</v>
      </c>
      <c r="L2" s="2758"/>
      <c r="M2" s="2758"/>
      <c r="N2" s="2758"/>
      <c r="P2" s="2757" t="s">
        <v>584</v>
      </c>
      <c r="Q2" s="2757"/>
      <c r="R2" s="2757"/>
      <c r="S2" s="2757" t="s">
        <v>639</v>
      </c>
      <c r="T2" s="2757"/>
      <c r="U2" s="2757"/>
      <c r="V2" s="2757" t="s">
        <v>7</v>
      </c>
      <c r="W2" s="2757"/>
      <c r="X2" s="2757"/>
    </row>
    <row r="3" spans="1:24" x14ac:dyDescent="0.25">
      <c r="A3" s="313" t="s">
        <v>4</v>
      </c>
      <c r="B3" s="313" t="s">
        <v>5</v>
      </c>
      <c r="C3" s="315" t="s">
        <v>269</v>
      </c>
      <c r="D3" s="315" t="s">
        <v>2</v>
      </c>
      <c r="E3" s="315" t="s">
        <v>314</v>
      </c>
      <c r="F3" s="315" t="s">
        <v>315</v>
      </c>
      <c r="G3" s="315" t="s">
        <v>269</v>
      </c>
      <c r="H3" s="315" t="s">
        <v>2</v>
      </c>
      <c r="I3" s="315" t="s">
        <v>314</v>
      </c>
      <c r="J3" s="315" t="s">
        <v>315</v>
      </c>
      <c r="K3" s="315" t="s">
        <v>269</v>
      </c>
      <c r="L3" s="315" t="s">
        <v>2</v>
      </c>
      <c r="M3" s="315" t="s">
        <v>314</v>
      </c>
      <c r="N3" s="315" t="s">
        <v>315</v>
      </c>
      <c r="P3" s="93" t="s">
        <v>2</v>
      </c>
      <c r="Q3" s="93" t="s">
        <v>314</v>
      </c>
      <c r="R3" s="93" t="s">
        <v>315</v>
      </c>
      <c r="S3" s="93" t="s">
        <v>2</v>
      </c>
      <c r="T3" s="93" t="s">
        <v>314</v>
      </c>
      <c r="U3" s="93" t="s">
        <v>315</v>
      </c>
      <c r="V3" s="93" t="s">
        <v>2</v>
      </c>
      <c r="W3" s="93" t="s">
        <v>314</v>
      </c>
      <c r="X3" s="93" t="s">
        <v>315</v>
      </c>
    </row>
    <row r="4" spans="1:24" x14ac:dyDescent="0.25">
      <c r="A4" s="313"/>
      <c r="B4" s="313" t="s">
        <v>9</v>
      </c>
      <c r="C4" s="93">
        <f>SUM(C5:C125)</f>
        <v>22002</v>
      </c>
      <c r="D4" s="93">
        <f t="shared" ref="D4:N4" si="0">SUM(D5:D125)</f>
        <v>19535</v>
      </c>
      <c r="E4" s="93">
        <f t="shared" si="0"/>
        <v>1592</v>
      </c>
      <c r="F4" s="93">
        <f t="shared" si="0"/>
        <v>902</v>
      </c>
      <c r="G4" s="93">
        <f t="shared" si="0"/>
        <v>424404</v>
      </c>
      <c r="H4" s="93">
        <f t="shared" si="0"/>
        <v>366184</v>
      </c>
      <c r="I4" s="93">
        <f t="shared" si="0"/>
        <v>34432</v>
      </c>
      <c r="J4" s="93">
        <f t="shared" si="0"/>
        <v>24382</v>
      </c>
      <c r="K4" s="93">
        <f t="shared" si="0"/>
        <v>214324</v>
      </c>
      <c r="L4" s="93">
        <f t="shared" si="0"/>
        <v>178956</v>
      </c>
      <c r="M4" s="93">
        <f t="shared" si="0"/>
        <v>22489</v>
      </c>
      <c r="N4" s="93">
        <f t="shared" si="0"/>
        <v>13188</v>
      </c>
      <c r="P4" s="93">
        <f>D4/C4</f>
        <v>0.8878738296518498</v>
      </c>
      <c r="Q4" s="93">
        <f>E4/C4</f>
        <v>7.235705844923189E-2</v>
      </c>
      <c r="R4" s="93">
        <f>F4/C4</f>
        <v>4.0996273066084901E-2</v>
      </c>
      <c r="S4" s="93">
        <f>H4/G4</f>
        <v>0.86281938907267608</v>
      </c>
      <c r="T4" s="93">
        <f>I4/G4</f>
        <v>8.1130243824280635E-2</v>
      </c>
      <c r="U4" s="93">
        <f>J4/G4</f>
        <v>5.7449976908794449E-2</v>
      </c>
      <c r="V4" s="93">
        <f>L4/K4</f>
        <v>0.83497881711800825</v>
      </c>
      <c r="W4" s="93">
        <f>M4/K4</f>
        <v>0.10492991918777178</v>
      </c>
      <c r="X4" s="93">
        <f>N4/K4</f>
        <v>6.1533006102909613E-2</v>
      </c>
    </row>
    <row r="5" spans="1:24" x14ac:dyDescent="0.25">
      <c r="A5" s="314">
        <v>1</v>
      </c>
      <c r="B5" s="93" t="s">
        <v>319</v>
      </c>
      <c r="C5" s="93">
        <v>57</v>
      </c>
      <c r="D5" s="93">
        <v>48</v>
      </c>
      <c r="E5" s="93">
        <v>6</v>
      </c>
      <c r="F5" s="93">
        <f>C5-D5-E5</f>
        <v>3</v>
      </c>
      <c r="G5" s="93">
        <v>1743</v>
      </c>
      <c r="H5" s="93">
        <v>1596</v>
      </c>
      <c r="I5" s="93">
        <v>71</v>
      </c>
      <c r="J5" s="93">
        <f>G5-H5-I5</f>
        <v>76</v>
      </c>
      <c r="K5" s="93">
        <v>1235</v>
      </c>
      <c r="L5" s="93">
        <v>1115</v>
      </c>
      <c r="M5" s="93">
        <v>57</v>
      </c>
      <c r="N5" s="93">
        <f>K5-L5-M5</f>
        <v>63</v>
      </c>
      <c r="P5" s="93">
        <f t="shared" ref="P5:P68" si="1">D5/C5</f>
        <v>0.84210526315789469</v>
      </c>
      <c r="Q5" s="93">
        <f t="shared" ref="Q5:Q68" si="2">E5/C5</f>
        <v>0.10526315789473684</v>
      </c>
      <c r="R5" s="93">
        <f t="shared" ref="R5:R68" si="3">F5/C5</f>
        <v>5.2631578947368418E-2</v>
      </c>
      <c r="S5" s="93">
        <f t="shared" ref="S5:S68" si="4">H5/G5</f>
        <v>0.91566265060240959</v>
      </c>
      <c r="T5" s="93">
        <f t="shared" ref="T5:T68" si="5">I5/G5</f>
        <v>4.0734366035570853E-2</v>
      </c>
      <c r="U5" s="93">
        <f t="shared" ref="U5:U68" si="6">J5/G5</f>
        <v>4.360298336201951E-2</v>
      </c>
      <c r="V5" s="93">
        <f t="shared" ref="V5:V68" si="7">L5/K5</f>
        <v>0.90283400809716596</v>
      </c>
      <c r="W5" s="93">
        <f t="shared" ref="W5:W68" si="8">M5/K5</f>
        <v>4.6153846153846156E-2</v>
      </c>
      <c r="X5" s="93">
        <f t="shared" ref="X5:X68" si="9">N5/K5</f>
        <v>5.1012145748987853E-2</v>
      </c>
    </row>
    <row r="6" spans="1:24" x14ac:dyDescent="0.25">
      <c r="A6" s="314">
        <v>3</v>
      </c>
      <c r="B6" s="93" t="s">
        <v>320</v>
      </c>
      <c r="C6" s="93">
        <v>153</v>
      </c>
      <c r="D6" s="93">
        <v>146</v>
      </c>
      <c r="E6" s="93">
        <v>3</v>
      </c>
      <c r="F6" s="93">
        <f t="shared" ref="F6:F69" si="10">C6-D6-E6</f>
        <v>4</v>
      </c>
      <c r="G6" s="93">
        <v>3666</v>
      </c>
      <c r="H6" s="93">
        <v>3182</v>
      </c>
      <c r="I6" s="93">
        <v>233</v>
      </c>
      <c r="J6" s="93">
        <f t="shared" ref="J6:J69" si="11">G6-H6-I6</f>
        <v>251</v>
      </c>
      <c r="K6" s="93">
        <v>1832</v>
      </c>
      <c r="L6" s="93">
        <v>1586</v>
      </c>
      <c r="M6" s="93">
        <v>122</v>
      </c>
      <c r="N6" s="93">
        <f t="shared" ref="N6:N69" si="12">K6-L6-M6</f>
        <v>124</v>
      </c>
      <c r="P6" s="93">
        <f t="shared" si="1"/>
        <v>0.95424836601307195</v>
      </c>
      <c r="Q6" s="93">
        <f t="shared" si="2"/>
        <v>1.9607843137254902E-2</v>
      </c>
      <c r="R6" s="93">
        <f t="shared" si="3"/>
        <v>2.6143790849673203E-2</v>
      </c>
      <c r="S6" s="93">
        <f t="shared" si="4"/>
        <v>0.86797599563557015</v>
      </c>
      <c r="T6" s="93">
        <f t="shared" si="5"/>
        <v>6.3557010365520999E-2</v>
      </c>
      <c r="U6" s="93">
        <f t="shared" si="6"/>
        <v>6.846699399890889E-2</v>
      </c>
      <c r="V6" s="93">
        <f t="shared" si="7"/>
        <v>0.86572052401746724</v>
      </c>
      <c r="W6" s="93">
        <f t="shared" si="8"/>
        <v>6.6593886462882099E-2</v>
      </c>
      <c r="X6" s="93">
        <f t="shared" si="9"/>
        <v>6.768558951965066E-2</v>
      </c>
    </row>
    <row r="7" spans="1:24" x14ac:dyDescent="0.25">
      <c r="A7" s="314">
        <v>5</v>
      </c>
      <c r="B7" s="93" t="s">
        <v>548</v>
      </c>
      <c r="C7" s="93">
        <v>32</v>
      </c>
      <c r="D7" s="93">
        <v>30</v>
      </c>
      <c r="E7" s="93">
        <v>1</v>
      </c>
      <c r="F7" s="93">
        <f>(C7-D7-E7)+0</f>
        <v>1</v>
      </c>
      <c r="G7" s="93">
        <v>158</v>
      </c>
      <c r="H7" s="93">
        <v>142</v>
      </c>
      <c r="I7" s="93">
        <v>10</v>
      </c>
      <c r="J7" s="93">
        <f>(G7-H7-I7)+1</f>
        <v>7</v>
      </c>
      <c r="K7" s="93">
        <v>103</v>
      </c>
      <c r="L7" s="93">
        <v>93</v>
      </c>
      <c r="M7" s="93">
        <v>10</v>
      </c>
      <c r="N7" s="93">
        <f>(K7-L7-M7)+0</f>
        <v>0</v>
      </c>
      <c r="P7" s="93">
        <f t="shared" si="1"/>
        <v>0.9375</v>
      </c>
      <c r="Q7" s="93">
        <f t="shared" si="2"/>
        <v>3.125E-2</v>
      </c>
      <c r="R7" s="93">
        <f t="shared" si="3"/>
        <v>3.125E-2</v>
      </c>
      <c r="S7" s="93">
        <f t="shared" si="4"/>
        <v>0.89873417721518989</v>
      </c>
      <c r="T7" s="93">
        <f t="shared" si="5"/>
        <v>6.3291139240506333E-2</v>
      </c>
      <c r="U7" s="93">
        <f t="shared" si="6"/>
        <v>4.4303797468354431E-2</v>
      </c>
      <c r="V7" s="93">
        <f t="shared" si="7"/>
        <v>0.90291262135922334</v>
      </c>
      <c r="W7" s="93">
        <f t="shared" si="8"/>
        <v>9.7087378640776698E-2</v>
      </c>
      <c r="X7" s="93">
        <f t="shared" si="9"/>
        <v>0</v>
      </c>
    </row>
    <row r="8" spans="1:24" x14ac:dyDescent="0.25">
      <c r="A8" s="314">
        <v>7</v>
      </c>
      <c r="B8" s="93" t="s">
        <v>321</v>
      </c>
      <c r="C8" s="93">
        <v>15</v>
      </c>
      <c r="D8" s="93">
        <v>13</v>
      </c>
      <c r="E8" s="93">
        <v>2</v>
      </c>
      <c r="F8" s="93">
        <f t="shared" si="10"/>
        <v>0</v>
      </c>
      <c r="G8" s="93">
        <v>218</v>
      </c>
      <c r="H8" s="93">
        <v>178</v>
      </c>
      <c r="I8" s="93">
        <v>6</v>
      </c>
      <c r="J8" s="93">
        <f t="shared" si="11"/>
        <v>34</v>
      </c>
      <c r="K8" s="93">
        <v>90</v>
      </c>
      <c r="L8" s="93">
        <v>72</v>
      </c>
      <c r="M8" s="93">
        <v>3</v>
      </c>
      <c r="N8" s="93">
        <f t="shared" si="12"/>
        <v>15</v>
      </c>
      <c r="P8" s="93">
        <f t="shared" si="1"/>
        <v>0.8666666666666667</v>
      </c>
      <c r="Q8" s="93">
        <f t="shared" si="2"/>
        <v>0.13333333333333333</v>
      </c>
      <c r="R8" s="93">
        <f t="shared" si="3"/>
        <v>0</v>
      </c>
      <c r="S8" s="93">
        <f t="shared" si="4"/>
        <v>0.8165137614678899</v>
      </c>
      <c r="T8" s="93">
        <f t="shared" si="5"/>
        <v>2.7522935779816515E-2</v>
      </c>
      <c r="U8" s="93">
        <f t="shared" si="6"/>
        <v>0.15596330275229359</v>
      </c>
      <c r="V8" s="93">
        <f t="shared" si="7"/>
        <v>0.8</v>
      </c>
      <c r="W8" s="93">
        <f t="shared" si="8"/>
        <v>3.3333333333333333E-2</v>
      </c>
      <c r="X8" s="93">
        <f t="shared" si="9"/>
        <v>0.16666666666666666</v>
      </c>
    </row>
    <row r="9" spans="1:24" x14ac:dyDescent="0.25">
      <c r="A9" s="314">
        <v>9</v>
      </c>
      <c r="B9" s="93" t="s">
        <v>322</v>
      </c>
      <c r="C9" s="93">
        <v>41</v>
      </c>
      <c r="D9" s="93">
        <v>33</v>
      </c>
      <c r="E9" s="93">
        <v>7</v>
      </c>
      <c r="F9" s="93">
        <f t="shared" si="10"/>
        <v>1</v>
      </c>
      <c r="G9" s="93">
        <v>397</v>
      </c>
      <c r="H9" s="93">
        <v>339</v>
      </c>
      <c r="I9" s="93">
        <v>45</v>
      </c>
      <c r="J9" s="93">
        <f t="shared" si="11"/>
        <v>13</v>
      </c>
      <c r="K9" s="93">
        <v>202</v>
      </c>
      <c r="L9" s="93">
        <v>185</v>
      </c>
      <c r="M9" s="93">
        <v>16</v>
      </c>
      <c r="N9" s="93">
        <f t="shared" si="12"/>
        <v>1</v>
      </c>
      <c r="P9" s="93">
        <f t="shared" si="1"/>
        <v>0.80487804878048785</v>
      </c>
      <c r="Q9" s="93">
        <f t="shared" si="2"/>
        <v>0.17073170731707318</v>
      </c>
      <c r="R9" s="93">
        <f t="shared" si="3"/>
        <v>2.4390243902439025E-2</v>
      </c>
      <c r="S9" s="93">
        <f t="shared" si="4"/>
        <v>0.853904282115869</v>
      </c>
      <c r="T9" s="93">
        <f t="shared" si="5"/>
        <v>0.11335012594458438</v>
      </c>
      <c r="U9" s="93">
        <f t="shared" si="6"/>
        <v>3.2745591939546598E-2</v>
      </c>
      <c r="V9" s="93">
        <f t="shared" si="7"/>
        <v>0.91584158415841588</v>
      </c>
      <c r="W9" s="93">
        <f t="shared" si="8"/>
        <v>7.9207920792079209E-2</v>
      </c>
      <c r="X9" s="93">
        <f t="shared" si="9"/>
        <v>4.9504950495049506E-3</v>
      </c>
    </row>
    <row r="10" spans="1:24" x14ac:dyDescent="0.25">
      <c r="A10" s="314">
        <v>11</v>
      </c>
      <c r="B10" s="93" t="s">
        <v>323</v>
      </c>
      <c r="C10" s="93">
        <v>14</v>
      </c>
      <c r="D10" s="93">
        <v>14</v>
      </c>
      <c r="E10" s="93">
        <v>0</v>
      </c>
      <c r="F10" s="93">
        <f t="shared" si="10"/>
        <v>0</v>
      </c>
      <c r="G10" s="93">
        <v>115</v>
      </c>
      <c r="H10" s="93">
        <v>95</v>
      </c>
      <c r="I10" s="93">
        <v>11</v>
      </c>
      <c r="J10" s="93">
        <f t="shared" si="11"/>
        <v>9</v>
      </c>
      <c r="K10" s="93">
        <v>60</v>
      </c>
      <c r="L10" s="93">
        <v>51</v>
      </c>
      <c r="M10" s="93">
        <v>6</v>
      </c>
      <c r="N10" s="93">
        <f t="shared" si="12"/>
        <v>3</v>
      </c>
      <c r="P10" s="93">
        <f t="shared" si="1"/>
        <v>1</v>
      </c>
      <c r="Q10" s="93">
        <f t="shared" si="2"/>
        <v>0</v>
      </c>
      <c r="R10" s="93">
        <f t="shared" si="3"/>
        <v>0</v>
      </c>
      <c r="S10" s="93">
        <f t="shared" si="4"/>
        <v>0.82608695652173914</v>
      </c>
      <c r="T10" s="93">
        <f t="shared" si="5"/>
        <v>9.5652173913043481E-2</v>
      </c>
      <c r="U10" s="93">
        <f t="shared" si="6"/>
        <v>7.8260869565217397E-2</v>
      </c>
      <c r="V10" s="93">
        <f t="shared" si="7"/>
        <v>0.85</v>
      </c>
      <c r="W10" s="93">
        <f t="shared" si="8"/>
        <v>0.1</v>
      </c>
      <c r="X10" s="93">
        <f t="shared" si="9"/>
        <v>0.05</v>
      </c>
    </row>
    <row r="11" spans="1:24" x14ac:dyDescent="0.25">
      <c r="A11" s="314">
        <v>13</v>
      </c>
      <c r="B11" s="93" t="s">
        <v>324</v>
      </c>
      <c r="C11" s="93">
        <v>1535</v>
      </c>
      <c r="D11" s="93">
        <v>1418</v>
      </c>
      <c r="E11" s="93">
        <v>55</v>
      </c>
      <c r="F11" s="93">
        <f t="shared" si="10"/>
        <v>62</v>
      </c>
      <c r="G11" s="93">
        <v>23449</v>
      </c>
      <c r="H11" s="93">
        <v>20976</v>
      </c>
      <c r="I11" s="93">
        <v>983</v>
      </c>
      <c r="J11" s="93">
        <f t="shared" si="11"/>
        <v>1490</v>
      </c>
      <c r="K11" s="93">
        <v>7809</v>
      </c>
      <c r="L11" s="93">
        <v>6853</v>
      </c>
      <c r="M11" s="93">
        <v>414</v>
      </c>
      <c r="N11" s="93">
        <f t="shared" si="12"/>
        <v>542</v>
      </c>
      <c r="P11" s="93">
        <f t="shared" si="1"/>
        <v>0.92377850162866448</v>
      </c>
      <c r="Q11" s="93">
        <f t="shared" si="2"/>
        <v>3.5830618892508145E-2</v>
      </c>
      <c r="R11" s="93">
        <f t="shared" si="3"/>
        <v>4.0390879478827364E-2</v>
      </c>
      <c r="S11" s="93">
        <f t="shared" si="4"/>
        <v>0.89453708047251479</v>
      </c>
      <c r="T11" s="93">
        <f t="shared" si="5"/>
        <v>4.1920764211693461E-2</v>
      </c>
      <c r="U11" s="93">
        <f t="shared" si="6"/>
        <v>6.3542155315791715E-2</v>
      </c>
      <c r="V11" s="93">
        <f t="shared" si="7"/>
        <v>0.87757715456524521</v>
      </c>
      <c r="W11" s="93">
        <f t="shared" si="8"/>
        <v>5.3015751056473298E-2</v>
      </c>
      <c r="X11" s="93">
        <f t="shared" si="9"/>
        <v>6.9407094378281464E-2</v>
      </c>
    </row>
    <row r="12" spans="1:24" x14ac:dyDescent="0.25">
      <c r="A12" s="314">
        <v>15</v>
      </c>
      <c r="B12" s="93" t="s">
        <v>641</v>
      </c>
      <c r="C12" s="93">
        <v>132</v>
      </c>
      <c r="D12" s="93">
        <v>115</v>
      </c>
      <c r="E12" s="93">
        <v>10</v>
      </c>
      <c r="F12" s="93">
        <f>((C12-D12-E12)+3)+1</f>
        <v>11</v>
      </c>
      <c r="G12" s="93">
        <v>2063</v>
      </c>
      <c r="H12" s="93">
        <v>1815</v>
      </c>
      <c r="I12" s="93">
        <v>162</v>
      </c>
      <c r="J12" s="93">
        <f>((G12-H12-I12)+21)+24</f>
        <v>131</v>
      </c>
      <c r="K12" s="93">
        <v>1405</v>
      </c>
      <c r="L12" s="93">
        <v>1224</v>
      </c>
      <c r="M12" s="93">
        <v>125</v>
      </c>
      <c r="N12" s="93">
        <f>((K12-L12-M12)+3)+22</f>
        <v>81</v>
      </c>
      <c r="P12" s="93">
        <f t="shared" si="1"/>
        <v>0.87121212121212122</v>
      </c>
      <c r="Q12" s="93">
        <f t="shared" si="2"/>
        <v>7.575757575757576E-2</v>
      </c>
      <c r="R12" s="93">
        <f t="shared" si="3"/>
        <v>8.3333333333333329E-2</v>
      </c>
      <c r="S12" s="93">
        <f t="shared" si="4"/>
        <v>0.87978671837130396</v>
      </c>
      <c r="T12" s="93">
        <f t="shared" si="5"/>
        <v>7.8526417838099855E-2</v>
      </c>
      <c r="U12" s="93">
        <f t="shared" si="6"/>
        <v>6.3499757634512849E-2</v>
      </c>
      <c r="V12" s="93">
        <f t="shared" si="7"/>
        <v>0.87117437722419933</v>
      </c>
      <c r="W12" s="93">
        <f t="shared" si="8"/>
        <v>8.8967971530249115E-2</v>
      </c>
      <c r="X12" s="93">
        <f t="shared" si="9"/>
        <v>5.7651245551601421E-2</v>
      </c>
    </row>
    <row r="13" spans="1:24" x14ac:dyDescent="0.25">
      <c r="A13" s="314">
        <v>17</v>
      </c>
      <c r="B13" s="93" t="s">
        <v>325</v>
      </c>
      <c r="C13" s="93">
        <v>11</v>
      </c>
      <c r="D13" s="93">
        <v>10</v>
      </c>
      <c r="E13" s="93">
        <v>1</v>
      </c>
      <c r="F13" s="93">
        <f t="shared" si="10"/>
        <v>0</v>
      </c>
      <c r="G13" s="93">
        <v>54</v>
      </c>
      <c r="H13" s="93">
        <v>44</v>
      </c>
      <c r="I13" s="93">
        <v>8</v>
      </c>
      <c r="J13" s="93">
        <f t="shared" si="11"/>
        <v>2</v>
      </c>
      <c r="K13" s="93">
        <v>37</v>
      </c>
      <c r="L13" s="93">
        <v>26</v>
      </c>
      <c r="M13" s="93">
        <v>11</v>
      </c>
      <c r="N13" s="93">
        <f t="shared" si="12"/>
        <v>0</v>
      </c>
      <c r="P13" s="93">
        <f t="shared" si="1"/>
        <v>0.90909090909090906</v>
      </c>
      <c r="Q13" s="93">
        <f t="shared" si="2"/>
        <v>9.0909090909090912E-2</v>
      </c>
      <c r="R13" s="93">
        <f t="shared" si="3"/>
        <v>0</v>
      </c>
      <c r="S13" s="93">
        <f t="shared" si="4"/>
        <v>0.81481481481481477</v>
      </c>
      <c r="T13" s="93">
        <f t="shared" si="5"/>
        <v>0.14814814814814814</v>
      </c>
      <c r="U13" s="93">
        <f t="shared" si="6"/>
        <v>3.7037037037037035E-2</v>
      </c>
      <c r="V13" s="93">
        <f t="shared" si="7"/>
        <v>0.70270270270270274</v>
      </c>
      <c r="W13" s="93">
        <f t="shared" si="8"/>
        <v>0.29729729729729731</v>
      </c>
      <c r="X13" s="93">
        <f t="shared" si="9"/>
        <v>0</v>
      </c>
    </row>
    <row r="14" spans="1:24" x14ac:dyDescent="0.25">
      <c r="A14" s="314">
        <v>19</v>
      </c>
      <c r="B14" s="93" t="s">
        <v>549</v>
      </c>
      <c r="C14" s="93">
        <v>87</v>
      </c>
      <c r="D14" s="93">
        <v>80</v>
      </c>
      <c r="E14" s="93">
        <v>6</v>
      </c>
      <c r="F14" s="93">
        <f>(C14-D14-E14)+0</f>
        <v>1</v>
      </c>
      <c r="G14" s="93">
        <v>760</v>
      </c>
      <c r="H14" s="93">
        <v>697</v>
      </c>
      <c r="I14" s="93">
        <v>35</v>
      </c>
      <c r="J14" s="93">
        <f>(G14-H14-I14)+4</f>
        <v>32</v>
      </c>
      <c r="K14" s="93">
        <v>515</v>
      </c>
      <c r="L14" s="93">
        <v>448</v>
      </c>
      <c r="M14" s="93">
        <v>46</v>
      </c>
      <c r="N14" s="93">
        <f>(K14-L14-M14)+2</f>
        <v>23</v>
      </c>
      <c r="P14" s="93">
        <f t="shared" si="1"/>
        <v>0.91954022988505746</v>
      </c>
      <c r="Q14" s="93">
        <f t="shared" si="2"/>
        <v>6.8965517241379309E-2</v>
      </c>
      <c r="R14" s="93">
        <f t="shared" si="3"/>
        <v>1.1494252873563218E-2</v>
      </c>
      <c r="S14" s="93">
        <f t="shared" si="4"/>
        <v>0.91710526315789476</v>
      </c>
      <c r="T14" s="93">
        <f t="shared" si="5"/>
        <v>4.6052631578947366E-2</v>
      </c>
      <c r="U14" s="93">
        <f t="shared" si="6"/>
        <v>4.2105263157894736E-2</v>
      </c>
      <c r="V14" s="93">
        <f t="shared" si="7"/>
        <v>0.86990291262135921</v>
      </c>
      <c r="W14" s="93">
        <f t="shared" si="8"/>
        <v>8.9320388349514557E-2</v>
      </c>
      <c r="X14" s="93">
        <f t="shared" si="9"/>
        <v>4.4660194174757278E-2</v>
      </c>
    </row>
    <row r="15" spans="1:24" x14ac:dyDescent="0.25">
      <c r="A15" s="314">
        <v>21</v>
      </c>
      <c r="B15" s="93" t="s">
        <v>326</v>
      </c>
      <c r="C15" s="93">
        <v>1</v>
      </c>
      <c r="D15" s="93">
        <v>1</v>
      </c>
      <c r="E15" s="93">
        <v>0</v>
      </c>
      <c r="F15" s="93">
        <f t="shared" si="10"/>
        <v>0</v>
      </c>
      <c r="G15" s="93">
        <v>39</v>
      </c>
      <c r="H15" s="93">
        <v>37</v>
      </c>
      <c r="I15" s="93">
        <v>2</v>
      </c>
      <c r="J15" s="93">
        <f t="shared" si="11"/>
        <v>0</v>
      </c>
      <c r="K15" s="93">
        <v>10</v>
      </c>
      <c r="L15" s="93">
        <v>10</v>
      </c>
      <c r="M15" s="93">
        <v>0</v>
      </c>
      <c r="N15" s="93">
        <f t="shared" si="12"/>
        <v>0</v>
      </c>
      <c r="P15" s="93">
        <f t="shared" si="1"/>
        <v>1</v>
      </c>
      <c r="Q15" s="93">
        <f t="shared" si="2"/>
        <v>0</v>
      </c>
      <c r="R15" s="93">
        <f t="shared" si="3"/>
        <v>0</v>
      </c>
      <c r="S15" s="93">
        <f t="shared" si="4"/>
        <v>0.94871794871794868</v>
      </c>
      <c r="T15" s="93">
        <f t="shared" si="5"/>
        <v>5.128205128205128E-2</v>
      </c>
      <c r="U15" s="93">
        <f t="shared" si="6"/>
        <v>0</v>
      </c>
      <c r="V15" s="93">
        <f t="shared" si="7"/>
        <v>1</v>
      </c>
      <c r="W15" s="93">
        <f t="shared" si="8"/>
        <v>0</v>
      </c>
      <c r="X15" s="93">
        <f t="shared" si="9"/>
        <v>0</v>
      </c>
    </row>
    <row r="16" spans="1:24" x14ac:dyDescent="0.25">
      <c r="A16" s="314">
        <v>23</v>
      </c>
      <c r="B16" s="93" t="s">
        <v>327</v>
      </c>
      <c r="C16" s="93">
        <v>16</v>
      </c>
      <c r="D16" s="93">
        <v>16</v>
      </c>
      <c r="E16" s="93">
        <v>0</v>
      </c>
      <c r="F16" s="93">
        <f t="shared" si="10"/>
        <v>0</v>
      </c>
      <c r="G16" s="93">
        <v>212</v>
      </c>
      <c r="H16" s="93">
        <v>184</v>
      </c>
      <c r="I16" s="93">
        <v>13</v>
      </c>
      <c r="J16" s="93">
        <f t="shared" si="11"/>
        <v>15</v>
      </c>
      <c r="K16" s="93">
        <v>167</v>
      </c>
      <c r="L16" s="93">
        <v>141</v>
      </c>
      <c r="M16" s="93">
        <v>18</v>
      </c>
      <c r="N16" s="93">
        <f t="shared" si="12"/>
        <v>8</v>
      </c>
      <c r="P16" s="93">
        <f t="shared" si="1"/>
        <v>1</v>
      </c>
      <c r="Q16" s="93">
        <f t="shared" si="2"/>
        <v>0</v>
      </c>
      <c r="R16" s="93">
        <f t="shared" si="3"/>
        <v>0</v>
      </c>
      <c r="S16" s="93">
        <f t="shared" si="4"/>
        <v>0.86792452830188682</v>
      </c>
      <c r="T16" s="93">
        <f t="shared" si="5"/>
        <v>6.1320754716981132E-2</v>
      </c>
      <c r="U16" s="93">
        <f t="shared" si="6"/>
        <v>7.0754716981132074E-2</v>
      </c>
      <c r="V16" s="93">
        <f t="shared" si="7"/>
        <v>0.84431137724550898</v>
      </c>
      <c r="W16" s="93">
        <f t="shared" si="8"/>
        <v>0.10778443113772455</v>
      </c>
      <c r="X16" s="93">
        <f t="shared" si="9"/>
        <v>4.790419161676647E-2</v>
      </c>
    </row>
    <row r="17" spans="1:24" x14ac:dyDescent="0.25">
      <c r="A17" s="314">
        <v>25</v>
      </c>
      <c r="B17" s="93" t="s">
        <v>328</v>
      </c>
      <c r="C17" s="93">
        <v>13</v>
      </c>
      <c r="D17" s="93">
        <v>8</v>
      </c>
      <c r="E17" s="93">
        <v>4</v>
      </c>
      <c r="F17" s="93">
        <f t="shared" si="10"/>
        <v>1</v>
      </c>
      <c r="G17" s="93">
        <v>199</v>
      </c>
      <c r="H17" s="93">
        <v>145</v>
      </c>
      <c r="I17" s="93">
        <v>46</v>
      </c>
      <c r="J17" s="93">
        <f t="shared" si="11"/>
        <v>8</v>
      </c>
      <c r="K17" s="93">
        <v>104</v>
      </c>
      <c r="L17" s="93">
        <v>73</v>
      </c>
      <c r="M17" s="93">
        <v>23</v>
      </c>
      <c r="N17" s="93">
        <f t="shared" si="12"/>
        <v>8</v>
      </c>
      <c r="P17" s="93">
        <f t="shared" si="1"/>
        <v>0.61538461538461542</v>
      </c>
      <c r="Q17" s="93">
        <f t="shared" si="2"/>
        <v>0.30769230769230771</v>
      </c>
      <c r="R17" s="93">
        <f t="shared" si="3"/>
        <v>7.6923076923076927E-2</v>
      </c>
      <c r="S17" s="93">
        <f t="shared" si="4"/>
        <v>0.72864321608040206</v>
      </c>
      <c r="T17" s="93">
        <f t="shared" si="5"/>
        <v>0.23115577889447236</v>
      </c>
      <c r="U17" s="93">
        <f t="shared" si="6"/>
        <v>4.0201005025125629E-2</v>
      </c>
      <c r="V17" s="93">
        <f t="shared" si="7"/>
        <v>0.70192307692307687</v>
      </c>
      <c r="W17" s="93">
        <f t="shared" si="8"/>
        <v>0.22115384615384615</v>
      </c>
      <c r="X17" s="93">
        <f t="shared" si="9"/>
        <v>7.6923076923076927E-2</v>
      </c>
    </row>
    <row r="18" spans="1:24" x14ac:dyDescent="0.25">
      <c r="A18" s="314">
        <v>27</v>
      </c>
      <c r="B18" s="93" t="s">
        <v>329</v>
      </c>
      <c r="C18" s="93">
        <v>8</v>
      </c>
      <c r="D18" s="93">
        <v>8</v>
      </c>
      <c r="E18" s="93">
        <v>0</v>
      </c>
      <c r="F18" s="93">
        <f t="shared" si="10"/>
        <v>0</v>
      </c>
      <c r="G18" s="93">
        <v>50</v>
      </c>
      <c r="H18" s="93">
        <v>44</v>
      </c>
      <c r="I18" s="93">
        <v>3</v>
      </c>
      <c r="J18" s="93">
        <f t="shared" si="11"/>
        <v>3</v>
      </c>
      <c r="K18" s="93">
        <v>42</v>
      </c>
      <c r="L18" s="93">
        <v>36</v>
      </c>
      <c r="M18" s="93">
        <v>2</v>
      </c>
      <c r="N18" s="93">
        <f t="shared" si="12"/>
        <v>4</v>
      </c>
      <c r="P18" s="93">
        <f t="shared" si="1"/>
        <v>1</v>
      </c>
      <c r="Q18" s="93">
        <f t="shared" si="2"/>
        <v>0</v>
      </c>
      <c r="R18" s="93">
        <f t="shared" si="3"/>
        <v>0</v>
      </c>
      <c r="S18" s="93">
        <f t="shared" si="4"/>
        <v>0.88</v>
      </c>
      <c r="T18" s="93">
        <f t="shared" si="5"/>
        <v>0.06</v>
      </c>
      <c r="U18" s="93">
        <f t="shared" si="6"/>
        <v>0.06</v>
      </c>
      <c r="V18" s="93">
        <f t="shared" si="7"/>
        <v>0.8571428571428571</v>
      </c>
      <c r="W18" s="93">
        <f t="shared" si="8"/>
        <v>4.7619047619047616E-2</v>
      </c>
      <c r="X18" s="93">
        <f t="shared" si="9"/>
        <v>9.5238095238095233E-2</v>
      </c>
    </row>
    <row r="19" spans="1:24" x14ac:dyDescent="0.25">
      <c r="A19" s="314">
        <v>29</v>
      </c>
      <c r="B19" s="93" t="s">
        <v>330</v>
      </c>
      <c r="C19" s="93">
        <v>13</v>
      </c>
      <c r="D19" s="93">
        <v>8</v>
      </c>
      <c r="E19" s="93">
        <v>5</v>
      </c>
      <c r="F19" s="93">
        <f t="shared" si="10"/>
        <v>0</v>
      </c>
      <c r="G19" s="93">
        <v>197</v>
      </c>
      <c r="H19" s="93">
        <v>163</v>
      </c>
      <c r="I19" s="93">
        <v>27</v>
      </c>
      <c r="J19" s="93">
        <f t="shared" si="11"/>
        <v>7</v>
      </c>
      <c r="K19" s="93">
        <v>88</v>
      </c>
      <c r="L19" s="93">
        <v>72</v>
      </c>
      <c r="M19" s="93">
        <v>16</v>
      </c>
      <c r="N19" s="93">
        <f t="shared" si="12"/>
        <v>0</v>
      </c>
      <c r="P19" s="93">
        <f t="shared" si="1"/>
        <v>0.61538461538461542</v>
      </c>
      <c r="Q19" s="93">
        <f t="shared" si="2"/>
        <v>0.38461538461538464</v>
      </c>
      <c r="R19" s="93">
        <f t="shared" si="3"/>
        <v>0</v>
      </c>
      <c r="S19" s="93">
        <f t="shared" si="4"/>
        <v>0.82741116751269039</v>
      </c>
      <c r="T19" s="93">
        <f t="shared" si="5"/>
        <v>0.13705583756345177</v>
      </c>
      <c r="U19" s="93">
        <f t="shared" si="6"/>
        <v>3.553299492385787E-2</v>
      </c>
      <c r="V19" s="93">
        <f t="shared" si="7"/>
        <v>0.81818181818181823</v>
      </c>
      <c r="W19" s="93">
        <f t="shared" si="8"/>
        <v>0.18181818181818182</v>
      </c>
      <c r="X19" s="93">
        <f t="shared" si="9"/>
        <v>0</v>
      </c>
    </row>
    <row r="20" spans="1:24" x14ac:dyDescent="0.25">
      <c r="A20" s="314">
        <v>31</v>
      </c>
      <c r="B20" s="93" t="s">
        <v>331</v>
      </c>
      <c r="C20" s="93">
        <v>37</v>
      </c>
      <c r="D20" s="93">
        <v>34</v>
      </c>
      <c r="E20" s="93">
        <v>2</v>
      </c>
      <c r="F20" s="93">
        <f t="shared" si="10"/>
        <v>1</v>
      </c>
      <c r="G20" s="93">
        <v>672</v>
      </c>
      <c r="H20" s="93">
        <v>604</v>
      </c>
      <c r="I20" s="93">
        <v>40</v>
      </c>
      <c r="J20" s="93">
        <f t="shared" si="11"/>
        <v>28</v>
      </c>
      <c r="K20" s="93">
        <v>310</v>
      </c>
      <c r="L20" s="93">
        <v>277</v>
      </c>
      <c r="M20" s="93">
        <v>26</v>
      </c>
      <c r="N20" s="93">
        <f t="shared" si="12"/>
        <v>7</v>
      </c>
      <c r="P20" s="93">
        <f t="shared" si="1"/>
        <v>0.91891891891891897</v>
      </c>
      <c r="Q20" s="93">
        <f t="shared" si="2"/>
        <v>5.4054054054054057E-2</v>
      </c>
      <c r="R20" s="93">
        <f t="shared" si="3"/>
        <v>2.7027027027027029E-2</v>
      </c>
      <c r="S20" s="93">
        <f t="shared" si="4"/>
        <v>0.89880952380952384</v>
      </c>
      <c r="T20" s="93">
        <f t="shared" si="5"/>
        <v>5.9523809523809521E-2</v>
      </c>
      <c r="U20" s="93">
        <f t="shared" si="6"/>
        <v>4.1666666666666664E-2</v>
      </c>
      <c r="V20" s="93">
        <f t="shared" si="7"/>
        <v>0.8935483870967742</v>
      </c>
      <c r="W20" s="93">
        <f t="shared" si="8"/>
        <v>8.387096774193549E-2</v>
      </c>
      <c r="X20" s="93">
        <f t="shared" si="9"/>
        <v>2.2580645161290321E-2</v>
      </c>
    </row>
    <row r="21" spans="1:24" x14ac:dyDescent="0.25">
      <c r="A21" s="314">
        <v>33</v>
      </c>
      <c r="B21" s="93" t="s">
        <v>332</v>
      </c>
      <c r="C21" s="93">
        <v>46</v>
      </c>
      <c r="D21" s="93">
        <v>39</v>
      </c>
      <c r="E21" s="93">
        <v>6</v>
      </c>
      <c r="F21" s="93">
        <f t="shared" si="10"/>
        <v>1</v>
      </c>
      <c r="G21" s="93">
        <v>606</v>
      </c>
      <c r="H21" s="93">
        <v>501</v>
      </c>
      <c r="I21" s="93">
        <v>63</v>
      </c>
      <c r="J21" s="93">
        <f t="shared" si="11"/>
        <v>42</v>
      </c>
      <c r="K21" s="93">
        <v>364</v>
      </c>
      <c r="L21" s="93">
        <v>284</v>
      </c>
      <c r="M21" s="93">
        <v>62</v>
      </c>
      <c r="N21" s="93">
        <f t="shared" si="12"/>
        <v>18</v>
      </c>
      <c r="P21" s="93">
        <f t="shared" si="1"/>
        <v>0.84782608695652173</v>
      </c>
      <c r="Q21" s="93">
        <f t="shared" si="2"/>
        <v>0.13043478260869565</v>
      </c>
      <c r="R21" s="93">
        <f t="shared" si="3"/>
        <v>2.1739130434782608E-2</v>
      </c>
      <c r="S21" s="93">
        <f t="shared" si="4"/>
        <v>0.82673267326732669</v>
      </c>
      <c r="T21" s="93">
        <f t="shared" si="5"/>
        <v>0.10396039603960396</v>
      </c>
      <c r="U21" s="93">
        <f t="shared" si="6"/>
        <v>6.9306930693069313E-2</v>
      </c>
      <c r="V21" s="93">
        <f t="shared" si="7"/>
        <v>0.78021978021978022</v>
      </c>
      <c r="W21" s="93">
        <f t="shared" si="8"/>
        <v>0.17032967032967034</v>
      </c>
      <c r="X21" s="93">
        <f t="shared" si="9"/>
        <v>4.9450549450549448E-2</v>
      </c>
    </row>
    <row r="22" spans="1:24" x14ac:dyDescent="0.25">
      <c r="A22" s="314">
        <v>35</v>
      </c>
      <c r="B22" s="93" t="s">
        <v>333</v>
      </c>
      <c r="C22" s="93">
        <v>34</v>
      </c>
      <c r="D22" s="93">
        <v>33</v>
      </c>
      <c r="E22" s="93">
        <v>0</v>
      </c>
      <c r="F22" s="93">
        <f t="shared" si="10"/>
        <v>1</v>
      </c>
      <c r="G22" s="93">
        <v>457</v>
      </c>
      <c r="H22" s="93">
        <v>425</v>
      </c>
      <c r="I22" s="93">
        <v>5</v>
      </c>
      <c r="J22" s="93">
        <f t="shared" si="11"/>
        <v>27</v>
      </c>
      <c r="K22" s="93">
        <v>344</v>
      </c>
      <c r="L22" s="93">
        <v>314</v>
      </c>
      <c r="M22" s="93">
        <v>6</v>
      </c>
      <c r="N22" s="93">
        <f t="shared" si="12"/>
        <v>24</v>
      </c>
      <c r="P22" s="93">
        <f t="shared" si="1"/>
        <v>0.97058823529411764</v>
      </c>
      <c r="Q22" s="93">
        <f t="shared" si="2"/>
        <v>0</v>
      </c>
      <c r="R22" s="93">
        <f t="shared" si="3"/>
        <v>2.9411764705882353E-2</v>
      </c>
      <c r="S22" s="93">
        <f t="shared" si="4"/>
        <v>0.92997811816192555</v>
      </c>
      <c r="T22" s="93">
        <f t="shared" si="5"/>
        <v>1.0940919037199124E-2</v>
      </c>
      <c r="U22" s="93">
        <f t="shared" si="6"/>
        <v>5.9080962800875277E-2</v>
      </c>
      <c r="V22" s="93">
        <f t="shared" si="7"/>
        <v>0.91279069767441856</v>
      </c>
      <c r="W22" s="93">
        <f t="shared" si="8"/>
        <v>1.7441860465116279E-2</v>
      </c>
      <c r="X22" s="93">
        <f t="shared" si="9"/>
        <v>6.9767441860465115E-2</v>
      </c>
    </row>
    <row r="23" spans="1:24" x14ac:dyDescent="0.25">
      <c r="A23" s="314">
        <v>36</v>
      </c>
      <c r="B23" s="93" t="s">
        <v>334</v>
      </c>
      <c r="C23" s="93">
        <v>3</v>
      </c>
      <c r="D23" s="93">
        <v>3</v>
      </c>
      <c r="E23" s="93">
        <v>0</v>
      </c>
      <c r="F23" s="93">
        <f t="shared" si="10"/>
        <v>0</v>
      </c>
      <c r="G23" s="93">
        <v>78</v>
      </c>
      <c r="H23" s="93">
        <v>47</v>
      </c>
      <c r="I23" s="93">
        <v>4</v>
      </c>
      <c r="J23" s="93">
        <f t="shared" si="11"/>
        <v>27</v>
      </c>
      <c r="K23" s="93">
        <v>26</v>
      </c>
      <c r="L23" s="93">
        <v>18</v>
      </c>
      <c r="M23" s="93">
        <v>4</v>
      </c>
      <c r="N23" s="93">
        <f t="shared" si="12"/>
        <v>4</v>
      </c>
      <c r="P23" s="93">
        <f t="shared" si="1"/>
        <v>1</v>
      </c>
      <c r="Q23" s="93">
        <f t="shared" si="2"/>
        <v>0</v>
      </c>
      <c r="R23" s="93">
        <f t="shared" si="3"/>
        <v>0</v>
      </c>
      <c r="S23" s="93">
        <f t="shared" si="4"/>
        <v>0.60256410256410253</v>
      </c>
      <c r="T23" s="93">
        <f t="shared" si="5"/>
        <v>5.128205128205128E-2</v>
      </c>
      <c r="U23" s="93">
        <f t="shared" si="6"/>
        <v>0.34615384615384615</v>
      </c>
      <c r="V23" s="93">
        <f t="shared" si="7"/>
        <v>0.69230769230769229</v>
      </c>
      <c r="W23" s="93">
        <f t="shared" si="8"/>
        <v>0.15384615384615385</v>
      </c>
      <c r="X23" s="93">
        <f t="shared" si="9"/>
        <v>0.15384615384615385</v>
      </c>
    </row>
    <row r="24" spans="1:24" x14ac:dyDescent="0.25">
      <c r="A24" s="314">
        <v>37</v>
      </c>
      <c r="B24" s="93" t="s">
        <v>335</v>
      </c>
      <c r="C24" s="93">
        <v>10</v>
      </c>
      <c r="D24" s="93">
        <v>9</v>
      </c>
      <c r="E24" s="93">
        <v>1</v>
      </c>
      <c r="F24" s="93">
        <f t="shared" si="10"/>
        <v>0</v>
      </c>
      <c r="G24" s="93">
        <v>164</v>
      </c>
      <c r="H24" s="93">
        <v>133</v>
      </c>
      <c r="I24" s="93">
        <v>22</v>
      </c>
      <c r="J24" s="93">
        <f t="shared" si="11"/>
        <v>9</v>
      </c>
      <c r="K24" s="93">
        <v>100</v>
      </c>
      <c r="L24" s="93">
        <v>75</v>
      </c>
      <c r="M24" s="93">
        <v>21</v>
      </c>
      <c r="N24" s="93">
        <f t="shared" si="12"/>
        <v>4</v>
      </c>
      <c r="P24" s="93">
        <f t="shared" si="1"/>
        <v>0.9</v>
      </c>
      <c r="Q24" s="93">
        <f t="shared" si="2"/>
        <v>0.1</v>
      </c>
      <c r="R24" s="93">
        <f t="shared" si="3"/>
        <v>0</v>
      </c>
      <c r="S24" s="93">
        <f t="shared" si="4"/>
        <v>0.81097560975609762</v>
      </c>
      <c r="T24" s="93">
        <f t="shared" si="5"/>
        <v>0.13414634146341464</v>
      </c>
      <c r="U24" s="93">
        <f t="shared" si="6"/>
        <v>5.4878048780487805E-2</v>
      </c>
      <c r="V24" s="93">
        <f t="shared" si="7"/>
        <v>0.75</v>
      </c>
      <c r="W24" s="93">
        <f t="shared" si="8"/>
        <v>0.21</v>
      </c>
      <c r="X24" s="93">
        <f t="shared" si="9"/>
        <v>0.04</v>
      </c>
    </row>
    <row r="25" spans="1:24" x14ac:dyDescent="0.25">
      <c r="A25" s="314">
        <v>41</v>
      </c>
      <c r="B25" s="93" t="s">
        <v>550</v>
      </c>
      <c r="C25" s="93">
        <v>650</v>
      </c>
      <c r="D25" s="93">
        <v>564</v>
      </c>
      <c r="E25" s="93">
        <v>57</v>
      </c>
      <c r="F25" s="93">
        <f>(C25-D25-E25)+3</f>
        <v>32</v>
      </c>
      <c r="G25" s="93">
        <v>14927</v>
      </c>
      <c r="H25" s="93">
        <v>12410</v>
      </c>
      <c r="I25" s="93">
        <v>1545</v>
      </c>
      <c r="J25" s="93">
        <f>(G25-H25-I25)+20</f>
        <v>992</v>
      </c>
      <c r="K25" s="93">
        <v>8746</v>
      </c>
      <c r="L25" s="93">
        <v>7085</v>
      </c>
      <c r="M25" s="93">
        <v>1130</v>
      </c>
      <c r="N25" s="93">
        <f>(K25-L25-M25)+13</f>
        <v>544</v>
      </c>
      <c r="P25" s="93">
        <f t="shared" si="1"/>
        <v>0.86769230769230765</v>
      </c>
      <c r="Q25" s="93">
        <f t="shared" si="2"/>
        <v>8.7692307692307694E-2</v>
      </c>
      <c r="R25" s="93">
        <f t="shared" si="3"/>
        <v>4.9230769230769231E-2</v>
      </c>
      <c r="S25" s="93">
        <f t="shared" si="4"/>
        <v>0.83137937964761843</v>
      </c>
      <c r="T25" s="93">
        <f t="shared" si="5"/>
        <v>0.10350371809472768</v>
      </c>
      <c r="U25" s="93">
        <f t="shared" si="6"/>
        <v>6.6456756213572721E-2</v>
      </c>
      <c r="V25" s="93">
        <f t="shared" si="7"/>
        <v>0.81008461010747768</v>
      </c>
      <c r="W25" s="93">
        <f t="shared" si="8"/>
        <v>0.12920192087811572</v>
      </c>
      <c r="X25" s="93">
        <f t="shared" si="9"/>
        <v>6.2199862794420309E-2</v>
      </c>
    </row>
    <row r="26" spans="1:24" x14ac:dyDescent="0.25">
      <c r="A26" s="314">
        <v>43</v>
      </c>
      <c r="B26" s="93" t="s">
        <v>336</v>
      </c>
      <c r="C26" s="93">
        <v>19</v>
      </c>
      <c r="D26" s="93">
        <v>17</v>
      </c>
      <c r="E26" s="93">
        <v>1</v>
      </c>
      <c r="F26" s="93">
        <f t="shared" si="10"/>
        <v>1</v>
      </c>
      <c r="G26" s="93">
        <v>304</v>
      </c>
      <c r="H26" s="93">
        <v>276</v>
      </c>
      <c r="I26" s="93">
        <v>5</v>
      </c>
      <c r="J26" s="93">
        <f t="shared" si="11"/>
        <v>23</v>
      </c>
      <c r="K26" s="93">
        <v>186</v>
      </c>
      <c r="L26" s="93">
        <v>167</v>
      </c>
      <c r="M26" s="93">
        <v>8</v>
      </c>
      <c r="N26" s="93">
        <f t="shared" si="12"/>
        <v>11</v>
      </c>
      <c r="P26" s="93">
        <f t="shared" si="1"/>
        <v>0.89473684210526316</v>
      </c>
      <c r="Q26" s="93">
        <f t="shared" si="2"/>
        <v>5.2631578947368418E-2</v>
      </c>
      <c r="R26" s="93">
        <f t="shared" si="3"/>
        <v>5.2631578947368418E-2</v>
      </c>
      <c r="S26" s="93">
        <f t="shared" si="4"/>
        <v>0.90789473684210531</v>
      </c>
      <c r="T26" s="93">
        <f t="shared" si="5"/>
        <v>1.6447368421052631E-2</v>
      </c>
      <c r="U26" s="93">
        <f t="shared" si="6"/>
        <v>7.5657894736842105E-2</v>
      </c>
      <c r="V26" s="93">
        <f t="shared" si="7"/>
        <v>0.89784946236559138</v>
      </c>
      <c r="W26" s="93">
        <f t="shared" si="8"/>
        <v>4.3010752688172046E-2</v>
      </c>
      <c r="X26" s="93">
        <f t="shared" si="9"/>
        <v>5.9139784946236562E-2</v>
      </c>
    </row>
    <row r="27" spans="1:24" x14ac:dyDescent="0.25">
      <c r="A27" s="314">
        <v>45</v>
      </c>
      <c r="B27" s="93" t="s">
        <v>337</v>
      </c>
      <c r="C27" s="93">
        <v>5</v>
      </c>
      <c r="D27" s="93">
        <v>5</v>
      </c>
      <c r="E27" s="93">
        <v>0</v>
      </c>
      <c r="F27" s="93">
        <f t="shared" si="10"/>
        <v>0</v>
      </c>
      <c r="G27" s="93">
        <v>24</v>
      </c>
      <c r="H27" s="93">
        <v>18</v>
      </c>
      <c r="I27" s="93">
        <v>1</v>
      </c>
      <c r="J27" s="93">
        <f t="shared" si="11"/>
        <v>5</v>
      </c>
      <c r="K27" s="93">
        <v>18</v>
      </c>
      <c r="L27" s="93">
        <v>17</v>
      </c>
      <c r="M27" s="93">
        <v>0</v>
      </c>
      <c r="N27" s="93">
        <f t="shared" si="12"/>
        <v>1</v>
      </c>
      <c r="P27" s="93">
        <f t="shared" si="1"/>
        <v>1</v>
      </c>
      <c r="Q27" s="93">
        <f t="shared" si="2"/>
        <v>0</v>
      </c>
      <c r="R27" s="93">
        <f t="shared" si="3"/>
        <v>0</v>
      </c>
      <c r="S27" s="93">
        <f t="shared" si="4"/>
        <v>0.75</v>
      </c>
      <c r="T27" s="93">
        <f t="shared" si="5"/>
        <v>4.1666666666666664E-2</v>
      </c>
      <c r="U27" s="93">
        <f t="shared" si="6"/>
        <v>0.20833333333333334</v>
      </c>
      <c r="V27" s="93">
        <f t="shared" si="7"/>
        <v>0.94444444444444442</v>
      </c>
      <c r="W27" s="93">
        <f t="shared" si="8"/>
        <v>0</v>
      </c>
      <c r="X27" s="93">
        <f t="shared" si="9"/>
        <v>5.5555555555555552E-2</v>
      </c>
    </row>
    <row r="28" spans="1:24" x14ac:dyDescent="0.25">
      <c r="A28" s="314">
        <v>47</v>
      </c>
      <c r="B28" s="93" t="s">
        <v>338</v>
      </c>
      <c r="C28" s="93">
        <v>95</v>
      </c>
      <c r="D28" s="93">
        <v>83</v>
      </c>
      <c r="E28" s="93">
        <v>7</v>
      </c>
      <c r="F28" s="93">
        <f t="shared" si="10"/>
        <v>5</v>
      </c>
      <c r="G28" s="93">
        <v>2527</v>
      </c>
      <c r="H28" s="93">
        <v>2116</v>
      </c>
      <c r="I28" s="93">
        <v>193</v>
      </c>
      <c r="J28" s="93">
        <f t="shared" si="11"/>
        <v>218</v>
      </c>
      <c r="K28" s="93">
        <v>1584</v>
      </c>
      <c r="L28" s="93">
        <v>1282</v>
      </c>
      <c r="M28" s="93">
        <v>176</v>
      </c>
      <c r="N28" s="93">
        <f t="shared" si="12"/>
        <v>126</v>
      </c>
      <c r="P28" s="93">
        <f t="shared" si="1"/>
        <v>0.87368421052631584</v>
      </c>
      <c r="Q28" s="93">
        <f t="shared" si="2"/>
        <v>7.3684210526315783E-2</v>
      </c>
      <c r="R28" s="93">
        <f t="shared" si="3"/>
        <v>5.2631578947368418E-2</v>
      </c>
      <c r="S28" s="93">
        <f t="shared" si="4"/>
        <v>0.83735654926790659</v>
      </c>
      <c r="T28" s="93">
        <f t="shared" si="5"/>
        <v>7.6375148397309064E-2</v>
      </c>
      <c r="U28" s="93">
        <f t="shared" si="6"/>
        <v>8.626830233478433E-2</v>
      </c>
      <c r="V28" s="93">
        <f t="shared" si="7"/>
        <v>0.80934343434343436</v>
      </c>
      <c r="W28" s="93">
        <f t="shared" si="8"/>
        <v>0.1111111111111111</v>
      </c>
      <c r="X28" s="93">
        <f t="shared" si="9"/>
        <v>7.9545454545454544E-2</v>
      </c>
    </row>
    <row r="29" spans="1:24" x14ac:dyDescent="0.25">
      <c r="A29" s="314">
        <v>49</v>
      </c>
      <c r="B29" s="93" t="s">
        <v>339</v>
      </c>
      <c r="C29" s="93">
        <v>3</v>
      </c>
      <c r="D29" s="93">
        <v>1</v>
      </c>
      <c r="E29" s="93">
        <v>2</v>
      </c>
      <c r="F29" s="93">
        <f t="shared" si="10"/>
        <v>0</v>
      </c>
      <c r="G29" s="93">
        <v>111</v>
      </c>
      <c r="H29" s="93">
        <v>92</v>
      </c>
      <c r="I29" s="93">
        <v>15</v>
      </c>
      <c r="J29" s="93">
        <f t="shared" si="11"/>
        <v>4</v>
      </c>
      <c r="K29" s="93">
        <v>95</v>
      </c>
      <c r="L29" s="93">
        <v>67</v>
      </c>
      <c r="M29" s="93">
        <v>27</v>
      </c>
      <c r="N29" s="93">
        <f t="shared" si="12"/>
        <v>1</v>
      </c>
      <c r="P29" s="93">
        <f t="shared" si="1"/>
        <v>0.33333333333333331</v>
      </c>
      <c r="Q29" s="93">
        <f t="shared" si="2"/>
        <v>0.66666666666666663</v>
      </c>
      <c r="R29" s="93">
        <f t="shared" si="3"/>
        <v>0</v>
      </c>
      <c r="S29" s="93">
        <f t="shared" si="4"/>
        <v>0.8288288288288288</v>
      </c>
      <c r="T29" s="93">
        <f t="shared" si="5"/>
        <v>0.13513513513513514</v>
      </c>
      <c r="U29" s="93">
        <f t="shared" si="6"/>
        <v>3.6036036036036036E-2</v>
      </c>
      <c r="V29" s="93">
        <f t="shared" si="7"/>
        <v>0.70526315789473681</v>
      </c>
      <c r="W29" s="93">
        <f t="shared" si="8"/>
        <v>0.28421052631578947</v>
      </c>
      <c r="X29" s="93">
        <f t="shared" si="9"/>
        <v>1.0526315789473684E-2</v>
      </c>
    </row>
    <row r="30" spans="1:24" x14ac:dyDescent="0.25">
      <c r="A30" s="314">
        <v>51</v>
      </c>
      <c r="B30" s="93" t="s">
        <v>340</v>
      </c>
      <c r="C30" s="93">
        <v>7</v>
      </c>
      <c r="D30" s="93">
        <v>7</v>
      </c>
      <c r="E30" s="93">
        <v>0</v>
      </c>
      <c r="F30" s="93">
        <f t="shared" si="10"/>
        <v>0</v>
      </c>
      <c r="G30" s="93">
        <v>53</v>
      </c>
      <c r="H30" s="93">
        <v>45</v>
      </c>
      <c r="I30" s="93">
        <v>4</v>
      </c>
      <c r="J30" s="93">
        <f t="shared" si="11"/>
        <v>4</v>
      </c>
      <c r="K30" s="93">
        <v>34</v>
      </c>
      <c r="L30" s="93">
        <v>30</v>
      </c>
      <c r="M30" s="93">
        <v>1</v>
      </c>
      <c r="N30" s="93">
        <f t="shared" si="12"/>
        <v>3</v>
      </c>
      <c r="P30" s="93">
        <f t="shared" si="1"/>
        <v>1</v>
      </c>
      <c r="Q30" s="93">
        <f t="shared" si="2"/>
        <v>0</v>
      </c>
      <c r="R30" s="93">
        <f t="shared" si="3"/>
        <v>0</v>
      </c>
      <c r="S30" s="93">
        <f t="shared" si="4"/>
        <v>0.84905660377358494</v>
      </c>
      <c r="T30" s="93">
        <f t="shared" si="5"/>
        <v>7.5471698113207544E-2</v>
      </c>
      <c r="U30" s="93">
        <f t="shared" si="6"/>
        <v>7.5471698113207544E-2</v>
      </c>
      <c r="V30" s="93">
        <f t="shared" si="7"/>
        <v>0.88235294117647056</v>
      </c>
      <c r="W30" s="93">
        <f t="shared" si="8"/>
        <v>2.9411764705882353E-2</v>
      </c>
      <c r="X30" s="93">
        <f t="shared" si="9"/>
        <v>8.8235294117647065E-2</v>
      </c>
    </row>
    <row r="31" spans="1:24" x14ac:dyDescent="0.25">
      <c r="A31" s="314">
        <v>53</v>
      </c>
      <c r="B31" s="93" t="s">
        <v>341</v>
      </c>
      <c r="C31" s="93">
        <v>16</v>
      </c>
      <c r="D31" s="93">
        <v>7</v>
      </c>
      <c r="E31" s="93">
        <v>8</v>
      </c>
      <c r="F31" s="93">
        <f t="shared" si="10"/>
        <v>1</v>
      </c>
      <c r="G31" s="93">
        <v>425</v>
      </c>
      <c r="H31" s="93">
        <v>317</v>
      </c>
      <c r="I31" s="93">
        <v>84</v>
      </c>
      <c r="J31" s="93">
        <f t="shared" si="11"/>
        <v>24</v>
      </c>
      <c r="K31" s="93">
        <v>299</v>
      </c>
      <c r="L31" s="93">
        <v>221</v>
      </c>
      <c r="M31" s="93">
        <v>65</v>
      </c>
      <c r="N31" s="93">
        <f t="shared" si="12"/>
        <v>13</v>
      </c>
      <c r="P31" s="93">
        <f t="shared" si="1"/>
        <v>0.4375</v>
      </c>
      <c r="Q31" s="93">
        <f t="shared" si="2"/>
        <v>0.5</v>
      </c>
      <c r="R31" s="93">
        <f t="shared" si="3"/>
        <v>6.25E-2</v>
      </c>
      <c r="S31" s="93">
        <f t="shared" si="4"/>
        <v>0.74588235294117644</v>
      </c>
      <c r="T31" s="93">
        <f t="shared" si="5"/>
        <v>0.1976470588235294</v>
      </c>
      <c r="U31" s="93">
        <f t="shared" si="6"/>
        <v>5.647058823529412E-2</v>
      </c>
      <c r="V31" s="93">
        <f t="shared" si="7"/>
        <v>0.73913043478260865</v>
      </c>
      <c r="W31" s="93">
        <f t="shared" si="8"/>
        <v>0.21739130434782608</v>
      </c>
      <c r="X31" s="93">
        <f t="shared" si="9"/>
        <v>4.3478260869565216E-2</v>
      </c>
    </row>
    <row r="32" spans="1:24" x14ac:dyDescent="0.25">
      <c r="A32" s="314">
        <v>57</v>
      </c>
      <c r="B32" s="93" t="s">
        <v>342</v>
      </c>
      <c r="C32" s="93">
        <v>19</v>
      </c>
      <c r="D32" s="93">
        <v>16</v>
      </c>
      <c r="E32" s="93">
        <v>2</v>
      </c>
      <c r="F32" s="93">
        <f t="shared" si="10"/>
        <v>1</v>
      </c>
      <c r="G32" s="93">
        <v>222</v>
      </c>
      <c r="H32" s="93">
        <v>151</v>
      </c>
      <c r="I32" s="93">
        <v>18</v>
      </c>
      <c r="J32" s="93">
        <f t="shared" si="11"/>
        <v>53</v>
      </c>
      <c r="K32" s="93">
        <v>116</v>
      </c>
      <c r="L32" s="93">
        <v>80</v>
      </c>
      <c r="M32" s="93">
        <v>22</v>
      </c>
      <c r="N32" s="93">
        <f t="shared" si="12"/>
        <v>14</v>
      </c>
      <c r="P32" s="93">
        <f t="shared" si="1"/>
        <v>0.84210526315789469</v>
      </c>
      <c r="Q32" s="93">
        <f t="shared" si="2"/>
        <v>0.10526315789473684</v>
      </c>
      <c r="R32" s="93">
        <f t="shared" si="3"/>
        <v>5.2631578947368418E-2</v>
      </c>
      <c r="S32" s="93">
        <f t="shared" si="4"/>
        <v>0.68018018018018023</v>
      </c>
      <c r="T32" s="93">
        <f t="shared" si="5"/>
        <v>8.1081081081081086E-2</v>
      </c>
      <c r="U32" s="93">
        <f t="shared" si="6"/>
        <v>0.23873873873873874</v>
      </c>
      <c r="V32" s="93">
        <f t="shared" si="7"/>
        <v>0.68965517241379315</v>
      </c>
      <c r="W32" s="93">
        <f t="shared" si="8"/>
        <v>0.18965517241379309</v>
      </c>
      <c r="X32" s="93">
        <f t="shared" si="9"/>
        <v>0.1206896551724138</v>
      </c>
    </row>
    <row r="33" spans="1:24" x14ac:dyDescent="0.25">
      <c r="A33" s="314">
        <v>59</v>
      </c>
      <c r="B33" s="93" t="s">
        <v>284</v>
      </c>
      <c r="C33" s="93">
        <v>7248</v>
      </c>
      <c r="D33" s="93">
        <v>6757</v>
      </c>
      <c r="E33" s="93">
        <v>238</v>
      </c>
      <c r="F33" s="93">
        <f>((C33-D33-E33)+10)+2</f>
        <v>265</v>
      </c>
      <c r="G33" s="93">
        <v>118237</v>
      </c>
      <c r="H33" s="93">
        <v>107418</v>
      </c>
      <c r="I33" s="93">
        <v>4936</v>
      </c>
      <c r="J33" s="93">
        <f>((G33-H33-I33)+179)+20</f>
        <v>6082</v>
      </c>
      <c r="K33" s="93">
        <v>53198</v>
      </c>
      <c r="L33" s="93">
        <v>47298</v>
      </c>
      <c r="M33" s="93">
        <v>2831</v>
      </c>
      <c r="N33" s="93">
        <f>((K33-L33-M33)+103)+32</f>
        <v>3204</v>
      </c>
      <c r="P33" s="93">
        <f t="shared" si="1"/>
        <v>0.93225717439293598</v>
      </c>
      <c r="Q33" s="93">
        <f t="shared" si="2"/>
        <v>3.283664459161148E-2</v>
      </c>
      <c r="R33" s="93">
        <f t="shared" si="3"/>
        <v>3.6561810154525386E-2</v>
      </c>
      <c r="S33" s="93">
        <f t="shared" si="4"/>
        <v>0.9084973400881281</v>
      </c>
      <c r="T33" s="93">
        <f t="shared" si="5"/>
        <v>4.1746661366577301E-2</v>
      </c>
      <c r="U33" s="93">
        <f t="shared" si="6"/>
        <v>5.1439058839449582E-2</v>
      </c>
      <c r="V33" s="93">
        <f t="shared" si="7"/>
        <v>0.8890935749464266</v>
      </c>
      <c r="W33" s="93">
        <f t="shared" si="8"/>
        <v>5.3216286326553633E-2</v>
      </c>
      <c r="X33" s="93">
        <f t="shared" si="9"/>
        <v>6.0227828113838866E-2</v>
      </c>
    </row>
    <row r="34" spans="1:24" x14ac:dyDescent="0.25">
      <c r="A34" s="314">
        <v>61</v>
      </c>
      <c r="B34" s="93" t="s">
        <v>343</v>
      </c>
      <c r="C34" s="93">
        <v>120</v>
      </c>
      <c r="D34" s="93">
        <v>109</v>
      </c>
      <c r="E34" s="93">
        <v>8</v>
      </c>
      <c r="F34" s="93">
        <f t="shared" si="10"/>
        <v>3</v>
      </c>
      <c r="G34" s="93">
        <v>2532</v>
      </c>
      <c r="H34" s="93">
        <v>2301</v>
      </c>
      <c r="I34" s="93">
        <v>110</v>
      </c>
      <c r="J34" s="93">
        <f t="shared" si="11"/>
        <v>121</v>
      </c>
      <c r="K34" s="93">
        <v>1632</v>
      </c>
      <c r="L34" s="93">
        <v>1440</v>
      </c>
      <c r="M34" s="93">
        <v>111</v>
      </c>
      <c r="N34" s="93">
        <f t="shared" si="12"/>
        <v>81</v>
      </c>
      <c r="P34" s="93">
        <f t="shared" si="1"/>
        <v>0.90833333333333333</v>
      </c>
      <c r="Q34" s="93">
        <f t="shared" si="2"/>
        <v>6.6666666666666666E-2</v>
      </c>
      <c r="R34" s="93">
        <f t="shared" si="3"/>
        <v>2.5000000000000001E-2</v>
      </c>
      <c r="S34" s="93">
        <f t="shared" si="4"/>
        <v>0.90876777251184837</v>
      </c>
      <c r="T34" s="93">
        <f t="shared" si="5"/>
        <v>4.3443917851500792E-2</v>
      </c>
      <c r="U34" s="93">
        <f t="shared" si="6"/>
        <v>4.7788309636650872E-2</v>
      </c>
      <c r="V34" s="93">
        <f t="shared" si="7"/>
        <v>0.88235294117647056</v>
      </c>
      <c r="W34" s="93">
        <f t="shared" si="8"/>
        <v>6.8014705882352935E-2</v>
      </c>
      <c r="X34" s="93">
        <f t="shared" si="9"/>
        <v>4.9632352941176468E-2</v>
      </c>
    </row>
    <row r="35" spans="1:24" x14ac:dyDescent="0.25">
      <c r="A35" s="314">
        <v>63</v>
      </c>
      <c r="B35" s="93" t="s">
        <v>344</v>
      </c>
      <c r="C35" s="93">
        <v>20</v>
      </c>
      <c r="D35" s="93">
        <v>18</v>
      </c>
      <c r="E35" s="93">
        <v>2</v>
      </c>
      <c r="F35" s="93">
        <f t="shared" si="10"/>
        <v>0</v>
      </c>
      <c r="G35" s="93">
        <v>251</v>
      </c>
      <c r="H35" s="93">
        <v>230</v>
      </c>
      <c r="I35" s="93">
        <v>17</v>
      </c>
      <c r="J35" s="93">
        <f t="shared" si="11"/>
        <v>4</v>
      </c>
      <c r="K35" s="93">
        <v>142</v>
      </c>
      <c r="L35" s="93">
        <v>136</v>
      </c>
      <c r="M35" s="93">
        <v>5</v>
      </c>
      <c r="N35" s="93">
        <f t="shared" si="12"/>
        <v>1</v>
      </c>
      <c r="P35" s="93">
        <f t="shared" si="1"/>
        <v>0.9</v>
      </c>
      <c r="Q35" s="93">
        <f t="shared" si="2"/>
        <v>0.1</v>
      </c>
      <c r="R35" s="93">
        <f t="shared" si="3"/>
        <v>0</v>
      </c>
      <c r="S35" s="93">
        <f t="shared" si="4"/>
        <v>0.91633466135458164</v>
      </c>
      <c r="T35" s="93">
        <f t="shared" si="5"/>
        <v>6.7729083665338641E-2</v>
      </c>
      <c r="U35" s="93">
        <f t="shared" si="6"/>
        <v>1.5936254980079681E-2</v>
      </c>
      <c r="V35" s="93">
        <f t="shared" si="7"/>
        <v>0.95774647887323938</v>
      </c>
      <c r="W35" s="93">
        <f t="shared" si="8"/>
        <v>3.5211267605633804E-2</v>
      </c>
      <c r="X35" s="93">
        <f t="shared" si="9"/>
        <v>7.0422535211267607E-3</v>
      </c>
    </row>
    <row r="36" spans="1:24" x14ac:dyDescent="0.25">
      <c r="A36" s="314">
        <v>65</v>
      </c>
      <c r="B36" s="93" t="s">
        <v>345</v>
      </c>
      <c r="C36" s="93">
        <v>44</v>
      </c>
      <c r="D36" s="93">
        <v>40</v>
      </c>
      <c r="E36" s="93">
        <v>2</v>
      </c>
      <c r="F36" s="93">
        <f t="shared" si="10"/>
        <v>2</v>
      </c>
      <c r="G36" s="93">
        <v>453</v>
      </c>
      <c r="H36" s="93">
        <v>414</v>
      </c>
      <c r="I36" s="93">
        <v>26</v>
      </c>
      <c r="J36" s="93">
        <f t="shared" si="11"/>
        <v>13</v>
      </c>
      <c r="K36" s="93">
        <v>296</v>
      </c>
      <c r="L36" s="93">
        <v>258</v>
      </c>
      <c r="M36" s="93">
        <v>27</v>
      </c>
      <c r="N36" s="93">
        <f t="shared" si="12"/>
        <v>11</v>
      </c>
      <c r="P36" s="93">
        <f t="shared" si="1"/>
        <v>0.90909090909090906</v>
      </c>
      <c r="Q36" s="93">
        <f t="shared" si="2"/>
        <v>4.5454545454545456E-2</v>
      </c>
      <c r="R36" s="93">
        <f t="shared" si="3"/>
        <v>4.5454545454545456E-2</v>
      </c>
      <c r="S36" s="93">
        <f t="shared" si="4"/>
        <v>0.91390728476821192</v>
      </c>
      <c r="T36" s="93">
        <f t="shared" si="5"/>
        <v>5.7395143487858721E-2</v>
      </c>
      <c r="U36" s="93">
        <f t="shared" si="6"/>
        <v>2.8697571743929361E-2</v>
      </c>
      <c r="V36" s="93">
        <f t="shared" si="7"/>
        <v>0.8716216216216216</v>
      </c>
      <c r="W36" s="93">
        <f t="shared" si="8"/>
        <v>9.1216216216216214E-2</v>
      </c>
      <c r="X36" s="93">
        <f t="shared" si="9"/>
        <v>3.7162162162162164E-2</v>
      </c>
    </row>
    <row r="37" spans="1:24" x14ac:dyDescent="0.25">
      <c r="A37" s="314">
        <v>67</v>
      </c>
      <c r="B37" s="93" t="s">
        <v>85</v>
      </c>
      <c r="C37" s="93">
        <v>55</v>
      </c>
      <c r="D37" s="93">
        <v>50</v>
      </c>
      <c r="E37" s="93">
        <v>5</v>
      </c>
      <c r="F37" s="93">
        <f t="shared" si="10"/>
        <v>0</v>
      </c>
      <c r="G37" s="93">
        <v>850</v>
      </c>
      <c r="H37" s="93">
        <v>694</v>
      </c>
      <c r="I37" s="93">
        <v>50</v>
      </c>
      <c r="J37" s="93">
        <f t="shared" si="11"/>
        <v>106</v>
      </c>
      <c r="K37" s="93">
        <v>592</v>
      </c>
      <c r="L37" s="93">
        <v>506</v>
      </c>
      <c r="M37" s="93">
        <v>21</v>
      </c>
      <c r="N37" s="93">
        <f t="shared" si="12"/>
        <v>65</v>
      </c>
      <c r="P37" s="93">
        <f t="shared" si="1"/>
        <v>0.90909090909090906</v>
      </c>
      <c r="Q37" s="93">
        <f t="shared" si="2"/>
        <v>9.0909090909090912E-2</v>
      </c>
      <c r="R37" s="93">
        <f t="shared" si="3"/>
        <v>0</v>
      </c>
      <c r="S37" s="93">
        <f t="shared" si="4"/>
        <v>0.81647058823529417</v>
      </c>
      <c r="T37" s="93">
        <f t="shared" si="5"/>
        <v>5.8823529411764705E-2</v>
      </c>
      <c r="U37" s="93">
        <f t="shared" si="6"/>
        <v>0.12470588235294118</v>
      </c>
      <c r="V37" s="93">
        <f t="shared" si="7"/>
        <v>0.85472972972972971</v>
      </c>
      <c r="W37" s="93">
        <f t="shared" si="8"/>
        <v>3.5472972972972971E-2</v>
      </c>
      <c r="X37" s="93">
        <f t="shared" si="9"/>
        <v>0.1097972972972973</v>
      </c>
    </row>
    <row r="38" spans="1:24" x14ac:dyDescent="0.25">
      <c r="A38" s="314">
        <v>69</v>
      </c>
      <c r="B38" s="93" t="s">
        <v>346</v>
      </c>
      <c r="C38" s="93">
        <v>129</v>
      </c>
      <c r="D38" s="93">
        <v>121</v>
      </c>
      <c r="E38" s="93">
        <v>3</v>
      </c>
      <c r="F38" s="93">
        <f t="shared" si="10"/>
        <v>5</v>
      </c>
      <c r="G38" s="93">
        <v>3136</v>
      </c>
      <c r="H38" s="93">
        <v>2869</v>
      </c>
      <c r="I38" s="93">
        <v>140</v>
      </c>
      <c r="J38" s="93">
        <f t="shared" si="11"/>
        <v>127</v>
      </c>
      <c r="K38" s="93">
        <v>2215</v>
      </c>
      <c r="L38" s="93">
        <v>1968</v>
      </c>
      <c r="M38" s="93">
        <v>152</v>
      </c>
      <c r="N38" s="93">
        <f t="shared" si="12"/>
        <v>95</v>
      </c>
      <c r="P38" s="93">
        <f t="shared" si="1"/>
        <v>0.93798449612403101</v>
      </c>
      <c r="Q38" s="93">
        <f t="shared" si="2"/>
        <v>2.3255813953488372E-2</v>
      </c>
      <c r="R38" s="93">
        <f t="shared" si="3"/>
        <v>3.875968992248062E-2</v>
      </c>
      <c r="S38" s="93">
        <f t="shared" si="4"/>
        <v>0.91485969387755106</v>
      </c>
      <c r="T38" s="93">
        <f t="shared" si="5"/>
        <v>4.4642857142857144E-2</v>
      </c>
      <c r="U38" s="93">
        <f t="shared" si="6"/>
        <v>4.0497448979591837E-2</v>
      </c>
      <c r="V38" s="93">
        <f t="shared" si="7"/>
        <v>0.8884875846501129</v>
      </c>
      <c r="W38" s="93">
        <f t="shared" si="8"/>
        <v>6.8623024830699778E-2</v>
      </c>
      <c r="X38" s="93">
        <f t="shared" si="9"/>
        <v>4.2889390519187359E-2</v>
      </c>
    </row>
    <row r="39" spans="1:24" x14ac:dyDescent="0.25">
      <c r="A39" s="314">
        <v>71</v>
      </c>
      <c r="B39" s="93" t="s">
        <v>347</v>
      </c>
      <c r="C39" s="93">
        <v>19</v>
      </c>
      <c r="D39" s="93">
        <v>19</v>
      </c>
      <c r="E39" s="93">
        <v>0</v>
      </c>
      <c r="F39" s="93">
        <f t="shared" si="10"/>
        <v>0</v>
      </c>
      <c r="G39" s="93">
        <v>107</v>
      </c>
      <c r="H39" s="93">
        <v>100</v>
      </c>
      <c r="I39" s="93">
        <v>2</v>
      </c>
      <c r="J39" s="93">
        <f t="shared" si="11"/>
        <v>5</v>
      </c>
      <c r="K39" s="93">
        <v>87</v>
      </c>
      <c r="L39" s="93">
        <v>83</v>
      </c>
      <c r="M39" s="93">
        <v>0</v>
      </c>
      <c r="N39" s="93">
        <f t="shared" si="12"/>
        <v>4</v>
      </c>
      <c r="P39" s="93">
        <f t="shared" si="1"/>
        <v>1</v>
      </c>
      <c r="Q39" s="93">
        <f t="shared" si="2"/>
        <v>0</v>
      </c>
      <c r="R39" s="93">
        <f t="shared" si="3"/>
        <v>0</v>
      </c>
      <c r="S39" s="93">
        <f t="shared" si="4"/>
        <v>0.93457943925233644</v>
      </c>
      <c r="T39" s="93">
        <f t="shared" si="5"/>
        <v>1.8691588785046728E-2</v>
      </c>
      <c r="U39" s="93">
        <f t="shared" si="6"/>
        <v>4.6728971962616821E-2</v>
      </c>
      <c r="V39" s="93">
        <f t="shared" si="7"/>
        <v>0.95402298850574707</v>
      </c>
      <c r="W39" s="93">
        <f t="shared" si="8"/>
        <v>0</v>
      </c>
      <c r="X39" s="93">
        <f t="shared" si="9"/>
        <v>4.5977011494252873E-2</v>
      </c>
    </row>
    <row r="40" spans="1:24" x14ac:dyDescent="0.25">
      <c r="A40" s="314">
        <v>73</v>
      </c>
      <c r="B40" s="93" t="s">
        <v>348</v>
      </c>
      <c r="C40" s="93">
        <v>55</v>
      </c>
      <c r="D40" s="93">
        <v>50</v>
      </c>
      <c r="E40" s="93">
        <v>3</v>
      </c>
      <c r="F40" s="93">
        <f t="shared" si="10"/>
        <v>2</v>
      </c>
      <c r="G40" s="93">
        <v>588</v>
      </c>
      <c r="H40" s="93">
        <v>513</v>
      </c>
      <c r="I40" s="93">
        <v>47</v>
      </c>
      <c r="J40" s="93">
        <f t="shared" si="11"/>
        <v>28</v>
      </c>
      <c r="K40" s="93">
        <v>335</v>
      </c>
      <c r="L40" s="93">
        <v>297</v>
      </c>
      <c r="M40" s="93">
        <v>26</v>
      </c>
      <c r="N40" s="93">
        <f t="shared" si="12"/>
        <v>12</v>
      </c>
      <c r="P40" s="93">
        <f t="shared" si="1"/>
        <v>0.90909090909090906</v>
      </c>
      <c r="Q40" s="93">
        <f t="shared" si="2"/>
        <v>5.4545454545454543E-2</v>
      </c>
      <c r="R40" s="93">
        <f t="shared" si="3"/>
        <v>3.6363636363636362E-2</v>
      </c>
      <c r="S40" s="93">
        <f t="shared" si="4"/>
        <v>0.87244897959183676</v>
      </c>
      <c r="T40" s="93">
        <f t="shared" si="5"/>
        <v>7.9931972789115652E-2</v>
      </c>
      <c r="U40" s="93">
        <f t="shared" si="6"/>
        <v>4.7619047619047616E-2</v>
      </c>
      <c r="V40" s="93">
        <f t="shared" si="7"/>
        <v>0.88656716417910453</v>
      </c>
      <c r="W40" s="93">
        <f t="shared" si="8"/>
        <v>7.7611940298507459E-2</v>
      </c>
      <c r="X40" s="93">
        <f t="shared" si="9"/>
        <v>3.5820895522388062E-2</v>
      </c>
    </row>
    <row r="41" spans="1:24" x14ac:dyDescent="0.25">
      <c r="A41" s="314">
        <v>75</v>
      </c>
      <c r="B41" s="93" t="s">
        <v>349</v>
      </c>
      <c r="C41" s="93">
        <v>17</v>
      </c>
      <c r="D41" s="93">
        <v>14</v>
      </c>
      <c r="E41" s="93">
        <v>3</v>
      </c>
      <c r="F41" s="93">
        <f t="shared" si="10"/>
        <v>0</v>
      </c>
      <c r="G41" s="93">
        <v>281</v>
      </c>
      <c r="H41" s="93">
        <v>251</v>
      </c>
      <c r="I41" s="93">
        <v>20</v>
      </c>
      <c r="J41" s="93">
        <f t="shared" si="11"/>
        <v>10</v>
      </c>
      <c r="K41" s="93">
        <v>160</v>
      </c>
      <c r="L41" s="93">
        <v>135</v>
      </c>
      <c r="M41" s="93">
        <v>16</v>
      </c>
      <c r="N41" s="93">
        <f t="shared" si="12"/>
        <v>9</v>
      </c>
      <c r="P41" s="93">
        <f t="shared" si="1"/>
        <v>0.82352941176470584</v>
      </c>
      <c r="Q41" s="93">
        <f t="shared" si="2"/>
        <v>0.17647058823529413</v>
      </c>
      <c r="R41" s="93">
        <f t="shared" si="3"/>
        <v>0</v>
      </c>
      <c r="S41" s="93">
        <f t="shared" si="4"/>
        <v>0.89323843416370108</v>
      </c>
      <c r="T41" s="93">
        <f t="shared" si="5"/>
        <v>7.1174377224199295E-2</v>
      </c>
      <c r="U41" s="93">
        <f t="shared" si="6"/>
        <v>3.5587188612099648E-2</v>
      </c>
      <c r="V41" s="93">
        <f t="shared" si="7"/>
        <v>0.84375</v>
      </c>
      <c r="W41" s="93">
        <f t="shared" si="8"/>
        <v>0.1</v>
      </c>
      <c r="X41" s="93">
        <f t="shared" si="9"/>
        <v>5.6250000000000001E-2</v>
      </c>
    </row>
    <row r="42" spans="1:24" x14ac:dyDescent="0.25">
      <c r="A42" s="314">
        <v>77</v>
      </c>
      <c r="B42" s="93" t="s">
        <v>350</v>
      </c>
      <c r="C42" s="93">
        <v>10</v>
      </c>
      <c r="D42" s="93">
        <v>9</v>
      </c>
      <c r="E42" s="93">
        <v>1</v>
      </c>
      <c r="F42" s="93">
        <f t="shared" si="10"/>
        <v>0</v>
      </c>
      <c r="G42" s="93">
        <v>252</v>
      </c>
      <c r="H42" s="93">
        <v>236</v>
      </c>
      <c r="I42" s="93">
        <v>6</v>
      </c>
      <c r="J42" s="93">
        <f t="shared" si="11"/>
        <v>10</v>
      </c>
      <c r="K42" s="93">
        <v>162</v>
      </c>
      <c r="L42" s="93">
        <v>155</v>
      </c>
      <c r="M42" s="93">
        <v>6</v>
      </c>
      <c r="N42" s="93">
        <f t="shared" si="12"/>
        <v>1</v>
      </c>
      <c r="P42" s="93">
        <f t="shared" si="1"/>
        <v>0.9</v>
      </c>
      <c r="Q42" s="93">
        <f t="shared" si="2"/>
        <v>0.1</v>
      </c>
      <c r="R42" s="93">
        <f t="shared" si="3"/>
        <v>0</v>
      </c>
      <c r="S42" s="93">
        <f t="shared" si="4"/>
        <v>0.93650793650793651</v>
      </c>
      <c r="T42" s="93">
        <f t="shared" si="5"/>
        <v>2.3809523809523808E-2</v>
      </c>
      <c r="U42" s="93">
        <f t="shared" si="6"/>
        <v>3.968253968253968E-2</v>
      </c>
      <c r="V42" s="93">
        <f t="shared" si="7"/>
        <v>0.95679012345679015</v>
      </c>
      <c r="W42" s="93">
        <f t="shared" si="8"/>
        <v>3.7037037037037035E-2</v>
      </c>
      <c r="X42" s="93">
        <f t="shared" si="9"/>
        <v>6.1728395061728392E-3</v>
      </c>
    </row>
    <row r="43" spans="1:24" x14ac:dyDescent="0.25">
      <c r="A43" s="314">
        <v>79</v>
      </c>
      <c r="B43" s="93" t="s">
        <v>351</v>
      </c>
      <c r="C43" s="93">
        <v>21</v>
      </c>
      <c r="D43" s="93">
        <v>21</v>
      </c>
      <c r="E43" s="93">
        <v>0</v>
      </c>
      <c r="F43" s="93">
        <f t="shared" si="10"/>
        <v>0</v>
      </c>
      <c r="G43" s="93">
        <v>482</v>
      </c>
      <c r="H43" s="93">
        <v>443</v>
      </c>
      <c r="I43" s="93">
        <v>14</v>
      </c>
      <c r="J43" s="93">
        <f t="shared" si="11"/>
        <v>25</v>
      </c>
      <c r="K43" s="93">
        <v>344</v>
      </c>
      <c r="L43" s="93">
        <v>307</v>
      </c>
      <c r="M43" s="93">
        <v>22</v>
      </c>
      <c r="N43" s="93">
        <f t="shared" si="12"/>
        <v>15</v>
      </c>
      <c r="P43" s="93">
        <f t="shared" si="1"/>
        <v>1</v>
      </c>
      <c r="Q43" s="93">
        <f t="shared" si="2"/>
        <v>0</v>
      </c>
      <c r="R43" s="93">
        <f t="shared" si="3"/>
        <v>0</v>
      </c>
      <c r="S43" s="93">
        <f t="shared" si="4"/>
        <v>0.91908713692946054</v>
      </c>
      <c r="T43" s="93">
        <f t="shared" si="5"/>
        <v>2.9045643153526972E-2</v>
      </c>
      <c r="U43" s="93">
        <f t="shared" si="6"/>
        <v>5.1867219917012451E-2</v>
      </c>
      <c r="V43" s="93">
        <f t="shared" si="7"/>
        <v>0.89244186046511631</v>
      </c>
      <c r="W43" s="93">
        <f t="shared" si="8"/>
        <v>6.3953488372093026E-2</v>
      </c>
      <c r="X43" s="93">
        <f t="shared" si="9"/>
        <v>4.3604651162790699E-2</v>
      </c>
    </row>
    <row r="44" spans="1:24" x14ac:dyDescent="0.25">
      <c r="A44" s="314">
        <v>81</v>
      </c>
      <c r="B44" s="93" t="s">
        <v>554</v>
      </c>
      <c r="C44" s="93">
        <v>12</v>
      </c>
      <c r="D44" s="93">
        <v>6</v>
      </c>
      <c r="E44" s="93">
        <v>5</v>
      </c>
      <c r="F44" s="93">
        <f>(C44-D44-E44)+1</f>
        <v>2</v>
      </c>
      <c r="G44" s="93">
        <v>328</v>
      </c>
      <c r="H44" s="93">
        <v>250</v>
      </c>
      <c r="I44" s="93">
        <v>64</v>
      </c>
      <c r="J44" s="93">
        <f>(G44-H44-I44)+12</f>
        <v>26</v>
      </c>
      <c r="K44" s="93">
        <v>143</v>
      </c>
      <c r="L44" s="93">
        <v>94</v>
      </c>
      <c r="M44" s="93">
        <v>44</v>
      </c>
      <c r="N44" s="93">
        <f>(K44-L44-M44)+4</f>
        <v>9</v>
      </c>
      <c r="P44" s="93">
        <f t="shared" si="1"/>
        <v>0.5</v>
      </c>
      <c r="Q44" s="93">
        <f t="shared" si="2"/>
        <v>0.41666666666666669</v>
      </c>
      <c r="R44" s="93">
        <f t="shared" si="3"/>
        <v>0.16666666666666666</v>
      </c>
      <c r="S44" s="93">
        <f t="shared" si="4"/>
        <v>0.76219512195121952</v>
      </c>
      <c r="T44" s="93">
        <f t="shared" si="5"/>
        <v>0.1951219512195122</v>
      </c>
      <c r="U44" s="93">
        <f t="shared" si="6"/>
        <v>7.926829268292683E-2</v>
      </c>
      <c r="V44" s="93">
        <f t="shared" si="7"/>
        <v>0.65734265734265729</v>
      </c>
      <c r="W44" s="93">
        <f t="shared" si="8"/>
        <v>0.30769230769230771</v>
      </c>
      <c r="X44" s="93">
        <f t="shared" si="9"/>
        <v>6.2937062937062943E-2</v>
      </c>
    </row>
    <row r="45" spans="1:24" x14ac:dyDescent="0.25">
      <c r="A45" s="314">
        <v>83</v>
      </c>
      <c r="B45" s="93" t="s">
        <v>634</v>
      </c>
      <c r="C45" s="93">
        <v>41</v>
      </c>
      <c r="D45" s="93">
        <v>32</v>
      </c>
      <c r="E45" s="93">
        <v>9</v>
      </c>
      <c r="F45" s="93">
        <f t="shared" si="10"/>
        <v>0</v>
      </c>
      <c r="G45" s="93">
        <v>344</v>
      </c>
      <c r="H45" s="93">
        <v>260</v>
      </c>
      <c r="I45" s="93">
        <v>68</v>
      </c>
      <c r="J45" s="93">
        <f t="shared" si="11"/>
        <v>16</v>
      </c>
      <c r="K45" s="93">
        <v>235</v>
      </c>
      <c r="L45" s="93">
        <v>181</v>
      </c>
      <c r="M45" s="93">
        <v>48</v>
      </c>
      <c r="N45" s="93">
        <f t="shared" si="12"/>
        <v>6</v>
      </c>
      <c r="P45" s="93">
        <f t="shared" si="1"/>
        <v>0.78048780487804881</v>
      </c>
      <c r="Q45" s="93">
        <f t="shared" si="2"/>
        <v>0.21951219512195122</v>
      </c>
      <c r="R45" s="93">
        <f t="shared" si="3"/>
        <v>0</v>
      </c>
      <c r="S45" s="93">
        <f t="shared" si="4"/>
        <v>0.7558139534883721</v>
      </c>
      <c r="T45" s="93">
        <f t="shared" si="5"/>
        <v>0.19767441860465115</v>
      </c>
      <c r="U45" s="93">
        <f t="shared" si="6"/>
        <v>4.6511627906976744E-2</v>
      </c>
      <c r="V45" s="93">
        <f t="shared" si="7"/>
        <v>0.77021276595744681</v>
      </c>
      <c r="W45" s="93">
        <f t="shared" si="8"/>
        <v>0.20425531914893616</v>
      </c>
      <c r="X45" s="93">
        <f t="shared" si="9"/>
        <v>2.553191489361702E-2</v>
      </c>
    </row>
    <row r="46" spans="1:24" x14ac:dyDescent="0.25">
      <c r="A46" s="314">
        <v>85</v>
      </c>
      <c r="B46" s="93" t="s">
        <v>352</v>
      </c>
      <c r="C46" s="93">
        <v>92</v>
      </c>
      <c r="D46" s="93">
        <v>84</v>
      </c>
      <c r="E46" s="93">
        <v>6</v>
      </c>
      <c r="F46" s="93">
        <f t="shared" si="10"/>
        <v>2</v>
      </c>
      <c r="G46" s="93">
        <v>1392</v>
      </c>
      <c r="H46" s="93">
        <v>1198</v>
      </c>
      <c r="I46" s="93">
        <v>103</v>
      </c>
      <c r="J46" s="93">
        <f t="shared" si="11"/>
        <v>91</v>
      </c>
      <c r="K46" s="93">
        <v>821</v>
      </c>
      <c r="L46" s="93">
        <v>695</v>
      </c>
      <c r="M46" s="93">
        <v>69</v>
      </c>
      <c r="N46" s="93">
        <f t="shared" si="12"/>
        <v>57</v>
      </c>
      <c r="P46" s="93">
        <f t="shared" si="1"/>
        <v>0.91304347826086951</v>
      </c>
      <c r="Q46" s="93">
        <f t="shared" si="2"/>
        <v>6.5217391304347824E-2</v>
      </c>
      <c r="R46" s="93">
        <f t="shared" si="3"/>
        <v>2.1739130434782608E-2</v>
      </c>
      <c r="S46" s="93">
        <f t="shared" si="4"/>
        <v>0.86063218390804597</v>
      </c>
      <c r="T46" s="93">
        <f t="shared" si="5"/>
        <v>7.3994252873563218E-2</v>
      </c>
      <c r="U46" s="93">
        <f t="shared" si="6"/>
        <v>6.5373563218390801E-2</v>
      </c>
      <c r="V46" s="93">
        <f t="shared" si="7"/>
        <v>0.84652862362971981</v>
      </c>
      <c r="W46" s="93">
        <f t="shared" si="8"/>
        <v>8.4043848964677217E-2</v>
      </c>
      <c r="X46" s="93">
        <f t="shared" si="9"/>
        <v>6.9427527405602929E-2</v>
      </c>
    </row>
    <row r="47" spans="1:24" x14ac:dyDescent="0.25">
      <c r="A47" s="314">
        <v>87</v>
      </c>
      <c r="B47" s="93" t="s">
        <v>353</v>
      </c>
      <c r="C47" s="93">
        <v>547</v>
      </c>
      <c r="D47" s="93">
        <v>462</v>
      </c>
      <c r="E47" s="93">
        <v>68</v>
      </c>
      <c r="F47" s="93">
        <f t="shared" si="10"/>
        <v>17</v>
      </c>
      <c r="G47" s="93">
        <v>9871</v>
      </c>
      <c r="H47" s="93">
        <v>8145</v>
      </c>
      <c r="I47" s="93">
        <v>1289</v>
      </c>
      <c r="J47" s="93">
        <f t="shared" si="11"/>
        <v>437</v>
      </c>
      <c r="K47" s="93">
        <v>5298</v>
      </c>
      <c r="L47" s="93">
        <v>4149</v>
      </c>
      <c r="M47" s="93">
        <v>905</v>
      </c>
      <c r="N47" s="93">
        <f t="shared" si="12"/>
        <v>244</v>
      </c>
      <c r="P47" s="93">
        <f t="shared" si="1"/>
        <v>0.84460694698354666</v>
      </c>
      <c r="Q47" s="93">
        <f t="shared" si="2"/>
        <v>0.12431444241316271</v>
      </c>
      <c r="R47" s="93">
        <f t="shared" si="3"/>
        <v>3.1078610603290677E-2</v>
      </c>
      <c r="S47" s="93">
        <f t="shared" si="4"/>
        <v>0.82514436227332588</v>
      </c>
      <c r="T47" s="93">
        <f t="shared" si="5"/>
        <v>0.13058454057339683</v>
      </c>
      <c r="U47" s="93">
        <f t="shared" si="6"/>
        <v>4.4271097153277275E-2</v>
      </c>
      <c r="V47" s="93">
        <f t="shared" si="7"/>
        <v>0.78312570781426949</v>
      </c>
      <c r="W47" s="93">
        <f t="shared" si="8"/>
        <v>0.17081917704794261</v>
      </c>
      <c r="X47" s="93">
        <f t="shared" si="9"/>
        <v>4.6055115137787844E-2</v>
      </c>
    </row>
    <row r="48" spans="1:24" x14ac:dyDescent="0.25">
      <c r="A48" s="314">
        <v>89</v>
      </c>
      <c r="B48" s="93" t="s">
        <v>635</v>
      </c>
      <c r="C48" s="93">
        <v>48</v>
      </c>
      <c r="D48" s="93">
        <v>38</v>
      </c>
      <c r="E48" s="93">
        <v>4</v>
      </c>
      <c r="F48" s="93">
        <f t="shared" si="10"/>
        <v>6</v>
      </c>
      <c r="G48" s="93">
        <v>1511</v>
      </c>
      <c r="H48" s="93">
        <v>1324</v>
      </c>
      <c r="I48" s="93">
        <v>116</v>
      </c>
      <c r="J48" s="93">
        <f t="shared" si="11"/>
        <v>71</v>
      </c>
      <c r="K48" s="93">
        <v>1126</v>
      </c>
      <c r="L48" s="93">
        <v>996</v>
      </c>
      <c r="M48" s="93">
        <v>88</v>
      </c>
      <c r="N48" s="93">
        <f t="shared" si="12"/>
        <v>42</v>
      </c>
      <c r="P48" s="93">
        <f t="shared" si="1"/>
        <v>0.79166666666666663</v>
      </c>
      <c r="Q48" s="93">
        <f t="shared" si="2"/>
        <v>8.3333333333333329E-2</v>
      </c>
      <c r="R48" s="93">
        <f t="shared" si="3"/>
        <v>0.125</v>
      </c>
      <c r="S48" s="93">
        <f t="shared" si="4"/>
        <v>0.87624090006618138</v>
      </c>
      <c r="T48" s="93">
        <f t="shared" si="5"/>
        <v>7.6770350761085376E-2</v>
      </c>
      <c r="U48" s="93">
        <f t="shared" si="6"/>
        <v>4.6988749172733289E-2</v>
      </c>
      <c r="V48" s="93">
        <f t="shared" si="7"/>
        <v>0.88454706927175841</v>
      </c>
      <c r="W48" s="93">
        <f t="shared" si="8"/>
        <v>7.8152753108348141E-2</v>
      </c>
      <c r="X48" s="93">
        <f t="shared" si="9"/>
        <v>3.7300177619893425E-2</v>
      </c>
    </row>
    <row r="49" spans="1:24" x14ac:dyDescent="0.25">
      <c r="A49" s="314">
        <v>91</v>
      </c>
      <c r="B49" s="93" t="s">
        <v>354</v>
      </c>
      <c r="C49" s="93">
        <v>4</v>
      </c>
      <c r="D49" s="93">
        <v>3</v>
      </c>
      <c r="E49" s="93">
        <v>0</v>
      </c>
      <c r="F49" s="93">
        <f t="shared" si="10"/>
        <v>1</v>
      </c>
      <c r="G49" s="93">
        <v>12</v>
      </c>
      <c r="H49" s="93">
        <v>12</v>
      </c>
      <c r="I49" s="93">
        <v>0</v>
      </c>
      <c r="J49" s="93">
        <f t="shared" si="11"/>
        <v>0</v>
      </c>
      <c r="K49" s="93">
        <v>5</v>
      </c>
      <c r="L49" s="93">
        <v>4</v>
      </c>
      <c r="M49" s="93">
        <v>1</v>
      </c>
      <c r="N49" s="93">
        <f t="shared" si="12"/>
        <v>0</v>
      </c>
      <c r="P49" s="93">
        <f t="shared" si="1"/>
        <v>0.75</v>
      </c>
      <c r="Q49" s="93">
        <f t="shared" si="2"/>
        <v>0</v>
      </c>
      <c r="R49" s="93">
        <f t="shared" si="3"/>
        <v>0.25</v>
      </c>
      <c r="S49" s="93">
        <f t="shared" si="4"/>
        <v>1</v>
      </c>
      <c r="T49" s="93">
        <f t="shared" si="5"/>
        <v>0</v>
      </c>
      <c r="U49" s="93">
        <f t="shared" si="6"/>
        <v>0</v>
      </c>
      <c r="V49" s="93">
        <f t="shared" si="7"/>
        <v>0.8</v>
      </c>
      <c r="W49" s="93">
        <f t="shared" si="8"/>
        <v>0.2</v>
      </c>
      <c r="X49" s="93">
        <f t="shared" si="9"/>
        <v>0</v>
      </c>
    </row>
    <row r="50" spans="1:24" x14ac:dyDescent="0.25">
      <c r="A50" s="314">
        <v>93</v>
      </c>
      <c r="B50" s="93" t="s">
        <v>355</v>
      </c>
      <c r="C50" s="93">
        <v>33</v>
      </c>
      <c r="D50" s="93">
        <v>26</v>
      </c>
      <c r="E50" s="93">
        <v>6</v>
      </c>
      <c r="F50" s="93">
        <f t="shared" si="10"/>
        <v>1</v>
      </c>
      <c r="G50" s="93">
        <v>396</v>
      </c>
      <c r="H50" s="93">
        <v>317</v>
      </c>
      <c r="I50" s="93">
        <v>45</v>
      </c>
      <c r="J50" s="93">
        <f t="shared" si="11"/>
        <v>34</v>
      </c>
      <c r="K50" s="93">
        <v>293</v>
      </c>
      <c r="L50" s="93">
        <v>226</v>
      </c>
      <c r="M50" s="93">
        <v>51</v>
      </c>
      <c r="N50" s="93">
        <f t="shared" si="12"/>
        <v>16</v>
      </c>
      <c r="P50" s="93">
        <f t="shared" si="1"/>
        <v>0.78787878787878785</v>
      </c>
      <c r="Q50" s="93">
        <f t="shared" si="2"/>
        <v>0.18181818181818182</v>
      </c>
      <c r="R50" s="93">
        <f t="shared" si="3"/>
        <v>3.0303030303030304E-2</v>
      </c>
      <c r="S50" s="93">
        <f t="shared" si="4"/>
        <v>0.8005050505050505</v>
      </c>
      <c r="T50" s="93">
        <f t="shared" si="5"/>
        <v>0.11363636363636363</v>
      </c>
      <c r="U50" s="93">
        <f t="shared" si="6"/>
        <v>8.5858585858585856E-2</v>
      </c>
      <c r="V50" s="93">
        <f t="shared" si="7"/>
        <v>0.77133105802047786</v>
      </c>
      <c r="W50" s="93">
        <f t="shared" si="8"/>
        <v>0.17406143344709898</v>
      </c>
      <c r="X50" s="93">
        <f t="shared" si="9"/>
        <v>5.4607508532423209E-2</v>
      </c>
    </row>
    <row r="51" spans="1:24" x14ac:dyDescent="0.25">
      <c r="A51" s="314">
        <v>95</v>
      </c>
      <c r="B51" s="93" t="s">
        <v>273</v>
      </c>
      <c r="C51" s="93">
        <v>159</v>
      </c>
      <c r="D51" s="93">
        <v>143</v>
      </c>
      <c r="E51" s="93">
        <v>13</v>
      </c>
      <c r="F51" s="93">
        <f t="shared" si="10"/>
        <v>3</v>
      </c>
      <c r="G51" s="93">
        <v>1980</v>
      </c>
      <c r="H51" s="93">
        <v>1747</v>
      </c>
      <c r="I51" s="93">
        <v>167</v>
      </c>
      <c r="J51" s="93">
        <f t="shared" si="11"/>
        <v>66</v>
      </c>
      <c r="K51" s="93">
        <v>1122</v>
      </c>
      <c r="L51" s="93">
        <v>978</v>
      </c>
      <c r="M51" s="93">
        <v>103</v>
      </c>
      <c r="N51" s="93">
        <f t="shared" si="12"/>
        <v>41</v>
      </c>
      <c r="P51" s="93">
        <f t="shared" si="1"/>
        <v>0.89937106918238996</v>
      </c>
      <c r="Q51" s="93">
        <f t="shared" si="2"/>
        <v>8.1761006289308172E-2</v>
      </c>
      <c r="R51" s="93">
        <f t="shared" si="3"/>
        <v>1.8867924528301886E-2</v>
      </c>
      <c r="S51" s="93">
        <f t="shared" si="4"/>
        <v>0.88232323232323229</v>
      </c>
      <c r="T51" s="93">
        <f t="shared" si="5"/>
        <v>8.4343434343434345E-2</v>
      </c>
      <c r="U51" s="93">
        <f t="shared" si="6"/>
        <v>3.3333333333333333E-2</v>
      </c>
      <c r="V51" s="93">
        <f t="shared" si="7"/>
        <v>0.87165775401069523</v>
      </c>
      <c r="W51" s="93">
        <f t="shared" si="8"/>
        <v>9.1800356506238856E-2</v>
      </c>
      <c r="X51" s="93">
        <f t="shared" si="9"/>
        <v>3.6541889483065956E-2</v>
      </c>
    </row>
    <row r="52" spans="1:24" x14ac:dyDescent="0.25">
      <c r="A52" s="314">
        <v>97</v>
      </c>
      <c r="B52" s="93" t="s">
        <v>356</v>
      </c>
      <c r="C52" s="93">
        <v>3</v>
      </c>
      <c r="D52" s="93">
        <v>3</v>
      </c>
      <c r="E52" s="93">
        <v>0</v>
      </c>
      <c r="F52" s="93">
        <f t="shared" si="10"/>
        <v>0</v>
      </c>
      <c r="G52" s="93">
        <v>121</v>
      </c>
      <c r="H52" s="93">
        <v>107</v>
      </c>
      <c r="I52" s="93">
        <v>8</v>
      </c>
      <c r="J52" s="93">
        <f t="shared" si="11"/>
        <v>6</v>
      </c>
      <c r="K52" s="93">
        <v>78</v>
      </c>
      <c r="L52" s="93">
        <v>63</v>
      </c>
      <c r="M52" s="93">
        <v>8</v>
      </c>
      <c r="N52" s="93">
        <f t="shared" si="12"/>
        <v>7</v>
      </c>
      <c r="P52" s="93">
        <f t="shared" si="1"/>
        <v>1</v>
      </c>
      <c r="Q52" s="93">
        <f t="shared" si="2"/>
        <v>0</v>
      </c>
      <c r="R52" s="93">
        <f t="shared" si="3"/>
        <v>0</v>
      </c>
      <c r="S52" s="93">
        <f t="shared" si="4"/>
        <v>0.88429752066115708</v>
      </c>
      <c r="T52" s="93">
        <f t="shared" si="5"/>
        <v>6.6115702479338845E-2</v>
      </c>
      <c r="U52" s="93">
        <f t="shared" si="6"/>
        <v>4.9586776859504134E-2</v>
      </c>
      <c r="V52" s="93">
        <f t="shared" si="7"/>
        <v>0.80769230769230771</v>
      </c>
      <c r="W52" s="93">
        <f t="shared" si="8"/>
        <v>0.10256410256410256</v>
      </c>
      <c r="X52" s="93">
        <f t="shared" si="9"/>
        <v>8.9743589743589744E-2</v>
      </c>
    </row>
    <row r="53" spans="1:24" x14ac:dyDescent="0.25">
      <c r="A53" s="314">
        <v>99</v>
      </c>
      <c r="B53" s="93" t="s">
        <v>357</v>
      </c>
      <c r="C53" s="93">
        <v>25</v>
      </c>
      <c r="D53" s="93">
        <v>22</v>
      </c>
      <c r="E53" s="93">
        <v>3</v>
      </c>
      <c r="F53" s="93">
        <f t="shared" si="10"/>
        <v>0</v>
      </c>
      <c r="G53" s="93">
        <v>530</v>
      </c>
      <c r="H53" s="93">
        <v>450</v>
      </c>
      <c r="I53" s="93">
        <v>40</v>
      </c>
      <c r="J53" s="93">
        <f t="shared" si="11"/>
        <v>40</v>
      </c>
      <c r="K53" s="93">
        <v>308</v>
      </c>
      <c r="L53" s="93">
        <v>255</v>
      </c>
      <c r="M53" s="93">
        <v>40</v>
      </c>
      <c r="N53" s="93">
        <f t="shared" si="12"/>
        <v>13</v>
      </c>
      <c r="P53" s="93">
        <f t="shared" si="1"/>
        <v>0.88</v>
      </c>
      <c r="Q53" s="93">
        <f t="shared" si="2"/>
        <v>0.12</v>
      </c>
      <c r="R53" s="93">
        <f t="shared" si="3"/>
        <v>0</v>
      </c>
      <c r="S53" s="93">
        <f t="shared" si="4"/>
        <v>0.84905660377358494</v>
      </c>
      <c r="T53" s="93">
        <f t="shared" si="5"/>
        <v>7.5471698113207544E-2</v>
      </c>
      <c r="U53" s="93">
        <f t="shared" si="6"/>
        <v>7.5471698113207544E-2</v>
      </c>
      <c r="V53" s="93">
        <f t="shared" si="7"/>
        <v>0.82792207792207795</v>
      </c>
      <c r="W53" s="93">
        <f t="shared" si="8"/>
        <v>0.12987012987012986</v>
      </c>
      <c r="X53" s="93">
        <f t="shared" si="9"/>
        <v>4.2207792207792208E-2</v>
      </c>
    </row>
    <row r="54" spans="1:24" x14ac:dyDescent="0.25">
      <c r="A54" s="314">
        <v>101</v>
      </c>
      <c r="B54" s="93" t="s">
        <v>358</v>
      </c>
      <c r="C54" s="93">
        <v>12</v>
      </c>
      <c r="D54" s="93">
        <v>10</v>
      </c>
      <c r="E54" s="93">
        <v>0</v>
      </c>
      <c r="F54" s="93">
        <f t="shared" si="10"/>
        <v>2</v>
      </c>
      <c r="G54" s="93">
        <v>204</v>
      </c>
      <c r="H54" s="93">
        <v>162</v>
      </c>
      <c r="I54" s="93">
        <v>27</v>
      </c>
      <c r="J54" s="93">
        <f t="shared" si="11"/>
        <v>15</v>
      </c>
      <c r="K54" s="93">
        <v>140</v>
      </c>
      <c r="L54" s="93">
        <v>122</v>
      </c>
      <c r="M54" s="93">
        <v>13</v>
      </c>
      <c r="N54" s="93">
        <f t="shared" si="12"/>
        <v>5</v>
      </c>
      <c r="P54" s="93">
        <f t="shared" si="1"/>
        <v>0.83333333333333337</v>
      </c>
      <c r="Q54" s="93">
        <f t="shared" si="2"/>
        <v>0</v>
      </c>
      <c r="R54" s="93">
        <f t="shared" si="3"/>
        <v>0.16666666666666666</v>
      </c>
      <c r="S54" s="93">
        <f t="shared" si="4"/>
        <v>0.79411764705882348</v>
      </c>
      <c r="T54" s="93">
        <f t="shared" si="5"/>
        <v>0.13235294117647059</v>
      </c>
      <c r="U54" s="93">
        <f t="shared" si="6"/>
        <v>7.3529411764705885E-2</v>
      </c>
      <c r="V54" s="93">
        <f t="shared" si="7"/>
        <v>0.87142857142857144</v>
      </c>
      <c r="W54" s="93">
        <f t="shared" si="8"/>
        <v>9.285714285714286E-2</v>
      </c>
      <c r="X54" s="93">
        <f t="shared" si="9"/>
        <v>3.5714285714285712E-2</v>
      </c>
    </row>
    <row r="55" spans="1:24" x14ac:dyDescent="0.25">
      <c r="A55" s="314">
        <v>103</v>
      </c>
      <c r="B55" s="93" t="s">
        <v>359</v>
      </c>
      <c r="C55" s="93">
        <v>22</v>
      </c>
      <c r="D55" s="93">
        <v>15</v>
      </c>
      <c r="E55" s="93">
        <v>7</v>
      </c>
      <c r="F55" s="93">
        <f t="shared" si="10"/>
        <v>0</v>
      </c>
      <c r="G55" s="93">
        <v>70</v>
      </c>
      <c r="H55" s="93">
        <v>54</v>
      </c>
      <c r="I55" s="93">
        <v>7</v>
      </c>
      <c r="J55" s="93">
        <f t="shared" si="11"/>
        <v>9</v>
      </c>
      <c r="K55" s="93">
        <v>49</v>
      </c>
      <c r="L55" s="93">
        <v>34</v>
      </c>
      <c r="M55" s="93">
        <v>13</v>
      </c>
      <c r="N55" s="93">
        <f t="shared" si="12"/>
        <v>2</v>
      </c>
      <c r="P55" s="93">
        <f t="shared" si="1"/>
        <v>0.68181818181818177</v>
      </c>
      <c r="Q55" s="93">
        <f t="shared" si="2"/>
        <v>0.31818181818181818</v>
      </c>
      <c r="R55" s="93">
        <f t="shared" si="3"/>
        <v>0</v>
      </c>
      <c r="S55" s="93">
        <f t="shared" si="4"/>
        <v>0.77142857142857146</v>
      </c>
      <c r="T55" s="93">
        <f t="shared" si="5"/>
        <v>0.1</v>
      </c>
      <c r="U55" s="93">
        <f t="shared" si="6"/>
        <v>0.12857142857142856</v>
      </c>
      <c r="V55" s="93">
        <f t="shared" si="7"/>
        <v>0.69387755102040816</v>
      </c>
      <c r="W55" s="93">
        <f t="shared" si="8"/>
        <v>0.26530612244897961</v>
      </c>
      <c r="X55" s="93">
        <f t="shared" si="9"/>
        <v>4.0816326530612242E-2</v>
      </c>
    </row>
    <row r="56" spans="1:24" x14ac:dyDescent="0.25">
      <c r="A56" s="314">
        <v>105</v>
      </c>
      <c r="B56" s="93" t="s">
        <v>360</v>
      </c>
      <c r="C56" s="93">
        <v>11</v>
      </c>
      <c r="D56" s="93">
        <v>9</v>
      </c>
      <c r="E56" s="93">
        <v>1</v>
      </c>
      <c r="F56" s="93">
        <f t="shared" si="10"/>
        <v>1</v>
      </c>
      <c r="G56" s="93">
        <v>345</v>
      </c>
      <c r="H56" s="93">
        <v>277</v>
      </c>
      <c r="I56" s="93">
        <v>55</v>
      </c>
      <c r="J56" s="93">
        <f t="shared" si="11"/>
        <v>13</v>
      </c>
      <c r="K56" s="93">
        <v>70</v>
      </c>
      <c r="L56" s="93">
        <v>67</v>
      </c>
      <c r="M56" s="93">
        <v>0</v>
      </c>
      <c r="N56" s="93">
        <f t="shared" si="12"/>
        <v>3</v>
      </c>
      <c r="P56" s="93">
        <f t="shared" si="1"/>
        <v>0.81818181818181823</v>
      </c>
      <c r="Q56" s="93">
        <f t="shared" si="2"/>
        <v>9.0909090909090912E-2</v>
      </c>
      <c r="R56" s="93">
        <f t="shared" si="3"/>
        <v>9.0909090909090912E-2</v>
      </c>
      <c r="S56" s="93">
        <f t="shared" si="4"/>
        <v>0.80289855072463767</v>
      </c>
      <c r="T56" s="93">
        <f t="shared" si="5"/>
        <v>0.15942028985507245</v>
      </c>
      <c r="U56" s="93">
        <f t="shared" si="6"/>
        <v>3.7681159420289857E-2</v>
      </c>
      <c r="V56" s="93">
        <f t="shared" si="7"/>
        <v>0.95714285714285718</v>
      </c>
      <c r="W56" s="93">
        <f t="shared" si="8"/>
        <v>0</v>
      </c>
      <c r="X56" s="93">
        <f t="shared" si="9"/>
        <v>4.2857142857142858E-2</v>
      </c>
    </row>
    <row r="57" spans="1:24" x14ac:dyDescent="0.25">
      <c r="A57" s="314">
        <v>107</v>
      </c>
      <c r="B57" s="93" t="s">
        <v>361</v>
      </c>
      <c r="C57" s="93">
        <v>1182</v>
      </c>
      <c r="D57" s="93">
        <v>1094</v>
      </c>
      <c r="E57" s="93">
        <v>42</v>
      </c>
      <c r="F57" s="93">
        <f t="shared" si="10"/>
        <v>46</v>
      </c>
      <c r="G57" s="93">
        <v>25826</v>
      </c>
      <c r="H57" s="93">
        <v>23649</v>
      </c>
      <c r="I57" s="93">
        <v>1045</v>
      </c>
      <c r="J57" s="93">
        <f t="shared" si="11"/>
        <v>1132</v>
      </c>
      <c r="K57" s="93">
        <v>13833</v>
      </c>
      <c r="L57" s="93">
        <v>12233</v>
      </c>
      <c r="M57" s="93">
        <v>812</v>
      </c>
      <c r="N57" s="93">
        <f t="shared" si="12"/>
        <v>788</v>
      </c>
      <c r="P57" s="93">
        <f t="shared" si="1"/>
        <v>0.9255499153976311</v>
      </c>
      <c r="Q57" s="93">
        <f t="shared" si="2"/>
        <v>3.553299492385787E-2</v>
      </c>
      <c r="R57" s="93">
        <f t="shared" si="3"/>
        <v>3.8917089678510999E-2</v>
      </c>
      <c r="S57" s="93">
        <f t="shared" si="4"/>
        <v>0.91570510338418643</v>
      </c>
      <c r="T57" s="93">
        <f t="shared" si="5"/>
        <v>4.0463099202354219E-2</v>
      </c>
      <c r="U57" s="93">
        <f t="shared" si="6"/>
        <v>4.3831797413459307E-2</v>
      </c>
      <c r="V57" s="93">
        <f t="shared" si="7"/>
        <v>0.88433456227860907</v>
      </c>
      <c r="W57" s="93">
        <f t="shared" si="8"/>
        <v>5.8700209643605873E-2</v>
      </c>
      <c r="X57" s="93">
        <f t="shared" si="9"/>
        <v>5.6965228077785007E-2</v>
      </c>
    </row>
    <row r="58" spans="1:24" x14ac:dyDescent="0.25">
      <c r="A58" s="314">
        <v>109</v>
      </c>
      <c r="B58" s="93" t="s">
        <v>362</v>
      </c>
      <c r="C58" s="93">
        <v>39</v>
      </c>
      <c r="D58" s="93">
        <v>33</v>
      </c>
      <c r="E58" s="93">
        <v>6</v>
      </c>
      <c r="F58" s="93">
        <f t="shared" si="10"/>
        <v>0</v>
      </c>
      <c r="G58" s="93">
        <v>465</v>
      </c>
      <c r="H58" s="93">
        <v>392</v>
      </c>
      <c r="I58" s="93">
        <v>48</v>
      </c>
      <c r="J58" s="93">
        <f t="shared" si="11"/>
        <v>25</v>
      </c>
      <c r="K58" s="93">
        <v>283</v>
      </c>
      <c r="L58" s="93">
        <v>251</v>
      </c>
      <c r="M58" s="93">
        <v>26</v>
      </c>
      <c r="N58" s="93">
        <f t="shared" si="12"/>
        <v>6</v>
      </c>
      <c r="P58" s="93">
        <f t="shared" si="1"/>
        <v>0.84615384615384615</v>
      </c>
      <c r="Q58" s="93">
        <f t="shared" si="2"/>
        <v>0.15384615384615385</v>
      </c>
      <c r="R58" s="93">
        <f t="shared" si="3"/>
        <v>0</v>
      </c>
      <c r="S58" s="93">
        <f t="shared" si="4"/>
        <v>0.84301075268817205</v>
      </c>
      <c r="T58" s="93">
        <f t="shared" si="5"/>
        <v>0.1032258064516129</v>
      </c>
      <c r="U58" s="93">
        <f t="shared" si="6"/>
        <v>5.3763440860215055E-2</v>
      </c>
      <c r="V58" s="93">
        <f t="shared" si="7"/>
        <v>0.88692579505300351</v>
      </c>
      <c r="W58" s="93">
        <f t="shared" si="8"/>
        <v>9.187279151943463E-2</v>
      </c>
      <c r="X58" s="93">
        <f t="shared" si="9"/>
        <v>2.1201413427561839E-2</v>
      </c>
    </row>
    <row r="59" spans="1:24" x14ac:dyDescent="0.25">
      <c r="A59" s="314">
        <v>111</v>
      </c>
      <c r="B59" s="93" t="s">
        <v>363</v>
      </c>
      <c r="C59" s="93">
        <v>15</v>
      </c>
      <c r="D59" s="93">
        <v>10</v>
      </c>
      <c r="E59" s="93">
        <v>4</v>
      </c>
      <c r="F59" s="93">
        <f t="shared" si="10"/>
        <v>1</v>
      </c>
      <c r="G59" s="93">
        <v>316</v>
      </c>
      <c r="H59" s="93">
        <v>252</v>
      </c>
      <c r="I59" s="93">
        <v>47</v>
      </c>
      <c r="J59" s="93">
        <f t="shared" si="11"/>
        <v>17</v>
      </c>
      <c r="K59" s="93">
        <v>173</v>
      </c>
      <c r="L59" s="93">
        <v>135</v>
      </c>
      <c r="M59" s="93">
        <v>31</v>
      </c>
      <c r="N59" s="93">
        <f t="shared" si="12"/>
        <v>7</v>
      </c>
      <c r="P59" s="93">
        <f t="shared" si="1"/>
        <v>0.66666666666666663</v>
      </c>
      <c r="Q59" s="93">
        <f t="shared" si="2"/>
        <v>0.26666666666666666</v>
      </c>
      <c r="R59" s="93">
        <f t="shared" si="3"/>
        <v>6.6666666666666666E-2</v>
      </c>
      <c r="S59" s="93">
        <f t="shared" si="4"/>
        <v>0.79746835443037978</v>
      </c>
      <c r="T59" s="93">
        <f t="shared" si="5"/>
        <v>0.14873417721518986</v>
      </c>
      <c r="U59" s="93">
        <f t="shared" si="6"/>
        <v>5.3797468354430382E-2</v>
      </c>
      <c r="V59" s="93">
        <f t="shared" si="7"/>
        <v>0.78034682080924855</v>
      </c>
      <c r="W59" s="93">
        <f t="shared" si="8"/>
        <v>0.1791907514450867</v>
      </c>
      <c r="X59" s="93">
        <f t="shared" si="9"/>
        <v>4.046242774566474E-2</v>
      </c>
    </row>
    <row r="60" spans="1:24" x14ac:dyDescent="0.25">
      <c r="A60" s="314">
        <v>113</v>
      </c>
      <c r="B60" s="93" t="s">
        <v>364</v>
      </c>
      <c r="C60" s="93">
        <v>12</v>
      </c>
      <c r="D60" s="93">
        <v>12</v>
      </c>
      <c r="E60" s="93">
        <v>0</v>
      </c>
      <c r="F60" s="93">
        <f t="shared" si="10"/>
        <v>0</v>
      </c>
      <c r="G60" s="93">
        <v>133</v>
      </c>
      <c r="H60" s="93">
        <v>122</v>
      </c>
      <c r="I60" s="93">
        <v>3</v>
      </c>
      <c r="J60" s="93">
        <f t="shared" si="11"/>
        <v>8</v>
      </c>
      <c r="K60" s="93">
        <v>97</v>
      </c>
      <c r="L60" s="93">
        <v>87</v>
      </c>
      <c r="M60" s="93">
        <v>10</v>
      </c>
      <c r="N60" s="93">
        <f t="shared" si="12"/>
        <v>0</v>
      </c>
      <c r="P60" s="93">
        <f t="shared" si="1"/>
        <v>1</v>
      </c>
      <c r="Q60" s="93">
        <f t="shared" si="2"/>
        <v>0</v>
      </c>
      <c r="R60" s="93">
        <f t="shared" si="3"/>
        <v>0</v>
      </c>
      <c r="S60" s="93">
        <f t="shared" si="4"/>
        <v>0.91729323308270672</v>
      </c>
      <c r="T60" s="93">
        <f t="shared" si="5"/>
        <v>2.2556390977443608E-2</v>
      </c>
      <c r="U60" s="93">
        <f t="shared" si="6"/>
        <v>6.0150375939849621E-2</v>
      </c>
      <c r="V60" s="93">
        <f t="shared" si="7"/>
        <v>0.89690721649484539</v>
      </c>
      <c r="W60" s="93">
        <f t="shared" si="8"/>
        <v>0.10309278350515463</v>
      </c>
      <c r="X60" s="93">
        <f t="shared" si="9"/>
        <v>0</v>
      </c>
    </row>
    <row r="61" spans="1:24" x14ac:dyDescent="0.25">
      <c r="A61" s="314">
        <v>115</v>
      </c>
      <c r="B61" s="93" t="s">
        <v>365</v>
      </c>
      <c r="C61" s="93">
        <v>8</v>
      </c>
      <c r="D61" s="93">
        <v>8</v>
      </c>
      <c r="E61" s="93">
        <v>0</v>
      </c>
      <c r="F61" s="93">
        <f t="shared" si="10"/>
        <v>0</v>
      </c>
      <c r="G61" s="93">
        <v>84</v>
      </c>
      <c r="H61" s="93">
        <v>77</v>
      </c>
      <c r="I61" s="93">
        <v>2</v>
      </c>
      <c r="J61" s="93">
        <f t="shared" si="11"/>
        <v>5</v>
      </c>
      <c r="K61" s="93">
        <v>46</v>
      </c>
      <c r="L61" s="93">
        <v>46</v>
      </c>
      <c r="M61" s="93">
        <v>0</v>
      </c>
      <c r="N61" s="93">
        <f t="shared" si="12"/>
        <v>0</v>
      </c>
      <c r="P61" s="93">
        <f t="shared" si="1"/>
        <v>1</v>
      </c>
      <c r="Q61" s="93">
        <f t="shared" si="2"/>
        <v>0</v>
      </c>
      <c r="R61" s="93">
        <f t="shared" si="3"/>
        <v>0</v>
      </c>
      <c r="S61" s="93">
        <f t="shared" si="4"/>
        <v>0.91666666666666663</v>
      </c>
      <c r="T61" s="93">
        <f t="shared" si="5"/>
        <v>2.3809523809523808E-2</v>
      </c>
      <c r="U61" s="93">
        <f t="shared" si="6"/>
        <v>5.9523809523809521E-2</v>
      </c>
      <c r="V61" s="93">
        <f t="shared" si="7"/>
        <v>1</v>
      </c>
      <c r="W61" s="93">
        <f t="shared" si="8"/>
        <v>0</v>
      </c>
      <c r="X61" s="93">
        <f t="shared" si="9"/>
        <v>0</v>
      </c>
    </row>
    <row r="62" spans="1:24" x14ac:dyDescent="0.25">
      <c r="A62" s="314">
        <v>117</v>
      </c>
      <c r="B62" s="93" t="s">
        <v>366</v>
      </c>
      <c r="C62" s="93">
        <v>65</v>
      </c>
      <c r="D62" s="93">
        <v>42</v>
      </c>
      <c r="E62" s="93">
        <v>16</v>
      </c>
      <c r="F62" s="93">
        <f t="shared" si="10"/>
        <v>7</v>
      </c>
      <c r="G62" s="93">
        <v>550</v>
      </c>
      <c r="H62" s="93">
        <v>453</v>
      </c>
      <c r="I62" s="93">
        <v>88</v>
      </c>
      <c r="J62" s="93">
        <f t="shared" si="11"/>
        <v>9</v>
      </c>
      <c r="K62" s="93">
        <v>256</v>
      </c>
      <c r="L62" s="93">
        <v>195</v>
      </c>
      <c r="M62" s="93">
        <v>59</v>
      </c>
      <c r="N62" s="93">
        <f t="shared" si="12"/>
        <v>2</v>
      </c>
      <c r="P62" s="93">
        <f t="shared" si="1"/>
        <v>0.64615384615384619</v>
      </c>
      <c r="Q62" s="93">
        <f t="shared" si="2"/>
        <v>0.24615384615384617</v>
      </c>
      <c r="R62" s="93">
        <f t="shared" si="3"/>
        <v>0.1076923076923077</v>
      </c>
      <c r="S62" s="93">
        <f t="shared" si="4"/>
        <v>0.82363636363636361</v>
      </c>
      <c r="T62" s="93">
        <f t="shared" si="5"/>
        <v>0.16</v>
      </c>
      <c r="U62" s="93">
        <f t="shared" si="6"/>
        <v>1.6363636363636365E-2</v>
      </c>
      <c r="V62" s="93">
        <f t="shared" si="7"/>
        <v>0.76171875</v>
      </c>
      <c r="W62" s="93">
        <f t="shared" si="8"/>
        <v>0.23046875</v>
      </c>
      <c r="X62" s="93">
        <f t="shared" si="9"/>
        <v>7.8125E-3</v>
      </c>
    </row>
    <row r="63" spans="1:24" x14ac:dyDescent="0.25">
      <c r="A63" s="314">
        <v>119</v>
      </c>
      <c r="B63" s="93" t="s">
        <v>367</v>
      </c>
      <c r="C63" s="93">
        <v>8</v>
      </c>
      <c r="D63" s="93">
        <v>4</v>
      </c>
      <c r="E63" s="93">
        <v>2</v>
      </c>
      <c r="F63" s="93">
        <f t="shared" si="10"/>
        <v>2</v>
      </c>
      <c r="G63" s="93">
        <v>113</v>
      </c>
      <c r="H63" s="93">
        <v>94</v>
      </c>
      <c r="I63" s="93">
        <v>17</v>
      </c>
      <c r="J63" s="93">
        <f t="shared" si="11"/>
        <v>2</v>
      </c>
      <c r="K63" s="93">
        <v>49</v>
      </c>
      <c r="L63" s="93">
        <v>43</v>
      </c>
      <c r="M63" s="93">
        <v>5</v>
      </c>
      <c r="N63" s="93">
        <f t="shared" si="12"/>
        <v>1</v>
      </c>
      <c r="P63" s="93">
        <f t="shared" si="1"/>
        <v>0.5</v>
      </c>
      <c r="Q63" s="93">
        <f t="shared" si="2"/>
        <v>0.25</v>
      </c>
      <c r="R63" s="93">
        <f t="shared" si="3"/>
        <v>0.25</v>
      </c>
      <c r="S63" s="93">
        <f t="shared" si="4"/>
        <v>0.83185840707964598</v>
      </c>
      <c r="T63" s="93">
        <f t="shared" si="5"/>
        <v>0.15044247787610621</v>
      </c>
      <c r="U63" s="93">
        <f t="shared" si="6"/>
        <v>1.7699115044247787E-2</v>
      </c>
      <c r="V63" s="93">
        <f t="shared" si="7"/>
        <v>0.87755102040816324</v>
      </c>
      <c r="W63" s="93">
        <f t="shared" si="8"/>
        <v>0.10204081632653061</v>
      </c>
      <c r="X63" s="93">
        <f t="shared" si="9"/>
        <v>2.0408163265306121E-2</v>
      </c>
    </row>
    <row r="64" spans="1:24" x14ac:dyDescent="0.25">
      <c r="A64" s="314">
        <v>121</v>
      </c>
      <c r="B64" s="93" t="s">
        <v>368</v>
      </c>
      <c r="C64" s="93">
        <v>74</v>
      </c>
      <c r="D64" s="93">
        <v>69</v>
      </c>
      <c r="E64" s="93">
        <v>4</v>
      </c>
      <c r="F64" s="93">
        <f t="shared" si="10"/>
        <v>1</v>
      </c>
      <c r="G64" s="93">
        <v>2075</v>
      </c>
      <c r="H64" s="93">
        <v>1799</v>
      </c>
      <c r="I64" s="93">
        <v>116</v>
      </c>
      <c r="J64" s="93">
        <f t="shared" si="11"/>
        <v>160</v>
      </c>
      <c r="K64" s="93">
        <v>540</v>
      </c>
      <c r="L64" s="93">
        <v>472</v>
      </c>
      <c r="M64" s="93">
        <v>31</v>
      </c>
      <c r="N64" s="93">
        <f t="shared" si="12"/>
        <v>37</v>
      </c>
      <c r="P64" s="93">
        <f t="shared" si="1"/>
        <v>0.93243243243243246</v>
      </c>
      <c r="Q64" s="93">
        <f t="shared" si="2"/>
        <v>5.4054054054054057E-2</v>
      </c>
      <c r="R64" s="93">
        <f t="shared" si="3"/>
        <v>1.3513513513513514E-2</v>
      </c>
      <c r="S64" s="93">
        <f t="shared" si="4"/>
        <v>0.86698795180722887</v>
      </c>
      <c r="T64" s="93">
        <f t="shared" si="5"/>
        <v>5.5903614457831326E-2</v>
      </c>
      <c r="U64" s="93">
        <f t="shared" si="6"/>
        <v>7.7108433734939766E-2</v>
      </c>
      <c r="V64" s="93">
        <f t="shared" si="7"/>
        <v>0.87407407407407411</v>
      </c>
      <c r="W64" s="93">
        <f t="shared" si="8"/>
        <v>5.7407407407407407E-2</v>
      </c>
      <c r="X64" s="93">
        <f t="shared" si="9"/>
        <v>6.851851851851852E-2</v>
      </c>
    </row>
    <row r="65" spans="1:24" x14ac:dyDescent="0.25">
      <c r="A65" s="314">
        <v>125</v>
      </c>
      <c r="B65" s="93" t="s">
        <v>369</v>
      </c>
      <c r="C65" s="93">
        <v>23</v>
      </c>
      <c r="D65" s="93">
        <v>19</v>
      </c>
      <c r="E65" s="93">
        <v>2</v>
      </c>
      <c r="F65" s="93">
        <f t="shared" si="10"/>
        <v>2</v>
      </c>
      <c r="G65" s="93">
        <v>297</v>
      </c>
      <c r="H65" s="93">
        <v>254</v>
      </c>
      <c r="I65" s="93">
        <v>26</v>
      </c>
      <c r="J65" s="93">
        <f t="shared" si="11"/>
        <v>17</v>
      </c>
      <c r="K65" s="93">
        <v>187</v>
      </c>
      <c r="L65" s="93">
        <v>149</v>
      </c>
      <c r="M65" s="93">
        <v>32</v>
      </c>
      <c r="N65" s="93">
        <f t="shared" si="12"/>
        <v>6</v>
      </c>
      <c r="P65" s="93">
        <f t="shared" si="1"/>
        <v>0.82608695652173914</v>
      </c>
      <c r="Q65" s="93">
        <f t="shared" si="2"/>
        <v>8.6956521739130432E-2</v>
      </c>
      <c r="R65" s="93">
        <f t="shared" si="3"/>
        <v>8.6956521739130432E-2</v>
      </c>
      <c r="S65" s="93">
        <f t="shared" si="4"/>
        <v>0.85521885521885521</v>
      </c>
      <c r="T65" s="93">
        <f t="shared" si="5"/>
        <v>8.7542087542087546E-2</v>
      </c>
      <c r="U65" s="93">
        <f t="shared" si="6"/>
        <v>5.7239057239057242E-2</v>
      </c>
      <c r="V65" s="93">
        <f t="shared" si="7"/>
        <v>0.79679144385026734</v>
      </c>
      <c r="W65" s="93">
        <f t="shared" si="8"/>
        <v>0.17112299465240641</v>
      </c>
      <c r="X65" s="93">
        <f t="shared" si="9"/>
        <v>3.2085561497326207E-2</v>
      </c>
    </row>
    <row r="66" spans="1:24" x14ac:dyDescent="0.25">
      <c r="A66" s="314">
        <v>127</v>
      </c>
      <c r="B66" s="93" t="s">
        <v>370</v>
      </c>
      <c r="C66" s="93">
        <v>15</v>
      </c>
      <c r="D66" s="93">
        <v>14</v>
      </c>
      <c r="E66" s="93">
        <v>0</v>
      </c>
      <c r="F66" s="93">
        <f t="shared" si="10"/>
        <v>1</v>
      </c>
      <c r="G66" s="93">
        <v>230</v>
      </c>
      <c r="H66" s="93">
        <v>202</v>
      </c>
      <c r="I66" s="93">
        <v>16</v>
      </c>
      <c r="J66" s="93">
        <f t="shared" si="11"/>
        <v>12</v>
      </c>
      <c r="K66" s="93">
        <v>165</v>
      </c>
      <c r="L66" s="93">
        <v>142</v>
      </c>
      <c r="M66" s="93">
        <v>9</v>
      </c>
      <c r="N66" s="93">
        <f t="shared" si="12"/>
        <v>14</v>
      </c>
      <c r="P66" s="93">
        <f t="shared" si="1"/>
        <v>0.93333333333333335</v>
      </c>
      <c r="Q66" s="93">
        <f t="shared" si="2"/>
        <v>0</v>
      </c>
      <c r="R66" s="93">
        <f t="shared" si="3"/>
        <v>6.6666666666666666E-2</v>
      </c>
      <c r="S66" s="93">
        <f t="shared" si="4"/>
        <v>0.87826086956521743</v>
      </c>
      <c r="T66" s="93">
        <f t="shared" si="5"/>
        <v>6.9565217391304349E-2</v>
      </c>
      <c r="U66" s="93">
        <f t="shared" si="6"/>
        <v>5.2173913043478258E-2</v>
      </c>
      <c r="V66" s="93">
        <f t="shared" si="7"/>
        <v>0.8606060606060606</v>
      </c>
      <c r="W66" s="93">
        <f t="shared" si="8"/>
        <v>5.4545454545454543E-2</v>
      </c>
      <c r="X66" s="93">
        <f t="shared" si="9"/>
        <v>8.4848484848484854E-2</v>
      </c>
    </row>
    <row r="67" spans="1:24" x14ac:dyDescent="0.25">
      <c r="A67" s="314">
        <v>131</v>
      </c>
      <c r="B67" s="93" t="s">
        <v>371</v>
      </c>
      <c r="C67" s="93">
        <v>32</v>
      </c>
      <c r="D67" s="93">
        <v>28</v>
      </c>
      <c r="E67" s="93">
        <v>3</v>
      </c>
      <c r="F67" s="93">
        <f t="shared" si="10"/>
        <v>1</v>
      </c>
      <c r="G67" s="93">
        <v>545</v>
      </c>
      <c r="H67" s="93">
        <v>495</v>
      </c>
      <c r="I67" s="93">
        <v>30</v>
      </c>
      <c r="J67" s="93">
        <f t="shared" si="11"/>
        <v>20</v>
      </c>
      <c r="K67" s="93">
        <v>336</v>
      </c>
      <c r="L67" s="93">
        <v>304</v>
      </c>
      <c r="M67" s="93">
        <v>25</v>
      </c>
      <c r="N67" s="93">
        <f t="shared" si="12"/>
        <v>7</v>
      </c>
      <c r="P67" s="93">
        <f t="shared" si="1"/>
        <v>0.875</v>
      </c>
      <c r="Q67" s="93">
        <f t="shared" si="2"/>
        <v>9.375E-2</v>
      </c>
      <c r="R67" s="93">
        <f t="shared" si="3"/>
        <v>3.125E-2</v>
      </c>
      <c r="S67" s="93">
        <f t="shared" si="4"/>
        <v>0.90825688073394495</v>
      </c>
      <c r="T67" s="93">
        <f t="shared" si="5"/>
        <v>5.5045871559633031E-2</v>
      </c>
      <c r="U67" s="93">
        <f t="shared" si="6"/>
        <v>3.669724770642202E-2</v>
      </c>
      <c r="V67" s="93">
        <f t="shared" si="7"/>
        <v>0.90476190476190477</v>
      </c>
      <c r="W67" s="93">
        <f t="shared" si="8"/>
        <v>7.4404761904761904E-2</v>
      </c>
      <c r="X67" s="93">
        <f t="shared" si="9"/>
        <v>2.0833333333333332E-2</v>
      </c>
    </row>
    <row r="68" spans="1:24" x14ac:dyDescent="0.25">
      <c r="A68" s="314">
        <v>133</v>
      </c>
      <c r="B68" s="93" t="s">
        <v>372</v>
      </c>
      <c r="C68" s="93">
        <v>20</v>
      </c>
      <c r="D68" s="93">
        <v>16</v>
      </c>
      <c r="E68" s="93">
        <v>4</v>
      </c>
      <c r="F68" s="93">
        <f t="shared" si="10"/>
        <v>0</v>
      </c>
      <c r="G68" s="93">
        <v>250</v>
      </c>
      <c r="H68" s="93">
        <v>221</v>
      </c>
      <c r="I68" s="93">
        <v>18</v>
      </c>
      <c r="J68" s="93">
        <f t="shared" si="11"/>
        <v>11</v>
      </c>
      <c r="K68" s="93">
        <v>130</v>
      </c>
      <c r="L68" s="93">
        <v>109</v>
      </c>
      <c r="M68" s="93">
        <v>10</v>
      </c>
      <c r="N68" s="93">
        <f t="shared" si="12"/>
        <v>11</v>
      </c>
      <c r="P68" s="93">
        <f t="shared" si="1"/>
        <v>0.8</v>
      </c>
      <c r="Q68" s="93">
        <f t="shared" si="2"/>
        <v>0.2</v>
      </c>
      <c r="R68" s="93">
        <f t="shared" si="3"/>
        <v>0</v>
      </c>
      <c r="S68" s="93">
        <f t="shared" si="4"/>
        <v>0.88400000000000001</v>
      </c>
      <c r="T68" s="93">
        <f t="shared" si="5"/>
        <v>7.1999999999999995E-2</v>
      </c>
      <c r="U68" s="93">
        <f t="shared" si="6"/>
        <v>4.3999999999999997E-2</v>
      </c>
      <c r="V68" s="93">
        <f t="shared" si="7"/>
        <v>0.83846153846153848</v>
      </c>
      <c r="W68" s="93">
        <f t="shared" si="8"/>
        <v>7.6923076923076927E-2</v>
      </c>
      <c r="X68" s="93">
        <f t="shared" si="9"/>
        <v>8.461538461538462E-2</v>
      </c>
    </row>
    <row r="69" spans="1:24" x14ac:dyDescent="0.25">
      <c r="A69" s="314">
        <v>135</v>
      </c>
      <c r="B69" s="93" t="s">
        <v>373</v>
      </c>
      <c r="C69" s="93">
        <v>25</v>
      </c>
      <c r="D69" s="93">
        <v>11</v>
      </c>
      <c r="E69" s="93">
        <v>14</v>
      </c>
      <c r="F69" s="93">
        <f t="shared" si="10"/>
        <v>0</v>
      </c>
      <c r="G69" s="93">
        <v>415</v>
      </c>
      <c r="H69" s="93">
        <v>304</v>
      </c>
      <c r="I69" s="93">
        <v>66</v>
      </c>
      <c r="J69" s="93">
        <f t="shared" si="11"/>
        <v>45</v>
      </c>
      <c r="K69" s="93">
        <v>215</v>
      </c>
      <c r="L69" s="93">
        <v>145</v>
      </c>
      <c r="M69" s="93">
        <v>46</v>
      </c>
      <c r="N69" s="93">
        <f t="shared" si="12"/>
        <v>24</v>
      </c>
      <c r="P69" s="93">
        <f t="shared" ref="P69:P121" si="13">D69/C69</f>
        <v>0.44</v>
      </c>
      <c r="Q69" s="93">
        <f t="shared" ref="Q69:Q121" si="14">E69/C69</f>
        <v>0.56000000000000005</v>
      </c>
      <c r="R69" s="93">
        <f t="shared" ref="R69:R121" si="15">F69/C69</f>
        <v>0</v>
      </c>
      <c r="S69" s="93">
        <f t="shared" ref="S69:S121" si="16">H69/G69</f>
        <v>0.73253012048192767</v>
      </c>
      <c r="T69" s="93">
        <f t="shared" ref="T69:T121" si="17">I69/G69</f>
        <v>0.15903614457831325</v>
      </c>
      <c r="U69" s="93">
        <f t="shared" ref="U69:U121" si="18">J69/G69</f>
        <v>0.10843373493975904</v>
      </c>
      <c r="V69" s="93">
        <f t="shared" ref="V69:V121" si="19">L69/K69</f>
        <v>0.67441860465116277</v>
      </c>
      <c r="W69" s="93">
        <f t="shared" ref="W69:W121" si="20">M69/K69</f>
        <v>0.21395348837209302</v>
      </c>
      <c r="X69" s="93">
        <f t="shared" ref="X69:X121" si="21">N69/K69</f>
        <v>0.11162790697674418</v>
      </c>
    </row>
    <row r="70" spans="1:24" x14ac:dyDescent="0.25">
      <c r="A70" s="314">
        <v>137</v>
      </c>
      <c r="B70" s="93" t="s">
        <v>374</v>
      </c>
      <c r="C70" s="93">
        <v>74</v>
      </c>
      <c r="D70" s="93">
        <v>68</v>
      </c>
      <c r="E70" s="93">
        <v>3</v>
      </c>
      <c r="F70" s="93">
        <f t="shared" ref="F70:F121" si="22">C70-D70-E70</f>
        <v>3</v>
      </c>
      <c r="G70" s="93">
        <v>690</v>
      </c>
      <c r="H70" s="93">
        <v>596</v>
      </c>
      <c r="I70" s="93">
        <v>59</v>
      </c>
      <c r="J70" s="93">
        <f t="shared" ref="J70:J121" si="23">G70-H70-I70</f>
        <v>35</v>
      </c>
      <c r="K70" s="93">
        <v>432</v>
      </c>
      <c r="L70" s="93">
        <v>368</v>
      </c>
      <c r="M70" s="93">
        <v>49</v>
      </c>
      <c r="N70" s="93">
        <f t="shared" ref="N70:N121" si="24">K70-L70-M70</f>
        <v>15</v>
      </c>
      <c r="P70" s="93">
        <f t="shared" si="13"/>
        <v>0.91891891891891897</v>
      </c>
      <c r="Q70" s="93">
        <f t="shared" si="14"/>
        <v>4.0540540540540543E-2</v>
      </c>
      <c r="R70" s="93">
        <f t="shared" si="15"/>
        <v>4.0540540540540543E-2</v>
      </c>
      <c r="S70" s="93">
        <f t="shared" si="16"/>
        <v>0.86376811594202896</v>
      </c>
      <c r="T70" s="93">
        <f t="shared" si="17"/>
        <v>8.5507246376811591E-2</v>
      </c>
      <c r="U70" s="93">
        <f t="shared" si="18"/>
        <v>5.0724637681159424E-2</v>
      </c>
      <c r="V70" s="93">
        <f t="shared" si="19"/>
        <v>0.85185185185185186</v>
      </c>
      <c r="W70" s="93">
        <f t="shared" si="20"/>
        <v>0.11342592592592593</v>
      </c>
      <c r="X70" s="93">
        <f t="shared" si="21"/>
        <v>3.4722222222222224E-2</v>
      </c>
    </row>
    <row r="71" spans="1:24" x14ac:dyDescent="0.25">
      <c r="A71" s="314">
        <v>139</v>
      </c>
      <c r="B71" s="93" t="s">
        <v>375</v>
      </c>
      <c r="C71" s="93">
        <v>27</v>
      </c>
      <c r="D71" s="93">
        <v>25</v>
      </c>
      <c r="E71" s="93">
        <v>2</v>
      </c>
      <c r="F71" s="93">
        <f t="shared" si="22"/>
        <v>0</v>
      </c>
      <c r="G71" s="93">
        <v>217</v>
      </c>
      <c r="H71" s="93">
        <v>195</v>
      </c>
      <c r="I71" s="93">
        <v>15</v>
      </c>
      <c r="J71" s="93">
        <f t="shared" si="23"/>
        <v>7</v>
      </c>
      <c r="K71" s="93">
        <v>144</v>
      </c>
      <c r="L71" s="93">
        <v>132</v>
      </c>
      <c r="M71" s="93">
        <v>10</v>
      </c>
      <c r="N71" s="93">
        <f t="shared" si="24"/>
        <v>2</v>
      </c>
      <c r="P71" s="93">
        <f t="shared" si="13"/>
        <v>0.92592592592592593</v>
      </c>
      <c r="Q71" s="93">
        <f t="shared" si="14"/>
        <v>7.407407407407407E-2</v>
      </c>
      <c r="R71" s="93">
        <f t="shared" si="15"/>
        <v>0</v>
      </c>
      <c r="S71" s="93">
        <f t="shared" si="16"/>
        <v>0.89861751152073732</v>
      </c>
      <c r="T71" s="93">
        <f t="shared" si="17"/>
        <v>6.9124423963133647E-2</v>
      </c>
      <c r="U71" s="93">
        <f t="shared" si="18"/>
        <v>3.2258064516129031E-2</v>
      </c>
      <c r="V71" s="93">
        <f t="shared" si="19"/>
        <v>0.91666666666666663</v>
      </c>
      <c r="W71" s="93">
        <f t="shared" si="20"/>
        <v>6.9444444444444448E-2</v>
      </c>
      <c r="X71" s="93">
        <f t="shared" si="21"/>
        <v>1.3888888888888888E-2</v>
      </c>
    </row>
    <row r="72" spans="1:24" x14ac:dyDescent="0.25">
      <c r="A72" s="314">
        <v>141</v>
      </c>
      <c r="B72" s="93" t="s">
        <v>376</v>
      </c>
      <c r="C72" s="93">
        <v>28</v>
      </c>
      <c r="D72" s="93">
        <v>26</v>
      </c>
      <c r="E72" s="93">
        <v>2</v>
      </c>
      <c r="F72" s="93">
        <f t="shared" si="22"/>
        <v>0</v>
      </c>
      <c r="G72" s="93">
        <v>270</v>
      </c>
      <c r="H72" s="93">
        <v>246</v>
      </c>
      <c r="I72" s="93">
        <v>7</v>
      </c>
      <c r="J72" s="93">
        <f t="shared" si="23"/>
        <v>17</v>
      </c>
      <c r="K72" s="93">
        <v>170</v>
      </c>
      <c r="L72" s="93">
        <v>155</v>
      </c>
      <c r="M72" s="93">
        <v>3</v>
      </c>
      <c r="N72" s="93">
        <f t="shared" si="24"/>
        <v>12</v>
      </c>
      <c r="P72" s="93">
        <f t="shared" si="13"/>
        <v>0.9285714285714286</v>
      </c>
      <c r="Q72" s="93">
        <f t="shared" si="14"/>
        <v>7.1428571428571425E-2</v>
      </c>
      <c r="R72" s="93">
        <f t="shared" si="15"/>
        <v>0</v>
      </c>
      <c r="S72" s="93">
        <f t="shared" si="16"/>
        <v>0.91111111111111109</v>
      </c>
      <c r="T72" s="93">
        <f t="shared" si="17"/>
        <v>2.5925925925925925E-2</v>
      </c>
      <c r="U72" s="93">
        <f t="shared" si="18"/>
        <v>6.2962962962962957E-2</v>
      </c>
      <c r="V72" s="93">
        <f t="shared" si="19"/>
        <v>0.91176470588235292</v>
      </c>
      <c r="W72" s="93">
        <f t="shared" si="20"/>
        <v>1.7647058823529412E-2</v>
      </c>
      <c r="X72" s="93">
        <f t="shared" si="21"/>
        <v>7.0588235294117646E-2</v>
      </c>
    </row>
    <row r="73" spans="1:24" x14ac:dyDescent="0.25">
      <c r="A73" s="314">
        <v>143</v>
      </c>
      <c r="B73" s="93" t="s">
        <v>377</v>
      </c>
      <c r="C73" s="93">
        <v>65</v>
      </c>
      <c r="D73" s="93">
        <v>54</v>
      </c>
      <c r="E73" s="93">
        <v>9</v>
      </c>
      <c r="F73" s="93">
        <f t="shared" si="22"/>
        <v>2</v>
      </c>
      <c r="G73" s="93">
        <v>807</v>
      </c>
      <c r="H73" s="93">
        <v>722</v>
      </c>
      <c r="I73" s="93">
        <v>60</v>
      </c>
      <c r="J73" s="93">
        <f t="shared" si="23"/>
        <v>25</v>
      </c>
      <c r="K73" s="93">
        <v>541</v>
      </c>
      <c r="L73" s="93">
        <v>481</v>
      </c>
      <c r="M73" s="93">
        <v>40</v>
      </c>
      <c r="N73" s="93">
        <f t="shared" si="24"/>
        <v>20</v>
      </c>
      <c r="P73" s="93">
        <f t="shared" si="13"/>
        <v>0.83076923076923082</v>
      </c>
      <c r="Q73" s="93">
        <f t="shared" si="14"/>
        <v>0.13846153846153847</v>
      </c>
      <c r="R73" s="93">
        <f t="shared" si="15"/>
        <v>3.0769230769230771E-2</v>
      </c>
      <c r="S73" s="93">
        <f t="shared" si="16"/>
        <v>0.89467162329615857</v>
      </c>
      <c r="T73" s="93">
        <f t="shared" si="17"/>
        <v>7.434944237918216E-2</v>
      </c>
      <c r="U73" s="93">
        <f t="shared" si="18"/>
        <v>3.0978934324659233E-2</v>
      </c>
      <c r="V73" s="93">
        <f t="shared" si="19"/>
        <v>0.88909426987061002</v>
      </c>
      <c r="W73" s="93">
        <f t="shared" si="20"/>
        <v>7.3937153419593352E-2</v>
      </c>
      <c r="X73" s="93">
        <f t="shared" si="21"/>
        <v>3.6968576709796676E-2</v>
      </c>
    </row>
    <row r="74" spans="1:24" x14ac:dyDescent="0.25">
      <c r="A74" s="314">
        <v>145</v>
      </c>
      <c r="B74" s="93" t="s">
        <v>378</v>
      </c>
      <c r="C74" s="93">
        <v>25</v>
      </c>
      <c r="D74" s="93">
        <v>23</v>
      </c>
      <c r="E74" s="93">
        <v>2</v>
      </c>
      <c r="F74" s="93">
        <f t="shared" si="22"/>
        <v>0</v>
      </c>
      <c r="G74" s="93">
        <v>340</v>
      </c>
      <c r="H74" s="93">
        <v>306</v>
      </c>
      <c r="I74" s="93">
        <v>28</v>
      </c>
      <c r="J74" s="93">
        <f t="shared" si="23"/>
        <v>6</v>
      </c>
      <c r="K74" s="93">
        <v>159</v>
      </c>
      <c r="L74" s="93">
        <v>145</v>
      </c>
      <c r="M74" s="93">
        <v>14</v>
      </c>
      <c r="N74" s="93">
        <f t="shared" si="24"/>
        <v>0</v>
      </c>
      <c r="P74" s="93">
        <f t="shared" si="13"/>
        <v>0.92</v>
      </c>
      <c r="Q74" s="93">
        <f t="shared" si="14"/>
        <v>0.08</v>
      </c>
      <c r="R74" s="93">
        <f t="shared" si="15"/>
        <v>0</v>
      </c>
      <c r="S74" s="93">
        <f t="shared" si="16"/>
        <v>0.9</v>
      </c>
      <c r="T74" s="93">
        <f t="shared" si="17"/>
        <v>8.2352941176470587E-2</v>
      </c>
      <c r="U74" s="93">
        <f t="shared" si="18"/>
        <v>1.7647058823529412E-2</v>
      </c>
      <c r="V74" s="93">
        <f t="shared" si="19"/>
        <v>0.91194968553459121</v>
      </c>
      <c r="W74" s="93">
        <f t="shared" si="20"/>
        <v>8.8050314465408799E-2</v>
      </c>
      <c r="X74" s="93">
        <f t="shared" si="21"/>
        <v>0</v>
      </c>
    </row>
    <row r="75" spans="1:24" x14ac:dyDescent="0.25">
      <c r="A75" s="314">
        <v>147</v>
      </c>
      <c r="B75" s="93" t="s">
        <v>379</v>
      </c>
      <c r="C75" s="93">
        <v>19</v>
      </c>
      <c r="D75" s="93">
        <v>15</v>
      </c>
      <c r="E75" s="93">
        <v>3</v>
      </c>
      <c r="F75" s="93">
        <f t="shared" si="22"/>
        <v>1</v>
      </c>
      <c r="G75" s="93">
        <v>387</v>
      </c>
      <c r="H75" s="93">
        <v>288</v>
      </c>
      <c r="I75" s="93">
        <v>81</v>
      </c>
      <c r="J75" s="93">
        <f t="shared" si="23"/>
        <v>18</v>
      </c>
      <c r="K75" s="93">
        <v>138</v>
      </c>
      <c r="L75" s="93">
        <v>90</v>
      </c>
      <c r="M75" s="93">
        <v>43</v>
      </c>
      <c r="N75" s="93">
        <f t="shared" si="24"/>
        <v>5</v>
      </c>
      <c r="P75" s="93">
        <f t="shared" si="13"/>
        <v>0.78947368421052633</v>
      </c>
      <c r="Q75" s="93">
        <f t="shared" si="14"/>
        <v>0.15789473684210525</v>
      </c>
      <c r="R75" s="93">
        <f t="shared" si="15"/>
        <v>5.2631578947368418E-2</v>
      </c>
      <c r="S75" s="93">
        <f t="shared" si="16"/>
        <v>0.7441860465116279</v>
      </c>
      <c r="T75" s="93">
        <f t="shared" si="17"/>
        <v>0.20930232558139536</v>
      </c>
      <c r="U75" s="93">
        <f t="shared" si="18"/>
        <v>4.6511627906976744E-2</v>
      </c>
      <c r="V75" s="93">
        <f t="shared" si="19"/>
        <v>0.65217391304347827</v>
      </c>
      <c r="W75" s="93">
        <f t="shared" si="20"/>
        <v>0.31159420289855072</v>
      </c>
      <c r="X75" s="93">
        <f t="shared" si="21"/>
        <v>3.6231884057971016E-2</v>
      </c>
    </row>
    <row r="76" spans="1:24" x14ac:dyDescent="0.25">
      <c r="A76" s="314">
        <v>149</v>
      </c>
      <c r="B76" s="93" t="s">
        <v>380</v>
      </c>
      <c r="C76" s="93">
        <v>42</v>
      </c>
      <c r="D76" s="93">
        <v>34</v>
      </c>
      <c r="E76" s="93">
        <v>6</v>
      </c>
      <c r="F76" s="93">
        <f t="shared" si="22"/>
        <v>2</v>
      </c>
      <c r="G76" s="93">
        <v>1603</v>
      </c>
      <c r="H76" s="93">
        <v>1198</v>
      </c>
      <c r="I76" s="93">
        <v>338</v>
      </c>
      <c r="J76" s="93">
        <f t="shared" si="23"/>
        <v>67</v>
      </c>
      <c r="K76" s="93">
        <v>739</v>
      </c>
      <c r="L76" s="93">
        <v>525</v>
      </c>
      <c r="M76" s="93">
        <v>163</v>
      </c>
      <c r="N76" s="93">
        <f t="shared" si="24"/>
        <v>51</v>
      </c>
      <c r="P76" s="93">
        <f t="shared" si="13"/>
        <v>0.80952380952380953</v>
      </c>
      <c r="Q76" s="93">
        <f t="shared" si="14"/>
        <v>0.14285714285714285</v>
      </c>
      <c r="R76" s="93">
        <f t="shared" si="15"/>
        <v>4.7619047619047616E-2</v>
      </c>
      <c r="S76" s="93">
        <f t="shared" si="16"/>
        <v>0.74734872114784778</v>
      </c>
      <c r="T76" s="93">
        <f t="shared" si="17"/>
        <v>0.21085464753587024</v>
      </c>
      <c r="U76" s="93">
        <f t="shared" si="18"/>
        <v>4.1796631316281974E-2</v>
      </c>
      <c r="V76" s="93">
        <f t="shared" si="19"/>
        <v>0.71041948579161029</v>
      </c>
      <c r="W76" s="93">
        <f t="shared" si="20"/>
        <v>0.22056833558863329</v>
      </c>
      <c r="X76" s="93">
        <f t="shared" si="21"/>
        <v>6.9012178619756434E-2</v>
      </c>
    </row>
    <row r="77" spans="1:24" x14ac:dyDescent="0.25">
      <c r="A77" s="314">
        <v>153</v>
      </c>
      <c r="B77" s="93" t="s">
        <v>381</v>
      </c>
      <c r="C77" s="93">
        <v>2113</v>
      </c>
      <c r="D77" s="93">
        <v>1878</v>
      </c>
      <c r="E77" s="93">
        <v>119</v>
      </c>
      <c r="F77" s="93">
        <f t="shared" si="22"/>
        <v>116</v>
      </c>
      <c r="G77" s="93">
        <v>53586</v>
      </c>
      <c r="H77" s="93">
        <v>46734</v>
      </c>
      <c r="I77" s="93">
        <v>3714</v>
      </c>
      <c r="J77" s="93">
        <f t="shared" si="23"/>
        <v>3138</v>
      </c>
      <c r="K77" s="93">
        <v>30044</v>
      </c>
      <c r="L77" s="93">
        <v>25292</v>
      </c>
      <c r="M77" s="93">
        <v>2766</v>
      </c>
      <c r="N77" s="93">
        <f t="shared" si="24"/>
        <v>1986</v>
      </c>
      <c r="P77" s="93">
        <f t="shared" si="13"/>
        <v>0.88878371982962612</v>
      </c>
      <c r="Q77" s="93">
        <f t="shared" si="14"/>
        <v>5.6318031235210599E-2</v>
      </c>
      <c r="R77" s="93">
        <f t="shared" si="15"/>
        <v>5.4898248935163277E-2</v>
      </c>
      <c r="S77" s="93">
        <f t="shared" si="16"/>
        <v>0.87213078042772363</v>
      </c>
      <c r="T77" s="93">
        <f t="shared" si="17"/>
        <v>6.9309147911767996E-2</v>
      </c>
      <c r="U77" s="93">
        <f t="shared" si="18"/>
        <v>5.8560071660508341E-2</v>
      </c>
      <c r="V77" s="93">
        <f t="shared" si="19"/>
        <v>0.84183197976301427</v>
      </c>
      <c r="W77" s="93">
        <f t="shared" si="20"/>
        <v>9.2064971375316204E-2</v>
      </c>
      <c r="X77" s="93">
        <f t="shared" si="21"/>
        <v>6.6103048861669553E-2</v>
      </c>
    </row>
    <row r="78" spans="1:24" x14ac:dyDescent="0.25">
      <c r="A78" s="314">
        <v>155</v>
      </c>
      <c r="B78" s="93" t="s">
        <v>382</v>
      </c>
      <c r="C78" s="93">
        <v>32</v>
      </c>
      <c r="D78" s="93">
        <v>31</v>
      </c>
      <c r="E78" s="93">
        <v>1</v>
      </c>
      <c r="F78" s="93">
        <f t="shared" si="22"/>
        <v>0</v>
      </c>
      <c r="G78" s="93">
        <v>264</v>
      </c>
      <c r="H78" s="93">
        <v>249</v>
      </c>
      <c r="I78" s="93">
        <v>8</v>
      </c>
      <c r="J78" s="93">
        <f t="shared" si="23"/>
        <v>7</v>
      </c>
      <c r="K78" s="93">
        <v>175</v>
      </c>
      <c r="L78" s="93">
        <v>160</v>
      </c>
      <c r="M78" s="93">
        <v>13</v>
      </c>
      <c r="N78" s="93">
        <f t="shared" si="24"/>
        <v>2</v>
      </c>
      <c r="P78" s="93">
        <f t="shared" si="13"/>
        <v>0.96875</v>
      </c>
      <c r="Q78" s="93">
        <f t="shared" si="14"/>
        <v>3.125E-2</v>
      </c>
      <c r="R78" s="93">
        <f t="shared" si="15"/>
        <v>0</v>
      </c>
      <c r="S78" s="93">
        <f t="shared" si="16"/>
        <v>0.94318181818181823</v>
      </c>
      <c r="T78" s="93">
        <f t="shared" si="17"/>
        <v>3.0303030303030304E-2</v>
      </c>
      <c r="U78" s="93">
        <f t="shared" si="18"/>
        <v>2.6515151515151516E-2</v>
      </c>
      <c r="V78" s="93">
        <f t="shared" si="19"/>
        <v>0.91428571428571426</v>
      </c>
      <c r="W78" s="93">
        <f t="shared" si="20"/>
        <v>7.4285714285714288E-2</v>
      </c>
      <c r="X78" s="93">
        <f t="shared" si="21"/>
        <v>1.1428571428571429E-2</v>
      </c>
    </row>
    <row r="79" spans="1:24" x14ac:dyDescent="0.25">
      <c r="A79" s="314">
        <v>157</v>
      </c>
      <c r="B79" s="93" t="s">
        <v>383</v>
      </c>
      <c r="C79" s="93">
        <v>18</v>
      </c>
      <c r="D79" s="93">
        <v>18</v>
      </c>
      <c r="E79" s="93">
        <v>0</v>
      </c>
      <c r="F79" s="93">
        <f t="shared" si="22"/>
        <v>0</v>
      </c>
      <c r="G79" s="93">
        <v>143</v>
      </c>
      <c r="H79" s="93">
        <v>134</v>
      </c>
      <c r="I79" s="93">
        <v>7</v>
      </c>
      <c r="J79" s="93">
        <f t="shared" si="23"/>
        <v>2</v>
      </c>
      <c r="K79" s="93">
        <v>82</v>
      </c>
      <c r="L79" s="93">
        <v>77</v>
      </c>
      <c r="M79" s="93">
        <v>4</v>
      </c>
      <c r="N79" s="93">
        <f t="shared" si="24"/>
        <v>1</v>
      </c>
      <c r="P79" s="93">
        <f t="shared" si="13"/>
        <v>1</v>
      </c>
      <c r="Q79" s="93">
        <f t="shared" si="14"/>
        <v>0</v>
      </c>
      <c r="R79" s="93">
        <f t="shared" si="15"/>
        <v>0</v>
      </c>
      <c r="S79" s="93">
        <f t="shared" si="16"/>
        <v>0.93706293706293708</v>
      </c>
      <c r="T79" s="93">
        <f t="shared" si="17"/>
        <v>4.8951048951048952E-2</v>
      </c>
      <c r="U79" s="93">
        <f t="shared" si="18"/>
        <v>1.3986013986013986E-2</v>
      </c>
      <c r="V79" s="93">
        <f t="shared" si="19"/>
        <v>0.93902439024390238</v>
      </c>
      <c r="W79" s="93">
        <f t="shared" si="20"/>
        <v>4.878048780487805E-2</v>
      </c>
      <c r="X79" s="93">
        <f t="shared" si="21"/>
        <v>1.2195121951219513E-2</v>
      </c>
    </row>
    <row r="80" spans="1:24" x14ac:dyDescent="0.25">
      <c r="A80" s="314">
        <v>159</v>
      </c>
      <c r="B80" s="93" t="s">
        <v>260</v>
      </c>
      <c r="C80" s="93">
        <v>20</v>
      </c>
      <c r="D80" s="93">
        <v>19</v>
      </c>
      <c r="E80" s="93">
        <v>1</v>
      </c>
      <c r="F80" s="93">
        <f t="shared" si="22"/>
        <v>0</v>
      </c>
      <c r="G80" s="93">
        <v>356</v>
      </c>
      <c r="H80" s="93">
        <v>331</v>
      </c>
      <c r="I80" s="93">
        <v>16</v>
      </c>
      <c r="J80" s="93">
        <f t="shared" si="23"/>
        <v>9</v>
      </c>
      <c r="K80" s="93">
        <v>157</v>
      </c>
      <c r="L80" s="93">
        <v>145</v>
      </c>
      <c r="M80" s="93">
        <v>9</v>
      </c>
      <c r="N80" s="93">
        <f t="shared" si="24"/>
        <v>3</v>
      </c>
      <c r="P80" s="93">
        <f t="shared" si="13"/>
        <v>0.95</v>
      </c>
      <c r="Q80" s="93">
        <f t="shared" si="14"/>
        <v>0.05</v>
      </c>
      <c r="R80" s="93">
        <f t="shared" si="15"/>
        <v>0</v>
      </c>
      <c r="S80" s="93">
        <f t="shared" si="16"/>
        <v>0.9297752808988764</v>
      </c>
      <c r="T80" s="93">
        <f t="shared" si="17"/>
        <v>4.49438202247191E-2</v>
      </c>
      <c r="U80" s="93">
        <f t="shared" si="18"/>
        <v>2.5280898876404494E-2</v>
      </c>
      <c r="V80" s="93">
        <f t="shared" si="19"/>
        <v>0.92356687898089174</v>
      </c>
      <c r="W80" s="93">
        <f t="shared" si="20"/>
        <v>5.7324840764331211E-2</v>
      </c>
      <c r="X80" s="93">
        <f t="shared" si="21"/>
        <v>1.9108280254777069E-2</v>
      </c>
    </row>
    <row r="81" spans="1:24" x14ac:dyDescent="0.25">
      <c r="A81" s="314">
        <v>161</v>
      </c>
      <c r="B81" s="93" t="s">
        <v>289</v>
      </c>
      <c r="C81" s="93">
        <v>114</v>
      </c>
      <c r="D81" s="93">
        <v>107</v>
      </c>
      <c r="E81" s="93">
        <v>4</v>
      </c>
      <c r="F81" s="93">
        <f>(C81-D81-E81)+1</f>
        <v>4</v>
      </c>
      <c r="G81" s="93">
        <v>1628</v>
      </c>
      <c r="H81" s="93">
        <v>1460</v>
      </c>
      <c r="I81" s="93">
        <v>107</v>
      </c>
      <c r="J81" s="93">
        <f>(G81-H81-I81)+18</f>
        <v>79</v>
      </c>
      <c r="K81" s="93">
        <v>1001</v>
      </c>
      <c r="L81" s="93">
        <v>885</v>
      </c>
      <c r="M81" s="93">
        <v>86</v>
      </c>
      <c r="N81" s="93">
        <f>(K81-L81-M81)+11</f>
        <v>41</v>
      </c>
      <c r="P81" s="93">
        <f t="shared" si="13"/>
        <v>0.93859649122807021</v>
      </c>
      <c r="Q81" s="93">
        <f t="shared" si="14"/>
        <v>3.5087719298245612E-2</v>
      </c>
      <c r="R81" s="93">
        <f t="shared" si="15"/>
        <v>3.5087719298245612E-2</v>
      </c>
      <c r="S81" s="93">
        <f t="shared" si="16"/>
        <v>0.89680589680589684</v>
      </c>
      <c r="T81" s="93">
        <f t="shared" si="17"/>
        <v>6.5724815724815727E-2</v>
      </c>
      <c r="U81" s="93">
        <f t="shared" si="18"/>
        <v>4.8525798525798525E-2</v>
      </c>
      <c r="V81" s="93">
        <f t="shared" si="19"/>
        <v>0.88411588411588415</v>
      </c>
      <c r="W81" s="93">
        <f t="shared" si="20"/>
        <v>8.5914085914085919E-2</v>
      </c>
      <c r="X81" s="93">
        <f t="shared" si="21"/>
        <v>4.095904095904096E-2</v>
      </c>
    </row>
    <row r="82" spans="1:24" x14ac:dyDescent="0.25">
      <c r="A82" s="314">
        <v>163</v>
      </c>
      <c r="B82" s="93" t="s">
        <v>552</v>
      </c>
      <c r="C82" s="93">
        <v>41</v>
      </c>
      <c r="D82" s="93">
        <v>40</v>
      </c>
      <c r="E82" s="93">
        <v>1</v>
      </c>
      <c r="F82" s="93">
        <f>((C82-D82-E82)+0)+0</f>
        <v>0</v>
      </c>
      <c r="G82" s="93">
        <v>487</v>
      </c>
      <c r="H82" s="93">
        <v>442</v>
      </c>
      <c r="I82" s="93">
        <v>24</v>
      </c>
      <c r="J82" s="93">
        <f>((G82-H82-I82)+4)+6</f>
        <v>31</v>
      </c>
      <c r="K82" s="93">
        <v>195</v>
      </c>
      <c r="L82" s="93">
        <v>175</v>
      </c>
      <c r="M82" s="93">
        <v>13</v>
      </c>
      <c r="N82" s="93">
        <f>((K82-L82-M82)+1)+0</f>
        <v>8</v>
      </c>
      <c r="P82" s="93">
        <f t="shared" si="13"/>
        <v>0.97560975609756095</v>
      </c>
      <c r="Q82" s="93">
        <f t="shared" si="14"/>
        <v>2.4390243902439025E-2</v>
      </c>
      <c r="R82" s="93">
        <f t="shared" si="15"/>
        <v>0</v>
      </c>
      <c r="S82" s="93">
        <f t="shared" si="16"/>
        <v>0.9075975359342916</v>
      </c>
      <c r="T82" s="93">
        <f t="shared" si="17"/>
        <v>4.9281314168377825E-2</v>
      </c>
      <c r="U82" s="93">
        <f t="shared" si="18"/>
        <v>6.3655030800821355E-2</v>
      </c>
      <c r="V82" s="93">
        <f t="shared" si="19"/>
        <v>0.89743589743589747</v>
      </c>
      <c r="W82" s="93">
        <f t="shared" si="20"/>
        <v>6.6666666666666666E-2</v>
      </c>
      <c r="X82" s="93">
        <f t="shared" si="21"/>
        <v>4.1025641025641026E-2</v>
      </c>
    </row>
    <row r="83" spans="1:24" x14ac:dyDescent="0.25">
      <c r="A83" s="314">
        <v>165</v>
      </c>
      <c r="B83" s="93" t="s">
        <v>553</v>
      </c>
      <c r="C83" s="93">
        <v>215</v>
      </c>
      <c r="D83" s="93">
        <v>194</v>
      </c>
      <c r="E83" s="93">
        <v>9</v>
      </c>
      <c r="F83" s="93">
        <f>(C83-D83-E83)+6</f>
        <v>18</v>
      </c>
      <c r="G83" s="93">
        <v>7689</v>
      </c>
      <c r="H83" s="93">
        <v>6695</v>
      </c>
      <c r="I83" s="93">
        <v>485</v>
      </c>
      <c r="J83" s="93">
        <f>(G83-H83-I83)+277</f>
        <v>786</v>
      </c>
      <c r="K83" s="93">
        <v>4417</v>
      </c>
      <c r="L83" s="93">
        <v>3859</v>
      </c>
      <c r="M83" s="93">
        <v>284</v>
      </c>
      <c r="N83" s="93">
        <f>(K83-L83-M83)+114</f>
        <v>388</v>
      </c>
      <c r="P83" s="93">
        <f t="shared" si="13"/>
        <v>0.9023255813953488</v>
      </c>
      <c r="Q83" s="93">
        <f t="shared" si="14"/>
        <v>4.1860465116279069E-2</v>
      </c>
      <c r="R83" s="93">
        <f t="shared" si="15"/>
        <v>8.3720930232558138E-2</v>
      </c>
      <c r="S83" s="93">
        <f t="shared" si="16"/>
        <v>0.87072441149694368</v>
      </c>
      <c r="T83" s="93">
        <f t="shared" si="17"/>
        <v>6.3077123162960075E-2</v>
      </c>
      <c r="U83" s="93">
        <f t="shared" si="18"/>
        <v>0.10222395630120952</v>
      </c>
      <c r="V83" s="93">
        <f t="shared" si="19"/>
        <v>0.87366991170477704</v>
      </c>
      <c r="W83" s="93">
        <f t="shared" si="20"/>
        <v>6.4297034186099167E-2</v>
      </c>
      <c r="X83" s="93">
        <f t="shared" si="21"/>
        <v>8.7842426986642519E-2</v>
      </c>
    </row>
    <row r="84" spans="1:24" x14ac:dyDescent="0.25">
      <c r="A84" s="314">
        <v>167</v>
      </c>
      <c r="B84" s="93" t="s">
        <v>384</v>
      </c>
      <c r="C84" s="93">
        <v>18</v>
      </c>
      <c r="D84" s="93">
        <v>17</v>
      </c>
      <c r="E84" s="93">
        <v>1</v>
      </c>
      <c r="F84" s="93">
        <f t="shared" si="22"/>
        <v>0</v>
      </c>
      <c r="G84" s="93">
        <v>152</v>
      </c>
      <c r="H84" s="93">
        <v>136</v>
      </c>
      <c r="I84" s="93">
        <v>8</v>
      </c>
      <c r="J84" s="93">
        <f t="shared" si="23"/>
        <v>8</v>
      </c>
      <c r="K84" s="93">
        <v>125</v>
      </c>
      <c r="L84" s="93">
        <v>110</v>
      </c>
      <c r="M84" s="93">
        <v>3</v>
      </c>
      <c r="N84" s="93">
        <f t="shared" si="24"/>
        <v>12</v>
      </c>
      <c r="P84" s="93">
        <f t="shared" si="13"/>
        <v>0.94444444444444442</v>
      </c>
      <c r="Q84" s="93">
        <f t="shared" si="14"/>
        <v>5.5555555555555552E-2</v>
      </c>
      <c r="R84" s="93">
        <f t="shared" si="15"/>
        <v>0</v>
      </c>
      <c r="S84" s="93">
        <f t="shared" si="16"/>
        <v>0.89473684210526316</v>
      </c>
      <c r="T84" s="93">
        <f t="shared" si="17"/>
        <v>5.2631578947368418E-2</v>
      </c>
      <c r="U84" s="93">
        <f t="shared" si="18"/>
        <v>5.2631578947368418E-2</v>
      </c>
      <c r="V84" s="93">
        <f t="shared" si="19"/>
        <v>0.88</v>
      </c>
      <c r="W84" s="93">
        <f t="shared" si="20"/>
        <v>2.4E-2</v>
      </c>
      <c r="X84" s="93">
        <f t="shared" si="21"/>
        <v>9.6000000000000002E-2</v>
      </c>
    </row>
    <row r="85" spans="1:24" x14ac:dyDescent="0.25">
      <c r="A85" s="314">
        <v>169</v>
      </c>
      <c r="B85" s="93" t="s">
        <v>385</v>
      </c>
      <c r="C85" s="93">
        <v>13</v>
      </c>
      <c r="D85" s="93">
        <v>12</v>
      </c>
      <c r="E85" s="93">
        <v>1</v>
      </c>
      <c r="F85" s="93">
        <f t="shared" si="22"/>
        <v>0</v>
      </c>
      <c r="G85" s="93">
        <v>131</v>
      </c>
      <c r="H85" s="93">
        <v>119</v>
      </c>
      <c r="I85" s="93">
        <v>3</v>
      </c>
      <c r="J85" s="93">
        <f t="shared" si="23"/>
        <v>9</v>
      </c>
      <c r="K85" s="93">
        <v>104</v>
      </c>
      <c r="L85" s="93">
        <v>93</v>
      </c>
      <c r="M85" s="93">
        <v>0</v>
      </c>
      <c r="N85" s="93">
        <f t="shared" si="24"/>
        <v>11</v>
      </c>
      <c r="P85" s="93">
        <f t="shared" si="13"/>
        <v>0.92307692307692313</v>
      </c>
      <c r="Q85" s="93">
        <f t="shared" si="14"/>
        <v>7.6923076923076927E-2</v>
      </c>
      <c r="R85" s="93">
        <f t="shared" si="15"/>
        <v>0</v>
      </c>
      <c r="S85" s="93">
        <f t="shared" si="16"/>
        <v>0.90839694656488545</v>
      </c>
      <c r="T85" s="93">
        <f t="shared" si="17"/>
        <v>2.2900763358778626E-2</v>
      </c>
      <c r="U85" s="93">
        <f t="shared" si="18"/>
        <v>6.8702290076335881E-2</v>
      </c>
      <c r="V85" s="93">
        <f t="shared" si="19"/>
        <v>0.89423076923076927</v>
      </c>
      <c r="W85" s="93">
        <f t="shared" si="20"/>
        <v>0</v>
      </c>
      <c r="X85" s="93">
        <f t="shared" si="21"/>
        <v>0.10576923076923077</v>
      </c>
    </row>
    <row r="86" spans="1:24" x14ac:dyDescent="0.25">
      <c r="A86" s="314">
        <v>171</v>
      </c>
      <c r="B86" s="93" t="s">
        <v>386</v>
      </c>
      <c r="C86" s="93">
        <v>74</v>
      </c>
      <c r="D86" s="93">
        <v>66</v>
      </c>
      <c r="E86" s="93">
        <v>1</v>
      </c>
      <c r="F86" s="93">
        <f t="shared" si="22"/>
        <v>7</v>
      </c>
      <c r="G86" s="93">
        <v>1518</v>
      </c>
      <c r="H86" s="93">
        <v>1378</v>
      </c>
      <c r="I86" s="93">
        <v>69</v>
      </c>
      <c r="J86" s="93">
        <f t="shared" si="23"/>
        <v>71</v>
      </c>
      <c r="K86" s="93">
        <v>1060</v>
      </c>
      <c r="L86" s="93">
        <v>979</v>
      </c>
      <c r="M86" s="93">
        <v>40</v>
      </c>
      <c r="N86" s="93">
        <f t="shared" si="24"/>
        <v>41</v>
      </c>
      <c r="P86" s="93">
        <f t="shared" si="13"/>
        <v>0.89189189189189189</v>
      </c>
      <c r="Q86" s="93">
        <f t="shared" si="14"/>
        <v>1.3513513513513514E-2</v>
      </c>
      <c r="R86" s="93">
        <f t="shared" si="15"/>
        <v>9.45945945945946E-2</v>
      </c>
      <c r="S86" s="93">
        <f t="shared" si="16"/>
        <v>0.90777338603425561</v>
      </c>
      <c r="T86" s="93">
        <f t="shared" si="17"/>
        <v>4.5454545454545456E-2</v>
      </c>
      <c r="U86" s="93">
        <f t="shared" si="18"/>
        <v>4.6772068511198944E-2</v>
      </c>
      <c r="V86" s="93">
        <f t="shared" si="19"/>
        <v>0.92358490566037732</v>
      </c>
      <c r="W86" s="93">
        <f t="shared" si="20"/>
        <v>3.7735849056603772E-2</v>
      </c>
      <c r="X86" s="93">
        <f t="shared" si="21"/>
        <v>3.8679245283018866E-2</v>
      </c>
    </row>
    <row r="87" spans="1:24" x14ac:dyDescent="0.25">
      <c r="A87" s="314">
        <v>173</v>
      </c>
      <c r="B87" s="93" t="s">
        <v>387</v>
      </c>
      <c r="C87" s="93">
        <v>24</v>
      </c>
      <c r="D87" s="93">
        <v>24</v>
      </c>
      <c r="E87" s="93">
        <v>0</v>
      </c>
      <c r="F87" s="93">
        <f t="shared" si="22"/>
        <v>0</v>
      </c>
      <c r="G87" s="93">
        <v>317</v>
      </c>
      <c r="H87" s="93">
        <v>293</v>
      </c>
      <c r="I87" s="93">
        <v>15</v>
      </c>
      <c r="J87" s="93">
        <f t="shared" si="23"/>
        <v>9</v>
      </c>
      <c r="K87" s="93">
        <v>200</v>
      </c>
      <c r="L87" s="93">
        <v>187</v>
      </c>
      <c r="M87" s="93">
        <v>13</v>
      </c>
      <c r="N87" s="93">
        <f t="shared" si="24"/>
        <v>0</v>
      </c>
      <c r="P87" s="93">
        <f t="shared" si="13"/>
        <v>1</v>
      </c>
      <c r="Q87" s="93">
        <f t="shared" si="14"/>
        <v>0</v>
      </c>
      <c r="R87" s="93">
        <f t="shared" si="15"/>
        <v>0</v>
      </c>
      <c r="S87" s="93">
        <f t="shared" si="16"/>
        <v>0.9242902208201893</v>
      </c>
      <c r="T87" s="93">
        <f t="shared" si="17"/>
        <v>4.7318611987381701E-2</v>
      </c>
      <c r="U87" s="93">
        <f t="shared" si="18"/>
        <v>2.8391167192429023E-2</v>
      </c>
      <c r="V87" s="93">
        <f t="shared" si="19"/>
        <v>0.93500000000000005</v>
      </c>
      <c r="W87" s="93">
        <f t="shared" si="20"/>
        <v>6.5000000000000002E-2</v>
      </c>
      <c r="X87" s="93">
        <f t="shared" si="21"/>
        <v>0</v>
      </c>
    </row>
    <row r="88" spans="1:24" x14ac:dyDescent="0.25">
      <c r="A88" s="314">
        <v>175</v>
      </c>
      <c r="B88" s="93" t="s">
        <v>388</v>
      </c>
      <c r="C88" s="93">
        <v>18</v>
      </c>
      <c r="D88" s="93">
        <v>13</v>
      </c>
      <c r="E88" s="93">
        <v>5</v>
      </c>
      <c r="F88" s="93">
        <f t="shared" si="22"/>
        <v>0</v>
      </c>
      <c r="G88" s="93">
        <v>118</v>
      </c>
      <c r="H88" s="93">
        <v>74</v>
      </c>
      <c r="I88" s="93">
        <v>29</v>
      </c>
      <c r="J88" s="93">
        <f t="shared" si="23"/>
        <v>15</v>
      </c>
      <c r="K88" s="93">
        <v>91</v>
      </c>
      <c r="L88" s="93">
        <v>62</v>
      </c>
      <c r="M88" s="93">
        <v>20</v>
      </c>
      <c r="N88" s="93">
        <f t="shared" si="24"/>
        <v>9</v>
      </c>
      <c r="P88" s="93">
        <f t="shared" si="13"/>
        <v>0.72222222222222221</v>
      </c>
      <c r="Q88" s="93">
        <f t="shared" si="14"/>
        <v>0.27777777777777779</v>
      </c>
      <c r="R88" s="93">
        <f t="shared" si="15"/>
        <v>0</v>
      </c>
      <c r="S88" s="93">
        <f t="shared" si="16"/>
        <v>0.6271186440677966</v>
      </c>
      <c r="T88" s="93">
        <f t="shared" si="17"/>
        <v>0.24576271186440679</v>
      </c>
      <c r="U88" s="93">
        <f t="shared" si="18"/>
        <v>0.1271186440677966</v>
      </c>
      <c r="V88" s="93">
        <f t="shared" si="19"/>
        <v>0.68131868131868134</v>
      </c>
      <c r="W88" s="93">
        <f t="shared" si="20"/>
        <v>0.21978021978021978</v>
      </c>
      <c r="X88" s="93">
        <f t="shared" si="21"/>
        <v>9.8901098901098897E-2</v>
      </c>
    </row>
    <row r="89" spans="1:24" x14ac:dyDescent="0.25">
      <c r="A89" s="314">
        <v>177</v>
      </c>
      <c r="B89" s="93" t="s">
        <v>389</v>
      </c>
      <c r="C89" s="93">
        <v>298</v>
      </c>
      <c r="D89" s="93">
        <v>273</v>
      </c>
      <c r="E89" s="93">
        <v>15</v>
      </c>
      <c r="F89" s="93">
        <f t="shared" si="22"/>
        <v>10</v>
      </c>
      <c r="G89" s="93">
        <v>5779</v>
      </c>
      <c r="H89" s="93">
        <v>5040</v>
      </c>
      <c r="I89" s="93">
        <v>493</v>
      </c>
      <c r="J89" s="93">
        <f t="shared" si="23"/>
        <v>246</v>
      </c>
      <c r="K89" s="93">
        <v>3576</v>
      </c>
      <c r="L89" s="93">
        <v>3027</v>
      </c>
      <c r="M89" s="93">
        <v>385</v>
      </c>
      <c r="N89" s="93">
        <f t="shared" si="24"/>
        <v>164</v>
      </c>
      <c r="P89" s="93">
        <f t="shared" si="13"/>
        <v>0.91610738255033553</v>
      </c>
      <c r="Q89" s="93">
        <f t="shared" si="14"/>
        <v>5.0335570469798654E-2</v>
      </c>
      <c r="R89" s="93">
        <f t="shared" si="15"/>
        <v>3.3557046979865772E-2</v>
      </c>
      <c r="S89" s="93">
        <f t="shared" si="16"/>
        <v>0.87212320470669669</v>
      </c>
      <c r="T89" s="93">
        <f t="shared" si="17"/>
        <v>8.5308876968333627E-2</v>
      </c>
      <c r="U89" s="93">
        <f t="shared" si="18"/>
        <v>4.2567918324969721E-2</v>
      </c>
      <c r="V89" s="93">
        <f t="shared" si="19"/>
        <v>0.84647651006711411</v>
      </c>
      <c r="W89" s="93">
        <f t="shared" si="20"/>
        <v>0.10766219239373602</v>
      </c>
      <c r="X89" s="93">
        <f t="shared" si="21"/>
        <v>4.5861297539149887E-2</v>
      </c>
    </row>
    <row r="90" spans="1:24" x14ac:dyDescent="0.25">
      <c r="A90" s="314">
        <v>179</v>
      </c>
      <c r="B90" s="93" t="s">
        <v>390</v>
      </c>
      <c r="C90" s="93">
        <v>305</v>
      </c>
      <c r="D90" s="93">
        <v>264</v>
      </c>
      <c r="E90" s="93">
        <v>26</v>
      </c>
      <c r="F90" s="93">
        <f t="shared" si="22"/>
        <v>15</v>
      </c>
      <c r="G90" s="93">
        <v>7426</v>
      </c>
      <c r="H90" s="93">
        <v>6368</v>
      </c>
      <c r="I90" s="93">
        <v>715</v>
      </c>
      <c r="J90" s="93">
        <f t="shared" si="23"/>
        <v>343</v>
      </c>
      <c r="K90" s="93">
        <v>4761</v>
      </c>
      <c r="L90" s="93">
        <v>3942</v>
      </c>
      <c r="M90" s="93">
        <v>554</v>
      </c>
      <c r="N90" s="93">
        <f t="shared" si="24"/>
        <v>265</v>
      </c>
      <c r="P90" s="93">
        <f t="shared" si="13"/>
        <v>0.86557377049180328</v>
      </c>
      <c r="Q90" s="93">
        <f t="shared" si="14"/>
        <v>8.5245901639344257E-2</v>
      </c>
      <c r="R90" s="93">
        <f t="shared" si="15"/>
        <v>4.9180327868852458E-2</v>
      </c>
      <c r="S90" s="93">
        <f t="shared" si="16"/>
        <v>0.85752760570966868</v>
      </c>
      <c r="T90" s="93">
        <f t="shared" si="17"/>
        <v>9.6283328844600058E-2</v>
      </c>
      <c r="U90" s="93">
        <f t="shared" si="18"/>
        <v>4.6189065445731217E-2</v>
      </c>
      <c r="V90" s="93">
        <f t="shared" si="19"/>
        <v>0.82797731568998112</v>
      </c>
      <c r="W90" s="93">
        <f t="shared" si="20"/>
        <v>0.11636210880067213</v>
      </c>
      <c r="X90" s="93">
        <f t="shared" si="21"/>
        <v>5.5660575509346777E-2</v>
      </c>
    </row>
    <row r="91" spans="1:24" x14ac:dyDescent="0.25">
      <c r="A91" s="314">
        <v>181</v>
      </c>
      <c r="B91" s="93" t="s">
        <v>391</v>
      </c>
      <c r="C91" s="93">
        <v>4</v>
      </c>
      <c r="D91" s="93">
        <v>3</v>
      </c>
      <c r="E91" s="93">
        <v>1</v>
      </c>
      <c r="F91" s="93">
        <f t="shared" si="22"/>
        <v>0</v>
      </c>
      <c r="G91" s="93">
        <v>71</v>
      </c>
      <c r="H91" s="93">
        <v>49</v>
      </c>
      <c r="I91" s="93">
        <v>16</v>
      </c>
      <c r="J91" s="93">
        <f t="shared" si="23"/>
        <v>6</v>
      </c>
      <c r="K91" s="93">
        <v>24</v>
      </c>
      <c r="L91" s="93">
        <v>13</v>
      </c>
      <c r="M91" s="93">
        <v>11</v>
      </c>
      <c r="N91" s="93">
        <f t="shared" si="24"/>
        <v>0</v>
      </c>
      <c r="P91" s="93">
        <f t="shared" si="13"/>
        <v>0.75</v>
      </c>
      <c r="Q91" s="93">
        <f t="shared" si="14"/>
        <v>0.25</v>
      </c>
      <c r="R91" s="93">
        <f t="shared" si="15"/>
        <v>0</v>
      </c>
      <c r="S91" s="93">
        <f t="shared" si="16"/>
        <v>0.6901408450704225</v>
      </c>
      <c r="T91" s="93">
        <f t="shared" si="17"/>
        <v>0.22535211267605634</v>
      </c>
      <c r="U91" s="93">
        <f t="shared" si="18"/>
        <v>8.4507042253521125E-2</v>
      </c>
      <c r="V91" s="93">
        <f t="shared" si="19"/>
        <v>0.54166666666666663</v>
      </c>
      <c r="W91" s="93">
        <f t="shared" si="20"/>
        <v>0.45833333333333331</v>
      </c>
      <c r="X91" s="93">
        <f t="shared" si="21"/>
        <v>0</v>
      </c>
    </row>
    <row r="92" spans="1:24" x14ac:dyDescent="0.25">
      <c r="A92" s="314">
        <v>183</v>
      </c>
      <c r="B92" s="93" t="s">
        <v>392</v>
      </c>
      <c r="C92" s="93">
        <v>3</v>
      </c>
      <c r="D92" s="93">
        <v>1</v>
      </c>
      <c r="E92" s="93">
        <v>2</v>
      </c>
      <c r="F92" s="93">
        <f t="shared" si="22"/>
        <v>0</v>
      </c>
      <c r="G92" s="93">
        <v>195</v>
      </c>
      <c r="H92" s="93">
        <v>148</v>
      </c>
      <c r="I92" s="93">
        <v>33</v>
      </c>
      <c r="J92" s="93">
        <f t="shared" si="23"/>
        <v>14</v>
      </c>
      <c r="K92" s="93">
        <v>88</v>
      </c>
      <c r="L92" s="93">
        <v>63</v>
      </c>
      <c r="M92" s="93">
        <v>19</v>
      </c>
      <c r="N92" s="93">
        <f t="shared" si="24"/>
        <v>6</v>
      </c>
      <c r="P92" s="93">
        <f t="shared" si="13"/>
        <v>0.33333333333333331</v>
      </c>
      <c r="Q92" s="93">
        <f t="shared" si="14"/>
        <v>0.66666666666666663</v>
      </c>
      <c r="R92" s="93">
        <f t="shared" si="15"/>
        <v>0</v>
      </c>
      <c r="S92" s="93">
        <f t="shared" si="16"/>
        <v>0.75897435897435894</v>
      </c>
      <c r="T92" s="93">
        <f t="shared" si="17"/>
        <v>0.16923076923076924</v>
      </c>
      <c r="U92" s="93">
        <f t="shared" si="18"/>
        <v>7.179487179487179E-2</v>
      </c>
      <c r="V92" s="93">
        <f t="shared" si="19"/>
        <v>0.71590909090909094</v>
      </c>
      <c r="W92" s="93">
        <f t="shared" si="20"/>
        <v>0.21590909090909091</v>
      </c>
      <c r="X92" s="93">
        <f t="shared" si="21"/>
        <v>6.8181818181818177E-2</v>
      </c>
    </row>
    <row r="93" spans="1:24" x14ac:dyDescent="0.25">
      <c r="A93" s="314">
        <v>185</v>
      </c>
      <c r="B93" s="93" t="s">
        <v>393</v>
      </c>
      <c r="C93" s="93">
        <v>26</v>
      </c>
      <c r="D93" s="93">
        <v>26</v>
      </c>
      <c r="E93" s="93">
        <v>0</v>
      </c>
      <c r="F93" s="93">
        <f t="shared" si="22"/>
        <v>0</v>
      </c>
      <c r="G93" s="93">
        <v>215</v>
      </c>
      <c r="H93" s="93">
        <v>196</v>
      </c>
      <c r="I93" s="93">
        <v>7</v>
      </c>
      <c r="J93" s="93">
        <f t="shared" si="23"/>
        <v>12</v>
      </c>
      <c r="K93" s="93">
        <v>84</v>
      </c>
      <c r="L93" s="93">
        <v>77</v>
      </c>
      <c r="M93" s="93">
        <v>7</v>
      </c>
      <c r="N93" s="93">
        <f t="shared" si="24"/>
        <v>0</v>
      </c>
      <c r="P93" s="93">
        <f t="shared" si="13"/>
        <v>1</v>
      </c>
      <c r="Q93" s="93">
        <f t="shared" si="14"/>
        <v>0</v>
      </c>
      <c r="R93" s="93">
        <f t="shared" si="15"/>
        <v>0</v>
      </c>
      <c r="S93" s="93">
        <f t="shared" si="16"/>
        <v>0.91162790697674423</v>
      </c>
      <c r="T93" s="93">
        <f t="shared" si="17"/>
        <v>3.255813953488372E-2</v>
      </c>
      <c r="U93" s="93">
        <f t="shared" si="18"/>
        <v>5.5813953488372092E-2</v>
      </c>
      <c r="V93" s="93">
        <f t="shared" si="19"/>
        <v>0.91666666666666663</v>
      </c>
      <c r="W93" s="93">
        <f t="shared" si="20"/>
        <v>8.3333333333333329E-2</v>
      </c>
      <c r="X93" s="93">
        <f t="shared" si="21"/>
        <v>0</v>
      </c>
    </row>
    <row r="94" spans="1:24" x14ac:dyDescent="0.25">
      <c r="A94" s="314">
        <v>187</v>
      </c>
      <c r="B94" s="93" t="s">
        <v>394</v>
      </c>
      <c r="C94" s="93">
        <v>60</v>
      </c>
      <c r="D94" s="93">
        <v>57</v>
      </c>
      <c r="E94" s="93">
        <v>0</v>
      </c>
      <c r="F94" s="93">
        <f t="shared" si="22"/>
        <v>3</v>
      </c>
      <c r="G94" s="93">
        <v>798</v>
      </c>
      <c r="H94" s="93">
        <v>733</v>
      </c>
      <c r="I94" s="93">
        <v>27</v>
      </c>
      <c r="J94" s="93">
        <f t="shared" si="23"/>
        <v>38</v>
      </c>
      <c r="K94" s="93">
        <v>549</v>
      </c>
      <c r="L94" s="93">
        <v>473</v>
      </c>
      <c r="M94" s="93">
        <v>24</v>
      </c>
      <c r="N94" s="93">
        <f t="shared" si="24"/>
        <v>52</v>
      </c>
      <c r="P94" s="93">
        <f t="shared" si="13"/>
        <v>0.95</v>
      </c>
      <c r="Q94" s="93">
        <f t="shared" si="14"/>
        <v>0</v>
      </c>
      <c r="R94" s="93">
        <f t="shared" si="15"/>
        <v>0.05</v>
      </c>
      <c r="S94" s="93">
        <f t="shared" si="16"/>
        <v>0.918546365914787</v>
      </c>
      <c r="T94" s="93">
        <f t="shared" si="17"/>
        <v>3.3834586466165412E-2</v>
      </c>
      <c r="U94" s="93">
        <f t="shared" si="18"/>
        <v>4.7619047619047616E-2</v>
      </c>
      <c r="V94" s="93">
        <f t="shared" si="19"/>
        <v>0.86156648451730422</v>
      </c>
      <c r="W94" s="93">
        <f t="shared" si="20"/>
        <v>4.3715846994535519E-2</v>
      </c>
      <c r="X94" s="93">
        <f t="shared" si="21"/>
        <v>9.4717668488160295E-2</v>
      </c>
    </row>
    <row r="95" spans="1:24" x14ac:dyDescent="0.25">
      <c r="A95" s="314">
        <v>191</v>
      </c>
      <c r="B95" s="93" t="s">
        <v>395</v>
      </c>
      <c r="C95" s="93">
        <v>51</v>
      </c>
      <c r="D95" s="93">
        <v>49</v>
      </c>
      <c r="E95" s="93">
        <v>0</v>
      </c>
      <c r="F95" s="93">
        <f t="shared" si="22"/>
        <v>2</v>
      </c>
      <c r="G95" s="93">
        <v>483</v>
      </c>
      <c r="H95" s="93">
        <v>460</v>
      </c>
      <c r="I95" s="93">
        <v>9</v>
      </c>
      <c r="J95" s="93">
        <f t="shared" si="23"/>
        <v>14</v>
      </c>
      <c r="K95" s="93">
        <v>246</v>
      </c>
      <c r="L95" s="93">
        <v>225</v>
      </c>
      <c r="M95" s="93">
        <v>9</v>
      </c>
      <c r="N95" s="93">
        <f t="shared" si="24"/>
        <v>12</v>
      </c>
      <c r="P95" s="93">
        <f t="shared" si="13"/>
        <v>0.96078431372549022</v>
      </c>
      <c r="Q95" s="93">
        <f t="shared" si="14"/>
        <v>0</v>
      </c>
      <c r="R95" s="93">
        <f t="shared" si="15"/>
        <v>3.9215686274509803E-2</v>
      </c>
      <c r="S95" s="93">
        <f t="shared" si="16"/>
        <v>0.95238095238095233</v>
      </c>
      <c r="T95" s="93">
        <f t="shared" si="17"/>
        <v>1.8633540372670808E-2</v>
      </c>
      <c r="U95" s="93">
        <f t="shared" si="18"/>
        <v>2.8985507246376812E-2</v>
      </c>
      <c r="V95" s="93">
        <f t="shared" si="19"/>
        <v>0.91463414634146345</v>
      </c>
      <c r="W95" s="93">
        <f t="shared" si="20"/>
        <v>3.6585365853658534E-2</v>
      </c>
      <c r="X95" s="93">
        <f t="shared" si="21"/>
        <v>4.878048780487805E-2</v>
      </c>
    </row>
    <row r="96" spans="1:24" x14ac:dyDescent="0.25">
      <c r="A96" s="314">
        <v>193</v>
      </c>
      <c r="B96" s="93" t="s">
        <v>396</v>
      </c>
      <c r="C96" s="93">
        <v>33</v>
      </c>
      <c r="D96" s="93">
        <v>23</v>
      </c>
      <c r="E96" s="93">
        <v>7</v>
      </c>
      <c r="F96" s="93">
        <f t="shared" si="22"/>
        <v>3</v>
      </c>
      <c r="G96" s="93">
        <v>663</v>
      </c>
      <c r="H96" s="93">
        <v>570</v>
      </c>
      <c r="I96" s="93">
        <v>53</v>
      </c>
      <c r="J96" s="93">
        <f t="shared" si="23"/>
        <v>40</v>
      </c>
      <c r="K96" s="93">
        <v>379</v>
      </c>
      <c r="L96" s="93">
        <v>315</v>
      </c>
      <c r="M96" s="93">
        <v>38</v>
      </c>
      <c r="N96" s="93">
        <f t="shared" si="24"/>
        <v>26</v>
      </c>
      <c r="P96" s="93">
        <f t="shared" si="13"/>
        <v>0.69696969696969702</v>
      </c>
      <c r="Q96" s="93">
        <f t="shared" si="14"/>
        <v>0.21212121212121213</v>
      </c>
      <c r="R96" s="93">
        <f t="shared" si="15"/>
        <v>9.0909090909090912E-2</v>
      </c>
      <c r="S96" s="93">
        <f t="shared" si="16"/>
        <v>0.85972850678733037</v>
      </c>
      <c r="T96" s="93">
        <f t="shared" si="17"/>
        <v>7.9939668174962286E-2</v>
      </c>
      <c r="U96" s="93">
        <f t="shared" si="18"/>
        <v>6.0331825037707391E-2</v>
      </c>
      <c r="V96" s="93">
        <f t="shared" si="19"/>
        <v>0.83113456464379942</v>
      </c>
      <c r="W96" s="93">
        <f t="shared" si="20"/>
        <v>0.10026385224274406</v>
      </c>
      <c r="X96" s="93">
        <f t="shared" si="21"/>
        <v>6.860158311345646E-2</v>
      </c>
    </row>
    <row r="97" spans="1:24" x14ac:dyDescent="0.25">
      <c r="A97" s="314">
        <v>195</v>
      </c>
      <c r="B97" s="93" t="s">
        <v>397</v>
      </c>
      <c r="C97" s="93">
        <v>22</v>
      </c>
      <c r="D97" s="93">
        <v>22</v>
      </c>
      <c r="E97" s="93">
        <v>0</v>
      </c>
      <c r="F97" s="93">
        <f t="shared" si="22"/>
        <v>0</v>
      </c>
      <c r="G97" s="93">
        <v>339</v>
      </c>
      <c r="H97" s="93">
        <v>303</v>
      </c>
      <c r="I97" s="93">
        <v>32</v>
      </c>
      <c r="J97" s="93">
        <f t="shared" si="23"/>
        <v>4</v>
      </c>
      <c r="K97" s="93">
        <v>161</v>
      </c>
      <c r="L97" s="93">
        <v>149</v>
      </c>
      <c r="M97" s="93">
        <v>9</v>
      </c>
      <c r="N97" s="93">
        <f t="shared" si="24"/>
        <v>3</v>
      </c>
      <c r="P97" s="93">
        <f t="shared" si="13"/>
        <v>1</v>
      </c>
      <c r="Q97" s="93">
        <f t="shared" si="14"/>
        <v>0</v>
      </c>
      <c r="R97" s="93">
        <f t="shared" si="15"/>
        <v>0</v>
      </c>
      <c r="S97" s="93">
        <f t="shared" si="16"/>
        <v>0.89380530973451322</v>
      </c>
      <c r="T97" s="93">
        <f t="shared" si="17"/>
        <v>9.4395280235988199E-2</v>
      </c>
      <c r="U97" s="93">
        <f t="shared" si="18"/>
        <v>1.1799410029498525E-2</v>
      </c>
      <c r="V97" s="93">
        <f t="shared" si="19"/>
        <v>0.92546583850931674</v>
      </c>
      <c r="W97" s="93">
        <f t="shared" si="20"/>
        <v>5.5900621118012424E-2</v>
      </c>
      <c r="X97" s="93">
        <f t="shared" si="21"/>
        <v>1.8633540372670808E-2</v>
      </c>
    </row>
    <row r="98" spans="1:24" x14ac:dyDescent="0.25">
      <c r="A98" s="314">
        <v>197</v>
      </c>
      <c r="B98" s="93" t="s">
        <v>398</v>
      </c>
      <c r="C98" s="93">
        <v>20</v>
      </c>
      <c r="D98" s="93">
        <v>20</v>
      </c>
      <c r="E98" s="93">
        <v>0</v>
      </c>
      <c r="F98" s="93">
        <f t="shared" si="22"/>
        <v>0</v>
      </c>
      <c r="G98" s="93">
        <v>168</v>
      </c>
      <c r="H98" s="93">
        <v>152</v>
      </c>
      <c r="I98" s="93">
        <v>9</v>
      </c>
      <c r="J98" s="93">
        <f t="shared" si="23"/>
        <v>7</v>
      </c>
      <c r="K98" s="93">
        <v>110</v>
      </c>
      <c r="L98" s="93">
        <v>99</v>
      </c>
      <c r="M98" s="93">
        <v>9</v>
      </c>
      <c r="N98" s="93">
        <f t="shared" si="24"/>
        <v>2</v>
      </c>
      <c r="P98" s="93">
        <f t="shared" si="13"/>
        <v>1</v>
      </c>
      <c r="Q98" s="93">
        <f t="shared" si="14"/>
        <v>0</v>
      </c>
      <c r="R98" s="93">
        <f t="shared" si="15"/>
        <v>0</v>
      </c>
      <c r="S98" s="93">
        <f t="shared" si="16"/>
        <v>0.90476190476190477</v>
      </c>
      <c r="T98" s="93">
        <f t="shared" si="17"/>
        <v>5.3571428571428568E-2</v>
      </c>
      <c r="U98" s="93">
        <f t="shared" si="18"/>
        <v>4.1666666666666664E-2</v>
      </c>
      <c r="V98" s="93">
        <f t="shared" si="19"/>
        <v>0.9</v>
      </c>
      <c r="W98" s="93">
        <f t="shared" si="20"/>
        <v>8.1818181818181818E-2</v>
      </c>
      <c r="X98" s="93">
        <f t="shared" si="21"/>
        <v>1.8181818181818181E-2</v>
      </c>
    </row>
    <row r="99" spans="1:24" x14ac:dyDescent="0.25">
      <c r="A99" s="314">
        <v>199</v>
      </c>
      <c r="B99" s="93" t="s">
        <v>551</v>
      </c>
      <c r="C99" s="93">
        <v>101</v>
      </c>
      <c r="D99" s="93">
        <v>90</v>
      </c>
      <c r="E99" s="93">
        <v>9</v>
      </c>
      <c r="F99" s="93">
        <f>(C99-D99-E99)+0</f>
        <v>2</v>
      </c>
      <c r="G99" s="93">
        <v>2018</v>
      </c>
      <c r="H99" s="93">
        <v>1720</v>
      </c>
      <c r="I99" s="93">
        <v>163</v>
      </c>
      <c r="J99" s="93">
        <f>(G99-H99-I99)+8</f>
        <v>143</v>
      </c>
      <c r="K99" s="93">
        <v>1307</v>
      </c>
      <c r="L99" s="93">
        <v>1057</v>
      </c>
      <c r="M99" s="93">
        <v>149</v>
      </c>
      <c r="N99" s="93">
        <f>(K99-L99-M99)+4</f>
        <v>105</v>
      </c>
      <c r="P99" s="93">
        <f t="shared" si="13"/>
        <v>0.8910891089108911</v>
      </c>
      <c r="Q99" s="93">
        <f t="shared" si="14"/>
        <v>8.9108910891089105E-2</v>
      </c>
      <c r="R99" s="93">
        <f t="shared" si="15"/>
        <v>1.9801980198019802E-2</v>
      </c>
      <c r="S99" s="93">
        <f t="shared" si="16"/>
        <v>0.85232903865213083</v>
      </c>
      <c r="T99" s="93">
        <f t="shared" si="17"/>
        <v>8.0773042616451934E-2</v>
      </c>
      <c r="U99" s="93">
        <f t="shared" si="18"/>
        <v>7.0862239841427158E-2</v>
      </c>
      <c r="V99" s="93">
        <f t="shared" si="19"/>
        <v>0.8087222647283856</v>
      </c>
      <c r="W99" s="93">
        <f t="shared" si="20"/>
        <v>0.11400153022188217</v>
      </c>
      <c r="X99" s="93">
        <f t="shared" si="21"/>
        <v>8.0336648814078038E-2</v>
      </c>
    </row>
    <row r="100" spans="1:24" x14ac:dyDescent="0.25">
      <c r="A100" s="314">
        <v>510</v>
      </c>
      <c r="B100" s="93" t="s">
        <v>531</v>
      </c>
      <c r="C100" s="93">
        <v>821</v>
      </c>
      <c r="D100" s="93">
        <v>748</v>
      </c>
      <c r="E100" s="93">
        <v>45</v>
      </c>
      <c r="F100" s="93">
        <f t="shared" si="22"/>
        <v>28</v>
      </c>
      <c r="G100" s="93">
        <v>16799</v>
      </c>
      <c r="H100" s="93">
        <v>14652</v>
      </c>
      <c r="I100" s="93">
        <v>1166</v>
      </c>
      <c r="J100" s="93">
        <f t="shared" si="23"/>
        <v>981</v>
      </c>
      <c r="K100" s="93">
        <v>6089</v>
      </c>
      <c r="L100" s="93">
        <v>5260</v>
      </c>
      <c r="M100" s="93">
        <v>488</v>
      </c>
      <c r="N100" s="93">
        <f t="shared" si="24"/>
        <v>341</v>
      </c>
      <c r="P100" s="93">
        <f t="shared" si="13"/>
        <v>0.91108404384896469</v>
      </c>
      <c r="Q100" s="93">
        <f t="shared" si="14"/>
        <v>5.4811205846528627E-2</v>
      </c>
      <c r="R100" s="93">
        <f t="shared" si="15"/>
        <v>3.4104750304506701E-2</v>
      </c>
      <c r="S100" s="93">
        <f t="shared" si="16"/>
        <v>0.87219477349842256</v>
      </c>
      <c r="T100" s="93">
        <f t="shared" si="17"/>
        <v>6.94088933865111E-2</v>
      </c>
      <c r="U100" s="93">
        <f t="shared" si="18"/>
        <v>5.8396333115066375E-2</v>
      </c>
      <c r="V100" s="93">
        <f t="shared" si="19"/>
        <v>0.8638528494005584</v>
      </c>
      <c r="W100" s="93">
        <f t="shared" si="20"/>
        <v>8.0144522910165869E-2</v>
      </c>
      <c r="X100" s="93">
        <f t="shared" si="21"/>
        <v>5.600262768927574E-2</v>
      </c>
    </row>
    <row r="101" spans="1:24" x14ac:dyDescent="0.25">
      <c r="A101" s="314">
        <v>520</v>
      </c>
      <c r="B101" s="93" t="s">
        <v>527</v>
      </c>
      <c r="C101" s="93">
        <v>11</v>
      </c>
      <c r="D101" s="93">
        <v>7</v>
      </c>
      <c r="E101" s="93">
        <v>1</v>
      </c>
      <c r="F101" s="93">
        <f t="shared" si="22"/>
        <v>3</v>
      </c>
      <c r="G101" s="93">
        <v>145</v>
      </c>
      <c r="H101" s="93">
        <v>122</v>
      </c>
      <c r="I101" s="93">
        <v>11</v>
      </c>
      <c r="J101" s="93">
        <f t="shared" si="23"/>
        <v>12</v>
      </c>
      <c r="K101" s="93">
        <v>102</v>
      </c>
      <c r="L101" s="93">
        <v>88</v>
      </c>
      <c r="M101" s="93">
        <v>10</v>
      </c>
      <c r="N101" s="93">
        <f t="shared" si="24"/>
        <v>4</v>
      </c>
      <c r="P101" s="93">
        <f t="shared" si="13"/>
        <v>0.63636363636363635</v>
      </c>
      <c r="Q101" s="93">
        <f t="shared" si="14"/>
        <v>9.0909090909090912E-2</v>
      </c>
      <c r="R101" s="93">
        <f t="shared" si="15"/>
        <v>0.27272727272727271</v>
      </c>
      <c r="S101" s="93">
        <f t="shared" si="16"/>
        <v>0.8413793103448276</v>
      </c>
      <c r="T101" s="93">
        <f t="shared" si="17"/>
        <v>7.586206896551724E-2</v>
      </c>
      <c r="U101" s="93">
        <f t="shared" si="18"/>
        <v>8.2758620689655171E-2</v>
      </c>
      <c r="V101" s="93">
        <f t="shared" si="19"/>
        <v>0.86274509803921573</v>
      </c>
      <c r="W101" s="93">
        <f t="shared" si="20"/>
        <v>9.8039215686274508E-2</v>
      </c>
      <c r="X101" s="93">
        <f t="shared" si="21"/>
        <v>3.9215686274509803E-2</v>
      </c>
    </row>
    <row r="102" spans="1:24" x14ac:dyDescent="0.25">
      <c r="A102" s="314">
        <v>540</v>
      </c>
      <c r="B102" s="93" t="s">
        <v>533</v>
      </c>
      <c r="C102" s="93">
        <v>61</v>
      </c>
      <c r="D102" s="93">
        <v>54</v>
      </c>
      <c r="E102" s="93">
        <v>3</v>
      </c>
      <c r="F102" s="93">
        <f t="shared" si="22"/>
        <v>4</v>
      </c>
      <c r="G102" s="93">
        <v>1629</v>
      </c>
      <c r="H102" s="93">
        <v>1384</v>
      </c>
      <c r="I102" s="93">
        <v>143</v>
      </c>
      <c r="J102" s="93">
        <f t="shared" si="23"/>
        <v>102</v>
      </c>
      <c r="K102" s="93">
        <v>538</v>
      </c>
      <c r="L102" s="93">
        <v>443</v>
      </c>
      <c r="M102" s="93">
        <v>69</v>
      </c>
      <c r="N102" s="93">
        <f t="shared" si="24"/>
        <v>26</v>
      </c>
      <c r="P102" s="93">
        <f t="shared" si="13"/>
        <v>0.88524590163934425</v>
      </c>
      <c r="Q102" s="93">
        <f t="shared" si="14"/>
        <v>4.9180327868852458E-2</v>
      </c>
      <c r="R102" s="93">
        <f t="shared" si="15"/>
        <v>6.5573770491803282E-2</v>
      </c>
      <c r="S102" s="93">
        <f t="shared" si="16"/>
        <v>0.84960098219766733</v>
      </c>
      <c r="T102" s="93">
        <f t="shared" si="17"/>
        <v>8.7783916513198279E-2</v>
      </c>
      <c r="U102" s="93">
        <f t="shared" si="18"/>
        <v>6.2615101289134445E-2</v>
      </c>
      <c r="V102" s="93">
        <f t="shared" si="19"/>
        <v>0.82342007434944242</v>
      </c>
      <c r="W102" s="93">
        <f t="shared" si="20"/>
        <v>0.12825278810408922</v>
      </c>
      <c r="X102" s="93">
        <f t="shared" si="21"/>
        <v>4.8327137546468404E-2</v>
      </c>
    </row>
    <row r="103" spans="1:24" x14ac:dyDescent="0.25">
      <c r="A103" s="314">
        <v>550</v>
      </c>
      <c r="B103" s="93" t="s">
        <v>539</v>
      </c>
      <c r="C103" s="93">
        <v>358</v>
      </c>
      <c r="D103" s="93">
        <v>280</v>
      </c>
      <c r="E103" s="93">
        <v>60</v>
      </c>
      <c r="F103" s="93">
        <f t="shared" si="22"/>
        <v>18</v>
      </c>
      <c r="G103" s="93">
        <v>6149</v>
      </c>
      <c r="H103" s="93">
        <v>4728</v>
      </c>
      <c r="I103" s="93">
        <v>985</v>
      </c>
      <c r="J103" s="93">
        <f t="shared" si="23"/>
        <v>436</v>
      </c>
      <c r="K103" s="93">
        <v>3821</v>
      </c>
      <c r="L103" s="93">
        <v>2776</v>
      </c>
      <c r="M103" s="93">
        <v>784</v>
      </c>
      <c r="N103" s="93">
        <f t="shared" si="24"/>
        <v>261</v>
      </c>
      <c r="P103" s="93">
        <f t="shared" si="13"/>
        <v>0.78212290502793291</v>
      </c>
      <c r="Q103" s="93">
        <f t="shared" si="14"/>
        <v>0.16759776536312848</v>
      </c>
      <c r="R103" s="93">
        <f t="shared" si="15"/>
        <v>5.027932960893855E-2</v>
      </c>
      <c r="S103" s="93">
        <f t="shared" si="16"/>
        <v>0.76890551309155963</v>
      </c>
      <c r="T103" s="93">
        <f t="shared" si="17"/>
        <v>0.16018864856074158</v>
      </c>
      <c r="U103" s="93">
        <f t="shared" si="18"/>
        <v>7.0905838347698813E-2</v>
      </c>
      <c r="V103" s="93">
        <f t="shared" si="19"/>
        <v>0.72651138445433128</v>
      </c>
      <c r="W103" s="93">
        <f t="shared" si="20"/>
        <v>0.20518188955770741</v>
      </c>
      <c r="X103" s="93">
        <f t="shared" si="21"/>
        <v>6.8306725987961267E-2</v>
      </c>
    </row>
    <row r="104" spans="1:24" x14ac:dyDescent="0.25">
      <c r="A104" s="314">
        <v>590</v>
      </c>
      <c r="B104" s="93" t="s">
        <v>535</v>
      </c>
      <c r="C104" s="93">
        <v>42</v>
      </c>
      <c r="D104" s="93">
        <v>30</v>
      </c>
      <c r="E104" s="93">
        <v>11</v>
      </c>
      <c r="F104" s="93">
        <f t="shared" si="22"/>
        <v>1</v>
      </c>
      <c r="G104" s="93">
        <v>741</v>
      </c>
      <c r="H104" s="93">
        <v>604</v>
      </c>
      <c r="I104" s="93">
        <v>81</v>
      </c>
      <c r="J104" s="93">
        <f t="shared" si="23"/>
        <v>56</v>
      </c>
      <c r="K104" s="93">
        <v>508</v>
      </c>
      <c r="L104" s="93">
        <v>422</v>
      </c>
      <c r="M104" s="93">
        <v>60</v>
      </c>
      <c r="N104" s="93">
        <f t="shared" si="24"/>
        <v>26</v>
      </c>
      <c r="P104" s="93">
        <f t="shared" si="13"/>
        <v>0.7142857142857143</v>
      </c>
      <c r="Q104" s="93">
        <f t="shared" si="14"/>
        <v>0.26190476190476192</v>
      </c>
      <c r="R104" s="93">
        <f t="shared" si="15"/>
        <v>2.3809523809523808E-2</v>
      </c>
      <c r="S104" s="93">
        <f t="shared" si="16"/>
        <v>0.81511470985155199</v>
      </c>
      <c r="T104" s="93">
        <f t="shared" si="17"/>
        <v>0.10931174089068826</v>
      </c>
      <c r="U104" s="93">
        <f t="shared" si="18"/>
        <v>7.5573549257759789E-2</v>
      </c>
      <c r="V104" s="93">
        <f t="shared" si="19"/>
        <v>0.8307086614173228</v>
      </c>
      <c r="W104" s="93">
        <f t="shared" si="20"/>
        <v>0.11811023622047244</v>
      </c>
      <c r="X104" s="93">
        <f t="shared" si="21"/>
        <v>5.1181102362204724E-2</v>
      </c>
    </row>
    <row r="105" spans="1:24" x14ac:dyDescent="0.25">
      <c r="A105" s="314">
        <v>620</v>
      </c>
      <c r="B105" s="93" t="s">
        <v>83</v>
      </c>
      <c r="C105" s="93">
        <v>8</v>
      </c>
      <c r="D105" s="93">
        <v>8</v>
      </c>
      <c r="E105" s="93">
        <v>0</v>
      </c>
      <c r="F105" s="93">
        <f t="shared" si="22"/>
        <v>0</v>
      </c>
      <c r="G105" s="93">
        <v>90</v>
      </c>
      <c r="H105" s="93">
        <v>67</v>
      </c>
      <c r="I105" s="93">
        <v>20</v>
      </c>
      <c r="J105" s="93">
        <f t="shared" si="23"/>
        <v>3</v>
      </c>
      <c r="K105" s="93">
        <v>63</v>
      </c>
      <c r="L105" s="93">
        <v>48</v>
      </c>
      <c r="M105" s="93">
        <v>15</v>
      </c>
      <c r="N105" s="93">
        <f t="shared" si="24"/>
        <v>0</v>
      </c>
      <c r="P105" s="93">
        <f t="shared" si="13"/>
        <v>1</v>
      </c>
      <c r="Q105" s="93">
        <f t="shared" si="14"/>
        <v>0</v>
      </c>
      <c r="R105" s="93">
        <f t="shared" si="15"/>
        <v>0</v>
      </c>
      <c r="S105" s="93">
        <f t="shared" si="16"/>
        <v>0.74444444444444446</v>
      </c>
      <c r="T105" s="93">
        <f t="shared" si="17"/>
        <v>0.22222222222222221</v>
      </c>
      <c r="U105" s="93">
        <f t="shared" si="18"/>
        <v>3.3333333333333333E-2</v>
      </c>
      <c r="V105" s="93">
        <f t="shared" si="19"/>
        <v>0.76190476190476186</v>
      </c>
      <c r="W105" s="93">
        <f t="shared" si="20"/>
        <v>0.23809523809523808</v>
      </c>
      <c r="X105" s="93">
        <f t="shared" si="21"/>
        <v>0</v>
      </c>
    </row>
    <row r="106" spans="1:24" x14ac:dyDescent="0.25">
      <c r="A106" s="314">
        <v>630</v>
      </c>
      <c r="B106" s="93" t="s">
        <v>536</v>
      </c>
      <c r="C106" s="93">
        <v>63</v>
      </c>
      <c r="D106" s="93">
        <v>57</v>
      </c>
      <c r="E106" s="93">
        <v>2</v>
      </c>
      <c r="F106" s="93">
        <f t="shared" si="22"/>
        <v>4</v>
      </c>
      <c r="G106" s="93">
        <v>1774</v>
      </c>
      <c r="H106" s="93">
        <v>1444</v>
      </c>
      <c r="I106" s="93">
        <v>196</v>
      </c>
      <c r="J106" s="93">
        <f t="shared" si="23"/>
        <v>134</v>
      </c>
      <c r="K106" s="93">
        <v>987</v>
      </c>
      <c r="L106" s="93">
        <v>762</v>
      </c>
      <c r="M106" s="93">
        <v>149</v>
      </c>
      <c r="N106" s="93">
        <f t="shared" si="24"/>
        <v>76</v>
      </c>
      <c r="P106" s="93">
        <f t="shared" si="13"/>
        <v>0.90476190476190477</v>
      </c>
      <c r="Q106" s="93">
        <f t="shared" si="14"/>
        <v>3.1746031746031744E-2</v>
      </c>
      <c r="R106" s="93">
        <f t="shared" si="15"/>
        <v>6.3492063492063489E-2</v>
      </c>
      <c r="S106" s="93">
        <f t="shared" si="16"/>
        <v>0.81397970687711385</v>
      </c>
      <c r="T106" s="93">
        <f t="shared" si="17"/>
        <v>0.1104847801578354</v>
      </c>
      <c r="U106" s="93">
        <f t="shared" si="18"/>
        <v>7.5535512965050733E-2</v>
      </c>
      <c r="V106" s="93">
        <f t="shared" si="19"/>
        <v>0.77203647416413379</v>
      </c>
      <c r="W106" s="93">
        <f t="shared" si="20"/>
        <v>0.15096251266464034</v>
      </c>
      <c r="X106" s="93">
        <f t="shared" si="21"/>
        <v>7.7001013171225943E-2</v>
      </c>
    </row>
    <row r="107" spans="1:24" x14ac:dyDescent="0.25">
      <c r="A107" s="314">
        <v>640</v>
      </c>
      <c r="B107" s="93" t="s">
        <v>528</v>
      </c>
      <c r="C107" s="93">
        <v>16</v>
      </c>
      <c r="D107" s="93">
        <v>13</v>
      </c>
      <c r="E107" s="93">
        <v>3</v>
      </c>
      <c r="F107" s="93">
        <f t="shared" si="22"/>
        <v>0</v>
      </c>
      <c r="G107" s="93">
        <v>481</v>
      </c>
      <c r="H107" s="93">
        <v>446</v>
      </c>
      <c r="I107" s="93">
        <v>13</v>
      </c>
      <c r="J107" s="93">
        <f t="shared" si="23"/>
        <v>22</v>
      </c>
      <c r="K107" s="93">
        <v>445</v>
      </c>
      <c r="L107" s="93">
        <v>399</v>
      </c>
      <c r="M107" s="93">
        <v>37</v>
      </c>
      <c r="N107" s="93">
        <f t="shared" si="24"/>
        <v>9</v>
      </c>
      <c r="P107" s="93">
        <f t="shared" si="13"/>
        <v>0.8125</v>
      </c>
      <c r="Q107" s="93">
        <f t="shared" si="14"/>
        <v>0.1875</v>
      </c>
      <c r="R107" s="93">
        <f t="shared" si="15"/>
        <v>0</v>
      </c>
      <c r="S107" s="93">
        <f t="shared" si="16"/>
        <v>0.92723492723492729</v>
      </c>
      <c r="T107" s="93">
        <f t="shared" si="17"/>
        <v>2.7027027027027029E-2</v>
      </c>
      <c r="U107" s="93">
        <f t="shared" si="18"/>
        <v>4.5738045738045741E-2</v>
      </c>
      <c r="V107" s="93">
        <f t="shared" si="19"/>
        <v>0.89662921348314606</v>
      </c>
      <c r="W107" s="93">
        <f t="shared" si="20"/>
        <v>8.3146067415730343E-2</v>
      </c>
      <c r="X107" s="93">
        <f t="shared" si="21"/>
        <v>2.0224719101123594E-2</v>
      </c>
    </row>
    <row r="108" spans="1:24" x14ac:dyDescent="0.25">
      <c r="A108" s="314">
        <v>650</v>
      </c>
      <c r="B108" s="93" t="s">
        <v>544</v>
      </c>
      <c r="C108" s="93">
        <v>258</v>
      </c>
      <c r="D108" s="93">
        <v>165</v>
      </c>
      <c r="E108" s="93">
        <v>86</v>
      </c>
      <c r="F108" s="93">
        <f t="shared" si="22"/>
        <v>7</v>
      </c>
      <c r="G108" s="93">
        <v>4089</v>
      </c>
      <c r="H108" s="93">
        <v>2678</v>
      </c>
      <c r="I108" s="93">
        <v>1155</v>
      </c>
      <c r="J108" s="93">
        <f t="shared" si="23"/>
        <v>256</v>
      </c>
      <c r="K108" s="93">
        <v>2117</v>
      </c>
      <c r="L108" s="93">
        <v>1225</v>
      </c>
      <c r="M108" s="93">
        <v>724</v>
      </c>
      <c r="N108" s="93">
        <f t="shared" si="24"/>
        <v>168</v>
      </c>
      <c r="P108" s="93">
        <f t="shared" si="13"/>
        <v>0.63953488372093026</v>
      </c>
      <c r="Q108" s="93">
        <f t="shared" si="14"/>
        <v>0.33333333333333331</v>
      </c>
      <c r="R108" s="93">
        <f t="shared" si="15"/>
        <v>2.7131782945736434E-2</v>
      </c>
      <c r="S108" s="93">
        <f t="shared" si="16"/>
        <v>0.65492785522132546</v>
      </c>
      <c r="T108" s="93">
        <f t="shared" si="17"/>
        <v>0.28246515040352166</v>
      </c>
      <c r="U108" s="93">
        <f t="shared" si="18"/>
        <v>6.2606994375152852E-2</v>
      </c>
      <c r="V108" s="93">
        <f t="shared" si="19"/>
        <v>0.5786490316485593</v>
      </c>
      <c r="W108" s="93">
        <f t="shared" si="20"/>
        <v>0.34199338686820974</v>
      </c>
      <c r="X108" s="93">
        <f t="shared" si="21"/>
        <v>7.9357581483230993E-2</v>
      </c>
    </row>
    <row r="109" spans="1:24" x14ac:dyDescent="0.25">
      <c r="A109" s="314">
        <v>670</v>
      </c>
      <c r="B109" s="93" t="s">
        <v>537</v>
      </c>
      <c r="C109" s="93">
        <v>50</v>
      </c>
      <c r="D109" s="93">
        <v>42</v>
      </c>
      <c r="E109" s="93">
        <v>6</v>
      </c>
      <c r="F109" s="93">
        <f t="shared" si="22"/>
        <v>2</v>
      </c>
      <c r="G109" s="93">
        <v>974</v>
      </c>
      <c r="H109" s="93">
        <v>711</v>
      </c>
      <c r="I109" s="93">
        <v>215</v>
      </c>
      <c r="J109" s="93">
        <f t="shared" si="23"/>
        <v>48</v>
      </c>
      <c r="K109" s="93">
        <v>494</v>
      </c>
      <c r="L109" s="93">
        <v>350</v>
      </c>
      <c r="M109" s="93">
        <v>130</v>
      </c>
      <c r="N109" s="93">
        <f t="shared" si="24"/>
        <v>14</v>
      </c>
      <c r="P109" s="93">
        <f t="shared" si="13"/>
        <v>0.84</v>
      </c>
      <c r="Q109" s="93">
        <f t="shared" si="14"/>
        <v>0.12</v>
      </c>
      <c r="R109" s="93">
        <f t="shared" si="15"/>
        <v>0.04</v>
      </c>
      <c r="S109" s="93">
        <f t="shared" si="16"/>
        <v>0.72997946611909648</v>
      </c>
      <c r="T109" s="93">
        <f t="shared" si="17"/>
        <v>0.22073921971252566</v>
      </c>
      <c r="U109" s="93">
        <f t="shared" si="18"/>
        <v>4.9281314168377825E-2</v>
      </c>
      <c r="V109" s="93">
        <f t="shared" si="19"/>
        <v>0.708502024291498</v>
      </c>
      <c r="W109" s="93">
        <f t="shared" si="20"/>
        <v>0.26315789473684209</v>
      </c>
      <c r="X109" s="93">
        <f t="shared" si="21"/>
        <v>2.8340080971659919E-2</v>
      </c>
    </row>
    <row r="110" spans="1:24" x14ac:dyDescent="0.25">
      <c r="A110" s="314">
        <v>680</v>
      </c>
      <c r="B110" s="93" t="s">
        <v>534</v>
      </c>
      <c r="C110" s="93">
        <v>78</v>
      </c>
      <c r="D110" s="93">
        <v>67</v>
      </c>
      <c r="E110" s="93">
        <v>11</v>
      </c>
      <c r="F110" s="93">
        <f t="shared" si="22"/>
        <v>0</v>
      </c>
      <c r="G110" s="93">
        <v>1695</v>
      </c>
      <c r="H110" s="93">
        <v>1374</v>
      </c>
      <c r="I110" s="93">
        <v>219</v>
      </c>
      <c r="J110" s="93">
        <f t="shared" si="23"/>
        <v>102</v>
      </c>
      <c r="K110" s="93">
        <v>649</v>
      </c>
      <c r="L110" s="93">
        <v>508</v>
      </c>
      <c r="M110" s="93">
        <v>96</v>
      </c>
      <c r="N110" s="93">
        <f t="shared" si="24"/>
        <v>45</v>
      </c>
      <c r="P110" s="93">
        <f t="shared" si="13"/>
        <v>0.85897435897435892</v>
      </c>
      <c r="Q110" s="93">
        <f t="shared" si="14"/>
        <v>0.14102564102564102</v>
      </c>
      <c r="R110" s="93">
        <f t="shared" si="15"/>
        <v>0</v>
      </c>
      <c r="S110" s="93">
        <f t="shared" si="16"/>
        <v>0.81061946902654869</v>
      </c>
      <c r="T110" s="93">
        <f t="shared" si="17"/>
        <v>0.12920353982300886</v>
      </c>
      <c r="U110" s="93">
        <f t="shared" si="18"/>
        <v>6.0176991150442477E-2</v>
      </c>
      <c r="V110" s="93">
        <f t="shared" si="19"/>
        <v>0.78274268104776579</v>
      </c>
      <c r="W110" s="93">
        <f t="shared" si="20"/>
        <v>0.14791987673343607</v>
      </c>
      <c r="X110" s="93">
        <f t="shared" si="21"/>
        <v>6.9337442218798145E-2</v>
      </c>
    </row>
    <row r="111" spans="1:24" x14ac:dyDescent="0.25">
      <c r="A111" s="314">
        <v>683</v>
      </c>
      <c r="B111" s="93" t="s">
        <v>261</v>
      </c>
      <c r="C111" s="93">
        <v>178</v>
      </c>
      <c r="D111" s="93">
        <v>162</v>
      </c>
      <c r="E111" s="93">
        <v>11</v>
      </c>
      <c r="F111" s="93">
        <f t="shared" si="22"/>
        <v>5</v>
      </c>
      <c r="G111" s="93">
        <v>7551</v>
      </c>
      <c r="H111" s="93">
        <v>6855</v>
      </c>
      <c r="I111" s="93">
        <v>405</v>
      </c>
      <c r="J111" s="93">
        <f t="shared" si="23"/>
        <v>291</v>
      </c>
      <c r="K111" s="93">
        <v>4648</v>
      </c>
      <c r="L111" s="93">
        <v>4150</v>
      </c>
      <c r="M111" s="93">
        <v>305</v>
      </c>
      <c r="N111" s="93">
        <f t="shared" si="24"/>
        <v>193</v>
      </c>
      <c r="P111" s="93">
        <f t="shared" si="13"/>
        <v>0.9101123595505618</v>
      </c>
      <c r="Q111" s="93">
        <f t="shared" si="14"/>
        <v>6.1797752808988762E-2</v>
      </c>
      <c r="R111" s="93">
        <f t="shared" si="15"/>
        <v>2.8089887640449437E-2</v>
      </c>
      <c r="S111" s="93">
        <f t="shared" si="16"/>
        <v>0.9078267779102106</v>
      </c>
      <c r="T111" s="93">
        <f t="shared" si="17"/>
        <v>5.3635280095351609E-2</v>
      </c>
      <c r="U111" s="93">
        <f t="shared" si="18"/>
        <v>3.8537941994437823E-2</v>
      </c>
      <c r="V111" s="93">
        <f t="shared" si="19"/>
        <v>0.8928571428571429</v>
      </c>
      <c r="W111" s="93">
        <f t="shared" si="20"/>
        <v>6.561962134251291E-2</v>
      </c>
      <c r="X111" s="93">
        <f t="shared" si="21"/>
        <v>4.1523235800344234E-2</v>
      </c>
    </row>
    <row r="112" spans="1:24" x14ac:dyDescent="0.25">
      <c r="A112" s="314">
        <v>685</v>
      </c>
      <c r="B112" s="93" t="s">
        <v>532</v>
      </c>
      <c r="C112" s="93">
        <v>99</v>
      </c>
      <c r="D112" s="93">
        <v>93</v>
      </c>
      <c r="E112" s="93">
        <v>2</v>
      </c>
      <c r="F112" s="93">
        <f t="shared" si="22"/>
        <v>4</v>
      </c>
      <c r="G112" s="93">
        <v>3242</v>
      </c>
      <c r="H112" s="93">
        <v>2913</v>
      </c>
      <c r="I112" s="93">
        <v>169</v>
      </c>
      <c r="J112" s="93">
        <f t="shared" si="23"/>
        <v>160</v>
      </c>
      <c r="K112" s="93">
        <v>1789</v>
      </c>
      <c r="L112" s="93">
        <v>1579</v>
      </c>
      <c r="M112" s="93">
        <v>126</v>
      </c>
      <c r="N112" s="93">
        <f t="shared" si="24"/>
        <v>84</v>
      </c>
      <c r="P112" s="93">
        <f t="shared" si="13"/>
        <v>0.93939393939393945</v>
      </c>
      <c r="Q112" s="93">
        <f t="shared" si="14"/>
        <v>2.0202020202020204E-2</v>
      </c>
      <c r="R112" s="93">
        <f t="shared" si="15"/>
        <v>4.0404040404040407E-2</v>
      </c>
      <c r="S112" s="93">
        <f t="shared" si="16"/>
        <v>0.89851943244910548</v>
      </c>
      <c r="T112" s="93">
        <f t="shared" si="17"/>
        <v>5.2128315854410856E-2</v>
      </c>
      <c r="U112" s="93">
        <f t="shared" si="18"/>
        <v>4.9352251696483655E-2</v>
      </c>
      <c r="V112" s="93">
        <f t="shared" si="19"/>
        <v>0.88261598658468421</v>
      </c>
      <c r="W112" s="93">
        <f t="shared" si="20"/>
        <v>7.0430408049189486E-2</v>
      </c>
      <c r="X112" s="93">
        <f t="shared" si="21"/>
        <v>4.6953605366126326E-2</v>
      </c>
    </row>
    <row r="113" spans="1:24" x14ac:dyDescent="0.25">
      <c r="A113" s="314">
        <v>690</v>
      </c>
      <c r="B113" s="93" t="s">
        <v>636</v>
      </c>
      <c r="C113" s="93">
        <v>13</v>
      </c>
      <c r="D113" s="93">
        <v>10</v>
      </c>
      <c r="E113" s="93">
        <v>3</v>
      </c>
      <c r="F113" s="93">
        <f t="shared" si="22"/>
        <v>0</v>
      </c>
      <c r="G113" s="93">
        <v>287</v>
      </c>
      <c r="H113" s="93">
        <v>241</v>
      </c>
      <c r="I113" s="93">
        <v>30</v>
      </c>
      <c r="J113" s="93">
        <f t="shared" si="23"/>
        <v>16</v>
      </c>
      <c r="K113" s="93">
        <v>230</v>
      </c>
      <c r="L113" s="93">
        <v>189</v>
      </c>
      <c r="M113" s="93">
        <v>29</v>
      </c>
      <c r="N113" s="93">
        <f t="shared" si="24"/>
        <v>12</v>
      </c>
      <c r="P113" s="93">
        <f t="shared" si="13"/>
        <v>0.76923076923076927</v>
      </c>
      <c r="Q113" s="93">
        <f t="shared" si="14"/>
        <v>0.23076923076923078</v>
      </c>
      <c r="R113" s="93">
        <f t="shared" si="15"/>
        <v>0</v>
      </c>
      <c r="S113" s="93">
        <f t="shared" si="16"/>
        <v>0.83972125435540068</v>
      </c>
      <c r="T113" s="93">
        <f t="shared" si="17"/>
        <v>0.10452961672473868</v>
      </c>
      <c r="U113" s="93">
        <f t="shared" si="18"/>
        <v>5.5749128919860627E-2</v>
      </c>
      <c r="V113" s="93">
        <f t="shared" si="19"/>
        <v>0.82173913043478264</v>
      </c>
      <c r="W113" s="93">
        <f t="shared" si="20"/>
        <v>0.12608695652173912</v>
      </c>
      <c r="X113" s="93">
        <f t="shared" si="21"/>
        <v>5.2173913043478258E-2</v>
      </c>
    </row>
    <row r="114" spans="1:24" x14ac:dyDescent="0.25">
      <c r="A114" s="314">
        <v>700</v>
      </c>
      <c r="B114" s="93" t="s">
        <v>545</v>
      </c>
      <c r="C114" s="93">
        <v>422</v>
      </c>
      <c r="D114" s="93">
        <v>327</v>
      </c>
      <c r="E114" s="93">
        <v>87</v>
      </c>
      <c r="F114" s="93">
        <f t="shared" si="22"/>
        <v>8</v>
      </c>
      <c r="G114" s="93">
        <v>8740</v>
      </c>
      <c r="H114" s="93">
        <v>6397</v>
      </c>
      <c r="I114" s="93">
        <v>1812</v>
      </c>
      <c r="J114" s="93">
        <f t="shared" si="23"/>
        <v>531</v>
      </c>
      <c r="K114" s="93">
        <v>4571</v>
      </c>
      <c r="L114" s="93">
        <v>2995</v>
      </c>
      <c r="M114" s="93">
        <v>1269</v>
      </c>
      <c r="N114" s="93">
        <f t="shared" si="24"/>
        <v>307</v>
      </c>
      <c r="P114" s="93">
        <f t="shared" si="13"/>
        <v>0.77488151658767768</v>
      </c>
      <c r="Q114" s="93">
        <f t="shared" si="14"/>
        <v>0.20616113744075829</v>
      </c>
      <c r="R114" s="93">
        <f t="shared" si="15"/>
        <v>1.8957345971563982E-2</v>
      </c>
      <c r="S114" s="93">
        <f t="shared" si="16"/>
        <v>0.73192219679633863</v>
      </c>
      <c r="T114" s="93">
        <f t="shared" si="17"/>
        <v>0.20732265446224257</v>
      </c>
      <c r="U114" s="93">
        <f t="shared" si="18"/>
        <v>6.0755148741418762E-2</v>
      </c>
      <c r="V114" s="93">
        <f t="shared" si="19"/>
        <v>0.65521767665718667</v>
      </c>
      <c r="W114" s="93">
        <f t="shared" si="20"/>
        <v>0.27761977685408007</v>
      </c>
      <c r="X114" s="93">
        <f t="shared" si="21"/>
        <v>6.7162546488733321E-2</v>
      </c>
    </row>
    <row r="115" spans="1:24" x14ac:dyDescent="0.25">
      <c r="A115" s="314">
        <v>710</v>
      </c>
      <c r="B115" s="93" t="s">
        <v>540</v>
      </c>
      <c r="C115" s="93">
        <v>397</v>
      </c>
      <c r="D115" s="93">
        <v>289</v>
      </c>
      <c r="E115" s="93">
        <v>86</v>
      </c>
      <c r="F115" s="93">
        <f t="shared" si="22"/>
        <v>22</v>
      </c>
      <c r="G115" s="93">
        <v>11906</v>
      </c>
      <c r="H115" s="93">
        <v>8602</v>
      </c>
      <c r="I115" s="93">
        <v>2487</v>
      </c>
      <c r="J115" s="93">
        <f t="shared" si="23"/>
        <v>817</v>
      </c>
      <c r="K115" s="93">
        <v>4411</v>
      </c>
      <c r="L115" s="93">
        <v>2909</v>
      </c>
      <c r="M115" s="93">
        <v>1197</v>
      </c>
      <c r="N115" s="93">
        <f t="shared" si="24"/>
        <v>305</v>
      </c>
      <c r="P115" s="93">
        <f t="shared" si="13"/>
        <v>0.72795969773299751</v>
      </c>
      <c r="Q115" s="93">
        <f t="shared" si="14"/>
        <v>0.21662468513853905</v>
      </c>
      <c r="R115" s="93">
        <f t="shared" si="15"/>
        <v>5.5415617128463476E-2</v>
      </c>
      <c r="S115" s="93">
        <f t="shared" si="16"/>
        <v>0.72249286074248276</v>
      </c>
      <c r="T115" s="93">
        <f t="shared" si="17"/>
        <v>0.20888627582731395</v>
      </c>
      <c r="U115" s="93">
        <f t="shared" si="18"/>
        <v>6.8620863430203252E-2</v>
      </c>
      <c r="V115" s="93">
        <f t="shared" si="19"/>
        <v>0.65948764452505104</v>
      </c>
      <c r="W115" s="93">
        <f t="shared" si="20"/>
        <v>0.27136703695307185</v>
      </c>
      <c r="X115" s="93">
        <f t="shared" si="21"/>
        <v>6.9145318521877122E-2</v>
      </c>
    </row>
    <row r="116" spans="1:24" x14ac:dyDescent="0.25">
      <c r="A116" s="314">
        <v>720</v>
      </c>
      <c r="B116" s="93" t="s">
        <v>526</v>
      </c>
      <c r="C116" s="93">
        <v>2</v>
      </c>
      <c r="D116" s="93">
        <v>2</v>
      </c>
      <c r="E116" s="93">
        <v>0</v>
      </c>
      <c r="F116" s="93">
        <f t="shared" si="22"/>
        <v>0</v>
      </c>
      <c r="G116" s="93">
        <v>62</v>
      </c>
      <c r="H116" s="93">
        <v>59</v>
      </c>
      <c r="I116" s="93">
        <v>0</v>
      </c>
      <c r="J116" s="93">
        <f t="shared" si="23"/>
        <v>3</v>
      </c>
      <c r="K116" s="93">
        <v>26</v>
      </c>
      <c r="L116" s="93">
        <v>24</v>
      </c>
      <c r="M116" s="93">
        <v>1</v>
      </c>
      <c r="N116" s="93">
        <f t="shared" si="24"/>
        <v>1</v>
      </c>
      <c r="P116" s="93">
        <f t="shared" si="13"/>
        <v>1</v>
      </c>
      <c r="Q116" s="93">
        <f t="shared" si="14"/>
        <v>0</v>
      </c>
      <c r="R116" s="93">
        <f t="shared" si="15"/>
        <v>0</v>
      </c>
      <c r="S116" s="93">
        <f t="shared" si="16"/>
        <v>0.95161290322580649</v>
      </c>
      <c r="T116" s="93">
        <f t="shared" si="17"/>
        <v>0</v>
      </c>
      <c r="U116" s="93">
        <f t="shared" si="18"/>
        <v>4.8387096774193547E-2</v>
      </c>
      <c r="V116" s="93">
        <f t="shared" si="19"/>
        <v>0.92307692307692313</v>
      </c>
      <c r="W116" s="93">
        <f t="shared" si="20"/>
        <v>3.8461538461538464E-2</v>
      </c>
      <c r="X116" s="93">
        <f t="shared" si="21"/>
        <v>3.8461538461538464E-2</v>
      </c>
    </row>
    <row r="117" spans="1:24" x14ac:dyDescent="0.25">
      <c r="A117" s="314">
        <v>730</v>
      </c>
      <c r="B117" s="93" t="s">
        <v>538</v>
      </c>
      <c r="C117" s="93">
        <v>48</v>
      </c>
      <c r="D117" s="93">
        <v>24</v>
      </c>
      <c r="E117" s="93">
        <v>24</v>
      </c>
      <c r="F117" s="93">
        <f t="shared" si="22"/>
        <v>0</v>
      </c>
      <c r="G117" s="93">
        <v>844</v>
      </c>
      <c r="H117" s="93">
        <v>552</v>
      </c>
      <c r="I117" s="93">
        <v>254</v>
      </c>
      <c r="J117" s="93">
        <f t="shared" si="23"/>
        <v>38</v>
      </c>
      <c r="K117" s="93">
        <v>426</v>
      </c>
      <c r="L117" s="93">
        <v>265</v>
      </c>
      <c r="M117" s="93">
        <v>136</v>
      </c>
      <c r="N117" s="93">
        <f t="shared" si="24"/>
        <v>25</v>
      </c>
      <c r="P117" s="93">
        <f t="shared" si="13"/>
        <v>0.5</v>
      </c>
      <c r="Q117" s="93">
        <f t="shared" si="14"/>
        <v>0.5</v>
      </c>
      <c r="R117" s="93">
        <f t="shared" si="15"/>
        <v>0</v>
      </c>
      <c r="S117" s="93">
        <f t="shared" si="16"/>
        <v>0.65402843601895733</v>
      </c>
      <c r="T117" s="93">
        <f t="shared" si="17"/>
        <v>0.3009478672985782</v>
      </c>
      <c r="U117" s="93">
        <f t="shared" si="18"/>
        <v>4.5023696682464455E-2</v>
      </c>
      <c r="V117" s="93">
        <f t="shared" si="19"/>
        <v>0.6220657276995305</v>
      </c>
      <c r="W117" s="93">
        <f t="shared" si="20"/>
        <v>0.31924882629107981</v>
      </c>
      <c r="X117" s="93">
        <f t="shared" si="21"/>
        <v>5.8685446009389672E-2</v>
      </c>
    </row>
    <row r="118" spans="1:24" x14ac:dyDescent="0.25">
      <c r="A118" s="314">
        <v>740</v>
      </c>
      <c r="B118" s="93" t="s">
        <v>541</v>
      </c>
      <c r="C118" s="93">
        <v>94</v>
      </c>
      <c r="D118" s="93">
        <v>49</v>
      </c>
      <c r="E118" s="93">
        <v>36</v>
      </c>
      <c r="F118" s="93">
        <f t="shared" si="22"/>
        <v>9</v>
      </c>
      <c r="G118" s="93">
        <v>2014</v>
      </c>
      <c r="H118" s="93">
        <v>1383</v>
      </c>
      <c r="I118" s="93">
        <v>499</v>
      </c>
      <c r="J118" s="93">
        <f t="shared" si="23"/>
        <v>132</v>
      </c>
      <c r="K118" s="93">
        <v>1004</v>
      </c>
      <c r="L118" s="93">
        <v>611</v>
      </c>
      <c r="M118" s="93">
        <v>313</v>
      </c>
      <c r="N118" s="93">
        <f t="shared" si="24"/>
        <v>80</v>
      </c>
      <c r="P118" s="93">
        <f t="shared" si="13"/>
        <v>0.52127659574468088</v>
      </c>
      <c r="Q118" s="93">
        <f t="shared" si="14"/>
        <v>0.38297872340425532</v>
      </c>
      <c r="R118" s="93">
        <f t="shared" si="15"/>
        <v>9.5744680851063829E-2</v>
      </c>
      <c r="S118" s="93">
        <f t="shared" si="16"/>
        <v>0.68669314796425029</v>
      </c>
      <c r="T118" s="93">
        <f t="shared" si="17"/>
        <v>0.2477656405163853</v>
      </c>
      <c r="U118" s="93">
        <f t="shared" si="18"/>
        <v>6.5541211519364442E-2</v>
      </c>
      <c r="V118" s="93">
        <f t="shared" si="19"/>
        <v>0.60856573705179284</v>
      </c>
      <c r="W118" s="93">
        <f t="shared" si="20"/>
        <v>0.31175298804780877</v>
      </c>
      <c r="X118" s="93">
        <f t="shared" si="21"/>
        <v>7.9681274900398405E-2</v>
      </c>
    </row>
    <row r="119" spans="1:24" x14ac:dyDescent="0.25">
      <c r="A119" s="314">
        <v>750</v>
      </c>
      <c r="B119" s="93" t="s">
        <v>529</v>
      </c>
      <c r="C119" s="93">
        <v>8</v>
      </c>
      <c r="D119" s="93">
        <v>6</v>
      </c>
      <c r="E119" s="93">
        <v>0</v>
      </c>
      <c r="F119" s="93">
        <f t="shared" si="22"/>
        <v>2</v>
      </c>
      <c r="G119" s="93">
        <v>328</v>
      </c>
      <c r="H119" s="93">
        <v>281</v>
      </c>
      <c r="I119" s="93">
        <v>12</v>
      </c>
      <c r="J119" s="93">
        <f t="shared" si="23"/>
        <v>35</v>
      </c>
      <c r="K119" s="93">
        <v>60</v>
      </c>
      <c r="L119" s="93">
        <v>42</v>
      </c>
      <c r="M119" s="93">
        <v>13</v>
      </c>
      <c r="N119" s="93">
        <f t="shared" si="24"/>
        <v>5</v>
      </c>
      <c r="P119" s="93">
        <f t="shared" si="13"/>
        <v>0.75</v>
      </c>
      <c r="Q119" s="93">
        <f t="shared" si="14"/>
        <v>0</v>
      </c>
      <c r="R119" s="93">
        <f t="shared" si="15"/>
        <v>0.25</v>
      </c>
      <c r="S119" s="93">
        <f t="shared" si="16"/>
        <v>0.85670731707317072</v>
      </c>
      <c r="T119" s="93">
        <f t="shared" si="17"/>
        <v>3.6585365853658534E-2</v>
      </c>
      <c r="U119" s="93">
        <f t="shared" si="18"/>
        <v>0.10670731707317073</v>
      </c>
      <c r="V119" s="93">
        <f t="shared" si="19"/>
        <v>0.7</v>
      </c>
      <c r="W119" s="93">
        <f t="shared" si="20"/>
        <v>0.21666666666666667</v>
      </c>
      <c r="X119" s="93">
        <f t="shared" si="21"/>
        <v>8.3333333333333329E-2</v>
      </c>
    </row>
    <row r="120" spans="1:24" x14ac:dyDescent="0.25">
      <c r="A120" s="314">
        <v>760</v>
      </c>
      <c r="B120" s="93" t="s">
        <v>197</v>
      </c>
      <c r="C120" s="93">
        <v>287</v>
      </c>
      <c r="D120" s="93">
        <v>198</v>
      </c>
      <c r="E120" s="93">
        <v>67</v>
      </c>
      <c r="F120" s="93">
        <f t="shared" si="22"/>
        <v>22</v>
      </c>
      <c r="G120" s="93">
        <v>8984</v>
      </c>
      <c r="H120" s="93">
        <v>6482</v>
      </c>
      <c r="I120" s="93">
        <v>1537</v>
      </c>
      <c r="J120" s="93">
        <f t="shared" si="23"/>
        <v>965</v>
      </c>
      <c r="K120" s="93">
        <v>3767</v>
      </c>
      <c r="L120" s="93">
        <v>2448</v>
      </c>
      <c r="M120" s="93">
        <v>866</v>
      </c>
      <c r="N120" s="93">
        <f t="shared" si="24"/>
        <v>453</v>
      </c>
      <c r="P120" s="93">
        <f t="shared" si="13"/>
        <v>0.68989547038327526</v>
      </c>
      <c r="Q120" s="93">
        <f t="shared" si="14"/>
        <v>0.23344947735191637</v>
      </c>
      <c r="R120" s="93">
        <f t="shared" si="15"/>
        <v>7.6655052264808357E-2</v>
      </c>
      <c r="S120" s="93">
        <f t="shared" si="16"/>
        <v>0.72150489759572578</v>
      </c>
      <c r="T120" s="93">
        <f t="shared" si="17"/>
        <v>0.17108192341941228</v>
      </c>
      <c r="U120" s="93">
        <f t="shared" si="18"/>
        <v>0.10741317898486198</v>
      </c>
      <c r="V120" s="93">
        <f t="shared" si="19"/>
        <v>0.64985399522166176</v>
      </c>
      <c r="W120" s="93">
        <f t="shared" si="20"/>
        <v>0.22989116007432969</v>
      </c>
      <c r="X120" s="93">
        <f t="shared" si="21"/>
        <v>0.12025484470400849</v>
      </c>
    </row>
    <row r="121" spans="1:24" x14ac:dyDescent="0.25">
      <c r="A121" s="314">
        <v>770</v>
      </c>
      <c r="B121" s="93" t="s">
        <v>201</v>
      </c>
      <c r="C121" s="93">
        <v>153</v>
      </c>
      <c r="D121" s="93">
        <v>127</v>
      </c>
      <c r="E121" s="93">
        <v>20</v>
      </c>
      <c r="F121" s="93">
        <f t="shared" si="22"/>
        <v>6</v>
      </c>
      <c r="G121" s="93">
        <v>3374</v>
      </c>
      <c r="H121" s="93">
        <v>2778</v>
      </c>
      <c r="I121" s="93">
        <v>409</v>
      </c>
      <c r="J121" s="93">
        <f t="shared" si="23"/>
        <v>187</v>
      </c>
      <c r="K121" s="93">
        <v>1894</v>
      </c>
      <c r="L121" s="93">
        <v>1494</v>
      </c>
      <c r="M121" s="93">
        <v>306</v>
      </c>
      <c r="N121" s="93">
        <f t="shared" si="24"/>
        <v>94</v>
      </c>
      <c r="P121" s="93">
        <f t="shared" si="13"/>
        <v>0.83006535947712423</v>
      </c>
      <c r="Q121" s="93">
        <f t="shared" si="14"/>
        <v>0.13071895424836602</v>
      </c>
      <c r="R121" s="93">
        <f t="shared" si="15"/>
        <v>3.9215686274509803E-2</v>
      </c>
      <c r="S121" s="93">
        <f t="shared" si="16"/>
        <v>0.82335506816834614</v>
      </c>
      <c r="T121" s="93">
        <f t="shared" si="17"/>
        <v>0.12122110254890338</v>
      </c>
      <c r="U121" s="93">
        <f t="shared" si="18"/>
        <v>5.5423829282750442E-2</v>
      </c>
      <c r="V121" s="93">
        <f t="shared" si="19"/>
        <v>0.78880675818373813</v>
      </c>
      <c r="W121" s="93">
        <f t="shared" si="20"/>
        <v>0.16156282998944033</v>
      </c>
      <c r="X121" s="93">
        <f t="shared" si="21"/>
        <v>4.9630411826821541E-2</v>
      </c>
    </row>
    <row r="122" spans="1:24" x14ac:dyDescent="0.25">
      <c r="A122" s="314">
        <v>800</v>
      </c>
      <c r="B122" s="93" t="s">
        <v>542</v>
      </c>
      <c r="C122" s="93">
        <v>86</v>
      </c>
      <c r="D122" s="93">
        <v>61</v>
      </c>
      <c r="E122" s="93">
        <v>17</v>
      </c>
      <c r="F122" s="93">
        <f>C122-D122-E122</f>
        <v>8</v>
      </c>
      <c r="G122" s="93">
        <v>1594</v>
      </c>
      <c r="H122" s="93">
        <v>1210</v>
      </c>
      <c r="I122" s="93">
        <v>298</v>
      </c>
      <c r="J122" s="93">
        <f>G122-H122-I122</f>
        <v>86</v>
      </c>
      <c r="K122" s="93">
        <v>1012</v>
      </c>
      <c r="L122" s="93">
        <v>660</v>
      </c>
      <c r="M122" s="93">
        <v>293</v>
      </c>
      <c r="N122" s="93">
        <f>K122-L122-M122</f>
        <v>59</v>
      </c>
      <c r="P122" s="93">
        <f>D122/C122</f>
        <v>0.70930232558139539</v>
      </c>
      <c r="Q122" s="93">
        <f>E122/C122</f>
        <v>0.19767441860465115</v>
      </c>
      <c r="R122" s="93">
        <f>F122/C122</f>
        <v>9.3023255813953487E-2</v>
      </c>
      <c r="S122" s="93">
        <f>H122/G122</f>
        <v>0.75909661229611036</v>
      </c>
      <c r="T122" s="93">
        <f>I122/G122</f>
        <v>0.18695106649937265</v>
      </c>
      <c r="U122" s="93">
        <f>J122/G122</f>
        <v>5.3952321204516936E-2</v>
      </c>
      <c r="V122" s="93">
        <f>L122/K122</f>
        <v>0.65217391304347827</v>
      </c>
      <c r="W122" s="93">
        <f>M122/K122</f>
        <v>0.28952569169960474</v>
      </c>
      <c r="X122" s="93">
        <f>N122/K122</f>
        <v>5.8300395256916999E-2</v>
      </c>
    </row>
    <row r="123" spans="1:24" x14ac:dyDescent="0.25">
      <c r="A123" s="314">
        <v>810</v>
      </c>
      <c r="B123" s="93" t="s">
        <v>543</v>
      </c>
      <c r="C123" s="93">
        <v>1121</v>
      </c>
      <c r="D123" s="93">
        <v>954</v>
      </c>
      <c r="E123" s="93">
        <v>107</v>
      </c>
      <c r="F123" s="93">
        <f>C123-D123-E123</f>
        <v>60</v>
      </c>
      <c r="G123" s="93">
        <v>19305</v>
      </c>
      <c r="H123" s="93">
        <v>15155</v>
      </c>
      <c r="I123" s="93">
        <v>2957</v>
      </c>
      <c r="J123" s="93">
        <f>G123-H123-I123</f>
        <v>1193</v>
      </c>
      <c r="K123" s="93">
        <v>10512</v>
      </c>
      <c r="L123" s="93">
        <v>7732</v>
      </c>
      <c r="M123" s="93">
        <v>2027</v>
      </c>
      <c r="N123" s="93">
        <f>K123-L123-M123</f>
        <v>753</v>
      </c>
      <c r="P123" s="93">
        <f>D123/C123</f>
        <v>0.85102586975914363</v>
      </c>
      <c r="Q123" s="93">
        <f>E123/C123</f>
        <v>9.5450490633363069E-2</v>
      </c>
      <c r="R123" s="93">
        <f>F123/C123</f>
        <v>5.352363960749331E-2</v>
      </c>
      <c r="S123" s="93">
        <f>H123/G123</f>
        <v>0.78502978502978504</v>
      </c>
      <c r="T123" s="93">
        <f>I123/G123</f>
        <v>0.15317275317275317</v>
      </c>
      <c r="U123" s="93">
        <f>J123/G123</f>
        <v>6.1797461797461796E-2</v>
      </c>
      <c r="V123" s="93">
        <f>L123/K123</f>
        <v>0.73554033485540338</v>
      </c>
      <c r="W123" s="93">
        <f>M123/K123</f>
        <v>0.19282724505327245</v>
      </c>
      <c r="X123" s="93">
        <f>N123/K123</f>
        <v>7.16324200913242E-2</v>
      </c>
    </row>
    <row r="124" spans="1:24" x14ac:dyDescent="0.25">
      <c r="A124" s="314">
        <v>830</v>
      </c>
      <c r="B124" s="93" t="s">
        <v>546</v>
      </c>
      <c r="C124" s="93">
        <v>18</v>
      </c>
      <c r="D124" s="93">
        <v>16</v>
      </c>
      <c r="E124" s="93">
        <v>2</v>
      </c>
      <c r="F124" s="93">
        <f>C124-D124-E124</f>
        <v>0</v>
      </c>
      <c r="G124" s="93">
        <v>797</v>
      </c>
      <c r="H124" s="93">
        <v>698</v>
      </c>
      <c r="I124" s="93">
        <v>59</v>
      </c>
      <c r="J124" s="93">
        <f>G124-H124-I124</f>
        <v>40</v>
      </c>
      <c r="K124" s="93">
        <v>181</v>
      </c>
      <c r="L124" s="93">
        <v>143</v>
      </c>
      <c r="M124" s="93">
        <v>31</v>
      </c>
      <c r="N124" s="93">
        <f>K124-L124-M124</f>
        <v>7</v>
      </c>
      <c r="P124" s="93">
        <f>D124/C124</f>
        <v>0.88888888888888884</v>
      </c>
      <c r="Q124" s="93">
        <f>E124/C124</f>
        <v>0.1111111111111111</v>
      </c>
      <c r="R124" s="93">
        <f>F124/C124</f>
        <v>0</v>
      </c>
      <c r="S124" s="93">
        <f>H124/G124</f>
        <v>0.87578419071518199</v>
      </c>
      <c r="T124" s="93">
        <f>I124/G124</f>
        <v>7.4027603513174403E-2</v>
      </c>
      <c r="U124" s="93">
        <f>J124/G124</f>
        <v>5.0188205771643665E-2</v>
      </c>
      <c r="V124" s="93">
        <f>L124/K124</f>
        <v>0.79005524861878451</v>
      </c>
      <c r="W124" s="93">
        <f>M124/K124</f>
        <v>0.17127071823204421</v>
      </c>
      <c r="X124" s="93">
        <f>N124/K124</f>
        <v>3.8674033149171269E-2</v>
      </c>
    </row>
    <row r="125" spans="1:24" x14ac:dyDescent="0.25">
      <c r="A125" s="314">
        <v>840</v>
      </c>
      <c r="B125" s="93" t="s">
        <v>530</v>
      </c>
      <c r="C125" s="93">
        <v>70</v>
      </c>
      <c r="D125" s="93">
        <v>67</v>
      </c>
      <c r="E125" s="93">
        <v>2</v>
      </c>
      <c r="F125" s="93">
        <f>C125-D125-E125</f>
        <v>1</v>
      </c>
      <c r="G125" s="93">
        <v>2490</v>
      </c>
      <c r="H125" s="93">
        <v>2175</v>
      </c>
      <c r="I125" s="93">
        <v>137</v>
      </c>
      <c r="J125" s="93">
        <f>G125-H125-I125</f>
        <v>178</v>
      </c>
      <c r="K125" s="93">
        <v>1639</v>
      </c>
      <c r="L125" s="93">
        <v>1414</v>
      </c>
      <c r="M125" s="93">
        <v>115</v>
      </c>
      <c r="N125" s="93">
        <f>K125-L125-M125</f>
        <v>110</v>
      </c>
      <c r="P125" s="93">
        <f>D125/C125</f>
        <v>0.95714285714285718</v>
      </c>
      <c r="Q125" s="93">
        <f>E125/C125</f>
        <v>2.8571428571428571E-2</v>
      </c>
      <c r="R125" s="93">
        <f>F125/C125</f>
        <v>1.4285714285714285E-2</v>
      </c>
      <c r="S125" s="93">
        <f>H125/G125</f>
        <v>0.87349397590361444</v>
      </c>
      <c r="T125" s="93">
        <f>I125/G125</f>
        <v>5.5020080321285143E-2</v>
      </c>
      <c r="U125" s="93">
        <f>J125/G125</f>
        <v>7.1485943775100397E-2</v>
      </c>
      <c r="V125" s="93">
        <f>L125/K125</f>
        <v>0.86272117144600369</v>
      </c>
      <c r="W125" s="93">
        <f>M125/K125</f>
        <v>7.0164734594264797E-2</v>
      </c>
      <c r="X125" s="93">
        <f>N125/K125</f>
        <v>6.7114093959731544E-2</v>
      </c>
    </row>
  </sheetData>
  <mergeCells count="6">
    <mergeCell ref="V2:X2"/>
    <mergeCell ref="C2:F2"/>
    <mergeCell ref="G2:J2"/>
    <mergeCell ref="K2:N2"/>
    <mergeCell ref="P2:R2"/>
    <mergeCell ref="S2:U2"/>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Q5" sqref="Q5"/>
    </sheetView>
  </sheetViews>
  <sheetFormatPr defaultColWidth="14.296875" defaultRowHeight="15.6" x14ac:dyDescent="0.3"/>
  <cols>
    <col min="1" max="1" width="14.296875" style="413"/>
    <col min="2" max="2" width="32.19921875" style="413" customWidth="1"/>
    <col min="3" max="3" width="14.5" style="413" customWidth="1"/>
    <col min="4" max="4" width="12.19921875" style="413" customWidth="1"/>
    <col min="5" max="8" width="9.09765625" style="413" customWidth="1"/>
    <col min="9" max="9" width="12" style="413" customWidth="1"/>
    <col min="10" max="12" width="10.09765625" style="413" customWidth="1"/>
    <col min="13" max="16" width="12.19921875" style="413" customWidth="1"/>
    <col min="17" max="17" width="15.296875" style="413" customWidth="1"/>
    <col min="18" max="16384" width="14.296875" style="413"/>
  </cols>
  <sheetData>
    <row r="1" spans="1:17" x14ac:dyDescent="0.3">
      <c r="A1" s="252" t="s">
        <v>1175</v>
      </c>
    </row>
    <row r="2" spans="1:17" x14ac:dyDescent="0.3">
      <c r="B2" s="414"/>
      <c r="C2" s="414"/>
      <c r="E2" s="414"/>
      <c r="F2" s="414"/>
      <c r="G2" s="414"/>
      <c r="H2" s="414"/>
      <c r="I2" s="414"/>
      <c r="J2" s="414"/>
      <c r="K2" s="414"/>
      <c r="L2" s="414"/>
    </row>
    <row r="3" spans="1:17" ht="23.25" customHeight="1" x14ac:dyDescent="0.3">
      <c r="A3" s="415"/>
      <c r="B3" s="416"/>
      <c r="C3" s="513"/>
      <c r="D3" s="1780"/>
      <c r="E3" s="2750" t="s">
        <v>980</v>
      </c>
      <c r="F3" s="2751"/>
      <c r="G3" s="2751"/>
      <c r="H3" s="2751"/>
      <c r="I3" s="2752"/>
      <c r="J3" s="2750" t="s">
        <v>706</v>
      </c>
      <c r="K3" s="2751"/>
      <c r="L3" s="2752"/>
      <c r="M3" s="2751" t="s">
        <v>626</v>
      </c>
      <c r="N3" s="2751"/>
      <c r="O3" s="2751"/>
      <c r="P3" s="2751"/>
      <c r="Q3" s="2755" t="s">
        <v>485</v>
      </c>
    </row>
    <row r="4" spans="1:17" ht="35.25" customHeight="1" x14ac:dyDescent="0.3">
      <c r="A4" s="417" t="s">
        <v>4</v>
      </c>
      <c r="B4" s="416" t="s">
        <v>5</v>
      </c>
      <c r="C4" s="513" t="s">
        <v>251</v>
      </c>
      <c r="D4" s="1780" t="s">
        <v>269</v>
      </c>
      <c r="E4" s="1797" t="s">
        <v>981</v>
      </c>
      <c r="F4" s="1780" t="s">
        <v>982</v>
      </c>
      <c r="G4" s="1780" t="s">
        <v>983</v>
      </c>
      <c r="H4" s="1809" t="s">
        <v>976</v>
      </c>
      <c r="I4" s="1810" t="s">
        <v>988</v>
      </c>
      <c r="J4" s="1797" t="s">
        <v>418</v>
      </c>
      <c r="K4" s="1780" t="s">
        <v>417</v>
      </c>
      <c r="L4" s="1798" t="s">
        <v>978</v>
      </c>
      <c r="M4" s="513" t="s">
        <v>2</v>
      </c>
      <c r="N4" s="513" t="s">
        <v>314</v>
      </c>
      <c r="O4" s="513" t="s">
        <v>683</v>
      </c>
      <c r="P4" s="513" t="s">
        <v>978</v>
      </c>
      <c r="Q4" s="2756"/>
    </row>
    <row r="5" spans="1:17" x14ac:dyDescent="0.3">
      <c r="A5" s="927" t="s">
        <v>8</v>
      </c>
      <c r="B5" s="928" t="s">
        <v>9</v>
      </c>
      <c r="C5" s="929"/>
      <c r="D5" s="930">
        <v>31778</v>
      </c>
      <c r="E5" s="1804">
        <v>3792</v>
      </c>
      <c r="F5" s="1796">
        <v>7418</v>
      </c>
      <c r="G5" s="1796">
        <v>7480</v>
      </c>
      <c r="H5" s="1796">
        <v>13076</v>
      </c>
      <c r="I5" s="1811">
        <v>12</v>
      </c>
      <c r="J5" s="1804">
        <v>15689</v>
      </c>
      <c r="K5" s="1796">
        <v>16084</v>
      </c>
      <c r="L5" s="1811">
        <v>5</v>
      </c>
      <c r="M5" s="930">
        <v>10645</v>
      </c>
      <c r="N5" s="930">
        <v>20177</v>
      </c>
      <c r="O5" s="930">
        <v>945</v>
      </c>
      <c r="P5" s="930">
        <v>11</v>
      </c>
      <c r="Q5" s="1826">
        <v>2113</v>
      </c>
    </row>
    <row r="6" spans="1:17" s="512" customFormat="1" x14ac:dyDescent="0.3">
      <c r="A6" s="514" t="s">
        <v>10</v>
      </c>
      <c r="B6" s="510" t="s">
        <v>11</v>
      </c>
      <c r="C6" s="509" t="s">
        <v>252</v>
      </c>
      <c r="D6" s="511">
        <v>34</v>
      </c>
      <c r="E6" s="1805">
        <v>3</v>
      </c>
      <c r="F6" s="817">
        <v>7</v>
      </c>
      <c r="G6" s="817">
        <v>15</v>
      </c>
      <c r="H6" s="817">
        <v>9</v>
      </c>
      <c r="I6" s="1806">
        <v>0</v>
      </c>
      <c r="J6" s="1805">
        <v>19</v>
      </c>
      <c r="K6" s="817">
        <v>15</v>
      </c>
      <c r="L6" s="1806"/>
      <c r="M6" s="511">
        <v>10</v>
      </c>
      <c r="N6" s="511">
        <v>23</v>
      </c>
      <c r="O6" s="511">
        <v>1</v>
      </c>
      <c r="P6" s="511">
        <v>0</v>
      </c>
      <c r="Q6" s="1827"/>
    </row>
    <row r="7" spans="1:17" s="512" customFormat="1" x14ac:dyDescent="0.3">
      <c r="A7" s="514" t="s">
        <v>12</v>
      </c>
      <c r="B7" s="510" t="s">
        <v>13</v>
      </c>
      <c r="C7" s="509" t="s">
        <v>253</v>
      </c>
      <c r="D7" s="511">
        <v>221</v>
      </c>
      <c r="E7" s="1805">
        <v>37</v>
      </c>
      <c r="F7" s="817">
        <v>55</v>
      </c>
      <c r="G7" s="817">
        <v>60</v>
      </c>
      <c r="H7" s="817">
        <v>69</v>
      </c>
      <c r="I7" s="1806">
        <v>0</v>
      </c>
      <c r="J7" s="1805">
        <v>114</v>
      </c>
      <c r="K7" s="817">
        <v>107</v>
      </c>
      <c r="L7" s="1806"/>
      <c r="M7" s="511">
        <v>102</v>
      </c>
      <c r="N7" s="511">
        <v>115</v>
      </c>
      <c r="O7" s="511">
        <v>4</v>
      </c>
      <c r="P7" s="511">
        <v>0</v>
      </c>
      <c r="Q7" s="1827">
        <v>15</v>
      </c>
    </row>
    <row r="8" spans="1:17" s="512" customFormat="1" x14ac:dyDescent="0.3">
      <c r="A8" s="514" t="s">
        <v>16</v>
      </c>
      <c r="B8" s="510" t="s">
        <v>285</v>
      </c>
      <c r="C8" s="509" t="s">
        <v>253</v>
      </c>
      <c r="D8" s="511">
        <v>68</v>
      </c>
      <c r="E8" s="1805">
        <v>13</v>
      </c>
      <c r="F8" s="817">
        <v>16</v>
      </c>
      <c r="G8" s="817">
        <v>13</v>
      </c>
      <c r="H8" s="817">
        <v>26</v>
      </c>
      <c r="I8" s="1806">
        <v>0</v>
      </c>
      <c r="J8" s="1805">
        <v>39</v>
      </c>
      <c r="K8" s="817">
        <v>29</v>
      </c>
      <c r="L8" s="1806"/>
      <c r="M8" s="511">
        <v>42</v>
      </c>
      <c r="N8" s="511">
        <v>26</v>
      </c>
      <c r="O8" s="511">
        <v>0</v>
      </c>
      <c r="P8" s="511">
        <v>0</v>
      </c>
      <c r="Q8" s="1827">
        <v>1</v>
      </c>
    </row>
    <row r="9" spans="1:17" s="512" customFormat="1" x14ac:dyDescent="0.3">
      <c r="A9" s="514" t="s">
        <v>18</v>
      </c>
      <c r="B9" s="510" t="s">
        <v>19</v>
      </c>
      <c r="C9" s="509" t="s">
        <v>254</v>
      </c>
      <c r="D9" s="511">
        <v>21</v>
      </c>
      <c r="E9" s="1805">
        <v>5</v>
      </c>
      <c r="F9" s="817">
        <v>4</v>
      </c>
      <c r="G9" s="817">
        <v>4</v>
      </c>
      <c r="H9" s="817">
        <v>8</v>
      </c>
      <c r="I9" s="1806">
        <v>0</v>
      </c>
      <c r="J9" s="1805">
        <v>10</v>
      </c>
      <c r="K9" s="817">
        <v>11</v>
      </c>
      <c r="L9" s="1806"/>
      <c r="M9" s="511">
        <v>12</v>
      </c>
      <c r="N9" s="511">
        <v>9</v>
      </c>
      <c r="O9" s="511">
        <v>0</v>
      </c>
      <c r="P9" s="511">
        <v>0</v>
      </c>
      <c r="Q9" s="1827">
        <v>3</v>
      </c>
    </row>
    <row r="10" spans="1:17" s="512" customFormat="1" x14ac:dyDescent="0.3">
      <c r="A10" s="514" t="s">
        <v>20</v>
      </c>
      <c r="B10" s="510" t="s">
        <v>21</v>
      </c>
      <c r="C10" s="509" t="s">
        <v>253</v>
      </c>
      <c r="D10" s="511">
        <v>184</v>
      </c>
      <c r="E10" s="1805">
        <v>21</v>
      </c>
      <c r="F10" s="817">
        <v>46</v>
      </c>
      <c r="G10" s="817">
        <v>40</v>
      </c>
      <c r="H10" s="817">
        <v>77</v>
      </c>
      <c r="I10" s="1806">
        <v>0</v>
      </c>
      <c r="J10" s="1805">
        <v>82</v>
      </c>
      <c r="K10" s="817">
        <v>102</v>
      </c>
      <c r="L10" s="1806"/>
      <c r="M10" s="511">
        <v>115</v>
      </c>
      <c r="N10" s="511">
        <v>68</v>
      </c>
      <c r="O10" s="511">
        <v>1</v>
      </c>
      <c r="P10" s="511">
        <v>0</v>
      </c>
      <c r="Q10" s="1827">
        <v>8</v>
      </c>
    </row>
    <row r="11" spans="1:17" s="512" customFormat="1" x14ac:dyDescent="0.3">
      <c r="A11" s="514" t="s">
        <v>22</v>
      </c>
      <c r="B11" s="510" t="s">
        <v>23</v>
      </c>
      <c r="C11" s="509" t="s">
        <v>253</v>
      </c>
      <c r="D11" s="511">
        <v>44</v>
      </c>
      <c r="E11" s="1805">
        <v>6</v>
      </c>
      <c r="F11" s="817">
        <v>9</v>
      </c>
      <c r="G11" s="817">
        <v>10</v>
      </c>
      <c r="H11" s="817">
        <v>19</v>
      </c>
      <c r="I11" s="1806">
        <v>0</v>
      </c>
      <c r="J11" s="1805">
        <v>20</v>
      </c>
      <c r="K11" s="817">
        <v>24</v>
      </c>
      <c r="L11" s="1806"/>
      <c r="M11" s="511">
        <v>23</v>
      </c>
      <c r="N11" s="511">
        <v>21</v>
      </c>
      <c r="O11" s="511">
        <v>0</v>
      </c>
      <c r="P11" s="511">
        <v>0</v>
      </c>
      <c r="Q11" s="1827">
        <v>2</v>
      </c>
    </row>
    <row r="12" spans="1:17" s="512" customFormat="1" x14ac:dyDescent="0.3">
      <c r="A12" s="514" t="s">
        <v>24</v>
      </c>
      <c r="B12" s="510" t="s">
        <v>25</v>
      </c>
      <c r="C12" s="509" t="s">
        <v>255</v>
      </c>
      <c r="D12" s="511">
        <v>319</v>
      </c>
      <c r="E12" s="1805">
        <v>47</v>
      </c>
      <c r="F12" s="817">
        <v>89</v>
      </c>
      <c r="G12" s="817">
        <v>86</v>
      </c>
      <c r="H12" s="817">
        <v>97</v>
      </c>
      <c r="I12" s="1806">
        <v>0</v>
      </c>
      <c r="J12" s="1805">
        <v>167</v>
      </c>
      <c r="K12" s="817">
        <v>152</v>
      </c>
      <c r="L12" s="1806"/>
      <c r="M12" s="511">
        <v>133</v>
      </c>
      <c r="N12" s="511">
        <v>172</v>
      </c>
      <c r="O12" s="511">
        <v>14</v>
      </c>
      <c r="P12" s="511">
        <v>0</v>
      </c>
      <c r="Q12" s="1827">
        <v>49</v>
      </c>
    </row>
    <row r="13" spans="1:17" s="512" customFormat="1" x14ac:dyDescent="0.3">
      <c r="A13" s="514" t="s">
        <v>26</v>
      </c>
      <c r="B13" s="510" t="s">
        <v>547</v>
      </c>
      <c r="C13" s="509" t="s">
        <v>253</v>
      </c>
      <c r="D13" s="511">
        <v>464</v>
      </c>
      <c r="E13" s="1805">
        <v>49</v>
      </c>
      <c r="F13" s="817">
        <v>121</v>
      </c>
      <c r="G13" s="817">
        <v>99</v>
      </c>
      <c r="H13" s="817">
        <v>195</v>
      </c>
      <c r="I13" s="1806">
        <v>0</v>
      </c>
      <c r="J13" s="1805">
        <v>219</v>
      </c>
      <c r="K13" s="817">
        <v>245</v>
      </c>
      <c r="L13" s="1806"/>
      <c r="M13" s="511">
        <v>332</v>
      </c>
      <c r="N13" s="511">
        <v>127</v>
      </c>
      <c r="O13" s="511">
        <v>5</v>
      </c>
      <c r="P13" s="511">
        <v>0</v>
      </c>
      <c r="Q13" s="1827">
        <v>18</v>
      </c>
    </row>
    <row r="14" spans="1:17" s="512" customFormat="1" x14ac:dyDescent="0.3">
      <c r="A14" s="514" t="s">
        <v>27</v>
      </c>
      <c r="B14" s="510" t="s">
        <v>28</v>
      </c>
      <c r="C14" s="509" t="s">
        <v>253</v>
      </c>
      <c r="D14" s="511">
        <v>3</v>
      </c>
      <c r="E14" s="1805">
        <v>0</v>
      </c>
      <c r="F14" s="817">
        <v>0</v>
      </c>
      <c r="G14" s="817">
        <v>1</v>
      </c>
      <c r="H14" s="817">
        <v>2</v>
      </c>
      <c r="I14" s="1806">
        <v>0</v>
      </c>
      <c r="J14" s="1805">
        <v>3</v>
      </c>
      <c r="K14" s="817"/>
      <c r="L14" s="1806"/>
      <c r="M14" s="511">
        <v>1</v>
      </c>
      <c r="N14" s="511">
        <v>2</v>
      </c>
      <c r="O14" s="511">
        <v>0</v>
      </c>
      <c r="P14" s="511">
        <v>0</v>
      </c>
      <c r="Q14" s="1827"/>
    </row>
    <row r="15" spans="1:17" s="512" customFormat="1" x14ac:dyDescent="0.3">
      <c r="A15" s="514" t="s">
        <v>29</v>
      </c>
      <c r="B15" s="510" t="s">
        <v>736</v>
      </c>
      <c r="C15" s="509" t="s">
        <v>253</v>
      </c>
      <c r="D15" s="511">
        <v>145</v>
      </c>
      <c r="E15" s="1805">
        <v>27</v>
      </c>
      <c r="F15" s="817">
        <v>27</v>
      </c>
      <c r="G15" s="817">
        <v>29</v>
      </c>
      <c r="H15" s="817">
        <v>62</v>
      </c>
      <c r="I15" s="1806">
        <v>0</v>
      </c>
      <c r="J15" s="1805">
        <v>79</v>
      </c>
      <c r="K15" s="817">
        <v>66</v>
      </c>
      <c r="L15" s="1806"/>
      <c r="M15" s="511">
        <v>93</v>
      </c>
      <c r="N15" s="511">
        <v>48</v>
      </c>
      <c r="O15" s="511">
        <v>4</v>
      </c>
      <c r="P15" s="511">
        <v>0</v>
      </c>
      <c r="Q15" s="1827">
        <v>6</v>
      </c>
    </row>
    <row r="16" spans="1:17" s="512" customFormat="1" x14ac:dyDescent="0.3">
      <c r="A16" s="514" t="s">
        <v>30</v>
      </c>
      <c r="B16" s="510" t="s">
        <v>31</v>
      </c>
      <c r="C16" s="509" t="s">
        <v>256</v>
      </c>
      <c r="D16" s="511">
        <v>16</v>
      </c>
      <c r="E16" s="1805">
        <v>3</v>
      </c>
      <c r="F16" s="817">
        <v>6</v>
      </c>
      <c r="G16" s="817">
        <v>3</v>
      </c>
      <c r="H16" s="817">
        <v>4</v>
      </c>
      <c r="I16" s="1806">
        <v>0</v>
      </c>
      <c r="J16" s="1805">
        <v>7</v>
      </c>
      <c r="K16" s="817">
        <v>9</v>
      </c>
      <c r="L16" s="1806"/>
      <c r="M16" s="511">
        <v>16</v>
      </c>
      <c r="N16" s="511">
        <v>0</v>
      </c>
      <c r="O16" s="511">
        <v>0</v>
      </c>
      <c r="P16" s="511">
        <v>0</v>
      </c>
      <c r="Q16" s="1827">
        <v>1</v>
      </c>
    </row>
    <row r="17" spans="1:17" s="512" customFormat="1" x14ac:dyDescent="0.3">
      <c r="A17" s="514" t="s">
        <v>32</v>
      </c>
      <c r="B17" s="510" t="s">
        <v>33</v>
      </c>
      <c r="C17" s="509" t="s">
        <v>253</v>
      </c>
      <c r="D17" s="511">
        <v>83</v>
      </c>
      <c r="E17" s="1805">
        <v>12</v>
      </c>
      <c r="F17" s="817">
        <v>18</v>
      </c>
      <c r="G17" s="817">
        <v>24</v>
      </c>
      <c r="H17" s="817">
        <v>29</v>
      </c>
      <c r="I17" s="1806">
        <v>0</v>
      </c>
      <c r="J17" s="1805">
        <v>43</v>
      </c>
      <c r="K17" s="817">
        <v>40</v>
      </c>
      <c r="L17" s="1806"/>
      <c r="M17" s="511">
        <v>78</v>
      </c>
      <c r="N17" s="511">
        <v>3</v>
      </c>
      <c r="O17" s="511">
        <v>2</v>
      </c>
      <c r="P17" s="511">
        <v>0</v>
      </c>
      <c r="Q17" s="1827">
        <v>5</v>
      </c>
    </row>
    <row r="18" spans="1:17" s="512" customFormat="1" x14ac:dyDescent="0.3">
      <c r="A18" s="514" t="s">
        <v>36</v>
      </c>
      <c r="B18" s="510" t="s">
        <v>37</v>
      </c>
      <c r="C18" s="509" t="s">
        <v>252</v>
      </c>
      <c r="D18" s="511">
        <v>39</v>
      </c>
      <c r="E18" s="1805">
        <v>3</v>
      </c>
      <c r="F18" s="817">
        <v>17</v>
      </c>
      <c r="G18" s="817">
        <v>10</v>
      </c>
      <c r="H18" s="817">
        <v>9</v>
      </c>
      <c r="I18" s="1806">
        <v>0</v>
      </c>
      <c r="J18" s="1805">
        <v>18</v>
      </c>
      <c r="K18" s="817">
        <v>21</v>
      </c>
      <c r="L18" s="1806"/>
      <c r="M18" s="511">
        <v>4</v>
      </c>
      <c r="N18" s="511">
        <v>35</v>
      </c>
      <c r="O18" s="511">
        <v>0</v>
      </c>
      <c r="P18" s="511">
        <v>0</v>
      </c>
      <c r="Q18" s="1827"/>
    </row>
    <row r="19" spans="1:17" s="512" customFormat="1" x14ac:dyDescent="0.3">
      <c r="A19" s="514" t="s">
        <v>38</v>
      </c>
      <c r="B19" s="510" t="s">
        <v>39</v>
      </c>
      <c r="C19" s="509" t="s">
        <v>256</v>
      </c>
      <c r="D19" s="511">
        <v>7</v>
      </c>
      <c r="E19" s="1805">
        <v>0</v>
      </c>
      <c r="F19" s="817">
        <v>1</v>
      </c>
      <c r="G19" s="817">
        <v>0</v>
      </c>
      <c r="H19" s="817">
        <v>6</v>
      </c>
      <c r="I19" s="1806">
        <v>0</v>
      </c>
      <c r="J19" s="1805">
        <v>3</v>
      </c>
      <c r="K19" s="817">
        <v>4</v>
      </c>
      <c r="L19" s="1806"/>
      <c r="M19" s="511">
        <v>7</v>
      </c>
      <c r="N19" s="511">
        <v>0</v>
      </c>
      <c r="O19" s="511">
        <v>0</v>
      </c>
      <c r="P19" s="511">
        <v>0</v>
      </c>
      <c r="Q19" s="1827"/>
    </row>
    <row r="20" spans="1:17" s="512" customFormat="1" x14ac:dyDescent="0.3">
      <c r="A20" s="514" t="s">
        <v>40</v>
      </c>
      <c r="B20" s="510" t="s">
        <v>41</v>
      </c>
      <c r="C20" s="509" t="s">
        <v>254</v>
      </c>
      <c r="D20" s="511">
        <v>9</v>
      </c>
      <c r="E20" s="1805">
        <v>1</v>
      </c>
      <c r="F20" s="817">
        <v>5</v>
      </c>
      <c r="G20" s="817">
        <v>2</v>
      </c>
      <c r="H20" s="817">
        <v>1</v>
      </c>
      <c r="I20" s="1806">
        <v>0</v>
      </c>
      <c r="J20" s="1805">
        <v>6</v>
      </c>
      <c r="K20" s="817">
        <v>3</v>
      </c>
      <c r="L20" s="1806"/>
      <c r="M20" s="511">
        <v>3</v>
      </c>
      <c r="N20" s="511">
        <v>6</v>
      </c>
      <c r="O20" s="511">
        <v>0</v>
      </c>
      <c r="P20" s="511">
        <v>0</v>
      </c>
      <c r="Q20" s="1827"/>
    </row>
    <row r="21" spans="1:17" s="512" customFormat="1" x14ac:dyDescent="0.3">
      <c r="A21" s="514" t="s">
        <v>42</v>
      </c>
      <c r="B21" s="510" t="s">
        <v>43</v>
      </c>
      <c r="C21" s="509" t="s">
        <v>253</v>
      </c>
      <c r="D21" s="511">
        <v>273</v>
      </c>
      <c r="E21" s="1805">
        <v>24</v>
      </c>
      <c r="F21" s="817">
        <v>67</v>
      </c>
      <c r="G21" s="817">
        <v>54</v>
      </c>
      <c r="H21" s="817">
        <v>128</v>
      </c>
      <c r="I21" s="1806">
        <v>0</v>
      </c>
      <c r="J21" s="1805">
        <v>141</v>
      </c>
      <c r="K21" s="817">
        <v>132</v>
      </c>
      <c r="L21" s="1806"/>
      <c r="M21" s="511">
        <v>177</v>
      </c>
      <c r="N21" s="511">
        <v>92</v>
      </c>
      <c r="O21" s="511">
        <v>4</v>
      </c>
      <c r="P21" s="511">
        <v>0</v>
      </c>
      <c r="Q21" s="1827">
        <v>19</v>
      </c>
    </row>
    <row r="22" spans="1:17" s="512" customFormat="1" x14ac:dyDescent="0.3">
      <c r="A22" s="514" t="s">
        <v>44</v>
      </c>
      <c r="B22" s="510" t="s">
        <v>45</v>
      </c>
      <c r="C22" s="509" t="s">
        <v>254</v>
      </c>
      <c r="D22" s="511">
        <v>149</v>
      </c>
      <c r="E22" s="1805">
        <v>19</v>
      </c>
      <c r="F22" s="817">
        <v>34</v>
      </c>
      <c r="G22" s="817">
        <v>37</v>
      </c>
      <c r="H22" s="817">
        <v>59</v>
      </c>
      <c r="I22" s="1806">
        <v>0</v>
      </c>
      <c r="J22" s="1805">
        <v>81</v>
      </c>
      <c r="K22" s="817">
        <v>68</v>
      </c>
      <c r="L22" s="1806"/>
      <c r="M22" s="511">
        <v>67</v>
      </c>
      <c r="N22" s="511">
        <v>81</v>
      </c>
      <c r="O22" s="511">
        <v>1</v>
      </c>
      <c r="P22" s="511">
        <v>0</v>
      </c>
      <c r="Q22" s="1827">
        <v>2</v>
      </c>
    </row>
    <row r="23" spans="1:17" s="512" customFormat="1" x14ac:dyDescent="0.3">
      <c r="A23" s="514" t="s">
        <v>46</v>
      </c>
      <c r="B23" s="510" t="s">
        <v>47</v>
      </c>
      <c r="C23" s="509" t="s">
        <v>256</v>
      </c>
      <c r="D23" s="511">
        <v>150</v>
      </c>
      <c r="E23" s="1805">
        <v>13</v>
      </c>
      <c r="F23" s="817">
        <v>30</v>
      </c>
      <c r="G23" s="817">
        <v>41</v>
      </c>
      <c r="H23" s="817">
        <v>66</v>
      </c>
      <c r="I23" s="1806">
        <v>0</v>
      </c>
      <c r="J23" s="1805">
        <v>69</v>
      </c>
      <c r="K23" s="817">
        <v>81</v>
      </c>
      <c r="L23" s="1806"/>
      <c r="M23" s="511">
        <v>150</v>
      </c>
      <c r="N23" s="511">
        <v>0</v>
      </c>
      <c r="O23" s="511">
        <v>0</v>
      </c>
      <c r="P23" s="511">
        <v>0</v>
      </c>
      <c r="Q23" s="1827">
        <v>8</v>
      </c>
    </row>
    <row r="24" spans="1:17" s="512" customFormat="1" x14ac:dyDescent="0.3">
      <c r="A24" s="514" t="s">
        <v>48</v>
      </c>
      <c r="B24" s="510" t="s">
        <v>257</v>
      </c>
      <c r="C24" s="509" t="s">
        <v>254</v>
      </c>
      <c r="D24" s="511">
        <v>31</v>
      </c>
      <c r="E24" s="1805">
        <v>5</v>
      </c>
      <c r="F24" s="817">
        <v>5</v>
      </c>
      <c r="G24" s="817">
        <v>11</v>
      </c>
      <c r="H24" s="817">
        <v>10</v>
      </c>
      <c r="I24" s="1806">
        <v>0</v>
      </c>
      <c r="J24" s="1805">
        <v>20</v>
      </c>
      <c r="K24" s="817">
        <v>11</v>
      </c>
      <c r="L24" s="1806"/>
      <c r="M24" s="511">
        <v>3</v>
      </c>
      <c r="N24" s="511">
        <v>28</v>
      </c>
      <c r="O24" s="511">
        <v>0</v>
      </c>
      <c r="P24" s="511">
        <v>0</v>
      </c>
      <c r="Q24" s="1827"/>
    </row>
    <row r="25" spans="1:17" s="512" customFormat="1" x14ac:dyDescent="0.3">
      <c r="A25" s="514" t="s">
        <v>50</v>
      </c>
      <c r="B25" s="510" t="s">
        <v>51</v>
      </c>
      <c r="C25" s="509" t="s">
        <v>253</v>
      </c>
      <c r="D25" s="511">
        <v>12</v>
      </c>
      <c r="E25" s="1805">
        <v>1</v>
      </c>
      <c r="F25" s="817">
        <v>1</v>
      </c>
      <c r="G25" s="817">
        <v>2</v>
      </c>
      <c r="H25" s="817">
        <v>8</v>
      </c>
      <c r="I25" s="1806">
        <v>0</v>
      </c>
      <c r="J25" s="1805">
        <v>7</v>
      </c>
      <c r="K25" s="817">
        <v>5</v>
      </c>
      <c r="L25" s="1806"/>
      <c r="M25" s="511">
        <v>3</v>
      </c>
      <c r="N25" s="511">
        <v>9</v>
      </c>
      <c r="O25" s="511">
        <v>0</v>
      </c>
      <c r="P25" s="511">
        <v>0</v>
      </c>
      <c r="Q25" s="1827"/>
    </row>
    <row r="26" spans="1:17" s="512" customFormat="1" x14ac:dyDescent="0.3">
      <c r="A26" s="514" t="s">
        <v>56</v>
      </c>
      <c r="B26" s="510" t="s">
        <v>283</v>
      </c>
      <c r="C26" s="509" t="s">
        <v>254</v>
      </c>
      <c r="D26" s="511">
        <v>862</v>
      </c>
      <c r="E26" s="1805">
        <v>96</v>
      </c>
      <c r="F26" s="817">
        <v>174</v>
      </c>
      <c r="G26" s="817">
        <v>201</v>
      </c>
      <c r="H26" s="817">
        <v>391</v>
      </c>
      <c r="I26" s="1806">
        <v>0</v>
      </c>
      <c r="J26" s="1805">
        <v>395</v>
      </c>
      <c r="K26" s="817">
        <v>467</v>
      </c>
      <c r="L26" s="1806"/>
      <c r="M26" s="511">
        <v>214</v>
      </c>
      <c r="N26" s="511">
        <v>639</v>
      </c>
      <c r="O26" s="511">
        <v>9</v>
      </c>
      <c r="P26" s="511">
        <v>0</v>
      </c>
      <c r="Q26" s="1827">
        <v>52</v>
      </c>
    </row>
    <row r="27" spans="1:17" s="512" customFormat="1" x14ac:dyDescent="0.3">
      <c r="A27" s="514" t="s">
        <v>58</v>
      </c>
      <c r="B27" s="510" t="s">
        <v>59</v>
      </c>
      <c r="C27" s="509" t="s">
        <v>255</v>
      </c>
      <c r="D27" s="511">
        <v>32</v>
      </c>
      <c r="E27" s="1805">
        <v>2</v>
      </c>
      <c r="F27" s="817">
        <v>5</v>
      </c>
      <c r="G27" s="817">
        <v>7</v>
      </c>
      <c r="H27" s="817">
        <v>18</v>
      </c>
      <c r="I27" s="1806">
        <v>0</v>
      </c>
      <c r="J27" s="1805">
        <v>16</v>
      </c>
      <c r="K27" s="817">
        <v>16</v>
      </c>
      <c r="L27" s="1806"/>
      <c r="M27" s="511">
        <v>21</v>
      </c>
      <c r="N27" s="511">
        <v>11</v>
      </c>
      <c r="O27" s="511">
        <v>0</v>
      </c>
      <c r="P27" s="511">
        <v>0</v>
      </c>
      <c r="Q27" s="1827">
        <v>1</v>
      </c>
    </row>
    <row r="28" spans="1:17" s="512" customFormat="1" x14ac:dyDescent="0.3">
      <c r="A28" s="514" t="s">
        <v>60</v>
      </c>
      <c r="B28" s="510" t="s">
        <v>61</v>
      </c>
      <c r="C28" s="509" t="s">
        <v>253</v>
      </c>
      <c r="D28" s="511">
        <v>70</v>
      </c>
      <c r="E28" s="1805">
        <v>10</v>
      </c>
      <c r="F28" s="817">
        <v>18</v>
      </c>
      <c r="G28" s="817">
        <v>17</v>
      </c>
      <c r="H28" s="817">
        <v>25</v>
      </c>
      <c r="I28" s="1806">
        <v>0</v>
      </c>
      <c r="J28" s="1805">
        <v>35</v>
      </c>
      <c r="K28" s="817">
        <v>35</v>
      </c>
      <c r="L28" s="1806"/>
      <c r="M28" s="511">
        <v>70</v>
      </c>
      <c r="N28" s="511">
        <v>0</v>
      </c>
      <c r="O28" s="511">
        <v>0</v>
      </c>
      <c r="P28" s="511">
        <v>0</v>
      </c>
      <c r="Q28" s="1827"/>
    </row>
    <row r="29" spans="1:17" s="512" customFormat="1" x14ac:dyDescent="0.3">
      <c r="A29" s="514" t="s">
        <v>62</v>
      </c>
      <c r="B29" s="510" t="s">
        <v>63</v>
      </c>
      <c r="C29" s="509" t="s">
        <v>255</v>
      </c>
      <c r="D29" s="511">
        <v>614</v>
      </c>
      <c r="E29" s="1805">
        <v>56</v>
      </c>
      <c r="F29" s="817">
        <v>117</v>
      </c>
      <c r="G29" s="817">
        <v>142</v>
      </c>
      <c r="H29" s="817">
        <v>299</v>
      </c>
      <c r="I29" s="1806">
        <v>0</v>
      </c>
      <c r="J29" s="1805">
        <v>320</v>
      </c>
      <c r="K29" s="817">
        <v>294</v>
      </c>
      <c r="L29" s="1806"/>
      <c r="M29" s="511">
        <v>340</v>
      </c>
      <c r="N29" s="511">
        <v>267</v>
      </c>
      <c r="O29" s="511">
        <v>7</v>
      </c>
      <c r="P29" s="511">
        <v>0</v>
      </c>
      <c r="Q29" s="1827">
        <v>53</v>
      </c>
    </row>
    <row r="30" spans="1:17" s="512" customFormat="1" x14ac:dyDescent="0.3">
      <c r="A30" s="514" t="s">
        <v>64</v>
      </c>
      <c r="B30" s="510" t="s">
        <v>65</v>
      </c>
      <c r="C30" s="509" t="s">
        <v>254</v>
      </c>
      <c r="D30" s="511">
        <v>37</v>
      </c>
      <c r="E30" s="1805">
        <v>7</v>
      </c>
      <c r="F30" s="817">
        <v>7</v>
      </c>
      <c r="G30" s="817">
        <v>8</v>
      </c>
      <c r="H30" s="817">
        <v>15</v>
      </c>
      <c r="I30" s="1806">
        <v>0</v>
      </c>
      <c r="J30" s="1805">
        <v>18</v>
      </c>
      <c r="K30" s="817">
        <v>19</v>
      </c>
      <c r="L30" s="1806"/>
      <c r="M30" s="511">
        <v>17</v>
      </c>
      <c r="N30" s="511">
        <v>20</v>
      </c>
      <c r="O30" s="511">
        <v>0</v>
      </c>
      <c r="P30" s="511">
        <v>0</v>
      </c>
      <c r="Q30" s="1827">
        <v>4</v>
      </c>
    </row>
    <row r="31" spans="1:17" s="512" customFormat="1" x14ac:dyDescent="0.3">
      <c r="A31" s="514" t="s">
        <v>68</v>
      </c>
      <c r="B31" s="510" t="s">
        <v>69</v>
      </c>
      <c r="C31" s="509" t="s">
        <v>256</v>
      </c>
      <c r="D31" s="511">
        <v>24</v>
      </c>
      <c r="E31" s="1805">
        <v>2</v>
      </c>
      <c r="F31" s="817">
        <v>4</v>
      </c>
      <c r="G31" s="817">
        <v>5</v>
      </c>
      <c r="H31" s="817">
        <v>13</v>
      </c>
      <c r="I31" s="1806">
        <v>0</v>
      </c>
      <c r="J31" s="1805">
        <v>8</v>
      </c>
      <c r="K31" s="817">
        <v>16</v>
      </c>
      <c r="L31" s="1806"/>
      <c r="M31" s="511">
        <v>24</v>
      </c>
      <c r="N31" s="511">
        <v>0</v>
      </c>
      <c r="O31" s="511">
        <v>0</v>
      </c>
      <c r="P31" s="511">
        <v>0</v>
      </c>
      <c r="Q31" s="1827"/>
    </row>
    <row r="32" spans="1:17" s="512" customFormat="1" x14ac:dyDescent="0.3">
      <c r="A32" s="514" t="s">
        <v>70</v>
      </c>
      <c r="B32" s="510" t="s">
        <v>71</v>
      </c>
      <c r="C32" s="509" t="s">
        <v>252</v>
      </c>
      <c r="D32" s="511">
        <v>69</v>
      </c>
      <c r="E32" s="1805">
        <v>9</v>
      </c>
      <c r="F32" s="817">
        <v>11</v>
      </c>
      <c r="G32" s="817">
        <v>22</v>
      </c>
      <c r="H32" s="817">
        <v>27</v>
      </c>
      <c r="I32" s="1806">
        <v>0</v>
      </c>
      <c r="J32" s="1805">
        <v>41</v>
      </c>
      <c r="K32" s="817">
        <v>28</v>
      </c>
      <c r="L32" s="1806"/>
      <c r="M32" s="511">
        <v>28</v>
      </c>
      <c r="N32" s="511">
        <v>41</v>
      </c>
      <c r="O32" s="511">
        <v>0</v>
      </c>
      <c r="P32" s="511">
        <v>0</v>
      </c>
      <c r="Q32" s="1827">
        <v>8</v>
      </c>
    </row>
    <row r="33" spans="1:17" s="512" customFormat="1" x14ac:dyDescent="0.3">
      <c r="A33" s="514" t="s">
        <v>72</v>
      </c>
      <c r="B33" s="510" t="s">
        <v>73</v>
      </c>
      <c r="C33" s="509" t="s">
        <v>254</v>
      </c>
      <c r="D33" s="511">
        <v>88</v>
      </c>
      <c r="E33" s="1805">
        <v>15</v>
      </c>
      <c r="F33" s="817">
        <v>14</v>
      </c>
      <c r="G33" s="817">
        <v>26</v>
      </c>
      <c r="H33" s="817">
        <v>33</v>
      </c>
      <c r="I33" s="1806">
        <v>0</v>
      </c>
      <c r="J33" s="1805">
        <v>48</v>
      </c>
      <c r="K33" s="817">
        <v>40</v>
      </c>
      <c r="L33" s="1806"/>
      <c r="M33" s="511">
        <v>12</v>
      </c>
      <c r="N33" s="511">
        <v>76</v>
      </c>
      <c r="O33" s="511">
        <v>0</v>
      </c>
      <c r="P33" s="511">
        <v>0</v>
      </c>
      <c r="Q33" s="1827"/>
    </row>
    <row r="34" spans="1:17" s="512" customFormat="1" x14ac:dyDescent="0.3">
      <c r="A34" s="514" t="s">
        <v>74</v>
      </c>
      <c r="B34" s="510" t="s">
        <v>284</v>
      </c>
      <c r="C34" s="509" t="s">
        <v>255</v>
      </c>
      <c r="D34" s="511">
        <v>3360</v>
      </c>
      <c r="E34" s="1805">
        <v>449</v>
      </c>
      <c r="F34" s="817">
        <v>776</v>
      </c>
      <c r="G34" s="817">
        <v>826</v>
      </c>
      <c r="H34" s="817">
        <v>1308</v>
      </c>
      <c r="I34" s="1806">
        <v>1</v>
      </c>
      <c r="J34" s="1805">
        <v>1651</v>
      </c>
      <c r="K34" s="817">
        <v>1709</v>
      </c>
      <c r="L34" s="1806"/>
      <c r="M34" s="511">
        <v>1795</v>
      </c>
      <c r="N34" s="511">
        <v>1312</v>
      </c>
      <c r="O34" s="511">
        <v>253</v>
      </c>
      <c r="P34" s="511">
        <v>0</v>
      </c>
      <c r="Q34" s="1827">
        <v>613</v>
      </c>
    </row>
    <row r="35" spans="1:17" s="512" customFormat="1" x14ac:dyDescent="0.3">
      <c r="A35" s="514" t="s">
        <v>76</v>
      </c>
      <c r="B35" s="510" t="s">
        <v>77</v>
      </c>
      <c r="C35" s="509" t="s">
        <v>255</v>
      </c>
      <c r="D35" s="511">
        <v>158</v>
      </c>
      <c r="E35" s="1805">
        <v>22</v>
      </c>
      <c r="F35" s="817">
        <v>26</v>
      </c>
      <c r="G35" s="817">
        <v>43</v>
      </c>
      <c r="H35" s="817">
        <v>67</v>
      </c>
      <c r="I35" s="1806">
        <v>0</v>
      </c>
      <c r="J35" s="1805">
        <v>74</v>
      </c>
      <c r="K35" s="817">
        <v>84</v>
      </c>
      <c r="L35" s="1806"/>
      <c r="M35" s="511">
        <v>105</v>
      </c>
      <c r="N35" s="511">
        <v>51</v>
      </c>
      <c r="O35" s="511">
        <v>2</v>
      </c>
      <c r="P35" s="511">
        <v>0</v>
      </c>
      <c r="Q35" s="1827">
        <v>7</v>
      </c>
    </row>
    <row r="36" spans="1:17" s="512" customFormat="1" x14ac:dyDescent="0.3">
      <c r="A36" s="514" t="s">
        <v>78</v>
      </c>
      <c r="B36" s="510" t="s">
        <v>79</v>
      </c>
      <c r="C36" s="509" t="s">
        <v>256</v>
      </c>
      <c r="D36" s="511">
        <v>25</v>
      </c>
      <c r="E36" s="1805">
        <v>8</v>
      </c>
      <c r="F36" s="817">
        <v>7</v>
      </c>
      <c r="G36" s="817">
        <v>7</v>
      </c>
      <c r="H36" s="817">
        <v>3</v>
      </c>
      <c r="I36" s="1806">
        <v>0</v>
      </c>
      <c r="J36" s="1805">
        <v>10</v>
      </c>
      <c r="K36" s="817">
        <v>15</v>
      </c>
      <c r="L36" s="1806"/>
      <c r="M36" s="511">
        <v>22</v>
      </c>
      <c r="N36" s="511">
        <v>3</v>
      </c>
      <c r="O36" s="511">
        <v>0</v>
      </c>
      <c r="P36" s="511">
        <v>0</v>
      </c>
      <c r="Q36" s="1827"/>
    </row>
    <row r="37" spans="1:17" s="512" customFormat="1" x14ac:dyDescent="0.3">
      <c r="A37" s="514" t="s">
        <v>80</v>
      </c>
      <c r="B37" s="510" t="s">
        <v>81</v>
      </c>
      <c r="C37" s="509" t="s">
        <v>254</v>
      </c>
      <c r="D37" s="511">
        <v>61</v>
      </c>
      <c r="E37" s="1805">
        <v>6</v>
      </c>
      <c r="F37" s="817">
        <v>16</v>
      </c>
      <c r="G37" s="817">
        <v>13</v>
      </c>
      <c r="H37" s="817">
        <v>26</v>
      </c>
      <c r="I37" s="1806">
        <v>0</v>
      </c>
      <c r="J37" s="1805">
        <v>24</v>
      </c>
      <c r="K37" s="817">
        <v>37</v>
      </c>
      <c r="L37" s="1806"/>
      <c r="M37" s="511">
        <v>34</v>
      </c>
      <c r="N37" s="511">
        <v>25</v>
      </c>
      <c r="O37" s="511">
        <v>2</v>
      </c>
      <c r="P37" s="511">
        <v>0</v>
      </c>
      <c r="Q37" s="1827">
        <v>3</v>
      </c>
    </row>
    <row r="38" spans="1:17" s="512" customFormat="1" x14ac:dyDescent="0.3">
      <c r="A38" s="514" t="s">
        <v>84</v>
      </c>
      <c r="B38" s="510" t="s">
        <v>85</v>
      </c>
      <c r="C38" s="509" t="s">
        <v>253</v>
      </c>
      <c r="D38" s="511">
        <v>186</v>
      </c>
      <c r="E38" s="1805">
        <v>19</v>
      </c>
      <c r="F38" s="817">
        <v>44</v>
      </c>
      <c r="G38" s="817">
        <v>44</v>
      </c>
      <c r="H38" s="817">
        <v>79</v>
      </c>
      <c r="I38" s="1806">
        <v>0</v>
      </c>
      <c r="J38" s="1805">
        <v>85</v>
      </c>
      <c r="K38" s="817">
        <v>101</v>
      </c>
      <c r="L38" s="1806"/>
      <c r="M38" s="511">
        <v>127</v>
      </c>
      <c r="N38" s="511">
        <v>59</v>
      </c>
      <c r="O38" s="511">
        <v>0</v>
      </c>
      <c r="P38" s="511">
        <v>0</v>
      </c>
      <c r="Q38" s="1827">
        <v>5</v>
      </c>
    </row>
    <row r="39" spans="1:17" s="512" customFormat="1" x14ac:dyDescent="0.3">
      <c r="A39" s="514" t="s">
        <v>86</v>
      </c>
      <c r="B39" s="510" t="s">
        <v>87</v>
      </c>
      <c r="C39" s="509" t="s">
        <v>255</v>
      </c>
      <c r="D39" s="511">
        <v>238</v>
      </c>
      <c r="E39" s="1805">
        <v>31</v>
      </c>
      <c r="F39" s="817">
        <v>61</v>
      </c>
      <c r="G39" s="817">
        <v>56</v>
      </c>
      <c r="H39" s="817">
        <v>90</v>
      </c>
      <c r="I39" s="1806">
        <v>0</v>
      </c>
      <c r="J39" s="1805">
        <v>114</v>
      </c>
      <c r="K39" s="817">
        <v>124</v>
      </c>
      <c r="L39" s="1806"/>
      <c r="M39" s="511">
        <v>165</v>
      </c>
      <c r="N39" s="511">
        <v>72</v>
      </c>
      <c r="O39" s="511">
        <v>1</v>
      </c>
      <c r="P39" s="511">
        <v>0</v>
      </c>
      <c r="Q39" s="1827">
        <v>15</v>
      </c>
    </row>
    <row r="40" spans="1:17" s="512" customFormat="1" x14ac:dyDescent="0.3">
      <c r="A40" s="514" t="s">
        <v>92</v>
      </c>
      <c r="B40" s="510" t="s">
        <v>93</v>
      </c>
      <c r="C40" s="509" t="s">
        <v>256</v>
      </c>
      <c r="D40" s="511">
        <v>63</v>
      </c>
      <c r="E40" s="1805">
        <v>7</v>
      </c>
      <c r="F40" s="817">
        <v>21</v>
      </c>
      <c r="G40" s="817">
        <v>16</v>
      </c>
      <c r="H40" s="817">
        <v>19</v>
      </c>
      <c r="I40" s="1806">
        <v>0</v>
      </c>
      <c r="J40" s="1805">
        <v>30</v>
      </c>
      <c r="K40" s="817">
        <v>33</v>
      </c>
      <c r="L40" s="1806"/>
      <c r="M40" s="511">
        <v>60</v>
      </c>
      <c r="N40" s="511">
        <v>3</v>
      </c>
      <c r="O40" s="511">
        <v>0</v>
      </c>
      <c r="P40" s="511">
        <v>0</v>
      </c>
      <c r="Q40" s="1827"/>
    </row>
    <row r="41" spans="1:17" s="512" customFormat="1" x14ac:dyDescent="0.3">
      <c r="A41" s="514" t="s">
        <v>94</v>
      </c>
      <c r="B41" s="510" t="s">
        <v>95</v>
      </c>
      <c r="C41" s="509" t="s">
        <v>252</v>
      </c>
      <c r="D41" s="511">
        <v>115</v>
      </c>
      <c r="E41" s="1805">
        <v>15</v>
      </c>
      <c r="F41" s="817">
        <v>24</v>
      </c>
      <c r="G41" s="817">
        <v>35</v>
      </c>
      <c r="H41" s="817">
        <v>41</v>
      </c>
      <c r="I41" s="1806">
        <v>0</v>
      </c>
      <c r="J41" s="1805">
        <v>55</v>
      </c>
      <c r="K41" s="817">
        <v>60</v>
      </c>
      <c r="L41" s="1806"/>
      <c r="M41" s="511">
        <v>78</v>
      </c>
      <c r="N41" s="511">
        <v>37</v>
      </c>
      <c r="O41" s="511">
        <v>0</v>
      </c>
      <c r="P41" s="511">
        <v>0</v>
      </c>
      <c r="Q41" s="1827">
        <v>2</v>
      </c>
    </row>
    <row r="42" spans="1:17" s="512" customFormat="1" x14ac:dyDescent="0.3">
      <c r="A42" s="514" t="s">
        <v>96</v>
      </c>
      <c r="B42" s="510" t="s">
        <v>97</v>
      </c>
      <c r="C42" s="509" t="s">
        <v>254</v>
      </c>
      <c r="D42" s="511">
        <v>44</v>
      </c>
      <c r="E42" s="1805">
        <v>2</v>
      </c>
      <c r="F42" s="817">
        <v>15</v>
      </c>
      <c r="G42" s="817">
        <v>10</v>
      </c>
      <c r="H42" s="817">
        <v>17</v>
      </c>
      <c r="I42" s="1806">
        <v>0</v>
      </c>
      <c r="J42" s="1805">
        <v>22</v>
      </c>
      <c r="K42" s="817">
        <v>22</v>
      </c>
      <c r="L42" s="1806"/>
      <c r="M42" s="511">
        <v>23</v>
      </c>
      <c r="N42" s="511">
        <v>18</v>
      </c>
      <c r="O42" s="511">
        <v>3</v>
      </c>
      <c r="P42" s="511">
        <v>0</v>
      </c>
      <c r="Q42" s="1827">
        <v>1</v>
      </c>
    </row>
    <row r="43" spans="1:17" s="512" customFormat="1" x14ac:dyDescent="0.3">
      <c r="A43" s="514" t="s">
        <v>98</v>
      </c>
      <c r="B43" s="510" t="s">
        <v>99</v>
      </c>
      <c r="C43" s="509" t="s">
        <v>256</v>
      </c>
      <c r="D43" s="511">
        <v>20</v>
      </c>
      <c r="E43" s="1805">
        <v>2</v>
      </c>
      <c r="F43" s="817">
        <v>4</v>
      </c>
      <c r="G43" s="817">
        <v>6</v>
      </c>
      <c r="H43" s="817">
        <v>8</v>
      </c>
      <c r="I43" s="1806">
        <v>0</v>
      </c>
      <c r="J43" s="1805">
        <v>11</v>
      </c>
      <c r="K43" s="817">
        <v>9</v>
      </c>
      <c r="L43" s="1806"/>
      <c r="M43" s="511">
        <v>18</v>
      </c>
      <c r="N43" s="511">
        <v>2</v>
      </c>
      <c r="O43" s="511">
        <v>0</v>
      </c>
      <c r="P43" s="511">
        <v>0</v>
      </c>
      <c r="Q43" s="1827"/>
    </row>
    <row r="44" spans="1:17" s="512" customFormat="1" x14ac:dyDescent="0.3">
      <c r="A44" s="514" t="s">
        <v>100</v>
      </c>
      <c r="B44" s="510" t="s">
        <v>101</v>
      </c>
      <c r="C44" s="509" t="s">
        <v>255</v>
      </c>
      <c r="D44" s="511">
        <v>25</v>
      </c>
      <c r="E44" s="1805">
        <v>0</v>
      </c>
      <c r="F44" s="817">
        <v>5</v>
      </c>
      <c r="G44" s="817">
        <v>10</v>
      </c>
      <c r="H44" s="817">
        <v>10</v>
      </c>
      <c r="I44" s="1806">
        <v>0</v>
      </c>
      <c r="J44" s="1805">
        <v>12</v>
      </c>
      <c r="K44" s="817">
        <v>13</v>
      </c>
      <c r="L44" s="1806"/>
      <c r="M44" s="511">
        <v>19</v>
      </c>
      <c r="N44" s="511">
        <v>6</v>
      </c>
      <c r="O44" s="511">
        <v>0</v>
      </c>
      <c r="P44" s="511">
        <v>0</v>
      </c>
      <c r="Q44" s="1827">
        <v>1</v>
      </c>
    </row>
    <row r="45" spans="1:17" s="512" customFormat="1" x14ac:dyDescent="0.3">
      <c r="A45" s="514" t="s">
        <v>102</v>
      </c>
      <c r="B45" s="510" t="s">
        <v>270</v>
      </c>
      <c r="C45" s="509" t="s">
        <v>252</v>
      </c>
      <c r="D45" s="511">
        <v>173</v>
      </c>
      <c r="E45" s="1805">
        <v>12</v>
      </c>
      <c r="F45" s="817">
        <v>39</v>
      </c>
      <c r="G45" s="817">
        <v>41</v>
      </c>
      <c r="H45" s="817">
        <v>81</v>
      </c>
      <c r="I45" s="1806">
        <v>0</v>
      </c>
      <c r="J45" s="1805">
        <v>77</v>
      </c>
      <c r="K45" s="817">
        <v>96</v>
      </c>
      <c r="L45" s="1806"/>
      <c r="M45" s="511">
        <v>11</v>
      </c>
      <c r="N45" s="511">
        <v>162</v>
      </c>
      <c r="O45" s="511">
        <v>0</v>
      </c>
      <c r="P45" s="511">
        <v>0</v>
      </c>
      <c r="Q45" s="1827">
        <v>8</v>
      </c>
    </row>
    <row r="46" spans="1:17" s="512" customFormat="1" x14ac:dyDescent="0.3">
      <c r="A46" s="514" t="s">
        <v>104</v>
      </c>
      <c r="B46" s="510" t="s">
        <v>105</v>
      </c>
      <c r="C46" s="509" t="s">
        <v>253</v>
      </c>
      <c r="D46" s="511">
        <v>72</v>
      </c>
      <c r="E46" s="1805">
        <v>12</v>
      </c>
      <c r="F46" s="817">
        <v>21</v>
      </c>
      <c r="G46" s="817">
        <v>16</v>
      </c>
      <c r="H46" s="817">
        <v>23</v>
      </c>
      <c r="I46" s="1806">
        <v>0</v>
      </c>
      <c r="J46" s="1805">
        <v>43</v>
      </c>
      <c r="K46" s="817">
        <v>29</v>
      </c>
      <c r="L46" s="1806"/>
      <c r="M46" s="511">
        <v>4</v>
      </c>
      <c r="N46" s="511">
        <v>66</v>
      </c>
      <c r="O46" s="511">
        <v>2</v>
      </c>
      <c r="P46" s="511">
        <v>0</v>
      </c>
      <c r="Q46" s="1827">
        <v>3</v>
      </c>
    </row>
    <row r="47" spans="1:17" s="512" customFormat="1" x14ac:dyDescent="0.3">
      <c r="A47" s="514" t="s">
        <v>108</v>
      </c>
      <c r="B47" s="510" t="s">
        <v>109</v>
      </c>
      <c r="C47" s="509" t="s">
        <v>254</v>
      </c>
      <c r="D47" s="511">
        <v>307</v>
      </c>
      <c r="E47" s="1805">
        <v>46</v>
      </c>
      <c r="F47" s="817">
        <v>58</v>
      </c>
      <c r="G47" s="817">
        <v>65</v>
      </c>
      <c r="H47" s="817">
        <v>138</v>
      </c>
      <c r="I47" s="1806">
        <v>0</v>
      </c>
      <c r="J47" s="1805">
        <v>147</v>
      </c>
      <c r="K47" s="817">
        <v>160</v>
      </c>
      <c r="L47" s="1806"/>
      <c r="M47" s="511">
        <v>152</v>
      </c>
      <c r="N47" s="511">
        <v>151</v>
      </c>
      <c r="O47" s="511">
        <v>4</v>
      </c>
      <c r="P47" s="511">
        <v>0</v>
      </c>
      <c r="Q47" s="1827">
        <v>11</v>
      </c>
    </row>
    <row r="48" spans="1:17" s="512" customFormat="1" x14ac:dyDescent="0.3">
      <c r="A48" s="514" t="s">
        <v>110</v>
      </c>
      <c r="B48" s="510" t="s">
        <v>111</v>
      </c>
      <c r="C48" s="509" t="s">
        <v>254</v>
      </c>
      <c r="D48" s="511">
        <v>1860</v>
      </c>
      <c r="E48" s="1805">
        <v>227</v>
      </c>
      <c r="F48" s="817">
        <v>411</v>
      </c>
      <c r="G48" s="817">
        <v>435</v>
      </c>
      <c r="H48" s="817">
        <v>786</v>
      </c>
      <c r="I48" s="1806">
        <v>1</v>
      </c>
      <c r="J48" s="1805">
        <v>960</v>
      </c>
      <c r="K48" s="817">
        <v>900</v>
      </c>
      <c r="L48" s="1806"/>
      <c r="M48" s="511">
        <v>268</v>
      </c>
      <c r="N48" s="511">
        <v>1461</v>
      </c>
      <c r="O48" s="511">
        <v>128</v>
      </c>
      <c r="P48" s="511">
        <v>3</v>
      </c>
      <c r="Q48" s="1827">
        <v>60</v>
      </c>
    </row>
    <row r="49" spans="1:17" s="512" customFormat="1" x14ac:dyDescent="0.3">
      <c r="A49" s="514" t="s">
        <v>112</v>
      </c>
      <c r="B49" s="510" t="s">
        <v>288</v>
      </c>
      <c r="C49" s="509" t="s">
        <v>253</v>
      </c>
      <c r="D49" s="511">
        <v>293</v>
      </c>
      <c r="E49" s="1805">
        <v>24</v>
      </c>
      <c r="F49" s="817">
        <v>62</v>
      </c>
      <c r="G49" s="817">
        <v>74</v>
      </c>
      <c r="H49" s="817">
        <v>133</v>
      </c>
      <c r="I49" s="1806">
        <v>0</v>
      </c>
      <c r="J49" s="1805">
        <v>133</v>
      </c>
      <c r="K49" s="817">
        <v>160</v>
      </c>
      <c r="L49" s="1806"/>
      <c r="M49" s="511">
        <v>106</v>
      </c>
      <c r="N49" s="511">
        <v>187</v>
      </c>
      <c r="O49" s="511">
        <v>0</v>
      </c>
      <c r="P49" s="511">
        <v>0</v>
      </c>
      <c r="Q49" s="1827">
        <v>9</v>
      </c>
    </row>
    <row r="50" spans="1:17" s="512" customFormat="1" x14ac:dyDescent="0.3">
      <c r="A50" s="514" t="s">
        <v>114</v>
      </c>
      <c r="B50" s="510" t="s">
        <v>115</v>
      </c>
      <c r="C50" s="509" t="s">
        <v>253</v>
      </c>
      <c r="D50" s="511"/>
      <c r="E50" s="2050"/>
      <c r="I50" s="2051">
        <v>0</v>
      </c>
      <c r="J50" s="2050"/>
      <c r="L50" s="2051"/>
      <c r="M50" s="511">
        <v>0</v>
      </c>
      <c r="N50" s="511">
        <v>0</v>
      </c>
      <c r="O50" s="511">
        <v>0</v>
      </c>
      <c r="P50" s="511">
        <v>0</v>
      </c>
      <c r="Q50" s="1827">
        <v>0</v>
      </c>
    </row>
    <row r="51" spans="1:17" s="512" customFormat="1" x14ac:dyDescent="0.3">
      <c r="A51" s="514" t="s">
        <v>118</v>
      </c>
      <c r="B51" s="510" t="s">
        <v>258</v>
      </c>
      <c r="C51" s="509" t="s">
        <v>252</v>
      </c>
      <c r="D51" s="511">
        <v>40</v>
      </c>
      <c r="E51" s="1805">
        <v>4</v>
      </c>
      <c r="F51" s="817">
        <v>13</v>
      </c>
      <c r="G51" s="817">
        <v>12</v>
      </c>
      <c r="H51" s="817">
        <v>11</v>
      </c>
      <c r="I51" s="1806">
        <v>0</v>
      </c>
      <c r="J51" s="1805">
        <v>20</v>
      </c>
      <c r="K51" s="817">
        <v>20</v>
      </c>
      <c r="L51" s="1806"/>
      <c r="M51" s="511">
        <v>7</v>
      </c>
      <c r="N51" s="511">
        <v>33</v>
      </c>
      <c r="O51" s="511">
        <v>0</v>
      </c>
      <c r="P51" s="511">
        <v>0</v>
      </c>
      <c r="Q51" s="1827"/>
    </row>
    <row r="52" spans="1:17" s="512" customFormat="1" x14ac:dyDescent="0.3">
      <c r="A52" s="514" t="s">
        <v>120</v>
      </c>
      <c r="B52" s="510" t="s">
        <v>121</v>
      </c>
      <c r="C52" s="509" t="s">
        <v>252</v>
      </c>
      <c r="D52" s="511">
        <v>174</v>
      </c>
      <c r="E52" s="1805">
        <v>24</v>
      </c>
      <c r="F52" s="817">
        <v>43</v>
      </c>
      <c r="G52" s="817">
        <v>51</v>
      </c>
      <c r="H52" s="817">
        <v>56</v>
      </c>
      <c r="I52" s="1806">
        <v>0</v>
      </c>
      <c r="J52" s="1805">
        <v>85</v>
      </c>
      <c r="K52" s="817">
        <v>89</v>
      </c>
      <c r="L52" s="1806"/>
      <c r="M52" s="511">
        <v>46</v>
      </c>
      <c r="N52" s="511">
        <v>126</v>
      </c>
      <c r="O52" s="511">
        <v>2</v>
      </c>
      <c r="P52" s="511">
        <v>0</v>
      </c>
      <c r="Q52" s="1827">
        <v>9</v>
      </c>
    </row>
    <row r="53" spans="1:17" s="512" customFormat="1" x14ac:dyDescent="0.3">
      <c r="A53" s="514" t="s">
        <v>122</v>
      </c>
      <c r="B53" s="510" t="s">
        <v>275</v>
      </c>
      <c r="C53" s="509" t="s">
        <v>254</v>
      </c>
      <c r="D53" s="511">
        <v>53</v>
      </c>
      <c r="E53" s="1805">
        <v>5</v>
      </c>
      <c r="F53" s="817">
        <v>15</v>
      </c>
      <c r="G53" s="817">
        <v>13</v>
      </c>
      <c r="H53" s="817">
        <v>20</v>
      </c>
      <c r="I53" s="1806">
        <v>0</v>
      </c>
      <c r="J53" s="1805">
        <v>31</v>
      </c>
      <c r="K53" s="817">
        <v>22</v>
      </c>
      <c r="L53" s="1806"/>
      <c r="M53" s="511">
        <v>31</v>
      </c>
      <c r="N53" s="511">
        <v>22</v>
      </c>
      <c r="O53" s="511">
        <v>0</v>
      </c>
      <c r="P53" s="511">
        <v>0</v>
      </c>
      <c r="Q53" s="1827"/>
    </row>
    <row r="54" spans="1:17" s="512" customFormat="1" x14ac:dyDescent="0.3">
      <c r="A54" s="514" t="s">
        <v>124</v>
      </c>
      <c r="B54" s="510" t="s">
        <v>125</v>
      </c>
      <c r="C54" s="509" t="s">
        <v>255</v>
      </c>
      <c r="D54" s="511">
        <v>126</v>
      </c>
      <c r="E54" s="1805">
        <v>10</v>
      </c>
      <c r="F54" s="817">
        <v>19</v>
      </c>
      <c r="G54" s="817">
        <v>34</v>
      </c>
      <c r="H54" s="817">
        <v>63</v>
      </c>
      <c r="I54" s="1806">
        <v>0</v>
      </c>
      <c r="J54" s="1805">
        <v>72</v>
      </c>
      <c r="K54" s="817">
        <v>54</v>
      </c>
      <c r="L54" s="1806"/>
      <c r="M54" s="511">
        <v>63</v>
      </c>
      <c r="N54" s="511">
        <v>63</v>
      </c>
      <c r="O54" s="511">
        <v>0</v>
      </c>
      <c r="P54" s="511">
        <v>0</v>
      </c>
      <c r="Q54" s="1827">
        <v>4</v>
      </c>
    </row>
    <row r="55" spans="1:17" s="512" customFormat="1" x14ac:dyDescent="0.3">
      <c r="A55" s="514" t="s">
        <v>126</v>
      </c>
      <c r="B55" s="510" t="s">
        <v>127</v>
      </c>
      <c r="C55" s="509" t="s">
        <v>254</v>
      </c>
      <c r="D55" s="511">
        <v>52</v>
      </c>
      <c r="E55" s="1805">
        <v>4</v>
      </c>
      <c r="F55" s="817">
        <v>16</v>
      </c>
      <c r="G55" s="817">
        <v>10</v>
      </c>
      <c r="H55" s="817">
        <v>22</v>
      </c>
      <c r="I55" s="1806">
        <v>0</v>
      </c>
      <c r="J55" s="1805">
        <v>29</v>
      </c>
      <c r="K55" s="817">
        <v>23</v>
      </c>
      <c r="L55" s="1806"/>
      <c r="M55" s="511">
        <v>18</v>
      </c>
      <c r="N55" s="511">
        <v>33</v>
      </c>
      <c r="O55" s="511">
        <v>1</v>
      </c>
      <c r="P55" s="511">
        <v>0</v>
      </c>
      <c r="Q55" s="1827"/>
    </row>
    <row r="56" spans="1:17" s="512" customFormat="1" x14ac:dyDescent="0.3">
      <c r="A56" s="514" t="s">
        <v>128</v>
      </c>
      <c r="B56" s="510" t="s">
        <v>129</v>
      </c>
      <c r="C56" s="509" t="s">
        <v>254</v>
      </c>
      <c r="D56" s="511">
        <v>25</v>
      </c>
      <c r="E56" s="1805">
        <v>4</v>
      </c>
      <c r="F56" s="817">
        <v>8</v>
      </c>
      <c r="G56" s="817">
        <v>5</v>
      </c>
      <c r="H56" s="817">
        <v>8</v>
      </c>
      <c r="I56" s="1806">
        <v>0</v>
      </c>
      <c r="J56" s="1805">
        <v>12</v>
      </c>
      <c r="K56" s="817">
        <v>13</v>
      </c>
      <c r="L56" s="1806"/>
      <c r="M56" s="511">
        <v>2</v>
      </c>
      <c r="N56" s="511">
        <v>23</v>
      </c>
      <c r="O56" s="511">
        <v>0</v>
      </c>
      <c r="P56" s="511">
        <v>0</v>
      </c>
      <c r="Q56" s="1827"/>
    </row>
    <row r="57" spans="1:17" s="512" customFormat="1" x14ac:dyDescent="0.3">
      <c r="A57" s="514" t="s">
        <v>130</v>
      </c>
      <c r="B57" s="510" t="s">
        <v>131</v>
      </c>
      <c r="C57" s="509" t="s">
        <v>256</v>
      </c>
      <c r="D57" s="511">
        <v>16</v>
      </c>
      <c r="E57" s="1805">
        <v>2</v>
      </c>
      <c r="F57" s="817">
        <v>6</v>
      </c>
      <c r="G57" s="817">
        <v>4</v>
      </c>
      <c r="H57" s="817">
        <v>4</v>
      </c>
      <c r="I57" s="1806">
        <v>0</v>
      </c>
      <c r="J57" s="1805">
        <v>8</v>
      </c>
      <c r="K57" s="817">
        <v>8</v>
      </c>
      <c r="L57" s="1806"/>
      <c r="M57" s="511">
        <v>16</v>
      </c>
      <c r="N57" s="511">
        <v>0</v>
      </c>
      <c r="O57" s="511">
        <v>0</v>
      </c>
      <c r="P57" s="511">
        <v>0</v>
      </c>
      <c r="Q57" s="1827"/>
    </row>
    <row r="58" spans="1:17" s="512" customFormat="1" x14ac:dyDescent="0.3">
      <c r="A58" s="514" t="s">
        <v>132</v>
      </c>
      <c r="B58" s="510" t="s">
        <v>133</v>
      </c>
      <c r="C58" s="509" t="s">
        <v>255</v>
      </c>
      <c r="D58" s="511">
        <v>558</v>
      </c>
      <c r="E58" s="1805">
        <v>63</v>
      </c>
      <c r="F58" s="817">
        <v>119</v>
      </c>
      <c r="G58" s="817">
        <v>121</v>
      </c>
      <c r="H58" s="817">
        <v>254</v>
      </c>
      <c r="I58" s="1806">
        <v>1</v>
      </c>
      <c r="J58" s="1805">
        <v>278</v>
      </c>
      <c r="K58" s="817">
        <v>280</v>
      </c>
      <c r="L58" s="1806"/>
      <c r="M58" s="511">
        <v>328</v>
      </c>
      <c r="N58" s="511">
        <v>198</v>
      </c>
      <c r="O58" s="511">
        <v>32</v>
      </c>
      <c r="P58" s="511">
        <v>0</v>
      </c>
      <c r="Q58" s="1827">
        <v>53</v>
      </c>
    </row>
    <row r="59" spans="1:17" s="512" customFormat="1" x14ac:dyDescent="0.3">
      <c r="A59" s="514" t="s">
        <v>134</v>
      </c>
      <c r="B59" s="510" t="s">
        <v>135</v>
      </c>
      <c r="C59" s="509" t="s">
        <v>255</v>
      </c>
      <c r="D59" s="511">
        <v>64</v>
      </c>
      <c r="E59" s="1805">
        <v>8</v>
      </c>
      <c r="F59" s="817">
        <v>15</v>
      </c>
      <c r="G59" s="817">
        <v>14</v>
      </c>
      <c r="H59" s="817">
        <v>27</v>
      </c>
      <c r="I59" s="1806">
        <v>0</v>
      </c>
      <c r="J59" s="817">
        <v>37</v>
      </c>
      <c r="K59" s="817">
        <v>27</v>
      </c>
      <c r="L59" s="1806"/>
      <c r="M59" s="511">
        <v>26</v>
      </c>
      <c r="N59" s="511">
        <v>37</v>
      </c>
      <c r="O59" s="511">
        <v>1</v>
      </c>
      <c r="P59" s="511">
        <v>0</v>
      </c>
      <c r="Q59" s="1827">
        <v>1</v>
      </c>
    </row>
    <row r="60" spans="1:17" s="512" customFormat="1" x14ac:dyDescent="0.3">
      <c r="A60" s="514" t="s">
        <v>136</v>
      </c>
      <c r="B60" s="510" t="s">
        <v>137</v>
      </c>
      <c r="C60" s="509" t="s">
        <v>254</v>
      </c>
      <c r="D60" s="511">
        <v>17</v>
      </c>
      <c r="E60" s="1805">
        <v>1</v>
      </c>
      <c r="F60" s="817">
        <v>4</v>
      </c>
      <c r="G60" s="817">
        <v>5</v>
      </c>
      <c r="H60" s="817">
        <v>7</v>
      </c>
      <c r="I60" s="1806">
        <v>0</v>
      </c>
      <c r="J60" s="1805">
        <v>10</v>
      </c>
      <c r="K60" s="817">
        <v>7</v>
      </c>
      <c r="L60" s="1806"/>
      <c r="M60" s="511">
        <v>11</v>
      </c>
      <c r="N60" s="511">
        <v>6</v>
      </c>
      <c r="O60" s="511">
        <v>0</v>
      </c>
      <c r="P60" s="511">
        <v>0</v>
      </c>
      <c r="Q60" s="1827"/>
    </row>
    <row r="61" spans="1:17" s="512" customFormat="1" x14ac:dyDescent="0.3">
      <c r="A61" s="514" t="s">
        <v>140</v>
      </c>
      <c r="B61" s="510" t="s">
        <v>141</v>
      </c>
      <c r="C61" s="509" t="s">
        <v>255</v>
      </c>
      <c r="D61" s="511">
        <v>29</v>
      </c>
      <c r="E61" s="1805">
        <v>3</v>
      </c>
      <c r="F61" s="817">
        <v>9</v>
      </c>
      <c r="G61" s="817">
        <v>7</v>
      </c>
      <c r="H61" s="817">
        <v>10</v>
      </c>
      <c r="I61" s="1806">
        <v>0</v>
      </c>
      <c r="J61" s="1805">
        <v>10</v>
      </c>
      <c r="K61" s="817">
        <v>19</v>
      </c>
      <c r="L61" s="1806"/>
      <c r="M61" s="511">
        <v>20</v>
      </c>
      <c r="N61" s="511">
        <v>9</v>
      </c>
      <c r="O61" s="511">
        <v>0</v>
      </c>
      <c r="P61" s="511">
        <v>0</v>
      </c>
      <c r="Q61" s="1827"/>
    </row>
    <row r="62" spans="1:17" s="512" customFormat="1" x14ac:dyDescent="0.3">
      <c r="A62" s="514" t="s">
        <v>146</v>
      </c>
      <c r="B62" s="510" t="s">
        <v>147</v>
      </c>
      <c r="C62" s="509" t="s">
        <v>252</v>
      </c>
      <c r="D62" s="511">
        <v>22</v>
      </c>
      <c r="E62" s="1805">
        <v>4</v>
      </c>
      <c r="F62" s="817">
        <v>4</v>
      </c>
      <c r="G62" s="817">
        <v>8</v>
      </c>
      <c r="H62" s="817">
        <v>6</v>
      </c>
      <c r="I62" s="1806">
        <v>0</v>
      </c>
      <c r="J62" s="1805">
        <v>8</v>
      </c>
      <c r="K62" s="817">
        <v>14</v>
      </c>
      <c r="L62" s="1806"/>
      <c r="M62" s="511">
        <v>15</v>
      </c>
      <c r="N62" s="511">
        <v>7</v>
      </c>
      <c r="O62" s="511">
        <v>0</v>
      </c>
      <c r="P62" s="511">
        <v>0</v>
      </c>
      <c r="Q62" s="1827"/>
    </row>
    <row r="63" spans="1:17" s="512" customFormat="1" x14ac:dyDescent="0.3">
      <c r="A63" s="514" t="s">
        <v>148</v>
      </c>
      <c r="B63" s="510" t="s">
        <v>149</v>
      </c>
      <c r="C63" s="509" t="s">
        <v>253</v>
      </c>
      <c r="D63" s="511">
        <v>41</v>
      </c>
      <c r="E63" s="1805">
        <v>4</v>
      </c>
      <c r="F63" s="817">
        <v>17</v>
      </c>
      <c r="G63" s="817">
        <v>6</v>
      </c>
      <c r="H63" s="817">
        <v>14</v>
      </c>
      <c r="I63" s="1806">
        <v>0</v>
      </c>
      <c r="J63" s="1805">
        <v>20</v>
      </c>
      <c r="K63" s="817">
        <v>21</v>
      </c>
      <c r="L63" s="1806"/>
      <c r="M63" s="511">
        <v>2</v>
      </c>
      <c r="N63" s="511">
        <v>38</v>
      </c>
      <c r="O63" s="511">
        <v>1</v>
      </c>
      <c r="P63" s="511">
        <v>0</v>
      </c>
      <c r="Q63" s="1827">
        <v>4</v>
      </c>
    </row>
    <row r="64" spans="1:17" s="512" customFormat="1" x14ac:dyDescent="0.3">
      <c r="A64" s="514" t="s">
        <v>150</v>
      </c>
      <c r="B64" s="510" t="s">
        <v>151</v>
      </c>
      <c r="C64" s="509" t="s">
        <v>254</v>
      </c>
      <c r="D64" s="511">
        <v>61</v>
      </c>
      <c r="E64" s="1805">
        <v>1</v>
      </c>
      <c r="F64" s="817">
        <v>18</v>
      </c>
      <c r="G64" s="817">
        <v>12</v>
      </c>
      <c r="H64" s="817">
        <v>30</v>
      </c>
      <c r="I64" s="1806">
        <v>0</v>
      </c>
      <c r="J64" s="1805">
        <v>33</v>
      </c>
      <c r="K64" s="817">
        <v>28</v>
      </c>
      <c r="L64" s="1806"/>
      <c r="M64" s="511">
        <v>33</v>
      </c>
      <c r="N64" s="511">
        <v>27</v>
      </c>
      <c r="O64" s="511">
        <v>1</v>
      </c>
      <c r="P64" s="511">
        <v>0</v>
      </c>
      <c r="Q64" s="1827">
        <v>4</v>
      </c>
    </row>
    <row r="65" spans="1:17" s="512" customFormat="1" x14ac:dyDescent="0.3">
      <c r="A65" s="514" t="s">
        <v>152</v>
      </c>
      <c r="B65" s="510" t="s">
        <v>153</v>
      </c>
      <c r="C65" s="509" t="s">
        <v>256</v>
      </c>
      <c r="D65" s="511">
        <v>353</v>
      </c>
      <c r="E65" s="1805">
        <v>49</v>
      </c>
      <c r="F65" s="817">
        <v>76</v>
      </c>
      <c r="G65" s="817">
        <v>76</v>
      </c>
      <c r="H65" s="817">
        <v>152</v>
      </c>
      <c r="I65" s="1806">
        <v>0</v>
      </c>
      <c r="J65" s="1805">
        <v>168</v>
      </c>
      <c r="K65" s="817">
        <v>184</v>
      </c>
      <c r="L65" s="1806">
        <v>1</v>
      </c>
      <c r="M65" s="511">
        <v>291</v>
      </c>
      <c r="N65" s="511">
        <v>58</v>
      </c>
      <c r="O65" s="511">
        <v>4</v>
      </c>
      <c r="P65" s="511">
        <v>0</v>
      </c>
      <c r="Q65" s="1827">
        <v>21</v>
      </c>
    </row>
    <row r="66" spans="1:17" s="512" customFormat="1" x14ac:dyDescent="0.3">
      <c r="A66" s="514" t="s">
        <v>154</v>
      </c>
      <c r="B66" s="510" t="s">
        <v>155</v>
      </c>
      <c r="C66" s="509" t="s">
        <v>253</v>
      </c>
      <c r="D66" s="511">
        <v>21</v>
      </c>
      <c r="E66" s="1805">
        <v>5</v>
      </c>
      <c r="F66" s="817">
        <v>4</v>
      </c>
      <c r="G66" s="817">
        <v>4</v>
      </c>
      <c r="H66" s="817">
        <v>8</v>
      </c>
      <c r="I66" s="1806">
        <v>0</v>
      </c>
      <c r="J66" s="1805">
        <v>10</v>
      </c>
      <c r="K66" s="817">
        <v>11</v>
      </c>
      <c r="L66" s="1806"/>
      <c r="M66" s="511">
        <v>16</v>
      </c>
      <c r="N66" s="511">
        <v>5</v>
      </c>
      <c r="O66" s="511">
        <v>0</v>
      </c>
      <c r="P66" s="511">
        <v>0</v>
      </c>
      <c r="Q66" s="1827">
        <v>2</v>
      </c>
    </row>
    <row r="67" spans="1:17" s="512" customFormat="1" x14ac:dyDescent="0.3">
      <c r="A67" s="514" t="s">
        <v>156</v>
      </c>
      <c r="B67" s="510" t="s">
        <v>157</v>
      </c>
      <c r="C67" s="509" t="s">
        <v>254</v>
      </c>
      <c r="D67" s="511">
        <v>63</v>
      </c>
      <c r="E67" s="1805">
        <v>3</v>
      </c>
      <c r="F67" s="817">
        <v>16</v>
      </c>
      <c r="G67" s="817">
        <v>15</v>
      </c>
      <c r="H67" s="817">
        <v>29</v>
      </c>
      <c r="I67" s="1806">
        <v>0</v>
      </c>
      <c r="J67" s="1805">
        <v>36</v>
      </c>
      <c r="K67" s="817">
        <v>27</v>
      </c>
      <c r="L67" s="1806"/>
      <c r="M67" s="511">
        <v>44</v>
      </c>
      <c r="N67" s="511">
        <v>18</v>
      </c>
      <c r="O67" s="511">
        <v>1</v>
      </c>
      <c r="P67" s="511">
        <v>0</v>
      </c>
      <c r="Q67" s="1827">
        <v>1</v>
      </c>
    </row>
    <row r="68" spans="1:17" s="512" customFormat="1" x14ac:dyDescent="0.3">
      <c r="A68" s="514" t="s">
        <v>162</v>
      </c>
      <c r="B68" s="510" t="s">
        <v>163</v>
      </c>
      <c r="C68" s="509" t="s">
        <v>252</v>
      </c>
      <c r="D68" s="511">
        <v>70</v>
      </c>
      <c r="E68" s="1805">
        <v>8</v>
      </c>
      <c r="F68" s="817">
        <v>14</v>
      </c>
      <c r="G68" s="817">
        <v>15</v>
      </c>
      <c r="H68" s="817">
        <v>33</v>
      </c>
      <c r="I68" s="1806">
        <v>0</v>
      </c>
      <c r="J68" s="1805">
        <v>38</v>
      </c>
      <c r="K68" s="817">
        <v>32</v>
      </c>
      <c r="L68" s="1806"/>
      <c r="M68" s="511">
        <v>8</v>
      </c>
      <c r="N68" s="511">
        <v>62</v>
      </c>
      <c r="O68" s="511">
        <v>0</v>
      </c>
      <c r="P68" s="511">
        <v>0</v>
      </c>
      <c r="Q68" s="1827">
        <v>3</v>
      </c>
    </row>
    <row r="69" spans="1:17" s="512" customFormat="1" x14ac:dyDescent="0.3">
      <c r="A69" s="514" t="s">
        <v>164</v>
      </c>
      <c r="B69" s="510" t="s">
        <v>165</v>
      </c>
      <c r="C69" s="509" t="s">
        <v>254</v>
      </c>
      <c r="D69" s="511">
        <v>20</v>
      </c>
      <c r="E69" s="1805">
        <v>2</v>
      </c>
      <c r="F69" s="817">
        <v>6</v>
      </c>
      <c r="G69" s="817">
        <v>5</v>
      </c>
      <c r="H69" s="817">
        <v>7</v>
      </c>
      <c r="I69" s="1806">
        <v>0</v>
      </c>
      <c r="J69" s="1805">
        <v>9</v>
      </c>
      <c r="K69" s="817">
        <v>11</v>
      </c>
      <c r="L69" s="1806"/>
      <c r="M69" s="511">
        <v>6</v>
      </c>
      <c r="N69" s="511">
        <v>14</v>
      </c>
      <c r="O69" s="511">
        <v>0</v>
      </c>
      <c r="P69" s="511">
        <v>0</v>
      </c>
      <c r="Q69" s="1827"/>
    </row>
    <row r="70" spans="1:17" s="512" customFormat="1" x14ac:dyDescent="0.3">
      <c r="A70" s="514" t="s">
        <v>168</v>
      </c>
      <c r="B70" s="510" t="s">
        <v>169</v>
      </c>
      <c r="C70" s="509" t="s">
        <v>254</v>
      </c>
      <c r="D70" s="511">
        <v>40</v>
      </c>
      <c r="E70" s="1805">
        <v>6</v>
      </c>
      <c r="F70" s="817">
        <v>6</v>
      </c>
      <c r="G70" s="817">
        <v>8</v>
      </c>
      <c r="H70" s="817">
        <v>20</v>
      </c>
      <c r="I70" s="1806">
        <v>0</v>
      </c>
      <c r="J70" s="1805">
        <v>24</v>
      </c>
      <c r="K70" s="817">
        <v>16</v>
      </c>
      <c r="L70" s="1806"/>
      <c r="M70" s="511">
        <v>7</v>
      </c>
      <c r="N70" s="511">
        <v>31</v>
      </c>
      <c r="O70" s="511">
        <v>2</v>
      </c>
      <c r="P70" s="511">
        <v>0</v>
      </c>
      <c r="Q70" s="1827"/>
    </row>
    <row r="71" spans="1:17" s="512" customFormat="1" x14ac:dyDescent="0.3">
      <c r="A71" s="514" t="s">
        <v>170</v>
      </c>
      <c r="B71" s="510" t="s">
        <v>171</v>
      </c>
      <c r="C71" s="509" t="s">
        <v>255</v>
      </c>
      <c r="D71" s="511">
        <v>131</v>
      </c>
      <c r="E71" s="1805">
        <v>7</v>
      </c>
      <c r="F71" s="817">
        <v>33</v>
      </c>
      <c r="G71" s="817">
        <v>37</v>
      </c>
      <c r="H71" s="817">
        <v>54</v>
      </c>
      <c r="I71" s="1806">
        <v>0</v>
      </c>
      <c r="J71" s="1805">
        <v>62</v>
      </c>
      <c r="K71" s="817">
        <v>69</v>
      </c>
      <c r="L71" s="1806"/>
      <c r="M71" s="511">
        <v>84</v>
      </c>
      <c r="N71" s="511">
        <v>47</v>
      </c>
      <c r="O71" s="511">
        <v>0</v>
      </c>
      <c r="P71" s="511">
        <v>0</v>
      </c>
      <c r="Q71" s="1827">
        <v>6</v>
      </c>
    </row>
    <row r="72" spans="1:17" s="512" customFormat="1" x14ac:dyDescent="0.3">
      <c r="A72" s="514" t="s">
        <v>172</v>
      </c>
      <c r="B72" s="510" t="s">
        <v>173</v>
      </c>
      <c r="C72" s="509" t="s">
        <v>255</v>
      </c>
      <c r="D72" s="511">
        <v>22</v>
      </c>
      <c r="E72" s="1805">
        <v>1</v>
      </c>
      <c r="F72" s="817">
        <v>5</v>
      </c>
      <c r="G72" s="817">
        <v>4</v>
      </c>
      <c r="H72" s="817">
        <v>12</v>
      </c>
      <c r="I72" s="1806">
        <v>0</v>
      </c>
      <c r="J72" s="1805">
        <v>10</v>
      </c>
      <c r="K72" s="817">
        <v>12</v>
      </c>
      <c r="L72" s="1806"/>
      <c r="M72" s="511">
        <v>19</v>
      </c>
      <c r="N72" s="511">
        <v>3</v>
      </c>
      <c r="O72" s="511">
        <v>0</v>
      </c>
      <c r="P72" s="511">
        <v>0</v>
      </c>
      <c r="Q72" s="1827">
        <v>1</v>
      </c>
    </row>
    <row r="73" spans="1:17" s="512" customFormat="1" x14ac:dyDescent="0.3">
      <c r="A73" s="514" t="s">
        <v>174</v>
      </c>
      <c r="B73" s="510" t="s">
        <v>175</v>
      </c>
      <c r="C73" s="509" t="s">
        <v>256</v>
      </c>
      <c r="D73" s="511">
        <v>13</v>
      </c>
      <c r="E73" s="1805">
        <v>1</v>
      </c>
      <c r="F73" s="817">
        <v>4</v>
      </c>
      <c r="G73" s="817">
        <v>5</v>
      </c>
      <c r="H73" s="817">
        <v>3</v>
      </c>
      <c r="I73" s="1806">
        <v>0</v>
      </c>
      <c r="J73" s="1805">
        <v>8</v>
      </c>
      <c r="K73" s="817">
        <v>5</v>
      </c>
      <c r="L73" s="1806"/>
      <c r="M73" s="511">
        <v>13</v>
      </c>
      <c r="N73" s="511">
        <v>0</v>
      </c>
      <c r="O73" s="511">
        <v>0</v>
      </c>
      <c r="P73" s="511">
        <v>0</v>
      </c>
      <c r="Q73" s="1827"/>
    </row>
    <row r="74" spans="1:17" s="512" customFormat="1" x14ac:dyDescent="0.3">
      <c r="A74" s="514" t="s">
        <v>178</v>
      </c>
      <c r="B74" s="510" t="s">
        <v>179</v>
      </c>
      <c r="C74" s="509" t="s">
        <v>253</v>
      </c>
      <c r="D74" s="511">
        <v>137</v>
      </c>
      <c r="E74" s="1805">
        <v>10</v>
      </c>
      <c r="F74" s="817">
        <v>34</v>
      </c>
      <c r="G74" s="817">
        <v>26</v>
      </c>
      <c r="H74" s="817">
        <v>67</v>
      </c>
      <c r="I74" s="1806">
        <v>0</v>
      </c>
      <c r="J74" s="1805">
        <v>68</v>
      </c>
      <c r="K74" s="817">
        <v>69</v>
      </c>
      <c r="L74" s="1806"/>
      <c r="M74" s="511">
        <v>88</v>
      </c>
      <c r="N74" s="511">
        <v>46</v>
      </c>
      <c r="O74" s="511">
        <v>3</v>
      </c>
      <c r="P74" s="511">
        <v>0</v>
      </c>
      <c r="Q74" s="1827">
        <v>1</v>
      </c>
    </row>
    <row r="75" spans="1:17" s="512" customFormat="1" x14ac:dyDescent="0.3">
      <c r="A75" s="514" t="s">
        <v>182</v>
      </c>
      <c r="B75" s="510" t="s">
        <v>183</v>
      </c>
      <c r="C75" s="509" t="s">
        <v>254</v>
      </c>
      <c r="D75" s="511">
        <v>46</v>
      </c>
      <c r="E75" s="1805">
        <v>4</v>
      </c>
      <c r="F75" s="817">
        <v>9</v>
      </c>
      <c r="G75" s="817">
        <v>9</v>
      </c>
      <c r="H75" s="817">
        <v>24</v>
      </c>
      <c r="I75" s="1806">
        <v>0</v>
      </c>
      <c r="J75" s="1805">
        <v>25</v>
      </c>
      <c r="K75" s="817">
        <v>21</v>
      </c>
      <c r="L75" s="1806"/>
      <c r="M75" s="511">
        <v>30</v>
      </c>
      <c r="N75" s="511">
        <v>16</v>
      </c>
      <c r="O75" s="511">
        <v>0</v>
      </c>
      <c r="P75" s="511">
        <v>0</v>
      </c>
      <c r="Q75" s="1827">
        <v>3</v>
      </c>
    </row>
    <row r="76" spans="1:17" s="512" customFormat="1" x14ac:dyDescent="0.3">
      <c r="A76" s="514" t="s">
        <v>184</v>
      </c>
      <c r="B76" s="510" t="s">
        <v>185</v>
      </c>
      <c r="C76" s="509" t="s">
        <v>254</v>
      </c>
      <c r="D76" s="511">
        <v>26</v>
      </c>
      <c r="E76" s="1805">
        <v>3</v>
      </c>
      <c r="F76" s="817">
        <v>9</v>
      </c>
      <c r="G76" s="817">
        <v>6</v>
      </c>
      <c r="H76" s="817">
        <v>8</v>
      </c>
      <c r="I76" s="1806">
        <v>0</v>
      </c>
      <c r="J76" s="1805">
        <v>12</v>
      </c>
      <c r="K76" s="817">
        <v>14</v>
      </c>
      <c r="L76" s="1806"/>
      <c r="M76" s="511">
        <v>13</v>
      </c>
      <c r="N76" s="511">
        <v>13</v>
      </c>
      <c r="O76" s="511">
        <v>0</v>
      </c>
      <c r="P76" s="511">
        <v>0</v>
      </c>
      <c r="Q76" s="1827"/>
    </row>
    <row r="77" spans="1:17" s="512" customFormat="1" x14ac:dyDescent="0.3">
      <c r="A77" s="514" t="s">
        <v>186</v>
      </c>
      <c r="B77" s="510" t="s">
        <v>187</v>
      </c>
      <c r="C77" s="509" t="s">
        <v>252</v>
      </c>
      <c r="D77" s="511">
        <v>57</v>
      </c>
      <c r="E77" s="1805">
        <v>1</v>
      </c>
      <c r="F77" s="817">
        <v>16</v>
      </c>
      <c r="G77" s="817">
        <v>13</v>
      </c>
      <c r="H77" s="817">
        <v>27</v>
      </c>
      <c r="I77" s="1806">
        <v>0</v>
      </c>
      <c r="J77" s="1805">
        <v>30</v>
      </c>
      <c r="K77" s="817">
        <v>27</v>
      </c>
      <c r="L77" s="1806"/>
      <c r="M77" s="511">
        <v>15</v>
      </c>
      <c r="N77" s="511">
        <v>42</v>
      </c>
      <c r="O77" s="511">
        <v>0</v>
      </c>
      <c r="P77" s="511">
        <v>0</v>
      </c>
      <c r="Q77" s="1827"/>
    </row>
    <row r="78" spans="1:17" s="512" customFormat="1" x14ac:dyDescent="0.3">
      <c r="A78" s="514" t="s">
        <v>188</v>
      </c>
      <c r="B78" s="510" t="s">
        <v>189</v>
      </c>
      <c r="C78" s="509" t="s">
        <v>255</v>
      </c>
      <c r="D78" s="511">
        <v>1231</v>
      </c>
      <c r="E78" s="1805">
        <v>140</v>
      </c>
      <c r="F78" s="817">
        <v>311</v>
      </c>
      <c r="G78" s="817">
        <v>285</v>
      </c>
      <c r="H78" s="817">
        <v>491</v>
      </c>
      <c r="I78" s="1806">
        <v>4</v>
      </c>
      <c r="J78" s="1805">
        <v>614</v>
      </c>
      <c r="K78" s="817">
        <v>617</v>
      </c>
      <c r="L78" s="1806"/>
      <c r="M78" s="511">
        <v>385</v>
      </c>
      <c r="N78" s="511">
        <v>797</v>
      </c>
      <c r="O78" s="511">
        <v>46</v>
      </c>
      <c r="P78" s="511">
        <v>3</v>
      </c>
      <c r="Q78" s="1827">
        <v>130</v>
      </c>
    </row>
    <row r="79" spans="1:17" s="512" customFormat="1" x14ac:dyDescent="0.3">
      <c r="A79" s="514" t="s">
        <v>190</v>
      </c>
      <c r="B79" s="510" t="s">
        <v>191</v>
      </c>
      <c r="C79" s="509" t="s">
        <v>256</v>
      </c>
      <c r="D79" s="511">
        <v>53</v>
      </c>
      <c r="E79" s="1805">
        <v>8</v>
      </c>
      <c r="F79" s="817">
        <v>12</v>
      </c>
      <c r="G79" s="817">
        <v>10</v>
      </c>
      <c r="H79" s="817">
        <v>23</v>
      </c>
      <c r="I79" s="1806">
        <v>0</v>
      </c>
      <c r="J79" s="1805">
        <v>29</v>
      </c>
      <c r="K79" s="817">
        <v>24</v>
      </c>
      <c r="L79" s="1806"/>
      <c r="M79" s="511">
        <v>40</v>
      </c>
      <c r="N79" s="511">
        <v>13</v>
      </c>
      <c r="O79" s="511">
        <v>0</v>
      </c>
      <c r="P79" s="511">
        <v>0</v>
      </c>
      <c r="Q79" s="1827">
        <v>2</v>
      </c>
    </row>
    <row r="80" spans="1:17" s="512" customFormat="1" x14ac:dyDescent="0.3">
      <c r="A80" s="514" t="s">
        <v>194</v>
      </c>
      <c r="B80" s="510" t="s">
        <v>195</v>
      </c>
      <c r="C80" s="509" t="s">
        <v>255</v>
      </c>
      <c r="D80" s="511">
        <v>33</v>
      </c>
      <c r="E80" s="1805">
        <v>2</v>
      </c>
      <c r="F80" s="817">
        <v>7</v>
      </c>
      <c r="G80" s="817">
        <v>7</v>
      </c>
      <c r="H80" s="817">
        <v>17</v>
      </c>
      <c r="I80" s="1806">
        <v>0</v>
      </c>
      <c r="J80" s="1805">
        <v>13</v>
      </c>
      <c r="K80" s="817">
        <v>20</v>
      </c>
      <c r="L80" s="1806"/>
      <c r="M80" s="511">
        <v>30</v>
      </c>
      <c r="N80" s="511">
        <v>3</v>
      </c>
      <c r="O80" s="511">
        <v>0</v>
      </c>
      <c r="P80" s="511">
        <v>0</v>
      </c>
      <c r="Q80" s="1827"/>
    </row>
    <row r="81" spans="1:17" s="512" customFormat="1" x14ac:dyDescent="0.3">
      <c r="A81" s="514" t="s">
        <v>198</v>
      </c>
      <c r="B81" s="510" t="s">
        <v>260</v>
      </c>
      <c r="C81" s="509" t="s">
        <v>254</v>
      </c>
      <c r="D81" s="511">
        <v>27</v>
      </c>
      <c r="E81" s="1805">
        <v>5</v>
      </c>
      <c r="F81" s="817">
        <v>10</v>
      </c>
      <c r="G81" s="817">
        <v>4</v>
      </c>
      <c r="H81" s="817">
        <v>8</v>
      </c>
      <c r="I81" s="1806">
        <v>0</v>
      </c>
      <c r="J81" s="1805">
        <v>19</v>
      </c>
      <c r="K81" s="817">
        <v>8</v>
      </c>
      <c r="L81" s="1806"/>
      <c r="M81" s="511">
        <v>5</v>
      </c>
      <c r="N81" s="511">
        <v>22</v>
      </c>
      <c r="O81" s="511">
        <v>0</v>
      </c>
      <c r="P81" s="511">
        <v>0</v>
      </c>
      <c r="Q81" s="1827">
        <v>2</v>
      </c>
    </row>
    <row r="82" spans="1:17" s="512" customFormat="1" x14ac:dyDescent="0.3">
      <c r="A82" s="514" t="s">
        <v>202</v>
      </c>
      <c r="B82" s="510" t="s">
        <v>289</v>
      </c>
      <c r="C82" s="509" t="s">
        <v>253</v>
      </c>
      <c r="D82" s="511">
        <v>490</v>
      </c>
      <c r="E82" s="1805">
        <v>45</v>
      </c>
      <c r="F82" s="817">
        <v>114</v>
      </c>
      <c r="G82" s="817">
        <v>95</v>
      </c>
      <c r="H82" s="817">
        <v>236</v>
      </c>
      <c r="I82" s="1806">
        <v>0</v>
      </c>
      <c r="J82" s="1805">
        <v>241</v>
      </c>
      <c r="K82" s="817">
        <v>249</v>
      </c>
      <c r="L82" s="1806"/>
      <c r="M82" s="511">
        <v>327</v>
      </c>
      <c r="N82" s="511">
        <v>147</v>
      </c>
      <c r="O82" s="511">
        <v>16</v>
      </c>
      <c r="P82" s="511">
        <v>0</v>
      </c>
      <c r="Q82" s="1827">
        <v>25</v>
      </c>
    </row>
    <row r="83" spans="1:17" s="512" customFormat="1" x14ac:dyDescent="0.3">
      <c r="A83" s="514" t="s">
        <v>204</v>
      </c>
      <c r="B83" s="510" t="s">
        <v>281</v>
      </c>
      <c r="C83" s="509" t="s">
        <v>253</v>
      </c>
      <c r="D83" s="511">
        <v>49</v>
      </c>
      <c r="E83" s="1805">
        <v>6</v>
      </c>
      <c r="F83" s="817">
        <v>21</v>
      </c>
      <c r="G83" s="817">
        <v>12</v>
      </c>
      <c r="H83" s="817">
        <v>10</v>
      </c>
      <c r="I83" s="1806">
        <v>0</v>
      </c>
      <c r="J83" s="1805">
        <v>21</v>
      </c>
      <c r="K83" s="817">
        <v>28</v>
      </c>
      <c r="L83" s="1806"/>
      <c r="M83" s="511">
        <v>33</v>
      </c>
      <c r="N83" s="511">
        <v>16</v>
      </c>
      <c r="O83" s="511">
        <v>0</v>
      </c>
      <c r="P83" s="511">
        <v>0</v>
      </c>
      <c r="Q83" s="1827">
        <v>1</v>
      </c>
    </row>
    <row r="84" spans="1:17" s="512" customFormat="1" x14ac:dyDescent="0.3">
      <c r="A84" s="514" t="s">
        <v>206</v>
      </c>
      <c r="B84" s="510" t="s">
        <v>282</v>
      </c>
      <c r="C84" s="509" t="s">
        <v>255</v>
      </c>
      <c r="D84" s="511">
        <v>419</v>
      </c>
      <c r="E84" s="1805">
        <v>54</v>
      </c>
      <c r="F84" s="817">
        <v>108</v>
      </c>
      <c r="G84" s="817">
        <v>104</v>
      </c>
      <c r="H84" s="817">
        <v>153</v>
      </c>
      <c r="I84" s="1806">
        <v>0</v>
      </c>
      <c r="J84" s="1805">
        <v>200</v>
      </c>
      <c r="K84" s="817">
        <v>219</v>
      </c>
      <c r="L84" s="1806"/>
      <c r="M84" s="511">
        <v>277</v>
      </c>
      <c r="N84" s="511">
        <v>137</v>
      </c>
      <c r="O84" s="511">
        <v>5</v>
      </c>
      <c r="P84" s="511">
        <v>0</v>
      </c>
      <c r="Q84" s="1827">
        <v>63</v>
      </c>
    </row>
    <row r="85" spans="1:17" s="512" customFormat="1" x14ac:dyDescent="0.3">
      <c r="A85" s="514" t="s">
        <v>208</v>
      </c>
      <c r="B85" s="510" t="s">
        <v>209</v>
      </c>
      <c r="C85" s="509" t="s">
        <v>256</v>
      </c>
      <c r="D85" s="511">
        <v>25</v>
      </c>
      <c r="E85" s="1805">
        <v>3</v>
      </c>
      <c r="F85" s="817">
        <v>11</v>
      </c>
      <c r="G85" s="817">
        <v>5</v>
      </c>
      <c r="H85" s="817">
        <v>5</v>
      </c>
      <c r="I85" s="1806">
        <v>1</v>
      </c>
      <c r="J85" s="1805">
        <v>13</v>
      </c>
      <c r="K85" s="817">
        <v>12</v>
      </c>
      <c r="L85" s="1806"/>
      <c r="M85" s="511">
        <v>25</v>
      </c>
      <c r="N85" s="511">
        <v>0</v>
      </c>
      <c r="O85" s="511">
        <v>0</v>
      </c>
      <c r="P85" s="511">
        <v>0</v>
      </c>
      <c r="Q85" s="1827"/>
    </row>
    <row r="86" spans="1:17" s="512" customFormat="1" x14ac:dyDescent="0.3">
      <c r="A86" s="514" t="s">
        <v>210</v>
      </c>
      <c r="B86" s="510" t="s">
        <v>211</v>
      </c>
      <c r="C86" s="509" t="s">
        <v>256</v>
      </c>
      <c r="D86" s="511">
        <v>15</v>
      </c>
      <c r="E86" s="1805">
        <v>1</v>
      </c>
      <c r="F86" s="817">
        <v>0</v>
      </c>
      <c r="G86" s="817">
        <v>0</v>
      </c>
      <c r="H86" s="817">
        <v>14</v>
      </c>
      <c r="I86" s="1806">
        <v>0</v>
      </c>
      <c r="J86" s="1805">
        <v>6</v>
      </c>
      <c r="K86" s="817">
        <v>9</v>
      </c>
      <c r="L86" s="1806"/>
      <c r="M86" s="511">
        <v>15</v>
      </c>
      <c r="N86" s="511">
        <v>0</v>
      </c>
      <c r="O86" s="511">
        <v>0</v>
      </c>
      <c r="P86" s="511">
        <v>0</v>
      </c>
      <c r="Q86" s="1827"/>
    </row>
    <row r="87" spans="1:17" s="512" customFormat="1" x14ac:dyDescent="0.3">
      <c r="A87" s="514" t="s">
        <v>212</v>
      </c>
      <c r="B87" s="510" t="s">
        <v>213</v>
      </c>
      <c r="C87" s="509" t="s">
        <v>255</v>
      </c>
      <c r="D87" s="511">
        <v>113</v>
      </c>
      <c r="E87" s="1805">
        <v>11</v>
      </c>
      <c r="F87" s="817">
        <v>27</v>
      </c>
      <c r="G87" s="817">
        <v>32</v>
      </c>
      <c r="H87" s="817">
        <v>43</v>
      </c>
      <c r="I87" s="1806">
        <v>0</v>
      </c>
      <c r="J87" s="1805">
        <v>58</v>
      </c>
      <c r="K87" s="817">
        <v>55</v>
      </c>
      <c r="L87" s="1806"/>
      <c r="M87" s="511">
        <v>90</v>
      </c>
      <c r="N87" s="511">
        <v>21</v>
      </c>
      <c r="O87" s="511">
        <v>2</v>
      </c>
      <c r="P87" s="511">
        <v>0</v>
      </c>
      <c r="Q87" s="1827">
        <v>10</v>
      </c>
    </row>
    <row r="88" spans="1:17" s="512" customFormat="1" x14ac:dyDescent="0.3">
      <c r="A88" s="514" t="s">
        <v>214</v>
      </c>
      <c r="B88" s="510" t="s">
        <v>215</v>
      </c>
      <c r="C88" s="509" t="s">
        <v>256</v>
      </c>
      <c r="D88" s="511">
        <v>109</v>
      </c>
      <c r="E88" s="1805">
        <v>21</v>
      </c>
      <c r="F88" s="817">
        <v>24</v>
      </c>
      <c r="G88" s="817">
        <v>26</v>
      </c>
      <c r="H88" s="817">
        <v>38</v>
      </c>
      <c r="I88" s="1806">
        <v>0</v>
      </c>
      <c r="J88" s="1805">
        <v>55</v>
      </c>
      <c r="K88" s="817">
        <v>54</v>
      </c>
      <c r="L88" s="1806"/>
      <c r="M88" s="511">
        <v>104</v>
      </c>
      <c r="N88" s="511">
        <v>4</v>
      </c>
      <c r="O88" s="511">
        <v>1</v>
      </c>
      <c r="P88" s="511">
        <v>0</v>
      </c>
      <c r="Q88" s="1827">
        <v>5</v>
      </c>
    </row>
    <row r="89" spans="1:17" s="512" customFormat="1" x14ac:dyDescent="0.3">
      <c r="A89" s="514" t="s">
        <v>216</v>
      </c>
      <c r="B89" s="510" t="s">
        <v>217</v>
      </c>
      <c r="C89" s="509" t="s">
        <v>252</v>
      </c>
      <c r="D89" s="511">
        <v>21</v>
      </c>
      <c r="E89" s="1805">
        <v>4</v>
      </c>
      <c r="F89" s="817">
        <v>9</v>
      </c>
      <c r="G89" s="817">
        <v>4</v>
      </c>
      <c r="H89" s="817">
        <v>4</v>
      </c>
      <c r="I89" s="1806">
        <v>0</v>
      </c>
      <c r="J89" s="1805">
        <v>11</v>
      </c>
      <c r="K89" s="817">
        <v>10</v>
      </c>
      <c r="L89" s="1806"/>
      <c r="M89" s="511">
        <v>7</v>
      </c>
      <c r="N89" s="511">
        <v>14</v>
      </c>
      <c r="O89" s="511">
        <v>0</v>
      </c>
      <c r="P89" s="511">
        <v>0</v>
      </c>
      <c r="Q89" s="1827"/>
    </row>
    <row r="90" spans="1:17" s="512" customFormat="1" x14ac:dyDescent="0.3">
      <c r="A90" s="514" t="s">
        <v>218</v>
      </c>
      <c r="B90" s="510" t="s">
        <v>219</v>
      </c>
      <c r="C90" s="509" t="s">
        <v>255</v>
      </c>
      <c r="D90" s="511">
        <v>414</v>
      </c>
      <c r="E90" s="1805">
        <v>52</v>
      </c>
      <c r="F90" s="817">
        <v>84</v>
      </c>
      <c r="G90" s="817">
        <v>114</v>
      </c>
      <c r="H90" s="817">
        <v>164</v>
      </c>
      <c r="I90" s="1806">
        <v>0</v>
      </c>
      <c r="J90" s="1805">
        <v>192</v>
      </c>
      <c r="K90" s="817">
        <v>220</v>
      </c>
      <c r="L90" s="1806">
        <v>2</v>
      </c>
      <c r="M90" s="511">
        <v>160</v>
      </c>
      <c r="N90" s="511">
        <v>245</v>
      </c>
      <c r="O90" s="511">
        <v>7</v>
      </c>
      <c r="P90" s="511">
        <v>2</v>
      </c>
      <c r="Q90" s="1827">
        <v>14</v>
      </c>
    </row>
    <row r="91" spans="1:17" s="512" customFormat="1" x14ac:dyDescent="0.3">
      <c r="A91" s="514" t="s">
        <v>220</v>
      </c>
      <c r="B91" s="510" t="s">
        <v>221</v>
      </c>
      <c r="C91" s="509" t="s">
        <v>255</v>
      </c>
      <c r="D91" s="511">
        <v>490</v>
      </c>
      <c r="E91" s="1805">
        <v>52</v>
      </c>
      <c r="F91" s="817">
        <v>120</v>
      </c>
      <c r="G91" s="817">
        <v>114</v>
      </c>
      <c r="H91" s="817">
        <v>204</v>
      </c>
      <c r="I91" s="1806">
        <v>0</v>
      </c>
      <c r="J91" s="1805">
        <v>229</v>
      </c>
      <c r="K91" s="817">
        <v>261</v>
      </c>
      <c r="L91" s="1806"/>
      <c r="M91" s="511">
        <v>156</v>
      </c>
      <c r="N91" s="511">
        <v>309</v>
      </c>
      <c r="O91" s="511">
        <v>25</v>
      </c>
      <c r="P91" s="511">
        <v>0</v>
      </c>
      <c r="Q91" s="1827">
        <v>43</v>
      </c>
    </row>
    <row r="92" spans="1:17" s="512" customFormat="1" x14ac:dyDescent="0.3">
      <c r="A92" s="514" t="s">
        <v>224</v>
      </c>
      <c r="B92" s="510" t="s">
        <v>225</v>
      </c>
      <c r="C92" s="509" t="s">
        <v>252</v>
      </c>
      <c r="D92" s="511">
        <v>23</v>
      </c>
      <c r="E92" s="1805">
        <v>1</v>
      </c>
      <c r="F92" s="817">
        <v>9</v>
      </c>
      <c r="G92" s="817">
        <v>4</v>
      </c>
      <c r="H92" s="817">
        <v>9</v>
      </c>
      <c r="I92" s="1806">
        <v>0</v>
      </c>
      <c r="J92" s="1805">
        <v>12</v>
      </c>
      <c r="K92" s="817">
        <v>11</v>
      </c>
      <c r="L92" s="1806"/>
      <c r="M92" s="511">
        <v>6</v>
      </c>
      <c r="N92" s="511">
        <v>16</v>
      </c>
      <c r="O92" s="511">
        <v>1</v>
      </c>
      <c r="P92" s="511">
        <v>0</v>
      </c>
      <c r="Q92" s="1827"/>
    </row>
    <row r="93" spans="1:17" s="512" customFormat="1" x14ac:dyDescent="0.3">
      <c r="A93" s="514" t="s">
        <v>226</v>
      </c>
      <c r="B93" s="510" t="s">
        <v>227</v>
      </c>
      <c r="C93" s="509" t="s">
        <v>252</v>
      </c>
      <c r="D93" s="511">
        <v>26</v>
      </c>
      <c r="E93" s="1805">
        <v>1</v>
      </c>
      <c r="F93" s="817">
        <v>8</v>
      </c>
      <c r="G93" s="817">
        <v>6</v>
      </c>
      <c r="H93" s="817">
        <v>11</v>
      </c>
      <c r="I93" s="1806">
        <v>0</v>
      </c>
      <c r="J93" s="1805">
        <v>17</v>
      </c>
      <c r="K93" s="817">
        <v>9</v>
      </c>
      <c r="L93" s="1806"/>
      <c r="M93" s="511">
        <v>5</v>
      </c>
      <c r="N93" s="511">
        <v>21</v>
      </c>
      <c r="O93" s="511">
        <v>0</v>
      </c>
      <c r="P93" s="511">
        <v>0</v>
      </c>
      <c r="Q93" s="1827">
        <v>1</v>
      </c>
    </row>
    <row r="94" spans="1:17" s="512" customFormat="1" x14ac:dyDescent="0.3">
      <c r="A94" s="514" t="s">
        <v>228</v>
      </c>
      <c r="B94" s="510" t="s">
        <v>229</v>
      </c>
      <c r="C94" s="509" t="s">
        <v>256</v>
      </c>
      <c r="D94" s="511">
        <v>110</v>
      </c>
      <c r="E94" s="1805">
        <v>7</v>
      </c>
      <c r="F94" s="817">
        <v>21</v>
      </c>
      <c r="G94" s="817">
        <v>21</v>
      </c>
      <c r="H94" s="817">
        <v>61</v>
      </c>
      <c r="I94" s="1806">
        <v>0</v>
      </c>
      <c r="J94" s="1805">
        <v>52</v>
      </c>
      <c r="K94" s="817">
        <v>58</v>
      </c>
      <c r="L94" s="1806"/>
      <c r="M94" s="511">
        <v>93</v>
      </c>
      <c r="N94" s="511">
        <v>15</v>
      </c>
      <c r="O94" s="511">
        <v>2</v>
      </c>
      <c r="P94" s="511">
        <v>0</v>
      </c>
      <c r="Q94" s="1827">
        <v>1</v>
      </c>
    </row>
    <row r="95" spans="1:17" s="512" customFormat="1" x14ac:dyDescent="0.3">
      <c r="A95" s="514" t="s">
        <v>232</v>
      </c>
      <c r="B95" s="510" t="s">
        <v>233</v>
      </c>
      <c r="C95" s="509" t="s">
        <v>255</v>
      </c>
      <c r="D95" s="511">
        <v>200</v>
      </c>
      <c r="E95" s="1805">
        <v>23</v>
      </c>
      <c r="F95" s="817">
        <v>43</v>
      </c>
      <c r="G95" s="817">
        <v>52</v>
      </c>
      <c r="H95" s="817">
        <v>82</v>
      </c>
      <c r="I95" s="1806">
        <v>0</v>
      </c>
      <c r="J95" s="1805">
        <v>82</v>
      </c>
      <c r="K95" s="817">
        <v>118</v>
      </c>
      <c r="L95" s="1806"/>
      <c r="M95" s="511">
        <v>153</v>
      </c>
      <c r="N95" s="511">
        <v>46</v>
      </c>
      <c r="O95" s="511">
        <v>1</v>
      </c>
      <c r="P95" s="511">
        <v>0</v>
      </c>
      <c r="Q95" s="1827">
        <v>4</v>
      </c>
    </row>
    <row r="96" spans="1:17" s="512" customFormat="1" x14ac:dyDescent="0.3">
      <c r="A96" s="514" t="s">
        <v>234</v>
      </c>
      <c r="B96" s="510" t="s">
        <v>235</v>
      </c>
      <c r="C96" s="509" t="s">
        <v>256</v>
      </c>
      <c r="D96" s="511">
        <v>77</v>
      </c>
      <c r="E96" s="1805">
        <v>8</v>
      </c>
      <c r="F96" s="817">
        <v>22</v>
      </c>
      <c r="G96" s="817">
        <v>16</v>
      </c>
      <c r="H96" s="817">
        <v>30</v>
      </c>
      <c r="I96" s="1806">
        <v>1</v>
      </c>
      <c r="J96" s="1805">
        <v>40</v>
      </c>
      <c r="K96" s="817">
        <v>37</v>
      </c>
      <c r="L96" s="1806"/>
      <c r="M96" s="511">
        <v>69</v>
      </c>
      <c r="N96" s="511">
        <v>6</v>
      </c>
      <c r="O96" s="511">
        <v>2</v>
      </c>
      <c r="P96" s="511">
        <v>0</v>
      </c>
      <c r="Q96" s="1827">
        <v>3</v>
      </c>
    </row>
    <row r="97" spans="1:17" s="512" customFormat="1" x14ac:dyDescent="0.3">
      <c r="A97" s="514" t="s">
        <v>236</v>
      </c>
      <c r="B97" s="510" t="s">
        <v>237</v>
      </c>
      <c r="C97" s="509" t="s">
        <v>254</v>
      </c>
      <c r="D97" s="511">
        <v>70</v>
      </c>
      <c r="E97" s="1805">
        <v>9</v>
      </c>
      <c r="F97" s="817">
        <v>18</v>
      </c>
      <c r="G97" s="817">
        <v>17</v>
      </c>
      <c r="H97" s="817">
        <v>26</v>
      </c>
      <c r="I97" s="1806">
        <v>0</v>
      </c>
      <c r="J97" s="1805">
        <v>33</v>
      </c>
      <c r="K97" s="817">
        <v>37</v>
      </c>
      <c r="L97" s="1806"/>
      <c r="M97" s="511">
        <v>22</v>
      </c>
      <c r="N97" s="511">
        <v>48</v>
      </c>
      <c r="O97" s="511">
        <v>0</v>
      </c>
      <c r="P97" s="511">
        <v>0</v>
      </c>
      <c r="Q97" s="1827"/>
    </row>
    <row r="98" spans="1:17" s="512" customFormat="1" x14ac:dyDescent="0.3">
      <c r="A98" s="514" t="s">
        <v>242</v>
      </c>
      <c r="B98" s="510" t="s">
        <v>243</v>
      </c>
      <c r="C98" s="509" t="s">
        <v>256</v>
      </c>
      <c r="D98" s="511">
        <v>71</v>
      </c>
      <c r="E98" s="1805">
        <v>7</v>
      </c>
      <c r="F98" s="817">
        <v>22</v>
      </c>
      <c r="G98" s="817">
        <v>14</v>
      </c>
      <c r="H98" s="817">
        <v>28</v>
      </c>
      <c r="I98" s="1806">
        <v>0</v>
      </c>
      <c r="J98" s="1805">
        <v>32</v>
      </c>
      <c r="K98" s="817">
        <v>39</v>
      </c>
      <c r="L98" s="1806"/>
      <c r="M98" s="511">
        <v>63</v>
      </c>
      <c r="N98" s="511">
        <v>8</v>
      </c>
      <c r="O98" s="511">
        <v>0</v>
      </c>
      <c r="P98" s="511">
        <v>0</v>
      </c>
      <c r="Q98" s="1827">
        <v>2</v>
      </c>
    </row>
    <row r="99" spans="1:17" s="512" customFormat="1" x14ac:dyDescent="0.3">
      <c r="A99" s="514" t="s">
        <v>244</v>
      </c>
      <c r="B99" s="510" t="s">
        <v>245</v>
      </c>
      <c r="C99" s="509" t="s">
        <v>256</v>
      </c>
      <c r="D99" s="511">
        <v>105</v>
      </c>
      <c r="E99" s="1805">
        <v>11</v>
      </c>
      <c r="F99" s="817">
        <v>36</v>
      </c>
      <c r="G99" s="817">
        <v>26</v>
      </c>
      <c r="H99" s="817">
        <v>32</v>
      </c>
      <c r="I99" s="1806">
        <v>0</v>
      </c>
      <c r="J99" s="1805">
        <v>48</v>
      </c>
      <c r="K99" s="817">
        <v>57</v>
      </c>
      <c r="L99" s="1806"/>
      <c r="M99" s="511">
        <v>90</v>
      </c>
      <c r="N99" s="511">
        <v>14</v>
      </c>
      <c r="O99" s="511">
        <v>1</v>
      </c>
      <c r="P99" s="511">
        <v>0</v>
      </c>
      <c r="Q99" s="1827">
        <v>2</v>
      </c>
    </row>
    <row r="100" spans="1:17" s="512" customFormat="1" x14ac:dyDescent="0.3">
      <c r="A100" s="514" t="s">
        <v>246</v>
      </c>
      <c r="B100" s="510" t="s">
        <v>247</v>
      </c>
      <c r="C100" s="509" t="s">
        <v>252</v>
      </c>
      <c r="D100" s="511">
        <v>136</v>
      </c>
      <c r="E100" s="1805">
        <v>16</v>
      </c>
      <c r="F100" s="817">
        <v>37</v>
      </c>
      <c r="G100" s="817">
        <v>37</v>
      </c>
      <c r="H100" s="817">
        <v>46</v>
      </c>
      <c r="I100" s="1806">
        <v>0</v>
      </c>
      <c r="J100" s="1805">
        <v>64</v>
      </c>
      <c r="K100" s="817">
        <v>72</v>
      </c>
      <c r="L100" s="1806"/>
      <c r="M100" s="511">
        <v>43</v>
      </c>
      <c r="N100" s="511">
        <v>90</v>
      </c>
      <c r="O100" s="511">
        <v>3</v>
      </c>
      <c r="P100" s="511">
        <v>0</v>
      </c>
      <c r="Q100" s="1827">
        <v>11</v>
      </c>
    </row>
    <row r="101" spans="1:17" s="512" customFormat="1" x14ac:dyDescent="0.3">
      <c r="A101" s="514" t="s">
        <v>14</v>
      </c>
      <c r="B101" s="510" t="s">
        <v>15</v>
      </c>
      <c r="C101" s="509" t="s">
        <v>255</v>
      </c>
      <c r="D101" s="511">
        <v>837</v>
      </c>
      <c r="E101" s="1805">
        <v>107</v>
      </c>
      <c r="F101" s="817">
        <v>227</v>
      </c>
      <c r="G101" s="817">
        <v>252</v>
      </c>
      <c r="H101" s="817">
        <v>250</v>
      </c>
      <c r="I101" s="1806">
        <v>1</v>
      </c>
      <c r="J101" s="1805">
        <v>406</v>
      </c>
      <c r="K101" s="817">
        <v>431</v>
      </c>
      <c r="L101" s="1806"/>
      <c r="M101" s="511">
        <v>262</v>
      </c>
      <c r="N101" s="511">
        <v>458</v>
      </c>
      <c r="O101" s="511">
        <v>117</v>
      </c>
      <c r="P101" s="511">
        <v>0</v>
      </c>
      <c r="Q101" s="1827">
        <v>64</v>
      </c>
    </row>
    <row r="102" spans="1:17" s="512" customFormat="1" x14ac:dyDescent="0.3">
      <c r="A102" s="514" t="s">
        <v>34</v>
      </c>
      <c r="B102" s="510" t="s">
        <v>35</v>
      </c>
      <c r="C102" s="509" t="s">
        <v>256</v>
      </c>
      <c r="D102" s="511">
        <v>204</v>
      </c>
      <c r="E102" s="1805">
        <v>13</v>
      </c>
      <c r="F102" s="817">
        <v>56</v>
      </c>
      <c r="G102" s="817">
        <v>45</v>
      </c>
      <c r="H102" s="817">
        <v>90</v>
      </c>
      <c r="I102" s="1806">
        <v>0</v>
      </c>
      <c r="J102" s="1805">
        <v>102</v>
      </c>
      <c r="K102" s="817">
        <v>102</v>
      </c>
      <c r="L102" s="1806"/>
      <c r="M102" s="511">
        <v>131</v>
      </c>
      <c r="N102" s="511">
        <v>70</v>
      </c>
      <c r="O102" s="511">
        <v>3</v>
      </c>
      <c r="P102" s="511">
        <v>0</v>
      </c>
      <c r="Q102" s="1827">
        <v>11</v>
      </c>
    </row>
    <row r="103" spans="1:17" s="512" customFormat="1" x14ac:dyDescent="0.3">
      <c r="A103" s="514" t="s">
        <v>52</v>
      </c>
      <c r="B103" s="510" t="s">
        <v>53</v>
      </c>
      <c r="C103" s="509" t="s">
        <v>253</v>
      </c>
      <c r="D103" s="511">
        <v>239</v>
      </c>
      <c r="E103" s="1805">
        <v>36</v>
      </c>
      <c r="F103" s="817">
        <v>67</v>
      </c>
      <c r="G103" s="817">
        <v>64</v>
      </c>
      <c r="H103" s="817">
        <v>72</v>
      </c>
      <c r="I103" s="1806">
        <v>0</v>
      </c>
      <c r="J103" s="1805">
        <v>113</v>
      </c>
      <c r="K103" s="817">
        <v>126</v>
      </c>
      <c r="L103" s="1806"/>
      <c r="M103" s="511">
        <v>67</v>
      </c>
      <c r="N103" s="511">
        <v>152</v>
      </c>
      <c r="O103" s="511">
        <v>20</v>
      </c>
      <c r="P103" s="511">
        <v>0</v>
      </c>
      <c r="Q103" s="1827">
        <v>8</v>
      </c>
    </row>
    <row r="104" spans="1:17" s="512" customFormat="1" x14ac:dyDescent="0.3">
      <c r="A104" s="514" t="s">
        <v>54</v>
      </c>
      <c r="B104" s="510" t="s">
        <v>55</v>
      </c>
      <c r="C104" s="509" t="s">
        <v>252</v>
      </c>
      <c r="D104" s="511">
        <v>1387</v>
      </c>
      <c r="E104" s="1805">
        <v>185</v>
      </c>
      <c r="F104" s="817">
        <v>293</v>
      </c>
      <c r="G104" s="817">
        <v>326</v>
      </c>
      <c r="H104" s="817">
        <v>583</v>
      </c>
      <c r="I104" s="1806">
        <v>0</v>
      </c>
      <c r="J104" s="1805">
        <v>685</v>
      </c>
      <c r="K104" s="817">
        <v>700</v>
      </c>
      <c r="L104" s="1806">
        <v>2</v>
      </c>
      <c r="M104" s="511">
        <v>230</v>
      </c>
      <c r="N104" s="511">
        <v>1125</v>
      </c>
      <c r="O104" s="511">
        <v>29</v>
      </c>
      <c r="P104" s="511">
        <v>3</v>
      </c>
      <c r="Q104" s="1827">
        <v>57</v>
      </c>
    </row>
    <row r="105" spans="1:17" s="512" customFormat="1" x14ac:dyDescent="0.3">
      <c r="A105" s="514" t="s">
        <v>66</v>
      </c>
      <c r="B105" s="510" t="s">
        <v>67</v>
      </c>
      <c r="C105" s="509" t="s">
        <v>253</v>
      </c>
      <c r="D105" s="511">
        <v>363</v>
      </c>
      <c r="E105" s="1805">
        <v>40</v>
      </c>
      <c r="F105" s="817">
        <v>91</v>
      </c>
      <c r="G105" s="817">
        <v>91</v>
      </c>
      <c r="H105" s="817">
        <v>141</v>
      </c>
      <c r="I105" s="1806">
        <v>0</v>
      </c>
      <c r="J105" s="1805">
        <v>198</v>
      </c>
      <c r="K105" s="817">
        <v>165</v>
      </c>
      <c r="L105" s="1806"/>
      <c r="M105" s="511">
        <v>49</v>
      </c>
      <c r="N105" s="511">
        <v>309</v>
      </c>
      <c r="O105" s="511">
        <v>1</v>
      </c>
      <c r="P105" s="511">
        <v>4</v>
      </c>
      <c r="Q105" s="1827">
        <v>4</v>
      </c>
    </row>
    <row r="106" spans="1:17" s="512" customFormat="1" x14ac:dyDescent="0.3">
      <c r="A106" s="514" t="s">
        <v>82</v>
      </c>
      <c r="B106" s="510" t="s">
        <v>83</v>
      </c>
      <c r="C106" s="509" t="s">
        <v>252</v>
      </c>
      <c r="D106" s="511">
        <v>103</v>
      </c>
      <c r="E106" s="1805">
        <v>14</v>
      </c>
      <c r="F106" s="817">
        <v>27</v>
      </c>
      <c r="G106" s="817">
        <v>24</v>
      </c>
      <c r="H106" s="817">
        <v>38</v>
      </c>
      <c r="I106" s="1806">
        <v>0</v>
      </c>
      <c r="J106" s="1805">
        <v>53</v>
      </c>
      <c r="K106" s="817">
        <v>50</v>
      </c>
      <c r="L106" s="1806"/>
      <c r="M106" s="511">
        <v>14</v>
      </c>
      <c r="N106" s="511">
        <v>89</v>
      </c>
      <c r="O106" s="511">
        <v>0</v>
      </c>
      <c r="P106" s="511">
        <v>0</v>
      </c>
      <c r="Q106" s="1827">
        <v>5</v>
      </c>
    </row>
    <row r="107" spans="1:17" s="512" customFormat="1" x14ac:dyDescent="0.3">
      <c r="A107" s="514" t="s">
        <v>88</v>
      </c>
      <c r="B107" s="510" t="s">
        <v>89</v>
      </c>
      <c r="C107" s="509" t="s">
        <v>255</v>
      </c>
      <c r="D107" s="511">
        <v>279</v>
      </c>
      <c r="E107" s="1805">
        <v>40</v>
      </c>
      <c r="F107" s="817">
        <v>72</v>
      </c>
      <c r="G107" s="817">
        <v>83</v>
      </c>
      <c r="H107" s="817">
        <v>84</v>
      </c>
      <c r="I107" s="1806">
        <v>0</v>
      </c>
      <c r="J107" s="1805">
        <v>137</v>
      </c>
      <c r="K107" s="817">
        <v>142</v>
      </c>
      <c r="L107" s="1806"/>
      <c r="M107" s="511">
        <v>78</v>
      </c>
      <c r="N107" s="511">
        <v>185</v>
      </c>
      <c r="O107" s="511">
        <v>16</v>
      </c>
      <c r="P107" s="511">
        <v>0</v>
      </c>
      <c r="Q107" s="1827">
        <v>19</v>
      </c>
    </row>
    <row r="108" spans="1:17" s="512" customFormat="1" x14ac:dyDescent="0.3">
      <c r="A108" s="514" t="s">
        <v>90</v>
      </c>
      <c r="B108" s="510" t="s">
        <v>91</v>
      </c>
      <c r="C108" s="509" t="s">
        <v>256</v>
      </c>
      <c r="D108" s="511">
        <v>29</v>
      </c>
      <c r="E108" s="1805">
        <v>5</v>
      </c>
      <c r="F108" s="817">
        <v>8</v>
      </c>
      <c r="G108" s="817">
        <v>6</v>
      </c>
      <c r="H108" s="817">
        <v>10</v>
      </c>
      <c r="I108" s="1806">
        <v>0</v>
      </c>
      <c r="J108" s="1805">
        <v>11</v>
      </c>
      <c r="K108" s="817">
        <v>18</v>
      </c>
      <c r="L108" s="1806"/>
      <c r="M108" s="511">
        <v>24</v>
      </c>
      <c r="N108" s="511">
        <v>5</v>
      </c>
      <c r="O108" s="511">
        <v>0</v>
      </c>
      <c r="P108" s="511">
        <v>0</v>
      </c>
      <c r="Q108" s="1827">
        <v>8</v>
      </c>
    </row>
    <row r="109" spans="1:17" s="512" customFormat="1" x14ac:dyDescent="0.3">
      <c r="A109" s="514" t="s">
        <v>106</v>
      </c>
      <c r="B109" s="510" t="s">
        <v>107</v>
      </c>
      <c r="C109" s="509" t="s">
        <v>252</v>
      </c>
      <c r="D109" s="511">
        <v>1074</v>
      </c>
      <c r="E109" s="1805">
        <v>138</v>
      </c>
      <c r="F109" s="817">
        <v>256</v>
      </c>
      <c r="G109" s="817">
        <v>237</v>
      </c>
      <c r="H109" s="817">
        <v>442</v>
      </c>
      <c r="I109" s="1806">
        <v>1</v>
      </c>
      <c r="J109" s="1805">
        <v>540</v>
      </c>
      <c r="K109" s="817">
        <v>534</v>
      </c>
      <c r="L109" s="1806"/>
      <c r="M109" s="511">
        <v>120</v>
      </c>
      <c r="N109" s="511">
        <v>943</v>
      </c>
      <c r="O109" s="511">
        <v>11</v>
      </c>
      <c r="P109" s="511">
        <v>0</v>
      </c>
      <c r="Q109" s="1827">
        <v>43</v>
      </c>
    </row>
    <row r="110" spans="1:17" s="512" customFormat="1" x14ac:dyDescent="0.3">
      <c r="A110" s="514" t="s">
        <v>116</v>
      </c>
      <c r="B110" s="510" t="s">
        <v>117</v>
      </c>
      <c r="C110" s="509" t="s">
        <v>254</v>
      </c>
      <c r="D110" s="511">
        <v>254</v>
      </c>
      <c r="E110" s="1805">
        <v>30</v>
      </c>
      <c r="F110" s="817">
        <v>50</v>
      </c>
      <c r="G110" s="817">
        <v>61</v>
      </c>
      <c r="H110" s="817">
        <v>113</v>
      </c>
      <c r="I110" s="1806">
        <v>0</v>
      </c>
      <c r="J110" s="1805">
        <v>133</v>
      </c>
      <c r="K110" s="817">
        <v>121</v>
      </c>
      <c r="L110" s="1806"/>
      <c r="M110" s="511">
        <v>46</v>
      </c>
      <c r="N110" s="511">
        <v>205</v>
      </c>
      <c r="O110" s="511">
        <v>3</v>
      </c>
      <c r="P110" s="511">
        <v>0</v>
      </c>
      <c r="Q110" s="1827">
        <v>5</v>
      </c>
    </row>
    <row r="111" spans="1:17" s="512" customFormat="1" x14ac:dyDescent="0.3">
      <c r="A111" s="514" t="s">
        <v>138</v>
      </c>
      <c r="B111" s="510" t="s">
        <v>139</v>
      </c>
      <c r="C111" s="509" t="s">
        <v>253</v>
      </c>
      <c r="D111" s="511">
        <v>533</v>
      </c>
      <c r="E111" s="1805">
        <v>77</v>
      </c>
      <c r="F111" s="817">
        <v>139</v>
      </c>
      <c r="G111" s="817">
        <v>115</v>
      </c>
      <c r="H111" s="817">
        <v>202</v>
      </c>
      <c r="I111" s="1806">
        <v>0</v>
      </c>
      <c r="J111" s="1805">
        <v>266</v>
      </c>
      <c r="K111" s="817">
        <v>267</v>
      </c>
      <c r="L111" s="1806"/>
      <c r="M111" s="511">
        <v>123</v>
      </c>
      <c r="N111" s="511">
        <v>409</v>
      </c>
      <c r="O111" s="511">
        <v>1</v>
      </c>
      <c r="P111" s="511">
        <v>0</v>
      </c>
      <c r="Q111" s="1827">
        <v>11</v>
      </c>
    </row>
    <row r="112" spans="1:17" s="512" customFormat="1" x14ac:dyDescent="0.3">
      <c r="A112" s="514" t="s">
        <v>142</v>
      </c>
      <c r="B112" s="510" t="s">
        <v>143</v>
      </c>
      <c r="C112" s="509" t="s">
        <v>255</v>
      </c>
      <c r="D112" s="511">
        <v>256</v>
      </c>
      <c r="E112" s="1805">
        <v>25</v>
      </c>
      <c r="F112" s="817">
        <v>58</v>
      </c>
      <c r="G112" s="817">
        <v>58</v>
      </c>
      <c r="H112" s="817">
        <v>115</v>
      </c>
      <c r="I112" s="1806">
        <v>0</v>
      </c>
      <c r="J112" s="1805">
        <v>123</v>
      </c>
      <c r="K112" s="817">
        <v>133</v>
      </c>
      <c r="L112" s="1806"/>
      <c r="M112" s="511">
        <v>137</v>
      </c>
      <c r="N112" s="511">
        <v>105</v>
      </c>
      <c r="O112" s="511">
        <v>14</v>
      </c>
      <c r="P112" s="511">
        <v>0</v>
      </c>
      <c r="Q112" s="1827">
        <v>46</v>
      </c>
    </row>
    <row r="113" spans="1:17" s="512" customFormat="1" x14ac:dyDescent="0.3">
      <c r="A113" s="514" t="s">
        <v>144</v>
      </c>
      <c r="B113" s="510" t="s">
        <v>145</v>
      </c>
      <c r="C113" s="509" t="s">
        <v>255</v>
      </c>
      <c r="D113" s="511">
        <v>47</v>
      </c>
      <c r="E113" s="1805">
        <v>3</v>
      </c>
      <c r="F113" s="817">
        <v>11</v>
      </c>
      <c r="G113" s="817">
        <v>10</v>
      </c>
      <c r="H113" s="817">
        <v>23</v>
      </c>
      <c r="I113" s="1806">
        <v>0</v>
      </c>
      <c r="J113" s="1805">
        <v>21</v>
      </c>
      <c r="K113" s="817">
        <v>26</v>
      </c>
      <c r="L113" s="1806"/>
      <c r="M113" s="511">
        <v>30</v>
      </c>
      <c r="N113" s="511">
        <v>16</v>
      </c>
      <c r="O113" s="511">
        <v>1</v>
      </c>
      <c r="P113" s="511">
        <v>0</v>
      </c>
      <c r="Q113" s="1827">
        <v>10</v>
      </c>
    </row>
    <row r="114" spans="1:17" s="512" customFormat="1" x14ac:dyDescent="0.3">
      <c r="A114" s="514" t="s">
        <v>158</v>
      </c>
      <c r="B114" s="510" t="s">
        <v>159</v>
      </c>
      <c r="C114" s="509" t="s">
        <v>252</v>
      </c>
      <c r="D114" s="511">
        <v>2136</v>
      </c>
      <c r="E114" s="1805">
        <v>263</v>
      </c>
      <c r="F114" s="817">
        <v>524</v>
      </c>
      <c r="G114" s="817">
        <v>494</v>
      </c>
      <c r="H114" s="817">
        <v>855</v>
      </c>
      <c r="I114" s="1806">
        <v>0</v>
      </c>
      <c r="J114" s="1805">
        <v>1037</v>
      </c>
      <c r="K114" s="817">
        <v>1099</v>
      </c>
      <c r="L114" s="1806"/>
      <c r="M114" s="511">
        <v>184</v>
      </c>
      <c r="N114" s="511">
        <v>1930</v>
      </c>
      <c r="O114" s="511">
        <v>22</v>
      </c>
      <c r="P114" s="511">
        <v>0</v>
      </c>
      <c r="Q114" s="1827">
        <v>114</v>
      </c>
    </row>
    <row r="115" spans="1:17" s="512" customFormat="1" x14ac:dyDescent="0.3">
      <c r="A115" s="514" t="s">
        <v>160</v>
      </c>
      <c r="B115" s="510" t="s">
        <v>161</v>
      </c>
      <c r="C115" s="509" t="s">
        <v>252</v>
      </c>
      <c r="D115" s="511">
        <v>1936</v>
      </c>
      <c r="E115" s="1805">
        <v>215</v>
      </c>
      <c r="F115" s="817">
        <v>479</v>
      </c>
      <c r="G115" s="817">
        <v>440</v>
      </c>
      <c r="H115" s="817">
        <v>801</v>
      </c>
      <c r="I115" s="1806">
        <v>1</v>
      </c>
      <c r="J115" s="1805">
        <v>970</v>
      </c>
      <c r="K115" s="817">
        <v>966</v>
      </c>
      <c r="L115" s="1806"/>
      <c r="M115" s="511">
        <v>125</v>
      </c>
      <c r="N115" s="511">
        <v>1782</v>
      </c>
      <c r="O115" s="511">
        <v>29</v>
      </c>
      <c r="P115" s="511">
        <v>0</v>
      </c>
      <c r="Q115" s="1827">
        <v>84</v>
      </c>
    </row>
    <row r="116" spans="1:17" s="512" customFormat="1" x14ac:dyDescent="0.3">
      <c r="A116" s="514" t="s">
        <v>166</v>
      </c>
      <c r="B116" s="510" t="s">
        <v>167</v>
      </c>
      <c r="C116" s="509" t="s">
        <v>256</v>
      </c>
      <c r="D116" s="511">
        <v>3</v>
      </c>
      <c r="E116" s="1805">
        <v>0</v>
      </c>
      <c r="F116" s="817">
        <v>1</v>
      </c>
      <c r="G116" s="817">
        <v>2</v>
      </c>
      <c r="H116" s="817">
        <v>0</v>
      </c>
      <c r="I116" s="1806">
        <v>0</v>
      </c>
      <c r="J116" s="1805">
        <v>2</v>
      </c>
      <c r="K116" s="817">
        <v>1</v>
      </c>
      <c r="L116" s="1806"/>
      <c r="M116" s="511">
        <v>3</v>
      </c>
      <c r="N116" s="511">
        <v>0</v>
      </c>
      <c r="O116" s="511">
        <v>0</v>
      </c>
      <c r="P116" s="511">
        <v>0</v>
      </c>
      <c r="Q116" s="1827"/>
    </row>
    <row r="117" spans="1:17" s="512" customFormat="1" x14ac:dyDescent="0.3">
      <c r="A117" s="514" t="s">
        <v>176</v>
      </c>
      <c r="B117" s="510" t="s">
        <v>177</v>
      </c>
      <c r="C117" s="509" t="s">
        <v>254</v>
      </c>
      <c r="D117" s="511">
        <v>375</v>
      </c>
      <c r="E117" s="1805">
        <v>38</v>
      </c>
      <c r="F117" s="817">
        <v>95</v>
      </c>
      <c r="G117" s="817">
        <v>85</v>
      </c>
      <c r="H117" s="817">
        <v>157</v>
      </c>
      <c r="I117" s="1806">
        <v>0</v>
      </c>
      <c r="J117" s="1805">
        <v>178</v>
      </c>
      <c r="K117" s="817">
        <v>197</v>
      </c>
      <c r="L117" s="1806"/>
      <c r="M117" s="511">
        <v>15</v>
      </c>
      <c r="N117" s="511">
        <v>360</v>
      </c>
      <c r="O117" s="511">
        <v>0</v>
      </c>
      <c r="P117" s="511">
        <v>0</v>
      </c>
      <c r="Q117" s="1827">
        <v>12</v>
      </c>
    </row>
    <row r="118" spans="1:17" s="512" customFormat="1" x14ac:dyDescent="0.3">
      <c r="A118" s="514" t="s">
        <v>180</v>
      </c>
      <c r="B118" s="510" t="s">
        <v>181</v>
      </c>
      <c r="C118" s="509" t="s">
        <v>252</v>
      </c>
      <c r="D118" s="511">
        <v>833</v>
      </c>
      <c r="E118" s="1805">
        <v>126</v>
      </c>
      <c r="F118" s="817">
        <v>185</v>
      </c>
      <c r="G118" s="817">
        <v>192</v>
      </c>
      <c r="H118" s="817">
        <v>330</v>
      </c>
      <c r="I118" s="1806">
        <v>0</v>
      </c>
      <c r="J118" s="1805">
        <v>416</v>
      </c>
      <c r="K118" s="817">
        <v>417</v>
      </c>
      <c r="L118" s="1806"/>
      <c r="M118" s="511">
        <v>52</v>
      </c>
      <c r="N118" s="511">
        <v>771</v>
      </c>
      <c r="O118" s="511">
        <v>10</v>
      </c>
      <c r="P118" s="511">
        <v>0</v>
      </c>
      <c r="Q118" s="1827">
        <v>19</v>
      </c>
    </row>
    <row r="119" spans="1:17" s="512" customFormat="1" x14ac:dyDescent="0.3">
      <c r="A119" s="514" t="s">
        <v>192</v>
      </c>
      <c r="B119" s="510" t="s">
        <v>193</v>
      </c>
      <c r="C119" s="509" t="s">
        <v>256</v>
      </c>
      <c r="D119" s="511">
        <v>58</v>
      </c>
      <c r="E119" s="1805">
        <v>7</v>
      </c>
      <c r="F119" s="817">
        <v>19</v>
      </c>
      <c r="G119" s="817">
        <v>7</v>
      </c>
      <c r="H119" s="817">
        <v>25</v>
      </c>
      <c r="I119" s="1806">
        <v>0</v>
      </c>
      <c r="J119" s="1805">
        <v>27</v>
      </c>
      <c r="K119" s="817">
        <v>31</v>
      </c>
      <c r="L119" s="1806"/>
      <c r="M119" s="511">
        <v>36</v>
      </c>
      <c r="N119" s="511">
        <v>22</v>
      </c>
      <c r="O119" s="511">
        <v>0</v>
      </c>
      <c r="P119" s="511">
        <v>0</v>
      </c>
      <c r="Q119" s="1827"/>
    </row>
    <row r="120" spans="1:17" s="512" customFormat="1" x14ac:dyDescent="0.3">
      <c r="A120" s="514" t="s">
        <v>196</v>
      </c>
      <c r="B120" s="510" t="s">
        <v>197</v>
      </c>
      <c r="C120" s="509" t="s">
        <v>254</v>
      </c>
      <c r="D120" s="511">
        <v>1603</v>
      </c>
      <c r="E120" s="1805">
        <v>169</v>
      </c>
      <c r="F120" s="817">
        <v>404</v>
      </c>
      <c r="G120" s="817">
        <v>389</v>
      </c>
      <c r="H120" s="817">
        <v>641</v>
      </c>
      <c r="I120" s="1806">
        <v>0</v>
      </c>
      <c r="J120" s="1805">
        <v>774</v>
      </c>
      <c r="K120" s="817">
        <v>829</v>
      </c>
      <c r="L120" s="1806"/>
      <c r="M120" s="511">
        <v>43</v>
      </c>
      <c r="N120" s="511">
        <v>1550</v>
      </c>
      <c r="O120" s="511">
        <v>8</v>
      </c>
      <c r="P120" s="511">
        <v>2</v>
      </c>
      <c r="Q120" s="1827">
        <v>53</v>
      </c>
    </row>
    <row r="121" spans="1:17" s="512" customFormat="1" x14ac:dyDescent="0.3">
      <c r="A121" s="514" t="s">
        <v>200</v>
      </c>
      <c r="B121" s="510" t="s">
        <v>201</v>
      </c>
      <c r="C121" s="509" t="s">
        <v>253</v>
      </c>
      <c r="D121" s="511">
        <v>1153</v>
      </c>
      <c r="E121" s="1805">
        <v>141</v>
      </c>
      <c r="F121" s="817">
        <v>239</v>
      </c>
      <c r="G121" s="817">
        <v>250</v>
      </c>
      <c r="H121" s="817">
        <v>523</v>
      </c>
      <c r="I121" s="1806">
        <v>0</v>
      </c>
      <c r="J121" s="1805">
        <v>571</v>
      </c>
      <c r="K121" s="817">
        <v>582</v>
      </c>
      <c r="L121" s="1806"/>
      <c r="M121" s="511">
        <v>332</v>
      </c>
      <c r="N121" s="511">
        <v>789</v>
      </c>
      <c r="O121" s="511">
        <v>32</v>
      </c>
      <c r="P121" s="511">
        <v>0</v>
      </c>
      <c r="Q121" s="1827">
        <v>56</v>
      </c>
    </row>
    <row r="122" spans="1:17" s="512" customFormat="1" x14ac:dyDescent="0.3">
      <c r="A122" s="514" t="s">
        <v>222</v>
      </c>
      <c r="B122" s="510" t="s">
        <v>223</v>
      </c>
      <c r="C122" s="509" t="s">
        <v>252</v>
      </c>
      <c r="D122" s="511">
        <v>344</v>
      </c>
      <c r="E122" s="1805">
        <v>54</v>
      </c>
      <c r="F122" s="817">
        <v>90</v>
      </c>
      <c r="G122" s="817">
        <v>81</v>
      </c>
      <c r="H122" s="817">
        <v>119</v>
      </c>
      <c r="I122" s="1806">
        <v>0</v>
      </c>
      <c r="J122" s="1805">
        <v>167</v>
      </c>
      <c r="K122" s="817">
        <v>177</v>
      </c>
      <c r="L122" s="1806"/>
      <c r="M122" s="511">
        <v>42</v>
      </c>
      <c r="N122" s="511">
        <v>302</v>
      </c>
      <c r="O122" s="511">
        <v>0</v>
      </c>
      <c r="P122" s="511">
        <v>0</v>
      </c>
      <c r="Q122" s="1827">
        <v>11</v>
      </c>
    </row>
    <row r="123" spans="1:17" s="512" customFormat="1" x14ac:dyDescent="0.3">
      <c r="A123" s="514" t="s">
        <v>230</v>
      </c>
      <c r="B123" s="510" t="s">
        <v>231</v>
      </c>
      <c r="C123" s="509" t="s">
        <v>252</v>
      </c>
      <c r="D123" s="511">
        <v>1814</v>
      </c>
      <c r="E123" s="1805">
        <v>224</v>
      </c>
      <c r="F123" s="817">
        <v>429</v>
      </c>
      <c r="G123" s="817">
        <v>389</v>
      </c>
      <c r="H123" s="817">
        <v>772</v>
      </c>
      <c r="I123" s="1806">
        <v>0</v>
      </c>
      <c r="J123" s="1805">
        <v>900</v>
      </c>
      <c r="K123" s="817">
        <v>914</v>
      </c>
      <c r="L123" s="1806"/>
      <c r="M123" s="511">
        <v>465</v>
      </c>
      <c r="N123" s="511">
        <v>1295</v>
      </c>
      <c r="O123" s="511">
        <v>54</v>
      </c>
      <c r="P123" s="511">
        <v>0</v>
      </c>
      <c r="Q123" s="1827">
        <v>128</v>
      </c>
    </row>
    <row r="124" spans="1:17" s="512" customFormat="1" x14ac:dyDescent="0.3">
      <c r="A124" s="514" t="s">
        <v>238</v>
      </c>
      <c r="B124" s="510" t="s">
        <v>239</v>
      </c>
      <c r="C124" s="509" t="s">
        <v>252</v>
      </c>
      <c r="D124" s="511">
        <v>98</v>
      </c>
      <c r="E124" s="1805">
        <v>16</v>
      </c>
      <c r="F124" s="817">
        <v>26</v>
      </c>
      <c r="G124" s="817">
        <v>13</v>
      </c>
      <c r="H124" s="817">
        <v>43</v>
      </c>
      <c r="I124" s="1806">
        <v>0</v>
      </c>
      <c r="J124" s="1805">
        <v>43</v>
      </c>
      <c r="K124" s="817">
        <v>55</v>
      </c>
      <c r="L124" s="1806"/>
      <c r="M124" s="511">
        <v>37</v>
      </c>
      <c r="N124" s="511">
        <v>56</v>
      </c>
      <c r="O124" s="511">
        <v>5</v>
      </c>
      <c r="P124" s="511">
        <v>0</v>
      </c>
      <c r="Q124" s="1827">
        <v>7</v>
      </c>
    </row>
    <row r="125" spans="1:17" s="512" customFormat="1" x14ac:dyDescent="0.3">
      <c r="A125" s="514" t="s">
        <v>240</v>
      </c>
      <c r="B125" s="510" t="s">
        <v>241</v>
      </c>
      <c r="C125" s="509" t="s">
        <v>255</v>
      </c>
      <c r="D125" s="511">
        <v>150</v>
      </c>
      <c r="E125" s="1805">
        <v>24</v>
      </c>
      <c r="F125" s="817">
        <v>41</v>
      </c>
      <c r="G125" s="817">
        <v>45</v>
      </c>
      <c r="H125" s="817">
        <v>40</v>
      </c>
      <c r="I125" s="1806">
        <v>0</v>
      </c>
      <c r="J125" s="1805">
        <v>74</v>
      </c>
      <c r="K125" s="817">
        <v>76</v>
      </c>
      <c r="L125" s="1806"/>
      <c r="M125" s="511">
        <v>66</v>
      </c>
      <c r="N125" s="511">
        <v>78</v>
      </c>
      <c r="O125" s="511">
        <v>6</v>
      </c>
      <c r="P125" s="511">
        <v>0</v>
      </c>
      <c r="Q125" s="1827">
        <v>17</v>
      </c>
    </row>
    <row r="126" spans="1:17" x14ac:dyDescent="0.3">
      <c r="B126" s="418"/>
      <c r="C126" s="418"/>
      <c r="E126" s="418"/>
      <c r="F126" s="418"/>
      <c r="G126" s="418"/>
      <c r="H126" s="418"/>
      <c r="I126" s="418"/>
      <c r="J126" s="418"/>
      <c r="K126" s="418"/>
      <c r="L126" s="418"/>
    </row>
    <row r="128" spans="1:17" ht="64.2" customHeight="1" x14ac:dyDescent="0.3">
      <c r="A128" s="2749" t="s">
        <v>1176</v>
      </c>
      <c r="B128" s="2749"/>
      <c r="C128" s="2749"/>
      <c r="D128" s="2749"/>
      <c r="E128" s="2749"/>
      <c r="F128" s="2749"/>
      <c r="G128" s="2749"/>
      <c r="H128" s="2749"/>
      <c r="I128" s="1807"/>
      <c r="J128" s="1781"/>
      <c r="K128" s="1781"/>
      <c r="L128" s="1781"/>
    </row>
    <row r="130" spans="1:12" s="359" customFormat="1" x14ac:dyDescent="0.3">
      <c r="A130" s="359" t="s">
        <v>248</v>
      </c>
    </row>
    <row r="131" spans="1:12" s="359" customFormat="1" x14ac:dyDescent="0.3">
      <c r="A131" s="360" t="s">
        <v>249</v>
      </c>
      <c r="B131" s="361" t="s">
        <v>250</v>
      </c>
      <c r="C131" s="361"/>
      <c r="E131" s="361"/>
      <c r="F131" s="361"/>
      <c r="G131" s="361"/>
      <c r="H131" s="361"/>
      <c r="I131" s="361"/>
      <c r="J131" s="361"/>
      <c r="K131" s="361"/>
      <c r="L131" s="361"/>
    </row>
  </sheetData>
  <sortState ref="A6:Q125">
    <sortCondition ref="A6:A125"/>
  </sortState>
  <mergeCells count="5">
    <mergeCell ref="J3:L3"/>
    <mergeCell ref="M3:P3"/>
    <mergeCell ref="Q3:Q4"/>
    <mergeCell ref="A128:H128"/>
    <mergeCell ref="E3:I3"/>
  </mergeCells>
  <hyperlinks>
    <hyperlink ref="B131" r:id="rId1"/>
  </hyperlinks>
  <pageMargins left="0.7" right="0.7" top="0.75" bottom="0.75" header="0.3" footer="0.3"/>
  <pageSetup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31"/>
  <sheetViews>
    <sheetView workbookViewId="0">
      <pane xSplit="3" ySplit="5" topLeftCell="D6" activePane="bottomRight" state="frozen"/>
      <selection pane="topRight" activeCell="D1" sqref="D1"/>
      <selection pane="bottomLeft" activeCell="A6" sqref="A6"/>
      <selection pane="bottomRight" activeCell="J128" sqref="J128"/>
    </sheetView>
  </sheetViews>
  <sheetFormatPr defaultColWidth="14.296875" defaultRowHeight="15.6" x14ac:dyDescent="0.3"/>
  <cols>
    <col min="1" max="1" width="14.296875" style="413"/>
    <col min="2" max="2" width="32.19921875" style="413" customWidth="1"/>
    <col min="3" max="4" width="14.5" style="413" customWidth="1"/>
    <col min="5" max="6" width="11.796875" style="413" customWidth="1"/>
    <col min="7" max="7" width="11.09765625" style="413" customWidth="1"/>
    <col min="8" max="9" width="14.5" style="413" customWidth="1"/>
    <col min="10" max="12" width="9.69921875" style="413" customWidth="1"/>
    <col min="13" max="16" width="11.09765625" style="413" customWidth="1"/>
    <col min="17" max="16384" width="14.296875" style="413"/>
  </cols>
  <sheetData>
    <row r="1" spans="1:17" x14ac:dyDescent="0.3">
      <c r="A1" s="252" t="s">
        <v>1177</v>
      </c>
    </row>
    <row r="2" spans="1:17" x14ac:dyDescent="0.3">
      <c r="B2" s="414"/>
      <c r="C2" s="414"/>
      <c r="D2" s="414"/>
      <c r="E2" s="414"/>
      <c r="F2" s="414"/>
      <c r="G2" s="414"/>
      <c r="H2" s="414"/>
      <c r="I2" s="414"/>
      <c r="J2" s="414"/>
      <c r="K2" s="414"/>
      <c r="L2" s="414"/>
    </row>
    <row r="3" spans="1:17" x14ac:dyDescent="0.3">
      <c r="A3" s="415"/>
      <c r="B3" s="416"/>
      <c r="C3" s="513"/>
      <c r="D3" s="513"/>
      <c r="E3" s="2750" t="s">
        <v>711</v>
      </c>
      <c r="F3" s="2751"/>
      <c r="G3" s="2751"/>
      <c r="H3" s="2751"/>
      <c r="I3" s="2752"/>
      <c r="J3" s="2750" t="s">
        <v>706</v>
      </c>
      <c r="K3" s="2751"/>
      <c r="L3" s="2752"/>
      <c r="M3" s="2750" t="s">
        <v>626</v>
      </c>
      <c r="N3" s="2751"/>
      <c r="O3" s="2751"/>
      <c r="P3" s="2752"/>
    </row>
    <row r="4" spans="1:17" ht="46.8" x14ac:dyDescent="0.3">
      <c r="A4" s="417" t="s">
        <v>4</v>
      </c>
      <c r="B4" s="416" t="s">
        <v>5</v>
      </c>
      <c r="C4" s="513" t="s">
        <v>251</v>
      </c>
      <c r="D4" s="513" t="s">
        <v>269</v>
      </c>
      <c r="E4" s="1839" t="s">
        <v>480</v>
      </c>
      <c r="F4" s="1840" t="s">
        <v>986</v>
      </c>
      <c r="G4" s="1840" t="s">
        <v>987</v>
      </c>
      <c r="H4" s="1840" t="s">
        <v>637</v>
      </c>
      <c r="I4" s="1841" t="s">
        <v>978</v>
      </c>
      <c r="J4" s="1839" t="s">
        <v>418</v>
      </c>
      <c r="K4" s="1840" t="s">
        <v>417</v>
      </c>
      <c r="L4" s="1841" t="s">
        <v>978</v>
      </c>
      <c r="M4" s="1843" t="s">
        <v>2</v>
      </c>
      <c r="N4" s="513" t="s">
        <v>314</v>
      </c>
      <c r="O4" s="513" t="s">
        <v>683</v>
      </c>
      <c r="P4" s="1841" t="s">
        <v>978</v>
      </c>
      <c r="Q4" s="1844" t="s">
        <v>979</v>
      </c>
    </row>
    <row r="5" spans="1:17" x14ac:dyDescent="0.3">
      <c r="A5" s="927" t="s">
        <v>8</v>
      </c>
      <c r="B5" s="928" t="s">
        <v>9</v>
      </c>
      <c r="C5" s="929"/>
      <c r="D5" s="1830">
        <v>1730211</v>
      </c>
      <c r="E5" s="1804">
        <v>755045</v>
      </c>
      <c r="F5" s="1796">
        <v>383760</v>
      </c>
      <c r="G5" s="1796">
        <v>443429</v>
      </c>
      <c r="H5" s="1796">
        <v>147710</v>
      </c>
      <c r="I5" s="1811">
        <v>267</v>
      </c>
      <c r="J5" s="1804">
        <v>978070</v>
      </c>
      <c r="K5" s="1796">
        <v>752139</v>
      </c>
      <c r="L5" s="1811">
        <v>2</v>
      </c>
      <c r="M5" s="1799">
        <v>959049</v>
      </c>
      <c r="N5" s="1800">
        <v>648416</v>
      </c>
      <c r="O5" s="1800">
        <v>92204</v>
      </c>
      <c r="P5" s="1801">
        <v>30542</v>
      </c>
      <c r="Q5" s="1801">
        <v>95453</v>
      </c>
    </row>
    <row r="6" spans="1:17" s="512" customFormat="1" x14ac:dyDescent="0.3">
      <c r="A6" s="514" t="s">
        <v>10</v>
      </c>
      <c r="B6" s="510" t="s">
        <v>11</v>
      </c>
      <c r="C6" s="509" t="s">
        <v>252</v>
      </c>
      <c r="D6" s="1829">
        <v>11662</v>
      </c>
      <c r="E6" s="1805">
        <v>5127</v>
      </c>
      <c r="F6" s="817">
        <v>2317</v>
      </c>
      <c r="G6" s="817">
        <v>3014</v>
      </c>
      <c r="H6" s="817">
        <v>1204</v>
      </c>
      <c r="I6" s="1806">
        <v>0</v>
      </c>
      <c r="J6" s="1805">
        <v>6590</v>
      </c>
      <c r="K6" s="817">
        <v>5072</v>
      </c>
      <c r="L6" s="1806"/>
      <c r="M6" s="1802">
        <v>6150</v>
      </c>
      <c r="N6" s="511">
        <v>5260</v>
      </c>
      <c r="O6" s="511">
        <v>126</v>
      </c>
      <c r="P6" s="1803">
        <v>126</v>
      </c>
      <c r="Q6" s="512">
        <v>702</v>
      </c>
    </row>
    <row r="7" spans="1:17" s="512" customFormat="1" x14ac:dyDescent="0.3">
      <c r="A7" s="514" t="s">
        <v>12</v>
      </c>
      <c r="B7" s="510" t="s">
        <v>13</v>
      </c>
      <c r="C7" s="509" t="s">
        <v>253</v>
      </c>
      <c r="D7" s="1829">
        <v>14317</v>
      </c>
      <c r="E7" s="1805">
        <v>6622</v>
      </c>
      <c r="F7" s="817">
        <v>3137</v>
      </c>
      <c r="G7" s="817">
        <v>3430</v>
      </c>
      <c r="H7" s="817">
        <v>1128</v>
      </c>
      <c r="I7" s="1806">
        <v>0</v>
      </c>
      <c r="J7" s="1805">
        <v>8046</v>
      </c>
      <c r="K7" s="817">
        <v>6271</v>
      </c>
      <c r="L7" s="1806"/>
      <c r="M7" s="1802">
        <v>9445</v>
      </c>
      <c r="N7" s="511">
        <v>3651</v>
      </c>
      <c r="O7" s="511">
        <v>743</v>
      </c>
      <c r="P7" s="1803">
        <v>478</v>
      </c>
      <c r="Q7" s="512">
        <v>694</v>
      </c>
    </row>
    <row r="8" spans="1:17" s="512" customFormat="1" x14ac:dyDescent="0.3">
      <c r="A8" s="514" t="s">
        <v>16</v>
      </c>
      <c r="B8" s="510" t="s">
        <v>285</v>
      </c>
      <c r="C8" s="509" t="s">
        <v>253</v>
      </c>
      <c r="D8" s="1829">
        <v>7061</v>
      </c>
      <c r="E8" s="1805">
        <v>2730</v>
      </c>
      <c r="F8" s="817">
        <v>1600</v>
      </c>
      <c r="G8" s="817">
        <v>2022</v>
      </c>
      <c r="H8" s="817">
        <v>709</v>
      </c>
      <c r="I8" s="1806">
        <v>0</v>
      </c>
      <c r="J8" s="1805">
        <v>4009</v>
      </c>
      <c r="K8" s="817">
        <v>3052</v>
      </c>
      <c r="L8" s="1806"/>
      <c r="M8" s="1802">
        <v>6128</v>
      </c>
      <c r="N8" s="511">
        <v>798</v>
      </c>
      <c r="O8" s="511">
        <v>76</v>
      </c>
      <c r="P8" s="1803">
        <v>59</v>
      </c>
      <c r="Q8" s="512">
        <v>83</v>
      </c>
    </row>
    <row r="9" spans="1:17" s="512" customFormat="1" x14ac:dyDescent="0.3">
      <c r="A9" s="514" t="s">
        <v>18</v>
      </c>
      <c r="B9" s="510" t="s">
        <v>19</v>
      </c>
      <c r="C9" s="509" t="s">
        <v>254</v>
      </c>
      <c r="D9" s="1829">
        <v>3433</v>
      </c>
      <c r="E9" s="1805">
        <v>1383</v>
      </c>
      <c r="F9" s="817">
        <v>733</v>
      </c>
      <c r="G9" s="817">
        <v>945</v>
      </c>
      <c r="H9" s="817">
        <v>372</v>
      </c>
      <c r="I9" s="1806">
        <v>0</v>
      </c>
      <c r="J9" s="1805">
        <v>1929</v>
      </c>
      <c r="K9" s="817">
        <v>1504</v>
      </c>
      <c r="L9" s="1806"/>
      <c r="M9" s="1802">
        <v>2154</v>
      </c>
      <c r="N9" s="511">
        <v>1168</v>
      </c>
      <c r="O9" s="511">
        <v>62</v>
      </c>
      <c r="P9" s="1803">
        <v>49</v>
      </c>
      <c r="Q9" s="512">
        <v>105</v>
      </c>
    </row>
    <row r="10" spans="1:17" s="512" customFormat="1" x14ac:dyDescent="0.3">
      <c r="A10" s="514" t="s">
        <v>20</v>
      </c>
      <c r="B10" s="510" t="s">
        <v>21</v>
      </c>
      <c r="C10" s="509" t="s">
        <v>253</v>
      </c>
      <c r="D10" s="1829">
        <v>8290</v>
      </c>
      <c r="E10" s="1805">
        <v>3261</v>
      </c>
      <c r="F10" s="817">
        <v>1866</v>
      </c>
      <c r="G10" s="817">
        <v>2334</v>
      </c>
      <c r="H10" s="817">
        <v>828</v>
      </c>
      <c r="I10" s="1806">
        <v>1</v>
      </c>
      <c r="J10" s="1805">
        <v>4626</v>
      </c>
      <c r="K10" s="817">
        <v>3664</v>
      </c>
      <c r="L10" s="1806"/>
      <c r="M10" s="1802">
        <v>5829</v>
      </c>
      <c r="N10" s="511">
        <v>2215</v>
      </c>
      <c r="O10" s="511">
        <v>168</v>
      </c>
      <c r="P10" s="1803">
        <v>78</v>
      </c>
      <c r="Q10" s="512">
        <v>145</v>
      </c>
    </row>
    <row r="11" spans="1:17" s="512" customFormat="1" x14ac:dyDescent="0.3">
      <c r="A11" s="514" t="s">
        <v>22</v>
      </c>
      <c r="B11" s="510" t="s">
        <v>23</v>
      </c>
      <c r="C11" s="509" t="s">
        <v>253</v>
      </c>
      <c r="D11" s="1829">
        <v>4738</v>
      </c>
      <c r="E11" s="1805">
        <v>1853</v>
      </c>
      <c r="F11" s="817">
        <v>1062</v>
      </c>
      <c r="G11" s="817">
        <v>1356</v>
      </c>
      <c r="H11" s="817">
        <v>467</v>
      </c>
      <c r="I11" s="1806">
        <v>0</v>
      </c>
      <c r="J11" s="1805">
        <v>2694</v>
      </c>
      <c r="K11" s="817">
        <v>2044</v>
      </c>
      <c r="L11" s="1806"/>
      <c r="M11" s="1802">
        <v>3041</v>
      </c>
      <c r="N11" s="511">
        <v>1597</v>
      </c>
      <c r="O11" s="511">
        <v>60</v>
      </c>
      <c r="P11" s="1803">
        <v>40</v>
      </c>
      <c r="Q11" s="512">
        <v>39</v>
      </c>
    </row>
    <row r="12" spans="1:17" s="512" customFormat="1" x14ac:dyDescent="0.3">
      <c r="A12" s="514" t="s">
        <v>24</v>
      </c>
      <c r="B12" s="510" t="s">
        <v>25</v>
      </c>
      <c r="C12" s="509" t="s">
        <v>255</v>
      </c>
      <c r="D12" s="1829">
        <v>21922</v>
      </c>
      <c r="E12" s="1805">
        <v>10734</v>
      </c>
      <c r="F12" s="817">
        <v>3697</v>
      </c>
      <c r="G12" s="817">
        <v>4797</v>
      </c>
      <c r="H12" s="817">
        <v>2693</v>
      </c>
      <c r="I12" s="1806">
        <v>1</v>
      </c>
      <c r="J12" s="1805">
        <v>11922</v>
      </c>
      <c r="K12" s="817">
        <v>10000</v>
      </c>
      <c r="L12" s="1806"/>
      <c r="M12" s="1802">
        <v>12556</v>
      </c>
      <c r="N12" s="511">
        <v>5750</v>
      </c>
      <c r="O12" s="511">
        <v>2773</v>
      </c>
      <c r="P12" s="1803">
        <v>843</v>
      </c>
      <c r="Q12" s="512">
        <v>2866</v>
      </c>
    </row>
    <row r="13" spans="1:17" s="512" customFormat="1" x14ac:dyDescent="0.3">
      <c r="A13" s="514" t="s">
        <v>26</v>
      </c>
      <c r="B13" s="510" t="s">
        <v>547</v>
      </c>
      <c r="C13" s="509" t="s">
        <v>253</v>
      </c>
      <c r="D13" s="1829">
        <v>30184</v>
      </c>
      <c r="E13" s="1805">
        <v>12690</v>
      </c>
      <c r="F13" s="817">
        <v>7024</v>
      </c>
      <c r="G13" s="817">
        <v>8088</v>
      </c>
      <c r="H13" s="817">
        <v>2379</v>
      </c>
      <c r="I13" s="1806">
        <v>3</v>
      </c>
      <c r="J13" s="1805">
        <v>17194</v>
      </c>
      <c r="K13" s="817">
        <v>12990</v>
      </c>
      <c r="L13" s="1806"/>
      <c r="M13" s="1802">
        <v>25296</v>
      </c>
      <c r="N13" s="511">
        <v>4023</v>
      </c>
      <c r="O13" s="511">
        <v>460</v>
      </c>
      <c r="P13" s="1803">
        <v>405</v>
      </c>
      <c r="Q13" s="512">
        <v>767</v>
      </c>
    </row>
    <row r="14" spans="1:17" s="512" customFormat="1" x14ac:dyDescent="0.3">
      <c r="A14" s="514" t="s">
        <v>27</v>
      </c>
      <c r="B14" s="510" t="s">
        <v>28</v>
      </c>
      <c r="C14" s="509" t="s">
        <v>253</v>
      </c>
      <c r="D14" s="1829">
        <v>1043</v>
      </c>
      <c r="E14" s="1805">
        <v>436</v>
      </c>
      <c r="F14" s="817">
        <v>221</v>
      </c>
      <c r="G14" s="817">
        <v>276</v>
      </c>
      <c r="H14" s="817">
        <v>110</v>
      </c>
      <c r="I14" s="1806">
        <v>0</v>
      </c>
      <c r="J14" s="1805">
        <v>580</v>
      </c>
      <c r="K14" s="817">
        <v>463</v>
      </c>
      <c r="L14" s="1806"/>
      <c r="M14" s="1802">
        <v>973</v>
      </c>
      <c r="N14" s="511">
        <v>39</v>
      </c>
      <c r="O14" s="511">
        <v>11</v>
      </c>
      <c r="P14" s="1803">
        <v>20</v>
      </c>
      <c r="Q14" s="512">
        <v>13</v>
      </c>
    </row>
    <row r="15" spans="1:17" s="512" customFormat="1" x14ac:dyDescent="0.3">
      <c r="A15" s="514" t="s">
        <v>29</v>
      </c>
      <c r="B15" s="510" t="s">
        <v>736</v>
      </c>
      <c r="C15" s="509" t="s">
        <v>253</v>
      </c>
      <c r="D15" s="1829">
        <v>14608</v>
      </c>
      <c r="E15" s="1805">
        <v>6107</v>
      </c>
      <c r="F15" s="817">
        <v>3332</v>
      </c>
      <c r="G15" s="817">
        <v>3980</v>
      </c>
      <c r="H15" s="817">
        <v>1189</v>
      </c>
      <c r="I15" s="1806">
        <v>0</v>
      </c>
      <c r="J15" s="1805">
        <v>8176</v>
      </c>
      <c r="K15" s="817">
        <v>6432</v>
      </c>
      <c r="L15" s="1806"/>
      <c r="M15" s="1802">
        <v>11921</v>
      </c>
      <c r="N15" s="511">
        <v>2171</v>
      </c>
      <c r="O15" s="511">
        <v>266</v>
      </c>
      <c r="P15" s="1803">
        <v>250</v>
      </c>
      <c r="Q15" s="512">
        <v>292</v>
      </c>
    </row>
    <row r="16" spans="1:17" s="512" customFormat="1" x14ac:dyDescent="0.3">
      <c r="A16" s="514" t="s">
        <v>30</v>
      </c>
      <c r="B16" s="510" t="s">
        <v>31</v>
      </c>
      <c r="C16" s="509" t="s">
        <v>256</v>
      </c>
      <c r="D16" s="1829">
        <v>1383</v>
      </c>
      <c r="E16" s="1805">
        <v>493</v>
      </c>
      <c r="F16" s="817">
        <v>315</v>
      </c>
      <c r="G16" s="817">
        <v>434</v>
      </c>
      <c r="H16" s="817">
        <v>140</v>
      </c>
      <c r="I16" s="1806">
        <v>1</v>
      </c>
      <c r="J16" s="1805">
        <v>783</v>
      </c>
      <c r="K16" s="817">
        <v>600</v>
      </c>
      <c r="L16" s="1806"/>
      <c r="M16" s="1802">
        <v>1318</v>
      </c>
      <c r="N16" s="511">
        <v>35</v>
      </c>
      <c r="O16" s="511">
        <v>15</v>
      </c>
      <c r="P16" s="1803">
        <v>15</v>
      </c>
      <c r="Q16" s="512">
        <v>6</v>
      </c>
    </row>
    <row r="17" spans="1:17" s="512" customFormat="1" x14ac:dyDescent="0.3">
      <c r="A17" s="514" t="s">
        <v>32</v>
      </c>
      <c r="B17" s="510" t="s">
        <v>33</v>
      </c>
      <c r="C17" s="509" t="s">
        <v>253</v>
      </c>
      <c r="D17" s="1829">
        <v>4978</v>
      </c>
      <c r="E17" s="1805">
        <v>2087</v>
      </c>
      <c r="F17" s="817">
        <v>1056</v>
      </c>
      <c r="G17" s="817">
        <v>1386</v>
      </c>
      <c r="H17" s="817">
        <v>449</v>
      </c>
      <c r="I17" s="1806">
        <v>0</v>
      </c>
      <c r="J17" s="1805">
        <v>2788</v>
      </c>
      <c r="K17" s="817">
        <v>2190</v>
      </c>
      <c r="L17" s="1806"/>
      <c r="M17" s="1802">
        <v>4514</v>
      </c>
      <c r="N17" s="511">
        <v>254</v>
      </c>
      <c r="O17" s="511">
        <v>118</v>
      </c>
      <c r="P17" s="1803">
        <v>92</v>
      </c>
      <c r="Q17" s="512">
        <v>141</v>
      </c>
    </row>
    <row r="18" spans="1:17" s="512" customFormat="1" x14ac:dyDescent="0.3">
      <c r="A18" s="514" t="s">
        <v>36</v>
      </c>
      <c r="B18" s="510" t="s">
        <v>37</v>
      </c>
      <c r="C18" s="509" t="s">
        <v>252</v>
      </c>
      <c r="D18" s="1829">
        <v>5991</v>
      </c>
      <c r="E18" s="1805">
        <v>2092</v>
      </c>
      <c r="F18" s="817">
        <v>1356</v>
      </c>
      <c r="G18" s="817">
        <v>1674</v>
      </c>
      <c r="H18" s="817">
        <v>868</v>
      </c>
      <c r="I18" s="1806">
        <v>1</v>
      </c>
      <c r="J18" s="1805">
        <v>3355</v>
      </c>
      <c r="K18" s="817">
        <v>2636</v>
      </c>
      <c r="L18" s="1806"/>
      <c r="M18" s="1802">
        <v>1709</v>
      </c>
      <c r="N18" s="511">
        <v>4178</v>
      </c>
      <c r="O18" s="511">
        <v>68</v>
      </c>
      <c r="P18" s="1803">
        <v>36</v>
      </c>
      <c r="Q18" s="512">
        <v>76</v>
      </c>
    </row>
    <row r="19" spans="1:17" s="512" customFormat="1" x14ac:dyDescent="0.3">
      <c r="A19" s="514" t="s">
        <v>38</v>
      </c>
      <c r="B19" s="510" t="s">
        <v>39</v>
      </c>
      <c r="C19" s="509" t="s">
        <v>256</v>
      </c>
      <c r="D19" s="1829">
        <v>8813</v>
      </c>
      <c r="E19" s="1805">
        <v>2746</v>
      </c>
      <c r="F19" s="817">
        <v>1992</v>
      </c>
      <c r="G19" s="817">
        <v>3263</v>
      </c>
      <c r="H19" s="817">
        <v>812</v>
      </c>
      <c r="I19" s="1806">
        <v>0</v>
      </c>
      <c r="J19" s="1805">
        <v>4778</v>
      </c>
      <c r="K19" s="817">
        <v>4035</v>
      </c>
      <c r="L19" s="1806"/>
      <c r="M19" s="1802">
        <v>8647</v>
      </c>
      <c r="N19" s="511">
        <v>80</v>
      </c>
      <c r="O19" s="511">
        <v>35</v>
      </c>
      <c r="P19" s="1803">
        <v>51</v>
      </c>
      <c r="Q19" s="512">
        <v>28</v>
      </c>
    </row>
    <row r="20" spans="1:17" s="512" customFormat="1" x14ac:dyDescent="0.3">
      <c r="A20" s="514" t="s">
        <v>40</v>
      </c>
      <c r="B20" s="510" t="s">
        <v>41</v>
      </c>
      <c r="C20" s="509" t="s">
        <v>254</v>
      </c>
      <c r="D20" s="1829">
        <v>5346</v>
      </c>
      <c r="E20" s="1805">
        <v>2020</v>
      </c>
      <c r="F20" s="817">
        <v>1140</v>
      </c>
      <c r="G20" s="817">
        <v>1546</v>
      </c>
      <c r="H20" s="817">
        <v>640</v>
      </c>
      <c r="I20" s="1806">
        <v>0</v>
      </c>
      <c r="J20" s="1805">
        <v>2955</v>
      </c>
      <c r="K20" s="817">
        <v>2391</v>
      </c>
      <c r="L20" s="1806"/>
      <c r="M20" s="1802">
        <v>2942</v>
      </c>
      <c r="N20" s="511">
        <v>2292</v>
      </c>
      <c r="O20" s="511">
        <v>57</v>
      </c>
      <c r="P20" s="1803">
        <v>55</v>
      </c>
      <c r="Q20" s="512">
        <v>75</v>
      </c>
    </row>
    <row r="21" spans="1:17" s="512" customFormat="1" x14ac:dyDescent="0.3">
      <c r="A21" s="514" t="s">
        <v>42</v>
      </c>
      <c r="B21" s="510" t="s">
        <v>43</v>
      </c>
      <c r="C21" s="509" t="s">
        <v>253</v>
      </c>
      <c r="D21" s="1829">
        <v>14989</v>
      </c>
      <c r="E21" s="1805">
        <v>6110</v>
      </c>
      <c r="F21" s="817">
        <v>3493</v>
      </c>
      <c r="G21" s="817">
        <v>4001</v>
      </c>
      <c r="H21" s="817">
        <v>1379</v>
      </c>
      <c r="I21" s="1806">
        <v>6</v>
      </c>
      <c r="J21" s="1805">
        <v>8595</v>
      </c>
      <c r="K21" s="817">
        <v>6394</v>
      </c>
      <c r="L21" s="1806"/>
      <c r="M21" s="1802">
        <v>10898</v>
      </c>
      <c r="N21" s="511">
        <v>3597</v>
      </c>
      <c r="O21" s="511">
        <v>316</v>
      </c>
      <c r="P21" s="1803">
        <v>178</v>
      </c>
      <c r="Q21" s="512">
        <v>341</v>
      </c>
    </row>
    <row r="22" spans="1:17" s="512" customFormat="1" x14ac:dyDescent="0.3">
      <c r="A22" s="514" t="s">
        <v>44</v>
      </c>
      <c r="B22" s="510" t="s">
        <v>45</v>
      </c>
      <c r="C22" s="509" t="s">
        <v>254</v>
      </c>
      <c r="D22" s="1829">
        <v>8344</v>
      </c>
      <c r="E22" s="1805">
        <v>3517</v>
      </c>
      <c r="F22" s="817">
        <v>1895</v>
      </c>
      <c r="G22" s="817">
        <v>2255</v>
      </c>
      <c r="H22" s="817">
        <v>671</v>
      </c>
      <c r="I22" s="1806">
        <v>6</v>
      </c>
      <c r="J22" s="1805">
        <v>4779</v>
      </c>
      <c r="K22" s="817">
        <v>3565</v>
      </c>
      <c r="L22" s="1806"/>
      <c r="M22" s="1802">
        <v>4865</v>
      </c>
      <c r="N22" s="511">
        <v>3141</v>
      </c>
      <c r="O22" s="511">
        <v>226</v>
      </c>
      <c r="P22" s="1803">
        <v>112</v>
      </c>
      <c r="Q22" s="512">
        <v>225</v>
      </c>
    </row>
    <row r="23" spans="1:17" s="512" customFormat="1" x14ac:dyDescent="0.3">
      <c r="A23" s="514" t="s">
        <v>46</v>
      </c>
      <c r="B23" s="510" t="s">
        <v>47</v>
      </c>
      <c r="C23" s="509" t="s">
        <v>256</v>
      </c>
      <c r="D23" s="1829">
        <v>9792</v>
      </c>
      <c r="E23" s="1805">
        <v>3513</v>
      </c>
      <c r="F23" s="817">
        <v>2105</v>
      </c>
      <c r="G23" s="817">
        <v>2896</v>
      </c>
      <c r="H23" s="817">
        <v>1278</v>
      </c>
      <c r="I23" s="1806">
        <v>0</v>
      </c>
      <c r="J23" s="1805">
        <v>5385</v>
      </c>
      <c r="K23" s="817">
        <v>4407</v>
      </c>
      <c r="L23" s="1806"/>
      <c r="M23" s="1802">
        <v>9465</v>
      </c>
      <c r="N23" s="511">
        <v>138</v>
      </c>
      <c r="O23" s="511">
        <v>91</v>
      </c>
      <c r="P23" s="1803">
        <v>98</v>
      </c>
      <c r="Q23" s="512">
        <v>240</v>
      </c>
    </row>
    <row r="24" spans="1:17" s="512" customFormat="1" x14ac:dyDescent="0.3">
      <c r="A24" s="514" t="s">
        <v>48</v>
      </c>
      <c r="B24" s="510" t="s">
        <v>257</v>
      </c>
      <c r="C24" s="509" t="s">
        <v>254</v>
      </c>
      <c r="D24" s="1829">
        <v>1914</v>
      </c>
      <c r="E24" s="1805">
        <v>713</v>
      </c>
      <c r="F24" s="817">
        <v>385</v>
      </c>
      <c r="G24" s="817">
        <v>586</v>
      </c>
      <c r="H24" s="817">
        <v>230</v>
      </c>
      <c r="I24" s="1806">
        <v>0</v>
      </c>
      <c r="J24" s="1805">
        <v>1091</v>
      </c>
      <c r="K24" s="817">
        <v>823</v>
      </c>
      <c r="L24" s="1806"/>
      <c r="M24" s="1802">
        <v>721</v>
      </c>
      <c r="N24" s="511">
        <v>1101</v>
      </c>
      <c r="O24" s="511">
        <v>74</v>
      </c>
      <c r="P24" s="1803">
        <v>18</v>
      </c>
      <c r="Q24" s="512">
        <v>4</v>
      </c>
    </row>
    <row r="25" spans="1:17" s="512" customFormat="1" x14ac:dyDescent="0.3">
      <c r="A25" s="514" t="s">
        <v>50</v>
      </c>
      <c r="B25" s="510" t="s">
        <v>51</v>
      </c>
      <c r="C25" s="509" t="s">
        <v>253</v>
      </c>
      <c r="D25" s="1829">
        <v>4178</v>
      </c>
      <c r="E25" s="1805">
        <v>1571</v>
      </c>
      <c r="F25" s="817">
        <v>911</v>
      </c>
      <c r="G25" s="817">
        <v>1147</v>
      </c>
      <c r="H25" s="817">
        <v>549</v>
      </c>
      <c r="I25" s="1806">
        <v>0</v>
      </c>
      <c r="J25" s="1805">
        <v>2345</v>
      </c>
      <c r="K25" s="817">
        <v>1833</v>
      </c>
      <c r="L25" s="1806"/>
      <c r="M25" s="1802">
        <v>2237</v>
      </c>
      <c r="N25" s="511">
        <v>1864</v>
      </c>
      <c r="O25" s="511">
        <v>41</v>
      </c>
      <c r="P25" s="1803">
        <v>36</v>
      </c>
      <c r="Q25" s="512">
        <v>60</v>
      </c>
    </row>
    <row r="26" spans="1:17" s="512" customFormat="1" x14ac:dyDescent="0.3">
      <c r="A26" s="514" t="s">
        <v>56</v>
      </c>
      <c r="B26" s="510" t="s">
        <v>283</v>
      </c>
      <c r="C26" s="509" t="s">
        <v>254</v>
      </c>
      <c r="D26" s="1829">
        <v>76391</v>
      </c>
      <c r="E26" s="1805">
        <v>36699</v>
      </c>
      <c r="F26" s="817">
        <v>18421</v>
      </c>
      <c r="G26" s="817">
        <v>17228</v>
      </c>
      <c r="H26" s="817">
        <v>4027</v>
      </c>
      <c r="I26" s="1806">
        <v>16</v>
      </c>
      <c r="J26" s="1805">
        <v>43767</v>
      </c>
      <c r="K26" s="817">
        <v>32624</v>
      </c>
      <c r="L26" s="1806"/>
      <c r="M26" s="1802">
        <v>41984</v>
      </c>
      <c r="N26" s="511">
        <v>29377</v>
      </c>
      <c r="O26" s="511">
        <v>3670</v>
      </c>
      <c r="P26" s="1803">
        <v>1360</v>
      </c>
      <c r="Q26" s="512">
        <v>5551</v>
      </c>
    </row>
    <row r="27" spans="1:17" s="512" customFormat="1" x14ac:dyDescent="0.3">
      <c r="A27" s="514" t="s">
        <v>58</v>
      </c>
      <c r="B27" s="510" t="s">
        <v>59</v>
      </c>
      <c r="C27" s="509" t="s">
        <v>255</v>
      </c>
      <c r="D27" s="1829">
        <v>1748</v>
      </c>
      <c r="E27" s="1805">
        <v>744</v>
      </c>
      <c r="F27" s="817">
        <v>344</v>
      </c>
      <c r="G27" s="817">
        <v>460</v>
      </c>
      <c r="H27" s="817">
        <v>200</v>
      </c>
      <c r="I27" s="1806">
        <v>0</v>
      </c>
      <c r="J27" s="1805">
        <v>953</v>
      </c>
      <c r="K27" s="817">
        <v>795</v>
      </c>
      <c r="L27" s="1806"/>
      <c r="M27" s="1802">
        <v>1443</v>
      </c>
      <c r="N27" s="511">
        <v>201</v>
      </c>
      <c r="O27" s="511">
        <v>38</v>
      </c>
      <c r="P27" s="1803">
        <v>66</v>
      </c>
      <c r="Q27" s="512">
        <v>114</v>
      </c>
    </row>
    <row r="28" spans="1:17" s="512" customFormat="1" x14ac:dyDescent="0.3">
      <c r="A28" s="514" t="s">
        <v>60</v>
      </c>
      <c r="B28" s="510" t="s">
        <v>61</v>
      </c>
      <c r="C28" s="509" t="s">
        <v>253</v>
      </c>
      <c r="D28" s="1829">
        <v>1270</v>
      </c>
      <c r="E28" s="1805">
        <v>499</v>
      </c>
      <c r="F28" s="817">
        <v>280</v>
      </c>
      <c r="G28" s="817">
        <v>354</v>
      </c>
      <c r="H28" s="817">
        <v>137</v>
      </c>
      <c r="I28" s="1806">
        <v>0</v>
      </c>
      <c r="J28" s="1805">
        <v>703</v>
      </c>
      <c r="K28" s="817">
        <v>567</v>
      </c>
      <c r="L28" s="1806"/>
      <c r="M28" s="1802">
        <v>1239</v>
      </c>
      <c r="N28" s="511">
        <v>11</v>
      </c>
      <c r="O28" s="511">
        <v>8</v>
      </c>
      <c r="P28" s="1803">
        <v>12</v>
      </c>
      <c r="Q28" s="512">
        <v>1</v>
      </c>
    </row>
    <row r="29" spans="1:17" s="512" customFormat="1" x14ac:dyDescent="0.3">
      <c r="A29" s="514" t="s">
        <v>62</v>
      </c>
      <c r="B29" s="510" t="s">
        <v>63</v>
      </c>
      <c r="C29" s="509" t="s">
        <v>255</v>
      </c>
      <c r="D29" s="1829">
        <v>11864</v>
      </c>
      <c r="E29" s="1805">
        <v>5724</v>
      </c>
      <c r="F29" s="817">
        <v>2458</v>
      </c>
      <c r="G29" s="817">
        <v>2772</v>
      </c>
      <c r="H29" s="817">
        <v>909</v>
      </c>
      <c r="I29" s="1806">
        <v>1</v>
      </c>
      <c r="J29" s="1805">
        <v>6641</v>
      </c>
      <c r="K29" s="817">
        <v>5223</v>
      </c>
      <c r="L29" s="1806"/>
      <c r="M29" s="1802">
        <v>8282</v>
      </c>
      <c r="N29" s="511">
        <v>3038</v>
      </c>
      <c r="O29" s="511">
        <v>382</v>
      </c>
      <c r="P29" s="1803">
        <v>162</v>
      </c>
      <c r="Q29" s="512">
        <v>917</v>
      </c>
    </row>
    <row r="30" spans="1:17" s="512" customFormat="1" x14ac:dyDescent="0.3">
      <c r="A30" s="514" t="s">
        <v>64</v>
      </c>
      <c r="B30" s="510" t="s">
        <v>65</v>
      </c>
      <c r="C30" s="509" t="s">
        <v>254</v>
      </c>
      <c r="D30" s="1829">
        <v>3667</v>
      </c>
      <c r="E30" s="1805">
        <v>1420</v>
      </c>
      <c r="F30" s="817">
        <v>845</v>
      </c>
      <c r="G30" s="817">
        <v>997</v>
      </c>
      <c r="H30" s="817">
        <v>405</v>
      </c>
      <c r="I30" s="1806">
        <v>0</v>
      </c>
      <c r="J30" s="1805">
        <v>2083</v>
      </c>
      <c r="K30" s="817">
        <v>1584</v>
      </c>
      <c r="L30" s="1806"/>
      <c r="M30" s="1802">
        <v>2016</v>
      </c>
      <c r="N30" s="511">
        <v>1588</v>
      </c>
      <c r="O30" s="511">
        <v>41</v>
      </c>
      <c r="P30" s="1803">
        <v>22</v>
      </c>
      <c r="Q30" s="512">
        <v>83</v>
      </c>
    </row>
    <row r="31" spans="1:17" s="512" customFormat="1" x14ac:dyDescent="0.3">
      <c r="A31" s="514" t="s">
        <v>68</v>
      </c>
      <c r="B31" s="510" t="s">
        <v>69</v>
      </c>
      <c r="C31" s="509" t="s">
        <v>256</v>
      </c>
      <c r="D31" s="1829">
        <v>6161</v>
      </c>
      <c r="E31" s="1805">
        <v>2062</v>
      </c>
      <c r="F31" s="817">
        <v>1382</v>
      </c>
      <c r="G31" s="817">
        <v>2109</v>
      </c>
      <c r="H31" s="817">
        <v>608</v>
      </c>
      <c r="I31" s="1806">
        <v>0</v>
      </c>
      <c r="J31" s="1805">
        <v>3324</v>
      </c>
      <c r="K31" s="817">
        <v>2837</v>
      </c>
      <c r="L31" s="1806"/>
      <c r="M31" s="1802">
        <v>6052</v>
      </c>
      <c r="N31" s="511">
        <v>59</v>
      </c>
      <c r="O31" s="511">
        <v>28</v>
      </c>
      <c r="P31" s="1803">
        <v>22</v>
      </c>
      <c r="Q31" s="512">
        <v>11</v>
      </c>
    </row>
    <row r="32" spans="1:17" s="512" customFormat="1" x14ac:dyDescent="0.3">
      <c r="A32" s="514" t="s">
        <v>70</v>
      </c>
      <c r="B32" s="510" t="s">
        <v>71</v>
      </c>
      <c r="C32" s="509" t="s">
        <v>252</v>
      </c>
      <c r="D32" s="1829">
        <v>8341</v>
      </c>
      <c r="E32" s="1805">
        <v>3492</v>
      </c>
      <c r="F32" s="817">
        <v>1929</v>
      </c>
      <c r="G32" s="817">
        <v>2297</v>
      </c>
      <c r="H32" s="817">
        <v>623</v>
      </c>
      <c r="I32" s="1806">
        <v>0</v>
      </c>
      <c r="J32" s="1805">
        <v>4741</v>
      </c>
      <c r="K32" s="817">
        <v>3600</v>
      </c>
      <c r="L32" s="1806"/>
      <c r="M32" s="1802">
        <v>4729</v>
      </c>
      <c r="N32" s="511">
        <v>3391</v>
      </c>
      <c r="O32" s="511">
        <v>130</v>
      </c>
      <c r="P32" s="1803">
        <v>91</v>
      </c>
      <c r="Q32" s="512">
        <v>294</v>
      </c>
    </row>
    <row r="33" spans="1:17" s="512" customFormat="1" x14ac:dyDescent="0.3">
      <c r="A33" s="514" t="s">
        <v>72</v>
      </c>
      <c r="B33" s="510" t="s">
        <v>73</v>
      </c>
      <c r="C33" s="509" t="s">
        <v>254</v>
      </c>
      <c r="D33" s="1829">
        <v>3886</v>
      </c>
      <c r="E33" s="1805">
        <v>1570</v>
      </c>
      <c r="F33" s="817">
        <v>930</v>
      </c>
      <c r="G33" s="817">
        <v>1079</v>
      </c>
      <c r="H33" s="817">
        <v>306</v>
      </c>
      <c r="I33" s="1806">
        <v>1</v>
      </c>
      <c r="J33" s="1805">
        <v>2261</v>
      </c>
      <c r="K33" s="817">
        <v>1625</v>
      </c>
      <c r="L33" s="1806"/>
      <c r="M33" s="1802">
        <v>1441</v>
      </c>
      <c r="N33" s="511">
        <v>2308</v>
      </c>
      <c r="O33" s="511">
        <v>89</v>
      </c>
      <c r="P33" s="1803">
        <v>48</v>
      </c>
      <c r="Q33" s="512">
        <v>85</v>
      </c>
    </row>
    <row r="34" spans="1:17" s="512" customFormat="1" x14ac:dyDescent="0.3">
      <c r="A34" s="514" t="s">
        <v>74</v>
      </c>
      <c r="B34" s="510" t="s">
        <v>284</v>
      </c>
      <c r="C34" s="509" t="s">
        <v>255</v>
      </c>
      <c r="D34" s="1829">
        <v>143564</v>
      </c>
      <c r="E34" s="1805">
        <v>74998</v>
      </c>
      <c r="F34" s="817">
        <v>25680</v>
      </c>
      <c r="G34" s="817">
        <v>27795</v>
      </c>
      <c r="H34" s="817">
        <v>15076</v>
      </c>
      <c r="I34" s="1806">
        <v>15</v>
      </c>
      <c r="J34" s="1805">
        <v>78766</v>
      </c>
      <c r="K34" s="817">
        <v>64798</v>
      </c>
      <c r="L34" s="1806"/>
      <c r="M34" s="1802">
        <v>85850</v>
      </c>
      <c r="N34" s="511">
        <v>26618</v>
      </c>
      <c r="O34" s="511">
        <v>26521</v>
      </c>
      <c r="P34" s="1803">
        <v>4575</v>
      </c>
      <c r="Q34" s="512">
        <v>16720</v>
      </c>
    </row>
    <row r="35" spans="1:17" s="512" customFormat="1" x14ac:dyDescent="0.3">
      <c r="A35" s="514" t="s">
        <v>76</v>
      </c>
      <c r="B35" s="510" t="s">
        <v>77</v>
      </c>
      <c r="C35" s="509" t="s">
        <v>255</v>
      </c>
      <c r="D35" s="1829">
        <v>9819</v>
      </c>
      <c r="E35" s="1805">
        <v>4657</v>
      </c>
      <c r="F35" s="817">
        <v>2065</v>
      </c>
      <c r="G35" s="817">
        <v>2320</v>
      </c>
      <c r="H35" s="817">
        <v>776</v>
      </c>
      <c r="I35" s="1806">
        <v>1</v>
      </c>
      <c r="J35" s="1805">
        <v>5504</v>
      </c>
      <c r="K35" s="817">
        <v>4315</v>
      </c>
      <c r="L35" s="1806"/>
      <c r="M35" s="1802">
        <v>7381</v>
      </c>
      <c r="N35" s="511">
        <v>1968</v>
      </c>
      <c r="O35" s="511">
        <v>242</v>
      </c>
      <c r="P35" s="1803">
        <v>228</v>
      </c>
      <c r="Q35" s="512">
        <v>588</v>
      </c>
    </row>
    <row r="36" spans="1:17" s="512" customFormat="1" x14ac:dyDescent="0.3">
      <c r="A36" s="514" t="s">
        <v>78</v>
      </c>
      <c r="B36" s="510" t="s">
        <v>79</v>
      </c>
      <c r="C36" s="509" t="s">
        <v>256</v>
      </c>
      <c r="D36" s="1829">
        <v>4128</v>
      </c>
      <c r="E36" s="1805">
        <v>1619</v>
      </c>
      <c r="F36" s="817">
        <v>900</v>
      </c>
      <c r="G36" s="817">
        <v>1204</v>
      </c>
      <c r="H36" s="817">
        <v>405</v>
      </c>
      <c r="I36" s="1806">
        <v>0</v>
      </c>
      <c r="J36" s="1805">
        <v>2220</v>
      </c>
      <c r="K36" s="817">
        <v>1908</v>
      </c>
      <c r="L36" s="1806"/>
      <c r="M36" s="1802">
        <v>3843</v>
      </c>
      <c r="N36" s="511">
        <v>158</v>
      </c>
      <c r="O36" s="511">
        <v>58</v>
      </c>
      <c r="P36" s="1803">
        <v>69</v>
      </c>
      <c r="Q36" s="512">
        <v>124</v>
      </c>
    </row>
    <row r="37" spans="1:17" s="512" customFormat="1" x14ac:dyDescent="0.3">
      <c r="A37" s="514" t="s">
        <v>80</v>
      </c>
      <c r="B37" s="510" t="s">
        <v>81</v>
      </c>
      <c r="C37" s="509" t="s">
        <v>254</v>
      </c>
      <c r="D37" s="1829">
        <v>4483</v>
      </c>
      <c r="E37" s="1805">
        <v>1929</v>
      </c>
      <c r="F37" s="817">
        <v>951</v>
      </c>
      <c r="G37" s="817">
        <v>1156</v>
      </c>
      <c r="H37" s="817">
        <v>446</v>
      </c>
      <c r="I37" s="1806">
        <v>1</v>
      </c>
      <c r="J37" s="1805">
        <v>2561</v>
      </c>
      <c r="K37" s="817">
        <v>1922</v>
      </c>
      <c r="L37" s="1806"/>
      <c r="M37" s="1802">
        <v>3081</v>
      </c>
      <c r="N37" s="511">
        <v>1242</v>
      </c>
      <c r="O37" s="511">
        <v>72</v>
      </c>
      <c r="P37" s="1803">
        <v>88</v>
      </c>
      <c r="Q37" s="512">
        <v>110</v>
      </c>
    </row>
    <row r="38" spans="1:17" s="512" customFormat="1" x14ac:dyDescent="0.3">
      <c r="A38" s="514" t="s">
        <v>84</v>
      </c>
      <c r="B38" s="510" t="s">
        <v>85</v>
      </c>
      <c r="C38" s="509" t="s">
        <v>253</v>
      </c>
      <c r="D38" s="1829">
        <v>14085</v>
      </c>
      <c r="E38" s="1805">
        <v>5871</v>
      </c>
      <c r="F38" s="817">
        <v>3035</v>
      </c>
      <c r="G38" s="817">
        <v>3902</v>
      </c>
      <c r="H38" s="817">
        <v>1275</v>
      </c>
      <c r="I38" s="1806">
        <v>2</v>
      </c>
      <c r="J38" s="1805">
        <v>7868</v>
      </c>
      <c r="K38" s="817">
        <v>6217</v>
      </c>
      <c r="L38" s="1806"/>
      <c r="M38" s="1802">
        <v>11851</v>
      </c>
      <c r="N38" s="511">
        <v>1791</v>
      </c>
      <c r="O38" s="511">
        <v>245</v>
      </c>
      <c r="P38" s="1803">
        <v>198</v>
      </c>
      <c r="Q38" s="512">
        <v>443</v>
      </c>
    </row>
    <row r="39" spans="1:17" s="512" customFormat="1" x14ac:dyDescent="0.3">
      <c r="A39" s="514" t="s">
        <v>86</v>
      </c>
      <c r="B39" s="510" t="s">
        <v>87</v>
      </c>
      <c r="C39" s="509" t="s">
        <v>255</v>
      </c>
      <c r="D39" s="1829">
        <v>15263</v>
      </c>
      <c r="E39" s="1805">
        <v>7473</v>
      </c>
      <c r="F39" s="817">
        <v>3377</v>
      </c>
      <c r="G39" s="817">
        <v>3369</v>
      </c>
      <c r="H39" s="817">
        <v>1044</v>
      </c>
      <c r="I39" s="1806">
        <v>0</v>
      </c>
      <c r="J39" s="1805">
        <v>8586</v>
      </c>
      <c r="K39" s="817">
        <v>6677</v>
      </c>
      <c r="L39" s="1806"/>
      <c r="M39" s="1802">
        <v>13316</v>
      </c>
      <c r="N39" s="511">
        <v>1337</v>
      </c>
      <c r="O39" s="511">
        <v>355</v>
      </c>
      <c r="P39" s="1803">
        <v>255</v>
      </c>
      <c r="Q39" s="512">
        <v>1742</v>
      </c>
    </row>
    <row r="40" spans="1:17" s="512" customFormat="1" x14ac:dyDescent="0.3">
      <c r="A40" s="514" t="s">
        <v>92</v>
      </c>
      <c r="B40" s="510" t="s">
        <v>93</v>
      </c>
      <c r="C40" s="509" t="s">
        <v>256</v>
      </c>
      <c r="D40" s="1829">
        <v>4741</v>
      </c>
      <c r="E40" s="1805">
        <v>1796</v>
      </c>
      <c r="F40" s="817">
        <v>1020</v>
      </c>
      <c r="G40" s="817">
        <v>1384</v>
      </c>
      <c r="H40" s="817">
        <v>540</v>
      </c>
      <c r="I40" s="1806">
        <v>1</v>
      </c>
      <c r="J40" s="1805">
        <v>2634</v>
      </c>
      <c r="K40" s="817">
        <v>2107</v>
      </c>
      <c r="L40" s="1806"/>
      <c r="M40" s="1802">
        <v>4534</v>
      </c>
      <c r="N40" s="511">
        <v>122</v>
      </c>
      <c r="O40" s="511">
        <v>32</v>
      </c>
      <c r="P40" s="1803">
        <v>53</v>
      </c>
      <c r="Q40" s="512">
        <v>46</v>
      </c>
    </row>
    <row r="41" spans="1:17" s="512" customFormat="1" x14ac:dyDescent="0.3">
      <c r="A41" s="514" t="s">
        <v>94</v>
      </c>
      <c r="B41" s="510" t="s">
        <v>95</v>
      </c>
      <c r="C41" s="509" t="s">
        <v>252</v>
      </c>
      <c r="D41" s="1829">
        <v>8224</v>
      </c>
      <c r="E41" s="1805">
        <v>3251</v>
      </c>
      <c r="F41" s="817">
        <v>1924</v>
      </c>
      <c r="G41" s="817">
        <v>2401</v>
      </c>
      <c r="H41" s="817">
        <v>648</v>
      </c>
      <c r="I41" s="1806">
        <v>0</v>
      </c>
      <c r="J41" s="1805">
        <v>4623</v>
      </c>
      <c r="K41" s="817">
        <v>3601</v>
      </c>
      <c r="L41" s="1806"/>
      <c r="M41" s="1802">
        <v>6667</v>
      </c>
      <c r="N41" s="511">
        <v>1286</v>
      </c>
      <c r="O41" s="511">
        <v>145</v>
      </c>
      <c r="P41" s="1803">
        <v>126</v>
      </c>
      <c r="Q41" s="512">
        <v>195</v>
      </c>
    </row>
    <row r="42" spans="1:17" s="512" customFormat="1" x14ac:dyDescent="0.3">
      <c r="A42" s="514" t="s">
        <v>96</v>
      </c>
      <c r="B42" s="510" t="s">
        <v>97</v>
      </c>
      <c r="C42" s="509" t="s">
        <v>254</v>
      </c>
      <c r="D42" s="1829">
        <v>2990</v>
      </c>
      <c r="E42" s="1805">
        <v>1170</v>
      </c>
      <c r="F42" s="817">
        <v>635</v>
      </c>
      <c r="G42" s="817">
        <v>915</v>
      </c>
      <c r="H42" s="817">
        <v>268</v>
      </c>
      <c r="I42" s="1806">
        <v>2</v>
      </c>
      <c r="J42" s="1805">
        <v>1660</v>
      </c>
      <c r="K42" s="817">
        <v>1330</v>
      </c>
      <c r="L42" s="1806"/>
      <c r="M42" s="1802">
        <v>1814</v>
      </c>
      <c r="N42" s="511">
        <v>1013</v>
      </c>
      <c r="O42" s="511">
        <v>70</v>
      </c>
      <c r="P42" s="1803">
        <v>93</v>
      </c>
      <c r="Q42" s="512">
        <v>150</v>
      </c>
    </row>
    <row r="43" spans="1:17" s="512" customFormat="1" x14ac:dyDescent="0.3">
      <c r="A43" s="514" t="s">
        <v>98</v>
      </c>
      <c r="B43" s="510" t="s">
        <v>99</v>
      </c>
      <c r="C43" s="509" t="s">
        <v>256</v>
      </c>
      <c r="D43" s="1829">
        <v>5034</v>
      </c>
      <c r="E43" s="1805">
        <v>1800</v>
      </c>
      <c r="F43" s="817">
        <v>1060</v>
      </c>
      <c r="G43" s="817">
        <v>1464</v>
      </c>
      <c r="H43" s="817">
        <v>708</v>
      </c>
      <c r="I43" s="1806">
        <v>2</v>
      </c>
      <c r="J43" s="1805">
        <v>2832</v>
      </c>
      <c r="K43" s="817">
        <v>2202</v>
      </c>
      <c r="L43" s="1806"/>
      <c r="M43" s="1802">
        <v>4758</v>
      </c>
      <c r="N43" s="511">
        <v>191</v>
      </c>
      <c r="O43" s="511">
        <v>41</v>
      </c>
      <c r="P43" s="1803">
        <v>44</v>
      </c>
      <c r="Q43" s="512">
        <v>127</v>
      </c>
    </row>
    <row r="44" spans="1:17" s="512" customFormat="1" x14ac:dyDescent="0.3">
      <c r="A44" s="514" t="s">
        <v>100</v>
      </c>
      <c r="B44" s="510" t="s">
        <v>101</v>
      </c>
      <c r="C44" s="509" t="s">
        <v>255</v>
      </c>
      <c r="D44" s="1829">
        <v>4457</v>
      </c>
      <c r="E44" s="1805">
        <v>2060</v>
      </c>
      <c r="F44" s="817">
        <v>937</v>
      </c>
      <c r="G44" s="817">
        <v>1151</v>
      </c>
      <c r="H44" s="817">
        <v>309</v>
      </c>
      <c r="I44" s="1806">
        <v>0</v>
      </c>
      <c r="J44" s="1805">
        <v>2468</v>
      </c>
      <c r="K44" s="817">
        <v>1989</v>
      </c>
      <c r="L44" s="1806"/>
      <c r="M44" s="1802">
        <v>3616</v>
      </c>
      <c r="N44" s="511">
        <v>662</v>
      </c>
      <c r="O44" s="511">
        <v>106</v>
      </c>
      <c r="P44" s="1803">
        <v>73</v>
      </c>
      <c r="Q44" s="512">
        <v>119</v>
      </c>
    </row>
    <row r="45" spans="1:17" s="512" customFormat="1" x14ac:dyDescent="0.3">
      <c r="A45" s="514" t="s">
        <v>102</v>
      </c>
      <c r="B45" s="510" t="s">
        <v>270</v>
      </c>
      <c r="C45" s="509" t="s">
        <v>252</v>
      </c>
      <c r="D45" s="1829">
        <v>6980</v>
      </c>
      <c r="E45" s="1805">
        <v>2810</v>
      </c>
      <c r="F45" s="817">
        <v>1639</v>
      </c>
      <c r="G45" s="817">
        <v>1806</v>
      </c>
      <c r="H45" s="817">
        <v>722</v>
      </c>
      <c r="I45" s="1806">
        <v>3</v>
      </c>
      <c r="J45" s="1805">
        <v>4002</v>
      </c>
      <c r="K45" s="817">
        <v>2978</v>
      </c>
      <c r="L45" s="1806"/>
      <c r="M45" s="1802">
        <v>1251</v>
      </c>
      <c r="N45" s="511">
        <v>5577</v>
      </c>
      <c r="O45" s="511">
        <v>127</v>
      </c>
      <c r="P45" s="1803">
        <v>25</v>
      </c>
      <c r="Q45" s="512">
        <v>192</v>
      </c>
    </row>
    <row r="46" spans="1:17" s="512" customFormat="1" x14ac:dyDescent="0.3">
      <c r="A46" s="514" t="s">
        <v>104</v>
      </c>
      <c r="B46" s="510" t="s">
        <v>105</v>
      </c>
      <c r="C46" s="509" t="s">
        <v>253</v>
      </c>
      <c r="D46" s="1829">
        <v>12342</v>
      </c>
      <c r="E46" s="1805">
        <v>4553</v>
      </c>
      <c r="F46" s="817">
        <v>2812</v>
      </c>
      <c r="G46" s="817">
        <v>3399</v>
      </c>
      <c r="H46" s="817">
        <v>1571</v>
      </c>
      <c r="I46" s="1806">
        <v>7</v>
      </c>
      <c r="J46" s="1805">
        <v>7025</v>
      </c>
      <c r="K46" s="817">
        <v>5317</v>
      </c>
      <c r="L46" s="1806"/>
      <c r="M46" s="1802">
        <v>5506</v>
      </c>
      <c r="N46" s="511">
        <v>6597</v>
      </c>
      <c r="O46" s="511">
        <v>158</v>
      </c>
      <c r="P46" s="1803">
        <v>81</v>
      </c>
      <c r="Q46" s="512">
        <v>213</v>
      </c>
    </row>
    <row r="47" spans="1:17" s="512" customFormat="1" x14ac:dyDescent="0.3">
      <c r="A47" s="514" t="s">
        <v>108</v>
      </c>
      <c r="B47" s="510" t="s">
        <v>109</v>
      </c>
      <c r="C47" s="509" t="s">
        <v>254</v>
      </c>
      <c r="D47" s="1829">
        <v>13180</v>
      </c>
      <c r="E47" s="1805">
        <v>5830</v>
      </c>
      <c r="F47" s="817">
        <v>3038</v>
      </c>
      <c r="G47" s="817">
        <v>3323</v>
      </c>
      <c r="H47" s="817">
        <v>988</v>
      </c>
      <c r="I47" s="1806">
        <v>1</v>
      </c>
      <c r="J47" s="1805">
        <v>7491</v>
      </c>
      <c r="K47" s="817">
        <v>5689</v>
      </c>
      <c r="L47" s="1806"/>
      <c r="M47" s="1802">
        <v>9361</v>
      </c>
      <c r="N47" s="511">
        <v>2983</v>
      </c>
      <c r="O47" s="511">
        <v>458</v>
      </c>
      <c r="P47" s="1803">
        <v>378</v>
      </c>
      <c r="Q47" s="512">
        <v>498</v>
      </c>
    </row>
    <row r="48" spans="1:17" s="512" customFormat="1" x14ac:dyDescent="0.3">
      <c r="A48" s="514" t="s">
        <v>110</v>
      </c>
      <c r="B48" s="510" t="s">
        <v>111</v>
      </c>
      <c r="C48" s="509" t="s">
        <v>254</v>
      </c>
      <c r="D48" s="1829">
        <v>72519</v>
      </c>
      <c r="E48" s="1805">
        <v>32982</v>
      </c>
      <c r="F48" s="817">
        <v>17259</v>
      </c>
      <c r="G48" s="817">
        <v>17482</v>
      </c>
      <c r="H48" s="817">
        <v>4787</v>
      </c>
      <c r="I48" s="1806">
        <v>9</v>
      </c>
      <c r="J48" s="1805">
        <v>41785</v>
      </c>
      <c r="K48" s="817">
        <v>30734</v>
      </c>
      <c r="L48" s="1806"/>
      <c r="M48" s="1802">
        <v>26850</v>
      </c>
      <c r="N48" s="511">
        <v>38739</v>
      </c>
      <c r="O48" s="511">
        <v>5551</v>
      </c>
      <c r="P48" s="1803">
        <v>1379</v>
      </c>
      <c r="Q48" s="512">
        <v>3095</v>
      </c>
    </row>
    <row r="49" spans="1:17" s="512" customFormat="1" x14ac:dyDescent="0.3">
      <c r="A49" s="514" t="s">
        <v>112</v>
      </c>
      <c r="B49" s="510" t="s">
        <v>288</v>
      </c>
      <c r="C49" s="509" t="s">
        <v>253</v>
      </c>
      <c r="D49" s="1829">
        <v>26943</v>
      </c>
      <c r="E49" s="1805">
        <v>10139</v>
      </c>
      <c r="F49" s="817">
        <v>6004</v>
      </c>
      <c r="G49" s="817">
        <v>8060</v>
      </c>
      <c r="H49" s="817">
        <v>2735</v>
      </c>
      <c r="I49" s="1806">
        <v>5</v>
      </c>
      <c r="J49" s="1805">
        <v>15226</v>
      </c>
      <c r="K49" s="817">
        <v>11717</v>
      </c>
      <c r="L49" s="1806"/>
      <c r="M49" s="1802">
        <v>16698</v>
      </c>
      <c r="N49" s="511">
        <v>9815</v>
      </c>
      <c r="O49" s="511">
        <v>261</v>
      </c>
      <c r="P49" s="1803">
        <v>169</v>
      </c>
      <c r="Q49" s="512">
        <v>1694</v>
      </c>
    </row>
    <row r="50" spans="1:17" s="512" customFormat="1" x14ac:dyDescent="0.3">
      <c r="A50" s="514" t="s">
        <v>114</v>
      </c>
      <c r="B50" s="510" t="s">
        <v>115</v>
      </c>
      <c r="C50" s="509" t="s">
        <v>253</v>
      </c>
      <c r="D50" s="1829">
        <v>423</v>
      </c>
      <c r="E50" s="1805">
        <v>142</v>
      </c>
      <c r="F50" s="817">
        <v>80</v>
      </c>
      <c r="G50" s="817">
        <v>155</v>
      </c>
      <c r="H50" s="817">
        <v>46</v>
      </c>
      <c r="I50" s="1806">
        <v>0</v>
      </c>
      <c r="J50" s="1805">
        <v>242</v>
      </c>
      <c r="K50" s="817">
        <v>181</v>
      </c>
      <c r="L50" s="1806"/>
      <c r="M50" s="1802">
        <v>399</v>
      </c>
      <c r="N50" s="511">
        <v>7</v>
      </c>
      <c r="O50" s="511">
        <v>2</v>
      </c>
      <c r="P50" s="1803">
        <v>15</v>
      </c>
      <c r="Q50" s="512">
        <v>5</v>
      </c>
    </row>
    <row r="51" spans="1:17" s="512" customFormat="1" x14ac:dyDescent="0.3">
      <c r="A51" s="514" t="s">
        <v>118</v>
      </c>
      <c r="B51" s="510" t="s">
        <v>258</v>
      </c>
      <c r="C51" s="509" t="s">
        <v>252</v>
      </c>
      <c r="D51" s="1829">
        <v>7378</v>
      </c>
      <c r="E51" s="1805">
        <v>2923</v>
      </c>
      <c r="F51" s="817">
        <v>1588</v>
      </c>
      <c r="G51" s="817">
        <v>2074</v>
      </c>
      <c r="H51" s="817">
        <v>793</v>
      </c>
      <c r="I51" s="1806">
        <v>0</v>
      </c>
      <c r="J51" s="1805">
        <v>4238</v>
      </c>
      <c r="K51" s="817">
        <v>3140</v>
      </c>
      <c r="L51" s="1806"/>
      <c r="M51" s="1802">
        <v>3572</v>
      </c>
      <c r="N51" s="511">
        <v>3551</v>
      </c>
      <c r="O51" s="511">
        <v>153</v>
      </c>
      <c r="P51" s="1803">
        <v>102</v>
      </c>
      <c r="Q51" s="512">
        <v>135</v>
      </c>
    </row>
    <row r="52" spans="1:17" s="512" customFormat="1" x14ac:dyDescent="0.3">
      <c r="A52" s="514" t="s">
        <v>120</v>
      </c>
      <c r="B52" s="510" t="s">
        <v>121</v>
      </c>
      <c r="C52" s="509" t="s">
        <v>252</v>
      </c>
      <c r="D52" s="1829">
        <v>10293</v>
      </c>
      <c r="E52" s="1805">
        <v>4820</v>
      </c>
      <c r="F52" s="817">
        <v>2316</v>
      </c>
      <c r="G52" s="817">
        <v>2560</v>
      </c>
      <c r="H52" s="817">
        <v>596</v>
      </c>
      <c r="I52" s="1806">
        <v>1</v>
      </c>
      <c r="J52" s="1805">
        <v>5979</v>
      </c>
      <c r="K52" s="817">
        <v>4314</v>
      </c>
      <c r="L52" s="1806"/>
      <c r="M52" s="1802">
        <v>5725</v>
      </c>
      <c r="N52" s="511">
        <v>3886</v>
      </c>
      <c r="O52" s="511">
        <v>409</v>
      </c>
      <c r="P52" s="1803">
        <v>273</v>
      </c>
      <c r="Q52" s="512">
        <v>669</v>
      </c>
    </row>
    <row r="53" spans="1:17" s="512" customFormat="1" x14ac:dyDescent="0.3">
      <c r="A53" s="514" t="s">
        <v>122</v>
      </c>
      <c r="B53" s="510" t="s">
        <v>275</v>
      </c>
      <c r="C53" s="509" t="s">
        <v>254</v>
      </c>
      <c r="D53" s="1829">
        <v>2095</v>
      </c>
      <c r="E53" s="1805">
        <v>786</v>
      </c>
      <c r="F53" s="817">
        <v>455</v>
      </c>
      <c r="G53" s="817">
        <v>605</v>
      </c>
      <c r="H53" s="817">
        <v>248</v>
      </c>
      <c r="I53" s="1806">
        <v>1</v>
      </c>
      <c r="J53" s="1805">
        <v>1245</v>
      </c>
      <c r="K53" s="817">
        <v>850</v>
      </c>
      <c r="L53" s="1806"/>
      <c r="M53" s="1802">
        <v>1190</v>
      </c>
      <c r="N53" s="511">
        <v>819</v>
      </c>
      <c r="O53" s="511">
        <v>53</v>
      </c>
      <c r="P53" s="1803">
        <v>33</v>
      </c>
      <c r="Q53" s="512">
        <v>34</v>
      </c>
    </row>
    <row r="54" spans="1:17" s="512" customFormat="1" x14ac:dyDescent="0.3">
      <c r="A54" s="514" t="s">
        <v>124</v>
      </c>
      <c r="B54" s="510" t="s">
        <v>125</v>
      </c>
      <c r="C54" s="509" t="s">
        <v>255</v>
      </c>
      <c r="D54" s="1829">
        <v>4863</v>
      </c>
      <c r="E54" s="1805">
        <v>2179</v>
      </c>
      <c r="F54" s="817">
        <v>1165</v>
      </c>
      <c r="G54" s="817">
        <v>1192</v>
      </c>
      <c r="H54" s="817">
        <v>327</v>
      </c>
      <c r="I54" s="1806">
        <v>0</v>
      </c>
      <c r="J54" s="1805">
        <v>2794</v>
      </c>
      <c r="K54" s="817">
        <v>2069</v>
      </c>
      <c r="L54" s="1806"/>
      <c r="M54" s="1802">
        <v>3033</v>
      </c>
      <c r="N54" s="511">
        <v>1681</v>
      </c>
      <c r="O54" s="511">
        <v>100</v>
      </c>
      <c r="P54" s="1803">
        <v>49</v>
      </c>
      <c r="Q54" s="512">
        <v>133</v>
      </c>
    </row>
    <row r="55" spans="1:17" s="512" customFormat="1" x14ac:dyDescent="0.3">
      <c r="A55" s="514" t="s">
        <v>126</v>
      </c>
      <c r="B55" s="510" t="s">
        <v>127</v>
      </c>
      <c r="C55" s="509" t="s">
        <v>254</v>
      </c>
      <c r="D55" s="1829">
        <v>3561</v>
      </c>
      <c r="E55" s="1805">
        <v>1550</v>
      </c>
      <c r="F55" s="817">
        <v>764</v>
      </c>
      <c r="G55" s="817">
        <v>938</v>
      </c>
      <c r="H55" s="817">
        <v>306</v>
      </c>
      <c r="I55" s="1806">
        <v>3</v>
      </c>
      <c r="J55" s="1805">
        <v>2087</v>
      </c>
      <c r="K55" s="817">
        <v>1474</v>
      </c>
      <c r="L55" s="1806"/>
      <c r="M55" s="1802">
        <v>2197</v>
      </c>
      <c r="N55" s="511">
        <v>1138</v>
      </c>
      <c r="O55" s="511">
        <v>156</v>
      </c>
      <c r="P55" s="1803">
        <v>70</v>
      </c>
      <c r="Q55" s="512">
        <v>84</v>
      </c>
    </row>
    <row r="56" spans="1:17" s="512" customFormat="1" x14ac:dyDescent="0.3">
      <c r="A56" s="514" t="s">
        <v>128</v>
      </c>
      <c r="B56" s="510" t="s">
        <v>129</v>
      </c>
      <c r="C56" s="509" t="s">
        <v>254</v>
      </c>
      <c r="D56" s="1829">
        <v>2992</v>
      </c>
      <c r="E56" s="1805">
        <v>1147</v>
      </c>
      <c r="F56" s="817">
        <v>653</v>
      </c>
      <c r="G56" s="817">
        <v>801</v>
      </c>
      <c r="H56" s="817">
        <v>391</v>
      </c>
      <c r="I56" s="1806">
        <v>0</v>
      </c>
      <c r="J56" s="1805">
        <v>1763</v>
      </c>
      <c r="K56" s="817">
        <v>1229</v>
      </c>
      <c r="L56" s="1806"/>
      <c r="M56" s="1802">
        <v>1110</v>
      </c>
      <c r="N56" s="511">
        <v>1808</v>
      </c>
      <c r="O56" s="511">
        <v>44</v>
      </c>
      <c r="P56" s="1803">
        <v>30</v>
      </c>
      <c r="Q56" s="512">
        <v>18</v>
      </c>
    </row>
    <row r="57" spans="1:17" s="512" customFormat="1" x14ac:dyDescent="0.3">
      <c r="A57" s="514" t="s">
        <v>130</v>
      </c>
      <c r="B57" s="510" t="s">
        <v>131</v>
      </c>
      <c r="C57" s="509" t="s">
        <v>256</v>
      </c>
      <c r="D57" s="1829">
        <v>10520</v>
      </c>
      <c r="E57" s="1805">
        <v>3395</v>
      </c>
      <c r="F57" s="817">
        <v>2226</v>
      </c>
      <c r="G57" s="817">
        <v>3633</v>
      </c>
      <c r="H57" s="817">
        <v>1266</v>
      </c>
      <c r="I57" s="1806">
        <v>0</v>
      </c>
      <c r="J57" s="1805">
        <v>5589</v>
      </c>
      <c r="K57" s="817">
        <v>4931</v>
      </c>
      <c r="L57" s="1806"/>
      <c r="M57" s="1802">
        <v>10327</v>
      </c>
      <c r="N57" s="511">
        <v>77</v>
      </c>
      <c r="O57" s="511">
        <v>56</v>
      </c>
      <c r="P57" s="1803">
        <v>60</v>
      </c>
      <c r="Q57" s="512">
        <v>46</v>
      </c>
    </row>
    <row r="58" spans="1:17" s="512" customFormat="1" x14ac:dyDescent="0.3">
      <c r="A58" s="514" t="s">
        <v>132</v>
      </c>
      <c r="B58" s="510" t="s">
        <v>133</v>
      </c>
      <c r="C58" s="509" t="s">
        <v>255</v>
      </c>
      <c r="D58" s="1829">
        <v>35909</v>
      </c>
      <c r="E58" s="1805">
        <v>19315</v>
      </c>
      <c r="F58" s="817">
        <v>6412</v>
      </c>
      <c r="G58" s="817">
        <v>6611</v>
      </c>
      <c r="H58" s="817">
        <v>3563</v>
      </c>
      <c r="I58" s="1806">
        <v>8</v>
      </c>
      <c r="J58" s="1805">
        <v>19942</v>
      </c>
      <c r="K58" s="817">
        <v>15967</v>
      </c>
      <c r="L58" s="1806"/>
      <c r="M58" s="1802">
        <v>23968</v>
      </c>
      <c r="N58" s="511">
        <v>4600</v>
      </c>
      <c r="O58" s="511">
        <v>6027</v>
      </c>
      <c r="P58" s="1803">
        <v>1314</v>
      </c>
      <c r="Q58" s="512">
        <v>2866</v>
      </c>
    </row>
    <row r="59" spans="1:17" s="512" customFormat="1" x14ac:dyDescent="0.3">
      <c r="A59" s="514" t="s">
        <v>134</v>
      </c>
      <c r="B59" s="510" t="s">
        <v>135</v>
      </c>
      <c r="C59" s="509" t="s">
        <v>255</v>
      </c>
      <c r="D59" s="1829">
        <v>8716</v>
      </c>
      <c r="E59" s="1805">
        <v>3591</v>
      </c>
      <c r="F59" s="817">
        <v>1914</v>
      </c>
      <c r="G59" s="817">
        <v>2402</v>
      </c>
      <c r="H59" s="817">
        <v>808</v>
      </c>
      <c r="I59" s="1806">
        <v>1</v>
      </c>
      <c r="J59" s="1805">
        <v>4894</v>
      </c>
      <c r="K59" s="817">
        <v>3822</v>
      </c>
      <c r="L59" s="1806"/>
      <c r="M59" s="1802">
        <v>6225</v>
      </c>
      <c r="N59" s="511">
        <v>2212</v>
      </c>
      <c r="O59" s="511">
        <v>131</v>
      </c>
      <c r="P59" s="1803">
        <v>148</v>
      </c>
      <c r="Q59" s="512">
        <v>168</v>
      </c>
    </row>
    <row r="60" spans="1:17" s="512" customFormat="1" x14ac:dyDescent="0.3">
      <c r="A60" s="514" t="s">
        <v>136</v>
      </c>
      <c r="B60" s="510" t="s">
        <v>137</v>
      </c>
      <c r="C60" s="509" t="s">
        <v>254</v>
      </c>
      <c r="D60" s="1829">
        <v>4270</v>
      </c>
      <c r="E60" s="1805">
        <v>1627</v>
      </c>
      <c r="F60" s="817">
        <v>891</v>
      </c>
      <c r="G60" s="817">
        <v>1157</v>
      </c>
      <c r="H60" s="817">
        <v>595</v>
      </c>
      <c r="I60" s="1806">
        <v>0</v>
      </c>
      <c r="J60" s="1805">
        <v>2418</v>
      </c>
      <c r="K60" s="817">
        <v>1852</v>
      </c>
      <c r="L60" s="1806"/>
      <c r="M60" s="1802">
        <v>2096</v>
      </c>
      <c r="N60" s="511">
        <v>1991</v>
      </c>
      <c r="O60" s="511">
        <v>149</v>
      </c>
      <c r="P60" s="1803">
        <v>34</v>
      </c>
      <c r="Q60" s="512">
        <v>145</v>
      </c>
    </row>
    <row r="61" spans="1:17" s="512" customFormat="1" x14ac:dyDescent="0.3">
      <c r="A61" s="514" t="s">
        <v>140</v>
      </c>
      <c r="B61" s="510" t="s">
        <v>141</v>
      </c>
      <c r="C61" s="509" t="s">
        <v>255</v>
      </c>
      <c r="D61" s="1829">
        <v>3082</v>
      </c>
      <c r="E61" s="1805">
        <v>1316</v>
      </c>
      <c r="F61" s="817">
        <v>641</v>
      </c>
      <c r="G61" s="817">
        <v>795</v>
      </c>
      <c r="H61" s="817">
        <v>330</v>
      </c>
      <c r="I61" s="1806">
        <v>0</v>
      </c>
      <c r="J61" s="1805">
        <v>1725</v>
      </c>
      <c r="K61" s="817">
        <v>1357</v>
      </c>
      <c r="L61" s="1806"/>
      <c r="M61" s="1802">
        <v>2497</v>
      </c>
      <c r="N61" s="511">
        <v>504</v>
      </c>
      <c r="O61" s="511">
        <v>37</v>
      </c>
      <c r="P61" s="1803">
        <v>44</v>
      </c>
      <c r="Q61" s="512">
        <v>51</v>
      </c>
    </row>
    <row r="62" spans="1:17" s="512" customFormat="1" x14ac:dyDescent="0.3">
      <c r="A62" s="514" t="s">
        <v>146</v>
      </c>
      <c r="B62" s="510" t="s">
        <v>147</v>
      </c>
      <c r="C62" s="509" t="s">
        <v>252</v>
      </c>
      <c r="D62" s="1829">
        <v>1916</v>
      </c>
      <c r="E62" s="1805">
        <v>699</v>
      </c>
      <c r="F62" s="817">
        <v>424</v>
      </c>
      <c r="G62" s="817">
        <v>572</v>
      </c>
      <c r="H62" s="817">
        <v>221</v>
      </c>
      <c r="I62" s="1806">
        <v>0</v>
      </c>
      <c r="J62" s="1805">
        <v>1084</v>
      </c>
      <c r="K62" s="817">
        <v>832</v>
      </c>
      <c r="L62" s="1806"/>
      <c r="M62" s="1802">
        <v>1468</v>
      </c>
      <c r="N62" s="511">
        <v>358</v>
      </c>
      <c r="O62" s="511">
        <v>42</v>
      </c>
      <c r="P62" s="1803">
        <v>48</v>
      </c>
      <c r="Q62" s="512">
        <v>31</v>
      </c>
    </row>
    <row r="63" spans="1:17" s="512" customFormat="1" x14ac:dyDescent="0.3">
      <c r="A63" s="514" t="s">
        <v>148</v>
      </c>
      <c r="B63" s="510" t="s">
        <v>149</v>
      </c>
      <c r="C63" s="509" t="s">
        <v>253</v>
      </c>
      <c r="D63" s="1829">
        <v>9735</v>
      </c>
      <c r="E63" s="1805">
        <v>3777</v>
      </c>
      <c r="F63" s="817">
        <v>2057</v>
      </c>
      <c r="G63" s="817">
        <v>2662</v>
      </c>
      <c r="H63" s="817">
        <v>1239</v>
      </c>
      <c r="I63" s="1806">
        <v>0</v>
      </c>
      <c r="J63" s="1805">
        <v>5557</v>
      </c>
      <c r="K63" s="817">
        <v>4178</v>
      </c>
      <c r="L63" s="1806"/>
      <c r="M63" s="1802">
        <v>4158</v>
      </c>
      <c r="N63" s="511">
        <v>5361</v>
      </c>
      <c r="O63" s="511">
        <v>119</v>
      </c>
      <c r="P63" s="1803">
        <v>97</v>
      </c>
      <c r="Q63" s="512">
        <v>171</v>
      </c>
    </row>
    <row r="64" spans="1:17" s="512" customFormat="1" x14ac:dyDescent="0.3">
      <c r="A64" s="514" t="s">
        <v>150</v>
      </c>
      <c r="B64" s="510" t="s">
        <v>151</v>
      </c>
      <c r="C64" s="509" t="s">
        <v>254</v>
      </c>
      <c r="D64" s="1829">
        <v>3084</v>
      </c>
      <c r="E64" s="1805">
        <v>1132</v>
      </c>
      <c r="F64" s="817">
        <v>669</v>
      </c>
      <c r="G64" s="817">
        <v>933</v>
      </c>
      <c r="H64" s="817">
        <v>350</v>
      </c>
      <c r="I64" s="1806">
        <v>0</v>
      </c>
      <c r="J64" s="1805">
        <v>1731</v>
      </c>
      <c r="K64" s="817">
        <v>1353</v>
      </c>
      <c r="L64" s="1806"/>
      <c r="M64" s="1802">
        <v>2175</v>
      </c>
      <c r="N64" s="511">
        <v>834</v>
      </c>
      <c r="O64" s="511">
        <v>38</v>
      </c>
      <c r="P64" s="1803">
        <v>37</v>
      </c>
      <c r="Q64" s="512">
        <v>50</v>
      </c>
    </row>
    <row r="65" spans="1:17" s="512" customFormat="1" x14ac:dyDescent="0.3">
      <c r="A65" s="514" t="s">
        <v>152</v>
      </c>
      <c r="B65" s="510" t="s">
        <v>153</v>
      </c>
      <c r="C65" s="509" t="s">
        <v>256</v>
      </c>
      <c r="D65" s="1829">
        <v>14352</v>
      </c>
      <c r="E65" s="1805">
        <v>5924</v>
      </c>
      <c r="F65" s="817">
        <v>3591</v>
      </c>
      <c r="G65" s="817">
        <v>3763</v>
      </c>
      <c r="H65" s="817">
        <v>1068</v>
      </c>
      <c r="I65" s="1806">
        <v>6</v>
      </c>
      <c r="J65" s="1805">
        <v>8081</v>
      </c>
      <c r="K65" s="817">
        <v>6271</v>
      </c>
      <c r="L65" s="1806"/>
      <c r="M65" s="1802">
        <v>12334</v>
      </c>
      <c r="N65" s="511">
        <v>1329</v>
      </c>
      <c r="O65" s="511">
        <v>362</v>
      </c>
      <c r="P65" s="1803">
        <v>327</v>
      </c>
      <c r="Q65" s="512">
        <v>448</v>
      </c>
    </row>
    <row r="66" spans="1:17" s="512" customFormat="1" x14ac:dyDescent="0.3">
      <c r="A66" s="514" t="s">
        <v>154</v>
      </c>
      <c r="B66" s="510" t="s">
        <v>155</v>
      </c>
      <c r="C66" s="509" t="s">
        <v>253</v>
      </c>
      <c r="D66" s="1829">
        <v>3947</v>
      </c>
      <c r="E66" s="1805">
        <v>1503</v>
      </c>
      <c r="F66" s="817">
        <v>840</v>
      </c>
      <c r="G66" s="817">
        <v>1091</v>
      </c>
      <c r="H66" s="817">
        <v>512</v>
      </c>
      <c r="I66" s="1806">
        <v>1</v>
      </c>
      <c r="J66" s="1805">
        <v>2184</v>
      </c>
      <c r="K66" s="817">
        <v>1763</v>
      </c>
      <c r="L66" s="1806"/>
      <c r="M66" s="1802">
        <v>2997</v>
      </c>
      <c r="N66" s="511">
        <v>784</v>
      </c>
      <c r="O66" s="511">
        <v>114</v>
      </c>
      <c r="P66" s="1803">
        <v>52</v>
      </c>
      <c r="Q66" s="512">
        <v>138</v>
      </c>
    </row>
    <row r="67" spans="1:17" s="512" customFormat="1" x14ac:dyDescent="0.3">
      <c r="A67" s="514" t="s">
        <v>156</v>
      </c>
      <c r="B67" s="510" t="s">
        <v>157</v>
      </c>
      <c r="C67" s="509" t="s">
        <v>254</v>
      </c>
      <c r="D67" s="1829">
        <v>2845</v>
      </c>
      <c r="E67" s="1805">
        <v>1253</v>
      </c>
      <c r="F67" s="817">
        <v>648</v>
      </c>
      <c r="G67" s="817">
        <v>739</v>
      </c>
      <c r="H67" s="817">
        <v>205</v>
      </c>
      <c r="I67" s="1806">
        <v>0</v>
      </c>
      <c r="J67" s="1805">
        <v>1652</v>
      </c>
      <c r="K67" s="817">
        <v>1193</v>
      </c>
      <c r="L67" s="1806"/>
      <c r="M67" s="1802">
        <v>2082</v>
      </c>
      <c r="N67" s="511">
        <v>595</v>
      </c>
      <c r="O67" s="511">
        <v>101</v>
      </c>
      <c r="P67" s="1803">
        <v>67</v>
      </c>
      <c r="Q67" s="512">
        <v>90</v>
      </c>
    </row>
    <row r="68" spans="1:17" s="512" customFormat="1" x14ac:dyDescent="0.3">
      <c r="A68" s="514" t="s">
        <v>162</v>
      </c>
      <c r="B68" s="510" t="s">
        <v>163</v>
      </c>
      <c r="C68" s="509" t="s">
        <v>252</v>
      </c>
      <c r="D68" s="1829">
        <v>4781</v>
      </c>
      <c r="E68" s="1805">
        <v>1807</v>
      </c>
      <c r="F68" s="817">
        <v>930</v>
      </c>
      <c r="G68" s="817">
        <v>1326</v>
      </c>
      <c r="H68" s="817">
        <v>718</v>
      </c>
      <c r="I68" s="1806">
        <v>0</v>
      </c>
      <c r="J68" s="1805">
        <v>2663</v>
      </c>
      <c r="K68" s="817">
        <v>2118</v>
      </c>
      <c r="L68" s="1806"/>
      <c r="M68" s="1802">
        <v>1975</v>
      </c>
      <c r="N68" s="511">
        <v>2713</v>
      </c>
      <c r="O68" s="511">
        <v>36</v>
      </c>
      <c r="P68" s="1803">
        <v>57</v>
      </c>
      <c r="Q68" s="512">
        <v>281</v>
      </c>
    </row>
    <row r="69" spans="1:17" s="512" customFormat="1" x14ac:dyDescent="0.3">
      <c r="A69" s="514" t="s">
        <v>164</v>
      </c>
      <c r="B69" s="510" t="s">
        <v>165</v>
      </c>
      <c r="C69" s="509" t="s">
        <v>254</v>
      </c>
      <c r="D69" s="1829">
        <v>3173</v>
      </c>
      <c r="E69" s="1805">
        <v>1199</v>
      </c>
      <c r="F69" s="817">
        <v>660</v>
      </c>
      <c r="G69" s="817">
        <v>929</v>
      </c>
      <c r="H69" s="817">
        <v>385</v>
      </c>
      <c r="I69" s="1806">
        <v>0</v>
      </c>
      <c r="J69" s="1805">
        <v>1778</v>
      </c>
      <c r="K69" s="817">
        <v>1395</v>
      </c>
      <c r="L69" s="1806"/>
      <c r="M69" s="1802">
        <v>1449</v>
      </c>
      <c r="N69" s="511">
        <v>1622</v>
      </c>
      <c r="O69" s="511">
        <v>54</v>
      </c>
      <c r="P69" s="1803">
        <v>48</v>
      </c>
      <c r="Q69" s="512">
        <v>58</v>
      </c>
    </row>
    <row r="70" spans="1:17" s="512" customFormat="1" x14ac:dyDescent="0.3">
      <c r="A70" s="514" t="s">
        <v>168</v>
      </c>
      <c r="B70" s="510" t="s">
        <v>169</v>
      </c>
      <c r="C70" s="509" t="s">
        <v>254</v>
      </c>
      <c r="D70" s="1829">
        <v>5551</v>
      </c>
      <c r="E70" s="1805">
        <v>2149</v>
      </c>
      <c r="F70" s="817">
        <v>1200</v>
      </c>
      <c r="G70" s="817">
        <v>1500</v>
      </c>
      <c r="H70" s="817">
        <v>702</v>
      </c>
      <c r="I70" s="1806">
        <v>0</v>
      </c>
      <c r="J70" s="1805">
        <v>3149</v>
      </c>
      <c r="K70" s="817">
        <v>2402</v>
      </c>
      <c r="L70" s="1806"/>
      <c r="M70" s="1802">
        <v>2614</v>
      </c>
      <c r="N70" s="511">
        <v>2824</v>
      </c>
      <c r="O70" s="511">
        <v>75</v>
      </c>
      <c r="P70" s="1803">
        <v>38</v>
      </c>
      <c r="Q70" s="512">
        <v>202</v>
      </c>
    </row>
    <row r="71" spans="1:17" s="512" customFormat="1" x14ac:dyDescent="0.3">
      <c r="A71" s="514" t="s">
        <v>170</v>
      </c>
      <c r="B71" s="510" t="s">
        <v>171</v>
      </c>
      <c r="C71" s="509" t="s">
        <v>255</v>
      </c>
      <c r="D71" s="1829">
        <v>8173</v>
      </c>
      <c r="E71" s="1805">
        <v>3459</v>
      </c>
      <c r="F71" s="817">
        <v>1785</v>
      </c>
      <c r="G71" s="817">
        <v>2096</v>
      </c>
      <c r="H71" s="817">
        <v>832</v>
      </c>
      <c r="I71" s="1806">
        <v>1</v>
      </c>
      <c r="J71" s="1805">
        <v>4723</v>
      </c>
      <c r="K71" s="817">
        <v>3450</v>
      </c>
      <c r="L71" s="1806"/>
      <c r="M71" s="1802">
        <v>5959</v>
      </c>
      <c r="N71" s="511">
        <v>1906</v>
      </c>
      <c r="O71" s="511">
        <v>167</v>
      </c>
      <c r="P71" s="1803">
        <v>141</v>
      </c>
      <c r="Q71" s="512">
        <v>295</v>
      </c>
    </row>
    <row r="72" spans="1:17" s="512" customFormat="1" x14ac:dyDescent="0.3">
      <c r="A72" s="514" t="s">
        <v>172</v>
      </c>
      <c r="B72" s="510" t="s">
        <v>173</v>
      </c>
      <c r="C72" s="509" t="s">
        <v>255</v>
      </c>
      <c r="D72" s="1829">
        <v>7080</v>
      </c>
      <c r="E72" s="1805">
        <v>2700</v>
      </c>
      <c r="F72" s="817">
        <v>1513</v>
      </c>
      <c r="G72" s="817">
        <v>2083</v>
      </c>
      <c r="H72" s="817">
        <v>784</v>
      </c>
      <c r="I72" s="1806">
        <v>0</v>
      </c>
      <c r="J72" s="1805">
        <v>3913</v>
      </c>
      <c r="K72" s="817">
        <v>3167</v>
      </c>
      <c r="L72" s="1806"/>
      <c r="M72" s="1802">
        <v>6698</v>
      </c>
      <c r="N72" s="511">
        <v>248</v>
      </c>
      <c r="O72" s="511">
        <v>57</v>
      </c>
      <c r="P72" s="1803">
        <v>77</v>
      </c>
      <c r="Q72" s="512">
        <v>85</v>
      </c>
    </row>
    <row r="73" spans="1:17" s="512" customFormat="1" x14ac:dyDescent="0.3">
      <c r="A73" s="514" t="s">
        <v>174</v>
      </c>
      <c r="B73" s="510" t="s">
        <v>175</v>
      </c>
      <c r="C73" s="509" t="s">
        <v>256</v>
      </c>
      <c r="D73" s="1829">
        <v>5749</v>
      </c>
      <c r="E73" s="1805">
        <v>2018</v>
      </c>
      <c r="F73" s="817">
        <v>1190</v>
      </c>
      <c r="G73" s="817">
        <v>1773</v>
      </c>
      <c r="H73" s="817">
        <v>768</v>
      </c>
      <c r="I73" s="1806">
        <v>0</v>
      </c>
      <c r="J73" s="1805">
        <v>3143</v>
      </c>
      <c r="K73" s="817">
        <v>2606</v>
      </c>
      <c r="L73" s="1806"/>
      <c r="M73" s="1802">
        <v>5230</v>
      </c>
      <c r="N73" s="511">
        <v>422</v>
      </c>
      <c r="O73" s="511">
        <v>50</v>
      </c>
      <c r="P73" s="1803">
        <v>47</v>
      </c>
      <c r="Q73" s="512">
        <v>120</v>
      </c>
    </row>
    <row r="74" spans="1:17" s="512" customFormat="1" x14ac:dyDescent="0.3">
      <c r="A74" s="514" t="s">
        <v>178</v>
      </c>
      <c r="B74" s="510" t="s">
        <v>179</v>
      </c>
      <c r="C74" s="509" t="s">
        <v>253</v>
      </c>
      <c r="D74" s="1829">
        <v>19065</v>
      </c>
      <c r="E74" s="1805">
        <v>7069</v>
      </c>
      <c r="F74" s="817">
        <v>4077</v>
      </c>
      <c r="G74" s="817">
        <v>5652</v>
      </c>
      <c r="H74" s="817">
        <v>2264</v>
      </c>
      <c r="I74" s="1806">
        <v>3</v>
      </c>
      <c r="J74" s="1805">
        <v>10840</v>
      </c>
      <c r="K74" s="817">
        <v>8225</v>
      </c>
      <c r="L74" s="1806"/>
      <c r="M74" s="1802">
        <v>12396</v>
      </c>
      <c r="N74" s="511">
        <v>6135</v>
      </c>
      <c r="O74" s="511">
        <v>299</v>
      </c>
      <c r="P74" s="1803">
        <v>235</v>
      </c>
      <c r="Q74" s="512">
        <v>521</v>
      </c>
    </row>
    <row r="75" spans="1:17" s="512" customFormat="1" x14ac:dyDescent="0.3">
      <c r="A75" s="514" t="s">
        <v>182</v>
      </c>
      <c r="B75" s="510" t="s">
        <v>183</v>
      </c>
      <c r="C75" s="509" t="s">
        <v>254</v>
      </c>
      <c r="D75" s="1829">
        <v>3472</v>
      </c>
      <c r="E75" s="1805">
        <v>1421</v>
      </c>
      <c r="F75" s="817">
        <v>761</v>
      </c>
      <c r="G75" s="817">
        <v>1040</v>
      </c>
      <c r="H75" s="817">
        <v>250</v>
      </c>
      <c r="I75" s="1806">
        <v>0</v>
      </c>
      <c r="J75" s="1805">
        <v>1890</v>
      </c>
      <c r="K75" s="817">
        <v>1582</v>
      </c>
      <c r="L75" s="1806"/>
      <c r="M75" s="1802">
        <v>2694</v>
      </c>
      <c r="N75" s="511">
        <v>602</v>
      </c>
      <c r="O75" s="511">
        <v>63</v>
      </c>
      <c r="P75" s="1803">
        <v>113</v>
      </c>
      <c r="Q75" s="512">
        <v>78</v>
      </c>
    </row>
    <row r="76" spans="1:17" s="512" customFormat="1" x14ac:dyDescent="0.3">
      <c r="A76" s="514" t="s">
        <v>184</v>
      </c>
      <c r="B76" s="510" t="s">
        <v>185</v>
      </c>
      <c r="C76" s="509" t="s">
        <v>254</v>
      </c>
      <c r="D76" s="1829">
        <v>6376</v>
      </c>
      <c r="E76" s="1805">
        <v>2460</v>
      </c>
      <c r="F76" s="817">
        <v>1504</v>
      </c>
      <c r="G76" s="817">
        <v>1779</v>
      </c>
      <c r="H76" s="817">
        <v>633</v>
      </c>
      <c r="I76" s="1806">
        <v>0</v>
      </c>
      <c r="J76" s="1805">
        <v>3588</v>
      </c>
      <c r="K76" s="817">
        <v>2788</v>
      </c>
      <c r="L76" s="1806"/>
      <c r="M76" s="1802">
        <v>2523</v>
      </c>
      <c r="N76" s="511">
        <v>3683</v>
      </c>
      <c r="O76" s="511">
        <v>99</v>
      </c>
      <c r="P76" s="1803">
        <v>71</v>
      </c>
      <c r="Q76" s="512">
        <v>105</v>
      </c>
    </row>
    <row r="77" spans="1:17" s="512" customFormat="1" x14ac:dyDescent="0.3">
      <c r="A77" s="514" t="s">
        <v>186</v>
      </c>
      <c r="B77" s="510" t="s">
        <v>187</v>
      </c>
      <c r="C77" s="509" t="s">
        <v>252</v>
      </c>
      <c r="D77" s="1829">
        <v>7398</v>
      </c>
      <c r="E77" s="1805">
        <v>3366</v>
      </c>
      <c r="F77" s="817">
        <v>1926</v>
      </c>
      <c r="G77" s="817">
        <v>1752</v>
      </c>
      <c r="H77" s="817">
        <v>353</v>
      </c>
      <c r="I77" s="1806">
        <v>1</v>
      </c>
      <c r="J77" s="1805">
        <v>4260</v>
      </c>
      <c r="K77" s="817">
        <v>3138</v>
      </c>
      <c r="L77" s="1806"/>
      <c r="M77" s="1802">
        <v>3707</v>
      </c>
      <c r="N77" s="511">
        <v>3385</v>
      </c>
      <c r="O77" s="511">
        <v>196</v>
      </c>
      <c r="P77" s="1803">
        <v>110</v>
      </c>
      <c r="Q77" s="512">
        <v>350</v>
      </c>
    </row>
    <row r="78" spans="1:17" s="512" customFormat="1" x14ac:dyDescent="0.3">
      <c r="A78" s="514" t="s">
        <v>188</v>
      </c>
      <c r="B78" s="510" t="s">
        <v>189</v>
      </c>
      <c r="C78" s="509" t="s">
        <v>255</v>
      </c>
      <c r="D78" s="1829">
        <v>82324</v>
      </c>
      <c r="E78" s="1805">
        <v>45603</v>
      </c>
      <c r="F78" s="817">
        <v>16928</v>
      </c>
      <c r="G78" s="817">
        <v>15004</v>
      </c>
      <c r="H78" s="817">
        <v>4774</v>
      </c>
      <c r="I78" s="1806">
        <v>15</v>
      </c>
      <c r="J78" s="1805">
        <v>46000</v>
      </c>
      <c r="K78" s="817">
        <v>36324</v>
      </c>
      <c r="L78" s="1806"/>
      <c r="M78" s="1802">
        <v>47173</v>
      </c>
      <c r="N78" s="511">
        <v>23371</v>
      </c>
      <c r="O78" s="511">
        <v>10197</v>
      </c>
      <c r="P78" s="1803">
        <v>1583</v>
      </c>
      <c r="Q78" s="512">
        <v>9588</v>
      </c>
    </row>
    <row r="79" spans="1:17" s="512" customFormat="1" x14ac:dyDescent="0.3">
      <c r="A79" s="514" t="s">
        <v>190</v>
      </c>
      <c r="B79" s="510" t="s">
        <v>191</v>
      </c>
      <c r="C79" s="509" t="s">
        <v>256</v>
      </c>
      <c r="D79" s="1829">
        <v>10264</v>
      </c>
      <c r="E79" s="1805">
        <v>3595</v>
      </c>
      <c r="F79" s="817">
        <v>2366</v>
      </c>
      <c r="G79" s="817">
        <v>3240</v>
      </c>
      <c r="H79" s="817">
        <v>1063</v>
      </c>
      <c r="I79" s="1806">
        <v>0</v>
      </c>
      <c r="J79" s="1805">
        <v>5686</v>
      </c>
      <c r="K79" s="817">
        <v>4578</v>
      </c>
      <c r="L79" s="1806"/>
      <c r="M79" s="1802">
        <v>9119</v>
      </c>
      <c r="N79" s="511">
        <v>945</v>
      </c>
      <c r="O79" s="511">
        <v>113</v>
      </c>
      <c r="P79" s="1803">
        <v>87</v>
      </c>
      <c r="Q79" s="512">
        <v>123</v>
      </c>
    </row>
    <row r="80" spans="1:17" s="512" customFormat="1" x14ac:dyDescent="0.3">
      <c r="A80" s="514" t="s">
        <v>194</v>
      </c>
      <c r="B80" s="510" t="s">
        <v>195</v>
      </c>
      <c r="C80" s="509" t="s">
        <v>255</v>
      </c>
      <c r="D80" s="1829">
        <v>1257</v>
      </c>
      <c r="E80" s="1805">
        <v>510</v>
      </c>
      <c r="F80" s="817">
        <v>290</v>
      </c>
      <c r="G80" s="817">
        <v>326</v>
      </c>
      <c r="H80" s="817">
        <v>131</v>
      </c>
      <c r="I80" s="1806">
        <v>0</v>
      </c>
      <c r="J80" s="1805">
        <v>680</v>
      </c>
      <c r="K80" s="817">
        <v>577</v>
      </c>
      <c r="L80" s="1806"/>
      <c r="M80" s="1802">
        <v>1071</v>
      </c>
      <c r="N80" s="511">
        <v>122</v>
      </c>
      <c r="O80" s="511">
        <v>20</v>
      </c>
      <c r="P80" s="1803">
        <v>44</v>
      </c>
      <c r="Q80" s="512">
        <v>48</v>
      </c>
    </row>
    <row r="81" spans="1:17" s="512" customFormat="1" x14ac:dyDescent="0.3">
      <c r="A81" s="514" t="s">
        <v>198</v>
      </c>
      <c r="B81" s="510" t="s">
        <v>260</v>
      </c>
      <c r="C81" s="509" t="s">
        <v>254</v>
      </c>
      <c r="D81" s="1829">
        <v>2717</v>
      </c>
      <c r="E81" s="1805">
        <v>1088</v>
      </c>
      <c r="F81" s="817">
        <v>663</v>
      </c>
      <c r="G81" s="817">
        <v>712</v>
      </c>
      <c r="H81" s="817">
        <v>254</v>
      </c>
      <c r="I81" s="1806">
        <v>0</v>
      </c>
      <c r="J81" s="1805">
        <v>1528</v>
      </c>
      <c r="K81" s="817">
        <v>1189</v>
      </c>
      <c r="L81" s="1806"/>
      <c r="M81" s="1802">
        <v>1493</v>
      </c>
      <c r="N81" s="511">
        <v>1172</v>
      </c>
      <c r="O81" s="511">
        <v>26</v>
      </c>
      <c r="P81" s="1803">
        <v>26</v>
      </c>
      <c r="Q81" s="512">
        <v>140</v>
      </c>
    </row>
    <row r="82" spans="1:17" s="512" customFormat="1" x14ac:dyDescent="0.3">
      <c r="A82" s="514" t="s">
        <v>202</v>
      </c>
      <c r="B82" s="510" t="s">
        <v>289</v>
      </c>
      <c r="C82" s="509" t="s">
        <v>253</v>
      </c>
      <c r="D82" s="1829">
        <v>19815</v>
      </c>
      <c r="E82" s="1805">
        <v>8655</v>
      </c>
      <c r="F82" s="817">
        <v>4333</v>
      </c>
      <c r="G82" s="817">
        <v>5044</v>
      </c>
      <c r="H82" s="817">
        <v>1782</v>
      </c>
      <c r="I82" s="1806">
        <v>1</v>
      </c>
      <c r="J82" s="1805">
        <v>11159</v>
      </c>
      <c r="K82" s="817">
        <v>8656</v>
      </c>
      <c r="L82" s="1806"/>
      <c r="M82" s="1802">
        <v>15582</v>
      </c>
      <c r="N82" s="511">
        <v>3037</v>
      </c>
      <c r="O82" s="511">
        <v>799</v>
      </c>
      <c r="P82" s="1803">
        <v>397</v>
      </c>
      <c r="Q82" s="512">
        <v>590</v>
      </c>
    </row>
    <row r="83" spans="1:17" s="512" customFormat="1" x14ac:dyDescent="0.3">
      <c r="A83" s="514" t="s">
        <v>204</v>
      </c>
      <c r="B83" s="510" t="s">
        <v>281</v>
      </c>
      <c r="C83" s="509" t="s">
        <v>253</v>
      </c>
      <c r="D83" s="1829">
        <v>8814</v>
      </c>
      <c r="E83" s="1805">
        <v>3480</v>
      </c>
      <c r="F83" s="817">
        <v>1907</v>
      </c>
      <c r="G83" s="817">
        <v>2431</v>
      </c>
      <c r="H83" s="817">
        <v>994</v>
      </c>
      <c r="I83" s="1806">
        <v>2</v>
      </c>
      <c r="J83" s="1805">
        <v>5075</v>
      </c>
      <c r="K83" s="817">
        <v>3739</v>
      </c>
      <c r="L83" s="1806"/>
      <c r="M83" s="1802">
        <v>7782</v>
      </c>
      <c r="N83" s="511">
        <v>736</v>
      </c>
      <c r="O83" s="511">
        <v>157</v>
      </c>
      <c r="P83" s="1803">
        <v>139</v>
      </c>
      <c r="Q83" s="512">
        <v>169</v>
      </c>
    </row>
    <row r="84" spans="1:17" s="512" customFormat="1" x14ac:dyDescent="0.3">
      <c r="A84" s="514" t="s">
        <v>206</v>
      </c>
      <c r="B84" s="510" t="s">
        <v>282</v>
      </c>
      <c r="C84" s="509" t="s">
        <v>255</v>
      </c>
      <c r="D84" s="1829">
        <v>26970</v>
      </c>
      <c r="E84" s="1805">
        <v>13129</v>
      </c>
      <c r="F84" s="817">
        <v>5835</v>
      </c>
      <c r="G84" s="817">
        <v>6111</v>
      </c>
      <c r="H84" s="817">
        <v>1890</v>
      </c>
      <c r="I84" s="1806">
        <v>5</v>
      </c>
      <c r="J84" s="1805">
        <v>15112</v>
      </c>
      <c r="K84" s="817">
        <v>11858</v>
      </c>
      <c r="L84" s="1806"/>
      <c r="M84" s="1802">
        <v>23314</v>
      </c>
      <c r="N84" s="511">
        <v>2550</v>
      </c>
      <c r="O84" s="511">
        <v>669</v>
      </c>
      <c r="P84" s="1803">
        <v>437</v>
      </c>
      <c r="Q84" s="512">
        <v>3099</v>
      </c>
    </row>
    <row r="85" spans="1:17" s="512" customFormat="1" x14ac:dyDescent="0.3">
      <c r="A85" s="514" t="s">
        <v>208</v>
      </c>
      <c r="B85" s="510" t="s">
        <v>209</v>
      </c>
      <c r="C85" s="509" t="s">
        <v>256</v>
      </c>
      <c r="D85" s="1829">
        <v>10098</v>
      </c>
      <c r="E85" s="1805">
        <v>3486</v>
      </c>
      <c r="F85" s="817">
        <v>2230</v>
      </c>
      <c r="G85" s="817">
        <v>3414</v>
      </c>
      <c r="H85" s="817">
        <v>962</v>
      </c>
      <c r="I85" s="1806">
        <v>6</v>
      </c>
      <c r="J85" s="1805">
        <v>5633</v>
      </c>
      <c r="K85" s="817">
        <v>4465</v>
      </c>
      <c r="L85" s="1806"/>
      <c r="M85" s="1802">
        <v>9875</v>
      </c>
      <c r="N85" s="511">
        <v>107</v>
      </c>
      <c r="O85" s="511">
        <v>51</v>
      </c>
      <c r="P85" s="1803">
        <v>65</v>
      </c>
      <c r="Q85" s="512">
        <v>53</v>
      </c>
    </row>
    <row r="86" spans="1:17" s="512" customFormat="1" x14ac:dyDescent="0.3">
      <c r="A86" s="514" t="s">
        <v>210</v>
      </c>
      <c r="B86" s="510" t="s">
        <v>211</v>
      </c>
      <c r="C86" s="509" t="s">
        <v>256</v>
      </c>
      <c r="D86" s="1829">
        <v>7341</v>
      </c>
      <c r="E86" s="1805">
        <v>2434</v>
      </c>
      <c r="F86" s="817">
        <v>1508</v>
      </c>
      <c r="G86" s="817">
        <v>2455</v>
      </c>
      <c r="H86" s="817">
        <v>944</v>
      </c>
      <c r="I86" s="1806">
        <v>0</v>
      </c>
      <c r="J86" s="1805">
        <v>3937</v>
      </c>
      <c r="K86" s="817">
        <v>3404</v>
      </c>
      <c r="L86" s="1806"/>
      <c r="M86" s="1802">
        <v>7155</v>
      </c>
      <c r="N86" s="511">
        <v>80</v>
      </c>
      <c r="O86" s="511">
        <v>52</v>
      </c>
      <c r="P86" s="1803">
        <v>54</v>
      </c>
      <c r="Q86" s="512">
        <v>56</v>
      </c>
    </row>
    <row r="87" spans="1:17" s="512" customFormat="1" x14ac:dyDescent="0.3">
      <c r="A87" s="514" t="s">
        <v>212</v>
      </c>
      <c r="B87" s="510" t="s">
        <v>213</v>
      </c>
      <c r="C87" s="509" t="s">
        <v>255</v>
      </c>
      <c r="D87" s="1829">
        <v>10729</v>
      </c>
      <c r="E87" s="1805">
        <v>4805</v>
      </c>
      <c r="F87" s="817">
        <v>2330</v>
      </c>
      <c r="G87" s="817">
        <v>2690</v>
      </c>
      <c r="H87" s="817">
        <v>904</v>
      </c>
      <c r="I87" s="1806">
        <v>0</v>
      </c>
      <c r="J87" s="1805">
        <v>6025</v>
      </c>
      <c r="K87" s="817">
        <v>4704</v>
      </c>
      <c r="L87" s="1806"/>
      <c r="M87" s="1802">
        <v>9670</v>
      </c>
      <c r="N87" s="511">
        <v>556</v>
      </c>
      <c r="O87" s="511">
        <v>365</v>
      </c>
      <c r="P87" s="1803">
        <v>138</v>
      </c>
      <c r="Q87" s="512">
        <v>939</v>
      </c>
    </row>
    <row r="88" spans="1:17" s="512" customFormat="1" x14ac:dyDescent="0.3">
      <c r="A88" s="514" t="s">
        <v>214</v>
      </c>
      <c r="B88" s="510" t="s">
        <v>215</v>
      </c>
      <c r="C88" s="509" t="s">
        <v>256</v>
      </c>
      <c r="D88" s="1829">
        <v>11168</v>
      </c>
      <c r="E88" s="1805">
        <v>3841</v>
      </c>
      <c r="F88" s="817">
        <v>2556</v>
      </c>
      <c r="G88" s="817">
        <v>3568</v>
      </c>
      <c r="H88" s="817">
        <v>1202</v>
      </c>
      <c r="I88" s="1806">
        <v>1</v>
      </c>
      <c r="J88" s="1805">
        <v>6195</v>
      </c>
      <c r="K88" s="817">
        <v>4973</v>
      </c>
      <c r="L88" s="1806"/>
      <c r="M88" s="1802">
        <v>10671</v>
      </c>
      <c r="N88" s="511">
        <v>284</v>
      </c>
      <c r="O88" s="511">
        <v>83</v>
      </c>
      <c r="P88" s="1803">
        <v>130</v>
      </c>
      <c r="Q88" s="512">
        <v>115</v>
      </c>
    </row>
    <row r="89" spans="1:17" s="512" customFormat="1" x14ac:dyDescent="0.3">
      <c r="A89" s="514" t="s">
        <v>216</v>
      </c>
      <c r="B89" s="510" t="s">
        <v>217</v>
      </c>
      <c r="C89" s="509" t="s">
        <v>252</v>
      </c>
      <c r="D89" s="1829">
        <v>5227</v>
      </c>
      <c r="E89" s="1805">
        <v>2098</v>
      </c>
      <c r="F89" s="817">
        <v>1116</v>
      </c>
      <c r="G89" s="817">
        <v>1435</v>
      </c>
      <c r="H89" s="817">
        <v>575</v>
      </c>
      <c r="I89" s="1806">
        <v>3</v>
      </c>
      <c r="J89" s="1805">
        <v>3025</v>
      </c>
      <c r="K89" s="817">
        <v>2202</v>
      </c>
      <c r="L89" s="1806"/>
      <c r="M89" s="1802">
        <v>2145</v>
      </c>
      <c r="N89" s="511">
        <v>2983</v>
      </c>
      <c r="O89" s="511">
        <v>59</v>
      </c>
      <c r="P89" s="1803">
        <v>40</v>
      </c>
      <c r="Q89" s="512">
        <v>60</v>
      </c>
    </row>
    <row r="90" spans="1:17" s="512" customFormat="1" x14ac:dyDescent="0.3">
      <c r="A90" s="514" t="s">
        <v>218</v>
      </c>
      <c r="B90" s="510" t="s">
        <v>219</v>
      </c>
      <c r="C90" s="509" t="s">
        <v>255</v>
      </c>
      <c r="D90" s="1829">
        <v>28465</v>
      </c>
      <c r="E90" s="1805">
        <v>14028</v>
      </c>
      <c r="F90" s="817">
        <v>6627</v>
      </c>
      <c r="G90" s="817">
        <v>6289</v>
      </c>
      <c r="H90" s="817">
        <v>1520</v>
      </c>
      <c r="I90" s="1806">
        <v>1</v>
      </c>
      <c r="J90" s="1805">
        <v>16142</v>
      </c>
      <c r="K90" s="817">
        <v>12323</v>
      </c>
      <c r="L90" s="1806"/>
      <c r="M90" s="1802">
        <v>18326</v>
      </c>
      <c r="N90" s="511">
        <v>8229</v>
      </c>
      <c r="O90" s="511">
        <v>1451</v>
      </c>
      <c r="P90" s="1803">
        <v>459</v>
      </c>
      <c r="Q90" s="512">
        <v>1455</v>
      </c>
    </row>
    <row r="91" spans="1:17" s="512" customFormat="1" x14ac:dyDescent="0.3">
      <c r="A91" s="514" t="s">
        <v>220</v>
      </c>
      <c r="B91" s="510" t="s">
        <v>221</v>
      </c>
      <c r="C91" s="509" t="s">
        <v>255</v>
      </c>
      <c r="D91" s="1829">
        <v>24644</v>
      </c>
      <c r="E91" s="1805">
        <v>12437</v>
      </c>
      <c r="F91" s="817">
        <v>6043</v>
      </c>
      <c r="G91" s="817">
        <v>4921</v>
      </c>
      <c r="H91" s="817">
        <v>1241</v>
      </c>
      <c r="I91" s="1806">
        <v>2</v>
      </c>
      <c r="J91" s="1805">
        <v>14144</v>
      </c>
      <c r="K91" s="817">
        <v>10500</v>
      </c>
      <c r="L91" s="1806"/>
      <c r="M91" s="1802">
        <v>14394</v>
      </c>
      <c r="N91" s="511">
        <v>8046</v>
      </c>
      <c r="O91" s="511">
        <v>1715</v>
      </c>
      <c r="P91" s="1803">
        <v>489</v>
      </c>
      <c r="Q91" s="512">
        <v>2120</v>
      </c>
    </row>
    <row r="92" spans="1:17" s="512" customFormat="1" x14ac:dyDescent="0.3">
      <c r="A92" s="514" t="s">
        <v>224</v>
      </c>
      <c r="B92" s="510" t="s">
        <v>225</v>
      </c>
      <c r="C92" s="509" t="s">
        <v>252</v>
      </c>
      <c r="D92" s="1829">
        <v>1801</v>
      </c>
      <c r="E92" s="1805">
        <v>662</v>
      </c>
      <c r="F92" s="817">
        <v>402</v>
      </c>
      <c r="G92" s="817">
        <v>544</v>
      </c>
      <c r="H92" s="817">
        <v>191</v>
      </c>
      <c r="I92" s="1806">
        <v>2</v>
      </c>
      <c r="J92" s="1805">
        <v>1019</v>
      </c>
      <c r="K92" s="817">
        <v>782</v>
      </c>
      <c r="L92" s="1806"/>
      <c r="M92" s="1802">
        <v>704</v>
      </c>
      <c r="N92" s="511">
        <v>1047</v>
      </c>
      <c r="O92" s="511">
        <v>26</v>
      </c>
      <c r="P92" s="1803">
        <v>24</v>
      </c>
      <c r="Q92" s="512">
        <v>19</v>
      </c>
    </row>
    <row r="93" spans="1:17" s="512" customFormat="1" x14ac:dyDescent="0.3">
      <c r="A93" s="514" t="s">
        <v>226</v>
      </c>
      <c r="B93" s="510" t="s">
        <v>227</v>
      </c>
      <c r="C93" s="509" t="s">
        <v>252</v>
      </c>
      <c r="D93" s="1829">
        <v>3391</v>
      </c>
      <c r="E93" s="1805">
        <v>1264</v>
      </c>
      <c r="F93" s="817">
        <v>759</v>
      </c>
      <c r="G93" s="817">
        <v>991</v>
      </c>
      <c r="H93" s="817">
        <v>377</v>
      </c>
      <c r="I93" s="1806">
        <v>0</v>
      </c>
      <c r="J93" s="1805">
        <v>1924</v>
      </c>
      <c r="K93" s="817">
        <v>1467</v>
      </c>
      <c r="L93" s="1806"/>
      <c r="M93" s="1802">
        <v>952</v>
      </c>
      <c r="N93" s="511">
        <v>2378</v>
      </c>
      <c r="O93" s="511">
        <v>40</v>
      </c>
      <c r="P93" s="1803">
        <v>21</v>
      </c>
      <c r="Q93" s="512">
        <v>50</v>
      </c>
    </row>
    <row r="94" spans="1:17" s="512" customFormat="1" x14ac:dyDescent="0.3">
      <c r="A94" s="514" t="s">
        <v>228</v>
      </c>
      <c r="B94" s="510" t="s">
        <v>229</v>
      </c>
      <c r="C94" s="509" t="s">
        <v>256</v>
      </c>
      <c r="D94" s="1829">
        <v>14935</v>
      </c>
      <c r="E94" s="1805">
        <v>5273</v>
      </c>
      <c r="F94" s="817">
        <v>3381</v>
      </c>
      <c r="G94" s="817">
        <v>4934</v>
      </c>
      <c r="H94" s="817">
        <v>1347</v>
      </c>
      <c r="I94" s="1806">
        <v>0</v>
      </c>
      <c r="J94" s="1805">
        <v>8383</v>
      </c>
      <c r="K94" s="817">
        <v>6552</v>
      </c>
      <c r="L94" s="1806"/>
      <c r="M94" s="1802">
        <v>14218</v>
      </c>
      <c r="N94" s="511">
        <v>524</v>
      </c>
      <c r="O94" s="511">
        <v>91</v>
      </c>
      <c r="P94" s="1803">
        <v>102</v>
      </c>
      <c r="Q94" s="512">
        <v>73</v>
      </c>
    </row>
    <row r="95" spans="1:17" s="512" customFormat="1" x14ac:dyDescent="0.3">
      <c r="A95" s="514" t="s">
        <v>232</v>
      </c>
      <c r="B95" s="510" t="s">
        <v>233</v>
      </c>
      <c r="C95" s="509" t="s">
        <v>255</v>
      </c>
      <c r="D95" s="1829">
        <v>9391</v>
      </c>
      <c r="E95" s="1805">
        <v>4076</v>
      </c>
      <c r="F95" s="817">
        <v>2141</v>
      </c>
      <c r="G95" s="817">
        <v>2492</v>
      </c>
      <c r="H95" s="817">
        <v>681</v>
      </c>
      <c r="I95" s="1806">
        <v>1</v>
      </c>
      <c r="J95" s="1805">
        <v>5259</v>
      </c>
      <c r="K95" s="817">
        <v>4132</v>
      </c>
      <c r="L95" s="1806"/>
      <c r="M95" s="1802">
        <v>8067</v>
      </c>
      <c r="N95" s="511">
        <v>1004</v>
      </c>
      <c r="O95" s="511">
        <v>223</v>
      </c>
      <c r="P95" s="1803">
        <v>97</v>
      </c>
      <c r="Q95" s="512">
        <v>284</v>
      </c>
    </row>
    <row r="96" spans="1:17" s="512" customFormat="1" x14ac:dyDescent="0.3">
      <c r="A96" s="514" t="s">
        <v>234</v>
      </c>
      <c r="B96" s="510" t="s">
        <v>235</v>
      </c>
      <c r="C96" s="509" t="s">
        <v>256</v>
      </c>
      <c r="D96" s="1829">
        <v>14985</v>
      </c>
      <c r="E96" s="1805">
        <v>5510</v>
      </c>
      <c r="F96" s="817">
        <v>3284</v>
      </c>
      <c r="G96" s="817">
        <v>4680</v>
      </c>
      <c r="H96" s="817">
        <v>1507</v>
      </c>
      <c r="I96" s="1806">
        <v>4</v>
      </c>
      <c r="J96" s="1805">
        <v>8415</v>
      </c>
      <c r="K96" s="817">
        <v>6570</v>
      </c>
      <c r="L96" s="1806"/>
      <c r="M96" s="1802">
        <v>14285</v>
      </c>
      <c r="N96" s="511">
        <v>339</v>
      </c>
      <c r="O96" s="511">
        <v>167</v>
      </c>
      <c r="P96" s="1803">
        <v>194</v>
      </c>
      <c r="Q96" s="512">
        <v>218</v>
      </c>
    </row>
    <row r="97" spans="1:17" s="512" customFormat="1" x14ac:dyDescent="0.3">
      <c r="A97" s="514" t="s">
        <v>236</v>
      </c>
      <c r="B97" s="510" t="s">
        <v>237</v>
      </c>
      <c r="C97" s="509" t="s">
        <v>254</v>
      </c>
      <c r="D97" s="1829">
        <v>6085</v>
      </c>
      <c r="E97" s="1805">
        <v>2425</v>
      </c>
      <c r="F97" s="817">
        <v>1312</v>
      </c>
      <c r="G97" s="817">
        <v>1699</v>
      </c>
      <c r="H97" s="817">
        <v>649</v>
      </c>
      <c r="I97" s="1806">
        <v>0</v>
      </c>
      <c r="J97" s="1805">
        <v>3407</v>
      </c>
      <c r="K97" s="817">
        <v>2678</v>
      </c>
      <c r="L97" s="1806"/>
      <c r="M97" s="1802">
        <v>3296</v>
      </c>
      <c r="N97" s="511">
        <v>2557</v>
      </c>
      <c r="O97" s="511">
        <v>157</v>
      </c>
      <c r="P97" s="1803">
        <v>75</v>
      </c>
      <c r="Q97" s="512">
        <v>289</v>
      </c>
    </row>
    <row r="98" spans="1:17" s="512" customFormat="1" x14ac:dyDescent="0.3">
      <c r="A98" s="514" t="s">
        <v>242</v>
      </c>
      <c r="B98" s="510" t="s">
        <v>243</v>
      </c>
      <c r="C98" s="509" t="s">
        <v>256</v>
      </c>
      <c r="D98" s="1829">
        <v>15071</v>
      </c>
      <c r="E98" s="1805">
        <v>5274</v>
      </c>
      <c r="F98" s="817">
        <v>3446</v>
      </c>
      <c r="G98" s="817">
        <v>5119</v>
      </c>
      <c r="H98" s="817">
        <v>1232</v>
      </c>
      <c r="I98" s="1806">
        <v>0</v>
      </c>
      <c r="J98" s="1805">
        <v>8369</v>
      </c>
      <c r="K98" s="817">
        <v>6702</v>
      </c>
      <c r="L98" s="1806"/>
      <c r="M98" s="1802">
        <v>14521</v>
      </c>
      <c r="N98" s="511">
        <v>394</v>
      </c>
      <c r="O98" s="511">
        <v>72</v>
      </c>
      <c r="P98" s="1803">
        <v>84</v>
      </c>
      <c r="Q98" s="512">
        <v>63</v>
      </c>
    </row>
    <row r="99" spans="1:17" s="512" customFormat="1" x14ac:dyDescent="0.3">
      <c r="A99" s="514" t="s">
        <v>244</v>
      </c>
      <c r="B99" s="510" t="s">
        <v>245</v>
      </c>
      <c r="C99" s="509" t="s">
        <v>256</v>
      </c>
      <c r="D99" s="1829">
        <v>8875</v>
      </c>
      <c r="E99" s="1805">
        <v>3242</v>
      </c>
      <c r="F99" s="817">
        <v>1966</v>
      </c>
      <c r="G99" s="817">
        <v>2732</v>
      </c>
      <c r="H99" s="817">
        <v>935</v>
      </c>
      <c r="I99" s="1806">
        <v>0</v>
      </c>
      <c r="J99" s="1805">
        <v>5018</v>
      </c>
      <c r="K99" s="817">
        <v>3857</v>
      </c>
      <c r="L99" s="1806"/>
      <c r="M99" s="1802">
        <v>8294</v>
      </c>
      <c r="N99" s="511">
        <v>447</v>
      </c>
      <c r="O99" s="511">
        <v>59</v>
      </c>
      <c r="P99" s="1803">
        <v>75</v>
      </c>
      <c r="Q99" s="512">
        <v>72</v>
      </c>
    </row>
    <row r="100" spans="1:17" s="512" customFormat="1" x14ac:dyDescent="0.3">
      <c r="A100" s="514" t="s">
        <v>246</v>
      </c>
      <c r="B100" s="510" t="s">
        <v>247</v>
      </c>
      <c r="C100" s="509" t="s">
        <v>252</v>
      </c>
      <c r="D100" s="1829">
        <v>8425</v>
      </c>
      <c r="E100" s="1805">
        <v>3862</v>
      </c>
      <c r="F100" s="817">
        <v>2009</v>
      </c>
      <c r="G100" s="817">
        <v>1986</v>
      </c>
      <c r="H100" s="817">
        <v>567</v>
      </c>
      <c r="I100" s="1806">
        <v>1</v>
      </c>
      <c r="J100" s="1805">
        <v>4921</v>
      </c>
      <c r="K100" s="817">
        <v>3504</v>
      </c>
      <c r="L100" s="1806"/>
      <c r="M100" s="2420">
        <v>5220</v>
      </c>
      <c r="N100" s="511">
        <v>2416</v>
      </c>
      <c r="O100" s="511">
        <v>538</v>
      </c>
      <c r="P100" s="1803">
        <v>251</v>
      </c>
      <c r="Q100" s="512">
        <v>374</v>
      </c>
    </row>
    <row r="101" spans="1:17" s="512" customFormat="1" x14ac:dyDescent="0.3">
      <c r="A101" s="514" t="s">
        <v>14</v>
      </c>
      <c r="B101" s="510" t="s">
        <v>15</v>
      </c>
      <c r="C101" s="509" t="s">
        <v>255</v>
      </c>
      <c r="D101" s="1829">
        <v>25748</v>
      </c>
      <c r="E101" s="1805">
        <v>13405</v>
      </c>
      <c r="F101" s="817">
        <v>4711</v>
      </c>
      <c r="G101" s="817">
        <v>5470</v>
      </c>
      <c r="H101" s="817">
        <v>2161</v>
      </c>
      <c r="I101" s="1806">
        <v>1</v>
      </c>
      <c r="J101" s="1805">
        <v>14196</v>
      </c>
      <c r="K101" s="817">
        <v>11552</v>
      </c>
      <c r="L101" s="1806"/>
      <c r="M101" s="1802">
        <v>12025</v>
      </c>
      <c r="N101" s="511">
        <v>10477</v>
      </c>
      <c r="O101" s="511">
        <v>2465</v>
      </c>
      <c r="P101" s="1803">
        <v>781</v>
      </c>
      <c r="Q101" s="512">
        <v>2494</v>
      </c>
    </row>
    <row r="102" spans="1:17" s="512" customFormat="1" x14ac:dyDescent="0.3">
      <c r="A102" s="514" t="s">
        <v>34</v>
      </c>
      <c r="B102" s="510" t="s">
        <v>35</v>
      </c>
      <c r="C102" s="509" t="s">
        <v>256</v>
      </c>
      <c r="D102" s="1829">
        <v>7995</v>
      </c>
      <c r="E102" s="1805">
        <v>2937</v>
      </c>
      <c r="F102" s="817">
        <v>1842</v>
      </c>
      <c r="G102" s="817">
        <v>2485</v>
      </c>
      <c r="H102" s="817">
        <v>730</v>
      </c>
      <c r="I102" s="1806">
        <v>1</v>
      </c>
      <c r="J102" s="1805">
        <v>4543</v>
      </c>
      <c r="K102" s="817">
        <v>3452</v>
      </c>
      <c r="L102" s="1806"/>
      <c r="M102" s="1802">
        <v>6773</v>
      </c>
      <c r="N102" s="511">
        <v>1016</v>
      </c>
      <c r="O102" s="511">
        <v>137</v>
      </c>
      <c r="P102" s="1803">
        <v>69</v>
      </c>
      <c r="Q102" s="512">
        <v>105</v>
      </c>
    </row>
    <row r="103" spans="1:17" s="512" customFormat="1" x14ac:dyDescent="0.3">
      <c r="A103" s="514" t="s">
        <v>52</v>
      </c>
      <c r="B103" s="510" t="s">
        <v>53</v>
      </c>
      <c r="C103" s="509" t="s">
        <v>253</v>
      </c>
      <c r="D103" s="1829">
        <v>9367</v>
      </c>
      <c r="E103" s="1805">
        <v>3733</v>
      </c>
      <c r="F103" s="817">
        <v>2068</v>
      </c>
      <c r="G103" s="817">
        <v>2770</v>
      </c>
      <c r="H103" s="817">
        <v>796</v>
      </c>
      <c r="I103" s="1806">
        <v>0</v>
      </c>
      <c r="J103" s="1805">
        <v>4947</v>
      </c>
      <c r="K103" s="817">
        <v>4420</v>
      </c>
      <c r="L103" s="1806"/>
      <c r="M103" s="1802">
        <v>3946</v>
      </c>
      <c r="N103" s="511">
        <v>4657</v>
      </c>
      <c r="O103" s="511">
        <v>540</v>
      </c>
      <c r="P103" s="1803">
        <v>224</v>
      </c>
      <c r="Q103" s="512">
        <v>444</v>
      </c>
    </row>
    <row r="104" spans="1:17" s="512" customFormat="1" x14ac:dyDescent="0.3">
      <c r="A104" s="514" t="s">
        <v>54</v>
      </c>
      <c r="B104" s="510" t="s">
        <v>55</v>
      </c>
      <c r="C104" s="509" t="s">
        <v>252</v>
      </c>
      <c r="D104" s="1829">
        <v>49322</v>
      </c>
      <c r="E104" s="1805">
        <v>22114</v>
      </c>
      <c r="F104" s="817">
        <v>12020</v>
      </c>
      <c r="G104" s="817">
        <v>11969</v>
      </c>
      <c r="H104" s="817">
        <v>3211</v>
      </c>
      <c r="I104" s="1806">
        <v>8</v>
      </c>
      <c r="J104" s="1805">
        <v>29091</v>
      </c>
      <c r="K104" s="817">
        <v>20231</v>
      </c>
      <c r="L104" s="1806"/>
      <c r="M104" s="1802">
        <v>19323</v>
      </c>
      <c r="N104" s="511">
        <v>27129</v>
      </c>
      <c r="O104" s="511">
        <v>2029</v>
      </c>
      <c r="P104" s="1803">
        <v>841</v>
      </c>
      <c r="Q104" s="512">
        <v>2070</v>
      </c>
    </row>
    <row r="105" spans="1:17" s="512" customFormat="1" x14ac:dyDescent="0.3">
      <c r="A105" s="514" t="s">
        <v>66</v>
      </c>
      <c r="B105" s="510" t="s">
        <v>67</v>
      </c>
      <c r="C105" s="509" t="s">
        <v>253</v>
      </c>
      <c r="D105" s="1829">
        <v>21880</v>
      </c>
      <c r="E105" s="1805">
        <v>7881</v>
      </c>
      <c r="F105" s="817">
        <v>5216</v>
      </c>
      <c r="G105" s="817">
        <v>6445</v>
      </c>
      <c r="H105" s="817">
        <v>2333</v>
      </c>
      <c r="I105" s="1806">
        <v>5</v>
      </c>
      <c r="J105" s="1805">
        <v>12584</v>
      </c>
      <c r="K105" s="817">
        <v>9296</v>
      </c>
      <c r="L105" s="1806"/>
      <c r="M105" s="1802">
        <v>6793</v>
      </c>
      <c r="N105" s="511">
        <v>14505</v>
      </c>
      <c r="O105" s="511">
        <v>434</v>
      </c>
      <c r="P105" s="1803">
        <v>148</v>
      </c>
      <c r="Q105" s="512">
        <v>572</v>
      </c>
    </row>
    <row r="106" spans="1:17" s="512" customFormat="1" x14ac:dyDescent="0.3">
      <c r="A106" s="514" t="s">
        <v>82</v>
      </c>
      <c r="B106" s="510" t="s">
        <v>83</v>
      </c>
      <c r="C106" s="509" t="s">
        <v>252</v>
      </c>
      <c r="D106" s="1829">
        <v>4221</v>
      </c>
      <c r="E106" s="1805">
        <v>1698</v>
      </c>
      <c r="F106" s="817">
        <v>994</v>
      </c>
      <c r="G106" s="817">
        <v>1171</v>
      </c>
      <c r="H106" s="817">
        <v>358</v>
      </c>
      <c r="I106" s="1806">
        <v>0</v>
      </c>
      <c r="J106" s="1805">
        <v>2470</v>
      </c>
      <c r="K106" s="817">
        <v>1751</v>
      </c>
      <c r="L106" s="1806"/>
      <c r="M106" s="1802">
        <v>627</v>
      </c>
      <c r="N106" s="511">
        <v>3510</v>
      </c>
      <c r="O106" s="511">
        <v>57</v>
      </c>
      <c r="P106" s="1803">
        <v>27</v>
      </c>
      <c r="Q106" s="512">
        <v>72</v>
      </c>
    </row>
    <row r="107" spans="1:17" s="512" customFormat="1" x14ac:dyDescent="0.3">
      <c r="A107" s="514" t="s">
        <v>88</v>
      </c>
      <c r="B107" s="510" t="s">
        <v>89</v>
      </c>
      <c r="C107" s="509" t="s">
        <v>255</v>
      </c>
      <c r="D107" s="1829">
        <v>9025</v>
      </c>
      <c r="E107" s="1805">
        <v>4009</v>
      </c>
      <c r="F107" s="817">
        <v>2219</v>
      </c>
      <c r="G107" s="817">
        <v>2236</v>
      </c>
      <c r="H107" s="817">
        <v>560</v>
      </c>
      <c r="I107" s="1806">
        <v>1</v>
      </c>
      <c r="J107" s="1805">
        <v>5081</v>
      </c>
      <c r="K107" s="817">
        <v>3944</v>
      </c>
      <c r="L107" s="1806"/>
      <c r="M107" s="1802">
        <v>4225</v>
      </c>
      <c r="N107" s="511">
        <v>4025</v>
      </c>
      <c r="O107" s="511">
        <v>648</v>
      </c>
      <c r="P107" s="1803">
        <v>127</v>
      </c>
      <c r="Q107" s="512">
        <v>440</v>
      </c>
    </row>
    <row r="108" spans="1:17" s="512" customFormat="1" x14ac:dyDescent="0.3">
      <c r="A108" s="514" t="s">
        <v>90</v>
      </c>
      <c r="B108" s="510" t="s">
        <v>91</v>
      </c>
      <c r="C108" s="509" t="s">
        <v>256</v>
      </c>
      <c r="D108" s="1829">
        <v>3341</v>
      </c>
      <c r="E108" s="1805">
        <v>1286</v>
      </c>
      <c r="F108" s="817">
        <v>762</v>
      </c>
      <c r="G108" s="817">
        <v>890</v>
      </c>
      <c r="H108" s="817">
        <v>403</v>
      </c>
      <c r="I108" s="1806">
        <v>0</v>
      </c>
      <c r="J108" s="1805">
        <v>1823</v>
      </c>
      <c r="K108" s="817">
        <v>1518</v>
      </c>
      <c r="L108" s="1806"/>
      <c r="M108" s="1802">
        <v>2998</v>
      </c>
      <c r="N108" s="511">
        <v>290</v>
      </c>
      <c r="O108" s="511">
        <v>31</v>
      </c>
      <c r="P108" s="1803">
        <v>22</v>
      </c>
      <c r="Q108" s="512">
        <v>458</v>
      </c>
    </row>
    <row r="109" spans="1:17" s="512" customFormat="1" x14ac:dyDescent="0.3">
      <c r="A109" s="514" t="s">
        <v>106</v>
      </c>
      <c r="B109" s="510" t="s">
        <v>107</v>
      </c>
      <c r="C109" s="509" t="s">
        <v>252</v>
      </c>
      <c r="D109" s="1829">
        <v>41073</v>
      </c>
      <c r="E109" s="1805">
        <v>17313</v>
      </c>
      <c r="F109" s="817">
        <v>10183</v>
      </c>
      <c r="G109" s="817">
        <v>11013</v>
      </c>
      <c r="H109" s="817">
        <v>2560</v>
      </c>
      <c r="I109" s="1806">
        <v>4</v>
      </c>
      <c r="J109" s="1805">
        <v>23956</v>
      </c>
      <c r="K109" s="817">
        <v>17117</v>
      </c>
      <c r="L109" s="1806"/>
      <c r="M109" s="1802">
        <v>10618</v>
      </c>
      <c r="N109" s="511">
        <v>28647</v>
      </c>
      <c r="O109" s="511">
        <v>1335</v>
      </c>
      <c r="P109" s="1803">
        <v>473</v>
      </c>
      <c r="Q109" s="512">
        <v>1504</v>
      </c>
    </row>
    <row r="110" spans="1:17" s="512" customFormat="1" x14ac:dyDescent="0.3">
      <c r="A110" s="514" t="s">
        <v>116</v>
      </c>
      <c r="B110" s="510" t="s">
        <v>117</v>
      </c>
      <c r="C110" s="509" t="s">
        <v>254</v>
      </c>
      <c r="D110" s="1829">
        <v>12265</v>
      </c>
      <c r="E110" s="1805">
        <v>5280</v>
      </c>
      <c r="F110" s="817">
        <v>3206</v>
      </c>
      <c r="G110" s="817">
        <v>3133</v>
      </c>
      <c r="H110" s="817">
        <v>645</v>
      </c>
      <c r="I110" s="1806">
        <v>1</v>
      </c>
      <c r="J110" s="1805">
        <v>7114</v>
      </c>
      <c r="K110" s="817">
        <v>5151</v>
      </c>
      <c r="L110" s="1806"/>
      <c r="M110" s="1802">
        <v>4919</v>
      </c>
      <c r="N110" s="511">
        <v>7010</v>
      </c>
      <c r="O110" s="511">
        <v>264</v>
      </c>
      <c r="P110" s="1803">
        <v>72</v>
      </c>
      <c r="Q110" s="512">
        <v>627</v>
      </c>
    </row>
    <row r="111" spans="1:17" s="512" customFormat="1" x14ac:dyDescent="0.3">
      <c r="A111" s="514" t="s">
        <v>138</v>
      </c>
      <c r="B111" s="510" t="s">
        <v>139</v>
      </c>
      <c r="C111" s="509" t="s">
        <v>253</v>
      </c>
      <c r="D111" s="1829">
        <v>23021</v>
      </c>
      <c r="E111" s="1805">
        <v>9550</v>
      </c>
      <c r="F111" s="817">
        <v>5642</v>
      </c>
      <c r="G111" s="817">
        <v>5977</v>
      </c>
      <c r="H111" s="817">
        <v>1851</v>
      </c>
      <c r="I111" s="1806">
        <v>1</v>
      </c>
      <c r="J111" s="1805">
        <v>13307</v>
      </c>
      <c r="K111" s="817">
        <v>9714</v>
      </c>
      <c r="L111" s="1806"/>
      <c r="M111" s="1802">
        <v>9111</v>
      </c>
      <c r="N111" s="511">
        <v>13058</v>
      </c>
      <c r="O111" s="511">
        <v>512</v>
      </c>
      <c r="P111" s="1803">
        <v>340</v>
      </c>
      <c r="Q111" s="512">
        <v>466</v>
      </c>
    </row>
    <row r="112" spans="1:17" s="512" customFormat="1" x14ac:dyDescent="0.3">
      <c r="A112" s="514" t="s">
        <v>142</v>
      </c>
      <c r="B112" s="510" t="s">
        <v>143</v>
      </c>
      <c r="C112" s="509" t="s">
        <v>255</v>
      </c>
      <c r="D112" s="1829">
        <v>10579</v>
      </c>
      <c r="E112" s="1805">
        <v>6707</v>
      </c>
      <c r="F112" s="817">
        <v>1941</v>
      </c>
      <c r="G112" s="817">
        <v>1545</v>
      </c>
      <c r="H112" s="817">
        <v>385</v>
      </c>
      <c r="I112" s="1806">
        <v>1</v>
      </c>
      <c r="J112" s="1805">
        <v>5761</v>
      </c>
      <c r="K112" s="817">
        <v>4818</v>
      </c>
      <c r="L112" s="1806"/>
      <c r="M112" s="1802">
        <v>7684</v>
      </c>
      <c r="N112" s="511">
        <v>2033</v>
      </c>
      <c r="O112" s="511">
        <v>703</v>
      </c>
      <c r="P112" s="1803">
        <v>159</v>
      </c>
      <c r="Q112" s="512">
        <v>2436</v>
      </c>
    </row>
    <row r="113" spans="1:17" s="512" customFormat="1" x14ac:dyDescent="0.3">
      <c r="A113" s="514" t="s">
        <v>144</v>
      </c>
      <c r="B113" s="510" t="s">
        <v>145</v>
      </c>
      <c r="C113" s="509" t="s">
        <v>255</v>
      </c>
      <c r="D113" s="1829">
        <v>4173</v>
      </c>
      <c r="E113" s="1805">
        <v>2629</v>
      </c>
      <c r="F113" s="817">
        <v>697</v>
      </c>
      <c r="G113" s="817">
        <v>620</v>
      </c>
      <c r="H113" s="817">
        <v>227</v>
      </c>
      <c r="I113" s="1806">
        <v>0</v>
      </c>
      <c r="J113" s="1805">
        <v>2287</v>
      </c>
      <c r="K113" s="817">
        <v>1886</v>
      </c>
      <c r="L113" s="1806"/>
      <c r="M113" s="1802">
        <v>3247</v>
      </c>
      <c r="N113" s="511">
        <v>512</v>
      </c>
      <c r="O113" s="511">
        <v>366</v>
      </c>
      <c r="P113" s="1803">
        <v>48</v>
      </c>
      <c r="Q113" s="512">
        <v>1437</v>
      </c>
    </row>
    <row r="114" spans="1:17" s="512" customFormat="1" x14ac:dyDescent="0.3">
      <c r="A114" s="514" t="s">
        <v>158</v>
      </c>
      <c r="B114" s="510" t="s">
        <v>159</v>
      </c>
      <c r="C114" s="509" t="s">
        <v>252</v>
      </c>
      <c r="D114" s="1829">
        <v>62654</v>
      </c>
      <c r="E114" s="1805">
        <v>27900</v>
      </c>
      <c r="F114" s="817">
        <v>15489</v>
      </c>
      <c r="G114" s="817">
        <v>15421</v>
      </c>
      <c r="H114" s="817">
        <v>3830</v>
      </c>
      <c r="I114" s="1806">
        <v>14</v>
      </c>
      <c r="J114" s="1805">
        <v>37104</v>
      </c>
      <c r="K114" s="817">
        <v>25550</v>
      </c>
      <c r="L114" s="1806"/>
      <c r="M114" s="1802">
        <v>16668</v>
      </c>
      <c r="N114" s="511">
        <v>42984</v>
      </c>
      <c r="O114" s="511">
        <v>2397</v>
      </c>
      <c r="P114" s="1803">
        <v>605</v>
      </c>
      <c r="Q114" s="512">
        <v>3907</v>
      </c>
    </row>
    <row r="115" spans="1:17" s="512" customFormat="1" x14ac:dyDescent="0.3">
      <c r="A115" s="514" t="s">
        <v>160</v>
      </c>
      <c r="B115" s="510" t="s">
        <v>161</v>
      </c>
      <c r="C115" s="509" t="s">
        <v>252</v>
      </c>
      <c r="D115" s="1829">
        <v>75866</v>
      </c>
      <c r="E115" s="1805">
        <v>31829</v>
      </c>
      <c r="F115" s="817">
        <v>18165</v>
      </c>
      <c r="G115" s="817">
        <v>20434</v>
      </c>
      <c r="H115" s="817">
        <v>5431</v>
      </c>
      <c r="I115" s="1806">
        <v>7</v>
      </c>
      <c r="J115" s="1805">
        <v>44414</v>
      </c>
      <c r="K115" s="817">
        <v>31450</v>
      </c>
      <c r="L115" s="1806">
        <v>2</v>
      </c>
      <c r="M115" s="1802">
        <v>17565</v>
      </c>
      <c r="N115" s="511">
        <v>54893</v>
      </c>
      <c r="O115" s="511">
        <v>2456</v>
      </c>
      <c r="P115" s="1803">
        <v>952</v>
      </c>
      <c r="Q115" s="512">
        <v>3171</v>
      </c>
    </row>
    <row r="116" spans="1:17" s="512" customFormat="1" x14ac:dyDescent="0.3">
      <c r="A116" s="514" t="s">
        <v>166</v>
      </c>
      <c r="B116" s="510" t="s">
        <v>167</v>
      </c>
      <c r="C116" s="509" t="s">
        <v>256</v>
      </c>
      <c r="D116" s="1829">
        <v>1799</v>
      </c>
      <c r="E116" s="1805">
        <v>586</v>
      </c>
      <c r="F116" s="817">
        <v>424</v>
      </c>
      <c r="G116" s="817">
        <v>609</v>
      </c>
      <c r="H116" s="817">
        <v>180</v>
      </c>
      <c r="I116" s="1806">
        <v>0</v>
      </c>
      <c r="J116" s="1805">
        <v>1068</v>
      </c>
      <c r="K116" s="817">
        <v>731</v>
      </c>
      <c r="L116" s="1806"/>
      <c r="M116" s="1802">
        <v>1611</v>
      </c>
      <c r="N116" s="511">
        <v>144</v>
      </c>
      <c r="O116" s="511">
        <v>30</v>
      </c>
      <c r="P116" s="1803">
        <v>14</v>
      </c>
      <c r="Q116" s="512">
        <v>26</v>
      </c>
    </row>
    <row r="117" spans="1:17" s="512" customFormat="1" x14ac:dyDescent="0.3">
      <c r="A117" s="514" t="s">
        <v>176</v>
      </c>
      <c r="B117" s="510" t="s">
        <v>177</v>
      </c>
      <c r="C117" s="509" t="s">
        <v>254</v>
      </c>
      <c r="D117" s="1829">
        <v>18880</v>
      </c>
      <c r="E117" s="1805">
        <v>6761</v>
      </c>
      <c r="F117" s="817">
        <v>4976</v>
      </c>
      <c r="G117" s="817">
        <v>5562</v>
      </c>
      <c r="H117" s="817">
        <v>1577</v>
      </c>
      <c r="I117" s="1806">
        <v>4</v>
      </c>
      <c r="J117" s="1805">
        <v>10629</v>
      </c>
      <c r="K117" s="817">
        <v>8251</v>
      </c>
      <c r="L117" s="1806"/>
      <c r="M117" s="1802">
        <v>2496</v>
      </c>
      <c r="N117" s="511">
        <v>15953</v>
      </c>
      <c r="O117" s="511">
        <v>313</v>
      </c>
      <c r="P117" s="1803">
        <v>118</v>
      </c>
      <c r="Q117" s="512">
        <v>556</v>
      </c>
    </row>
    <row r="118" spans="1:17" s="512" customFormat="1" x14ac:dyDescent="0.3">
      <c r="A118" s="514" t="s">
        <v>180</v>
      </c>
      <c r="B118" s="510" t="s">
        <v>181</v>
      </c>
      <c r="C118" s="509" t="s">
        <v>252</v>
      </c>
      <c r="D118" s="1829">
        <v>39709</v>
      </c>
      <c r="E118" s="1805">
        <v>16456</v>
      </c>
      <c r="F118" s="817">
        <v>9771</v>
      </c>
      <c r="G118" s="817">
        <v>10846</v>
      </c>
      <c r="H118" s="817">
        <v>2603</v>
      </c>
      <c r="I118" s="1806">
        <v>33</v>
      </c>
      <c r="J118" s="1805">
        <v>23061</v>
      </c>
      <c r="K118" s="817">
        <v>16648</v>
      </c>
      <c r="L118" s="1806"/>
      <c r="M118" s="1802">
        <v>8041</v>
      </c>
      <c r="N118" s="511">
        <v>30708</v>
      </c>
      <c r="O118" s="511">
        <v>646</v>
      </c>
      <c r="P118" s="1803">
        <v>314</v>
      </c>
      <c r="Q118" s="512">
        <v>730</v>
      </c>
    </row>
    <row r="119" spans="1:17" s="512" customFormat="1" x14ac:dyDescent="0.3">
      <c r="A119" s="514" t="s">
        <v>192</v>
      </c>
      <c r="B119" s="510" t="s">
        <v>193</v>
      </c>
      <c r="C119" s="509" t="s">
        <v>256</v>
      </c>
      <c r="D119" s="1829">
        <v>3284</v>
      </c>
      <c r="E119" s="1805">
        <v>1275</v>
      </c>
      <c r="F119" s="817">
        <v>979</v>
      </c>
      <c r="G119" s="817">
        <v>842</v>
      </c>
      <c r="H119" s="817">
        <v>188</v>
      </c>
      <c r="I119" s="1806">
        <v>0</v>
      </c>
      <c r="J119" s="1805">
        <v>1900</v>
      </c>
      <c r="K119" s="817">
        <v>1384</v>
      </c>
      <c r="L119" s="1806"/>
      <c r="M119" s="1802">
        <v>2519</v>
      </c>
      <c r="N119" s="511">
        <v>669</v>
      </c>
      <c r="O119" s="511">
        <v>45</v>
      </c>
      <c r="P119" s="1803">
        <v>51</v>
      </c>
      <c r="Q119" s="512">
        <v>71</v>
      </c>
    </row>
    <row r="120" spans="1:17" s="512" customFormat="1" x14ac:dyDescent="0.3">
      <c r="A120" s="514" t="s">
        <v>196</v>
      </c>
      <c r="B120" s="510" t="s">
        <v>197</v>
      </c>
      <c r="C120" s="509" t="s">
        <v>254</v>
      </c>
      <c r="D120" s="1829">
        <v>79310</v>
      </c>
      <c r="E120" s="1805">
        <v>31023</v>
      </c>
      <c r="F120" s="817">
        <v>19693</v>
      </c>
      <c r="G120" s="817">
        <v>21964</v>
      </c>
      <c r="H120" s="817">
        <v>6601</v>
      </c>
      <c r="I120" s="1806">
        <v>29</v>
      </c>
      <c r="J120" s="1805">
        <v>44247</v>
      </c>
      <c r="K120" s="817">
        <v>35063</v>
      </c>
      <c r="L120" s="1806"/>
      <c r="M120" s="1802">
        <v>15193</v>
      </c>
      <c r="N120" s="511">
        <v>60867</v>
      </c>
      <c r="O120" s="511">
        <v>1700</v>
      </c>
      <c r="P120" s="1803">
        <v>1550</v>
      </c>
      <c r="Q120" s="512">
        <v>3345</v>
      </c>
    </row>
    <row r="121" spans="1:17" s="512" customFormat="1" x14ac:dyDescent="0.3">
      <c r="A121" s="514" t="s">
        <v>200</v>
      </c>
      <c r="B121" s="510" t="s">
        <v>201</v>
      </c>
      <c r="C121" s="509" t="s">
        <v>253</v>
      </c>
      <c r="D121" s="1829">
        <v>41309</v>
      </c>
      <c r="E121" s="1805">
        <v>17203</v>
      </c>
      <c r="F121" s="817">
        <v>9330</v>
      </c>
      <c r="G121" s="817">
        <v>11668</v>
      </c>
      <c r="H121" s="817">
        <v>3093</v>
      </c>
      <c r="I121" s="1806">
        <v>15</v>
      </c>
      <c r="J121" s="1805">
        <v>23239</v>
      </c>
      <c r="K121" s="817">
        <v>18070</v>
      </c>
      <c r="L121" s="1806"/>
      <c r="M121" s="1802">
        <v>21432</v>
      </c>
      <c r="N121" s="511">
        <v>17865</v>
      </c>
      <c r="O121" s="511">
        <v>1598</v>
      </c>
      <c r="P121" s="1803">
        <v>414</v>
      </c>
      <c r="Q121" s="512">
        <v>1619</v>
      </c>
    </row>
    <row r="122" spans="1:17" s="512" customFormat="1" x14ac:dyDescent="0.3">
      <c r="A122" s="514" t="s">
        <v>222</v>
      </c>
      <c r="B122" s="510" t="s">
        <v>223</v>
      </c>
      <c r="C122" s="509" t="s">
        <v>252</v>
      </c>
      <c r="D122" s="1829">
        <v>22602</v>
      </c>
      <c r="E122" s="1805">
        <v>9503</v>
      </c>
      <c r="F122" s="817">
        <v>5286</v>
      </c>
      <c r="G122" s="817">
        <v>6021</v>
      </c>
      <c r="H122" s="817">
        <v>1790</v>
      </c>
      <c r="I122" s="1806">
        <v>2</v>
      </c>
      <c r="J122" s="1805">
        <v>13094</v>
      </c>
      <c r="K122" s="817">
        <v>9508</v>
      </c>
      <c r="L122" s="1806"/>
      <c r="M122" s="1802">
        <v>5887</v>
      </c>
      <c r="N122" s="511">
        <v>15910</v>
      </c>
      <c r="O122" s="511">
        <v>520</v>
      </c>
      <c r="P122" s="1803">
        <v>285</v>
      </c>
      <c r="Q122" s="512">
        <v>545</v>
      </c>
    </row>
    <row r="123" spans="1:17" s="512" customFormat="1" x14ac:dyDescent="0.3">
      <c r="A123" s="514" t="s">
        <v>230</v>
      </c>
      <c r="B123" s="510" t="s">
        <v>231</v>
      </c>
      <c r="C123" s="509" t="s">
        <v>252</v>
      </c>
      <c r="D123" s="1829">
        <v>76974</v>
      </c>
      <c r="E123" s="1805">
        <v>34585</v>
      </c>
      <c r="F123" s="817">
        <v>18959</v>
      </c>
      <c r="G123" s="817">
        <v>18707</v>
      </c>
      <c r="H123" s="817">
        <v>4717</v>
      </c>
      <c r="I123" s="1806">
        <v>6</v>
      </c>
      <c r="J123" s="1805">
        <v>44874</v>
      </c>
      <c r="K123" s="817">
        <v>32100</v>
      </c>
      <c r="L123" s="1806"/>
      <c r="M123" s="1802">
        <v>36781</v>
      </c>
      <c r="N123" s="511">
        <v>32848</v>
      </c>
      <c r="O123" s="511">
        <v>5370</v>
      </c>
      <c r="P123" s="1803">
        <v>1975</v>
      </c>
      <c r="Q123" s="512">
        <v>4439</v>
      </c>
    </row>
    <row r="124" spans="1:17" s="512" customFormat="1" x14ac:dyDescent="0.3">
      <c r="A124" s="514" t="s">
        <v>238</v>
      </c>
      <c r="B124" s="510" t="s">
        <v>239</v>
      </c>
      <c r="C124" s="509" t="s">
        <v>252</v>
      </c>
      <c r="D124" s="1829">
        <v>2689</v>
      </c>
      <c r="E124" s="1805">
        <v>1171</v>
      </c>
      <c r="F124" s="817">
        <v>617</v>
      </c>
      <c r="G124" s="817">
        <v>751</v>
      </c>
      <c r="H124" s="817">
        <v>150</v>
      </c>
      <c r="I124" s="1806">
        <v>0</v>
      </c>
      <c r="J124" s="1805">
        <v>1503</v>
      </c>
      <c r="K124" s="817">
        <v>1186</v>
      </c>
      <c r="L124" s="1806"/>
      <c r="M124" s="1802">
        <v>1272</v>
      </c>
      <c r="N124" s="511">
        <v>1213</v>
      </c>
      <c r="O124" s="511">
        <v>150</v>
      </c>
      <c r="P124" s="1803">
        <v>54</v>
      </c>
      <c r="Q124" s="512">
        <v>162</v>
      </c>
    </row>
    <row r="125" spans="1:17" s="512" customFormat="1" x14ac:dyDescent="0.3">
      <c r="A125" s="514" t="s">
        <v>240</v>
      </c>
      <c r="B125" s="510" t="s">
        <v>241</v>
      </c>
      <c r="C125" s="509" t="s">
        <v>255</v>
      </c>
      <c r="D125" s="1829">
        <v>8703</v>
      </c>
      <c r="E125" s="1805">
        <v>4291</v>
      </c>
      <c r="F125" s="817">
        <v>1817</v>
      </c>
      <c r="G125" s="817">
        <v>2017</v>
      </c>
      <c r="H125" s="817">
        <v>578</v>
      </c>
      <c r="I125" s="1806">
        <v>0</v>
      </c>
      <c r="J125" s="1805">
        <v>4723</v>
      </c>
      <c r="K125" s="817">
        <v>3980</v>
      </c>
      <c r="L125" s="1806"/>
      <c r="M125" s="1802">
        <v>6669</v>
      </c>
      <c r="N125" s="511">
        <v>1732</v>
      </c>
      <c r="O125" s="511">
        <v>183</v>
      </c>
      <c r="P125" s="1803">
        <v>119</v>
      </c>
      <c r="Q125" s="512">
        <v>1317</v>
      </c>
    </row>
    <row r="126" spans="1:17" x14ac:dyDescent="0.3">
      <c r="B126" s="418"/>
      <c r="C126" s="418"/>
      <c r="D126" s="418"/>
      <c r="E126" s="418"/>
      <c r="F126" s="418"/>
      <c r="G126" s="418"/>
      <c r="H126" s="418"/>
      <c r="I126" s="418"/>
      <c r="J126" s="418"/>
      <c r="K126" s="418"/>
      <c r="L126" s="418"/>
    </row>
    <row r="128" spans="1:17" ht="67.5" customHeight="1" x14ac:dyDescent="0.3">
      <c r="A128" s="2749" t="s">
        <v>1178</v>
      </c>
      <c r="B128" s="2749"/>
      <c r="C128" s="2749"/>
      <c r="D128" s="2749"/>
      <c r="E128" s="2749"/>
      <c r="F128" s="2749"/>
      <c r="G128" s="2749"/>
      <c r="H128" s="2749"/>
      <c r="I128" s="2749"/>
      <c r="J128" s="910"/>
      <c r="K128" s="910"/>
      <c r="L128" s="1838"/>
    </row>
    <row r="129" spans="1:12" ht="39" customHeight="1" x14ac:dyDescent="0.3"/>
    <row r="130" spans="1:12" s="359" customFormat="1" ht="39" customHeight="1" x14ac:dyDescent="0.3">
      <c r="A130" s="359" t="s">
        <v>248</v>
      </c>
    </row>
    <row r="131" spans="1:12" s="359" customFormat="1" x14ac:dyDescent="0.3">
      <c r="A131" s="360" t="s">
        <v>249</v>
      </c>
      <c r="B131" s="361" t="s">
        <v>250</v>
      </c>
      <c r="C131" s="361"/>
      <c r="D131" s="361"/>
      <c r="E131" s="361"/>
      <c r="F131" s="361"/>
      <c r="G131" s="361"/>
      <c r="H131" s="361"/>
      <c r="I131" s="361"/>
      <c r="J131" s="361"/>
      <c r="K131" s="361"/>
      <c r="L131" s="361"/>
    </row>
  </sheetData>
  <sortState ref="A6:Q125">
    <sortCondition ref="A6:A125"/>
  </sortState>
  <mergeCells count="4">
    <mergeCell ref="A128:I128"/>
    <mergeCell ref="M3:P3"/>
    <mergeCell ref="E3:I3"/>
    <mergeCell ref="J3:L3"/>
  </mergeCells>
  <hyperlinks>
    <hyperlink ref="B131" r:id="rId1"/>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X130"/>
  <sheetViews>
    <sheetView workbookViewId="0">
      <pane xSplit="3" ySplit="5" topLeftCell="I108" activePane="bottomRight" state="frozen"/>
      <selection pane="topRight" activeCell="D1" sqref="D1"/>
      <selection pane="bottomLeft" activeCell="A6" sqref="A6"/>
      <selection pane="bottomRight" activeCell="M126" sqref="M126"/>
    </sheetView>
  </sheetViews>
  <sheetFormatPr defaultColWidth="9" defaultRowHeight="15.6" x14ac:dyDescent="0.3"/>
  <cols>
    <col min="1" max="1" width="6.796875" style="473" bestFit="1" customWidth="1"/>
    <col min="2" max="2" width="30.796875" style="477" customWidth="1"/>
    <col min="3" max="3" width="12.796875" style="477" customWidth="1"/>
    <col min="4" max="6" width="13.296875" style="473" customWidth="1"/>
    <col min="7" max="44" width="9" style="473"/>
    <col min="45" max="46" width="9.59765625" style="473" customWidth="1"/>
    <col min="47" max="16384" width="9" style="473"/>
  </cols>
  <sheetData>
    <row r="1" spans="1:50" ht="15.75" customHeight="1" x14ac:dyDescent="0.3">
      <c r="A1" s="887" t="s">
        <v>1006</v>
      </c>
      <c r="B1" s="472"/>
      <c r="C1" s="472"/>
    </row>
    <row r="2" spans="1:50" x14ac:dyDescent="0.3">
      <c r="A2" s="474"/>
      <c r="B2" s="474"/>
      <c r="C2" s="474"/>
    </row>
    <row r="3" spans="1:50" ht="67.5" customHeight="1" x14ac:dyDescent="0.3">
      <c r="G3" s="2760" t="s">
        <v>920</v>
      </c>
      <c r="H3" s="2761"/>
      <c r="I3" s="2760" t="s">
        <v>921</v>
      </c>
      <c r="J3" s="2761"/>
      <c r="K3" s="2760" t="s">
        <v>922</v>
      </c>
      <c r="L3" s="2761"/>
      <c r="M3" s="2760" t="s">
        <v>923</v>
      </c>
      <c r="N3" s="2761"/>
      <c r="O3" s="2760" t="s">
        <v>924</v>
      </c>
      <c r="P3" s="2761"/>
      <c r="Q3" s="2760" t="s">
        <v>925</v>
      </c>
      <c r="R3" s="2761"/>
      <c r="S3" s="2760" t="s">
        <v>926</v>
      </c>
      <c r="T3" s="2761"/>
      <c r="U3" s="2760" t="s">
        <v>927</v>
      </c>
      <c r="V3" s="2761"/>
      <c r="W3" s="2760" t="s">
        <v>928</v>
      </c>
      <c r="X3" s="2761"/>
      <c r="Y3" s="2760" t="s">
        <v>929</v>
      </c>
      <c r="Z3" s="2761"/>
      <c r="AA3" s="2760" t="s">
        <v>930</v>
      </c>
      <c r="AB3" s="2761"/>
      <c r="AC3" s="2760" t="s">
        <v>931</v>
      </c>
      <c r="AD3" s="2761"/>
      <c r="AE3" s="2760" t="s">
        <v>932</v>
      </c>
      <c r="AF3" s="2761"/>
      <c r="AG3" s="2760" t="s">
        <v>933</v>
      </c>
      <c r="AH3" s="2761"/>
      <c r="AI3" s="2760" t="s">
        <v>934</v>
      </c>
      <c r="AJ3" s="2761"/>
      <c r="AK3" s="2760" t="s">
        <v>935</v>
      </c>
      <c r="AL3" s="2761"/>
      <c r="AM3" s="2760" t="s">
        <v>936</v>
      </c>
      <c r="AN3" s="2761"/>
      <c r="AO3" s="2760" t="s">
        <v>937</v>
      </c>
      <c r="AP3" s="2761"/>
      <c r="AQ3" s="2760" t="s">
        <v>938</v>
      </c>
      <c r="AR3" s="2761"/>
      <c r="AS3" s="2760" t="s">
        <v>939</v>
      </c>
      <c r="AT3" s="2761"/>
      <c r="AU3" s="2760" t="s">
        <v>940</v>
      </c>
      <c r="AV3" s="2761"/>
      <c r="AW3" s="2760" t="s">
        <v>941</v>
      </c>
      <c r="AX3" s="2761"/>
    </row>
    <row r="4" spans="1:50" ht="31.2" x14ac:dyDescent="0.3">
      <c r="A4" s="1415" t="s">
        <v>4</v>
      </c>
      <c r="B4" s="474" t="s">
        <v>5</v>
      </c>
      <c r="C4" s="474" t="s">
        <v>251</v>
      </c>
      <c r="D4" s="1381" t="s">
        <v>942</v>
      </c>
      <c r="E4" s="1381" t="s">
        <v>943</v>
      </c>
      <c r="F4" s="1381" t="s">
        <v>915</v>
      </c>
      <c r="G4" s="1422" t="s">
        <v>942</v>
      </c>
      <c r="H4" s="1423" t="s">
        <v>943</v>
      </c>
      <c r="I4" s="1422" t="s">
        <v>942</v>
      </c>
      <c r="J4" s="1423" t="s">
        <v>943</v>
      </c>
      <c r="K4" s="1422" t="s">
        <v>942</v>
      </c>
      <c r="L4" s="1423" t="s">
        <v>943</v>
      </c>
      <c r="M4" s="1422" t="s">
        <v>942</v>
      </c>
      <c r="N4" s="1423" t="s">
        <v>943</v>
      </c>
      <c r="O4" s="1422" t="s">
        <v>942</v>
      </c>
      <c r="P4" s="1423" t="s">
        <v>943</v>
      </c>
      <c r="Q4" s="1422" t="s">
        <v>942</v>
      </c>
      <c r="R4" s="1423" t="s">
        <v>943</v>
      </c>
      <c r="S4" s="1422" t="s">
        <v>942</v>
      </c>
      <c r="T4" s="1423" t="s">
        <v>943</v>
      </c>
      <c r="U4" s="1422" t="s">
        <v>942</v>
      </c>
      <c r="V4" s="1423" t="s">
        <v>943</v>
      </c>
      <c r="W4" s="1422" t="s">
        <v>942</v>
      </c>
      <c r="X4" s="1423" t="s">
        <v>943</v>
      </c>
      <c r="Y4" s="1422" t="s">
        <v>942</v>
      </c>
      <c r="Z4" s="1423" t="s">
        <v>943</v>
      </c>
      <c r="AA4" s="1422" t="s">
        <v>942</v>
      </c>
      <c r="AB4" s="1423" t="s">
        <v>943</v>
      </c>
      <c r="AC4" s="1422" t="s">
        <v>942</v>
      </c>
      <c r="AD4" s="1423" t="s">
        <v>943</v>
      </c>
      <c r="AE4" s="1422" t="s">
        <v>942</v>
      </c>
      <c r="AF4" s="1423" t="s">
        <v>943</v>
      </c>
      <c r="AG4" s="1422" t="s">
        <v>942</v>
      </c>
      <c r="AH4" s="1423" t="s">
        <v>943</v>
      </c>
      <c r="AI4" s="1422" t="s">
        <v>942</v>
      </c>
      <c r="AJ4" s="1423" t="s">
        <v>943</v>
      </c>
      <c r="AK4" s="1422" t="s">
        <v>942</v>
      </c>
      <c r="AL4" s="1423" t="s">
        <v>943</v>
      </c>
      <c r="AM4" s="1422" t="s">
        <v>942</v>
      </c>
      <c r="AN4" s="1423" t="s">
        <v>943</v>
      </c>
      <c r="AO4" s="1422" t="s">
        <v>942</v>
      </c>
      <c r="AP4" s="1423" t="s">
        <v>943</v>
      </c>
      <c r="AQ4" s="1422" t="s">
        <v>942</v>
      </c>
      <c r="AR4" s="1423" t="s">
        <v>943</v>
      </c>
      <c r="AS4" s="1422" t="s">
        <v>942</v>
      </c>
      <c r="AT4" s="1423" t="s">
        <v>943</v>
      </c>
      <c r="AU4" s="1422" t="s">
        <v>942</v>
      </c>
      <c r="AV4" s="1423" t="s">
        <v>943</v>
      </c>
      <c r="AW4" s="1422" t="s">
        <v>942</v>
      </c>
      <c r="AX4" s="1423" t="s">
        <v>943</v>
      </c>
    </row>
    <row r="5" spans="1:50" x14ac:dyDescent="0.3">
      <c r="A5" s="1416" t="s">
        <v>8</v>
      </c>
      <c r="B5" s="1417" t="s">
        <v>9</v>
      </c>
      <c r="C5" s="1417"/>
      <c r="D5" s="1418">
        <v>30062</v>
      </c>
      <c r="E5" s="1418">
        <v>4410</v>
      </c>
      <c r="F5" s="1419">
        <f>D5/E5</f>
        <v>6.8167800453514742</v>
      </c>
      <c r="G5" s="1420">
        <v>6365</v>
      </c>
      <c r="H5" s="1421">
        <v>315</v>
      </c>
      <c r="I5" s="1420">
        <v>38</v>
      </c>
      <c r="J5" s="1421">
        <v>16</v>
      </c>
      <c r="K5" s="1420">
        <v>1</v>
      </c>
      <c r="L5" s="1421">
        <v>1</v>
      </c>
      <c r="M5" s="1420">
        <v>5547</v>
      </c>
      <c r="N5" s="1421">
        <v>865</v>
      </c>
      <c r="O5" s="1420">
        <v>222</v>
      </c>
      <c r="P5" s="1421">
        <v>164</v>
      </c>
      <c r="Q5" s="1420">
        <v>587</v>
      </c>
      <c r="R5" s="1421">
        <v>251</v>
      </c>
      <c r="S5" s="1420">
        <v>2960</v>
      </c>
      <c r="T5" s="1421">
        <v>529</v>
      </c>
      <c r="U5" s="1420">
        <v>1880</v>
      </c>
      <c r="V5" s="1421">
        <v>447</v>
      </c>
      <c r="W5" s="1420">
        <v>180</v>
      </c>
      <c r="X5" s="1421">
        <v>112</v>
      </c>
      <c r="Y5" s="1420">
        <v>9</v>
      </c>
      <c r="Z5" s="1421">
        <v>9</v>
      </c>
      <c r="AA5" s="1420">
        <v>5191</v>
      </c>
      <c r="AB5" s="1421">
        <v>827</v>
      </c>
      <c r="AC5" s="1420">
        <v>546</v>
      </c>
      <c r="AD5" s="1421">
        <v>132</v>
      </c>
      <c r="AE5" s="1420">
        <v>208</v>
      </c>
      <c r="AF5" s="1421">
        <v>117</v>
      </c>
      <c r="AG5" s="1420">
        <v>32</v>
      </c>
      <c r="AH5" s="1421">
        <v>22</v>
      </c>
      <c r="AI5" s="1420">
        <v>5953</v>
      </c>
      <c r="AJ5" s="1421">
        <v>391</v>
      </c>
      <c r="AK5" s="1420">
        <v>1</v>
      </c>
      <c r="AL5" s="1421">
        <v>1</v>
      </c>
      <c r="AM5" s="1420">
        <v>6</v>
      </c>
      <c r="AN5" s="1421">
        <v>4</v>
      </c>
      <c r="AO5" s="1420">
        <v>4</v>
      </c>
      <c r="AP5" s="1421">
        <v>4</v>
      </c>
      <c r="AQ5" s="1420">
        <v>3</v>
      </c>
      <c r="AR5" s="1421">
        <v>3</v>
      </c>
      <c r="AS5" s="1420">
        <v>17</v>
      </c>
      <c r="AT5" s="1421">
        <v>11</v>
      </c>
      <c r="AU5" s="1420">
        <v>297</v>
      </c>
      <c r="AV5" s="1421">
        <v>189</v>
      </c>
      <c r="AW5" s="1420">
        <v>15</v>
      </c>
      <c r="AX5" s="1421">
        <v>0</v>
      </c>
    </row>
    <row r="6" spans="1:50" x14ac:dyDescent="0.3">
      <c r="A6" s="487" t="s">
        <v>10</v>
      </c>
      <c r="B6" s="488" t="s">
        <v>11</v>
      </c>
      <c r="C6" s="489" t="s">
        <v>252</v>
      </c>
      <c r="D6" s="1411">
        <v>104</v>
      </c>
      <c r="E6" s="1411">
        <v>31</v>
      </c>
      <c r="F6" s="1382">
        <f>D6/E6</f>
        <v>3.3548387096774195</v>
      </c>
      <c r="G6" s="1413">
        <v>16</v>
      </c>
      <c r="H6" s="1414">
        <v>4</v>
      </c>
      <c r="I6" s="1413">
        <v>1</v>
      </c>
      <c r="J6" s="1414">
        <v>1</v>
      </c>
      <c r="K6" s="1413"/>
      <c r="L6" s="1414"/>
      <c r="M6" s="1413">
        <v>42</v>
      </c>
      <c r="N6" s="1414">
        <v>7</v>
      </c>
      <c r="O6" s="1413"/>
      <c r="P6" s="1414"/>
      <c r="Q6" s="1413">
        <v>7</v>
      </c>
      <c r="R6" s="1414">
        <v>3</v>
      </c>
      <c r="S6" s="1413">
        <v>6</v>
      </c>
      <c r="T6" s="1414">
        <v>4</v>
      </c>
      <c r="U6" s="1413">
        <v>11</v>
      </c>
      <c r="V6" s="1414">
        <v>4</v>
      </c>
      <c r="W6" s="1413"/>
      <c r="X6" s="1414"/>
      <c r="Y6" s="1413"/>
      <c r="Z6" s="1414"/>
      <c r="AA6" s="1413">
        <v>15</v>
      </c>
      <c r="AB6" s="1414">
        <v>3</v>
      </c>
      <c r="AC6" s="1413">
        <v>3</v>
      </c>
      <c r="AD6" s="1414">
        <v>2</v>
      </c>
      <c r="AE6" s="1413"/>
      <c r="AF6" s="1414"/>
      <c r="AG6" s="1413"/>
      <c r="AH6" s="1414"/>
      <c r="AI6" s="1413"/>
      <c r="AJ6" s="1414"/>
      <c r="AK6" s="1413"/>
      <c r="AL6" s="1414"/>
      <c r="AM6" s="1413"/>
      <c r="AN6" s="1414"/>
      <c r="AO6" s="1413"/>
      <c r="AP6" s="1414"/>
      <c r="AQ6" s="1413"/>
      <c r="AR6" s="1414"/>
      <c r="AS6" s="1413"/>
      <c r="AT6" s="1414"/>
      <c r="AU6" s="1413">
        <v>3</v>
      </c>
      <c r="AV6" s="1414">
        <v>3</v>
      </c>
      <c r="AW6" s="1413"/>
      <c r="AX6" s="1414"/>
    </row>
    <row r="7" spans="1:50" x14ac:dyDescent="0.3">
      <c r="A7" s="487" t="s">
        <v>12</v>
      </c>
      <c r="B7" s="488" t="s">
        <v>13</v>
      </c>
      <c r="C7" s="489" t="s">
        <v>253</v>
      </c>
      <c r="D7" s="1411">
        <v>627</v>
      </c>
      <c r="E7" s="1411">
        <v>86</v>
      </c>
      <c r="F7" s="1382">
        <f t="shared" ref="F7:F70" si="0">D7/E7</f>
        <v>7.2906976744186043</v>
      </c>
      <c r="G7" s="1413">
        <v>72</v>
      </c>
      <c r="H7" s="1414">
        <v>3</v>
      </c>
      <c r="I7" s="1413">
        <v>1</v>
      </c>
      <c r="J7" s="1414">
        <v>1</v>
      </c>
      <c r="K7" s="1413"/>
      <c r="L7" s="1414"/>
      <c r="M7" s="1413">
        <v>91</v>
      </c>
      <c r="N7" s="1414">
        <v>18</v>
      </c>
      <c r="O7" s="1413">
        <v>8</v>
      </c>
      <c r="P7" s="1414">
        <v>6</v>
      </c>
      <c r="Q7" s="1413">
        <v>5</v>
      </c>
      <c r="R7" s="1414">
        <v>4</v>
      </c>
      <c r="S7" s="1413">
        <v>13</v>
      </c>
      <c r="T7" s="1414">
        <v>5</v>
      </c>
      <c r="U7" s="1413">
        <v>337</v>
      </c>
      <c r="V7" s="1414">
        <v>21</v>
      </c>
      <c r="W7" s="1413">
        <v>1</v>
      </c>
      <c r="X7" s="1414">
        <v>1</v>
      </c>
      <c r="Y7" s="1413"/>
      <c r="Z7" s="1414"/>
      <c r="AA7" s="1413">
        <v>83</v>
      </c>
      <c r="AB7" s="1414">
        <v>14</v>
      </c>
      <c r="AC7" s="1413"/>
      <c r="AD7" s="1414"/>
      <c r="AE7" s="1413">
        <v>1</v>
      </c>
      <c r="AF7" s="1414">
        <v>1</v>
      </c>
      <c r="AG7" s="1413">
        <v>2</v>
      </c>
      <c r="AH7" s="1414">
        <v>2</v>
      </c>
      <c r="AI7" s="1413">
        <v>12</v>
      </c>
      <c r="AJ7" s="1414">
        <v>9</v>
      </c>
      <c r="AK7" s="1413"/>
      <c r="AL7" s="1414"/>
      <c r="AM7" s="1413"/>
      <c r="AN7" s="1414"/>
      <c r="AO7" s="1413"/>
      <c r="AP7" s="1414"/>
      <c r="AQ7" s="1413"/>
      <c r="AR7" s="1414"/>
      <c r="AS7" s="1413"/>
      <c r="AT7" s="1414"/>
      <c r="AU7" s="1413">
        <v>1</v>
      </c>
      <c r="AV7" s="1414">
        <v>1</v>
      </c>
      <c r="AW7" s="1413"/>
      <c r="AX7" s="1414"/>
    </row>
    <row r="8" spans="1:50" x14ac:dyDescent="0.3">
      <c r="A8" s="487" t="s">
        <v>14</v>
      </c>
      <c r="B8" s="488" t="s">
        <v>15</v>
      </c>
      <c r="C8" s="494" t="s">
        <v>255</v>
      </c>
      <c r="D8" s="1411">
        <v>380</v>
      </c>
      <c r="E8" s="1411">
        <v>50</v>
      </c>
      <c r="F8" s="1382">
        <f t="shared" si="0"/>
        <v>7.6</v>
      </c>
      <c r="G8" s="1413">
        <v>149</v>
      </c>
      <c r="H8" s="1414">
        <v>4</v>
      </c>
      <c r="I8" s="1413"/>
      <c r="J8" s="1414"/>
      <c r="K8" s="1413"/>
      <c r="L8" s="1414"/>
      <c r="M8" s="1413">
        <v>79</v>
      </c>
      <c r="N8" s="1414">
        <v>9</v>
      </c>
      <c r="O8" s="1413">
        <v>2</v>
      </c>
      <c r="P8" s="1414">
        <v>2</v>
      </c>
      <c r="Q8" s="1413">
        <v>7</v>
      </c>
      <c r="R8" s="1414">
        <v>4</v>
      </c>
      <c r="S8" s="1413">
        <v>2</v>
      </c>
      <c r="T8" s="1414">
        <v>2</v>
      </c>
      <c r="U8" s="1413">
        <v>16</v>
      </c>
      <c r="V8" s="1414">
        <v>7</v>
      </c>
      <c r="W8" s="1413"/>
      <c r="X8" s="1414"/>
      <c r="Y8" s="1413"/>
      <c r="Z8" s="1414"/>
      <c r="AA8" s="1413">
        <v>120</v>
      </c>
      <c r="AB8" s="1414">
        <v>18</v>
      </c>
      <c r="AC8" s="1413"/>
      <c r="AD8" s="1414"/>
      <c r="AE8" s="1413">
        <v>1</v>
      </c>
      <c r="AF8" s="1414">
        <v>1</v>
      </c>
      <c r="AG8" s="1413">
        <v>2</v>
      </c>
      <c r="AH8" s="1414">
        <v>1</v>
      </c>
      <c r="AI8" s="1413">
        <v>1</v>
      </c>
      <c r="AJ8" s="1414">
        <v>1</v>
      </c>
      <c r="AK8" s="1413"/>
      <c r="AL8" s="1414"/>
      <c r="AM8" s="1413"/>
      <c r="AN8" s="1414"/>
      <c r="AO8" s="1413"/>
      <c r="AP8" s="1414"/>
      <c r="AQ8" s="1413"/>
      <c r="AR8" s="1414"/>
      <c r="AS8" s="1413"/>
      <c r="AT8" s="1414"/>
      <c r="AU8" s="1413">
        <v>1</v>
      </c>
      <c r="AV8" s="1414">
        <v>1</v>
      </c>
      <c r="AW8" s="1413"/>
      <c r="AX8" s="1414"/>
    </row>
    <row r="9" spans="1:50" x14ac:dyDescent="0.3">
      <c r="A9" s="487" t="s">
        <v>16</v>
      </c>
      <c r="B9" s="488" t="s">
        <v>17</v>
      </c>
      <c r="C9" s="489" t="s">
        <v>253</v>
      </c>
      <c r="D9" s="1411">
        <v>102</v>
      </c>
      <c r="E9" s="1411">
        <v>20</v>
      </c>
      <c r="F9" s="1382">
        <f t="shared" si="0"/>
        <v>5.0999999999999996</v>
      </c>
      <c r="G9" s="1413">
        <v>8</v>
      </c>
      <c r="H9" s="1414">
        <v>2</v>
      </c>
      <c r="I9" s="1413"/>
      <c r="J9" s="1414"/>
      <c r="K9" s="1413"/>
      <c r="L9" s="1414"/>
      <c r="M9" s="1413">
        <v>59</v>
      </c>
      <c r="N9" s="1414">
        <v>7</v>
      </c>
      <c r="O9" s="1413">
        <v>2</v>
      </c>
      <c r="P9" s="1414">
        <v>1</v>
      </c>
      <c r="Q9" s="1413"/>
      <c r="R9" s="1414"/>
      <c r="S9" s="1413">
        <v>8</v>
      </c>
      <c r="T9" s="1414">
        <v>1</v>
      </c>
      <c r="U9" s="1413">
        <v>3</v>
      </c>
      <c r="V9" s="1414">
        <v>3</v>
      </c>
      <c r="W9" s="1413"/>
      <c r="X9" s="1414"/>
      <c r="Y9" s="1413"/>
      <c r="Z9" s="1414"/>
      <c r="AA9" s="1413">
        <v>14</v>
      </c>
      <c r="AB9" s="1414">
        <v>2</v>
      </c>
      <c r="AC9" s="1413">
        <v>2</v>
      </c>
      <c r="AD9" s="1414">
        <v>1</v>
      </c>
      <c r="AE9" s="1413">
        <v>4</v>
      </c>
      <c r="AF9" s="1414">
        <v>1</v>
      </c>
      <c r="AG9" s="1413"/>
      <c r="AH9" s="1414"/>
      <c r="AI9" s="1413">
        <v>2</v>
      </c>
      <c r="AJ9" s="1414">
        <v>2</v>
      </c>
      <c r="AK9" s="1413"/>
      <c r="AL9" s="1414"/>
      <c r="AM9" s="1413"/>
      <c r="AN9" s="1414"/>
      <c r="AO9" s="1413"/>
      <c r="AP9" s="1414"/>
      <c r="AQ9" s="1413"/>
      <c r="AR9" s="1414"/>
      <c r="AS9" s="1413"/>
      <c r="AT9" s="1414"/>
      <c r="AU9" s="1413"/>
      <c r="AV9" s="1414"/>
      <c r="AW9" s="1413"/>
      <c r="AX9" s="1414"/>
    </row>
    <row r="10" spans="1:50" x14ac:dyDescent="0.3">
      <c r="A10" s="487" t="s">
        <v>18</v>
      </c>
      <c r="B10" s="488" t="s">
        <v>19</v>
      </c>
      <c r="C10" s="489" t="s">
        <v>254</v>
      </c>
      <c r="D10" s="1411">
        <v>27</v>
      </c>
      <c r="E10" s="1411">
        <v>12</v>
      </c>
      <c r="F10" s="1382">
        <f t="shared" si="0"/>
        <v>2.25</v>
      </c>
      <c r="G10" s="1413">
        <v>4</v>
      </c>
      <c r="H10" s="1414">
        <v>3</v>
      </c>
      <c r="I10" s="1413"/>
      <c r="J10" s="1414"/>
      <c r="K10" s="1413"/>
      <c r="L10" s="1414"/>
      <c r="M10" s="1413">
        <v>17</v>
      </c>
      <c r="N10" s="1414">
        <v>3</v>
      </c>
      <c r="O10" s="1413"/>
      <c r="P10" s="1414"/>
      <c r="Q10" s="1413"/>
      <c r="R10" s="1414"/>
      <c r="S10" s="1413">
        <v>2</v>
      </c>
      <c r="T10" s="1414">
        <v>2</v>
      </c>
      <c r="U10" s="1413">
        <v>2</v>
      </c>
      <c r="V10" s="1414">
        <v>2</v>
      </c>
      <c r="W10" s="1413"/>
      <c r="X10" s="1414"/>
      <c r="Y10" s="1413"/>
      <c r="Z10" s="1414"/>
      <c r="AA10" s="1413">
        <v>1</v>
      </c>
      <c r="AB10" s="1414">
        <v>1</v>
      </c>
      <c r="AC10" s="1413">
        <v>1</v>
      </c>
      <c r="AD10" s="1414">
        <v>1</v>
      </c>
      <c r="AE10" s="1413"/>
      <c r="AF10" s="1414"/>
      <c r="AG10" s="1413"/>
      <c r="AH10" s="1414"/>
      <c r="AI10" s="1413"/>
      <c r="AJ10" s="1414"/>
      <c r="AK10" s="1413"/>
      <c r="AL10" s="1414"/>
      <c r="AM10" s="1413"/>
      <c r="AN10" s="1414"/>
      <c r="AO10" s="1413"/>
      <c r="AP10" s="1414"/>
      <c r="AQ10" s="1413"/>
      <c r="AR10" s="1414"/>
      <c r="AS10" s="1413"/>
      <c r="AT10" s="1414"/>
      <c r="AU10" s="1413"/>
      <c r="AV10" s="1414"/>
      <c r="AW10" s="1413"/>
      <c r="AX10" s="1414"/>
    </row>
    <row r="11" spans="1:50" x14ac:dyDescent="0.3">
      <c r="A11" s="487" t="s">
        <v>20</v>
      </c>
      <c r="B11" s="488" t="s">
        <v>21</v>
      </c>
      <c r="C11" s="489" t="s">
        <v>253</v>
      </c>
      <c r="D11" s="1411">
        <v>78</v>
      </c>
      <c r="E11" s="1411">
        <v>19</v>
      </c>
      <c r="F11" s="1382">
        <f t="shared" si="0"/>
        <v>4.1052631578947372</v>
      </c>
      <c r="G11" s="1413">
        <v>6</v>
      </c>
      <c r="H11" s="1414">
        <v>1</v>
      </c>
      <c r="I11" s="1413"/>
      <c r="J11" s="1414"/>
      <c r="K11" s="1413"/>
      <c r="L11" s="1414"/>
      <c r="M11" s="1413">
        <v>35</v>
      </c>
      <c r="N11" s="1414">
        <v>7</v>
      </c>
      <c r="O11" s="1413">
        <v>2</v>
      </c>
      <c r="P11" s="1414">
        <v>1</v>
      </c>
      <c r="Q11" s="1413">
        <v>2</v>
      </c>
      <c r="R11" s="1414">
        <v>1</v>
      </c>
      <c r="S11" s="1413">
        <v>1</v>
      </c>
      <c r="T11" s="1414">
        <v>1</v>
      </c>
      <c r="U11" s="1413">
        <v>3</v>
      </c>
      <c r="V11" s="1414">
        <v>1</v>
      </c>
      <c r="W11" s="1413"/>
      <c r="X11" s="1414"/>
      <c r="Y11" s="1413"/>
      <c r="Z11" s="1414"/>
      <c r="AA11" s="1413">
        <v>24</v>
      </c>
      <c r="AB11" s="1414">
        <v>3</v>
      </c>
      <c r="AC11" s="1413"/>
      <c r="AD11" s="1414"/>
      <c r="AE11" s="1413"/>
      <c r="AF11" s="1414"/>
      <c r="AG11" s="1413"/>
      <c r="AH11" s="1414"/>
      <c r="AI11" s="1413">
        <v>4</v>
      </c>
      <c r="AJ11" s="1414">
        <v>3</v>
      </c>
      <c r="AK11" s="1413"/>
      <c r="AL11" s="1414"/>
      <c r="AM11" s="1413"/>
      <c r="AN11" s="1414"/>
      <c r="AO11" s="1413"/>
      <c r="AP11" s="1414"/>
      <c r="AQ11" s="1413"/>
      <c r="AR11" s="1414"/>
      <c r="AS11" s="1413"/>
      <c r="AT11" s="1414"/>
      <c r="AU11" s="1413">
        <v>1</v>
      </c>
      <c r="AV11" s="1414">
        <v>1</v>
      </c>
      <c r="AW11" s="1413"/>
      <c r="AX11" s="1414"/>
    </row>
    <row r="12" spans="1:50" x14ac:dyDescent="0.3">
      <c r="A12" s="487" t="s">
        <v>22</v>
      </c>
      <c r="B12" s="488" t="s">
        <v>23</v>
      </c>
      <c r="C12" s="489" t="s">
        <v>253</v>
      </c>
      <c r="D12" s="1411">
        <v>78</v>
      </c>
      <c r="E12" s="1411">
        <v>27</v>
      </c>
      <c r="F12" s="1382">
        <f t="shared" si="0"/>
        <v>2.8888888888888888</v>
      </c>
      <c r="G12" s="1413">
        <v>8</v>
      </c>
      <c r="H12" s="1414">
        <v>2</v>
      </c>
      <c r="I12" s="1413"/>
      <c r="J12" s="1414"/>
      <c r="K12" s="1413"/>
      <c r="L12" s="1414"/>
      <c r="M12" s="1413">
        <v>11</v>
      </c>
      <c r="N12" s="1414">
        <v>4</v>
      </c>
      <c r="O12" s="1413">
        <v>1</v>
      </c>
      <c r="P12" s="1414">
        <v>1</v>
      </c>
      <c r="Q12" s="1413">
        <v>2</v>
      </c>
      <c r="R12" s="1414">
        <v>2</v>
      </c>
      <c r="S12" s="1413">
        <v>16</v>
      </c>
      <c r="T12" s="1414">
        <v>5</v>
      </c>
      <c r="U12" s="1413">
        <v>3</v>
      </c>
      <c r="V12" s="1414">
        <v>1</v>
      </c>
      <c r="W12" s="1413">
        <v>3</v>
      </c>
      <c r="X12" s="1414">
        <v>2</v>
      </c>
      <c r="Y12" s="1413"/>
      <c r="Z12" s="1414"/>
      <c r="AA12" s="1413">
        <v>25</v>
      </c>
      <c r="AB12" s="1414">
        <v>3</v>
      </c>
      <c r="AC12" s="1413">
        <v>2</v>
      </c>
      <c r="AD12" s="1414">
        <v>2</v>
      </c>
      <c r="AE12" s="1413"/>
      <c r="AF12" s="1414"/>
      <c r="AG12" s="1413"/>
      <c r="AH12" s="1414"/>
      <c r="AI12" s="1413">
        <v>4</v>
      </c>
      <c r="AJ12" s="1414">
        <v>2</v>
      </c>
      <c r="AK12" s="1413"/>
      <c r="AL12" s="1414"/>
      <c r="AM12" s="1413"/>
      <c r="AN12" s="1414"/>
      <c r="AO12" s="1413"/>
      <c r="AP12" s="1414"/>
      <c r="AQ12" s="1413"/>
      <c r="AR12" s="1414"/>
      <c r="AS12" s="1413"/>
      <c r="AT12" s="1414"/>
      <c r="AU12" s="1413">
        <v>3</v>
      </c>
      <c r="AV12" s="1414">
        <v>3</v>
      </c>
      <c r="AW12" s="1413"/>
      <c r="AX12" s="1414"/>
    </row>
    <row r="13" spans="1:50" x14ac:dyDescent="0.3">
      <c r="A13" s="487" t="s">
        <v>24</v>
      </c>
      <c r="B13" s="488" t="s">
        <v>25</v>
      </c>
      <c r="C13" s="489" t="s">
        <v>255</v>
      </c>
      <c r="D13" s="1411">
        <v>296</v>
      </c>
      <c r="E13" s="1411">
        <v>43</v>
      </c>
      <c r="F13" s="1382">
        <f t="shared" si="0"/>
        <v>6.8837209302325579</v>
      </c>
      <c r="G13" s="1413">
        <v>115</v>
      </c>
      <c r="H13" s="1414">
        <v>4</v>
      </c>
      <c r="I13" s="1413"/>
      <c r="J13" s="1414"/>
      <c r="K13" s="1413"/>
      <c r="L13" s="1414"/>
      <c r="M13" s="1413">
        <v>68</v>
      </c>
      <c r="N13" s="1414">
        <v>7</v>
      </c>
      <c r="O13" s="1413"/>
      <c r="P13" s="1414"/>
      <c r="Q13" s="1413">
        <v>2</v>
      </c>
      <c r="R13" s="1414">
        <v>2</v>
      </c>
      <c r="S13" s="1413">
        <v>1</v>
      </c>
      <c r="T13" s="1414">
        <v>1</v>
      </c>
      <c r="U13" s="1413">
        <v>3</v>
      </c>
      <c r="V13" s="1414">
        <v>3</v>
      </c>
      <c r="W13" s="1413"/>
      <c r="X13" s="1414"/>
      <c r="Y13" s="1413"/>
      <c r="Z13" s="1414"/>
      <c r="AA13" s="1413">
        <v>83</v>
      </c>
      <c r="AB13" s="1414">
        <v>13</v>
      </c>
      <c r="AC13" s="1413">
        <v>1</v>
      </c>
      <c r="AD13" s="1414">
        <v>1</v>
      </c>
      <c r="AE13" s="1413">
        <v>12</v>
      </c>
      <c r="AF13" s="1414">
        <v>6</v>
      </c>
      <c r="AG13" s="1413"/>
      <c r="AH13" s="1414"/>
      <c r="AI13" s="1413"/>
      <c r="AJ13" s="1414"/>
      <c r="AK13" s="1413"/>
      <c r="AL13" s="1414"/>
      <c r="AM13" s="1413"/>
      <c r="AN13" s="1414"/>
      <c r="AO13" s="1413"/>
      <c r="AP13" s="1414"/>
      <c r="AQ13" s="1413"/>
      <c r="AR13" s="1414"/>
      <c r="AS13" s="1413"/>
      <c r="AT13" s="1414"/>
      <c r="AU13" s="1413">
        <v>11</v>
      </c>
      <c r="AV13" s="1414">
        <v>6</v>
      </c>
      <c r="AW13" s="1413"/>
      <c r="AX13" s="1414"/>
    </row>
    <row r="14" spans="1:50" x14ac:dyDescent="0.3">
      <c r="A14" s="487" t="s">
        <v>26</v>
      </c>
      <c r="B14" s="488" t="s">
        <v>547</v>
      </c>
      <c r="C14" s="489" t="s">
        <v>253</v>
      </c>
      <c r="D14" s="1412">
        <v>580</v>
      </c>
      <c r="E14" s="1412">
        <v>115</v>
      </c>
      <c r="F14" s="1382">
        <f t="shared" si="0"/>
        <v>5.0434782608695654</v>
      </c>
      <c r="G14" s="1413">
        <v>227</v>
      </c>
      <c r="H14" s="1414">
        <v>12</v>
      </c>
      <c r="I14" s="1413">
        <v>1</v>
      </c>
      <c r="J14" s="1414">
        <v>1</v>
      </c>
      <c r="K14" s="1413"/>
      <c r="L14" s="1414"/>
      <c r="M14" s="1413">
        <v>128</v>
      </c>
      <c r="N14" s="1414">
        <v>14</v>
      </c>
      <c r="O14" s="1413">
        <v>2</v>
      </c>
      <c r="P14" s="1414">
        <v>2</v>
      </c>
      <c r="Q14" s="1413">
        <v>3</v>
      </c>
      <c r="R14" s="1414">
        <v>1</v>
      </c>
      <c r="S14" s="1413">
        <v>55</v>
      </c>
      <c r="T14" s="1414">
        <v>13</v>
      </c>
      <c r="U14" s="1413">
        <v>15</v>
      </c>
      <c r="V14" s="1414">
        <v>9</v>
      </c>
      <c r="W14" s="1413">
        <v>1</v>
      </c>
      <c r="X14" s="1414">
        <v>1</v>
      </c>
      <c r="Y14" s="1413"/>
      <c r="Z14" s="1414"/>
      <c r="AA14" s="1413">
        <v>131</v>
      </c>
      <c r="AB14" s="1414">
        <v>50</v>
      </c>
      <c r="AC14" s="1413">
        <v>2</v>
      </c>
      <c r="AD14" s="1414">
        <v>1</v>
      </c>
      <c r="AE14" s="1413">
        <v>2</v>
      </c>
      <c r="AF14" s="1414">
        <v>2</v>
      </c>
      <c r="AG14" s="1413"/>
      <c r="AH14" s="1414"/>
      <c r="AI14" s="1413"/>
      <c r="AJ14" s="1414"/>
      <c r="AK14" s="1413"/>
      <c r="AL14" s="1414"/>
      <c r="AM14" s="1413"/>
      <c r="AN14" s="1414"/>
      <c r="AO14" s="1413"/>
      <c r="AP14" s="1414"/>
      <c r="AQ14" s="1413"/>
      <c r="AR14" s="1414"/>
      <c r="AS14" s="1413"/>
      <c r="AT14" s="1414"/>
      <c r="AU14" s="1413">
        <v>13</v>
      </c>
      <c r="AV14" s="1414">
        <v>9</v>
      </c>
      <c r="AW14" s="1413"/>
      <c r="AX14" s="1414"/>
    </row>
    <row r="15" spans="1:50" x14ac:dyDescent="0.3">
      <c r="A15" s="493" t="s">
        <v>27</v>
      </c>
      <c r="B15" s="488" t="s">
        <v>28</v>
      </c>
      <c r="C15" s="494" t="s">
        <v>253</v>
      </c>
      <c r="D15" s="1411">
        <v>19</v>
      </c>
      <c r="E15" s="1411">
        <v>4</v>
      </c>
      <c r="F15" s="1382">
        <f t="shared" si="0"/>
        <v>4.75</v>
      </c>
      <c r="G15" s="1413">
        <v>4</v>
      </c>
      <c r="H15" s="1414">
        <v>1</v>
      </c>
      <c r="I15" s="1413"/>
      <c r="J15" s="1414"/>
      <c r="K15" s="1413"/>
      <c r="L15" s="1414"/>
      <c r="M15" s="1413">
        <v>12</v>
      </c>
      <c r="N15" s="1414">
        <v>1</v>
      </c>
      <c r="O15" s="1413"/>
      <c r="P15" s="1414"/>
      <c r="Q15" s="1413"/>
      <c r="R15" s="1414"/>
      <c r="S15" s="1413"/>
      <c r="T15" s="1414"/>
      <c r="U15" s="1413">
        <v>1</v>
      </c>
      <c r="V15" s="1414">
        <v>1</v>
      </c>
      <c r="W15" s="1413"/>
      <c r="X15" s="1414"/>
      <c r="Y15" s="1413"/>
      <c r="Z15" s="1414"/>
      <c r="AA15" s="1413">
        <v>2</v>
      </c>
      <c r="AB15" s="1414">
        <v>1</v>
      </c>
      <c r="AC15" s="1413"/>
      <c r="AD15" s="1414"/>
      <c r="AE15" s="1413"/>
      <c r="AF15" s="1414"/>
      <c r="AG15" s="1413"/>
      <c r="AH15" s="1414"/>
      <c r="AI15" s="1413"/>
      <c r="AJ15" s="1414"/>
      <c r="AK15" s="1413"/>
      <c r="AL15" s="1414"/>
      <c r="AM15" s="1413"/>
      <c r="AN15" s="1414"/>
      <c r="AO15" s="1413"/>
      <c r="AP15" s="1414"/>
      <c r="AQ15" s="1413"/>
      <c r="AR15" s="1414"/>
      <c r="AS15" s="1413"/>
      <c r="AT15" s="1414"/>
      <c r="AU15" s="1413"/>
      <c r="AV15" s="1414"/>
      <c r="AW15" s="1413"/>
      <c r="AX15" s="1414"/>
    </row>
    <row r="16" spans="1:50" x14ac:dyDescent="0.3">
      <c r="A16" s="487" t="s">
        <v>29</v>
      </c>
      <c r="B16" s="488" t="s">
        <v>736</v>
      </c>
      <c r="C16" s="494" t="s">
        <v>253</v>
      </c>
      <c r="D16" s="1411">
        <v>271</v>
      </c>
      <c r="E16" s="1411">
        <v>47</v>
      </c>
      <c r="F16" s="1382">
        <f t="shared" si="0"/>
        <v>5.7659574468085104</v>
      </c>
      <c r="G16" s="1413">
        <v>57</v>
      </c>
      <c r="H16" s="1414">
        <v>3</v>
      </c>
      <c r="I16" s="1413"/>
      <c r="J16" s="1414"/>
      <c r="K16" s="1413"/>
      <c r="L16" s="1414"/>
      <c r="M16" s="1413">
        <v>114</v>
      </c>
      <c r="N16" s="1414">
        <v>16</v>
      </c>
      <c r="O16" s="1413">
        <v>1</v>
      </c>
      <c r="P16" s="1414">
        <v>1</v>
      </c>
      <c r="Q16" s="1413"/>
      <c r="R16" s="1414"/>
      <c r="S16" s="1413">
        <v>36</v>
      </c>
      <c r="T16" s="1414">
        <v>10</v>
      </c>
      <c r="U16" s="1413">
        <v>4</v>
      </c>
      <c r="V16" s="1414">
        <v>2</v>
      </c>
      <c r="W16" s="1413"/>
      <c r="X16" s="1414"/>
      <c r="Y16" s="1413"/>
      <c r="Z16" s="1414"/>
      <c r="AA16" s="1413">
        <v>52</v>
      </c>
      <c r="AB16" s="1414">
        <v>11</v>
      </c>
      <c r="AC16" s="1413">
        <v>3</v>
      </c>
      <c r="AD16" s="1414">
        <v>2</v>
      </c>
      <c r="AE16" s="1413"/>
      <c r="AF16" s="1414"/>
      <c r="AG16" s="1413"/>
      <c r="AH16" s="1414"/>
      <c r="AI16" s="1413">
        <v>1</v>
      </c>
      <c r="AJ16" s="1414">
        <v>1</v>
      </c>
      <c r="AK16" s="1413"/>
      <c r="AL16" s="1414"/>
      <c r="AM16" s="1413"/>
      <c r="AN16" s="1414"/>
      <c r="AO16" s="1413"/>
      <c r="AP16" s="1414"/>
      <c r="AQ16" s="1413"/>
      <c r="AR16" s="1414"/>
      <c r="AS16" s="1413"/>
      <c r="AT16" s="1414"/>
      <c r="AU16" s="1413">
        <v>2</v>
      </c>
      <c r="AV16" s="1414">
        <v>1</v>
      </c>
      <c r="AW16" s="1413">
        <v>1</v>
      </c>
      <c r="AX16" s="1414">
        <v>0</v>
      </c>
    </row>
    <row r="17" spans="1:50" x14ac:dyDescent="0.3">
      <c r="A17" s="487" t="s">
        <v>30</v>
      </c>
      <c r="B17" s="488" t="s">
        <v>31</v>
      </c>
      <c r="C17" s="494" t="s">
        <v>256</v>
      </c>
      <c r="D17" s="1411">
        <v>47</v>
      </c>
      <c r="E17" s="1411">
        <v>14</v>
      </c>
      <c r="F17" s="1382">
        <f t="shared" si="0"/>
        <v>3.3571428571428572</v>
      </c>
      <c r="G17" s="1413">
        <v>11</v>
      </c>
      <c r="H17" s="1414">
        <v>1</v>
      </c>
      <c r="I17" s="1413"/>
      <c r="J17" s="1414"/>
      <c r="K17" s="1413"/>
      <c r="L17" s="1414"/>
      <c r="M17" s="1413">
        <v>9</v>
      </c>
      <c r="N17" s="1414">
        <v>3</v>
      </c>
      <c r="O17" s="1413"/>
      <c r="P17" s="1414"/>
      <c r="Q17" s="1413">
        <v>2</v>
      </c>
      <c r="R17" s="1414">
        <v>1</v>
      </c>
      <c r="S17" s="1413">
        <v>4</v>
      </c>
      <c r="T17" s="1414">
        <v>3</v>
      </c>
      <c r="U17" s="1413">
        <v>3</v>
      </c>
      <c r="V17" s="1414">
        <v>2</v>
      </c>
      <c r="W17" s="1413">
        <v>2</v>
      </c>
      <c r="X17" s="1414">
        <v>1</v>
      </c>
      <c r="Y17" s="1413"/>
      <c r="Z17" s="1414"/>
      <c r="AA17" s="1413">
        <v>9</v>
      </c>
      <c r="AB17" s="1414">
        <v>1</v>
      </c>
      <c r="AC17" s="1413"/>
      <c r="AD17" s="1414"/>
      <c r="AE17" s="1413"/>
      <c r="AF17" s="1414"/>
      <c r="AG17" s="1413"/>
      <c r="AH17" s="1414"/>
      <c r="AI17" s="1413">
        <v>6</v>
      </c>
      <c r="AJ17" s="1414">
        <v>1</v>
      </c>
      <c r="AK17" s="1413"/>
      <c r="AL17" s="1414"/>
      <c r="AM17" s="1413"/>
      <c r="AN17" s="1414"/>
      <c r="AO17" s="1413"/>
      <c r="AP17" s="1414"/>
      <c r="AQ17" s="1413"/>
      <c r="AR17" s="1414"/>
      <c r="AS17" s="1413"/>
      <c r="AT17" s="1414"/>
      <c r="AU17" s="1413">
        <v>1</v>
      </c>
      <c r="AV17" s="1414">
        <v>1</v>
      </c>
      <c r="AW17" s="1413"/>
      <c r="AX17" s="1414"/>
    </row>
    <row r="18" spans="1:50" x14ac:dyDescent="0.3">
      <c r="A18" s="487" t="s">
        <v>32</v>
      </c>
      <c r="B18" s="488" t="s">
        <v>33</v>
      </c>
      <c r="C18" s="494" t="s">
        <v>253</v>
      </c>
      <c r="D18" s="1411">
        <v>24</v>
      </c>
      <c r="E18" s="1411">
        <v>10</v>
      </c>
      <c r="F18" s="1382">
        <f t="shared" si="0"/>
        <v>2.4</v>
      </c>
      <c r="G18" s="1413">
        <v>7</v>
      </c>
      <c r="H18" s="1414">
        <v>2</v>
      </c>
      <c r="I18" s="1413"/>
      <c r="J18" s="1414"/>
      <c r="K18" s="1413"/>
      <c r="L18" s="1414"/>
      <c r="M18" s="1413">
        <v>7</v>
      </c>
      <c r="N18" s="1414">
        <v>3</v>
      </c>
      <c r="O18" s="1413"/>
      <c r="P18" s="1414"/>
      <c r="Q18" s="1413"/>
      <c r="R18" s="1414"/>
      <c r="S18" s="1413">
        <v>2</v>
      </c>
      <c r="T18" s="1414">
        <v>2</v>
      </c>
      <c r="U18" s="1413">
        <v>2</v>
      </c>
      <c r="V18" s="1414">
        <v>1</v>
      </c>
      <c r="W18" s="1413"/>
      <c r="X18" s="1414"/>
      <c r="Y18" s="1413"/>
      <c r="Z18" s="1414"/>
      <c r="AA18" s="1413">
        <v>5</v>
      </c>
      <c r="AB18" s="1414">
        <v>1</v>
      </c>
      <c r="AC18" s="1413"/>
      <c r="AD18" s="1414"/>
      <c r="AE18" s="1413"/>
      <c r="AF18" s="1414"/>
      <c r="AG18" s="1413"/>
      <c r="AH18" s="1414"/>
      <c r="AI18" s="1413"/>
      <c r="AJ18" s="1414"/>
      <c r="AK18" s="1413"/>
      <c r="AL18" s="1414"/>
      <c r="AM18" s="1413"/>
      <c r="AN18" s="1414"/>
      <c r="AO18" s="1413"/>
      <c r="AP18" s="1414"/>
      <c r="AQ18" s="1413"/>
      <c r="AR18" s="1414"/>
      <c r="AS18" s="1413"/>
      <c r="AT18" s="1414"/>
      <c r="AU18" s="1413">
        <v>1</v>
      </c>
      <c r="AV18" s="1414">
        <v>1</v>
      </c>
      <c r="AW18" s="1413"/>
      <c r="AX18" s="1414"/>
    </row>
    <row r="19" spans="1:50" x14ac:dyDescent="0.3">
      <c r="A19" s="487" t="s">
        <v>34</v>
      </c>
      <c r="B19" s="488" t="s">
        <v>35</v>
      </c>
      <c r="C19" s="494" t="s">
        <v>256</v>
      </c>
      <c r="D19" s="1411">
        <v>257</v>
      </c>
      <c r="E19" s="1411">
        <v>29</v>
      </c>
      <c r="F19" s="1382">
        <f t="shared" si="0"/>
        <v>8.862068965517242</v>
      </c>
      <c r="G19" s="1413">
        <v>39</v>
      </c>
      <c r="H19" s="1414">
        <v>1</v>
      </c>
      <c r="I19" s="1413"/>
      <c r="J19" s="1414"/>
      <c r="K19" s="1413"/>
      <c r="L19" s="1414"/>
      <c r="M19" s="1413">
        <v>46</v>
      </c>
      <c r="N19" s="1414">
        <v>4</v>
      </c>
      <c r="O19" s="1413">
        <v>1</v>
      </c>
      <c r="P19" s="1414">
        <v>1</v>
      </c>
      <c r="Q19" s="1413">
        <v>1</v>
      </c>
      <c r="R19" s="1414">
        <v>1</v>
      </c>
      <c r="S19" s="1413">
        <v>52</v>
      </c>
      <c r="T19" s="1414">
        <v>7</v>
      </c>
      <c r="U19" s="1413">
        <v>14</v>
      </c>
      <c r="V19" s="1414">
        <v>3</v>
      </c>
      <c r="W19" s="1413">
        <v>4</v>
      </c>
      <c r="X19" s="1414">
        <v>1</v>
      </c>
      <c r="Y19" s="1413"/>
      <c r="Z19" s="1414"/>
      <c r="AA19" s="1413">
        <v>55</v>
      </c>
      <c r="AB19" s="1414">
        <v>6</v>
      </c>
      <c r="AC19" s="1413">
        <v>2</v>
      </c>
      <c r="AD19" s="1414">
        <v>1</v>
      </c>
      <c r="AE19" s="1413"/>
      <c r="AF19" s="1414"/>
      <c r="AG19" s="1413"/>
      <c r="AH19" s="1414"/>
      <c r="AI19" s="1413">
        <v>40</v>
      </c>
      <c r="AJ19" s="1414">
        <v>3</v>
      </c>
      <c r="AK19" s="1413"/>
      <c r="AL19" s="1414"/>
      <c r="AM19" s="1413"/>
      <c r="AN19" s="1414"/>
      <c r="AO19" s="1413"/>
      <c r="AP19" s="1414"/>
      <c r="AQ19" s="1413"/>
      <c r="AR19" s="1414"/>
      <c r="AS19" s="1413"/>
      <c r="AT19" s="1414"/>
      <c r="AU19" s="1413">
        <v>3</v>
      </c>
      <c r="AV19" s="1414">
        <v>1</v>
      </c>
      <c r="AW19" s="1413"/>
      <c r="AX19" s="1414"/>
    </row>
    <row r="20" spans="1:50" x14ac:dyDescent="0.3">
      <c r="A20" s="487" t="s">
        <v>36</v>
      </c>
      <c r="B20" s="488" t="s">
        <v>37</v>
      </c>
      <c r="C20" s="494" t="s">
        <v>252</v>
      </c>
      <c r="D20" s="1411">
        <v>33</v>
      </c>
      <c r="E20" s="1411">
        <v>17</v>
      </c>
      <c r="F20" s="1382">
        <f t="shared" si="0"/>
        <v>1.9411764705882353</v>
      </c>
      <c r="G20" s="1413">
        <v>4</v>
      </c>
      <c r="H20" s="1414">
        <v>2</v>
      </c>
      <c r="I20" s="1413"/>
      <c r="J20" s="1414"/>
      <c r="K20" s="1413"/>
      <c r="L20" s="1414"/>
      <c r="M20" s="1413">
        <v>5</v>
      </c>
      <c r="N20" s="1414">
        <v>3</v>
      </c>
      <c r="O20" s="1413">
        <v>1</v>
      </c>
      <c r="P20" s="1414">
        <v>1</v>
      </c>
      <c r="Q20" s="1413">
        <v>11</v>
      </c>
      <c r="R20" s="1414">
        <v>4</v>
      </c>
      <c r="S20" s="1413">
        <v>1</v>
      </c>
      <c r="T20" s="1414">
        <v>1</v>
      </c>
      <c r="U20" s="1413">
        <v>2</v>
      </c>
      <c r="V20" s="1414">
        <v>1</v>
      </c>
      <c r="W20" s="1413">
        <v>1</v>
      </c>
      <c r="X20" s="1414">
        <v>1</v>
      </c>
      <c r="Y20" s="1413"/>
      <c r="Z20" s="1414"/>
      <c r="AA20" s="1413">
        <v>3</v>
      </c>
      <c r="AB20" s="1414">
        <v>1</v>
      </c>
      <c r="AC20" s="1413">
        <v>1</v>
      </c>
      <c r="AD20" s="1414">
        <v>1</v>
      </c>
      <c r="AE20" s="1413"/>
      <c r="AF20" s="1414"/>
      <c r="AG20" s="1413"/>
      <c r="AH20" s="1414"/>
      <c r="AI20" s="1413">
        <v>2</v>
      </c>
      <c r="AJ20" s="1414">
        <v>1</v>
      </c>
      <c r="AK20" s="1413"/>
      <c r="AL20" s="1414"/>
      <c r="AM20" s="1413"/>
      <c r="AN20" s="1414"/>
      <c r="AO20" s="1413"/>
      <c r="AP20" s="1414"/>
      <c r="AQ20" s="1413"/>
      <c r="AR20" s="1414"/>
      <c r="AS20" s="1413"/>
      <c r="AT20" s="1414"/>
      <c r="AU20" s="1413">
        <v>2</v>
      </c>
      <c r="AV20" s="1414">
        <v>1</v>
      </c>
      <c r="AW20" s="1413"/>
      <c r="AX20" s="1414"/>
    </row>
    <row r="21" spans="1:50" x14ac:dyDescent="0.3">
      <c r="A21" s="487" t="s">
        <v>38</v>
      </c>
      <c r="B21" s="488" t="s">
        <v>39</v>
      </c>
      <c r="C21" s="494" t="s">
        <v>256</v>
      </c>
      <c r="D21" s="1411">
        <v>258</v>
      </c>
      <c r="E21" s="1411">
        <v>32</v>
      </c>
      <c r="F21" s="1382">
        <f t="shared" si="0"/>
        <v>8.0625</v>
      </c>
      <c r="G21" s="1413">
        <v>81</v>
      </c>
      <c r="H21" s="1414">
        <v>2</v>
      </c>
      <c r="I21" s="1413"/>
      <c r="J21" s="1414"/>
      <c r="K21" s="1413"/>
      <c r="L21" s="1414"/>
      <c r="M21" s="1413">
        <v>22</v>
      </c>
      <c r="N21" s="1414">
        <v>6</v>
      </c>
      <c r="O21" s="1413"/>
      <c r="P21" s="1414"/>
      <c r="Q21" s="1413"/>
      <c r="R21" s="1414"/>
      <c r="S21" s="1413">
        <v>78</v>
      </c>
      <c r="T21" s="1414">
        <v>13</v>
      </c>
      <c r="U21" s="1413">
        <v>5</v>
      </c>
      <c r="V21" s="1414">
        <v>3</v>
      </c>
      <c r="W21" s="1413"/>
      <c r="X21" s="1414"/>
      <c r="Y21" s="1413"/>
      <c r="Z21" s="1414"/>
      <c r="AA21" s="1413">
        <v>68</v>
      </c>
      <c r="AB21" s="1414">
        <v>6</v>
      </c>
      <c r="AC21" s="1413"/>
      <c r="AD21" s="1414"/>
      <c r="AE21" s="1413">
        <v>3</v>
      </c>
      <c r="AF21" s="1414">
        <v>1</v>
      </c>
      <c r="AG21" s="1413"/>
      <c r="AH21" s="1414"/>
      <c r="AI21" s="1413"/>
      <c r="AJ21" s="1414"/>
      <c r="AK21" s="1413"/>
      <c r="AL21" s="1414"/>
      <c r="AM21" s="1413"/>
      <c r="AN21" s="1414"/>
      <c r="AO21" s="1413"/>
      <c r="AP21" s="1414"/>
      <c r="AQ21" s="1413"/>
      <c r="AR21" s="1414"/>
      <c r="AS21" s="1413"/>
      <c r="AT21" s="1414"/>
      <c r="AU21" s="1413">
        <v>1</v>
      </c>
      <c r="AV21" s="1414">
        <v>1</v>
      </c>
      <c r="AW21" s="1413"/>
      <c r="AX21" s="1414"/>
    </row>
    <row r="22" spans="1:50" x14ac:dyDescent="0.3">
      <c r="A22" s="487" t="s">
        <v>40</v>
      </c>
      <c r="B22" s="488" t="s">
        <v>41</v>
      </c>
      <c r="C22" s="494" t="s">
        <v>254</v>
      </c>
      <c r="D22" s="1411">
        <v>71</v>
      </c>
      <c r="E22" s="1411">
        <v>17</v>
      </c>
      <c r="F22" s="1382">
        <f t="shared" si="0"/>
        <v>4.1764705882352944</v>
      </c>
      <c r="G22" s="1413">
        <v>14</v>
      </c>
      <c r="H22" s="1414">
        <v>2</v>
      </c>
      <c r="I22" s="1413"/>
      <c r="J22" s="1414"/>
      <c r="K22" s="1413"/>
      <c r="L22" s="1414"/>
      <c r="M22" s="1413">
        <v>20</v>
      </c>
      <c r="N22" s="1414">
        <v>3</v>
      </c>
      <c r="O22" s="1413"/>
      <c r="P22" s="1414"/>
      <c r="Q22" s="1413">
        <v>5</v>
      </c>
      <c r="R22" s="1414">
        <v>3</v>
      </c>
      <c r="S22" s="1413">
        <v>9</v>
      </c>
      <c r="T22" s="1414">
        <v>3</v>
      </c>
      <c r="U22" s="1413">
        <v>1</v>
      </c>
      <c r="V22" s="1414">
        <v>1</v>
      </c>
      <c r="W22" s="1413">
        <v>4</v>
      </c>
      <c r="X22" s="1414">
        <v>1</v>
      </c>
      <c r="Y22" s="1413"/>
      <c r="Z22" s="1414"/>
      <c r="AA22" s="1413">
        <v>15</v>
      </c>
      <c r="AB22" s="1414">
        <v>2</v>
      </c>
      <c r="AC22" s="1413"/>
      <c r="AD22" s="1414"/>
      <c r="AE22" s="1413"/>
      <c r="AF22" s="1414"/>
      <c r="AG22" s="1413"/>
      <c r="AH22" s="1414"/>
      <c r="AI22" s="1413">
        <v>1</v>
      </c>
      <c r="AJ22" s="1414">
        <v>1</v>
      </c>
      <c r="AK22" s="1413"/>
      <c r="AL22" s="1414"/>
      <c r="AM22" s="1413"/>
      <c r="AN22" s="1414"/>
      <c r="AO22" s="1413">
        <v>1</v>
      </c>
      <c r="AP22" s="1414">
        <v>1</v>
      </c>
      <c r="AQ22" s="1413"/>
      <c r="AR22" s="1414"/>
      <c r="AS22" s="1413"/>
      <c r="AT22" s="1414"/>
      <c r="AU22" s="1413"/>
      <c r="AV22" s="1414"/>
      <c r="AW22" s="1413">
        <v>1</v>
      </c>
      <c r="AX22" s="1414">
        <v>0</v>
      </c>
    </row>
    <row r="23" spans="1:50" x14ac:dyDescent="0.3">
      <c r="A23" s="487" t="s">
        <v>42</v>
      </c>
      <c r="B23" s="488" t="s">
        <v>43</v>
      </c>
      <c r="C23" s="494" t="s">
        <v>253</v>
      </c>
      <c r="D23" s="1411">
        <v>479</v>
      </c>
      <c r="E23" s="1411">
        <v>42</v>
      </c>
      <c r="F23" s="1382">
        <f t="shared" si="0"/>
        <v>11.404761904761905</v>
      </c>
      <c r="G23" s="1413">
        <v>80</v>
      </c>
      <c r="H23" s="1414">
        <v>3</v>
      </c>
      <c r="I23" s="1413"/>
      <c r="J23" s="1414"/>
      <c r="K23" s="1413"/>
      <c r="L23" s="1414"/>
      <c r="M23" s="1413">
        <v>32</v>
      </c>
      <c r="N23" s="1414">
        <v>8</v>
      </c>
      <c r="O23" s="1413"/>
      <c r="P23" s="1414"/>
      <c r="Q23" s="1413">
        <v>2</v>
      </c>
      <c r="R23" s="1414">
        <v>1</v>
      </c>
      <c r="S23" s="1413">
        <v>47</v>
      </c>
      <c r="T23" s="1414">
        <v>11</v>
      </c>
      <c r="U23" s="1413">
        <v>9</v>
      </c>
      <c r="V23" s="1414">
        <v>4</v>
      </c>
      <c r="W23" s="1413">
        <v>1</v>
      </c>
      <c r="X23" s="1414">
        <v>1</v>
      </c>
      <c r="Y23" s="1413"/>
      <c r="Z23" s="1414"/>
      <c r="AA23" s="1413">
        <v>39</v>
      </c>
      <c r="AB23" s="1414">
        <v>5</v>
      </c>
      <c r="AC23" s="1413"/>
      <c r="AD23" s="1414"/>
      <c r="AE23" s="1413">
        <v>4</v>
      </c>
      <c r="AF23" s="1414">
        <v>3</v>
      </c>
      <c r="AG23" s="1413"/>
      <c r="AH23" s="1414"/>
      <c r="AI23" s="1413">
        <v>264</v>
      </c>
      <c r="AJ23" s="1414">
        <v>5</v>
      </c>
      <c r="AK23" s="1413"/>
      <c r="AL23" s="1414"/>
      <c r="AM23" s="1413"/>
      <c r="AN23" s="1414"/>
      <c r="AO23" s="1413"/>
      <c r="AP23" s="1414"/>
      <c r="AQ23" s="1413"/>
      <c r="AR23" s="1414"/>
      <c r="AS23" s="1413"/>
      <c r="AT23" s="1414"/>
      <c r="AU23" s="1413">
        <v>1</v>
      </c>
      <c r="AV23" s="1414">
        <v>1</v>
      </c>
      <c r="AW23" s="1413"/>
      <c r="AX23" s="1414"/>
    </row>
    <row r="24" spans="1:50" x14ac:dyDescent="0.3">
      <c r="A24" s="487" t="s">
        <v>44</v>
      </c>
      <c r="B24" s="488" t="s">
        <v>45</v>
      </c>
      <c r="C24" s="494" t="s">
        <v>254</v>
      </c>
      <c r="D24" s="1411">
        <v>73</v>
      </c>
      <c r="E24" s="1411">
        <v>27</v>
      </c>
      <c r="F24" s="1382">
        <f t="shared" si="0"/>
        <v>2.7037037037037037</v>
      </c>
      <c r="G24" s="1413">
        <v>10</v>
      </c>
      <c r="H24" s="1414">
        <v>1</v>
      </c>
      <c r="I24" s="1413"/>
      <c r="J24" s="1414"/>
      <c r="K24" s="1413"/>
      <c r="L24" s="1414"/>
      <c r="M24" s="1413">
        <v>20</v>
      </c>
      <c r="N24" s="1414">
        <v>6</v>
      </c>
      <c r="O24" s="1413"/>
      <c r="P24" s="1414"/>
      <c r="Q24" s="1413">
        <v>2</v>
      </c>
      <c r="R24" s="1414">
        <v>2</v>
      </c>
      <c r="S24" s="1413">
        <v>13</v>
      </c>
      <c r="T24" s="1414">
        <v>5</v>
      </c>
      <c r="U24" s="1413">
        <v>3</v>
      </c>
      <c r="V24" s="1414">
        <v>3</v>
      </c>
      <c r="W24" s="1413">
        <v>1</v>
      </c>
      <c r="X24" s="1414">
        <v>1</v>
      </c>
      <c r="Y24" s="1413"/>
      <c r="Z24" s="1414"/>
      <c r="AA24" s="1413">
        <v>16</v>
      </c>
      <c r="AB24" s="1414">
        <v>3</v>
      </c>
      <c r="AC24" s="1413">
        <v>3</v>
      </c>
      <c r="AD24" s="1414">
        <v>2</v>
      </c>
      <c r="AE24" s="1413"/>
      <c r="AF24" s="1414"/>
      <c r="AG24" s="1413">
        <v>2</v>
      </c>
      <c r="AH24" s="1414">
        <v>1</v>
      </c>
      <c r="AI24" s="1413">
        <v>1</v>
      </c>
      <c r="AJ24" s="1414">
        <v>1</v>
      </c>
      <c r="AK24" s="1413"/>
      <c r="AL24" s="1414"/>
      <c r="AM24" s="1413"/>
      <c r="AN24" s="1414"/>
      <c r="AO24" s="1413"/>
      <c r="AP24" s="1414"/>
      <c r="AQ24" s="1413"/>
      <c r="AR24" s="1414"/>
      <c r="AS24" s="1413"/>
      <c r="AT24" s="1414"/>
      <c r="AU24" s="1413">
        <v>2</v>
      </c>
      <c r="AV24" s="1414">
        <v>2</v>
      </c>
      <c r="AW24" s="1413"/>
      <c r="AX24" s="1414"/>
    </row>
    <row r="25" spans="1:50" x14ac:dyDescent="0.3">
      <c r="A25" s="487" t="s">
        <v>46</v>
      </c>
      <c r="B25" s="488" t="s">
        <v>47</v>
      </c>
      <c r="C25" s="494" t="s">
        <v>256</v>
      </c>
      <c r="D25" s="1411">
        <v>129</v>
      </c>
      <c r="E25" s="1411">
        <v>28</v>
      </c>
      <c r="F25" s="1382">
        <f t="shared" si="0"/>
        <v>4.6071428571428568</v>
      </c>
      <c r="G25" s="1413">
        <v>29</v>
      </c>
      <c r="H25" s="1414">
        <v>2</v>
      </c>
      <c r="I25" s="1413"/>
      <c r="J25" s="1414"/>
      <c r="K25" s="1413"/>
      <c r="L25" s="1414"/>
      <c r="M25" s="1413">
        <v>38</v>
      </c>
      <c r="N25" s="1414">
        <v>9</v>
      </c>
      <c r="O25" s="1413">
        <v>3</v>
      </c>
      <c r="P25" s="1414">
        <v>2</v>
      </c>
      <c r="Q25" s="1413">
        <v>1</v>
      </c>
      <c r="R25" s="1414">
        <v>1</v>
      </c>
      <c r="S25" s="1413">
        <v>5</v>
      </c>
      <c r="T25" s="1414">
        <v>5</v>
      </c>
      <c r="U25" s="1413">
        <v>1</v>
      </c>
      <c r="V25" s="1414">
        <v>1</v>
      </c>
      <c r="W25" s="1413">
        <v>7</v>
      </c>
      <c r="X25" s="1414">
        <v>4</v>
      </c>
      <c r="Y25" s="1413"/>
      <c r="Z25" s="1414"/>
      <c r="AA25" s="1413">
        <v>43</v>
      </c>
      <c r="AB25" s="1414">
        <v>2</v>
      </c>
      <c r="AC25" s="1413"/>
      <c r="AD25" s="1414"/>
      <c r="AE25" s="1413"/>
      <c r="AF25" s="1414"/>
      <c r="AG25" s="1413"/>
      <c r="AH25" s="1414"/>
      <c r="AI25" s="1413">
        <v>2</v>
      </c>
      <c r="AJ25" s="1414">
        <v>2</v>
      </c>
      <c r="AK25" s="1413"/>
      <c r="AL25" s="1414"/>
      <c r="AM25" s="1413"/>
      <c r="AN25" s="1414"/>
      <c r="AO25" s="1413"/>
      <c r="AP25" s="1414"/>
      <c r="AQ25" s="1413"/>
      <c r="AR25" s="1414"/>
      <c r="AS25" s="1413"/>
      <c r="AT25" s="1414"/>
      <c r="AU25" s="1413"/>
      <c r="AV25" s="1414"/>
      <c r="AW25" s="1413"/>
      <c r="AX25" s="1414"/>
    </row>
    <row r="26" spans="1:50" x14ac:dyDescent="0.3">
      <c r="A26" s="493" t="s">
        <v>48</v>
      </c>
      <c r="B26" s="488" t="s">
        <v>49</v>
      </c>
      <c r="C26" s="494" t="s">
        <v>254</v>
      </c>
      <c r="D26" s="1411">
        <v>10</v>
      </c>
      <c r="E26" s="1411">
        <v>3</v>
      </c>
      <c r="F26" s="1382">
        <f t="shared" si="0"/>
        <v>3.3333333333333335</v>
      </c>
      <c r="G26" s="1413">
        <v>3</v>
      </c>
      <c r="H26" s="1414">
        <v>1</v>
      </c>
      <c r="I26" s="1413"/>
      <c r="J26" s="1414"/>
      <c r="K26" s="1413"/>
      <c r="L26" s="1414"/>
      <c r="M26" s="1413">
        <v>6</v>
      </c>
      <c r="N26" s="1414">
        <v>1</v>
      </c>
      <c r="O26" s="1413"/>
      <c r="P26" s="1414"/>
      <c r="Q26" s="1413"/>
      <c r="R26" s="1414"/>
      <c r="S26" s="1413">
        <v>1</v>
      </c>
      <c r="T26" s="1414">
        <v>1</v>
      </c>
      <c r="U26" s="1413"/>
      <c r="V26" s="1414"/>
      <c r="W26" s="1413"/>
      <c r="X26" s="1414"/>
      <c r="Y26" s="1413"/>
      <c r="Z26" s="1414"/>
      <c r="AA26" s="1413"/>
      <c r="AB26" s="1414"/>
      <c r="AC26" s="1413"/>
      <c r="AD26" s="1414"/>
      <c r="AE26" s="1413"/>
      <c r="AF26" s="1414"/>
      <c r="AG26" s="1413"/>
      <c r="AH26" s="1414"/>
      <c r="AI26" s="1413"/>
      <c r="AJ26" s="1414"/>
      <c r="AK26" s="1413"/>
      <c r="AL26" s="1414"/>
      <c r="AM26" s="1413"/>
      <c r="AN26" s="1414"/>
      <c r="AO26" s="1413"/>
      <c r="AP26" s="1414"/>
      <c r="AQ26" s="1413"/>
      <c r="AR26" s="1414"/>
      <c r="AS26" s="1413"/>
      <c r="AT26" s="1414"/>
      <c r="AU26" s="1413"/>
      <c r="AV26" s="1414"/>
      <c r="AW26" s="1413"/>
      <c r="AX26" s="1414"/>
    </row>
    <row r="27" spans="1:50" x14ac:dyDescent="0.3">
      <c r="A27" s="487" t="s">
        <v>50</v>
      </c>
      <c r="B27" s="488" t="s">
        <v>51</v>
      </c>
      <c r="C27" s="494" t="s">
        <v>253</v>
      </c>
      <c r="D27" s="1411">
        <v>78</v>
      </c>
      <c r="E27" s="1411">
        <v>29</v>
      </c>
      <c r="F27" s="1382">
        <f t="shared" si="0"/>
        <v>2.6896551724137931</v>
      </c>
      <c r="G27" s="1413">
        <v>13</v>
      </c>
      <c r="H27" s="1414">
        <v>2</v>
      </c>
      <c r="I27" s="1413"/>
      <c r="J27" s="1414"/>
      <c r="K27" s="1413"/>
      <c r="L27" s="1414"/>
      <c r="M27" s="1413">
        <v>13</v>
      </c>
      <c r="N27" s="1414">
        <v>7</v>
      </c>
      <c r="O27" s="1413"/>
      <c r="P27" s="1414"/>
      <c r="Q27" s="1413">
        <v>1</v>
      </c>
      <c r="R27" s="1414">
        <v>1</v>
      </c>
      <c r="S27" s="1413">
        <v>13</v>
      </c>
      <c r="T27" s="1414">
        <v>4</v>
      </c>
      <c r="U27" s="1413">
        <v>11</v>
      </c>
      <c r="V27" s="1414">
        <v>6</v>
      </c>
      <c r="W27" s="1413"/>
      <c r="X27" s="1414"/>
      <c r="Y27" s="1413"/>
      <c r="Z27" s="1414"/>
      <c r="AA27" s="1413">
        <v>19</v>
      </c>
      <c r="AB27" s="1414">
        <v>3</v>
      </c>
      <c r="AC27" s="1413"/>
      <c r="AD27" s="1414"/>
      <c r="AE27" s="1413"/>
      <c r="AF27" s="1414"/>
      <c r="AG27" s="1413"/>
      <c r="AH27" s="1414"/>
      <c r="AI27" s="1413">
        <v>1</v>
      </c>
      <c r="AJ27" s="1414">
        <v>1</v>
      </c>
      <c r="AK27" s="1413"/>
      <c r="AL27" s="1414"/>
      <c r="AM27" s="1413"/>
      <c r="AN27" s="1414"/>
      <c r="AO27" s="1413">
        <v>1</v>
      </c>
      <c r="AP27" s="1414">
        <v>1</v>
      </c>
      <c r="AQ27" s="1413">
        <v>1</v>
      </c>
      <c r="AR27" s="1414">
        <v>1</v>
      </c>
      <c r="AS27" s="1413">
        <v>3</v>
      </c>
      <c r="AT27" s="1414">
        <v>1</v>
      </c>
      <c r="AU27" s="1413">
        <v>2</v>
      </c>
      <c r="AV27" s="1414">
        <v>2</v>
      </c>
      <c r="AW27" s="1413"/>
      <c r="AX27" s="1414"/>
    </row>
    <row r="28" spans="1:50" x14ac:dyDescent="0.3">
      <c r="A28" s="487" t="s">
        <v>52</v>
      </c>
      <c r="B28" s="488" t="s">
        <v>53</v>
      </c>
      <c r="C28" s="494" t="s">
        <v>253</v>
      </c>
      <c r="D28" s="1411">
        <v>395</v>
      </c>
      <c r="E28" s="1411">
        <v>84</v>
      </c>
      <c r="F28" s="1382">
        <f t="shared" si="0"/>
        <v>4.7023809523809526</v>
      </c>
      <c r="G28" s="1413">
        <v>86</v>
      </c>
      <c r="H28" s="1414">
        <v>4</v>
      </c>
      <c r="I28" s="1413"/>
      <c r="J28" s="1414"/>
      <c r="K28" s="1413"/>
      <c r="L28" s="1414"/>
      <c r="M28" s="1413">
        <v>122</v>
      </c>
      <c r="N28" s="1414">
        <v>17</v>
      </c>
      <c r="O28" s="1413">
        <v>14</v>
      </c>
      <c r="P28" s="1414">
        <v>8</v>
      </c>
      <c r="Q28" s="1413">
        <v>2</v>
      </c>
      <c r="R28" s="1414">
        <v>2</v>
      </c>
      <c r="S28" s="1413">
        <v>20</v>
      </c>
      <c r="T28" s="1414">
        <v>12</v>
      </c>
      <c r="U28" s="1413">
        <v>48</v>
      </c>
      <c r="V28" s="1414">
        <v>10</v>
      </c>
      <c r="W28" s="1413"/>
      <c r="X28" s="1414"/>
      <c r="Y28" s="1413"/>
      <c r="Z28" s="1414"/>
      <c r="AA28" s="1413">
        <v>90</v>
      </c>
      <c r="AB28" s="1414">
        <v>21</v>
      </c>
      <c r="AC28" s="1413"/>
      <c r="AD28" s="1414"/>
      <c r="AE28" s="1413">
        <v>1</v>
      </c>
      <c r="AF28" s="1414">
        <v>1</v>
      </c>
      <c r="AG28" s="1413"/>
      <c r="AH28" s="1414"/>
      <c r="AI28" s="1413">
        <v>4</v>
      </c>
      <c r="AJ28" s="1414">
        <v>2</v>
      </c>
      <c r="AK28" s="1413"/>
      <c r="AL28" s="1414"/>
      <c r="AM28" s="1413"/>
      <c r="AN28" s="1414"/>
      <c r="AO28" s="1413"/>
      <c r="AP28" s="1414"/>
      <c r="AQ28" s="1413"/>
      <c r="AR28" s="1414"/>
      <c r="AS28" s="1413">
        <v>1</v>
      </c>
      <c r="AT28" s="1414">
        <v>1</v>
      </c>
      <c r="AU28" s="1413">
        <v>7</v>
      </c>
      <c r="AV28" s="1414">
        <v>6</v>
      </c>
      <c r="AW28" s="1413"/>
      <c r="AX28" s="1414"/>
    </row>
    <row r="29" spans="1:50" x14ac:dyDescent="0.3">
      <c r="A29" s="487" t="s">
        <v>54</v>
      </c>
      <c r="B29" s="488" t="s">
        <v>55</v>
      </c>
      <c r="C29" s="494" t="s">
        <v>252</v>
      </c>
      <c r="D29" s="1411">
        <v>301</v>
      </c>
      <c r="E29" s="1411">
        <v>70</v>
      </c>
      <c r="F29" s="1382">
        <f t="shared" si="0"/>
        <v>4.3</v>
      </c>
      <c r="G29" s="1413">
        <v>100</v>
      </c>
      <c r="H29" s="1414">
        <v>4</v>
      </c>
      <c r="I29" s="1413"/>
      <c r="J29" s="1414"/>
      <c r="K29" s="1413"/>
      <c r="L29" s="1414"/>
      <c r="M29" s="1413">
        <v>52</v>
      </c>
      <c r="N29" s="1414">
        <v>12</v>
      </c>
      <c r="O29" s="1413">
        <v>1</v>
      </c>
      <c r="P29" s="1414">
        <v>1</v>
      </c>
      <c r="Q29" s="1413">
        <v>3</v>
      </c>
      <c r="R29" s="1414">
        <v>3</v>
      </c>
      <c r="S29" s="1413">
        <v>7</v>
      </c>
      <c r="T29" s="1414">
        <v>6</v>
      </c>
      <c r="U29" s="1413">
        <v>10</v>
      </c>
      <c r="V29" s="1414">
        <v>5</v>
      </c>
      <c r="W29" s="1413">
        <v>6</v>
      </c>
      <c r="X29" s="1414">
        <v>4</v>
      </c>
      <c r="Y29" s="1413">
        <v>1</v>
      </c>
      <c r="Z29" s="1414">
        <v>1</v>
      </c>
      <c r="AA29" s="1413">
        <v>57</v>
      </c>
      <c r="AB29" s="1414">
        <v>12</v>
      </c>
      <c r="AC29" s="1413">
        <v>29</v>
      </c>
      <c r="AD29" s="1414">
        <v>6</v>
      </c>
      <c r="AE29" s="1413">
        <v>1</v>
      </c>
      <c r="AF29" s="1414">
        <v>1</v>
      </c>
      <c r="AG29" s="1413"/>
      <c r="AH29" s="1414"/>
      <c r="AI29" s="1413">
        <v>33</v>
      </c>
      <c r="AJ29" s="1414">
        <v>14</v>
      </c>
      <c r="AK29" s="1413"/>
      <c r="AL29" s="1414"/>
      <c r="AM29" s="1413"/>
      <c r="AN29" s="1414"/>
      <c r="AO29" s="1413"/>
      <c r="AP29" s="1414"/>
      <c r="AQ29" s="1413"/>
      <c r="AR29" s="1414"/>
      <c r="AS29" s="1413"/>
      <c r="AT29" s="1414"/>
      <c r="AU29" s="1413">
        <v>1</v>
      </c>
      <c r="AV29" s="1414">
        <v>1</v>
      </c>
      <c r="AW29" s="1413"/>
      <c r="AX29" s="1414"/>
    </row>
    <row r="30" spans="1:50" x14ac:dyDescent="0.3">
      <c r="A30" s="487" t="s">
        <v>56</v>
      </c>
      <c r="B30" s="488" t="s">
        <v>57</v>
      </c>
      <c r="C30" s="494" t="s">
        <v>254</v>
      </c>
      <c r="D30" s="1411">
        <v>572</v>
      </c>
      <c r="E30" s="1411">
        <v>96</v>
      </c>
      <c r="F30" s="1382">
        <f t="shared" si="0"/>
        <v>5.958333333333333</v>
      </c>
      <c r="G30" s="1413">
        <v>156</v>
      </c>
      <c r="H30" s="1414">
        <v>5</v>
      </c>
      <c r="I30" s="1413"/>
      <c r="J30" s="1414"/>
      <c r="K30" s="1413"/>
      <c r="L30" s="1414"/>
      <c r="M30" s="1413">
        <v>88</v>
      </c>
      <c r="N30" s="1414">
        <v>17</v>
      </c>
      <c r="O30" s="1413">
        <v>4</v>
      </c>
      <c r="P30" s="1414">
        <v>4</v>
      </c>
      <c r="Q30" s="1413">
        <v>2</v>
      </c>
      <c r="R30" s="1414">
        <v>2</v>
      </c>
      <c r="S30" s="1413">
        <v>79</v>
      </c>
      <c r="T30" s="1414">
        <v>11</v>
      </c>
      <c r="U30" s="1413">
        <v>37</v>
      </c>
      <c r="V30" s="1414">
        <v>11</v>
      </c>
      <c r="W30" s="1413">
        <v>1</v>
      </c>
      <c r="X30" s="1414">
        <v>1</v>
      </c>
      <c r="Y30" s="1413"/>
      <c r="Z30" s="1414"/>
      <c r="AA30" s="1413">
        <v>103</v>
      </c>
      <c r="AB30" s="1414">
        <v>17</v>
      </c>
      <c r="AC30" s="1413">
        <v>31</v>
      </c>
      <c r="AD30" s="1414">
        <v>5</v>
      </c>
      <c r="AE30" s="1413">
        <v>4</v>
      </c>
      <c r="AF30" s="1414">
        <v>3</v>
      </c>
      <c r="AG30" s="1413"/>
      <c r="AH30" s="1414"/>
      <c r="AI30" s="1413">
        <v>23</v>
      </c>
      <c r="AJ30" s="1414">
        <v>7</v>
      </c>
      <c r="AK30" s="1413"/>
      <c r="AL30" s="1414"/>
      <c r="AM30" s="1413"/>
      <c r="AN30" s="1414"/>
      <c r="AO30" s="1413"/>
      <c r="AP30" s="1414"/>
      <c r="AQ30" s="1413"/>
      <c r="AR30" s="1414"/>
      <c r="AS30" s="1413"/>
      <c r="AT30" s="1414"/>
      <c r="AU30" s="1413">
        <v>42</v>
      </c>
      <c r="AV30" s="1414">
        <v>13</v>
      </c>
      <c r="AW30" s="1413">
        <v>2</v>
      </c>
      <c r="AX30" s="1414">
        <v>0</v>
      </c>
    </row>
    <row r="31" spans="1:50" x14ac:dyDescent="0.3">
      <c r="A31" s="487" t="s">
        <v>58</v>
      </c>
      <c r="B31" s="488" t="s">
        <v>59</v>
      </c>
      <c r="C31" s="494" t="s">
        <v>255</v>
      </c>
      <c r="D31" s="1411">
        <v>61</v>
      </c>
      <c r="E31" s="1411">
        <v>14</v>
      </c>
      <c r="F31" s="1382">
        <f t="shared" si="0"/>
        <v>4.3571428571428568</v>
      </c>
      <c r="G31" s="1413">
        <v>11</v>
      </c>
      <c r="H31" s="1414">
        <v>2</v>
      </c>
      <c r="I31" s="1413"/>
      <c r="J31" s="1414"/>
      <c r="K31" s="1413"/>
      <c r="L31" s="1414"/>
      <c r="M31" s="1413">
        <v>28</v>
      </c>
      <c r="N31" s="1414">
        <v>4</v>
      </c>
      <c r="O31" s="1413"/>
      <c r="P31" s="1414"/>
      <c r="Q31" s="1413">
        <v>3</v>
      </c>
      <c r="R31" s="1414">
        <v>2</v>
      </c>
      <c r="S31" s="1413"/>
      <c r="T31" s="1414"/>
      <c r="U31" s="1413">
        <v>4</v>
      </c>
      <c r="V31" s="1414">
        <v>2</v>
      </c>
      <c r="W31" s="1413"/>
      <c r="X31" s="1414"/>
      <c r="Y31" s="1413"/>
      <c r="Z31" s="1414"/>
      <c r="AA31" s="1413">
        <v>12</v>
      </c>
      <c r="AB31" s="1414">
        <v>2</v>
      </c>
      <c r="AC31" s="1413"/>
      <c r="AD31" s="1414"/>
      <c r="AE31" s="1413"/>
      <c r="AF31" s="1414"/>
      <c r="AG31" s="1413"/>
      <c r="AH31" s="1414"/>
      <c r="AI31" s="1413"/>
      <c r="AJ31" s="1414"/>
      <c r="AK31" s="1413"/>
      <c r="AL31" s="1414"/>
      <c r="AM31" s="1413"/>
      <c r="AN31" s="1414"/>
      <c r="AO31" s="1413"/>
      <c r="AP31" s="1414"/>
      <c r="AQ31" s="1413"/>
      <c r="AR31" s="1414"/>
      <c r="AS31" s="1413"/>
      <c r="AT31" s="1414"/>
      <c r="AU31" s="1413">
        <v>3</v>
      </c>
      <c r="AV31" s="1414">
        <v>2</v>
      </c>
      <c r="AW31" s="1413"/>
      <c r="AX31" s="1414"/>
    </row>
    <row r="32" spans="1:50" x14ac:dyDescent="0.3">
      <c r="A32" s="493" t="s">
        <v>60</v>
      </c>
      <c r="B32" s="488" t="s">
        <v>61</v>
      </c>
      <c r="C32" s="494" t="s">
        <v>253</v>
      </c>
      <c r="D32" s="1411">
        <v>31</v>
      </c>
      <c r="E32" s="1411">
        <v>17</v>
      </c>
      <c r="F32" s="1382">
        <f t="shared" si="0"/>
        <v>1.8235294117647058</v>
      </c>
      <c r="G32" s="1413">
        <v>7</v>
      </c>
      <c r="H32" s="1414">
        <v>1</v>
      </c>
      <c r="I32" s="1413"/>
      <c r="J32" s="1414"/>
      <c r="K32" s="1413"/>
      <c r="L32" s="1414"/>
      <c r="M32" s="1413">
        <v>7</v>
      </c>
      <c r="N32" s="1414">
        <v>5</v>
      </c>
      <c r="O32" s="1413">
        <v>1</v>
      </c>
      <c r="P32" s="1414">
        <v>1</v>
      </c>
      <c r="Q32" s="1413">
        <v>1</v>
      </c>
      <c r="R32" s="1414">
        <v>1</v>
      </c>
      <c r="S32" s="1413"/>
      <c r="T32" s="1414"/>
      <c r="U32" s="1413">
        <v>1</v>
      </c>
      <c r="V32" s="1414">
        <v>1</v>
      </c>
      <c r="W32" s="1413">
        <v>1</v>
      </c>
      <c r="X32" s="1414">
        <v>1</v>
      </c>
      <c r="Y32" s="1413"/>
      <c r="Z32" s="1414"/>
      <c r="AA32" s="1413">
        <v>10</v>
      </c>
      <c r="AB32" s="1414">
        <v>4</v>
      </c>
      <c r="AC32" s="1413"/>
      <c r="AD32" s="1414"/>
      <c r="AE32" s="1413"/>
      <c r="AF32" s="1414"/>
      <c r="AG32" s="1413"/>
      <c r="AH32" s="1414"/>
      <c r="AI32" s="1413">
        <v>2</v>
      </c>
      <c r="AJ32" s="1414">
        <v>2</v>
      </c>
      <c r="AK32" s="1413"/>
      <c r="AL32" s="1414"/>
      <c r="AM32" s="1413"/>
      <c r="AN32" s="1414"/>
      <c r="AO32" s="1413"/>
      <c r="AP32" s="1414"/>
      <c r="AQ32" s="1413"/>
      <c r="AR32" s="1414"/>
      <c r="AS32" s="1413"/>
      <c r="AT32" s="1414"/>
      <c r="AU32" s="1413">
        <v>1</v>
      </c>
      <c r="AV32" s="1414">
        <v>1</v>
      </c>
      <c r="AW32" s="1413"/>
      <c r="AX32" s="1414"/>
    </row>
    <row r="33" spans="1:50" x14ac:dyDescent="0.3">
      <c r="A33" s="487" t="s">
        <v>62</v>
      </c>
      <c r="B33" s="488" t="s">
        <v>63</v>
      </c>
      <c r="C33" s="494" t="s">
        <v>255</v>
      </c>
      <c r="D33" s="1411">
        <v>187</v>
      </c>
      <c r="E33" s="1411">
        <v>35</v>
      </c>
      <c r="F33" s="1382">
        <f t="shared" si="0"/>
        <v>5.3428571428571425</v>
      </c>
      <c r="G33" s="1413">
        <v>52</v>
      </c>
      <c r="H33" s="1414">
        <v>3</v>
      </c>
      <c r="I33" s="1413"/>
      <c r="J33" s="1414"/>
      <c r="K33" s="1413"/>
      <c r="L33" s="1414"/>
      <c r="M33" s="1413">
        <v>21</v>
      </c>
      <c r="N33" s="1414">
        <v>4</v>
      </c>
      <c r="O33" s="1413">
        <v>7</v>
      </c>
      <c r="P33" s="1414">
        <v>5</v>
      </c>
      <c r="Q33" s="1413">
        <v>1</v>
      </c>
      <c r="R33" s="1414">
        <v>1</v>
      </c>
      <c r="S33" s="1413">
        <v>22</v>
      </c>
      <c r="T33" s="1414">
        <v>3</v>
      </c>
      <c r="U33" s="1413">
        <v>21</v>
      </c>
      <c r="V33" s="1414">
        <v>3</v>
      </c>
      <c r="W33" s="1413">
        <v>3</v>
      </c>
      <c r="X33" s="1414">
        <v>2</v>
      </c>
      <c r="Y33" s="1413"/>
      <c r="Z33" s="1414"/>
      <c r="AA33" s="1413">
        <v>47</v>
      </c>
      <c r="AB33" s="1414">
        <v>6</v>
      </c>
      <c r="AC33" s="1413">
        <v>3</v>
      </c>
      <c r="AD33" s="1414">
        <v>2</v>
      </c>
      <c r="AE33" s="1413"/>
      <c r="AF33" s="1414"/>
      <c r="AG33" s="1413"/>
      <c r="AH33" s="1414"/>
      <c r="AI33" s="1413">
        <v>8</v>
      </c>
      <c r="AJ33" s="1414">
        <v>4</v>
      </c>
      <c r="AK33" s="1413"/>
      <c r="AL33" s="1414"/>
      <c r="AM33" s="1413"/>
      <c r="AN33" s="1414"/>
      <c r="AO33" s="1413"/>
      <c r="AP33" s="1414"/>
      <c r="AQ33" s="1413"/>
      <c r="AR33" s="1414"/>
      <c r="AS33" s="1413"/>
      <c r="AT33" s="1414"/>
      <c r="AU33" s="1413">
        <v>2</v>
      </c>
      <c r="AV33" s="1414">
        <v>2</v>
      </c>
      <c r="AW33" s="1413"/>
      <c r="AX33" s="1414"/>
    </row>
    <row r="34" spans="1:50" x14ac:dyDescent="0.3">
      <c r="A34" s="487" t="s">
        <v>64</v>
      </c>
      <c r="B34" s="488" t="s">
        <v>65</v>
      </c>
      <c r="C34" s="494" t="s">
        <v>254</v>
      </c>
      <c r="D34" s="1411">
        <v>40</v>
      </c>
      <c r="E34" s="1411">
        <v>11</v>
      </c>
      <c r="F34" s="1382">
        <f t="shared" si="0"/>
        <v>3.6363636363636362</v>
      </c>
      <c r="G34" s="1413">
        <v>10</v>
      </c>
      <c r="H34" s="1414">
        <v>2</v>
      </c>
      <c r="I34" s="1413"/>
      <c r="J34" s="1414"/>
      <c r="K34" s="1413"/>
      <c r="L34" s="1414"/>
      <c r="M34" s="1413">
        <v>10</v>
      </c>
      <c r="N34" s="1414">
        <v>2</v>
      </c>
      <c r="O34" s="1413"/>
      <c r="P34" s="1414"/>
      <c r="Q34" s="1413"/>
      <c r="R34" s="1414"/>
      <c r="S34" s="1413">
        <v>9</v>
      </c>
      <c r="T34" s="1414">
        <v>2</v>
      </c>
      <c r="U34" s="1413"/>
      <c r="V34" s="1414"/>
      <c r="W34" s="1413"/>
      <c r="X34" s="1414"/>
      <c r="Y34" s="1413"/>
      <c r="Z34" s="1414"/>
      <c r="AA34" s="1413">
        <v>8</v>
      </c>
      <c r="AB34" s="1414">
        <v>2</v>
      </c>
      <c r="AC34" s="1413">
        <v>1</v>
      </c>
      <c r="AD34" s="1414">
        <v>1</v>
      </c>
      <c r="AE34" s="1413"/>
      <c r="AF34" s="1414"/>
      <c r="AG34" s="1413"/>
      <c r="AH34" s="1414"/>
      <c r="AI34" s="1413">
        <v>1</v>
      </c>
      <c r="AJ34" s="1414">
        <v>1</v>
      </c>
      <c r="AK34" s="1413"/>
      <c r="AL34" s="1414"/>
      <c r="AM34" s="1413"/>
      <c r="AN34" s="1414"/>
      <c r="AO34" s="1413"/>
      <c r="AP34" s="1414"/>
      <c r="AQ34" s="1413"/>
      <c r="AR34" s="1414"/>
      <c r="AS34" s="1413"/>
      <c r="AT34" s="1414"/>
      <c r="AU34" s="1413">
        <v>1</v>
      </c>
      <c r="AV34" s="1414">
        <v>1</v>
      </c>
      <c r="AW34" s="1413"/>
      <c r="AX34" s="1414"/>
    </row>
    <row r="35" spans="1:50" x14ac:dyDescent="0.3">
      <c r="A35" s="487" t="s">
        <v>66</v>
      </c>
      <c r="B35" s="488" t="s">
        <v>67</v>
      </c>
      <c r="C35" s="494" t="s">
        <v>253</v>
      </c>
      <c r="D35" s="1411">
        <v>596</v>
      </c>
      <c r="E35" s="1411">
        <v>51</v>
      </c>
      <c r="F35" s="1382">
        <f t="shared" si="0"/>
        <v>11.686274509803921</v>
      </c>
      <c r="G35" s="1413">
        <v>38</v>
      </c>
      <c r="H35" s="1414">
        <v>2</v>
      </c>
      <c r="I35" s="1413"/>
      <c r="J35" s="1414"/>
      <c r="K35" s="1413"/>
      <c r="L35" s="1414"/>
      <c r="M35" s="1413">
        <v>16</v>
      </c>
      <c r="N35" s="1414">
        <v>7</v>
      </c>
      <c r="O35" s="1413">
        <v>1</v>
      </c>
      <c r="P35" s="1414">
        <v>1</v>
      </c>
      <c r="Q35" s="1413">
        <v>1</v>
      </c>
      <c r="R35" s="1414">
        <v>1</v>
      </c>
      <c r="S35" s="1413">
        <v>246</v>
      </c>
      <c r="T35" s="1414">
        <v>8</v>
      </c>
      <c r="U35" s="1413">
        <v>41</v>
      </c>
      <c r="V35" s="1414">
        <v>8</v>
      </c>
      <c r="W35" s="1413"/>
      <c r="X35" s="1414"/>
      <c r="Y35" s="1413"/>
      <c r="Z35" s="1414"/>
      <c r="AA35" s="1413">
        <v>59</v>
      </c>
      <c r="AB35" s="1414">
        <v>9</v>
      </c>
      <c r="AC35" s="1413">
        <v>1</v>
      </c>
      <c r="AD35" s="1414">
        <v>1</v>
      </c>
      <c r="AE35" s="1413">
        <v>3</v>
      </c>
      <c r="AF35" s="1414">
        <v>3</v>
      </c>
      <c r="AG35" s="1413">
        <v>1</v>
      </c>
      <c r="AH35" s="1414">
        <v>1</v>
      </c>
      <c r="AI35" s="1413">
        <v>185</v>
      </c>
      <c r="AJ35" s="1414">
        <v>8</v>
      </c>
      <c r="AK35" s="1413"/>
      <c r="AL35" s="1414"/>
      <c r="AM35" s="1413">
        <v>3</v>
      </c>
      <c r="AN35" s="1414">
        <v>1</v>
      </c>
      <c r="AO35" s="1413"/>
      <c r="AP35" s="1414"/>
      <c r="AQ35" s="1413"/>
      <c r="AR35" s="1414"/>
      <c r="AS35" s="1413"/>
      <c r="AT35" s="1414"/>
      <c r="AU35" s="1413">
        <v>1</v>
      </c>
      <c r="AV35" s="1414">
        <v>1</v>
      </c>
      <c r="AW35" s="1413"/>
      <c r="AX35" s="1414"/>
    </row>
    <row r="36" spans="1:50" x14ac:dyDescent="0.3">
      <c r="A36" s="487" t="s">
        <v>68</v>
      </c>
      <c r="B36" s="488" t="s">
        <v>69</v>
      </c>
      <c r="C36" s="494" t="s">
        <v>256</v>
      </c>
      <c r="D36" s="1411">
        <v>214</v>
      </c>
      <c r="E36" s="1411">
        <v>21</v>
      </c>
      <c r="F36" s="1382">
        <f t="shared" si="0"/>
        <v>10.19047619047619</v>
      </c>
      <c r="G36" s="1413">
        <v>116</v>
      </c>
      <c r="H36" s="1414">
        <v>1</v>
      </c>
      <c r="I36" s="1413"/>
      <c r="J36" s="1414"/>
      <c r="K36" s="1413"/>
      <c r="L36" s="1414"/>
      <c r="M36" s="1413">
        <v>34</v>
      </c>
      <c r="N36" s="1414">
        <v>6</v>
      </c>
      <c r="O36" s="1413"/>
      <c r="P36" s="1414"/>
      <c r="Q36" s="1413"/>
      <c r="R36" s="1414"/>
      <c r="S36" s="1413">
        <v>2</v>
      </c>
      <c r="T36" s="1414">
        <v>2</v>
      </c>
      <c r="U36" s="1413"/>
      <c r="V36" s="1414"/>
      <c r="W36" s="1413">
        <v>1</v>
      </c>
      <c r="X36" s="1414">
        <v>1</v>
      </c>
      <c r="Y36" s="1413"/>
      <c r="Z36" s="1414"/>
      <c r="AA36" s="1413">
        <v>55</v>
      </c>
      <c r="AB36" s="1414">
        <v>8</v>
      </c>
      <c r="AC36" s="1413"/>
      <c r="AD36" s="1414"/>
      <c r="AE36" s="1413">
        <v>6</v>
      </c>
      <c r="AF36" s="1414">
        <v>3</v>
      </c>
      <c r="AG36" s="1413"/>
      <c r="AH36" s="1414"/>
      <c r="AI36" s="1413"/>
      <c r="AJ36" s="1414"/>
      <c r="AK36" s="1413"/>
      <c r="AL36" s="1414"/>
      <c r="AM36" s="1413"/>
      <c r="AN36" s="1414"/>
      <c r="AO36" s="1413"/>
      <c r="AP36" s="1414"/>
      <c r="AQ36" s="1413"/>
      <c r="AR36" s="1414"/>
      <c r="AS36" s="1413"/>
      <c r="AT36" s="1414"/>
      <c r="AU36" s="1413"/>
      <c r="AV36" s="1414"/>
      <c r="AW36" s="1413"/>
      <c r="AX36" s="1414"/>
    </row>
    <row r="37" spans="1:50" x14ac:dyDescent="0.3">
      <c r="A37" s="487" t="s">
        <v>70</v>
      </c>
      <c r="B37" s="488" t="s">
        <v>71</v>
      </c>
      <c r="C37" s="494" t="s">
        <v>252</v>
      </c>
      <c r="D37" s="1411">
        <v>117</v>
      </c>
      <c r="E37" s="1411">
        <v>25</v>
      </c>
      <c r="F37" s="1382">
        <f t="shared" si="0"/>
        <v>4.68</v>
      </c>
      <c r="G37" s="1413">
        <v>22</v>
      </c>
      <c r="H37" s="1414">
        <v>3</v>
      </c>
      <c r="I37" s="1413"/>
      <c r="J37" s="1414"/>
      <c r="K37" s="1413"/>
      <c r="L37" s="1414"/>
      <c r="M37" s="1413">
        <v>15</v>
      </c>
      <c r="N37" s="1414">
        <v>3</v>
      </c>
      <c r="O37" s="1413">
        <v>4</v>
      </c>
      <c r="P37" s="1414">
        <v>2</v>
      </c>
      <c r="Q37" s="1413">
        <v>3</v>
      </c>
      <c r="R37" s="1414">
        <v>2</v>
      </c>
      <c r="S37" s="1413">
        <v>3</v>
      </c>
      <c r="T37" s="1414">
        <v>2</v>
      </c>
      <c r="U37" s="1413">
        <v>5</v>
      </c>
      <c r="V37" s="1414">
        <v>2</v>
      </c>
      <c r="W37" s="1413">
        <v>1</v>
      </c>
      <c r="X37" s="1414">
        <v>1</v>
      </c>
      <c r="Y37" s="1413"/>
      <c r="Z37" s="1414"/>
      <c r="AA37" s="1413">
        <v>14</v>
      </c>
      <c r="AB37" s="1414">
        <v>5</v>
      </c>
      <c r="AC37" s="1413"/>
      <c r="AD37" s="1414"/>
      <c r="AE37" s="1413"/>
      <c r="AF37" s="1414"/>
      <c r="AG37" s="1413"/>
      <c r="AH37" s="1414"/>
      <c r="AI37" s="1413">
        <v>50</v>
      </c>
      <c r="AJ37" s="1414">
        <v>5</v>
      </c>
      <c r="AK37" s="1413"/>
      <c r="AL37" s="1414"/>
      <c r="AM37" s="1413"/>
      <c r="AN37" s="1414"/>
      <c r="AO37" s="1413"/>
      <c r="AP37" s="1414"/>
      <c r="AQ37" s="1413"/>
      <c r="AR37" s="1414"/>
      <c r="AS37" s="1413"/>
      <c r="AT37" s="1414"/>
      <c r="AU37" s="1413"/>
      <c r="AV37" s="1414"/>
      <c r="AW37" s="1413"/>
      <c r="AX37" s="1414"/>
    </row>
    <row r="38" spans="1:50" x14ac:dyDescent="0.3">
      <c r="A38" s="487" t="s">
        <v>72</v>
      </c>
      <c r="B38" s="488" t="s">
        <v>73</v>
      </c>
      <c r="C38" s="494" t="s">
        <v>254</v>
      </c>
      <c r="D38" s="1411">
        <v>57</v>
      </c>
      <c r="E38" s="1411">
        <v>13</v>
      </c>
      <c r="F38" s="1382">
        <f t="shared" si="0"/>
        <v>4.384615384615385</v>
      </c>
      <c r="G38" s="1413">
        <v>4</v>
      </c>
      <c r="H38" s="1414">
        <v>1</v>
      </c>
      <c r="I38" s="1413"/>
      <c r="J38" s="1414"/>
      <c r="K38" s="1413"/>
      <c r="L38" s="1414"/>
      <c r="M38" s="1413">
        <v>29</v>
      </c>
      <c r="N38" s="1414">
        <v>2</v>
      </c>
      <c r="O38" s="1413"/>
      <c r="P38" s="1414"/>
      <c r="Q38" s="1413">
        <v>1</v>
      </c>
      <c r="R38" s="1414">
        <v>1</v>
      </c>
      <c r="S38" s="1413">
        <v>8</v>
      </c>
      <c r="T38" s="1414">
        <v>4</v>
      </c>
      <c r="U38" s="1413">
        <v>1</v>
      </c>
      <c r="V38" s="1414">
        <v>1</v>
      </c>
      <c r="W38" s="1413"/>
      <c r="X38" s="1414"/>
      <c r="Y38" s="1413"/>
      <c r="Z38" s="1414"/>
      <c r="AA38" s="1413">
        <v>14</v>
      </c>
      <c r="AB38" s="1414">
        <v>4</v>
      </c>
      <c r="AC38" s="1413"/>
      <c r="AD38" s="1414"/>
      <c r="AE38" s="1413"/>
      <c r="AF38" s="1414"/>
      <c r="AG38" s="1413"/>
      <c r="AH38" s="1414"/>
      <c r="AI38" s="1413"/>
      <c r="AJ38" s="1414"/>
      <c r="AK38" s="1413"/>
      <c r="AL38" s="1414"/>
      <c r="AM38" s="1413"/>
      <c r="AN38" s="1414"/>
      <c r="AO38" s="1413"/>
      <c r="AP38" s="1414"/>
      <c r="AQ38" s="1413"/>
      <c r="AR38" s="1414"/>
      <c r="AS38" s="1413"/>
      <c r="AT38" s="1414"/>
      <c r="AU38" s="1413"/>
      <c r="AV38" s="1414"/>
      <c r="AW38" s="1413"/>
      <c r="AX38" s="1414"/>
    </row>
    <row r="39" spans="1:50" x14ac:dyDescent="0.3">
      <c r="A39" s="487" t="s">
        <v>74</v>
      </c>
      <c r="B39" s="488" t="s">
        <v>75</v>
      </c>
      <c r="C39" s="494" t="s">
        <v>255</v>
      </c>
      <c r="D39" s="1411">
        <v>1493</v>
      </c>
      <c r="E39" s="1411">
        <v>262</v>
      </c>
      <c r="F39" s="1382">
        <f t="shared" si="0"/>
        <v>5.6984732824427482</v>
      </c>
      <c r="G39" s="1413">
        <v>375</v>
      </c>
      <c r="H39" s="1414">
        <v>13</v>
      </c>
      <c r="I39" s="1413"/>
      <c r="J39" s="1414"/>
      <c r="K39" s="1413"/>
      <c r="L39" s="1414"/>
      <c r="M39" s="1413">
        <v>365</v>
      </c>
      <c r="N39" s="1414">
        <v>57</v>
      </c>
      <c r="O39" s="1413">
        <v>23</v>
      </c>
      <c r="P39" s="1414">
        <v>17</v>
      </c>
      <c r="Q39" s="1413">
        <v>96</v>
      </c>
      <c r="R39" s="1414">
        <v>34</v>
      </c>
      <c r="S39" s="1413">
        <v>1</v>
      </c>
      <c r="T39" s="1414">
        <v>1</v>
      </c>
      <c r="U39" s="1413">
        <v>33</v>
      </c>
      <c r="V39" s="1414">
        <v>14</v>
      </c>
      <c r="W39" s="1413"/>
      <c r="X39" s="1414"/>
      <c r="Y39" s="1413"/>
      <c r="Z39" s="1414"/>
      <c r="AA39" s="1413">
        <v>190</v>
      </c>
      <c r="AB39" s="1414">
        <v>46</v>
      </c>
      <c r="AC39" s="1413">
        <v>81</v>
      </c>
      <c r="AD39" s="1414">
        <v>20</v>
      </c>
      <c r="AE39" s="1413">
        <v>28</v>
      </c>
      <c r="AF39" s="1414">
        <v>14</v>
      </c>
      <c r="AG39" s="1413"/>
      <c r="AH39" s="1414"/>
      <c r="AI39" s="1413">
        <v>294</v>
      </c>
      <c r="AJ39" s="1414">
        <v>39</v>
      </c>
      <c r="AK39" s="1413"/>
      <c r="AL39" s="1414"/>
      <c r="AM39" s="1413"/>
      <c r="AN39" s="1414"/>
      <c r="AO39" s="1413"/>
      <c r="AP39" s="1414"/>
      <c r="AQ39" s="1413"/>
      <c r="AR39" s="1414"/>
      <c r="AS39" s="1413"/>
      <c r="AT39" s="1414"/>
      <c r="AU39" s="1413">
        <v>7</v>
      </c>
      <c r="AV39" s="1414">
        <v>7</v>
      </c>
      <c r="AW39" s="1413">
        <v>0</v>
      </c>
      <c r="AX39" s="1414">
        <v>0</v>
      </c>
    </row>
    <row r="40" spans="1:50" x14ac:dyDescent="0.3">
      <c r="A40" s="487" t="s">
        <v>76</v>
      </c>
      <c r="B40" s="488" t="s">
        <v>77</v>
      </c>
      <c r="C40" s="494" t="s">
        <v>255</v>
      </c>
      <c r="D40" s="1411">
        <v>167</v>
      </c>
      <c r="E40" s="1411">
        <v>32</v>
      </c>
      <c r="F40" s="1382">
        <f t="shared" si="0"/>
        <v>5.21875</v>
      </c>
      <c r="G40" s="1413">
        <v>57</v>
      </c>
      <c r="H40" s="1414">
        <v>2</v>
      </c>
      <c r="I40" s="1413">
        <v>1</v>
      </c>
      <c r="J40" s="1414">
        <v>1</v>
      </c>
      <c r="K40" s="1413"/>
      <c r="L40" s="1414"/>
      <c r="M40" s="1413">
        <v>26</v>
      </c>
      <c r="N40" s="1414">
        <v>4</v>
      </c>
      <c r="O40" s="1413">
        <v>1</v>
      </c>
      <c r="P40" s="1414">
        <v>1</v>
      </c>
      <c r="Q40" s="1413">
        <v>2</v>
      </c>
      <c r="R40" s="1414">
        <v>1</v>
      </c>
      <c r="S40" s="1413">
        <v>19</v>
      </c>
      <c r="T40" s="1414">
        <v>7</v>
      </c>
      <c r="U40" s="1413">
        <v>5</v>
      </c>
      <c r="V40" s="1414">
        <v>4</v>
      </c>
      <c r="W40" s="1413">
        <v>2</v>
      </c>
      <c r="X40" s="1414">
        <v>1</v>
      </c>
      <c r="Y40" s="1413"/>
      <c r="Z40" s="1414"/>
      <c r="AA40" s="1413">
        <v>46</v>
      </c>
      <c r="AB40" s="1414">
        <v>6</v>
      </c>
      <c r="AC40" s="1413">
        <v>4</v>
      </c>
      <c r="AD40" s="1414">
        <v>2</v>
      </c>
      <c r="AE40" s="1413">
        <v>3</v>
      </c>
      <c r="AF40" s="1414">
        <v>2</v>
      </c>
      <c r="AG40" s="1413"/>
      <c r="AH40" s="1414"/>
      <c r="AI40" s="1413"/>
      <c r="AJ40" s="1414"/>
      <c r="AK40" s="1413"/>
      <c r="AL40" s="1414"/>
      <c r="AM40" s="1413"/>
      <c r="AN40" s="1414"/>
      <c r="AO40" s="1413"/>
      <c r="AP40" s="1414"/>
      <c r="AQ40" s="1413"/>
      <c r="AR40" s="1414"/>
      <c r="AS40" s="1413"/>
      <c r="AT40" s="1414"/>
      <c r="AU40" s="1413">
        <v>1</v>
      </c>
      <c r="AV40" s="1414">
        <v>1</v>
      </c>
      <c r="AW40" s="1413"/>
      <c r="AX40" s="1414"/>
    </row>
    <row r="41" spans="1:50" x14ac:dyDescent="0.3">
      <c r="A41" s="487" t="s">
        <v>78</v>
      </c>
      <c r="B41" s="488" t="s">
        <v>79</v>
      </c>
      <c r="C41" s="494" t="s">
        <v>256</v>
      </c>
      <c r="D41" s="1411">
        <v>52</v>
      </c>
      <c r="E41" s="1411">
        <v>10</v>
      </c>
      <c r="F41" s="1382">
        <f t="shared" si="0"/>
        <v>5.2</v>
      </c>
      <c r="G41" s="1413">
        <v>6</v>
      </c>
      <c r="H41" s="1414">
        <v>1</v>
      </c>
      <c r="I41" s="1413"/>
      <c r="J41" s="1414"/>
      <c r="K41" s="1413"/>
      <c r="L41" s="1414"/>
      <c r="M41" s="1413">
        <v>22</v>
      </c>
      <c r="N41" s="1414">
        <v>3</v>
      </c>
      <c r="O41" s="1413"/>
      <c r="P41" s="1414"/>
      <c r="Q41" s="1413">
        <v>2</v>
      </c>
      <c r="R41" s="1414">
        <v>1</v>
      </c>
      <c r="S41" s="1413">
        <v>1</v>
      </c>
      <c r="T41" s="1414">
        <v>1</v>
      </c>
      <c r="U41" s="1413">
        <v>3</v>
      </c>
      <c r="V41" s="1414">
        <v>1</v>
      </c>
      <c r="W41" s="1413"/>
      <c r="X41" s="1414"/>
      <c r="Y41" s="1413"/>
      <c r="Z41" s="1414"/>
      <c r="AA41" s="1413">
        <v>15</v>
      </c>
      <c r="AB41" s="1414">
        <v>2</v>
      </c>
      <c r="AC41" s="1413">
        <v>1</v>
      </c>
      <c r="AD41" s="1414">
        <v>1</v>
      </c>
      <c r="AE41" s="1413"/>
      <c r="AF41" s="1414"/>
      <c r="AG41" s="1413"/>
      <c r="AH41" s="1414"/>
      <c r="AI41" s="1413"/>
      <c r="AJ41" s="1414"/>
      <c r="AK41" s="1413"/>
      <c r="AL41" s="1414"/>
      <c r="AM41" s="1413"/>
      <c r="AN41" s="1414"/>
      <c r="AO41" s="1413"/>
      <c r="AP41" s="1414"/>
      <c r="AQ41" s="1413"/>
      <c r="AR41" s="1414"/>
      <c r="AS41" s="1413"/>
      <c r="AT41" s="1414"/>
      <c r="AU41" s="1413"/>
      <c r="AV41" s="1414"/>
      <c r="AW41" s="1413">
        <v>2</v>
      </c>
      <c r="AX41" s="1414">
        <v>0</v>
      </c>
    </row>
    <row r="42" spans="1:50" x14ac:dyDescent="0.3">
      <c r="A42" s="487" t="s">
        <v>80</v>
      </c>
      <c r="B42" s="488" t="s">
        <v>81</v>
      </c>
      <c r="C42" s="494" t="s">
        <v>254</v>
      </c>
      <c r="D42" s="1411">
        <v>112</v>
      </c>
      <c r="E42" s="1411">
        <v>31</v>
      </c>
      <c r="F42" s="1382">
        <f t="shared" si="0"/>
        <v>3.6129032258064515</v>
      </c>
      <c r="G42" s="1413">
        <v>14</v>
      </c>
      <c r="H42" s="1414">
        <v>1</v>
      </c>
      <c r="I42" s="1413"/>
      <c r="J42" s="1414"/>
      <c r="K42" s="1413"/>
      <c r="L42" s="1414"/>
      <c r="M42" s="1413">
        <v>34</v>
      </c>
      <c r="N42" s="1414">
        <v>9</v>
      </c>
      <c r="O42" s="1413"/>
      <c r="P42" s="1414"/>
      <c r="Q42" s="1413">
        <v>1</v>
      </c>
      <c r="R42" s="1414">
        <v>1</v>
      </c>
      <c r="S42" s="1413">
        <v>25</v>
      </c>
      <c r="T42" s="1414">
        <v>6</v>
      </c>
      <c r="U42" s="1413">
        <v>19</v>
      </c>
      <c r="V42" s="1414">
        <v>5</v>
      </c>
      <c r="W42" s="1413">
        <v>1</v>
      </c>
      <c r="X42" s="1414">
        <v>1</v>
      </c>
      <c r="Y42" s="1413"/>
      <c r="Z42" s="1414"/>
      <c r="AA42" s="1413">
        <v>14</v>
      </c>
      <c r="AB42" s="1414">
        <v>4</v>
      </c>
      <c r="AC42" s="1413"/>
      <c r="AD42" s="1414"/>
      <c r="AE42" s="1413"/>
      <c r="AF42" s="1414"/>
      <c r="AG42" s="1413"/>
      <c r="AH42" s="1414"/>
      <c r="AI42" s="1413"/>
      <c r="AJ42" s="1414"/>
      <c r="AK42" s="1413"/>
      <c r="AL42" s="1414"/>
      <c r="AM42" s="1413"/>
      <c r="AN42" s="1414"/>
      <c r="AO42" s="1413"/>
      <c r="AP42" s="1414"/>
      <c r="AQ42" s="1413"/>
      <c r="AR42" s="1414"/>
      <c r="AS42" s="1413"/>
      <c r="AT42" s="1414"/>
      <c r="AU42" s="1413">
        <v>4</v>
      </c>
      <c r="AV42" s="1414">
        <v>4</v>
      </c>
      <c r="AW42" s="1413"/>
      <c r="AX42" s="1414"/>
    </row>
    <row r="43" spans="1:50" x14ac:dyDescent="0.3">
      <c r="A43" s="487" t="s">
        <v>82</v>
      </c>
      <c r="B43" s="488" t="s">
        <v>83</v>
      </c>
      <c r="C43" s="494" t="s">
        <v>252</v>
      </c>
      <c r="D43" s="1411">
        <v>72</v>
      </c>
      <c r="E43" s="1411">
        <v>20</v>
      </c>
      <c r="F43" s="1382">
        <f t="shared" si="0"/>
        <v>3.6</v>
      </c>
      <c r="G43" s="1413">
        <v>2</v>
      </c>
      <c r="H43" s="1414">
        <v>1</v>
      </c>
      <c r="I43" s="1413"/>
      <c r="J43" s="1414"/>
      <c r="K43" s="1413"/>
      <c r="L43" s="1414"/>
      <c r="M43" s="1413">
        <v>16</v>
      </c>
      <c r="N43" s="1414">
        <v>3</v>
      </c>
      <c r="O43" s="1413"/>
      <c r="P43" s="1414"/>
      <c r="Q43" s="1413">
        <v>3</v>
      </c>
      <c r="R43" s="1414">
        <v>2</v>
      </c>
      <c r="S43" s="1413">
        <v>13</v>
      </c>
      <c r="T43" s="1414">
        <v>3</v>
      </c>
      <c r="U43" s="1413">
        <v>1</v>
      </c>
      <c r="V43" s="1414">
        <v>1</v>
      </c>
      <c r="W43" s="1413">
        <v>1</v>
      </c>
      <c r="X43" s="1414">
        <v>1</v>
      </c>
      <c r="Y43" s="1413"/>
      <c r="Z43" s="1414"/>
      <c r="AA43" s="1413">
        <v>6</v>
      </c>
      <c r="AB43" s="1414">
        <v>2</v>
      </c>
      <c r="AC43" s="1413">
        <v>1</v>
      </c>
      <c r="AD43" s="1414">
        <v>1</v>
      </c>
      <c r="AE43" s="1413"/>
      <c r="AF43" s="1414"/>
      <c r="AG43" s="1413"/>
      <c r="AH43" s="1414"/>
      <c r="AI43" s="1413">
        <v>28</v>
      </c>
      <c r="AJ43" s="1414">
        <v>5</v>
      </c>
      <c r="AK43" s="1413"/>
      <c r="AL43" s="1414"/>
      <c r="AM43" s="1413"/>
      <c r="AN43" s="1414"/>
      <c r="AO43" s="1413">
        <v>1</v>
      </c>
      <c r="AP43" s="1414">
        <v>1</v>
      </c>
      <c r="AQ43" s="1413"/>
      <c r="AR43" s="1414"/>
      <c r="AS43" s="1413"/>
      <c r="AT43" s="1414"/>
      <c r="AU43" s="1413"/>
      <c r="AV43" s="1414"/>
      <c r="AW43" s="1413"/>
      <c r="AX43" s="1414"/>
    </row>
    <row r="44" spans="1:50" x14ac:dyDescent="0.3">
      <c r="A44" s="487" t="s">
        <v>84</v>
      </c>
      <c r="B44" s="488" t="s">
        <v>85</v>
      </c>
      <c r="C44" s="494" t="s">
        <v>253</v>
      </c>
      <c r="D44" s="1411">
        <v>290</v>
      </c>
      <c r="E44" s="1411">
        <v>41</v>
      </c>
      <c r="F44" s="1382">
        <f t="shared" si="0"/>
        <v>7.0731707317073171</v>
      </c>
      <c r="G44" s="1413">
        <v>55</v>
      </c>
      <c r="H44" s="1414">
        <v>1</v>
      </c>
      <c r="I44" s="1413"/>
      <c r="J44" s="1414"/>
      <c r="K44" s="1413"/>
      <c r="L44" s="1414"/>
      <c r="M44" s="1413">
        <v>64</v>
      </c>
      <c r="N44" s="1414">
        <v>9</v>
      </c>
      <c r="O44" s="1413">
        <v>5</v>
      </c>
      <c r="P44" s="1414">
        <v>3</v>
      </c>
      <c r="Q44" s="1413"/>
      <c r="R44" s="1414"/>
      <c r="S44" s="1413">
        <v>79</v>
      </c>
      <c r="T44" s="1414">
        <v>9</v>
      </c>
      <c r="U44" s="1413">
        <v>20</v>
      </c>
      <c r="V44" s="1414">
        <v>9</v>
      </c>
      <c r="W44" s="1413"/>
      <c r="X44" s="1414"/>
      <c r="Y44" s="1413"/>
      <c r="Z44" s="1414"/>
      <c r="AA44" s="1413">
        <v>58</v>
      </c>
      <c r="AB44" s="1414">
        <v>4</v>
      </c>
      <c r="AC44" s="1413">
        <v>1</v>
      </c>
      <c r="AD44" s="1414">
        <v>1</v>
      </c>
      <c r="AE44" s="1413">
        <v>5</v>
      </c>
      <c r="AF44" s="1414">
        <v>2</v>
      </c>
      <c r="AG44" s="1413"/>
      <c r="AH44" s="1414"/>
      <c r="AI44" s="1413">
        <v>2</v>
      </c>
      <c r="AJ44" s="1414">
        <v>2</v>
      </c>
      <c r="AK44" s="1413"/>
      <c r="AL44" s="1414"/>
      <c r="AM44" s="1413"/>
      <c r="AN44" s="1414"/>
      <c r="AO44" s="1413"/>
      <c r="AP44" s="1414"/>
      <c r="AQ44" s="1413"/>
      <c r="AR44" s="1414"/>
      <c r="AS44" s="1413"/>
      <c r="AT44" s="1414"/>
      <c r="AU44" s="1413">
        <v>1</v>
      </c>
      <c r="AV44" s="1414">
        <v>1</v>
      </c>
      <c r="AW44" s="1413"/>
      <c r="AX44" s="1414"/>
    </row>
    <row r="45" spans="1:50" x14ac:dyDescent="0.3">
      <c r="A45" s="487" t="s">
        <v>86</v>
      </c>
      <c r="B45" s="488" t="s">
        <v>87</v>
      </c>
      <c r="C45" s="494" t="s">
        <v>255</v>
      </c>
      <c r="D45" s="1411">
        <v>183</v>
      </c>
      <c r="E45" s="1411">
        <v>40</v>
      </c>
      <c r="F45" s="1382">
        <f t="shared" si="0"/>
        <v>4.5750000000000002</v>
      </c>
      <c r="G45" s="1413">
        <v>40</v>
      </c>
      <c r="H45" s="1414">
        <v>2</v>
      </c>
      <c r="I45" s="1413"/>
      <c r="J45" s="1414"/>
      <c r="K45" s="1413"/>
      <c r="L45" s="1414"/>
      <c r="M45" s="1413">
        <v>47</v>
      </c>
      <c r="N45" s="1414">
        <v>10</v>
      </c>
      <c r="O45" s="1413">
        <v>1</v>
      </c>
      <c r="P45" s="1414">
        <v>1</v>
      </c>
      <c r="Q45" s="1413">
        <v>2</v>
      </c>
      <c r="R45" s="1414">
        <v>2</v>
      </c>
      <c r="S45" s="1413">
        <v>8</v>
      </c>
      <c r="T45" s="1414">
        <v>3</v>
      </c>
      <c r="U45" s="1413">
        <v>3</v>
      </c>
      <c r="V45" s="1414">
        <v>3</v>
      </c>
      <c r="W45" s="1413">
        <v>11</v>
      </c>
      <c r="X45" s="1414">
        <v>5</v>
      </c>
      <c r="Y45" s="1413"/>
      <c r="Z45" s="1414"/>
      <c r="AA45" s="1413">
        <v>38</v>
      </c>
      <c r="AB45" s="1414">
        <v>7</v>
      </c>
      <c r="AC45" s="1413"/>
      <c r="AD45" s="1414"/>
      <c r="AE45" s="1413">
        <v>1</v>
      </c>
      <c r="AF45" s="1414">
        <v>1</v>
      </c>
      <c r="AG45" s="1413"/>
      <c r="AH45" s="1414"/>
      <c r="AI45" s="1413">
        <v>26</v>
      </c>
      <c r="AJ45" s="1414">
        <v>4</v>
      </c>
      <c r="AK45" s="1413"/>
      <c r="AL45" s="1414"/>
      <c r="AM45" s="1413"/>
      <c r="AN45" s="1414"/>
      <c r="AO45" s="1413"/>
      <c r="AP45" s="1414"/>
      <c r="AQ45" s="1413"/>
      <c r="AR45" s="1414"/>
      <c r="AS45" s="1413"/>
      <c r="AT45" s="1414"/>
      <c r="AU45" s="1413">
        <v>6</v>
      </c>
      <c r="AV45" s="1414">
        <v>2</v>
      </c>
      <c r="AW45" s="1413"/>
      <c r="AX45" s="1414"/>
    </row>
    <row r="46" spans="1:50" x14ac:dyDescent="0.3">
      <c r="A46" s="487" t="s">
        <v>88</v>
      </c>
      <c r="B46" s="488" t="s">
        <v>89</v>
      </c>
      <c r="C46" s="494" t="s">
        <v>255</v>
      </c>
      <c r="D46" s="1411">
        <v>141</v>
      </c>
      <c r="E46" s="1411">
        <v>25</v>
      </c>
      <c r="F46" s="1382">
        <f t="shared" si="0"/>
        <v>5.64</v>
      </c>
      <c r="G46" s="1413">
        <v>76</v>
      </c>
      <c r="H46" s="1414">
        <v>1</v>
      </c>
      <c r="I46" s="1413"/>
      <c r="J46" s="1414"/>
      <c r="K46" s="1413"/>
      <c r="L46" s="1414"/>
      <c r="M46" s="1413">
        <v>16</v>
      </c>
      <c r="N46" s="1414">
        <v>5</v>
      </c>
      <c r="O46" s="1413"/>
      <c r="P46" s="1414"/>
      <c r="Q46" s="1413"/>
      <c r="R46" s="1414"/>
      <c r="S46" s="1413">
        <v>4</v>
      </c>
      <c r="T46" s="1414">
        <v>4</v>
      </c>
      <c r="U46" s="1413">
        <v>2</v>
      </c>
      <c r="V46" s="1414">
        <v>1</v>
      </c>
      <c r="W46" s="1413"/>
      <c r="X46" s="1414"/>
      <c r="Y46" s="1413"/>
      <c r="Z46" s="1414"/>
      <c r="AA46" s="1413">
        <v>34</v>
      </c>
      <c r="AB46" s="1414">
        <v>7</v>
      </c>
      <c r="AC46" s="1413">
        <v>2</v>
      </c>
      <c r="AD46" s="1414">
        <v>2</v>
      </c>
      <c r="AE46" s="1413">
        <v>3</v>
      </c>
      <c r="AF46" s="1414">
        <v>2</v>
      </c>
      <c r="AG46" s="1413"/>
      <c r="AH46" s="1414"/>
      <c r="AI46" s="1413">
        <v>2</v>
      </c>
      <c r="AJ46" s="1414">
        <v>2</v>
      </c>
      <c r="AK46" s="1413"/>
      <c r="AL46" s="1414"/>
      <c r="AM46" s="1413"/>
      <c r="AN46" s="1414"/>
      <c r="AO46" s="1413"/>
      <c r="AP46" s="1414"/>
      <c r="AQ46" s="1413"/>
      <c r="AR46" s="1414"/>
      <c r="AS46" s="1413"/>
      <c r="AT46" s="1414"/>
      <c r="AU46" s="1413">
        <v>2</v>
      </c>
      <c r="AV46" s="1414">
        <v>1</v>
      </c>
      <c r="AW46" s="1413"/>
      <c r="AX46" s="1414"/>
    </row>
    <row r="47" spans="1:50" x14ac:dyDescent="0.3">
      <c r="A47" s="493" t="s">
        <v>90</v>
      </c>
      <c r="B47" s="488" t="s">
        <v>91</v>
      </c>
      <c r="C47" s="494" t="s">
        <v>256</v>
      </c>
      <c r="D47" s="1411">
        <v>33</v>
      </c>
      <c r="E47" s="1411">
        <v>7</v>
      </c>
      <c r="F47" s="1382">
        <f t="shared" si="0"/>
        <v>4.7142857142857144</v>
      </c>
      <c r="G47" s="1413">
        <v>11</v>
      </c>
      <c r="H47" s="1414">
        <v>1</v>
      </c>
      <c r="I47" s="1413"/>
      <c r="J47" s="1414"/>
      <c r="K47" s="1413"/>
      <c r="L47" s="1414"/>
      <c r="M47" s="1413">
        <v>11</v>
      </c>
      <c r="N47" s="1414">
        <v>4</v>
      </c>
      <c r="O47" s="1413"/>
      <c r="P47" s="1414"/>
      <c r="Q47" s="1413"/>
      <c r="R47" s="1414"/>
      <c r="S47" s="1413"/>
      <c r="T47" s="1414"/>
      <c r="U47" s="1413"/>
      <c r="V47" s="1414"/>
      <c r="W47" s="1413"/>
      <c r="X47" s="1414"/>
      <c r="Y47" s="1413"/>
      <c r="Z47" s="1414"/>
      <c r="AA47" s="1413">
        <v>10</v>
      </c>
      <c r="AB47" s="1414">
        <v>1</v>
      </c>
      <c r="AC47" s="1413"/>
      <c r="AD47" s="1414"/>
      <c r="AE47" s="1413"/>
      <c r="AF47" s="1414"/>
      <c r="AG47" s="1413"/>
      <c r="AH47" s="1414"/>
      <c r="AI47" s="1413">
        <v>1</v>
      </c>
      <c r="AJ47" s="1414">
        <v>1</v>
      </c>
      <c r="AK47" s="1413"/>
      <c r="AL47" s="1414"/>
      <c r="AM47" s="1413"/>
      <c r="AN47" s="1414"/>
      <c r="AO47" s="1413"/>
      <c r="AP47" s="1414"/>
      <c r="AQ47" s="1413"/>
      <c r="AR47" s="1414"/>
      <c r="AS47" s="1413"/>
      <c r="AT47" s="1414"/>
      <c r="AU47" s="1413"/>
      <c r="AV47" s="1414"/>
      <c r="AW47" s="1413"/>
      <c r="AX47" s="1414"/>
    </row>
    <row r="48" spans="1:50" x14ac:dyDescent="0.3">
      <c r="A48" s="493" t="s">
        <v>92</v>
      </c>
      <c r="B48" s="488" t="s">
        <v>93</v>
      </c>
      <c r="C48" s="494" t="s">
        <v>256</v>
      </c>
      <c r="D48" s="1411">
        <v>221</v>
      </c>
      <c r="E48" s="1411">
        <v>28</v>
      </c>
      <c r="F48" s="1382">
        <f t="shared" si="0"/>
        <v>7.8928571428571432</v>
      </c>
      <c r="G48" s="1413">
        <v>40</v>
      </c>
      <c r="H48" s="1414">
        <v>3</v>
      </c>
      <c r="I48" s="1413"/>
      <c r="J48" s="1414"/>
      <c r="K48" s="1413"/>
      <c r="L48" s="1414"/>
      <c r="M48" s="1413">
        <v>20</v>
      </c>
      <c r="N48" s="1414">
        <v>2</v>
      </c>
      <c r="O48" s="1413">
        <v>4</v>
      </c>
      <c r="P48" s="1414">
        <v>3</v>
      </c>
      <c r="Q48" s="1413">
        <v>2</v>
      </c>
      <c r="R48" s="1414">
        <v>2</v>
      </c>
      <c r="S48" s="1413">
        <v>4</v>
      </c>
      <c r="T48" s="1414">
        <v>1</v>
      </c>
      <c r="U48" s="1413"/>
      <c r="V48" s="1414"/>
      <c r="W48" s="1413">
        <v>1</v>
      </c>
      <c r="X48" s="1414">
        <v>1</v>
      </c>
      <c r="Y48" s="1413"/>
      <c r="Z48" s="1414"/>
      <c r="AA48" s="1413">
        <v>41</v>
      </c>
      <c r="AB48" s="1414">
        <v>4</v>
      </c>
      <c r="AC48" s="1413">
        <v>2</v>
      </c>
      <c r="AD48" s="1414">
        <v>2</v>
      </c>
      <c r="AE48" s="1413">
        <v>4</v>
      </c>
      <c r="AF48" s="1414">
        <v>1</v>
      </c>
      <c r="AG48" s="1413"/>
      <c r="AH48" s="1414"/>
      <c r="AI48" s="1413">
        <v>88</v>
      </c>
      <c r="AJ48" s="1414">
        <v>6</v>
      </c>
      <c r="AK48" s="1413"/>
      <c r="AL48" s="1414"/>
      <c r="AM48" s="1413"/>
      <c r="AN48" s="1414"/>
      <c r="AO48" s="1413"/>
      <c r="AP48" s="1414"/>
      <c r="AQ48" s="1413"/>
      <c r="AR48" s="1414"/>
      <c r="AS48" s="1413"/>
      <c r="AT48" s="1414"/>
      <c r="AU48" s="1413">
        <v>14</v>
      </c>
      <c r="AV48" s="1414">
        <v>3</v>
      </c>
      <c r="AW48" s="1413">
        <v>1</v>
      </c>
      <c r="AX48" s="1414">
        <v>0</v>
      </c>
    </row>
    <row r="49" spans="1:50" x14ac:dyDescent="0.3">
      <c r="A49" s="487" t="s">
        <v>94</v>
      </c>
      <c r="B49" s="488" t="s">
        <v>95</v>
      </c>
      <c r="C49" s="494" t="s">
        <v>252</v>
      </c>
      <c r="D49" s="1411">
        <v>190</v>
      </c>
      <c r="E49" s="1411">
        <v>26</v>
      </c>
      <c r="F49" s="1382">
        <f t="shared" si="0"/>
        <v>7.3076923076923075</v>
      </c>
      <c r="G49" s="1413">
        <v>33</v>
      </c>
      <c r="H49" s="1414">
        <v>2</v>
      </c>
      <c r="I49" s="1413">
        <v>1</v>
      </c>
      <c r="J49" s="1414">
        <v>1</v>
      </c>
      <c r="K49" s="1413"/>
      <c r="L49" s="1414"/>
      <c r="M49" s="1413">
        <v>27</v>
      </c>
      <c r="N49" s="1414">
        <v>5</v>
      </c>
      <c r="O49" s="1413">
        <v>2</v>
      </c>
      <c r="P49" s="1414">
        <v>2</v>
      </c>
      <c r="Q49" s="1413"/>
      <c r="R49" s="1414"/>
      <c r="S49" s="1413">
        <v>103</v>
      </c>
      <c r="T49" s="1414">
        <v>8</v>
      </c>
      <c r="U49" s="1413"/>
      <c r="V49" s="1414"/>
      <c r="W49" s="1413"/>
      <c r="X49" s="1414"/>
      <c r="Y49" s="1413"/>
      <c r="Z49" s="1414"/>
      <c r="AA49" s="1413">
        <v>18</v>
      </c>
      <c r="AB49" s="1414">
        <v>4</v>
      </c>
      <c r="AC49" s="1413">
        <v>3</v>
      </c>
      <c r="AD49" s="1414">
        <v>2</v>
      </c>
      <c r="AE49" s="1413">
        <v>2</v>
      </c>
      <c r="AF49" s="1414">
        <v>1</v>
      </c>
      <c r="AG49" s="1413"/>
      <c r="AH49" s="1414"/>
      <c r="AI49" s="1413"/>
      <c r="AJ49" s="1414"/>
      <c r="AK49" s="1413"/>
      <c r="AL49" s="1414"/>
      <c r="AM49" s="1413"/>
      <c r="AN49" s="1414"/>
      <c r="AO49" s="1413"/>
      <c r="AP49" s="1414"/>
      <c r="AQ49" s="1413"/>
      <c r="AR49" s="1414"/>
      <c r="AS49" s="1413"/>
      <c r="AT49" s="1414"/>
      <c r="AU49" s="1413">
        <v>1</v>
      </c>
      <c r="AV49" s="1414">
        <v>1</v>
      </c>
      <c r="AW49" s="1413"/>
      <c r="AX49" s="1414"/>
    </row>
    <row r="50" spans="1:50" x14ac:dyDescent="0.3">
      <c r="A50" s="487" t="s">
        <v>96</v>
      </c>
      <c r="B50" s="488" t="s">
        <v>97</v>
      </c>
      <c r="C50" s="494" t="s">
        <v>254</v>
      </c>
      <c r="D50" s="1411">
        <v>74</v>
      </c>
      <c r="E50" s="1411">
        <v>28</v>
      </c>
      <c r="F50" s="1382">
        <f t="shared" si="0"/>
        <v>2.6428571428571428</v>
      </c>
      <c r="G50" s="1413">
        <v>18</v>
      </c>
      <c r="H50" s="1414">
        <v>1</v>
      </c>
      <c r="I50" s="1413"/>
      <c r="J50" s="1414"/>
      <c r="K50" s="1413"/>
      <c r="L50" s="1414"/>
      <c r="M50" s="1413">
        <v>7</v>
      </c>
      <c r="N50" s="1414">
        <v>4</v>
      </c>
      <c r="O50" s="1413"/>
      <c r="P50" s="1414"/>
      <c r="Q50" s="1413">
        <v>2</v>
      </c>
      <c r="R50" s="1414">
        <v>2</v>
      </c>
      <c r="S50" s="1413">
        <v>12</v>
      </c>
      <c r="T50" s="1414">
        <v>6</v>
      </c>
      <c r="U50" s="1413">
        <v>12</v>
      </c>
      <c r="V50" s="1414">
        <v>6</v>
      </c>
      <c r="W50" s="1413">
        <v>1</v>
      </c>
      <c r="X50" s="1414">
        <v>1</v>
      </c>
      <c r="Y50" s="1413"/>
      <c r="Z50" s="1414"/>
      <c r="AA50" s="1413">
        <v>17</v>
      </c>
      <c r="AB50" s="1414">
        <v>5</v>
      </c>
      <c r="AC50" s="1413">
        <v>1</v>
      </c>
      <c r="AD50" s="1414">
        <v>1</v>
      </c>
      <c r="AE50" s="1413"/>
      <c r="AF50" s="1414"/>
      <c r="AG50" s="1413"/>
      <c r="AH50" s="1414"/>
      <c r="AI50" s="1413"/>
      <c r="AJ50" s="1414"/>
      <c r="AK50" s="1413"/>
      <c r="AL50" s="1414"/>
      <c r="AM50" s="1413"/>
      <c r="AN50" s="1414"/>
      <c r="AO50" s="1413"/>
      <c r="AP50" s="1414"/>
      <c r="AQ50" s="1413"/>
      <c r="AR50" s="1414"/>
      <c r="AS50" s="1413"/>
      <c r="AT50" s="1414"/>
      <c r="AU50" s="1413">
        <v>4</v>
      </c>
      <c r="AV50" s="1414">
        <v>2</v>
      </c>
      <c r="AW50" s="1413"/>
      <c r="AX50" s="1414"/>
    </row>
    <row r="51" spans="1:50" x14ac:dyDescent="0.3">
      <c r="A51" s="487" t="s">
        <v>98</v>
      </c>
      <c r="B51" s="488" t="s">
        <v>99</v>
      </c>
      <c r="C51" s="494" t="s">
        <v>256</v>
      </c>
      <c r="D51" s="1411">
        <v>91</v>
      </c>
      <c r="E51" s="1411">
        <v>16</v>
      </c>
      <c r="F51" s="1382">
        <f t="shared" si="0"/>
        <v>5.6875</v>
      </c>
      <c r="G51" s="1413">
        <v>22</v>
      </c>
      <c r="H51" s="1414">
        <v>2</v>
      </c>
      <c r="I51" s="1413"/>
      <c r="J51" s="1414"/>
      <c r="K51" s="1413"/>
      <c r="L51" s="1414"/>
      <c r="M51" s="1413">
        <v>15</v>
      </c>
      <c r="N51" s="1414">
        <v>2</v>
      </c>
      <c r="O51" s="1413"/>
      <c r="P51" s="1414"/>
      <c r="Q51" s="1413">
        <v>2</v>
      </c>
      <c r="R51" s="1414">
        <v>1</v>
      </c>
      <c r="S51" s="1413">
        <v>20</v>
      </c>
      <c r="T51" s="1414">
        <v>4</v>
      </c>
      <c r="U51" s="1413">
        <v>2</v>
      </c>
      <c r="V51" s="1414">
        <v>1</v>
      </c>
      <c r="W51" s="1413"/>
      <c r="X51" s="1414"/>
      <c r="Y51" s="1413"/>
      <c r="Z51" s="1414"/>
      <c r="AA51" s="1413">
        <v>25</v>
      </c>
      <c r="AB51" s="1414">
        <v>3</v>
      </c>
      <c r="AC51" s="1413">
        <v>1</v>
      </c>
      <c r="AD51" s="1414">
        <v>1</v>
      </c>
      <c r="AE51" s="1413"/>
      <c r="AF51" s="1414"/>
      <c r="AG51" s="1413"/>
      <c r="AH51" s="1414"/>
      <c r="AI51" s="1413">
        <v>3</v>
      </c>
      <c r="AJ51" s="1414">
        <v>1</v>
      </c>
      <c r="AK51" s="1413"/>
      <c r="AL51" s="1414"/>
      <c r="AM51" s="1413"/>
      <c r="AN51" s="1414"/>
      <c r="AO51" s="1413"/>
      <c r="AP51" s="1414"/>
      <c r="AQ51" s="1413"/>
      <c r="AR51" s="1414"/>
      <c r="AS51" s="1413"/>
      <c r="AT51" s="1414"/>
      <c r="AU51" s="1413">
        <v>1</v>
      </c>
      <c r="AV51" s="1414">
        <v>1</v>
      </c>
      <c r="AW51" s="1413"/>
      <c r="AX51" s="1414"/>
    </row>
    <row r="52" spans="1:50" x14ac:dyDescent="0.3">
      <c r="A52" s="487" t="s">
        <v>100</v>
      </c>
      <c r="B52" s="488" t="s">
        <v>101</v>
      </c>
      <c r="C52" s="494" t="s">
        <v>255</v>
      </c>
      <c r="D52" s="1411">
        <v>44</v>
      </c>
      <c r="E52" s="1411">
        <v>18</v>
      </c>
      <c r="F52" s="1382">
        <f t="shared" si="0"/>
        <v>2.4444444444444446</v>
      </c>
      <c r="G52" s="1413">
        <v>9</v>
      </c>
      <c r="H52" s="1414">
        <v>1</v>
      </c>
      <c r="I52" s="1413"/>
      <c r="J52" s="1414"/>
      <c r="K52" s="1413"/>
      <c r="L52" s="1414"/>
      <c r="M52" s="1413">
        <v>10</v>
      </c>
      <c r="N52" s="1414">
        <v>7</v>
      </c>
      <c r="O52" s="1413"/>
      <c r="P52" s="1414"/>
      <c r="Q52" s="1413">
        <v>1</v>
      </c>
      <c r="R52" s="1414">
        <v>1</v>
      </c>
      <c r="S52" s="1413">
        <v>9</v>
      </c>
      <c r="T52" s="1414">
        <v>2</v>
      </c>
      <c r="U52" s="1413">
        <v>1</v>
      </c>
      <c r="V52" s="1414">
        <v>1</v>
      </c>
      <c r="W52" s="1413"/>
      <c r="X52" s="1414"/>
      <c r="Y52" s="1413">
        <v>1</v>
      </c>
      <c r="Z52" s="1414">
        <v>1</v>
      </c>
      <c r="AA52" s="1413">
        <v>9</v>
      </c>
      <c r="AB52" s="1414">
        <v>1</v>
      </c>
      <c r="AC52" s="1413">
        <v>1</v>
      </c>
      <c r="AD52" s="1414">
        <v>1</v>
      </c>
      <c r="AE52" s="1413">
        <v>1</v>
      </c>
      <c r="AF52" s="1414">
        <v>1</v>
      </c>
      <c r="AG52" s="1413">
        <v>1</v>
      </c>
      <c r="AH52" s="1414">
        <v>1</v>
      </c>
      <c r="AI52" s="1413">
        <v>1</v>
      </c>
      <c r="AJ52" s="1414">
        <v>1</v>
      </c>
      <c r="AK52" s="1413"/>
      <c r="AL52" s="1414"/>
      <c r="AM52" s="1413"/>
      <c r="AN52" s="1414"/>
      <c r="AO52" s="1413"/>
      <c r="AP52" s="1414"/>
      <c r="AQ52" s="1413"/>
      <c r="AR52" s="1414"/>
      <c r="AS52" s="1413"/>
      <c r="AT52" s="1414"/>
      <c r="AU52" s="1413"/>
      <c r="AV52" s="1414"/>
      <c r="AW52" s="1413"/>
      <c r="AX52" s="1414"/>
    </row>
    <row r="53" spans="1:50" x14ac:dyDescent="0.3">
      <c r="A53" s="487" t="s">
        <v>102</v>
      </c>
      <c r="B53" s="488" t="s">
        <v>270</v>
      </c>
      <c r="C53" s="494" t="s">
        <v>252</v>
      </c>
      <c r="D53" s="1411">
        <v>53</v>
      </c>
      <c r="E53" s="1411">
        <v>16</v>
      </c>
      <c r="F53" s="1382">
        <f t="shared" si="0"/>
        <v>3.3125</v>
      </c>
      <c r="G53" s="1413">
        <v>6</v>
      </c>
      <c r="H53" s="1414">
        <v>1</v>
      </c>
      <c r="I53" s="1413"/>
      <c r="J53" s="1414"/>
      <c r="K53" s="1413"/>
      <c r="L53" s="1414"/>
      <c r="M53" s="1413">
        <v>23</v>
      </c>
      <c r="N53" s="1414">
        <v>5</v>
      </c>
      <c r="O53" s="1413">
        <v>4</v>
      </c>
      <c r="P53" s="1414">
        <v>2</v>
      </c>
      <c r="Q53" s="1413"/>
      <c r="R53" s="1414"/>
      <c r="S53" s="1413">
        <v>5</v>
      </c>
      <c r="T53" s="1414">
        <v>3</v>
      </c>
      <c r="U53" s="1413">
        <v>1</v>
      </c>
      <c r="V53" s="1414">
        <v>1</v>
      </c>
      <c r="W53" s="1413"/>
      <c r="X53" s="1414"/>
      <c r="Y53" s="1413"/>
      <c r="Z53" s="1414"/>
      <c r="AA53" s="1413">
        <v>9</v>
      </c>
      <c r="AB53" s="1414">
        <v>1</v>
      </c>
      <c r="AC53" s="1413">
        <v>1</v>
      </c>
      <c r="AD53" s="1414">
        <v>1</v>
      </c>
      <c r="AE53" s="1413"/>
      <c r="AF53" s="1414"/>
      <c r="AG53" s="1413"/>
      <c r="AH53" s="1414"/>
      <c r="AI53" s="1413">
        <v>4</v>
      </c>
      <c r="AJ53" s="1414">
        <v>2</v>
      </c>
      <c r="AK53" s="1413"/>
      <c r="AL53" s="1414"/>
      <c r="AM53" s="1413"/>
      <c r="AN53" s="1414"/>
      <c r="AO53" s="1413"/>
      <c r="AP53" s="1414"/>
      <c r="AQ53" s="1413"/>
      <c r="AR53" s="1414"/>
      <c r="AS53" s="1413"/>
      <c r="AT53" s="1414"/>
      <c r="AU53" s="1413"/>
      <c r="AV53" s="1414"/>
      <c r="AW53" s="1413"/>
      <c r="AX53" s="1414"/>
    </row>
    <row r="54" spans="1:50" x14ac:dyDescent="0.3">
      <c r="A54" s="487" t="s">
        <v>104</v>
      </c>
      <c r="B54" s="488" t="s">
        <v>105</v>
      </c>
      <c r="C54" s="494" t="s">
        <v>253</v>
      </c>
      <c r="D54" s="1411">
        <v>163</v>
      </c>
      <c r="E54" s="1411">
        <v>32</v>
      </c>
      <c r="F54" s="1382">
        <f t="shared" si="0"/>
        <v>5.09375</v>
      </c>
      <c r="G54" s="1413">
        <v>25</v>
      </c>
      <c r="H54" s="1414">
        <v>2</v>
      </c>
      <c r="I54" s="1413"/>
      <c r="J54" s="1414"/>
      <c r="K54" s="1413"/>
      <c r="L54" s="1414"/>
      <c r="M54" s="1413">
        <v>45</v>
      </c>
      <c r="N54" s="1414">
        <v>5</v>
      </c>
      <c r="O54" s="1413">
        <v>6</v>
      </c>
      <c r="P54" s="1414">
        <v>3</v>
      </c>
      <c r="Q54" s="1413">
        <v>1</v>
      </c>
      <c r="R54" s="1414">
        <v>1</v>
      </c>
      <c r="S54" s="1413">
        <v>24</v>
      </c>
      <c r="T54" s="1414">
        <v>5</v>
      </c>
      <c r="U54" s="1413">
        <v>25</v>
      </c>
      <c r="V54" s="1414">
        <v>5</v>
      </c>
      <c r="W54" s="1413"/>
      <c r="X54" s="1414"/>
      <c r="Y54" s="1413"/>
      <c r="Z54" s="1414"/>
      <c r="AA54" s="1413">
        <v>19</v>
      </c>
      <c r="AB54" s="1414">
        <v>3</v>
      </c>
      <c r="AC54" s="1413"/>
      <c r="AD54" s="1414"/>
      <c r="AE54" s="1413"/>
      <c r="AF54" s="1414"/>
      <c r="AG54" s="1413"/>
      <c r="AH54" s="1414"/>
      <c r="AI54" s="1413">
        <v>5</v>
      </c>
      <c r="AJ54" s="1414">
        <v>3</v>
      </c>
      <c r="AK54" s="1413"/>
      <c r="AL54" s="1414"/>
      <c r="AM54" s="1413"/>
      <c r="AN54" s="1414"/>
      <c r="AO54" s="1413"/>
      <c r="AP54" s="1414"/>
      <c r="AQ54" s="1413"/>
      <c r="AR54" s="1414"/>
      <c r="AS54" s="1413"/>
      <c r="AT54" s="1414"/>
      <c r="AU54" s="1413">
        <v>12</v>
      </c>
      <c r="AV54" s="1414">
        <v>5</v>
      </c>
      <c r="AW54" s="1413">
        <v>1</v>
      </c>
      <c r="AX54" s="1414">
        <v>0</v>
      </c>
    </row>
    <row r="55" spans="1:50" x14ac:dyDescent="0.3">
      <c r="A55" s="487" t="s">
        <v>106</v>
      </c>
      <c r="B55" s="488" t="s">
        <v>107</v>
      </c>
      <c r="C55" s="494" t="s">
        <v>252</v>
      </c>
      <c r="D55" s="1411">
        <v>438</v>
      </c>
      <c r="E55" s="1411">
        <v>80</v>
      </c>
      <c r="F55" s="1382">
        <f t="shared" si="0"/>
        <v>5.4749999999999996</v>
      </c>
      <c r="G55" s="1413">
        <v>115</v>
      </c>
      <c r="H55" s="1414">
        <v>4</v>
      </c>
      <c r="I55" s="1413"/>
      <c r="J55" s="1414"/>
      <c r="K55" s="1413"/>
      <c r="L55" s="1414"/>
      <c r="M55" s="1413">
        <v>94</v>
      </c>
      <c r="N55" s="1414">
        <v>16</v>
      </c>
      <c r="O55" s="1413">
        <v>3</v>
      </c>
      <c r="P55" s="1414">
        <v>3</v>
      </c>
      <c r="Q55" s="1413">
        <v>15</v>
      </c>
      <c r="R55" s="1414">
        <v>9</v>
      </c>
      <c r="S55" s="1413">
        <v>48</v>
      </c>
      <c r="T55" s="1414">
        <v>12</v>
      </c>
      <c r="U55" s="1413">
        <v>34</v>
      </c>
      <c r="V55" s="1414">
        <v>11</v>
      </c>
      <c r="W55" s="1413">
        <v>4</v>
      </c>
      <c r="X55" s="1414">
        <v>4</v>
      </c>
      <c r="Y55" s="1413"/>
      <c r="Z55" s="1414"/>
      <c r="AA55" s="1413">
        <v>71</v>
      </c>
      <c r="AB55" s="1414">
        <v>8</v>
      </c>
      <c r="AC55" s="1413">
        <v>39</v>
      </c>
      <c r="AD55" s="1414">
        <v>3</v>
      </c>
      <c r="AE55" s="1413"/>
      <c r="AF55" s="1414"/>
      <c r="AG55" s="1413"/>
      <c r="AH55" s="1414"/>
      <c r="AI55" s="1413">
        <v>2</v>
      </c>
      <c r="AJ55" s="1414">
        <v>2</v>
      </c>
      <c r="AK55" s="1413"/>
      <c r="AL55" s="1414"/>
      <c r="AM55" s="1413"/>
      <c r="AN55" s="1414"/>
      <c r="AO55" s="1413"/>
      <c r="AP55" s="1414"/>
      <c r="AQ55" s="1413"/>
      <c r="AR55" s="1414"/>
      <c r="AS55" s="1413"/>
      <c r="AT55" s="1414"/>
      <c r="AU55" s="1413">
        <v>13</v>
      </c>
      <c r="AV55" s="1414">
        <v>8</v>
      </c>
      <c r="AW55" s="1413"/>
      <c r="AX55" s="1414"/>
    </row>
    <row r="56" spans="1:50" x14ac:dyDescent="0.3">
      <c r="A56" s="487" t="s">
        <v>108</v>
      </c>
      <c r="B56" s="488" t="s">
        <v>109</v>
      </c>
      <c r="C56" s="494" t="s">
        <v>254</v>
      </c>
      <c r="D56" s="1411">
        <v>110</v>
      </c>
      <c r="E56" s="1411">
        <v>25</v>
      </c>
      <c r="F56" s="1382">
        <f t="shared" si="0"/>
        <v>4.4000000000000004</v>
      </c>
      <c r="G56" s="1413">
        <v>37</v>
      </c>
      <c r="H56" s="1414">
        <v>3</v>
      </c>
      <c r="I56" s="1413"/>
      <c r="J56" s="1414"/>
      <c r="K56" s="1413"/>
      <c r="L56" s="1414"/>
      <c r="M56" s="1413">
        <v>28</v>
      </c>
      <c r="N56" s="1414">
        <v>7</v>
      </c>
      <c r="O56" s="1413">
        <v>2</v>
      </c>
      <c r="P56" s="1414">
        <v>2</v>
      </c>
      <c r="Q56" s="1413"/>
      <c r="R56" s="1414"/>
      <c r="S56" s="1413">
        <v>8</v>
      </c>
      <c r="T56" s="1414">
        <v>3</v>
      </c>
      <c r="U56" s="1413">
        <v>1</v>
      </c>
      <c r="V56" s="1414">
        <v>1</v>
      </c>
      <c r="W56" s="1413"/>
      <c r="X56" s="1414"/>
      <c r="Y56" s="1413"/>
      <c r="Z56" s="1414"/>
      <c r="AA56" s="1413">
        <v>22</v>
      </c>
      <c r="AB56" s="1414">
        <v>4</v>
      </c>
      <c r="AC56" s="1413">
        <v>9</v>
      </c>
      <c r="AD56" s="1414">
        <v>2</v>
      </c>
      <c r="AE56" s="1413"/>
      <c r="AF56" s="1414"/>
      <c r="AG56" s="1413"/>
      <c r="AH56" s="1414"/>
      <c r="AI56" s="1413">
        <v>3</v>
      </c>
      <c r="AJ56" s="1414">
        <v>3</v>
      </c>
      <c r="AK56" s="1413"/>
      <c r="AL56" s="1414"/>
      <c r="AM56" s="1413"/>
      <c r="AN56" s="1414"/>
      <c r="AO56" s="1413"/>
      <c r="AP56" s="1414"/>
      <c r="AQ56" s="1413"/>
      <c r="AR56" s="1414"/>
      <c r="AS56" s="1413"/>
      <c r="AT56" s="1414"/>
      <c r="AU56" s="1413"/>
      <c r="AV56" s="1414"/>
      <c r="AW56" s="1413"/>
      <c r="AX56" s="1414"/>
    </row>
    <row r="57" spans="1:50" x14ac:dyDescent="0.3">
      <c r="A57" s="487" t="s">
        <v>110</v>
      </c>
      <c r="B57" s="488" t="s">
        <v>111</v>
      </c>
      <c r="C57" s="494" t="s">
        <v>254</v>
      </c>
      <c r="D57" s="1411">
        <v>575</v>
      </c>
      <c r="E57" s="1411">
        <v>64</v>
      </c>
      <c r="F57" s="1382">
        <f t="shared" si="0"/>
        <v>8.984375</v>
      </c>
      <c r="G57" s="1413">
        <v>113</v>
      </c>
      <c r="H57" s="1414">
        <v>5</v>
      </c>
      <c r="I57" s="1413">
        <v>1</v>
      </c>
      <c r="J57" s="1414">
        <v>1</v>
      </c>
      <c r="K57" s="1413"/>
      <c r="L57" s="1414"/>
      <c r="M57" s="1413">
        <v>165</v>
      </c>
      <c r="N57" s="1414">
        <v>13</v>
      </c>
      <c r="O57" s="1413">
        <v>2</v>
      </c>
      <c r="P57" s="1414">
        <v>2</v>
      </c>
      <c r="Q57" s="1413">
        <v>1</v>
      </c>
      <c r="R57" s="1414">
        <v>1</v>
      </c>
      <c r="S57" s="1413">
        <v>169</v>
      </c>
      <c r="T57" s="1414">
        <v>13</v>
      </c>
      <c r="U57" s="1413">
        <v>4</v>
      </c>
      <c r="V57" s="1414">
        <v>4</v>
      </c>
      <c r="W57" s="1413">
        <v>3</v>
      </c>
      <c r="X57" s="1414">
        <v>3</v>
      </c>
      <c r="Y57" s="1413">
        <v>2</v>
      </c>
      <c r="Z57" s="1414">
        <v>2</v>
      </c>
      <c r="AA57" s="1413">
        <v>93</v>
      </c>
      <c r="AB57" s="1414">
        <v>9</v>
      </c>
      <c r="AC57" s="1413">
        <v>8</v>
      </c>
      <c r="AD57" s="1414">
        <v>3</v>
      </c>
      <c r="AE57" s="1413">
        <v>2</v>
      </c>
      <c r="AF57" s="1414">
        <v>1</v>
      </c>
      <c r="AG57" s="1413">
        <v>6</v>
      </c>
      <c r="AH57" s="1414">
        <v>2</v>
      </c>
      <c r="AI57" s="1413">
        <v>2</v>
      </c>
      <c r="AJ57" s="1414">
        <v>1</v>
      </c>
      <c r="AK57" s="1413"/>
      <c r="AL57" s="1414"/>
      <c r="AM57" s="1413"/>
      <c r="AN57" s="1414"/>
      <c r="AO57" s="1413"/>
      <c r="AP57" s="1414"/>
      <c r="AQ57" s="1413"/>
      <c r="AR57" s="1414"/>
      <c r="AS57" s="1413"/>
      <c r="AT57" s="1414"/>
      <c r="AU57" s="1413">
        <v>4</v>
      </c>
      <c r="AV57" s="1414">
        <v>4</v>
      </c>
      <c r="AW57" s="1413"/>
      <c r="AX57" s="1414"/>
    </row>
    <row r="58" spans="1:50" x14ac:dyDescent="0.3">
      <c r="A58" s="487" t="s">
        <v>112</v>
      </c>
      <c r="B58" s="488" t="s">
        <v>113</v>
      </c>
      <c r="C58" s="494" t="s">
        <v>253</v>
      </c>
      <c r="D58" s="1411">
        <v>909</v>
      </c>
      <c r="E58" s="1411">
        <v>94</v>
      </c>
      <c r="F58" s="1382">
        <f t="shared" si="0"/>
        <v>9.6702127659574462</v>
      </c>
      <c r="G58" s="1413">
        <v>45</v>
      </c>
      <c r="H58" s="1414">
        <v>6</v>
      </c>
      <c r="I58" s="1413"/>
      <c r="J58" s="1414"/>
      <c r="K58" s="1413"/>
      <c r="L58" s="1414"/>
      <c r="M58" s="1413">
        <v>108</v>
      </c>
      <c r="N58" s="1414">
        <v>19</v>
      </c>
      <c r="O58" s="1413">
        <v>4</v>
      </c>
      <c r="P58" s="1414">
        <v>3</v>
      </c>
      <c r="Q58" s="1413">
        <v>2</v>
      </c>
      <c r="R58" s="1414">
        <v>2</v>
      </c>
      <c r="S58" s="1413">
        <v>81</v>
      </c>
      <c r="T58" s="1414">
        <v>17</v>
      </c>
      <c r="U58" s="1413">
        <v>26</v>
      </c>
      <c r="V58" s="1414">
        <v>10</v>
      </c>
      <c r="W58" s="1413">
        <v>6</v>
      </c>
      <c r="X58" s="1414">
        <v>5</v>
      </c>
      <c r="Y58" s="1413"/>
      <c r="Z58" s="1414"/>
      <c r="AA58" s="1413">
        <v>47</v>
      </c>
      <c r="AB58" s="1414">
        <v>13</v>
      </c>
      <c r="AC58" s="1413">
        <v>5</v>
      </c>
      <c r="AD58" s="1414">
        <v>3</v>
      </c>
      <c r="AE58" s="1413">
        <v>4</v>
      </c>
      <c r="AF58" s="1414">
        <v>3</v>
      </c>
      <c r="AG58" s="1413"/>
      <c r="AH58" s="1414"/>
      <c r="AI58" s="1413">
        <v>581</v>
      </c>
      <c r="AJ58" s="1414">
        <v>13</v>
      </c>
      <c r="AK58" s="1413"/>
      <c r="AL58" s="1414"/>
      <c r="AM58" s="1413"/>
      <c r="AN58" s="1414"/>
      <c r="AO58" s="1413"/>
      <c r="AP58" s="1414"/>
      <c r="AQ58" s="1413"/>
      <c r="AR58" s="1414"/>
      <c r="AS58" s="1413"/>
      <c r="AT58" s="1414"/>
      <c r="AU58" s="1413"/>
      <c r="AV58" s="1414"/>
      <c r="AW58" s="1413"/>
      <c r="AX58" s="1414"/>
    </row>
    <row r="59" spans="1:50" x14ac:dyDescent="0.3">
      <c r="A59" s="493" t="s">
        <v>114</v>
      </c>
      <c r="B59" s="488" t="s">
        <v>115</v>
      </c>
      <c r="C59" s="494" t="s">
        <v>253</v>
      </c>
      <c r="D59" s="1411">
        <v>19</v>
      </c>
      <c r="E59" s="1411">
        <v>5</v>
      </c>
      <c r="F59" s="1382">
        <f t="shared" si="0"/>
        <v>3.8</v>
      </c>
      <c r="G59" s="1413">
        <v>5</v>
      </c>
      <c r="H59" s="1414">
        <v>1</v>
      </c>
      <c r="I59" s="1413"/>
      <c r="J59" s="1414"/>
      <c r="K59" s="1413"/>
      <c r="L59" s="1414"/>
      <c r="M59" s="1413">
        <v>6</v>
      </c>
      <c r="N59" s="1414">
        <v>1</v>
      </c>
      <c r="O59" s="1413"/>
      <c r="P59" s="1414"/>
      <c r="Q59" s="1413">
        <v>2</v>
      </c>
      <c r="R59" s="1414">
        <v>1</v>
      </c>
      <c r="S59" s="1413"/>
      <c r="T59" s="1414"/>
      <c r="U59" s="1413"/>
      <c r="V59" s="1414"/>
      <c r="W59" s="1413"/>
      <c r="X59" s="1414"/>
      <c r="Y59" s="1413"/>
      <c r="Z59" s="1414"/>
      <c r="AA59" s="1413">
        <v>3</v>
      </c>
      <c r="AB59" s="1414">
        <v>1</v>
      </c>
      <c r="AC59" s="1413"/>
      <c r="AD59" s="1414"/>
      <c r="AE59" s="1413"/>
      <c r="AF59" s="1414"/>
      <c r="AG59" s="1413"/>
      <c r="AH59" s="1414"/>
      <c r="AI59" s="1413">
        <v>3</v>
      </c>
      <c r="AJ59" s="1414">
        <v>1</v>
      </c>
      <c r="AK59" s="1413"/>
      <c r="AL59" s="1414"/>
      <c r="AM59" s="1413"/>
      <c r="AN59" s="1414"/>
      <c r="AO59" s="1413"/>
      <c r="AP59" s="1414"/>
      <c r="AQ59" s="1413"/>
      <c r="AR59" s="1414"/>
      <c r="AS59" s="1413"/>
      <c r="AT59" s="1414"/>
      <c r="AU59" s="1413"/>
      <c r="AV59" s="1414"/>
      <c r="AW59" s="1413"/>
      <c r="AX59" s="1414"/>
    </row>
    <row r="60" spans="1:50" x14ac:dyDescent="0.3">
      <c r="A60" s="487" t="s">
        <v>116</v>
      </c>
      <c r="B60" s="488" t="s">
        <v>117</v>
      </c>
      <c r="C60" s="494" t="s">
        <v>254</v>
      </c>
      <c r="D60" s="1411">
        <v>119</v>
      </c>
      <c r="E60" s="1411">
        <v>34</v>
      </c>
      <c r="F60" s="1382">
        <f t="shared" si="0"/>
        <v>3.5</v>
      </c>
      <c r="G60" s="1413">
        <v>33</v>
      </c>
      <c r="H60" s="1414">
        <v>3</v>
      </c>
      <c r="I60" s="1413"/>
      <c r="J60" s="1414"/>
      <c r="K60" s="1413"/>
      <c r="L60" s="1414"/>
      <c r="M60" s="1413">
        <v>29</v>
      </c>
      <c r="N60" s="1414">
        <v>3</v>
      </c>
      <c r="O60" s="1413"/>
      <c r="P60" s="1414"/>
      <c r="Q60" s="1413">
        <v>5</v>
      </c>
      <c r="R60" s="1414">
        <v>5</v>
      </c>
      <c r="S60" s="1413">
        <v>5</v>
      </c>
      <c r="T60" s="1414">
        <v>3</v>
      </c>
      <c r="U60" s="1413">
        <v>15</v>
      </c>
      <c r="V60" s="1414">
        <v>6</v>
      </c>
      <c r="W60" s="1413">
        <v>2</v>
      </c>
      <c r="X60" s="1414">
        <v>2</v>
      </c>
      <c r="Y60" s="1413"/>
      <c r="Z60" s="1414"/>
      <c r="AA60" s="1413">
        <v>14</v>
      </c>
      <c r="AB60" s="1414">
        <v>3</v>
      </c>
      <c r="AC60" s="1413">
        <v>4</v>
      </c>
      <c r="AD60" s="1414">
        <v>2</v>
      </c>
      <c r="AE60" s="1413">
        <v>5</v>
      </c>
      <c r="AF60" s="1414">
        <v>3</v>
      </c>
      <c r="AG60" s="1413">
        <v>3</v>
      </c>
      <c r="AH60" s="1414">
        <v>2</v>
      </c>
      <c r="AI60" s="1413">
        <v>3</v>
      </c>
      <c r="AJ60" s="1414">
        <v>1</v>
      </c>
      <c r="AK60" s="1413"/>
      <c r="AL60" s="1414"/>
      <c r="AM60" s="1413"/>
      <c r="AN60" s="1414"/>
      <c r="AO60" s="1413"/>
      <c r="AP60" s="1414"/>
      <c r="AQ60" s="1413"/>
      <c r="AR60" s="1414"/>
      <c r="AS60" s="1413"/>
      <c r="AT60" s="1414"/>
      <c r="AU60" s="1413">
        <v>1</v>
      </c>
      <c r="AV60" s="1414">
        <v>1</v>
      </c>
      <c r="AW60" s="1413"/>
      <c r="AX60" s="1414"/>
    </row>
    <row r="61" spans="1:50" x14ac:dyDescent="0.3">
      <c r="A61" s="487" t="s">
        <v>118</v>
      </c>
      <c r="B61" s="488" t="s">
        <v>119</v>
      </c>
      <c r="C61" s="494" t="s">
        <v>252</v>
      </c>
      <c r="D61" s="1411">
        <v>325</v>
      </c>
      <c r="E61" s="1411">
        <v>26</v>
      </c>
      <c r="F61" s="1382">
        <f t="shared" si="0"/>
        <v>12.5</v>
      </c>
      <c r="G61" s="1413">
        <v>12</v>
      </c>
      <c r="H61" s="1414">
        <v>3</v>
      </c>
      <c r="I61" s="1413"/>
      <c r="J61" s="1414"/>
      <c r="K61" s="1413"/>
      <c r="L61" s="1414"/>
      <c r="M61" s="1413">
        <v>42</v>
      </c>
      <c r="N61" s="1414">
        <v>4</v>
      </c>
      <c r="O61" s="1413"/>
      <c r="P61" s="1414"/>
      <c r="Q61" s="1413">
        <v>3</v>
      </c>
      <c r="R61" s="1414">
        <v>3</v>
      </c>
      <c r="S61" s="1413">
        <v>24</v>
      </c>
      <c r="T61" s="1414">
        <v>4</v>
      </c>
      <c r="U61" s="1413">
        <v>9</v>
      </c>
      <c r="V61" s="1414">
        <v>2</v>
      </c>
      <c r="W61" s="1413">
        <v>1</v>
      </c>
      <c r="X61" s="1414">
        <v>1</v>
      </c>
      <c r="Y61" s="1413"/>
      <c r="Z61" s="1414"/>
      <c r="AA61" s="1413">
        <v>6</v>
      </c>
      <c r="AB61" s="1414">
        <v>3</v>
      </c>
      <c r="AC61" s="1413">
        <v>6</v>
      </c>
      <c r="AD61" s="1414">
        <v>2</v>
      </c>
      <c r="AE61" s="1413"/>
      <c r="AF61" s="1414"/>
      <c r="AG61" s="1413"/>
      <c r="AH61" s="1414"/>
      <c r="AI61" s="1413">
        <v>217</v>
      </c>
      <c r="AJ61" s="1414">
        <v>2</v>
      </c>
      <c r="AK61" s="1413"/>
      <c r="AL61" s="1414"/>
      <c r="AM61" s="1413"/>
      <c r="AN61" s="1414"/>
      <c r="AO61" s="1413"/>
      <c r="AP61" s="1414"/>
      <c r="AQ61" s="1413"/>
      <c r="AR61" s="1414"/>
      <c r="AS61" s="1413"/>
      <c r="AT61" s="1414"/>
      <c r="AU61" s="1413">
        <v>5</v>
      </c>
      <c r="AV61" s="1414">
        <v>2</v>
      </c>
      <c r="AW61" s="1413"/>
      <c r="AX61" s="1414"/>
    </row>
    <row r="62" spans="1:50" x14ac:dyDescent="0.3">
      <c r="A62" s="487" t="s">
        <v>120</v>
      </c>
      <c r="B62" s="488" t="s">
        <v>121</v>
      </c>
      <c r="C62" s="494" t="s">
        <v>252</v>
      </c>
      <c r="D62" s="1411">
        <v>139</v>
      </c>
      <c r="E62" s="1411">
        <v>33</v>
      </c>
      <c r="F62" s="1382">
        <f t="shared" si="0"/>
        <v>4.2121212121212119</v>
      </c>
      <c r="G62" s="1413">
        <v>37</v>
      </c>
      <c r="H62" s="1414">
        <v>3</v>
      </c>
      <c r="I62" s="1413"/>
      <c r="J62" s="1414"/>
      <c r="K62" s="1413"/>
      <c r="L62" s="1414"/>
      <c r="M62" s="1413">
        <v>38</v>
      </c>
      <c r="N62" s="1414">
        <v>9</v>
      </c>
      <c r="O62" s="1413"/>
      <c r="P62" s="1414"/>
      <c r="Q62" s="1413">
        <v>8</v>
      </c>
      <c r="R62" s="1414">
        <v>4</v>
      </c>
      <c r="S62" s="1413">
        <v>3</v>
      </c>
      <c r="T62" s="1414">
        <v>2</v>
      </c>
      <c r="U62" s="1413">
        <v>28</v>
      </c>
      <c r="V62" s="1414">
        <v>3</v>
      </c>
      <c r="W62" s="1413">
        <v>6</v>
      </c>
      <c r="X62" s="1414">
        <v>3</v>
      </c>
      <c r="Y62" s="1413"/>
      <c r="Z62" s="1414"/>
      <c r="AA62" s="1413">
        <v>13</v>
      </c>
      <c r="AB62" s="1414">
        <v>5</v>
      </c>
      <c r="AC62" s="1413">
        <v>5</v>
      </c>
      <c r="AD62" s="1414">
        <v>3</v>
      </c>
      <c r="AE62" s="1413"/>
      <c r="AF62" s="1414"/>
      <c r="AG62" s="1413"/>
      <c r="AH62" s="1414"/>
      <c r="AI62" s="1413"/>
      <c r="AJ62" s="1414"/>
      <c r="AK62" s="1413"/>
      <c r="AL62" s="1414"/>
      <c r="AM62" s="1413"/>
      <c r="AN62" s="1414"/>
      <c r="AO62" s="1413"/>
      <c r="AP62" s="1414"/>
      <c r="AQ62" s="1413"/>
      <c r="AR62" s="1414"/>
      <c r="AS62" s="1413"/>
      <c r="AT62" s="1414"/>
      <c r="AU62" s="1413">
        <v>1</v>
      </c>
      <c r="AV62" s="1414">
        <v>1</v>
      </c>
      <c r="AW62" s="1413"/>
      <c r="AX62" s="1414"/>
    </row>
    <row r="63" spans="1:50" x14ac:dyDescent="0.3">
      <c r="A63" s="487" t="s">
        <v>122</v>
      </c>
      <c r="B63" s="488" t="s">
        <v>123</v>
      </c>
      <c r="C63" s="494" t="s">
        <v>254</v>
      </c>
      <c r="D63" s="1411">
        <v>42</v>
      </c>
      <c r="E63" s="1411">
        <v>14</v>
      </c>
      <c r="F63" s="1382">
        <f t="shared" si="0"/>
        <v>3</v>
      </c>
      <c r="G63" s="1413">
        <v>10</v>
      </c>
      <c r="H63" s="1414">
        <v>2</v>
      </c>
      <c r="I63" s="1413"/>
      <c r="J63" s="1414"/>
      <c r="K63" s="1413"/>
      <c r="L63" s="1414"/>
      <c r="M63" s="1413">
        <v>18</v>
      </c>
      <c r="N63" s="1414">
        <v>5</v>
      </c>
      <c r="O63" s="1413"/>
      <c r="P63" s="1414"/>
      <c r="Q63" s="1413"/>
      <c r="R63" s="1414"/>
      <c r="S63" s="1413">
        <v>6</v>
      </c>
      <c r="T63" s="1414">
        <v>2</v>
      </c>
      <c r="U63" s="1413">
        <v>6</v>
      </c>
      <c r="V63" s="1414">
        <v>4</v>
      </c>
      <c r="W63" s="1413"/>
      <c r="X63" s="1414"/>
      <c r="Y63" s="1413"/>
      <c r="Z63" s="1414"/>
      <c r="AA63" s="1413">
        <v>2</v>
      </c>
      <c r="AB63" s="1414">
        <v>1</v>
      </c>
      <c r="AC63" s="1413"/>
      <c r="AD63" s="1414"/>
      <c r="AE63" s="1413"/>
      <c r="AF63" s="1414"/>
      <c r="AG63" s="1413"/>
      <c r="AH63" s="1414"/>
      <c r="AI63" s="1413"/>
      <c r="AJ63" s="1414"/>
      <c r="AK63" s="1413"/>
      <c r="AL63" s="1414"/>
      <c r="AM63" s="1413"/>
      <c r="AN63" s="1414"/>
      <c r="AO63" s="1413"/>
      <c r="AP63" s="1414"/>
      <c r="AQ63" s="1413"/>
      <c r="AR63" s="1414"/>
      <c r="AS63" s="1413"/>
      <c r="AT63" s="1414"/>
      <c r="AU63" s="1413"/>
      <c r="AV63" s="1414"/>
      <c r="AW63" s="1413"/>
      <c r="AX63" s="1414"/>
    </row>
    <row r="64" spans="1:50" x14ac:dyDescent="0.3">
      <c r="A64" s="487" t="s">
        <v>124</v>
      </c>
      <c r="B64" s="488" t="s">
        <v>125</v>
      </c>
      <c r="C64" s="494" t="s">
        <v>255</v>
      </c>
      <c r="D64" s="1411">
        <v>81</v>
      </c>
      <c r="E64" s="1411">
        <v>13</v>
      </c>
      <c r="F64" s="1382">
        <f t="shared" si="0"/>
        <v>6.2307692307692308</v>
      </c>
      <c r="G64" s="1413">
        <v>10</v>
      </c>
      <c r="H64" s="1414">
        <v>1</v>
      </c>
      <c r="I64" s="1413"/>
      <c r="J64" s="1414"/>
      <c r="K64" s="1413"/>
      <c r="L64" s="1414"/>
      <c r="M64" s="1413">
        <v>41</v>
      </c>
      <c r="N64" s="1414">
        <v>3</v>
      </c>
      <c r="O64" s="1413"/>
      <c r="P64" s="1414"/>
      <c r="Q64" s="1413">
        <v>4</v>
      </c>
      <c r="R64" s="1414">
        <v>1</v>
      </c>
      <c r="S64" s="1413">
        <v>4</v>
      </c>
      <c r="T64" s="1414">
        <v>2</v>
      </c>
      <c r="U64" s="1413">
        <v>5</v>
      </c>
      <c r="V64" s="1414">
        <v>1</v>
      </c>
      <c r="W64" s="1413"/>
      <c r="X64" s="1414"/>
      <c r="Y64" s="1413"/>
      <c r="Z64" s="1414"/>
      <c r="AA64" s="1413">
        <v>13</v>
      </c>
      <c r="AB64" s="1414">
        <v>2</v>
      </c>
      <c r="AC64" s="1413"/>
      <c r="AD64" s="1414"/>
      <c r="AE64" s="1413">
        <v>2</v>
      </c>
      <c r="AF64" s="1414">
        <v>1</v>
      </c>
      <c r="AG64" s="1413"/>
      <c r="AH64" s="1414"/>
      <c r="AI64" s="1413"/>
      <c r="AJ64" s="1414"/>
      <c r="AK64" s="1413"/>
      <c r="AL64" s="1414"/>
      <c r="AM64" s="1413"/>
      <c r="AN64" s="1414"/>
      <c r="AO64" s="1413"/>
      <c r="AP64" s="1414"/>
      <c r="AQ64" s="1413"/>
      <c r="AR64" s="1414"/>
      <c r="AS64" s="1413">
        <v>1</v>
      </c>
      <c r="AT64" s="1414">
        <v>1</v>
      </c>
      <c r="AU64" s="1413">
        <v>1</v>
      </c>
      <c r="AV64" s="1414">
        <v>1</v>
      </c>
      <c r="AW64" s="1413"/>
      <c r="AX64" s="1414"/>
    </row>
    <row r="65" spans="1:50" x14ac:dyDescent="0.3">
      <c r="A65" s="487" t="s">
        <v>126</v>
      </c>
      <c r="B65" s="488" t="s">
        <v>127</v>
      </c>
      <c r="C65" s="494" t="s">
        <v>254</v>
      </c>
      <c r="D65" s="1411">
        <v>28</v>
      </c>
      <c r="E65" s="1411">
        <v>15</v>
      </c>
      <c r="F65" s="1382">
        <f t="shared" si="0"/>
        <v>1.8666666666666667</v>
      </c>
      <c r="G65" s="1413">
        <v>7</v>
      </c>
      <c r="H65" s="1414">
        <v>2</v>
      </c>
      <c r="I65" s="1413"/>
      <c r="J65" s="1414"/>
      <c r="K65" s="1413"/>
      <c r="L65" s="1414"/>
      <c r="M65" s="1413">
        <v>6</v>
      </c>
      <c r="N65" s="1414">
        <v>3</v>
      </c>
      <c r="O65" s="1413"/>
      <c r="P65" s="1414"/>
      <c r="Q65" s="1413"/>
      <c r="R65" s="1414"/>
      <c r="S65" s="1413">
        <v>1</v>
      </c>
      <c r="T65" s="1414">
        <v>1</v>
      </c>
      <c r="U65" s="1413">
        <v>3</v>
      </c>
      <c r="V65" s="1414">
        <v>3</v>
      </c>
      <c r="W65" s="1413"/>
      <c r="X65" s="1414"/>
      <c r="Y65" s="1413"/>
      <c r="Z65" s="1414"/>
      <c r="AA65" s="1413">
        <v>7</v>
      </c>
      <c r="AB65" s="1414">
        <v>4</v>
      </c>
      <c r="AC65" s="1413">
        <v>3</v>
      </c>
      <c r="AD65" s="1414">
        <v>1</v>
      </c>
      <c r="AE65" s="1413"/>
      <c r="AF65" s="1414"/>
      <c r="AG65" s="1413"/>
      <c r="AH65" s="1414"/>
      <c r="AI65" s="1413"/>
      <c r="AJ65" s="1414"/>
      <c r="AK65" s="1413"/>
      <c r="AL65" s="1414"/>
      <c r="AM65" s="1413"/>
      <c r="AN65" s="1414"/>
      <c r="AO65" s="1413"/>
      <c r="AP65" s="1414"/>
      <c r="AQ65" s="1413"/>
      <c r="AR65" s="1414"/>
      <c r="AS65" s="1413"/>
      <c r="AT65" s="1414"/>
      <c r="AU65" s="1413">
        <v>1</v>
      </c>
      <c r="AV65" s="1414">
        <v>1</v>
      </c>
      <c r="AW65" s="1413"/>
      <c r="AX65" s="1414"/>
    </row>
    <row r="66" spans="1:50" x14ac:dyDescent="0.3">
      <c r="A66" s="487" t="s">
        <v>128</v>
      </c>
      <c r="B66" s="488" t="s">
        <v>129</v>
      </c>
      <c r="C66" s="494" t="s">
        <v>254</v>
      </c>
      <c r="D66" s="1411">
        <v>43</v>
      </c>
      <c r="E66" s="1411">
        <v>19</v>
      </c>
      <c r="F66" s="1382">
        <f t="shared" si="0"/>
        <v>2.263157894736842</v>
      </c>
      <c r="G66" s="1413">
        <v>5</v>
      </c>
      <c r="H66" s="1414">
        <v>2</v>
      </c>
      <c r="I66" s="1413">
        <v>1</v>
      </c>
      <c r="J66" s="1414">
        <v>1</v>
      </c>
      <c r="K66" s="1413"/>
      <c r="L66" s="1414"/>
      <c r="M66" s="1413">
        <v>3</v>
      </c>
      <c r="N66" s="1414">
        <v>1</v>
      </c>
      <c r="O66" s="1413"/>
      <c r="P66" s="1414"/>
      <c r="Q66" s="1413">
        <v>3</v>
      </c>
      <c r="R66" s="1414">
        <v>1</v>
      </c>
      <c r="S66" s="1413">
        <v>11</v>
      </c>
      <c r="T66" s="1414">
        <v>5</v>
      </c>
      <c r="U66" s="1413">
        <v>7</v>
      </c>
      <c r="V66" s="1414">
        <v>2</v>
      </c>
      <c r="W66" s="1413">
        <v>3</v>
      </c>
      <c r="X66" s="1414">
        <v>2</v>
      </c>
      <c r="Y66" s="1413"/>
      <c r="Z66" s="1414"/>
      <c r="AA66" s="1413">
        <v>9</v>
      </c>
      <c r="AB66" s="1414">
        <v>4</v>
      </c>
      <c r="AC66" s="1413"/>
      <c r="AD66" s="1414"/>
      <c r="AE66" s="1413">
        <v>1</v>
      </c>
      <c r="AF66" s="1414">
        <v>1</v>
      </c>
      <c r="AG66" s="1413"/>
      <c r="AH66" s="1414"/>
      <c r="AI66" s="1413"/>
      <c r="AJ66" s="1414"/>
      <c r="AK66" s="1413"/>
      <c r="AL66" s="1414"/>
      <c r="AM66" s="1413"/>
      <c r="AN66" s="1414"/>
      <c r="AO66" s="1413"/>
      <c r="AP66" s="1414"/>
      <c r="AQ66" s="1413"/>
      <c r="AR66" s="1414"/>
      <c r="AS66" s="1413"/>
      <c r="AT66" s="1414"/>
      <c r="AU66" s="1413"/>
      <c r="AV66" s="1414"/>
      <c r="AW66" s="1413"/>
      <c r="AX66" s="1414"/>
    </row>
    <row r="67" spans="1:50" x14ac:dyDescent="0.3">
      <c r="A67" s="493" t="s">
        <v>130</v>
      </c>
      <c r="B67" s="488" t="s">
        <v>131</v>
      </c>
      <c r="C67" s="494" t="s">
        <v>256</v>
      </c>
      <c r="D67" s="1411">
        <v>299</v>
      </c>
      <c r="E67" s="1411">
        <v>37</v>
      </c>
      <c r="F67" s="1382">
        <f t="shared" si="0"/>
        <v>8.0810810810810807</v>
      </c>
      <c r="G67" s="1413">
        <v>76</v>
      </c>
      <c r="H67" s="1414">
        <v>1</v>
      </c>
      <c r="I67" s="1413"/>
      <c r="J67" s="1414"/>
      <c r="K67" s="1413"/>
      <c r="L67" s="1414"/>
      <c r="M67" s="1413">
        <v>54</v>
      </c>
      <c r="N67" s="1414">
        <v>2</v>
      </c>
      <c r="O67" s="1413">
        <v>1</v>
      </c>
      <c r="P67" s="1414">
        <v>1</v>
      </c>
      <c r="Q67" s="1413">
        <v>5</v>
      </c>
      <c r="R67" s="1414">
        <v>2</v>
      </c>
      <c r="S67" s="1413">
        <v>23</v>
      </c>
      <c r="T67" s="1414">
        <v>6</v>
      </c>
      <c r="U67" s="1413">
        <v>3</v>
      </c>
      <c r="V67" s="1414">
        <v>3</v>
      </c>
      <c r="W67" s="1413">
        <v>3</v>
      </c>
      <c r="X67" s="1414">
        <v>2</v>
      </c>
      <c r="Y67" s="1413"/>
      <c r="Z67" s="1414"/>
      <c r="AA67" s="1413">
        <v>60</v>
      </c>
      <c r="AB67" s="1414">
        <v>7</v>
      </c>
      <c r="AC67" s="1413">
        <v>22</v>
      </c>
      <c r="AD67" s="1414">
        <v>2</v>
      </c>
      <c r="AE67" s="1413"/>
      <c r="AF67" s="1414"/>
      <c r="AG67" s="1413"/>
      <c r="AH67" s="1414"/>
      <c r="AI67" s="1413">
        <v>52</v>
      </c>
      <c r="AJ67" s="1414">
        <v>11</v>
      </c>
      <c r="AK67" s="1413"/>
      <c r="AL67" s="1414"/>
      <c r="AM67" s="1413"/>
      <c r="AN67" s="1414"/>
      <c r="AO67" s="1413"/>
      <c r="AP67" s="1414"/>
      <c r="AQ67" s="1413"/>
      <c r="AR67" s="1414"/>
      <c r="AS67" s="1413"/>
      <c r="AT67" s="1414"/>
      <c r="AU67" s="1413"/>
      <c r="AV67" s="1414"/>
      <c r="AW67" s="1413"/>
      <c r="AX67" s="1414"/>
    </row>
    <row r="68" spans="1:50" x14ac:dyDescent="0.3">
      <c r="A68" s="487" t="s">
        <v>132</v>
      </c>
      <c r="B68" s="488" t="s">
        <v>133</v>
      </c>
      <c r="C68" s="494" t="s">
        <v>255</v>
      </c>
      <c r="D68" s="1411">
        <v>241</v>
      </c>
      <c r="E68" s="1411">
        <v>27</v>
      </c>
      <c r="F68" s="1382">
        <f t="shared" si="0"/>
        <v>8.9259259259259256</v>
      </c>
      <c r="G68" s="1413">
        <v>51</v>
      </c>
      <c r="H68" s="1414">
        <v>1</v>
      </c>
      <c r="I68" s="1413">
        <v>12</v>
      </c>
      <c r="J68" s="1414">
        <v>1</v>
      </c>
      <c r="K68" s="1413"/>
      <c r="L68" s="1414"/>
      <c r="M68" s="1413">
        <v>112</v>
      </c>
      <c r="N68" s="1414">
        <v>12</v>
      </c>
      <c r="O68" s="1413"/>
      <c r="P68" s="1414"/>
      <c r="Q68" s="1413"/>
      <c r="R68" s="1414"/>
      <c r="S68" s="1413"/>
      <c r="T68" s="1414"/>
      <c r="U68" s="1413"/>
      <c r="V68" s="1414"/>
      <c r="W68" s="1413"/>
      <c r="X68" s="1414"/>
      <c r="Y68" s="1413">
        <v>1</v>
      </c>
      <c r="Z68" s="1414">
        <v>1</v>
      </c>
      <c r="AA68" s="1413">
        <v>57</v>
      </c>
      <c r="AB68" s="1414">
        <v>10</v>
      </c>
      <c r="AC68" s="1413"/>
      <c r="AD68" s="1414"/>
      <c r="AE68" s="1413">
        <v>7</v>
      </c>
      <c r="AF68" s="1414">
        <v>1</v>
      </c>
      <c r="AG68" s="1413">
        <v>1</v>
      </c>
      <c r="AH68" s="1414">
        <v>1</v>
      </c>
      <c r="AI68" s="1413"/>
      <c r="AJ68" s="1414"/>
      <c r="AK68" s="1413"/>
      <c r="AL68" s="1414"/>
      <c r="AM68" s="1413"/>
      <c r="AN68" s="1414"/>
      <c r="AO68" s="1413"/>
      <c r="AP68" s="1414"/>
      <c r="AQ68" s="1413"/>
      <c r="AR68" s="1414"/>
      <c r="AS68" s="1413"/>
      <c r="AT68" s="1414"/>
      <c r="AU68" s="1413"/>
      <c r="AV68" s="1414"/>
      <c r="AW68" s="1413"/>
      <c r="AX68" s="1414"/>
    </row>
    <row r="69" spans="1:50" x14ac:dyDescent="0.3">
      <c r="A69" s="487" t="s">
        <v>134</v>
      </c>
      <c r="B69" s="488" t="s">
        <v>135</v>
      </c>
      <c r="C69" s="494" t="s">
        <v>255</v>
      </c>
      <c r="D69" s="1411">
        <v>176</v>
      </c>
      <c r="E69" s="1411">
        <v>38</v>
      </c>
      <c r="F69" s="1382">
        <f t="shared" si="0"/>
        <v>4.6315789473684212</v>
      </c>
      <c r="G69" s="1413">
        <v>45</v>
      </c>
      <c r="H69" s="1414">
        <v>1</v>
      </c>
      <c r="I69" s="1413"/>
      <c r="J69" s="1414"/>
      <c r="K69" s="1413"/>
      <c r="L69" s="1414"/>
      <c r="M69" s="1413">
        <v>54</v>
      </c>
      <c r="N69" s="1414">
        <v>10</v>
      </c>
      <c r="O69" s="1413">
        <v>5</v>
      </c>
      <c r="P69" s="1414">
        <v>4</v>
      </c>
      <c r="Q69" s="1413">
        <v>3</v>
      </c>
      <c r="R69" s="1414">
        <v>2</v>
      </c>
      <c r="S69" s="1413">
        <v>12</v>
      </c>
      <c r="T69" s="1414">
        <v>5</v>
      </c>
      <c r="U69" s="1413">
        <v>10</v>
      </c>
      <c r="V69" s="1414">
        <v>5</v>
      </c>
      <c r="W69" s="1413">
        <v>2</v>
      </c>
      <c r="X69" s="1414">
        <v>1</v>
      </c>
      <c r="Y69" s="1413"/>
      <c r="Z69" s="1414"/>
      <c r="AA69" s="1413">
        <v>37</v>
      </c>
      <c r="AB69" s="1414">
        <v>4</v>
      </c>
      <c r="AC69" s="1413"/>
      <c r="AD69" s="1414"/>
      <c r="AE69" s="1413">
        <v>5</v>
      </c>
      <c r="AF69" s="1414">
        <v>3</v>
      </c>
      <c r="AG69" s="1413"/>
      <c r="AH69" s="1414"/>
      <c r="AI69" s="1413">
        <v>1</v>
      </c>
      <c r="AJ69" s="1414">
        <v>1</v>
      </c>
      <c r="AK69" s="1413"/>
      <c r="AL69" s="1414"/>
      <c r="AM69" s="1413"/>
      <c r="AN69" s="1414"/>
      <c r="AO69" s="1413"/>
      <c r="AP69" s="1414"/>
      <c r="AQ69" s="1413"/>
      <c r="AR69" s="1414"/>
      <c r="AS69" s="1413"/>
      <c r="AT69" s="1414"/>
      <c r="AU69" s="1413">
        <v>2</v>
      </c>
      <c r="AV69" s="1414">
        <v>2</v>
      </c>
      <c r="AW69" s="1413"/>
      <c r="AX69" s="1414"/>
    </row>
    <row r="70" spans="1:50" x14ac:dyDescent="0.3">
      <c r="A70" s="487" t="s">
        <v>136</v>
      </c>
      <c r="B70" s="488" t="s">
        <v>137</v>
      </c>
      <c r="C70" s="494" t="s">
        <v>254</v>
      </c>
      <c r="D70" s="1411">
        <v>42</v>
      </c>
      <c r="E70" s="1411">
        <v>11</v>
      </c>
      <c r="F70" s="1382">
        <f t="shared" si="0"/>
        <v>3.8181818181818183</v>
      </c>
      <c r="G70" s="1413">
        <v>11</v>
      </c>
      <c r="H70" s="1414">
        <v>1</v>
      </c>
      <c r="I70" s="1413"/>
      <c r="J70" s="1414"/>
      <c r="K70" s="1413"/>
      <c r="L70" s="1414"/>
      <c r="M70" s="1413">
        <v>4</v>
      </c>
      <c r="N70" s="1414">
        <v>2</v>
      </c>
      <c r="O70" s="1413">
        <v>5</v>
      </c>
      <c r="P70" s="1414">
        <v>1</v>
      </c>
      <c r="Q70" s="1413"/>
      <c r="R70" s="1414"/>
      <c r="S70" s="1413">
        <v>2</v>
      </c>
      <c r="T70" s="1414">
        <v>1</v>
      </c>
      <c r="U70" s="1413">
        <v>12</v>
      </c>
      <c r="V70" s="1414">
        <v>3</v>
      </c>
      <c r="W70" s="1413"/>
      <c r="X70" s="1414"/>
      <c r="Y70" s="1413"/>
      <c r="Z70" s="1414"/>
      <c r="AA70" s="1413">
        <v>6</v>
      </c>
      <c r="AB70" s="1414">
        <v>1</v>
      </c>
      <c r="AC70" s="1413"/>
      <c r="AD70" s="1414"/>
      <c r="AE70" s="1413"/>
      <c r="AF70" s="1414"/>
      <c r="AG70" s="1413"/>
      <c r="AH70" s="1414"/>
      <c r="AI70" s="1413">
        <v>1</v>
      </c>
      <c r="AJ70" s="1414">
        <v>1</v>
      </c>
      <c r="AK70" s="1413"/>
      <c r="AL70" s="1414"/>
      <c r="AM70" s="1413"/>
      <c r="AN70" s="1414"/>
      <c r="AO70" s="1413"/>
      <c r="AP70" s="1414"/>
      <c r="AQ70" s="1413"/>
      <c r="AR70" s="1414"/>
      <c r="AS70" s="1413"/>
      <c r="AT70" s="1414"/>
      <c r="AU70" s="1413">
        <v>1</v>
      </c>
      <c r="AV70" s="1414">
        <v>1</v>
      </c>
      <c r="AW70" s="1413"/>
      <c r="AX70" s="1414"/>
    </row>
    <row r="71" spans="1:50" x14ac:dyDescent="0.3">
      <c r="A71" s="487" t="s">
        <v>138</v>
      </c>
      <c r="B71" s="488" t="s">
        <v>139</v>
      </c>
      <c r="C71" s="494" t="s">
        <v>253</v>
      </c>
      <c r="D71" s="1411">
        <v>452</v>
      </c>
      <c r="E71" s="1411">
        <v>50</v>
      </c>
      <c r="F71" s="1382">
        <f t="shared" ref="F71:F125" si="1">D71/E71</f>
        <v>9.0399999999999991</v>
      </c>
      <c r="G71" s="1413">
        <v>166</v>
      </c>
      <c r="H71" s="1414">
        <v>2</v>
      </c>
      <c r="I71" s="1413"/>
      <c r="J71" s="1414"/>
      <c r="K71" s="1413"/>
      <c r="L71" s="1414"/>
      <c r="M71" s="1413">
        <v>82</v>
      </c>
      <c r="N71" s="1414">
        <v>10</v>
      </c>
      <c r="O71" s="1413">
        <v>10</v>
      </c>
      <c r="P71" s="1414">
        <v>7</v>
      </c>
      <c r="Q71" s="1413">
        <v>2</v>
      </c>
      <c r="R71" s="1414">
        <v>2</v>
      </c>
      <c r="S71" s="1413">
        <v>6</v>
      </c>
      <c r="T71" s="1414">
        <v>3</v>
      </c>
      <c r="U71" s="1413">
        <v>44</v>
      </c>
      <c r="V71" s="1414">
        <v>6</v>
      </c>
      <c r="W71" s="1413"/>
      <c r="X71" s="1414"/>
      <c r="Y71" s="1413">
        <v>1</v>
      </c>
      <c r="Z71" s="1414">
        <v>1</v>
      </c>
      <c r="AA71" s="1413">
        <v>135</v>
      </c>
      <c r="AB71" s="1414">
        <v>14</v>
      </c>
      <c r="AC71" s="1413">
        <v>1</v>
      </c>
      <c r="AD71" s="1414">
        <v>1</v>
      </c>
      <c r="AE71" s="1413">
        <v>2</v>
      </c>
      <c r="AF71" s="1414">
        <v>1</v>
      </c>
      <c r="AG71" s="1413">
        <v>1</v>
      </c>
      <c r="AH71" s="1414">
        <v>1</v>
      </c>
      <c r="AI71" s="1413">
        <v>2</v>
      </c>
      <c r="AJ71" s="1414">
        <v>2</v>
      </c>
      <c r="AK71" s="1413"/>
      <c r="AL71" s="1414"/>
      <c r="AM71" s="1413"/>
      <c r="AN71" s="1414"/>
      <c r="AO71" s="1413"/>
      <c r="AP71" s="1414"/>
      <c r="AQ71" s="1413"/>
      <c r="AR71" s="1414"/>
      <c r="AS71" s="1413"/>
      <c r="AT71" s="1414"/>
      <c r="AU71" s="1413"/>
      <c r="AV71" s="1414"/>
      <c r="AW71" s="1413"/>
      <c r="AX71" s="1414"/>
    </row>
    <row r="72" spans="1:50" x14ac:dyDescent="0.3">
      <c r="A72" s="487" t="s">
        <v>140</v>
      </c>
      <c r="B72" s="488" t="s">
        <v>141</v>
      </c>
      <c r="C72" s="494" t="s">
        <v>255</v>
      </c>
      <c r="D72" s="1411">
        <v>106</v>
      </c>
      <c r="E72" s="1411">
        <v>24</v>
      </c>
      <c r="F72" s="1382">
        <f t="shared" si="1"/>
        <v>4.416666666666667</v>
      </c>
      <c r="G72" s="1413">
        <v>23</v>
      </c>
      <c r="H72" s="1414">
        <v>2</v>
      </c>
      <c r="I72" s="1413"/>
      <c r="J72" s="1414"/>
      <c r="K72" s="1413"/>
      <c r="L72" s="1414"/>
      <c r="M72" s="1413">
        <v>16</v>
      </c>
      <c r="N72" s="1414">
        <v>4</v>
      </c>
      <c r="O72" s="1413"/>
      <c r="P72" s="1414"/>
      <c r="Q72" s="1413">
        <v>2</v>
      </c>
      <c r="R72" s="1414">
        <v>2</v>
      </c>
      <c r="S72" s="1413">
        <v>13</v>
      </c>
      <c r="T72" s="1414">
        <v>6</v>
      </c>
      <c r="U72" s="1413">
        <v>2</v>
      </c>
      <c r="V72" s="1414">
        <v>2</v>
      </c>
      <c r="W72" s="1413"/>
      <c r="X72" s="1414"/>
      <c r="Y72" s="1413"/>
      <c r="Z72" s="1414"/>
      <c r="AA72" s="1413">
        <v>45</v>
      </c>
      <c r="AB72" s="1414">
        <v>6</v>
      </c>
      <c r="AC72" s="1413"/>
      <c r="AD72" s="1414"/>
      <c r="AE72" s="1413">
        <v>3</v>
      </c>
      <c r="AF72" s="1414">
        <v>1</v>
      </c>
      <c r="AG72" s="1413"/>
      <c r="AH72" s="1414"/>
      <c r="AI72" s="1413"/>
      <c r="AJ72" s="1414"/>
      <c r="AK72" s="1413"/>
      <c r="AL72" s="1414"/>
      <c r="AM72" s="1413"/>
      <c r="AN72" s="1414"/>
      <c r="AO72" s="1413"/>
      <c r="AP72" s="1414"/>
      <c r="AQ72" s="1413"/>
      <c r="AR72" s="1414"/>
      <c r="AS72" s="1413"/>
      <c r="AT72" s="1414"/>
      <c r="AU72" s="1413">
        <v>1</v>
      </c>
      <c r="AV72" s="1414">
        <v>1</v>
      </c>
      <c r="AW72" s="1413">
        <v>1</v>
      </c>
      <c r="AX72" s="1414">
        <v>0</v>
      </c>
    </row>
    <row r="73" spans="1:50" x14ac:dyDescent="0.3">
      <c r="A73" s="487" t="s">
        <v>142</v>
      </c>
      <c r="B73" s="488" t="s">
        <v>143</v>
      </c>
      <c r="C73" s="494" t="s">
        <v>255</v>
      </c>
      <c r="D73" s="1411">
        <v>75</v>
      </c>
      <c r="E73" s="1411">
        <v>14</v>
      </c>
      <c r="F73" s="1382">
        <f t="shared" si="1"/>
        <v>5.3571428571428568</v>
      </c>
      <c r="G73" s="1413">
        <v>15</v>
      </c>
      <c r="H73" s="1414">
        <v>1</v>
      </c>
      <c r="I73" s="1413"/>
      <c r="J73" s="1414"/>
      <c r="K73" s="1413"/>
      <c r="L73" s="1414"/>
      <c r="M73" s="1413">
        <v>8</v>
      </c>
      <c r="N73" s="1414">
        <v>1</v>
      </c>
      <c r="O73" s="1413"/>
      <c r="P73" s="1414"/>
      <c r="Q73" s="1413"/>
      <c r="R73" s="1414"/>
      <c r="S73" s="1413">
        <v>11</v>
      </c>
      <c r="T73" s="1414">
        <v>2</v>
      </c>
      <c r="U73" s="1413">
        <v>5</v>
      </c>
      <c r="V73" s="1414">
        <v>2</v>
      </c>
      <c r="W73" s="1413">
        <v>3</v>
      </c>
      <c r="X73" s="1414">
        <v>1</v>
      </c>
      <c r="Y73" s="1413"/>
      <c r="Z73" s="1414"/>
      <c r="AA73" s="1413">
        <v>18</v>
      </c>
      <c r="AB73" s="1414">
        <v>2</v>
      </c>
      <c r="AC73" s="1413"/>
      <c r="AD73" s="1414"/>
      <c r="AE73" s="1413"/>
      <c r="AF73" s="1414"/>
      <c r="AG73" s="1413"/>
      <c r="AH73" s="1414"/>
      <c r="AI73" s="1413">
        <v>15</v>
      </c>
      <c r="AJ73" s="1414">
        <v>5</v>
      </c>
      <c r="AK73" s="1413"/>
      <c r="AL73" s="1414"/>
      <c r="AM73" s="1413"/>
      <c r="AN73" s="1414"/>
      <c r="AO73" s="1413"/>
      <c r="AP73" s="1414"/>
      <c r="AQ73" s="1413"/>
      <c r="AR73" s="1414"/>
      <c r="AS73" s="1413"/>
      <c r="AT73" s="1414"/>
      <c r="AU73" s="1413"/>
      <c r="AV73" s="1414"/>
      <c r="AW73" s="1413"/>
      <c r="AX73" s="1414"/>
    </row>
    <row r="74" spans="1:50" x14ac:dyDescent="0.3">
      <c r="A74" s="493" t="s">
        <v>144</v>
      </c>
      <c r="B74" s="488" t="s">
        <v>145</v>
      </c>
      <c r="C74" s="494" t="s">
        <v>255</v>
      </c>
      <c r="D74" s="1411">
        <v>20</v>
      </c>
      <c r="E74" s="1411">
        <v>13</v>
      </c>
      <c r="F74" s="1382">
        <f t="shared" si="1"/>
        <v>1.5384615384615385</v>
      </c>
      <c r="G74" s="1413">
        <v>1</v>
      </c>
      <c r="H74" s="1414">
        <v>1</v>
      </c>
      <c r="I74" s="1413"/>
      <c r="J74" s="1414"/>
      <c r="K74" s="1413"/>
      <c r="L74" s="1414"/>
      <c r="M74" s="1413">
        <v>10</v>
      </c>
      <c r="N74" s="1414">
        <v>5</v>
      </c>
      <c r="O74" s="1413"/>
      <c r="P74" s="1414"/>
      <c r="Q74" s="1413"/>
      <c r="R74" s="1414"/>
      <c r="S74" s="1413">
        <v>1</v>
      </c>
      <c r="T74" s="1414">
        <v>1</v>
      </c>
      <c r="U74" s="1413">
        <v>1</v>
      </c>
      <c r="V74" s="1414">
        <v>1</v>
      </c>
      <c r="W74" s="1413"/>
      <c r="X74" s="1414"/>
      <c r="Y74" s="1413"/>
      <c r="Z74" s="1414"/>
      <c r="AA74" s="1413">
        <v>3</v>
      </c>
      <c r="AB74" s="1414">
        <v>1</v>
      </c>
      <c r="AC74" s="1413">
        <v>2</v>
      </c>
      <c r="AD74" s="1414">
        <v>2</v>
      </c>
      <c r="AE74" s="1413"/>
      <c r="AF74" s="1414"/>
      <c r="AG74" s="1413"/>
      <c r="AH74" s="1414"/>
      <c r="AI74" s="1413">
        <v>2</v>
      </c>
      <c r="AJ74" s="1414">
        <v>2</v>
      </c>
      <c r="AK74" s="1413"/>
      <c r="AL74" s="1414"/>
      <c r="AM74" s="1413"/>
      <c r="AN74" s="1414"/>
      <c r="AO74" s="1413"/>
      <c r="AP74" s="1414"/>
      <c r="AQ74" s="1413"/>
      <c r="AR74" s="1414"/>
      <c r="AS74" s="1413"/>
      <c r="AT74" s="1414"/>
      <c r="AU74" s="1413"/>
      <c r="AV74" s="1414"/>
      <c r="AW74" s="1413"/>
      <c r="AX74" s="1414"/>
    </row>
    <row r="75" spans="1:50" x14ac:dyDescent="0.3">
      <c r="A75" s="487" t="s">
        <v>146</v>
      </c>
      <c r="B75" s="488" t="s">
        <v>147</v>
      </c>
      <c r="C75" s="494" t="s">
        <v>252</v>
      </c>
      <c r="D75" s="1411">
        <v>62</v>
      </c>
      <c r="E75" s="1411">
        <v>14</v>
      </c>
      <c r="F75" s="1382">
        <f t="shared" si="1"/>
        <v>4.4285714285714288</v>
      </c>
      <c r="G75" s="1413">
        <v>13</v>
      </c>
      <c r="H75" s="1414">
        <v>1</v>
      </c>
      <c r="I75" s="1413"/>
      <c r="J75" s="1414"/>
      <c r="K75" s="1413"/>
      <c r="L75" s="1414"/>
      <c r="M75" s="1413">
        <v>13</v>
      </c>
      <c r="N75" s="1414">
        <v>1</v>
      </c>
      <c r="O75" s="1413">
        <v>1</v>
      </c>
      <c r="P75" s="1414">
        <v>1</v>
      </c>
      <c r="Q75" s="1413">
        <v>1</v>
      </c>
      <c r="R75" s="1414">
        <v>1</v>
      </c>
      <c r="S75" s="1413">
        <v>23</v>
      </c>
      <c r="T75" s="1414">
        <v>3</v>
      </c>
      <c r="U75" s="1413">
        <v>3</v>
      </c>
      <c r="V75" s="1414">
        <v>2</v>
      </c>
      <c r="W75" s="1413">
        <v>2</v>
      </c>
      <c r="X75" s="1414">
        <v>1</v>
      </c>
      <c r="Y75" s="1413"/>
      <c r="Z75" s="1414"/>
      <c r="AA75" s="1413">
        <v>4</v>
      </c>
      <c r="AB75" s="1414">
        <v>2</v>
      </c>
      <c r="AC75" s="1413">
        <v>1</v>
      </c>
      <c r="AD75" s="1414">
        <v>1</v>
      </c>
      <c r="AE75" s="1413"/>
      <c r="AF75" s="1414"/>
      <c r="AG75" s="1413"/>
      <c r="AH75" s="1414"/>
      <c r="AI75" s="1413"/>
      <c r="AJ75" s="1414"/>
      <c r="AK75" s="1413"/>
      <c r="AL75" s="1414"/>
      <c r="AM75" s="1413">
        <v>1</v>
      </c>
      <c r="AN75" s="1414">
        <v>1</v>
      </c>
      <c r="AO75" s="1413"/>
      <c r="AP75" s="1414"/>
      <c r="AQ75" s="1413"/>
      <c r="AR75" s="1414"/>
      <c r="AS75" s="1413"/>
      <c r="AT75" s="1414"/>
      <c r="AU75" s="1413"/>
      <c r="AV75" s="1414"/>
      <c r="AW75" s="1413"/>
      <c r="AX75" s="1414"/>
    </row>
    <row r="76" spans="1:50" x14ac:dyDescent="0.3">
      <c r="A76" s="487" t="s">
        <v>148</v>
      </c>
      <c r="B76" s="488" t="s">
        <v>149</v>
      </c>
      <c r="C76" s="494" t="s">
        <v>253</v>
      </c>
      <c r="D76" s="1411">
        <v>180</v>
      </c>
      <c r="E76" s="1411">
        <v>41</v>
      </c>
      <c r="F76" s="1382">
        <f t="shared" si="1"/>
        <v>4.3902439024390247</v>
      </c>
      <c r="G76" s="1413">
        <v>18</v>
      </c>
      <c r="H76" s="1414">
        <v>1</v>
      </c>
      <c r="I76" s="1413"/>
      <c r="J76" s="1414"/>
      <c r="K76" s="1413"/>
      <c r="L76" s="1414"/>
      <c r="M76" s="1413">
        <v>5</v>
      </c>
      <c r="N76" s="1414">
        <v>3</v>
      </c>
      <c r="O76" s="1413">
        <v>1</v>
      </c>
      <c r="P76" s="1414">
        <v>1</v>
      </c>
      <c r="Q76" s="1413">
        <v>9</v>
      </c>
      <c r="R76" s="1414">
        <v>5</v>
      </c>
      <c r="S76" s="1413">
        <v>40</v>
      </c>
      <c r="T76" s="1414">
        <v>8</v>
      </c>
      <c r="U76" s="1413">
        <v>34</v>
      </c>
      <c r="V76" s="1414">
        <v>7</v>
      </c>
      <c r="W76" s="1413"/>
      <c r="X76" s="1414"/>
      <c r="Y76" s="1413"/>
      <c r="Z76" s="1414"/>
      <c r="AA76" s="1413">
        <v>28</v>
      </c>
      <c r="AB76" s="1414">
        <v>3</v>
      </c>
      <c r="AC76" s="1413">
        <v>3</v>
      </c>
      <c r="AD76" s="1414">
        <v>1</v>
      </c>
      <c r="AE76" s="1413"/>
      <c r="AF76" s="1414"/>
      <c r="AG76" s="1413"/>
      <c r="AH76" s="1414"/>
      <c r="AI76" s="1413">
        <v>27</v>
      </c>
      <c r="AJ76" s="1414">
        <v>4</v>
      </c>
      <c r="AK76" s="1413"/>
      <c r="AL76" s="1414"/>
      <c r="AM76" s="1413">
        <v>1</v>
      </c>
      <c r="AN76" s="1414">
        <v>1</v>
      </c>
      <c r="AO76" s="1413"/>
      <c r="AP76" s="1414"/>
      <c r="AQ76" s="1413"/>
      <c r="AR76" s="1414"/>
      <c r="AS76" s="1413">
        <v>4</v>
      </c>
      <c r="AT76" s="1414">
        <v>2</v>
      </c>
      <c r="AU76" s="1413">
        <v>10</v>
      </c>
      <c r="AV76" s="1414">
        <v>5</v>
      </c>
      <c r="AW76" s="1413"/>
      <c r="AX76" s="1414"/>
    </row>
    <row r="77" spans="1:50" x14ac:dyDescent="0.3">
      <c r="A77" s="487" t="s">
        <v>150</v>
      </c>
      <c r="B77" s="488" t="s">
        <v>151</v>
      </c>
      <c r="C77" s="494" t="s">
        <v>254</v>
      </c>
      <c r="D77" s="1411">
        <v>88</v>
      </c>
      <c r="E77" s="1411">
        <v>26</v>
      </c>
      <c r="F77" s="1382">
        <f t="shared" si="1"/>
        <v>3.3846153846153846</v>
      </c>
      <c r="G77" s="1413">
        <v>14</v>
      </c>
      <c r="H77" s="1414">
        <v>2</v>
      </c>
      <c r="I77" s="1413"/>
      <c r="J77" s="1414"/>
      <c r="K77" s="1413"/>
      <c r="L77" s="1414"/>
      <c r="M77" s="1413">
        <v>29</v>
      </c>
      <c r="N77" s="1414">
        <v>4</v>
      </c>
      <c r="O77" s="1413"/>
      <c r="P77" s="1414"/>
      <c r="Q77" s="1413">
        <v>5</v>
      </c>
      <c r="R77" s="1414">
        <v>3</v>
      </c>
      <c r="S77" s="1413">
        <v>17</v>
      </c>
      <c r="T77" s="1414">
        <v>7</v>
      </c>
      <c r="U77" s="1413">
        <v>11</v>
      </c>
      <c r="V77" s="1414">
        <v>4</v>
      </c>
      <c r="W77" s="1413">
        <v>2</v>
      </c>
      <c r="X77" s="1414">
        <v>1</v>
      </c>
      <c r="Y77" s="1413"/>
      <c r="Z77" s="1414"/>
      <c r="AA77" s="1413">
        <v>7</v>
      </c>
      <c r="AB77" s="1414">
        <v>2</v>
      </c>
      <c r="AC77" s="1413">
        <v>1</v>
      </c>
      <c r="AD77" s="1414">
        <v>1</v>
      </c>
      <c r="AE77" s="1413"/>
      <c r="AF77" s="1414"/>
      <c r="AG77" s="1413"/>
      <c r="AH77" s="1414"/>
      <c r="AI77" s="1413">
        <v>1</v>
      </c>
      <c r="AJ77" s="1414">
        <v>1</v>
      </c>
      <c r="AK77" s="1413"/>
      <c r="AL77" s="1414"/>
      <c r="AM77" s="1413">
        <v>1</v>
      </c>
      <c r="AN77" s="1414">
        <v>1</v>
      </c>
      <c r="AO77" s="1413"/>
      <c r="AP77" s="1414"/>
      <c r="AQ77" s="1413"/>
      <c r="AR77" s="1414"/>
      <c r="AS77" s="1413"/>
      <c r="AT77" s="1414"/>
      <c r="AU77" s="1413"/>
      <c r="AV77" s="1414"/>
      <c r="AW77" s="1413"/>
      <c r="AX77" s="1414"/>
    </row>
    <row r="78" spans="1:50" x14ac:dyDescent="0.3">
      <c r="A78" s="487" t="s">
        <v>152</v>
      </c>
      <c r="B78" s="488" t="s">
        <v>153</v>
      </c>
      <c r="C78" s="494" t="s">
        <v>256</v>
      </c>
      <c r="D78" s="1411">
        <v>181</v>
      </c>
      <c r="E78" s="1411">
        <v>33</v>
      </c>
      <c r="F78" s="1382">
        <f t="shared" si="1"/>
        <v>5.4848484848484844</v>
      </c>
      <c r="G78" s="1413">
        <v>59</v>
      </c>
      <c r="H78" s="1414">
        <v>2</v>
      </c>
      <c r="I78" s="1413"/>
      <c r="J78" s="1414"/>
      <c r="K78" s="1413"/>
      <c r="L78" s="1414"/>
      <c r="M78" s="1413">
        <v>61</v>
      </c>
      <c r="N78" s="1414">
        <v>14</v>
      </c>
      <c r="O78" s="1413"/>
      <c r="P78" s="1414"/>
      <c r="Q78" s="1413"/>
      <c r="R78" s="1414"/>
      <c r="S78" s="1413">
        <v>2</v>
      </c>
      <c r="T78" s="1414">
        <v>1</v>
      </c>
      <c r="U78" s="1413">
        <v>1</v>
      </c>
      <c r="V78" s="1414">
        <v>1</v>
      </c>
      <c r="W78" s="1413">
        <v>15</v>
      </c>
      <c r="X78" s="1414">
        <v>4</v>
      </c>
      <c r="Y78" s="1413"/>
      <c r="Z78" s="1414"/>
      <c r="AA78" s="1413">
        <v>32</v>
      </c>
      <c r="AB78" s="1414">
        <v>5</v>
      </c>
      <c r="AC78" s="1413"/>
      <c r="AD78" s="1414"/>
      <c r="AE78" s="1413"/>
      <c r="AF78" s="1414"/>
      <c r="AG78" s="1413"/>
      <c r="AH78" s="1414"/>
      <c r="AI78" s="1413">
        <v>9</v>
      </c>
      <c r="AJ78" s="1414">
        <v>5</v>
      </c>
      <c r="AK78" s="1413"/>
      <c r="AL78" s="1414"/>
      <c r="AM78" s="1413"/>
      <c r="AN78" s="1414"/>
      <c r="AO78" s="1413"/>
      <c r="AP78" s="1414"/>
      <c r="AQ78" s="1413"/>
      <c r="AR78" s="1414"/>
      <c r="AS78" s="1413"/>
      <c r="AT78" s="1414"/>
      <c r="AU78" s="1413">
        <v>1</v>
      </c>
      <c r="AV78" s="1414">
        <v>1</v>
      </c>
      <c r="AW78" s="1413">
        <v>1</v>
      </c>
      <c r="AX78" s="1414">
        <v>0</v>
      </c>
    </row>
    <row r="79" spans="1:50" x14ac:dyDescent="0.3">
      <c r="A79" s="487" t="s">
        <v>154</v>
      </c>
      <c r="B79" s="488" t="s">
        <v>155</v>
      </c>
      <c r="C79" s="494" t="s">
        <v>253</v>
      </c>
      <c r="D79" s="1411">
        <v>39</v>
      </c>
      <c r="E79" s="1411">
        <v>7</v>
      </c>
      <c r="F79" s="1382">
        <f t="shared" si="1"/>
        <v>5.5714285714285712</v>
      </c>
      <c r="G79" s="1413">
        <v>7</v>
      </c>
      <c r="H79" s="1414">
        <v>1</v>
      </c>
      <c r="I79" s="1413"/>
      <c r="J79" s="1414"/>
      <c r="K79" s="1413"/>
      <c r="L79" s="1414"/>
      <c r="M79" s="1413">
        <v>18</v>
      </c>
      <c r="N79" s="1414">
        <v>3</v>
      </c>
      <c r="O79" s="1413"/>
      <c r="P79" s="1414"/>
      <c r="Q79" s="1413"/>
      <c r="R79" s="1414"/>
      <c r="S79" s="1413"/>
      <c r="T79" s="1414"/>
      <c r="U79" s="1413"/>
      <c r="V79" s="1414"/>
      <c r="W79" s="1413">
        <v>1</v>
      </c>
      <c r="X79" s="1414">
        <v>1</v>
      </c>
      <c r="Y79" s="1413"/>
      <c r="Z79" s="1414"/>
      <c r="AA79" s="1413">
        <v>13</v>
      </c>
      <c r="AB79" s="1414">
        <v>2</v>
      </c>
      <c r="AC79" s="1413"/>
      <c r="AD79" s="1414"/>
      <c r="AE79" s="1413"/>
      <c r="AF79" s="1414"/>
      <c r="AG79" s="1413"/>
      <c r="AH79" s="1414"/>
      <c r="AI79" s="1413"/>
      <c r="AJ79" s="1414"/>
      <c r="AK79" s="1413"/>
      <c r="AL79" s="1414"/>
      <c r="AM79" s="1413"/>
      <c r="AN79" s="1414"/>
      <c r="AO79" s="1413"/>
      <c r="AP79" s="1414"/>
      <c r="AQ79" s="1413"/>
      <c r="AR79" s="1414"/>
      <c r="AS79" s="1413"/>
      <c r="AT79" s="1414"/>
      <c r="AU79" s="1413"/>
      <c r="AV79" s="1414"/>
      <c r="AW79" s="1413"/>
      <c r="AX79" s="1414"/>
    </row>
    <row r="80" spans="1:50" x14ac:dyDescent="0.3">
      <c r="A80" s="493" t="s">
        <v>156</v>
      </c>
      <c r="B80" s="488" t="s">
        <v>157</v>
      </c>
      <c r="C80" s="494" t="s">
        <v>254</v>
      </c>
      <c r="D80" s="1411">
        <v>35</v>
      </c>
      <c r="E80" s="1411">
        <v>7</v>
      </c>
      <c r="F80" s="1382">
        <f t="shared" si="1"/>
        <v>5</v>
      </c>
      <c r="G80" s="1413">
        <v>7</v>
      </c>
      <c r="H80" s="1414">
        <v>1</v>
      </c>
      <c r="I80" s="1413"/>
      <c r="J80" s="1414"/>
      <c r="K80" s="1413"/>
      <c r="L80" s="1414"/>
      <c r="M80" s="1413">
        <v>8</v>
      </c>
      <c r="N80" s="1414">
        <v>2</v>
      </c>
      <c r="O80" s="1413"/>
      <c r="P80" s="1414"/>
      <c r="Q80" s="1413"/>
      <c r="R80" s="1414"/>
      <c r="S80" s="1413">
        <v>2</v>
      </c>
      <c r="T80" s="1414">
        <v>1</v>
      </c>
      <c r="U80" s="1413">
        <v>9</v>
      </c>
      <c r="V80" s="1414">
        <v>1</v>
      </c>
      <c r="W80" s="1413"/>
      <c r="X80" s="1414"/>
      <c r="Y80" s="1413"/>
      <c r="Z80" s="1414"/>
      <c r="AA80" s="1413">
        <v>8</v>
      </c>
      <c r="AB80" s="1414">
        <v>1</v>
      </c>
      <c r="AC80" s="1413"/>
      <c r="AD80" s="1414"/>
      <c r="AE80" s="1413">
        <v>1</v>
      </c>
      <c r="AF80" s="1414">
        <v>1</v>
      </c>
      <c r="AG80" s="1413"/>
      <c r="AH80" s="1414"/>
      <c r="AI80" s="1413"/>
      <c r="AJ80" s="1414"/>
      <c r="AK80" s="1413"/>
      <c r="AL80" s="1414"/>
      <c r="AM80" s="1413"/>
      <c r="AN80" s="1414"/>
      <c r="AO80" s="1413"/>
      <c r="AP80" s="1414"/>
      <c r="AQ80" s="1413"/>
      <c r="AR80" s="1414"/>
      <c r="AS80" s="1413"/>
      <c r="AT80" s="1414"/>
      <c r="AU80" s="1413"/>
      <c r="AV80" s="1414"/>
      <c r="AW80" s="1413"/>
      <c r="AX80" s="1414"/>
    </row>
    <row r="81" spans="1:50" x14ac:dyDescent="0.3">
      <c r="A81" s="487" t="s">
        <v>158</v>
      </c>
      <c r="B81" s="488" t="s">
        <v>159</v>
      </c>
      <c r="C81" s="494" t="s">
        <v>252</v>
      </c>
      <c r="D81" s="1411">
        <v>1023</v>
      </c>
      <c r="E81" s="1411">
        <v>106</v>
      </c>
      <c r="F81" s="1382">
        <f t="shared" si="1"/>
        <v>9.6509433962264151</v>
      </c>
      <c r="G81" s="1413">
        <v>185</v>
      </c>
      <c r="H81" s="1414">
        <v>3</v>
      </c>
      <c r="I81" s="1413">
        <v>2</v>
      </c>
      <c r="J81" s="1414">
        <v>1</v>
      </c>
      <c r="K81" s="1413"/>
      <c r="L81" s="1414"/>
      <c r="M81" s="1413">
        <v>104</v>
      </c>
      <c r="N81" s="1414">
        <v>16</v>
      </c>
      <c r="O81" s="1413"/>
      <c r="P81" s="1414"/>
      <c r="Q81" s="1413">
        <v>3</v>
      </c>
      <c r="R81" s="1414">
        <v>3</v>
      </c>
      <c r="S81" s="1413">
        <v>253</v>
      </c>
      <c r="T81" s="1414">
        <v>19</v>
      </c>
      <c r="U81" s="1413">
        <v>144</v>
      </c>
      <c r="V81" s="1414">
        <v>17</v>
      </c>
      <c r="W81" s="1413">
        <v>13</v>
      </c>
      <c r="X81" s="1414">
        <v>4</v>
      </c>
      <c r="Y81" s="1413"/>
      <c r="Z81" s="1414"/>
      <c r="AA81" s="1413">
        <v>131</v>
      </c>
      <c r="AB81" s="1414">
        <v>19</v>
      </c>
      <c r="AC81" s="1413">
        <v>1</v>
      </c>
      <c r="AD81" s="1414">
        <v>1</v>
      </c>
      <c r="AE81" s="1413">
        <v>11</v>
      </c>
      <c r="AF81" s="1414">
        <v>4</v>
      </c>
      <c r="AG81" s="1413"/>
      <c r="AH81" s="1414"/>
      <c r="AI81" s="1413">
        <v>170</v>
      </c>
      <c r="AJ81" s="1414">
        <v>14</v>
      </c>
      <c r="AK81" s="1413"/>
      <c r="AL81" s="1414"/>
      <c r="AM81" s="1413"/>
      <c r="AN81" s="1414"/>
      <c r="AO81" s="1413"/>
      <c r="AP81" s="1414"/>
      <c r="AQ81" s="1413"/>
      <c r="AR81" s="1414"/>
      <c r="AS81" s="1413"/>
      <c r="AT81" s="1414"/>
      <c r="AU81" s="1413">
        <v>6</v>
      </c>
      <c r="AV81" s="1414">
        <v>5</v>
      </c>
      <c r="AW81" s="1413"/>
      <c r="AX81" s="1414"/>
    </row>
    <row r="82" spans="1:50" x14ac:dyDescent="0.3">
      <c r="A82" s="487" t="s">
        <v>160</v>
      </c>
      <c r="B82" s="488" t="s">
        <v>161</v>
      </c>
      <c r="C82" s="494" t="s">
        <v>252</v>
      </c>
      <c r="D82" s="1411">
        <v>940</v>
      </c>
      <c r="E82" s="1411">
        <v>113</v>
      </c>
      <c r="F82" s="1382">
        <f t="shared" si="1"/>
        <v>8.3185840707964598</v>
      </c>
      <c r="G82" s="1413">
        <v>222</v>
      </c>
      <c r="H82" s="1414">
        <v>10</v>
      </c>
      <c r="I82" s="1413">
        <v>1</v>
      </c>
      <c r="J82" s="1414">
        <v>1</v>
      </c>
      <c r="K82" s="1413"/>
      <c r="L82" s="1414"/>
      <c r="M82" s="1413">
        <v>281</v>
      </c>
      <c r="N82" s="1414">
        <v>27</v>
      </c>
      <c r="O82" s="1413"/>
      <c r="P82" s="1414"/>
      <c r="Q82" s="1413">
        <v>16</v>
      </c>
      <c r="R82" s="1414">
        <v>4</v>
      </c>
      <c r="S82" s="1413">
        <v>18</v>
      </c>
      <c r="T82" s="1414">
        <v>7</v>
      </c>
      <c r="U82" s="1413">
        <v>38</v>
      </c>
      <c r="V82" s="1414">
        <v>11</v>
      </c>
      <c r="W82" s="1413">
        <v>3</v>
      </c>
      <c r="X82" s="1414">
        <v>3</v>
      </c>
      <c r="Y82" s="1413"/>
      <c r="Z82" s="1414"/>
      <c r="AA82" s="1413">
        <v>166</v>
      </c>
      <c r="AB82" s="1414">
        <v>28</v>
      </c>
      <c r="AC82" s="1413">
        <v>3</v>
      </c>
      <c r="AD82" s="1414">
        <v>1</v>
      </c>
      <c r="AE82" s="1413"/>
      <c r="AF82" s="1414"/>
      <c r="AG82" s="1413"/>
      <c r="AH82" s="1414"/>
      <c r="AI82" s="1413">
        <v>181</v>
      </c>
      <c r="AJ82" s="1414">
        <v>14</v>
      </c>
      <c r="AK82" s="1413"/>
      <c r="AL82" s="1414"/>
      <c r="AM82" s="1413"/>
      <c r="AN82" s="1414"/>
      <c r="AO82" s="1413"/>
      <c r="AP82" s="1414"/>
      <c r="AQ82" s="1413"/>
      <c r="AR82" s="1414"/>
      <c r="AS82" s="1413"/>
      <c r="AT82" s="1414"/>
      <c r="AU82" s="1413">
        <v>11</v>
      </c>
      <c r="AV82" s="1414">
        <v>7</v>
      </c>
      <c r="AW82" s="1413"/>
      <c r="AX82" s="1414"/>
    </row>
    <row r="83" spans="1:50" x14ac:dyDescent="0.3">
      <c r="A83" s="487" t="s">
        <v>162</v>
      </c>
      <c r="B83" s="488" t="s">
        <v>163</v>
      </c>
      <c r="C83" s="494" t="s">
        <v>252</v>
      </c>
      <c r="D83" s="1411">
        <v>48</v>
      </c>
      <c r="E83" s="1411">
        <v>17</v>
      </c>
      <c r="F83" s="1382">
        <f t="shared" si="1"/>
        <v>2.8235294117647061</v>
      </c>
      <c r="G83" s="1413"/>
      <c r="H83" s="1414"/>
      <c r="I83" s="1413"/>
      <c r="J83" s="1414"/>
      <c r="K83" s="1413"/>
      <c r="L83" s="1414"/>
      <c r="M83" s="1413">
        <v>5</v>
      </c>
      <c r="N83" s="1414">
        <v>2</v>
      </c>
      <c r="O83" s="1413"/>
      <c r="P83" s="1414"/>
      <c r="Q83" s="1413">
        <v>7</v>
      </c>
      <c r="R83" s="1414">
        <v>2</v>
      </c>
      <c r="S83" s="1413">
        <v>1</v>
      </c>
      <c r="T83" s="1414">
        <v>1</v>
      </c>
      <c r="U83" s="1413">
        <v>8</v>
      </c>
      <c r="V83" s="1414">
        <v>2</v>
      </c>
      <c r="W83" s="1413">
        <v>2</v>
      </c>
      <c r="X83" s="1414">
        <v>1</v>
      </c>
      <c r="Y83" s="1413"/>
      <c r="Z83" s="1414"/>
      <c r="AA83" s="1413">
        <v>4</v>
      </c>
      <c r="AB83" s="1414">
        <v>2</v>
      </c>
      <c r="AC83" s="1413"/>
      <c r="AD83" s="1414"/>
      <c r="AE83" s="1413">
        <v>1</v>
      </c>
      <c r="AF83" s="1414">
        <v>1</v>
      </c>
      <c r="AG83" s="1413">
        <v>1</v>
      </c>
      <c r="AH83" s="1414">
        <v>1</v>
      </c>
      <c r="AI83" s="1413">
        <v>19</v>
      </c>
      <c r="AJ83" s="1414">
        <v>5</v>
      </c>
      <c r="AK83" s="1413"/>
      <c r="AL83" s="1414"/>
      <c r="AM83" s="1413"/>
      <c r="AN83" s="1414"/>
      <c r="AO83" s="1413"/>
      <c r="AP83" s="1414"/>
      <c r="AQ83" s="1413"/>
      <c r="AR83" s="1414"/>
      <c r="AS83" s="1413"/>
      <c r="AT83" s="1414"/>
      <c r="AU83" s="1413"/>
      <c r="AV83" s="1414"/>
      <c r="AW83" s="1413"/>
      <c r="AX83" s="1414"/>
    </row>
    <row r="84" spans="1:50" x14ac:dyDescent="0.3">
      <c r="A84" s="487" t="s">
        <v>164</v>
      </c>
      <c r="B84" s="488" t="s">
        <v>165</v>
      </c>
      <c r="C84" s="494" t="s">
        <v>254</v>
      </c>
      <c r="D84" s="1411">
        <v>53</v>
      </c>
      <c r="E84" s="1411">
        <v>12</v>
      </c>
      <c r="F84" s="1382">
        <f t="shared" si="1"/>
        <v>4.416666666666667</v>
      </c>
      <c r="G84" s="1413">
        <v>11</v>
      </c>
      <c r="H84" s="1414">
        <v>1</v>
      </c>
      <c r="I84" s="1413"/>
      <c r="J84" s="1414"/>
      <c r="K84" s="1413"/>
      <c r="L84" s="1414"/>
      <c r="M84" s="1413">
        <v>3</v>
      </c>
      <c r="N84" s="1414">
        <v>2</v>
      </c>
      <c r="O84" s="1413">
        <v>1</v>
      </c>
      <c r="P84" s="1414">
        <v>1</v>
      </c>
      <c r="Q84" s="1413"/>
      <c r="R84" s="1414"/>
      <c r="S84" s="1413">
        <v>12</v>
      </c>
      <c r="T84" s="1414">
        <v>3</v>
      </c>
      <c r="U84" s="1413">
        <v>21</v>
      </c>
      <c r="V84" s="1414">
        <v>3</v>
      </c>
      <c r="W84" s="1413"/>
      <c r="X84" s="1414"/>
      <c r="Y84" s="1413"/>
      <c r="Z84" s="1414"/>
      <c r="AA84" s="1413">
        <v>5</v>
      </c>
      <c r="AB84" s="1414">
        <v>2</v>
      </c>
      <c r="AC84" s="1413"/>
      <c r="AD84" s="1414"/>
      <c r="AE84" s="1413"/>
      <c r="AF84" s="1414"/>
      <c r="AG84" s="1413"/>
      <c r="AH84" s="1414"/>
      <c r="AI84" s="1413"/>
      <c r="AJ84" s="1414"/>
      <c r="AK84" s="1413"/>
      <c r="AL84" s="1414"/>
      <c r="AM84" s="1413"/>
      <c r="AN84" s="1414"/>
      <c r="AO84" s="1413"/>
      <c r="AP84" s="1414"/>
      <c r="AQ84" s="1413"/>
      <c r="AR84" s="1414"/>
      <c r="AS84" s="1413"/>
      <c r="AT84" s="1414"/>
      <c r="AU84" s="1413"/>
      <c r="AV84" s="1414"/>
      <c r="AW84" s="1413"/>
      <c r="AX84" s="1414"/>
    </row>
    <row r="85" spans="1:50" x14ac:dyDescent="0.3">
      <c r="A85" s="487" t="s">
        <v>166</v>
      </c>
      <c r="B85" s="488" t="s">
        <v>167</v>
      </c>
      <c r="C85" s="494" t="s">
        <v>256</v>
      </c>
      <c r="D85" s="1411">
        <v>34</v>
      </c>
      <c r="E85" s="1411">
        <v>7</v>
      </c>
      <c r="F85" s="1382">
        <f t="shared" si="1"/>
        <v>4.8571428571428568</v>
      </c>
      <c r="G85" s="1413">
        <v>15</v>
      </c>
      <c r="H85" s="1414">
        <v>2</v>
      </c>
      <c r="I85" s="1413"/>
      <c r="J85" s="1414"/>
      <c r="K85" s="1413"/>
      <c r="L85" s="1414"/>
      <c r="M85" s="1413">
        <v>13</v>
      </c>
      <c r="N85" s="1414">
        <v>4</v>
      </c>
      <c r="O85" s="1413"/>
      <c r="P85" s="1414"/>
      <c r="Q85" s="1413"/>
      <c r="R85" s="1414"/>
      <c r="S85" s="1413"/>
      <c r="T85" s="1414"/>
      <c r="U85" s="1413"/>
      <c r="V85" s="1414"/>
      <c r="W85" s="1413"/>
      <c r="X85" s="1414"/>
      <c r="Y85" s="1413"/>
      <c r="Z85" s="1414"/>
      <c r="AA85" s="1413">
        <v>6</v>
      </c>
      <c r="AB85" s="1414">
        <v>1</v>
      </c>
      <c r="AC85" s="1413"/>
      <c r="AD85" s="1414"/>
      <c r="AE85" s="1413"/>
      <c r="AF85" s="1414"/>
      <c r="AG85" s="1413"/>
      <c r="AH85" s="1414"/>
      <c r="AI85" s="1413"/>
      <c r="AJ85" s="1414"/>
      <c r="AK85" s="1413"/>
      <c r="AL85" s="1414"/>
      <c r="AM85" s="1413"/>
      <c r="AN85" s="1414"/>
      <c r="AO85" s="1413"/>
      <c r="AP85" s="1414"/>
      <c r="AQ85" s="1413"/>
      <c r="AR85" s="1414"/>
      <c r="AS85" s="1413"/>
      <c r="AT85" s="1414"/>
      <c r="AU85" s="1413"/>
      <c r="AV85" s="1414"/>
      <c r="AW85" s="1413"/>
      <c r="AX85" s="1414"/>
    </row>
    <row r="86" spans="1:50" x14ac:dyDescent="0.3">
      <c r="A86" s="487" t="s">
        <v>168</v>
      </c>
      <c r="B86" s="488" t="s">
        <v>169</v>
      </c>
      <c r="C86" s="494" t="s">
        <v>254</v>
      </c>
      <c r="D86" s="1411">
        <v>45</v>
      </c>
      <c r="E86" s="1411">
        <v>13</v>
      </c>
      <c r="F86" s="1382">
        <f t="shared" si="1"/>
        <v>3.4615384615384617</v>
      </c>
      <c r="G86" s="1413">
        <v>5</v>
      </c>
      <c r="H86" s="1414">
        <v>1</v>
      </c>
      <c r="I86" s="1413"/>
      <c r="J86" s="1414"/>
      <c r="K86" s="1413"/>
      <c r="L86" s="1414"/>
      <c r="M86" s="1413">
        <v>6</v>
      </c>
      <c r="N86" s="1414">
        <v>2</v>
      </c>
      <c r="O86" s="1413"/>
      <c r="P86" s="1414"/>
      <c r="Q86" s="1413">
        <v>13</v>
      </c>
      <c r="R86" s="1414">
        <v>3</v>
      </c>
      <c r="S86" s="1413">
        <v>2</v>
      </c>
      <c r="T86" s="1414">
        <v>2</v>
      </c>
      <c r="U86" s="1413">
        <v>4</v>
      </c>
      <c r="V86" s="1414">
        <v>2</v>
      </c>
      <c r="W86" s="1413"/>
      <c r="X86" s="1414"/>
      <c r="Y86" s="1413"/>
      <c r="Z86" s="1414"/>
      <c r="AA86" s="1413">
        <v>6</v>
      </c>
      <c r="AB86" s="1414">
        <v>1</v>
      </c>
      <c r="AC86" s="1413">
        <v>2</v>
      </c>
      <c r="AD86" s="1414">
        <v>1</v>
      </c>
      <c r="AE86" s="1413"/>
      <c r="AF86" s="1414"/>
      <c r="AG86" s="1413"/>
      <c r="AH86" s="1414"/>
      <c r="AI86" s="1413">
        <v>7</v>
      </c>
      <c r="AJ86" s="1414">
        <v>1</v>
      </c>
      <c r="AK86" s="1413"/>
      <c r="AL86" s="1414"/>
      <c r="AM86" s="1413"/>
      <c r="AN86" s="1414"/>
      <c r="AO86" s="1413"/>
      <c r="AP86" s="1414"/>
      <c r="AQ86" s="1413"/>
      <c r="AR86" s="1414"/>
      <c r="AS86" s="1413"/>
      <c r="AT86" s="1414"/>
      <c r="AU86" s="1413"/>
      <c r="AV86" s="1414"/>
      <c r="AW86" s="1413"/>
      <c r="AX86" s="1414"/>
    </row>
    <row r="87" spans="1:50" x14ac:dyDescent="0.3">
      <c r="A87" s="487" t="s">
        <v>170</v>
      </c>
      <c r="B87" s="488" t="s">
        <v>171</v>
      </c>
      <c r="C87" s="494" t="s">
        <v>255</v>
      </c>
      <c r="D87" s="1411">
        <v>97</v>
      </c>
      <c r="E87" s="1411">
        <v>26</v>
      </c>
      <c r="F87" s="1382">
        <f t="shared" si="1"/>
        <v>3.7307692307692308</v>
      </c>
      <c r="G87" s="1413">
        <v>21</v>
      </c>
      <c r="H87" s="1414">
        <v>1</v>
      </c>
      <c r="I87" s="1413"/>
      <c r="J87" s="1414"/>
      <c r="K87" s="1413"/>
      <c r="L87" s="1414"/>
      <c r="M87" s="1413">
        <v>4</v>
      </c>
      <c r="N87" s="1414">
        <v>2</v>
      </c>
      <c r="O87" s="1413">
        <v>1</v>
      </c>
      <c r="P87" s="1414">
        <v>1</v>
      </c>
      <c r="Q87" s="1413">
        <v>3</v>
      </c>
      <c r="R87" s="1414">
        <v>2</v>
      </c>
      <c r="S87" s="1413">
        <v>2</v>
      </c>
      <c r="T87" s="1414">
        <v>2</v>
      </c>
      <c r="U87" s="1413">
        <v>10</v>
      </c>
      <c r="V87" s="1414">
        <v>4</v>
      </c>
      <c r="W87" s="1413">
        <v>2</v>
      </c>
      <c r="X87" s="1414">
        <v>2</v>
      </c>
      <c r="Y87" s="1413"/>
      <c r="Z87" s="1414"/>
      <c r="AA87" s="1413">
        <v>46</v>
      </c>
      <c r="AB87" s="1414">
        <v>6</v>
      </c>
      <c r="AC87" s="1413"/>
      <c r="AD87" s="1414"/>
      <c r="AE87" s="1413">
        <v>4</v>
      </c>
      <c r="AF87" s="1414">
        <v>3</v>
      </c>
      <c r="AG87" s="1413"/>
      <c r="AH87" s="1414"/>
      <c r="AI87" s="1413"/>
      <c r="AJ87" s="1414"/>
      <c r="AK87" s="1413"/>
      <c r="AL87" s="1414"/>
      <c r="AM87" s="1413"/>
      <c r="AN87" s="1414"/>
      <c r="AO87" s="1413"/>
      <c r="AP87" s="1414"/>
      <c r="AQ87" s="1413"/>
      <c r="AR87" s="1414"/>
      <c r="AS87" s="1413"/>
      <c r="AT87" s="1414"/>
      <c r="AU87" s="1413">
        <v>4</v>
      </c>
      <c r="AV87" s="1414">
        <v>3</v>
      </c>
      <c r="AW87" s="1413"/>
      <c r="AX87" s="1414"/>
    </row>
    <row r="88" spans="1:50" x14ac:dyDescent="0.3">
      <c r="A88" s="493" t="s">
        <v>172</v>
      </c>
      <c r="B88" s="488" t="s">
        <v>173</v>
      </c>
      <c r="C88" s="494" t="s">
        <v>255</v>
      </c>
      <c r="D88" s="1411">
        <v>62</v>
      </c>
      <c r="E88" s="1411">
        <v>17</v>
      </c>
      <c r="F88" s="1382">
        <f t="shared" si="1"/>
        <v>3.6470588235294117</v>
      </c>
      <c r="G88" s="1413">
        <v>9</v>
      </c>
      <c r="H88" s="1414">
        <v>1</v>
      </c>
      <c r="I88" s="1413"/>
      <c r="J88" s="1414"/>
      <c r="K88" s="1413"/>
      <c r="L88" s="1414"/>
      <c r="M88" s="1413">
        <v>14</v>
      </c>
      <c r="N88" s="1414">
        <v>3</v>
      </c>
      <c r="O88" s="1413">
        <v>2</v>
      </c>
      <c r="P88" s="1414">
        <v>1</v>
      </c>
      <c r="Q88" s="1413"/>
      <c r="R88" s="1414"/>
      <c r="S88" s="1413">
        <v>2</v>
      </c>
      <c r="T88" s="1414">
        <v>2</v>
      </c>
      <c r="U88" s="1413"/>
      <c r="V88" s="1414"/>
      <c r="W88" s="1413"/>
      <c r="X88" s="1414"/>
      <c r="Y88" s="1413"/>
      <c r="Z88" s="1414"/>
      <c r="AA88" s="1413">
        <v>10</v>
      </c>
      <c r="AB88" s="1414">
        <v>3</v>
      </c>
      <c r="AC88" s="1413"/>
      <c r="AD88" s="1414"/>
      <c r="AE88" s="1413">
        <v>4</v>
      </c>
      <c r="AF88" s="1414">
        <v>2</v>
      </c>
      <c r="AG88" s="1413"/>
      <c r="AH88" s="1414"/>
      <c r="AI88" s="1413">
        <v>21</v>
      </c>
      <c r="AJ88" s="1414">
        <v>5</v>
      </c>
      <c r="AK88" s="1413"/>
      <c r="AL88" s="1414"/>
      <c r="AM88" s="1413"/>
      <c r="AN88" s="1414"/>
      <c r="AO88" s="1413"/>
      <c r="AP88" s="1414"/>
      <c r="AQ88" s="1413"/>
      <c r="AR88" s="1414"/>
      <c r="AS88" s="1413"/>
      <c r="AT88" s="1414"/>
      <c r="AU88" s="1413"/>
      <c r="AV88" s="1414"/>
      <c r="AW88" s="1413"/>
      <c r="AX88" s="1414"/>
    </row>
    <row r="89" spans="1:50" x14ac:dyDescent="0.3">
      <c r="A89" s="493" t="s">
        <v>174</v>
      </c>
      <c r="B89" s="488" t="s">
        <v>175</v>
      </c>
      <c r="C89" s="494" t="s">
        <v>256</v>
      </c>
      <c r="D89" s="1411">
        <v>51</v>
      </c>
      <c r="E89" s="1411">
        <v>17</v>
      </c>
      <c r="F89" s="1382">
        <f t="shared" si="1"/>
        <v>3</v>
      </c>
      <c r="G89" s="1413">
        <v>4</v>
      </c>
      <c r="H89" s="1414">
        <v>2</v>
      </c>
      <c r="I89" s="1413"/>
      <c r="J89" s="1414"/>
      <c r="K89" s="1413"/>
      <c r="L89" s="1414"/>
      <c r="M89" s="1413">
        <v>12</v>
      </c>
      <c r="N89" s="1414">
        <v>3</v>
      </c>
      <c r="O89" s="1413">
        <v>1</v>
      </c>
      <c r="P89" s="1414">
        <v>1</v>
      </c>
      <c r="Q89" s="1413"/>
      <c r="R89" s="1414"/>
      <c r="S89" s="1413">
        <v>11</v>
      </c>
      <c r="T89" s="1414">
        <v>4</v>
      </c>
      <c r="U89" s="1413">
        <v>2</v>
      </c>
      <c r="V89" s="1414">
        <v>1</v>
      </c>
      <c r="W89" s="1413"/>
      <c r="X89" s="1414"/>
      <c r="Y89" s="1413"/>
      <c r="Z89" s="1414"/>
      <c r="AA89" s="1413">
        <v>13</v>
      </c>
      <c r="AB89" s="1414">
        <v>2</v>
      </c>
      <c r="AC89" s="1413">
        <v>3</v>
      </c>
      <c r="AD89" s="1414">
        <v>1</v>
      </c>
      <c r="AE89" s="1413"/>
      <c r="AF89" s="1414"/>
      <c r="AG89" s="1413"/>
      <c r="AH89" s="1414"/>
      <c r="AI89" s="1413">
        <v>2</v>
      </c>
      <c r="AJ89" s="1414">
        <v>1</v>
      </c>
      <c r="AK89" s="1413"/>
      <c r="AL89" s="1414"/>
      <c r="AM89" s="1413"/>
      <c r="AN89" s="1414"/>
      <c r="AO89" s="1413"/>
      <c r="AP89" s="1414"/>
      <c r="AQ89" s="1413"/>
      <c r="AR89" s="1414"/>
      <c r="AS89" s="1413"/>
      <c r="AT89" s="1414"/>
      <c r="AU89" s="1413">
        <v>3</v>
      </c>
      <c r="AV89" s="1414">
        <v>2</v>
      </c>
      <c r="AW89" s="1413"/>
      <c r="AX89" s="1414"/>
    </row>
    <row r="90" spans="1:50" x14ac:dyDescent="0.3">
      <c r="A90" s="487" t="s">
        <v>176</v>
      </c>
      <c r="B90" s="488" t="s">
        <v>177</v>
      </c>
      <c r="C90" s="494" t="s">
        <v>254</v>
      </c>
      <c r="D90" s="1411">
        <v>261</v>
      </c>
      <c r="E90" s="1411">
        <v>47</v>
      </c>
      <c r="F90" s="1382">
        <f t="shared" si="1"/>
        <v>5.5531914893617023</v>
      </c>
      <c r="G90" s="1413">
        <v>117</v>
      </c>
      <c r="H90" s="1414">
        <v>4</v>
      </c>
      <c r="I90" s="1413"/>
      <c r="J90" s="1414"/>
      <c r="K90" s="1413"/>
      <c r="L90" s="1414"/>
      <c r="M90" s="1413">
        <v>14</v>
      </c>
      <c r="N90" s="1414">
        <v>6</v>
      </c>
      <c r="O90" s="1413">
        <v>1</v>
      </c>
      <c r="P90" s="1414">
        <v>1</v>
      </c>
      <c r="Q90" s="1413">
        <v>2</v>
      </c>
      <c r="R90" s="1414">
        <v>2</v>
      </c>
      <c r="S90" s="1413">
        <v>11</v>
      </c>
      <c r="T90" s="1414">
        <v>4</v>
      </c>
      <c r="U90" s="1413">
        <v>45</v>
      </c>
      <c r="V90" s="1414">
        <v>7</v>
      </c>
      <c r="W90" s="1413">
        <v>3</v>
      </c>
      <c r="X90" s="1414">
        <v>3</v>
      </c>
      <c r="Y90" s="1413"/>
      <c r="Z90" s="1414"/>
      <c r="AA90" s="1413">
        <v>38</v>
      </c>
      <c r="AB90" s="1414">
        <v>8</v>
      </c>
      <c r="AC90" s="1413">
        <v>10</v>
      </c>
      <c r="AD90" s="1414">
        <v>2</v>
      </c>
      <c r="AE90" s="1413"/>
      <c r="AF90" s="1414"/>
      <c r="AG90" s="1413"/>
      <c r="AH90" s="1414"/>
      <c r="AI90" s="1413">
        <v>16</v>
      </c>
      <c r="AJ90" s="1414">
        <v>7</v>
      </c>
      <c r="AK90" s="1413">
        <v>1</v>
      </c>
      <c r="AL90" s="1414">
        <v>1</v>
      </c>
      <c r="AM90" s="1413"/>
      <c r="AN90" s="1414"/>
      <c r="AO90" s="1413"/>
      <c r="AP90" s="1414"/>
      <c r="AQ90" s="1413"/>
      <c r="AR90" s="1414"/>
      <c r="AS90" s="1413"/>
      <c r="AT90" s="1414"/>
      <c r="AU90" s="1413">
        <v>3</v>
      </c>
      <c r="AV90" s="1414">
        <v>2</v>
      </c>
      <c r="AW90" s="1413"/>
      <c r="AX90" s="1414"/>
    </row>
    <row r="91" spans="1:50" x14ac:dyDescent="0.3">
      <c r="A91" s="487" t="s">
        <v>178</v>
      </c>
      <c r="B91" s="488" t="s">
        <v>179</v>
      </c>
      <c r="C91" s="494" t="s">
        <v>253</v>
      </c>
      <c r="D91" s="1411">
        <v>285</v>
      </c>
      <c r="E91" s="1411">
        <v>51</v>
      </c>
      <c r="F91" s="1382">
        <f t="shared" si="1"/>
        <v>5.5882352941176467</v>
      </c>
      <c r="G91" s="1413">
        <v>14</v>
      </c>
      <c r="H91" s="1414">
        <v>2</v>
      </c>
      <c r="I91" s="1413"/>
      <c r="J91" s="1414"/>
      <c r="K91" s="1413"/>
      <c r="L91" s="1414"/>
      <c r="M91" s="1413">
        <v>47</v>
      </c>
      <c r="N91" s="1414">
        <v>11</v>
      </c>
      <c r="O91" s="1413"/>
      <c r="P91" s="1414"/>
      <c r="Q91" s="1413">
        <v>4</v>
      </c>
      <c r="R91" s="1414">
        <v>1</v>
      </c>
      <c r="S91" s="1413">
        <v>108</v>
      </c>
      <c r="T91" s="1414">
        <v>9</v>
      </c>
      <c r="U91" s="1413">
        <v>54</v>
      </c>
      <c r="V91" s="1414">
        <v>12</v>
      </c>
      <c r="W91" s="1413">
        <v>2</v>
      </c>
      <c r="X91" s="1414">
        <v>2</v>
      </c>
      <c r="Y91" s="1413"/>
      <c r="Z91" s="1414"/>
      <c r="AA91" s="1413">
        <v>37</v>
      </c>
      <c r="AB91" s="1414">
        <v>6</v>
      </c>
      <c r="AC91" s="1413">
        <v>6</v>
      </c>
      <c r="AD91" s="1414">
        <v>1</v>
      </c>
      <c r="AE91" s="1413"/>
      <c r="AF91" s="1414"/>
      <c r="AG91" s="1413"/>
      <c r="AH91" s="1414"/>
      <c r="AI91" s="1413">
        <v>1</v>
      </c>
      <c r="AJ91" s="1414">
        <v>1</v>
      </c>
      <c r="AK91" s="1413"/>
      <c r="AL91" s="1414"/>
      <c r="AM91" s="1413"/>
      <c r="AN91" s="1414"/>
      <c r="AO91" s="1413"/>
      <c r="AP91" s="1414"/>
      <c r="AQ91" s="1413"/>
      <c r="AR91" s="1414"/>
      <c r="AS91" s="1413">
        <v>4</v>
      </c>
      <c r="AT91" s="1414">
        <v>2</v>
      </c>
      <c r="AU91" s="1413">
        <v>6</v>
      </c>
      <c r="AV91" s="1414">
        <v>4</v>
      </c>
      <c r="AW91" s="1413">
        <v>2</v>
      </c>
      <c r="AX91" s="1414">
        <v>0</v>
      </c>
    </row>
    <row r="92" spans="1:50" x14ac:dyDescent="0.3">
      <c r="A92" s="487" t="s">
        <v>180</v>
      </c>
      <c r="B92" s="488" t="s">
        <v>181</v>
      </c>
      <c r="C92" s="494" t="s">
        <v>252</v>
      </c>
      <c r="D92" s="1411">
        <v>323</v>
      </c>
      <c r="E92" s="1411">
        <v>63</v>
      </c>
      <c r="F92" s="1382">
        <f t="shared" si="1"/>
        <v>5.1269841269841274</v>
      </c>
      <c r="G92" s="1413">
        <v>93</v>
      </c>
      <c r="H92" s="1414">
        <v>6</v>
      </c>
      <c r="I92" s="1413"/>
      <c r="J92" s="1414"/>
      <c r="K92" s="1413"/>
      <c r="L92" s="1414"/>
      <c r="M92" s="1413">
        <v>56</v>
      </c>
      <c r="N92" s="1414">
        <v>8</v>
      </c>
      <c r="O92" s="1413">
        <v>2</v>
      </c>
      <c r="P92" s="1414">
        <v>2</v>
      </c>
      <c r="Q92" s="1413">
        <v>20</v>
      </c>
      <c r="R92" s="1414">
        <v>14</v>
      </c>
      <c r="S92" s="1413">
        <v>22</v>
      </c>
      <c r="T92" s="1414">
        <v>6</v>
      </c>
      <c r="U92" s="1413">
        <v>14</v>
      </c>
      <c r="V92" s="1414">
        <v>6</v>
      </c>
      <c r="W92" s="1413">
        <v>3</v>
      </c>
      <c r="X92" s="1414">
        <v>2</v>
      </c>
      <c r="Y92" s="1413"/>
      <c r="Z92" s="1414"/>
      <c r="AA92" s="1413">
        <v>88</v>
      </c>
      <c r="AB92" s="1414">
        <v>13</v>
      </c>
      <c r="AC92" s="1413">
        <v>21</v>
      </c>
      <c r="AD92" s="1414">
        <v>2</v>
      </c>
      <c r="AE92" s="1413">
        <v>1</v>
      </c>
      <c r="AF92" s="1414">
        <v>1</v>
      </c>
      <c r="AG92" s="1413"/>
      <c r="AH92" s="1414"/>
      <c r="AI92" s="1413">
        <v>1</v>
      </c>
      <c r="AJ92" s="1414">
        <v>1</v>
      </c>
      <c r="AK92" s="1413"/>
      <c r="AL92" s="1414"/>
      <c r="AM92" s="1413"/>
      <c r="AN92" s="1414"/>
      <c r="AO92" s="1413"/>
      <c r="AP92" s="1414"/>
      <c r="AQ92" s="1413"/>
      <c r="AR92" s="1414"/>
      <c r="AS92" s="1413"/>
      <c r="AT92" s="1414"/>
      <c r="AU92" s="1413">
        <v>2</v>
      </c>
      <c r="AV92" s="1414">
        <v>2</v>
      </c>
      <c r="AW92" s="1413"/>
      <c r="AX92" s="1414"/>
    </row>
    <row r="93" spans="1:50" x14ac:dyDescent="0.3">
      <c r="A93" s="487" t="s">
        <v>182</v>
      </c>
      <c r="B93" s="488" t="s">
        <v>183</v>
      </c>
      <c r="C93" s="494" t="s">
        <v>254</v>
      </c>
      <c r="D93" s="1411">
        <v>29</v>
      </c>
      <c r="E93" s="1411">
        <v>14</v>
      </c>
      <c r="F93" s="1382">
        <f t="shared" si="1"/>
        <v>2.0714285714285716</v>
      </c>
      <c r="G93" s="1413">
        <v>3</v>
      </c>
      <c r="H93" s="1414">
        <v>2</v>
      </c>
      <c r="I93" s="1413"/>
      <c r="J93" s="1414"/>
      <c r="K93" s="1413"/>
      <c r="L93" s="1414"/>
      <c r="M93" s="1413">
        <v>1</v>
      </c>
      <c r="N93" s="1414">
        <v>1</v>
      </c>
      <c r="O93" s="1413"/>
      <c r="P93" s="1414"/>
      <c r="Q93" s="1413">
        <v>1</v>
      </c>
      <c r="R93" s="1414">
        <v>1</v>
      </c>
      <c r="S93" s="1413">
        <v>2</v>
      </c>
      <c r="T93" s="1414">
        <v>2</v>
      </c>
      <c r="U93" s="1413">
        <v>9</v>
      </c>
      <c r="V93" s="1414">
        <v>3</v>
      </c>
      <c r="W93" s="1413"/>
      <c r="X93" s="1414"/>
      <c r="Y93" s="1413"/>
      <c r="Z93" s="1414"/>
      <c r="AA93" s="1413">
        <v>9</v>
      </c>
      <c r="AB93" s="1414">
        <v>2</v>
      </c>
      <c r="AC93" s="1413"/>
      <c r="AD93" s="1414"/>
      <c r="AE93" s="1413">
        <v>2</v>
      </c>
      <c r="AF93" s="1414">
        <v>1</v>
      </c>
      <c r="AG93" s="1413">
        <v>1</v>
      </c>
      <c r="AH93" s="1414">
        <v>1</v>
      </c>
      <c r="AI93" s="1413">
        <v>1</v>
      </c>
      <c r="AJ93" s="1414">
        <v>1</v>
      </c>
      <c r="AK93" s="1413"/>
      <c r="AL93" s="1414"/>
      <c r="AM93" s="1413"/>
      <c r="AN93" s="1414"/>
      <c r="AO93" s="1413"/>
      <c r="AP93" s="1414"/>
      <c r="AQ93" s="1413"/>
      <c r="AR93" s="1414"/>
      <c r="AS93" s="1413"/>
      <c r="AT93" s="1414"/>
      <c r="AU93" s="1413"/>
      <c r="AV93" s="1414"/>
      <c r="AW93" s="1413"/>
      <c r="AX93" s="1414"/>
    </row>
    <row r="94" spans="1:50" x14ac:dyDescent="0.3">
      <c r="A94" s="487" t="s">
        <v>184</v>
      </c>
      <c r="B94" s="488" t="s">
        <v>185</v>
      </c>
      <c r="C94" s="494" t="s">
        <v>254</v>
      </c>
      <c r="D94" s="1411">
        <v>59</v>
      </c>
      <c r="E94" s="1411">
        <v>10</v>
      </c>
      <c r="F94" s="1382">
        <f t="shared" si="1"/>
        <v>5.9</v>
      </c>
      <c r="G94" s="1413">
        <v>28</v>
      </c>
      <c r="H94" s="1414">
        <v>2</v>
      </c>
      <c r="I94" s="1413"/>
      <c r="J94" s="1414"/>
      <c r="K94" s="1413"/>
      <c r="L94" s="1414"/>
      <c r="M94" s="1413">
        <v>11</v>
      </c>
      <c r="N94" s="1414">
        <v>1</v>
      </c>
      <c r="O94" s="1413"/>
      <c r="P94" s="1414"/>
      <c r="Q94" s="1413">
        <v>3</v>
      </c>
      <c r="R94" s="1414">
        <v>2</v>
      </c>
      <c r="S94" s="1413">
        <v>5</v>
      </c>
      <c r="T94" s="1414">
        <v>1</v>
      </c>
      <c r="U94" s="1413">
        <v>2</v>
      </c>
      <c r="V94" s="1414">
        <v>1</v>
      </c>
      <c r="W94" s="1413"/>
      <c r="X94" s="1414"/>
      <c r="Y94" s="1413"/>
      <c r="Z94" s="1414"/>
      <c r="AA94" s="1413">
        <v>9</v>
      </c>
      <c r="AB94" s="1414">
        <v>2</v>
      </c>
      <c r="AC94" s="1413"/>
      <c r="AD94" s="1414"/>
      <c r="AE94" s="1413"/>
      <c r="AF94" s="1414"/>
      <c r="AG94" s="1413"/>
      <c r="AH94" s="1414"/>
      <c r="AI94" s="1413">
        <v>1</v>
      </c>
      <c r="AJ94" s="1414">
        <v>1</v>
      </c>
      <c r="AK94" s="1413"/>
      <c r="AL94" s="1414"/>
      <c r="AM94" s="1413"/>
      <c r="AN94" s="1414"/>
      <c r="AO94" s="1413"/>
      <c r="AP94" s="1414"/>
      <c r="AQ94" s="1413"/>
      <c r="AR94" s="1414"/>
      <c r="AS94" s="1413"/>
      <c r="AT94" s="1414"/>
      <c r="AU94" s="1413"/>
      <c r="AV94" s="1414"/>
      <c r="AW94" s="1413"/>
      <c r="AX94" s="1414"/>
    </row>
    <row r="95" spans="1:50" x14ac:dyDescent="0.3">
      <c r="A95" s="487" t="s">
        <v>186</v>
      </c>
      <c r="B95" s="488" t="s">
        <v>187</v>
      </c>
      <c r="C95" s="494" t="s">
        <v>252</v>
      </c>
      <c r="D95" s="1411">
        <v>110</v>
      </c>
      <c r="E95" s="1411">
        <v>34</v>
      </c>
      <c r="F95" s="1382">
        <f t="shared" si="1"/>
        <v>3.2352941176470589</v>
      </c>
      <c r="G95" s="1413">
        <v>23</v>
      </c>
      <c r="H95" s="1414">
        <v>3</v>
      </c>
      <c r="I95" s="1413"/>
      <c r="J95" s="1414"/>
      <c r="K95" s="1413"/>
      <c r="L95" s="1414"/>
      <c r="M95" s="1413">
        <v>20</v>
      </c>
      <c r="N95" s="1414">
        <v>7</v>
      </c>
      <c r="O95" s="1413">
        <v>1</v>
      </c>
      <c r="P95" s="1414">
        <v>1</v>
      </c>
      <c r="Q95" s="1413">
        <v>3</v>
      </c>
      <c r="R95" s="1414">
        <v>1</v>
      </c>
      <c r="S95" s="1413">
        <v>9</v>
      </c>
      <c r="T95" s="1414">
        <v>5</v>
      </c>
      <c r="U95" s="1413">
        <v>8</v>
      </c>
      <c r="V95" s="1414">
        <v>2</v>
      </c>
      <c r="W95" s="1413">
        <v>2</v>
      </c>
      <c r="X95" s="1414">
        <v>1</v>
      </c>
      <c r="Y95" s="1413"/>
      <c r="Z95" s="1414"/>
      <c r="AA95" s="1413">
        <v>24</v>
      </c>
      <c r="AB95" s="1414">
        <v>4</v>
      </c>
      <c r="AC95" s="1413">
        <v>3</v>
      </c>
      <c r="AD95" s="1414">
        <v>2</v>
      </c>
      <c r="AE95" s="1413"/>
      <c r="AF95" s="1414"/>
      <c r="AG95" s="1413"/>
      <c r="AH95" s="1414"/>
      <c r="AI95" s="1413">
        <v>12</v>
      </c>
      <c r="AJ95" s="1414">
        <v>4</v>
      </c>
      <c r="AK95" s="1413"/>
      <c r="AL95" s="1414"/>
      <c r="AM95" s="1413"/>
      <c r="AN95" s="1414"/>
      <c r="AO95" s="1413"/>
      <c r="AP95" s="1414"/>
      <c r="AQ95" s="1413">
        <v>1</v>
      </c>
      <c r="AR95" s="1414">
        <v>1</v>
      </c>
      <c r="AS95" s="1413">
        <v>1</v>
      </c>
      <c r="AT95" s="1414">
        <v>1</v>
      </c>
      <c r="AU95" s="1413">
        <v>2</v>
      </c>
      <c r="AV95" s="1414">
        <v>2</v>
      </c>
      <c r="AW95" s="1413">
        <v>1</v>
      </c>
      <c r="AX95" s="1414">
        <v>0</v>
      </c>
    </row>
    <row r="96" spans="1:50" x14ac:dyDescent="0.3">
      <c r="A96" s="487" t="s">
        <v>188</v>
      </c>
      <c r="B96" s="488" t="s">
        <v>189</v>
      </c>
      <c r="C96" s="494" t="s">
        <v>255</v>
      </c>
      <c r="D96" s="1411">
        <v>1060</v>
      </c>
      <c r="E96" s="1411">
        <v>82</v>
      </c>
      <c r="F96" s="1382">
        <f t="shared" si="1"/>
        <v>12.926829268292684</v>
      </c>
      <c r="G96" s="1413">
        <v>138</v>
      </c>
      <c r="H96" s="1414">
        <v>2</v>
      </c>
      <c r="I96" s="1413"/>
      <c r="J96" s="1414"/>
      <c r="K96" s="1413"/>
      <c r="L96" s="1414"/>
      <c r="M96" s="1413">
        <v>157</v>
      </c>
      <c r="N96" s="1414">
        <v>15</v>
      </c>
      <c r="O96" s="1413">
        <v>6</v>
      </c>
      <c r="P96" s="1414">
        <v>4</v>
      </c>
      <c r="Q96" s="1413">
        <v>45</v>
      </c>
      <c r="R96" s="1414">
        <v>5</v>
      </c>
      <c r="S96" s="1413">
        <v>109</v>
      </c>
      <c r="T96" s="1414">
        <v>10</v>
      </c>
      <c r="U96" s="1413">
        <v>40</v>
      </c>
      <c r="V96" s="1414">
        <v>6</v>
      </c>
      <c r="W96" s="1413"/>
      <c r="X96" s="1414"/>
      <c r="Y96" s="1413"/>
      <c r="Z96" s="1414"/>
      <c r="AA96" s="1413">
        <v>100</v>
      </c>
      <c r="AB96" s="1414">
        <v>14</v>
      </c>
      <c r="AC96" s="1413">
        <v>63</v>
      </c>
      <c r="AD96" s="1414">
        <v>1</v>
      </c>
      <c r="AE96" s="1413">
        <v>19</v>
      </c>
      <c r="AF96" s="1414">
        <v>7</v>
      </c>
      <c r="AG96" s="1413">
        <v>2</v>
      </c>
      <c r="AH96" s="1414">
        <v>2</v>
      </c>
      <c r="AI96" s="1413">
        <v>372</v>
      </c>
      <c r="AJ96" s="1414">
        <v>11</v>
      </c>
      <c r="AK96" s="1413"/>
      <c r="AL96" s="1414"/>
      <c r="AM96" s="1413"/>
      <c r="AN96" s="1414"/>
      <c r="AO96" s="1413"/>
      <c r="AP96" s="1414"/>
      <c r="AQ96" s="1413"/>
      <c r="AR96" s="1414"/>
      <c r="AS96" s="1413"/>
      <c r="AT96" s="1414"/>
      <c r="AU96" s="1413">
        <v>9</v>
      </c>
      <c r="AV96" s="1414">
        <v>5</v>
      </c>
      <c r="AW96" s="1413"/>
      <c r="AX96" s="1414"/>
    </row>
    <row r="97" spans="1:50" x14ac:dyDescent="0.3">
      <c r="A97" s="487" t="s">
        <v>190</v>
      </c>
      <c r="B97" s="488" t="s">
        <v>191</v>
      </c>
      <c r="C97" s="494" t="s">
        <v>256</v>
      </c>
      <c r="D97" s="1411">
        <v>332</v>
      </c>
      <c r="E97" s="1411">
        <v>36</v>
      </c>
      <c r="F97" s="1382">
        <f t="shared" si="1"/>
        <v>9.2222222222222214</v>
      </c>
      <c r="G97" s="1413">
        <v>59</v>
      </c>
      <c r="H97" s="1414">
        <v>2</v>
      </c>
      <c r="I97" s="1413"/>
      <c r="J97" s="1414"/>
      <c r="K97" s="1413"/>
      <c r="L97" s="1414"/>
      <c r="M97" s="1413">
        <v>160</v>
      </c>
      <c r="N97" s="1414">
        <v>7</v>
      </c>
      <c r="O97" s="1413">
        <v>3</v>
      </c>
      <c r="P97" s="1414">
        <v>3</v>
      </c>
      <c r="Q97" s="1413">
        <v>4</v>
      </c>
      <c r="R97" s="1414">
        <v>4</v>
      </c>
      <c r="S97" s="1413"/>
      <c r="T97" s="1414"/>
      <c r="U97" s="1413">
        <v>30</v>
      </c>
      <c r="V97" s="1414">
        <v>7</v>
      </c>
      <c r="W97" s="1413">
        <v>2</v>
      </c>
      <c r="X97" s="1414">
        <v>2</v>
      </c>
      <c r="Y97" s="1413"/>
      <c r="Z97" s="1414"/>
      <c r="AA97" s="1413">
        <v>71</v>
      </c>
      <c r="AB97" s="1414">
        <v>8</v>
      </c>
      <c r="AC97" s="1413"/>
      <c r="AD97" s="1414"/>
      <c r="AE97" s="1413">
        <v>2</v>
      </c>
      <c r="AF97" s="1414">
        <v>2</v>
      </c>
      <c r="AG97" s="1413"/>
      <c r="AH97" s="1414"/>
      <c r="AI97" s="1413"/>
      <c r="AJ97" s="1414"/>
      <c r="AK97" s="1413"/>
      <c r="AL97" s="1414"/>
      <c r="AM97" s="1413"/>
      <c r="AN97" s="1414"/>
      <c r="AO97" s="1413"/>
      <c r="AP97" s="1414"/>
      <c r="AQ97" s="1413"/>
      <c r="AR97" s="1414"/>
      <c r="AS97" s="1413"/>
      <c r="AT97" s="1414"/>
      <c r="AU97" s="1413">
        <v>1</v>
      </c>
      <c r="AV97" s="1414">
        <v>1</v>
      </c>
      <c r="AW97" s="1413"/>
      <c r="AX97" s="1414"/>
    </row>
    <row r="98" spans="1:50" x14ac:dyDescent="0.3">
      <c r="A98" s="487" t="s">
        <v>192</v>
      </c>
      <c r="B98" s="488" t="s">
        <v>193</v>
      </c>
      <c r="C98" s="494" t="s">
        <v>256</v>
      </c>
      <c r="D98" s="1411">
        <v>60</v>
      </c>
      <c r="E98" s="1411">
        <v>8</v>
      </c>
      <c r="F98" s="1382">
        <f t="shared" si="1"/>
        <v>7.5</v>
      </c>
      <c r="G98" s="1413">
        <v>24</v>
      </c>
      <c r="H98" s="1414">
        <v>1</v>
      </c>
      <c r="I98" s="1413"/>
      <c r="J98" s="1414"/>
      <c r="K98" s="1413"/>
      <c r="L98" s="1414"/>
      <c r="M98" s="1413">
        <v>17</v>
      </c>
      <c r="N98" s="1414">
        <v>2</v>
      </c>
      <c r="O98" s="1413"/>
      <c r="P98" s="1414"/>
      <c r="Q98" s="1413"/>
      <c r="R98" s="1414"/>
      <c r="S98" s="1413">
        <v>2</v>
      </c>
      <c r="T98" s="1414">
        <v>1</v>
      </c>
      <c r="U98" s="1413"/>
      <c r="V98" s="1414"/>
      <c r="W98" s="1413"/>
      <c r="X98" s="1414"/>
      <c r="Y98" s="1413"/>
      <c r="Z98" s="1414"/>
      <c r="AA98" s="1413">
        <v>15</v>
      </c>
      <c r="AB98" s="1414">
        <v>3</v>
      </c>
      <c r="AC98" s="1413"/>
      <c r="AD98" s="1414"/>
      <c r="AE98" s="1413">
        <v>2</v>
      </c>
      <c r="AF98" s="1414">
        <v>1</v>
      </c>
      <c r="AG98" s="1413"/>
      <c r="AH98" s="1414"/>
      <c r="AI98" s="1413"/>
      <c r="AJ98" s="1414"/>
      <c r="AK98" s="1413"/>
      <c r="AL98" s="1414"/>
      <c r="AM98" s="1413"/>
      <c r="AN98" s="1414"/>
      <c r="AO98" s="1413"/>
      <c r="AP98" s="1414"/>
      <c r="AQ98" s="1413"/>
      <c r="AR98" s="1414"/>
      <c r="AS98" s="1413"/>
      <c r="AT98" s="1414"/>
      <c r="AU98" s="1413"/>
      <c r="AV98" s="1414"/>
      <c r="AW98" s="1413"/>
      <c r="AX98" s="1414"/>
    </row>
    <row r="99" spans="1:50" x14ac:dyDescent="0.3">
      <c r="A99" s="487" t="s">
        <v>194</v>
      </c>
      <c r="B99" s="488" t="s">
        <v>195</v>
      </c>
      <c r="C99" s="494" t="s">
        <v>255</v>
      </c>
      <c r="D99" s="1411">
        <v>46</v>
      </c>
      <c r="E99" s="1411">
        <v>13</v>
      </c>
      <c r="F99" s="1382">
        <f t="shared" si="1"/>
        <v>3.5384615384615383</v>
      </c>
      <c r="G99" s="1413">
        <v>16</v>
      </c>
      <c r="H99" s="1414">
        <v>2</v>
      </c>
      <c r="I99" s="1413">
        <v>3</v>
      </c>
      <c r="J99" s="1414">
        <v>1</v>
      </c>
      <c r="K99" s="1413"/>
      <c r="L99" s="1414"/>
      <c r="M99" s="1413">
        <v>2</v>
      </c>
      <c r="N99" s="1414">
        <v>1</v>
      </c>
      <c r="O99" s="1413">
        <v>1</v>
      </c>
      <c r="P99" s="1414">
        <v>1</v>
      </c>
      <c r="Q99" s="1413"/>
      <c r="R99" s="1414"/>
      <c r="S99" s="1413">
        <v>1</v>
      </c>
      <c r="T99" s="1414">
        <v>1</v>
      </c>
      <c r="U99" s="1413"/>
      <c r="V99" s="1414"/>
      <c r="W99" s="1413">
        <v>1</v>
      </c>
      <c r="X99" s="1414">
        <v>1</v>
      </c>
      <c r="Y99" s="1413"/>
      <c r="Z99" s="1414"/>
      <c r="AA99" s="1413">
        <v>17</v>
      </c>
      <c r="AB99" s="1414">
        <v>3</v>
      </c>
      <c r="AC99" s="1413"/>
      <c r="AD99" s="1414"/>
      <c r="AE99" s="1413">
        <v>4</v>
      </c>
      <c r="AF99" s="1414">
        <v>2</v>
      </c>
      <c r="AG99" s="1413"/>
      <c r="AH99" s="1414"/>
      <c r="AI99" s="1413"/>
      <c r="AJ99" s="1414"/>
      <c r="AK99" s="1413"/>
      <c r="AL99" s="1414"/>
      <c r="AM99" s="1413"/>
      <c r="AN99" s="1414"/>
      <c r="AO99" s="1413"/>
      <c r="AP99" s="1414"/>
      <c r="AQ99" s="1413"/>
      <c r="AR99" s="1414"/>
      <c r="AS99" s="1413"/>
      <c r="AT99" s="1414"/>
      <c r="AU99" s="1413">
        <v>1</v>
      </c>
      <c r="AV99" s="1414">
        <v>1</v>
      </c>
      <c r="AW99" s="1413"/>
      <c r="AX99" s="1414"/>
    </row>
    <row r="100" spans="1:50" x14ac:dyDescent="0.3">
      <c r="A100" s="487" t="s">
        <v>196</v>
      </c>
      <c r="B100" s="488" t="s">
        <v>197</v>
      </c>
      <c r="C100" s="494" t="s">
        <v>254</v>
      </c>
      <c r="D100" s="1411">
        <v>1789</v>
      </c>
      <c r="E100" s="1411">
        <v>150</v>
      </c>
      <c r="F100" s="1382">
        <f t="shared" si="1"/>
        <v>11.926666666666666</v>
      </c>
      <c r="G100" s="1413">
        <v>336</v>
      </c>
      <c r="H100" s="1414">
        <v>4</v>
      </c>
      <c r="I100" s="1413">
        <v>3</v>
      </c>
      <c r="J100" s="1414">
        <v>1</v>
      </c>
      <c r="K100" s="1413">
        <v>1</v>
      </c>
      <c r="L100" s="1414">
        <v>1</v>
      </c>
      <c r="M100" s="1413">
        <v>166</v>
      </c>
      <c r="N100" s="1414">
        <v>22</v>
      </c>
      <c r="O100" s="1413">
        <v>7</v>
      </c>
      <c r="P100" s="1414">
        <v>6</v>
      </c>
      <c r="Q100" s="1413">
        <v>28</v>
      </c>
      <c r="R100" s="1414">
        <v>16</v>
      </c>
      <c r="S100" s="1413">
        <v>214</v>
      </c>
      <c r="T100" s="1414">
        <v>20</v>
      </c>
      <c r="U100" s="1413">
        <v>16</v>
      </c>
      <c r="V100" s="1414">
        <v>8</v>
      </c>
      <c r="W100" s="1413">
        <v>5</v>
      </c>
      <c r="X100" s="1414">
        <v>4</v>
      </c>
      <c r="Y100" s="1413">
        <v>1</v>
      </c>
      <c r="Z100" s="1414">
        <v>1</v>
      </c>
      <c r="AA100" s="1413">
        <v>334</v>
      </c>
      <c r="AB100" s="1414">
        <v>31</v>
      </c>
      <c r="AC100" s="1413">
        <v>16</v>
      </c>
      <c r="AD100" s="1414">
        <v>3</v>
      </c>
      <c r="AE100" s="1413">
        <v>3</v>
      </c>
      <c r="AF100" s="1414">
        <v>3</v>
      </c>
      <c r="AG100" s="1413">
        <v>4</v>
      </c>
      <c r="AH100" s="1414">
        <v>1</v>
      </c>
      <c r="AI100" s="1413">
        <v>641</v>
      </c>
      <c r="AJ100" s="1414">
        <v>19</v>
      </c>
      <c r="AK100" s="1413"/>
      <c r="AL100" s="1414"/>
      <c r="AM100" s="1413"/>
      <c r="AN100" s="1414"/>
      <c r="AO100" s="1413"/>
      <c r="AP100" s="1414"/>
      <c r="AQ100" s="1413"/>
      <c r="AR100" s="1414"/>
      <c r="AS100" s="1413">
        <v>2</v>
      </c>
      <c r="AT100" s="1414">
        <v>2</v>
      </c>
      <c r="AU100" s="1413">
        <v>12</v>
      </c>
      <c r="AV100" s="1414">
        <v>8</v>
      </c>
      <c r="AW100" s="1413"/>
      <c r="AX100" s="1414"/>
    </row>
    <row r="101" spans="1:50" x14ac:dyDescent="0.3">
      <c r="A101" s="487" t="s">
        <v>198</v>
      </c>
      <c r="B101" s="488" t="s">
        <v>260</v>
      </c>
      <c r="C101" s="494" t="s">
        <v>254</v>
      </c>
      <c r="D101" s="1411">
        <v>13</v>
      </c>
      <c r="E101" s="1411">
        <v>4</v>
      </c>
      <c r="F101" s="1382">
        <f t="shared" si="1"/>
        <v>3.25</v>
      </c>
      <c r="G101" s="1413">
        <v>6</v>
      </c>
      <c r="H101" s="1414">
        <v>1</v>
      </c>
      <c r="I101" s="1413"/>
      <c r="J101" s="1414"/>
      <c r="K101" s="1413"/>
      <c r="L101" s="1414"/>
      <c r="M101" s="1413">
        <v>3</v>
      </c>
      <c r="N101" s="1414">
        <v>1</v>
      </c>
      <c r="O101" s="1413"/>
      <c r="P101" s="1414"/>
      <c r="Q101" s="1413"/>
      <c r="R101" s="1414"/>
      <c r="S101" s="1413"/>
      <c r="T101" s="1414"/>
      <c r="U101" s="1413">
        <v>1</v>
      </c>
      <c r="V101" s="1414">
        <v>1</v>
      </c>
      <c r="W101" s="1413"/>
      <c r="X101" s="1414"/>
      <c r="Y101" s="1413"/>
      <c r="Z101" s="1414"/>
      <c r="AA101" s="1413">
        <v>3</v>
      </c>
      <c r="AB101" s="1414">
        <v>1</v>
      </c>
      <c r="AC101" s="1413"/>
      <c r="AD101" s="1414"/>
      <c r="AE101" s="1413"/>
      <c r="AF101" s="1414"/>
      <c r="AG101" s="1413"/>
      <c r="AH101" s="1414"/>
      <c r="AI101" s="1413"/>
      <c r="AJ101" s="1414"/>
      <c r="AK101" s="1413"/>
      <c r="AL101" s="1414"/>
      <c r="AM101" s="1413"/>
      <c r="AN101" s="1414"/>
      <c r="AO101" s="1413"/>
      <c r="AP101" s="1414"/>
      <c r="AQ101" s="1413"/>
      <c r="AR101" s="1414"/>
      <c r="AS101" s="1413"/>
      <c r="AT101" s="1414"/>
      <c r="AU101" s="1413"/>
      <c r="AV101" s="1414"/>
      <c r="AW101" s="1413"/>
      <c r="AX101" s="1414"/>
    </row>
    <row r="102" spans="1:50" x14ac:dyDescent="0.3">
      <c r="A102" s="487" t="s">
        <v>200</v>
      </c>
      <c r="B102" s="488" t="s">
        <v>201</v>
      </c>
      <c r="C102" s="494" t="s">
        <v>253</v>
      </c>
      <c r="D102" s="1411">
        <v>1202</v>
      </c>
      <c r="E102" s="1411">
        <v>111</v>
      </c>
      <c r="F102" s="1382">
        <f t="shared" si="1"/>
        <v>10.828828828828829</v>
      </c>
      <c r="G102" s="1413">
        <v>344</v>
      </c>
      <c r="H102" s="1414">
        <v>3</v>
      </c>
      <c r="I102" s="1413"/>
      <c r="J102" s="1414"/>
      <c r="K102" s="1413"/>
      <c r="L102" s="1414"/>
      <c r="M102" s="1413">
        <v>130</v>
      </c>
      <c r="N102" s="1414">
        <v>21</v>
      </c>
      <c r="O102" s="1413">
        <v>22</v>
      </c>
      <c r="P102" s="1414">
        <v>15</v>
      </c>
      <c r="Q102" s="1413">
        <v>5</v>
      </c>
      <c r="R102" s="1414">
        <v>3</v>
      </c>
      <c r="S102" s="1413">
        <v>109</v>
      </c>
      <c r="T102" s="1414">
        <v>12</v>
      </c>
      <c r="U102" s="1413">
        <v>107</v>
      </c>
      <c r="V102" s="1414">
        <v>13</v>
      </c>
      <c r="W102" s="1413">
        <v>3</v>
      </c>
      <c r="X102" s="1414">
        <v>3</v>
      </c>
      <c r="Y102" s="1413"/>
      <c r="Z102" s="1414"/>
      <c r="AA102" s="1413">
        <v>253</v>
      </c>
      <c r="AB102" s="1414">
        <v>27</v>
      </c>
      <c r="AC102" s="1413">
        <v>6</v>
      </c>
      <c r="AD102" s="1414">
        <v>2</v>
      </c>
      <c r="AE102" s="1413">
        <v>6</v>
      </c>
      <c r="AF102" s="1414">
        <v>3</v>
      </c>
      <c r="AG102" s="1413">
        <v>2</v>
      </c>
      <c r="AH102" s="1414">
        <v>2</v>
      </c>
      <c r="AI102" s="1413">
        <v>211</v>
      </c>
      <c r="AJ102" s="1414">
        <v>3</v>
      </c>
      <c r="AK102" s="1413"/>
      <c r="AL102" s="1414"/>
      <c r="AM102" s="1413"/>
      <c r="AN102" s="1414"/>
      <c r="AO102" s="1413"/>
      <c r="AP102" s="1414"/>
      <c r="AQ102" s="1413"/>
      <c r="AR102" s="1414"/>
      <c r="AS102" s="1413">
        <v>1</v>
      </c>
      <c r="AT102" s="1414">
        <v>1</v>
      </c>
      <c r="AU102" s="1413">
        <v>3</v>
      </c>
      <c r="AV102" s="1414">
        <v>3</v>
      </c>
      <c r="AW102" s="1413"/>
      <c r="AX102" s="1414"/>
    </row>
    <row r="103" spans="1:50" x14ac:dyDescent="0.3">
      <c r="A103" s="487" t="s">
        <v>202</v>
      </c>
      <c r="B103" s="488" t="s">
        <v>271</v>
      </c>
      <c r="C103" s="494" t="s">
        <v>253</v>
      </c>
      <c r="D103" s="1411">
        <v>390</v>
      </c>
      <c r="E103" s="1411">
        <v>71</v>
      </c>
      <c r="F103" s="1382">
        <f t="shared" si="1"/>
        <v>5.492957746478873</v>
      </c>
      <c r="G103" s="1413">
        <v>110</v>
      </c>
      <c r="H103" s="1414">
        <v>7</v>
      </c>
      <c r="I103" s="1413">
        <v>1</v>
      </c>
      <c r="J103" s="1414">
        <v>1</v>
      </c>
      <c r="K103" s="1413"/>
      <c r="L103" s="1414"/>
      <c r="M103" s="1413">
        <v>109</v>
      </c>
      <c r="N103" s="1414">
        <v>13</v>
      </c>
      <c r="O103" s="1413"/>
      <c r="P103" s="1414"/>
      <c r="Q103" s="1413"/>
      <c r="R103" s="1414"/>
      <c r="S103" s="1413">
        <v>39</v>
      </c>
      <c r="T103" s="1414">
        <v>12</v>
      </c>
      <c r="U103" s="1413">
        <v>10</v>
      </c>
      <c r="V103" s="1414">
        <v>6</v>
      </c>
      <c r="W103" s="1413">
        <v>2</v>
      </c>
      <c r="X103" s="1414">
        <v>1</v>
      </c>
      <c r="Y103" s="1413"/>
      <c r="Z103" s="1414"/>
      <c r="AA103" s="1413">
        <v>103</v>
      </c>
      <c r="AB103" s="1414">
        <v>20</v>
      </c>
      <c r="AC103" s="1413"/>
      <c r="AD103" s="1414"/>
      <c r="AE103" s="1413">
        <v>2</v>
      </c>
      <c r="AF103" s="1414">
        <v>1</v>
      </c>
      <c r="AG103" s="1413"/>
      <c r="AH103" s="1414"/>
      <c r="AI103" s="1413">
        <v>10</v>
      </c>
      <c r="AJ103" s="1414">
        <v>6</v>
      </c>
      <c r="AK103" s="1413"/>
      <c r="AL103" s="1414"/>
      <c r="AM103" s="1413"/>
      <c r="AN103" s="1414"/>
      <c r="AO103" s="1413"/>
      <c r="AP103" s="1414"/>
      <c r="AQ103" s="1413"/>
      <c r="AR103" s="1414"/>
      <c r="AS103" s="1413"/>
      <c r="AT103" s="1414"/>
      <c r="AU103" s="1413">
        <v>4</v>
      </c>
      <c r="AV103" s="1414">
        <v>4</v>
      </c>
      <c r="AW103" s="1413"/>
      <c r="AX103" s="1414"/>
    </row>
    <row r="104" spans="1:50" x14ac:dyDescent="0.3">
      <c r="A104" s="487" t="s">
        <v>204</v>
      </c>
      <c r="B104" s="488" t="s">
        <v>272</v>
      </c>
      <c r="C104" s="494" t="s">
        <v>253</v>
      </c>
      <c r="D104" s="1411">
        <v>53</v>
      </c>
      <c r="E104" s="1411">
        <v>17</v>
      </c>
      <c r="F104" s="1382">
        <f t="shared" si="1"/>
        <v>3.1176470588235294</v>
      </c>
      <c r="G104" s="1413">
        <v>16</v>
      </c>
      <c r="H104" s="1414">
        <v>4</v>
      </c>
      <c r="I104" s="1413"/>
      <c r="J104" s="1414"/>
      <c r="K104" s="1413"/>
      <c r="L104" s="1414"/>
      <c r="M104" s="1413">
        <v>10</v>
      </c>
      <c r="N104" s="1414">
        <v>6</v>
      </c>
      <c r="O104" s="1413">
        <v>5</v>
      </c>
      <c r="P104" s="1414">
        <v>3</v>
      </c>
      <c r="Q104" s="1413"/>
      <c r="R104" s="1414"/>
      <c r="S104" s="1413"/>
      <c r="T104" s="1414"/>
      <c r="U104" s="1413"/>
      <c r="V104" s="1414"/>
      <c r="W104" s="1413"/>
      <c r="X104" s="1414"/>
      <c r="Y104" s="1413"/>
      <c r="Z104" s="1414"/>
      <c r="AA104" s="1413">
        <v>22</v>
      </c>
      <c r="AB104" s="1414">
        <v>4</v>
      </c>
      <c r="AC104" s="1413"/>
      <c r="AD104" s="1414"/>
      <c r="AE104" s="1413"/>
      <c r="AF104" s="1414"/>
      <c r="AG104" s="1413"/>
      <c r="AH104" s="1414"/>
      <c r="AI104" s="1413"/>
      <c r="AJ104" s="1414"/>
      <c r="AK104" s="1413"/>
      <c r="AL104" s="1414"/>
      <c r="AM104" s="1413"/>
      <c r="AN104" s="1414"/>
      <c r="AO104" s="1413"/>
      <c r="AP104" s="1414"/>
      <c r="AQ104" s="1413"/>
      <c r="AR104" s="1414"/>
      <c r="AS104" s="1413"/>
      <c r="AT104" s="1414"/>
      <c r="AU104" s="1413"/>
      <c r="AV104" s="1414"/>
      <c r="AW104" s="1413"/>
      <c r="AX104" s="1414"/>
    </row>
    <row r="105" spans="1:50" x14ac:dyDescent="0.3">
      <c r="A105" s="487" t="s">
        <v>206</v>
      </c>
      <c r="B105" s="488" t="s">
        <v>207</v>
      </c>
      <c r="C105" s="494" t="s">
        <v>255</v>
      </c>
      <c r="D105" s="1412">
        <v>619</v>
      </c>
      <c r="E105" s="1412">
        <v>103</v>
      </c>
      <c r="F105" s="1382">
        <f t="shared" si="1"/>
        <v>6.0097087378640781</v>
      </c>
      <c r="G105" s="1413">
        <v>217</v>
      </c>
      <c r="H105" s="1414">
        <v>5</v>
      </c>
      <c r="I105" s="1413"/>
      <c r="J105" s="1414"/>
      <c r="K105" s="1413"/>
      <c r="L105" s="1414"/>
      <c r="M105" s="1413">
        <v>141</v>
      </c>
      <c r="N105" s="1414">
        <v>34</v>
      </c>
      <c r="O105" s="1413"/>
      <c r="P105" s="1414"/>
      <c r="Q105" s="1413">
        <v>2</v>
      </c>
      <c r="R105" s="1414">
        <v>1</v>
      </c>
      <c r="S105" s="1413">
        <v>1</v>
      </c>
      <c r="T105" s="1414">
        <v>1</v>
      </c>
      <c r="U105" s="1413">
        <v>12</v>
      </c>
      <c r="V105" s="1414">
        <v>8</v>
      </c>
      <c r="W105" s="1413">
        <v>3</v>
      </c>
      <c r="X105" s="1414">
        <v>3</v>
      </c>
      <c r="Y105" s="1413"/>
      <c r="Z105" s="1414"/>
      <c r="AA105" s="1413">
        <v>195</v>
      </c>
      <c r="AB105" s="1414">
        <v>38</v>
      </c>
      <c r="AC105" s="1413"/>
      <c r="AD105" s="1414"/>
      <c r="AE105" s="1413">
        <v>1</v>
      </c>
      <c r="AF105" s="1414">
        <v>1</v>
      </c>
      <c r="AG105" s="1413"/>
      <c r="AH105" s="1414"/>
      <c r="AI105" s="1413">
        <v>46</v>
      </c>
      <c r="AJ105" s="1414">
        <v>12</v>
      </c>
      <c r="AK105" s="1413"/>
      <c r="AL105" s="1414"/>
      <c r="AM105" s="1413"/>
      <c r="AN105" s="1414"/>
      <c r="AO105" s="1413"/>
      <c r="AP105" s="1414"/>
      <c r="AQ105" s="1413"/>
      <c r="AR105" s="1414"/>
      <c r="AS105" s="1413"/>
      <c r="AT105" s="1414"/>
      <c r="AU105" s="1413"/>
      <c r="AV105" s="1414"/>
      <c r="AW105" s="1413">
        <v>1</v>
      </c>
      <c r="AX105" s="1414">
        <v>0</v>
      </c>
    </row>
    <row r="106" spans="1:50" x14ac:dyDescent="0.3">
      <c r="A106" s="487" t="s">
        <v>208</v>
      </c>
      <c r="B106" s="488" t="s">
        <v>209</v>
      </c>
      <c r="C106" s="494" t="s">
        <v>256</v>
      </c>
      <c r="D106" s="1411">
        <v>186</v>
      </c>
      <c r="E106" s="1411">
        <v>14</v>
      </c>
      <c r="F106" s="1382">
        <f t="shared" si="1"/>
        <v>13.285714285714286</v>
      </c>
      <c r="G106" s="1413">
        <v>51</v>
      </c>
      <c r="H106" s="1414">
        <v>1</v>
      </c>
      <c r="I106" s="1413"/>
      <c r="J106" s="1414"/>
      <c r="K106" s="1413"/>
      <c r="L106" s="1414"/>
      <c r="M106" s="1413">
        <v>44</v>
      </c>
      <c r="N106" s="1414">
        <v>4</v>
      </c>
      <c r="O106" s="1413"/>
      <c r="P106" s="1414"/>
      <c r="Q106" s="1413"/>
      <c r="R106" s="1414"/>
      <c r="S106" s="1413">
        <v>9</v>
      </c>
      <c r="T106" s="1414">
        <v>2</v>
      </c>
      <c r="U106" s="1413"/>
      <c r="V106" s="1414"/>
      <c r="W106" s="1413"/>
      <c r="X106" s="1414"/>
      <c r="Y106" s="1413"/>
      <c r="Z106" s="1414"/>
      <c r="AA106" s="1413">
        <v>82</v>
      </c>
      <c r="AB106" s="1414">
        <v>7</v>
      </c>
      <c r="AC106" s="1413"/>
      <c r="AD106" s="1414"/>
      <c r="AE106" s="1413"/>
      <c r="AF106" s="1414"/>
      <c r="AG106" s="1413"/>
      <c r="AH106" s="1414"/>
      <c r="AI106" s="1413"/>
      <c r="AJ106" s="1414"/>
      <c r="AK106" s="1413"/>
      <c r="AL106" s="1414"/>
      <c r="AM106" s="1413"/>
      <c r="AN106" s="1414"/>
      <c r="AO106" s="1413"/>
      <c r="AP106" s="1414"/>
      <c r="AQ106" s="1413"/>
      <c r="AR106" s="1414"/>
      <c r="AS106" s="1413"/>
      <c r="AT106" s="1414"/>
      <c r="AU106" s="1413"/>
      <c r="AV106" s="1414"/>
      <c r="AW106" s="1413"/>
      <c r="AX106" s="1414"/>
    </row>
    <row r="107" spans="1:50" x14ac:dyDescent="0.3">
      <c r="A107" s="493" t="s">
        <v>210</v>
      </c>
      <c r="B107" s="488" t="s">
        <v>211</v>
      </c>
      <c r="C107" s="494" t="s">
        <v>256</v>
      </c>
      <c r="D107" s="1411">
        <v>121</v>
      </c>
      <c r="E107" s="1411">
        <v>14</v>
      </c>
      <c r="F107" s="1382">
        <f t="shared" si="1"/>
        <v>8.6428571428571423</v>
      </c>
      <c r="G107" s="1413">
        <v>35</v>
      </c>
      <c r="H107" s="1414">
        <v>2</v>
      </c>
      <c r="I107" s="1413"/>
      <c r="J107" s="1414"/>
      <c r="K107" s="1413"/>
      <c r="L107" s="1414"/>
      <c r="M107" s="1413">
        <v>34</v>
      </c>
      <c r="N107" s="1414">
        <v>2</v>
      </c>
      <c r="O107" s="1413">
        <v>1</v>
      </c>
      <c r="P107" s="1414">
        <v>1</v>
      </c>
      <c r="Q107" s="1413"/>
      <c r="R107" s="1414"/>
      <c r="S107" s="1413">
        <v>2</v>
      </c>
      <c r="T107" s="1414">
        <v>1</v>
      </c>
      <c r="U107" s="1413"/>
      <c r="V107" s="1414"/>
      <c r="W107" s="1413"/>
      <c r="X107" s="1414"/>
      <c r="Y107" s="1413"/>
      <c r="Z107" s="1414"/>
      <c r="AA107" s="1413">
        <v>48</v>
      </c>
      <c r="AB107" s="1414">
        <v>7</v>
      </c>
      <c r="AC107" s="1413"/>
      <c r="AD107" s="1414"/>
      <c r="AE107" s="1413"/>
      <c r="AF107" s="1414"/>
      <c r="AG107" s="1413"/>
      <c r="AH107" s="1414"/>
      <c r="AI107" s="1413"/>
      <c r="AJ107" s="1414"/>
      <c r="AK107" s="1413"/>
      <c r="AL107" s="1414"/>
      <c r="AM107" s="1413"/>
      <c r="AN107" s="1414"/>
      <c r="AO107" s="1413"/>
      <c r="AP107" s="1414"/>
      <c r="AQ107" s="1413"/>
      <c r="AR107" s="1414"/>
      <c r="AS107" s="1413"/>
      <c r="AT107" s="1414"/>
      <c r="AU107" s="1413">
        <v>1</v>
      </c>
      <c r="AV107" s="1414">
        <v>1</v>
      </c>
      <c r="AW107" s="1413"/>
      <c r="AX107" s="1414"/>
    </row>
    <row r="108" spans="1:50" x14ac:dyDescent="0.3">
      <c r="A108" s="487" t="s">
        <v>212</v>
      </c>
      <c r="B108" s="488" t="s">
        <v>213</v>
      </c>
      <c r="C108" s="494" t="s">
        <v>255</v>
      </c>
      <c r="D108" s="1411">
        <v>100</v>
      </c>
      <c r="E108" s="1411">
        <v>25</v>
      </c>
      <c r="F108" s="1382">
        <f t="shared" si="1"/>
        <v>4</v>
      </c>
      <c r="G108" s="1413">
        <v>32</v>
      </c>
      <c r="H108" s="1414">
        <v>2</v>
      </c>
      <c r="I108" s="1413"/>
      <c r="J108" s="1414"/>
      <c r="K108" s="1413"/>
      <c r="L108" s="1414"/>
      <c r="M108" s="1413">
        <v>42</v>
      </c>
      <c r="N108" s="1414">
        <v>7</v>
      </c>
      <c r="O108" s="1413">
        <v>1</v>
      </c>
      <c r="P108" s="1414">
        <v>1</v>
      </c>
      <c r="Q108" s="1413">
        <v>2</v>
      </c>
      <c r="R108" s="1414">
        <v>2</v>
      </c>
      <c r="S108" s="1413">
        <v>6</v>
      </c>
      <c r="T108" s="1414">
        <v>4</v>
      </c>
      <c r="U108" s="1413">
        <v>2</v>
      </c>
      <c r="V108" s="1414">
        <v>2</v>
      </c>
      <c r="W108" s="1413"/>
      <c r="X108" s="1414"/>
      <c r="Y108" s="1413"/>
      <c r="Z108" s="1414"/>
      <c r="AA108" s="1413">
        <v>9</v>
      </c>
      <c r="AB108" s="1414">
        <v>3</v>
      </c>
      <c r="AC108" s="1413">
        <v>3</v>
      </c>
      <c r="AD108" s="1414">
        <v>1</v>
      </c>
      <c r="AE108" s="1413"/>
      <c r="AF108" s="1414"/>
      <c r="AG108" s="1413"/>
      <c r="AH108" s="1414"/>
      <c r="AI108" s="1413">
        <v>2</v>
      </c>
      <c r="AJ108" s="1414">
        <v>2</v>
      </c>
      <c r="AK108" s="1413"/>
      <c r="AL108" s="1414"/>
      <c r="AM108" s="1413"/>
      <c r="AN108" s="1414"/>
      <c r="AO108" s="1413"/>
      <c r="AP108" s="1414"/>
      <c r="AQ108" s="1413"/>
      <c r="AR108" s="1414"/>
      <c r="AS108" s="1413"/>
      <c r="AT108" s="1414"/>
      <c r="AU108" s="1413">
        <v>1</v>
      </c>
      <c r="AV108" s="1414">
        <v>1</v>
      </c>
      <c r="AW108" s="1413"/>
      <c r="AX108" s="1414"/>
    </row>
    <row r="109" spans="1:50" x14ac:dyDescent="0.3">
      <c r="A109" s="487" t="s">
        <v>214</v>
      </c>
      <c r="B109" s="488" t="s">
        <v>215</v>
      </c>
      <c r="C109" s="494" t="s">
        <v>256</v>
      </c>
      <c r="D109" s="1411">
        <v>231</v>
      </c>
      <c r="E109" s="1411">
        <v>32</v>
      </c>
      <c r="F109" s="1382">
        <f t="shared" si="1"/>
        <v>7.21875</v>
      </c>
      <c r="G109" s="1413">
        <v>24</v>
      </c>
      <c r="H109" s="1414">
        <v>3</v>
      </c>
      <c r="I109" s="1413"/>
      <c r="J109" s="1414"/>
      <c r="K109" s="1413"/>
      <c r="L109" s="1414"/>
      <c r="M109" s="1413">
        <v>77</v>
      </c>
      <c r="N109" s="1414">
        <v>6</v>
      </c>
      <c r="O109" s="1413">
        <v>2</v>
      </c>
      <c r="P109" s="1414">
        <v>2</v>
      </c>
      <c r="Q109" s="1413">
        <v>2</v>
      </c>
      <c r="R109" s="1414">
        <v>2</v>
      </c>
      <c r="S109" s="1413">
        <v>85</v>
      </c>
      <c r="T109" s="1414">
        <v>9</v>
      </c>
      <c r="U109" s="1413">
        <v>8</v>
      </c>
      <c r="V109" s="1414">
        <v>5</v>
      </c>
      <c r="W109" s="1413"/>
      <c r="X109" s="1414"/>
      <c r="Y109" s="1413"/>
      <c r="Z109" s="1414"/>
      <c r="AA109" s="1413">
        <v>32</v>
      </c>
      <c r="AB109" s="1414">
        <v>4</v>
      </c>
      <c r="AC109" s="1413"/>
      <c r="AD109" s="1414"/>
      <c r="AE109" s="1413"/>
      <c r="AF109" s="1414"/>
      <c r="AG109" s="1413"/>
      <c r="AH109" s="1414"/>
      <c r="AI109" s="1413"/>
      <c r="AJ109" s="1414"/>
      <c r="AK109" s="1413"/>
      <c r="AL109" s="1414"/>
      <c r="AM109" s="1413"/>
      <c r="AN109" s="1414"/>
      <c r="AO109" s="1413"/>
      <c r="AP109" s="1414"/>
      <c r="AQ109" s="1413"/>
      <c r="AR109" s="1414"/>
      <c r="AS109" s="1413"/>
      <c r="AT109" s="1414"/>
      <c r="AU109" s="1413">
        <v>1</v>
      </c>
      <c r="AV109" s="1414">
        <v>1</v>
      </c>
      <c r="AW109" s="1413"/>
      <c r="AX109" s="1414"/>
    </row>
    <row r="110" spans="1:50" x14ac:dyDescent="0.3">
      <c r="A110" s="487" t="s">
        <v>216</v>
      </c>
      <c r="B110" s="488" t="s">
        <v>217</v>
      </c>
      <c r="C110" s="494" t="s">
        <v>252</v>
      </c>
      <c r="D110" s="1411">
        <v>151</v>
      </c>
      <c r="E110" s="1411">
        <v>16</v>
      </c>
      <c r="F110" s="1382">
        <f t="shared" si="1"/>
        <v>9.4375</v>
      </c>
      <c r="G110" s="1413">
        <v>4</v>
      </c>
      <c r="H110" s="1414">
        <v>1</v>
      </c>
      <c r="I110" s="1413"/>
      <c r="J110" s="1414"/>
      <c r="K110" s="1413"/>
      <c r="L110" s="1414"/>
      <c r="M110" s="1413">
        <v>6</v>
      </c>
      <c r="N110" s="1414">
        <v>1</v>
      </c>
      <c r="O110" s="1413"/>
      <c r="P110" s="1414"/>
      <c r="Q110" s="1413">
        <v>2</v>
      </c>
      <c r="R110" s="1414">
        <v>1</v>
      </c>
      <c r="S110" s="1413">
        <v>6</v>
      </c>
      <c r="T110" s="1414">
        <v>2</v>
      </c>
      <c r="U110" s="1413">
        <v>39</v>
      </c>
      <c r="V110" s="1414">
        <v>2</v>
      </c>
      <c r="W110" s="1413"/>
      <c r="X110" s="1414"/>
      <c r="Y110" s="1413">
        <v>1</v>
      </c>
      <c r="Z110" s="1414">
        <v>1</v>
      </c>
      <c r="AA110" s="1413">
        <v>5</v>
      </c>
      <c r="AB110" s="1414">
        <v>1</v>
      </c>
      <c r="AC110" s="1413"/>
      <c r="AD110" s="1414"/>
      <c r="AE110" s="1413">
        <v>2</v>
      </c>
      <c r="AF110" s="1414">
        <v>1</v>
      </c>
      <c r="AG110" s="1413"/>
      <c r="AH110" s="1414"/>
      <c r="AI110" s="1413">
        <v>85</v>
      </c>
      <c r="AJ110" s="1414">
        <v>5</v>
      </c>
      <c r="AK110" s="1413"/>
      <c r="AL110" s="1414"/>
      <c r="AM110" s="1413"/>
      <c r="AN110" s="1414"/>
      <c r="AO110" s="1413"/>
      <c r="AP110" s="1414"/>
      <c r="AQ110" s="1413"/>
      <c r="AR110" s="1414"/>
      <c r="AS110" s="1413"/>
      <c r="AT110" s="1414"/>
      <c r="AU110" s="1413">
        <v>1</v>
      </c>
      <c r="AV110" s="1414">
        <v>1</v>
      </c>
      <c r="AW110" s="1413"/>
      <c r="AX110" s="1414"/>
    </row>
    <row r="111" spans="1:50" x14ac:dyDescent="0.3">
      <c r="A111" s="487" t="s">
        <v>218</v>
      </c>
      <c r="B111" s="488" t="s">
        <v>219</v>
      </c>
      <c r="C111" s="494" t="s">
        <v>255</v>
      </c>
      <c r="D111" s="1411">
        <v>349</v>
      </c>
      <c r="E111" s="1411">
        <v>58</v>
      </c>
      <c r="F111" s="1382">
        <f t="shared" si="1"/>
        <v>6.0172413793103452</v>
      </c>
      <c r="G111" s="1413">
        <v>103</v>
      </c>
      <c r="H111" s="1414">
        <v>9</v>
      </c>
      <c r="I111" s="1413"/>
      <c r="J111" s="1414"/>
      <c r="K111" s="1413"/>
      <c r="L111" s="1414"/>
      <c r="M111" s="1413">
        <v>44</v>
      </c>
      <c r="N111" s="1414">
        <v>7</v>
      </c>
      <c r="O111" s="1413">
        <v>3</v>
      </c>
      <c r="P111" s="1414">
        <v>3</v>
      </c>
      <c r="Q111" s="1413">
        <v>2</v>
      </c>
      <c r="R111" s="1414">
        <v>2</v>
      </c>
      <c r="S111" s="1413">
        <v>20</v>
      </c>
      <c r="T111" s="1414">
        <v>6</v>
      </c>
      <c r="U111" s="1413">
        <v>13</v>
      </c>
      <c r="V111" s="1414">
        <v>4</v>
      </c>
      <c r="W111" s="1413">
        <v>1</v>
      </c>
      <c r="X111" s="1414">
        <v>1</v>
      </c>
      <c r="Y111" s="1413"/>
      <c r="Z111" s="1414"/>
      <c r="AA111" s="1413">
        <v>96</v>
      </c>
      <c r="AB111" s="1414">
        <v>12</v>
      </c>
      <c r="AC111" s="1413">
        <v>25</v>
      </c>
      <c r="AD111" s="1414">
        <v>3</v>
      </c>
      <c r="AE111" s="1413">
        <v>10</v>
      </c>
      <c r="AF111" s="1414">
        <v>8</v>
      </c>
      <c r="AG111" s="1413"/>
      <c r="AH111" s="1414"/>
      <c r="AI111" s="1413">
        <v>32</v>
      </c>
      <c r="AJ111" s="1414">
        <v>3</v>
      </c>
      <c r="AK111" s="1413"/>
      <c r="AL111" s="1414"/>
      <c r="AM111" s="1413"/>
      <c r="AN111" s="1414"/>
      <c r="AO111" s="1413"/>
      <c r="AP111" s="1414"/>
      <c r="AQ111" s="1413"/>
      <c r="AR111" s="1414"/>
      <c r="AS111" s="1413"/>
      <c r="AT111" s="1414"/>
      <c r="AU111" s="1413"/>
      <c r="AV111" s="1414"/>
      <c r="AW111" s="1413"/>
      <c r="AX111" s="1414"/>
    </row>
    <row r="112" spans="1:50" x14ac:dyDescent="0.3">
      <c r="A112" s="487" t="s">
        <v>220</v>
      </c>
      <c r="B112" s="488" t="s">
        <v>221</v>
      </c>
      <c r="C112" s="494" t="s">
        <v>255</v>
      </c>
      <c r="D112" s="1411">
        <v>217</v>
      </c>
      <c r="E112" s="1411">
        <v>31</v>
      </c>
      <c r="F112" s="1382">
        <f t="shared" si="1"/>
        <v>7</v>
      </c>
      <c r="G112" s="1413">
        <v>99</v>
      </c>
      <c r="H112" s="1414">
        <v>3</v>
      </c>
      <c r="I112" s="1413"/>
      <c r="J112" s="1414"/>
      <c r="K112" s="1413"/>
      <c r="L112" s="1414"/>
      <c r="M112" s="1413">
        <v>53</v>
      </c>
      <c r="N112" s="1414">
        <v>6</v>
      </c>
      <c r="O112" s="1413">
        <v>3</v>
      </c>
      <c r="P112" s="1414">
        <v>2</v>
      </c>
      <c r="Q112" s="1413">
        <v>3</v>
      </c>
      <c r="R112" s="1414">
        <v>2</v>
      </c>
      <c r="S112" s="1413">
        <v>6</v>
      </c>
      <c r="T112" s="1414">
        <v>3</v>
      </c>
      <c r="U112" s="1413">
        <v>1</v>
      </c>
      <c r="V112" s="1414">
        <v>1</v>
      </c>
      <c r="W112" s="1413">
        <v>3</v>
      </c>
      <c r="X112" s="1414">
        <v>3</v>
      </c>
      <c r="Y112" s="1413"/>
      <c r="Z112" s="1414"/>
      <c r="AA112" s="1413">
        <v>40</v>
      </c>
      <c r="AB112" s="1414">
        <v>6</v>
      </c>
      <c r="AC112" s="1413">
        <v>6</v>
      </c>
      <c r="AD112" s="1414">
        <v>2</v>
      </c>
      <c r="AE112" s="1413">
        <v>1</v>
      </c>
      <c r="AF112" s="1414">
        <v>1</v>
      </c>
      <c r="AG112" s="1413"/>
      <c r="AH112" s="1414"/>
      <c r="AI112" s="1413"/>
      <c r="AJ112" s="1414"/>
      <c r="AK112" s="1413"/>
      <c r="AL112" s="1414"/>
      <c r="AM112" s="1413"/>
      <c r="AN112" s="1414"/>
      <c r="AO112" s="1413"/>
      <c r="AP112" s="1414"/>
      <c r="AQ112" s="1413"/>
      <c r="AR112" s="1414"/>
      <c r="AS112" s="1413"/>
      <c r="AT112" s="1414"/>
      <c r="AU112" s="1413">
        <v>2</v>
      </c>
      <c r="AV112" s="1414">
        <v>2</v>
      </c>
      <c r="AW112" s="1413"/>
      <c r="AX112" s="1414"/>
    </row>
    <row r="113" spans="1:50" x14ac:dyDescent="0.3">
      <c r="A113" s="487" t="s">
        <v>222</v>
      </c>
      <c r="B113" s="488" t="s">
        <v>223</v>
      </c>
      <c r="C113" s="494" t="s">
        <v>252</v>
      </c>
      <c r="D113" s="1411">
        <v>1858</v>
      </c>
      <c r="E113" s="1411">
        <v>64</v>
      </c>
      <c r="F113" s="1382">
        <f t="shared" si="1"/>
        <v>29.03125</v>
      </c>
      <c r="G113" s="1413">
        <v>26</v>
      </c>
      <c r="H113" s="1414">
        <v>4</v>
      </c>
      <c r="I113" s="1413"/>
      <c r="J113" s="1414"/>
      <c r="K113" s="1413"/>
      <c r="L113" s="1414"/>
      <c r="M113" s="1413">
        <v>42</v>
      </c>
      <c r="N113" s="1414">
        <v>10</v>
      </c>
      <c r="O113" s="1413"/>
      <c r="P113" s="1414"/>
      <c r="Q113" s="1413">
        <v>16</v>
      </c>
      <c r="R113" s="1414">
        <v>6</v>
      </c>
      <c r="S113" s="1413">
        <v>54</v>
      </c>
      <c r="T113" s="1414">
        <v>5</v>
      </c>
      <c r="U113" s="1413">
        <v>65</v>
      </c>
      <c r="V113" s="1414">
        <v>12</v>
      </c>
      <c r="W113" s="1413"/>
      <c r="X113" s="1414"/>
      <c r="Y113" s="1413"/>
      <c r="Z113" s="1414"/>
      <c r="AA113" s="1413">
        <v>17</v>
      </c>
      <c r="AB113" s="1414">
        <v>5</v>
      </c>
      <c r="AC113" s="1413">
        <v>15</v>
      </c>
      <c r="AD113" s="1414">
        <v>3</v>
      </c>
      <c r="AE113" s="1413">
        <v>4</v>
      </c>
      <c r="AF113" s="1414">
        <v>3</v>
      </c>
      <c r="AG113" s="1413">
        <v>1</v>
      </c>
      <c r="AH113" s="1414">
        <v>1</v>
      </c>
      <c r="AI113" s="1413">
        <v>1616</v>
      </c>
      <c r="AJ113" s="1414">
        <v>13</v>
      </c>
      <c r="AK113" s="1413"/>
      <c r="AL113" s="1414"/>
      <c r="AM113" s="1413"/>
      <c r="AN113" s="1414"/>
      <c r="AO113" s="1413"/>
      <c r="AP113" s="1414"/>
      <c r="AQ113" s="1413"/>
      <c r="AR113" s="1414"/>
      <c r="AS113" s="1413"/>
      <c r="AT113" s="1414"/>
      <c r="AU113" s="1413">
        <v>2</v>
      </c>
      <c r="AV113" s="1414">
        <v>2</v>
      </c>
      <c r="AW113" s="1413"/>
      <c r="AX113" s="1414"/>
    </row>
    <row r="114" spans="1:50" x14ac:dyDescent="0.3">
      <c r="A114" s="493" t="s">
        <v>224</v>
      </c>
      <c r="B114" s="488" t="s">
        <v>225</v>
      </c>
      <c r="C114" s="494" t="s">
        <v>252</v>
      </c>
      <c r="D114" s="1411">
        <v>21</v>
      </c>
      <c r="E114" s="1411">
        <v>6</v>
      </c>
      <c r="F114" s="1382">
        <f t="shared" si="1"/>
        <v>3.5</v>
      </c>
      <c r="G114" s="1413">
        <v>1</v>
      </c>
      <c r="H114" s="1414">
        <v>1</v>
      </c>
      <c r="I114" s="1413"/>
      <c r="J114" s="1414"/>
      <c r="K114" s="1413"/>
      <c r="L114" s="1414"/>
      <c r="M114" s="1413">
        <v>7</v>
      </c>
      <c r="N114" s="1414">
        <v>1</v>
      </c>
      <c r="O114" s="1413"/>
      <c r="P114" s="1414"/>
      <c r="Q114" s="1413">
        <v>2</v>
      </c>
      <c r="R114" s="1414">
        <v>1</v>
      </c>
      <c r="S114" s="1413">
        <v>5</v>
      </c>
      <c r="T114" s="1414">
        <v>1</v>
      </c>
      <c r="U114" s="1413">
        <v>2</v>
      </c>
      <c r="V114" s="1414">
        <v>1</v>
      </c>
      <c r="W114" s="1413"/>
      <c r="X114" s="1414"/>
      <c r="Y114" s="1413"/>
      <c r="Z114" s="1414"/>
      <c r="AA114" s="1413"/>
      <c r="AB114" s="1414"/>
      <c r="AC114" s="1413"/>
      <c r="AD114" s="1414"/>
      <c r="AE114" s="1413"/>
      <c r="AF114" s="1414"/>
      <c r="AG114" s="1413"/>
      <c r="AH114" s="1414"/>
      <c r="AI114" s="1413"/>
      <c r="AJ114" s="1414"/>
      <c r="AK114" s="1413"/>
      <c r="AL114" s="1414"/>
      <c r="AM114" s="1413"/>
      <c r="AN114" s="1414"/>
      <c r="AO114" s="1413"/>
      <c r="AP114" s="1414"/>
      <c r="AQ114" s="1413"/>
      <c r="AR114" s="1414"/>
      <c r="AS114" s="1413"/>
      <c r="AT114" s="1414"/>
      <c r="AU114" s="1413">
        <v>4</v>
      </c>
      <c r="AV114" s="1414">
        <v>1</v>
      </c>
      <c r="AW114" s="1413"/>
      <c r="AX114" s="1414"/>
    </row>
    <row r="115" spans="1:50" x14ac:dyDescent="0.3">
      <c r="A115" s="487" t="s">
        <v>226</v>
      </c>
      <c r="B115" s="488" t="s">
        <v>227</v>
      </c>
      <c r="C115" s="494" t="s">
        <v>252</v>
      </c>
      <c r="D115" s="1411">
        <v>124</v>
      </c>
      <c r="E115" s="1411">
        <v>21</v>
      </c>
      <c r="F115" s="1382">
        <f t="shared" si="1"/>
        <v>5.9047619047619051</v>
      </c>
      <c r="G115" s="1413">
        <v>7</v>
      </c>
      <c r="H115" s="1414">
        <v>1</v>
      </c>
      <c r="I115" s="1413"/>
      <c r="J115" s="1414"/>
      <c r="K115" s="1413"/>
      <c r="L115" s="1414"/>
      <c r="M115" s="1413">
        <v>8</v>
      </c>
      <c r="N115" s="1414">
        <v>4</v>
      </c>
      <c r="O115" s="1413">
        <v>2</v>
      </c>
      <c r="P115" s="1414">
        <v>1</v>
      </c>
      <c r="Q115" s="1413">
        <v>1</v>
      </c>
      <c r="R115" s="1414">
        <v>1</v>
      </c>
      <c r="S115" s="1413">
        <v>8</v>
      </c>
      <c r="T115" s="1414">
        <v>4</v>
      </c>
      <c r="U115" s="1413">
        <v>2</v>
      </c>
      <c r="V115" s="1414">
        <v>2</v>
      </c>
      <c r="W115" s="1413"/>
      <c r="X115" s="1414"/>
      <c r="Y115" s="1413"/>
      <c r="Z115" s="1414"/>
      <c r="AA115" s="1413">
        <v>2</v>
      </c>
      <c r="AB115" s="1414">
        <v>2</v>
      </c>
      <c r="AC115" s="1413"/>
      <c r="AD115" s="1414"/>
      <c r="AE115" s="1413"/>
      <c r="AF115" s="1414"/>
      <c r="AG115" s="1413"/>
      <c r="AH115" s="1414"/>
      <c r="AI115" s="1413">
        <v>93</v>
      </c>
      <c r="AJ115" s="1414">
        <v>5</v>
      </c>
      <c r="AK115" s="1413"/>
      <c r="AL115" s="1414"/>
      <c r="AM115" s="1413"/>
      <c r="AN115" s="1414"/>
      <c r="AO115" s="1413"/>
      <c r="AP115" s="1414"/>
      <c r="AQ115" s="1413"/>
      <c r="AR115" s="1414"/>
      <c r="AS115" s="1413"/>
      <c r="AT115" s="1414"/>
      <c r="AU115" s="1413">
        <v>1</v>
      </c>
      <c r="AV115" s="1414">
        <v>1</v>
      </c>
      <c r="AW115" s="1413"/>
      <c r="AX115" s="1414"/>
    </row>
    <row r="116" spans="1:50" x14ac:dyDescent="0.3">
      <c r="A116" s="487" t="s">
        <v>228</v>
      </c>
      <c r="B116" s="488" t="s">
        <v>229</v>
      </c>
      <c r="C116" s="494" t="s">
        <v>256</v>
      </c>
      <c r="D116" s="1411">
        <v>185</v>
      </c>
      <c r="E116" s="1411">
        <v>32</v>
      </c>
      <c r="F116" s="1382">
        <f t="shared" si="1"/>
        <v>5.78125</v>
      </c>
      <c r="G116" s="1413">
        <v>102</v>
      </c>
      <c r="H116" s="1414">
        <v>8</v>
      </c>
      <c r="I116" s="1413"/>
      <c r="J116" s="1414"/>
      <c r="K116" s="1413"/>
      <c r="L116" s="1414"/>
      <c r="M116" s="1413">
        <v>9</v>
      </c>
      <c r="N116" s="1414">
        <v>1</v>
      </c>
      <c r="O116" s="1413">
        <v>1</v>
      </c>
      <c r="P116" s="1414">
        <v>1</v>
      </c>
      <c r="Q116" s="1413">
        <v>2</v>
      </c>
      <c r="R116" s="1414">
        <v>2</v>
      </c>
      <c r="S116" s="1413">
        <v>7</v>
      </c>
      <c r="T116" s="1414">
        <v>5</v>
      </c>
      <c r="U116" s="1413"/>
      <c r="V116" s="1414"/>
      <c r="W116" s="1413"/>
      <c r="X116" s="1414"/>
      <c r="Y116" s="1413"/>
      <c r="Z116" s="1414"/>
      <c r="AA116" s="1413">
        <v>50</v>
      </c>
      <c r="AB116" s="1414">
        <v>6</v>
      </c>
      <c r="AC116" s="1413">
        <v>5</v>
      </c>
      <c r="AD116" s="1414">
        <v>1</v>
      </c>
      <c r="AE116" s="1413">
        <v>5</v>
      </c>
      <c r="AF116" s="1414">
        <v>4</v>
      </c>
      <c r="AG116" s="1413"/>
      <c r="AH116" s="1414"/>
      <c r="AI116" s="1413">
        <v>3</v>
      </c>
      <c r="AJ116" s="1414">
        <v>3</v>
      </c>
      <c r="AK116" s="1413"/>
      <c r="AL116" s="1414"/>
      <c r="AM116" s="1413"/>
      <c r="AN116" s="1414"/>
      <c r="AO116" s="1413"/>
      <c r="AP116" s="1414"/>
      <c r="AQ116" s="1413"/>
      <c r="AR116" s="1414"/>
      <c r="AS116" s="1413"/>
      <c r="AT116" s="1414"/>
      <c r="AU116" s="1413">
        <v>1</v>
      </c>
      <c r="AV116" s="1414">
        <v>1</v>
      </c>
      <c r="AW116" s="1413"/>
      <c r="AX116" s="1414"/>
    </row>
    <row r="117" spans="1:50" x14ac:dyDescent="0.3">
      <c r="A117" s="487" t="s">
        <v>230</v>
      </c>
      <c r="B117" s="488" t="s">
        <v>231</v>
      </c>
      <c r="C117" s="494" t="s">
        <v>252</v>
      </c>
      <c r="D117" s="1411">
        <v>912</v>
      </c>
      <c r="E117" s="1411">
        <v>130</v>
      </c>
      <c r="F117" s="1382">
        <f t="shared" si="1"/>
        <v>7.0153846153846153</v>
      </c>
      <c r="G117" s="1413">
        <v>257</v>
      </c>
      <c r="H117" s="1414">
        <v>8</v>
      </c>
      <c r="I117" s="1413"/>
      <c r="J117" s="1414"/>
      <c r="K117" s="1413"/>
      <c r="L117" s="1414"/>
      <c r="M117" s="1413">
        <v>223</v>
      </c>
      <c r="N117" s="1414">
        <v>24</v>
      </c>
      <c r="O117" s="1413">
        <v>6</v>
      </c>
      <c r="P117" s="1414">
        <v>5</v>
      </c>
      <c r="Q117" s="1413">
        <v>10</v>
      </c>
      <c r="R117" s="1414">
        <v>8</v>
      </c>
      <c r="S117" s="1413">
        <v>14</v>
      </c>
      <c r="T117" s="1414">
        <v>6</v>
      </c>
      <c r="U117" s="1413">
        <v>13</v>
      </c>
      <c r="V117" s="1414">
        <v>7</v>
      </c>
      <c r="W117" s="1413">
        <v>10</v>
      </c>
      <c r="X117" s="1414">
        <v>4</v>
      </c>
      <c r="Y117" s="1413">
        <v>1</v>
      </c>
      <c r="Z117" s="1414">
        <v>1</v>
      </c>
      <c r="AA117" s="1413">
        <v>213</v>
      </c>
      <c r="AB117" s="1414">
        <v>29</v>
      </c>
      <c r="AC117" s="1413">
        <v>46</v>
      </c>
      <c r="AD117" s="1414">
        <v>3</v>
      </c>
      <c r="AE117" s="1413">
        <v>3</v>
      </c>
      <c r="AF117" s="1414">
        <v>2</v>
      </c>
      <c r="AG117" s="1413"/>
      <c r="AH117" s="1414"/>
      <c r="AI117" s="1413">
        <v>109</v>
      </c>
      <c r="AJ117" s="1414">
        <v>29</v>
      </c>
      <c r="AK117" s="1413"/>
      <c r="AL117" s="1414"/>
      <c r="AM117" s="1413"/>
      <c r="AN117" s="1414"/>
      <c r="AO117" s="1413">
        <v>1</v>
      </c>
      <c r="AP117" s="1414">
        <v>1</v>
      </c>
      <c r="AQ117" s="1413"/>
      <c r="AR117" s="1414"/>
      <c r="AS117" s="1413"/>
      <c r="AT117" s="1414"/>
      <c r="AU117" s="1413">
        <v>6</v>
      </c>
      <c r="AV117" s="1414">
        <v>3</v>
      </c>
      <c r="AW117" s="1413"/>
      <c r="AX117" s="1414"/>
    </row>
    <row r="118" spans="1:50" x14ac:dyDescent="0.3">
      <c r="A118" s="487" t="s">
        <v>232</v>
      </c>
      <c r="B118" s="488" t="s">
        <v>233</v>
      </c>
      <c r="C118" s="494" t="s">
        <v>255</v>
      </c>
      <c r="D118" s="1411">
        <v>121</v>
      </c>
      <c r="E118" s="1411">
        <v>42</v>
      </c>
      <c r="F118" s="1382">
        <f t="shared" si="1"/>
        <v>2.8809523809523809</v>
      </c>
      <c r="G118" s="1413">
        <v>45</v>
      </c>
      <c r="H118" s="1414">
        <v>4</v>
      </c>
      <c r="I118" s="1413"/>
      <c r="J118" s="1414"/>
      <c r="K118" s="1413"/>
      <c r="L118" s="1414"/>
      <c r="M118" s="1413">
        <v>21</v>
      </c>
      <c r="N118" s="1414">
        <v>5</v>
      </c>
      <c r="O118" s="1413"/>
      <c r="P118" s="1414"/>
      <c r="Q118" s="1413">
        <v>6</v>
      </c>
      <c r="R118" s="1414">
        <v>4</v>
      </c>
      <c r="S118" s="1413">
        <v>6</v>
      </c>
      <c r="T118" s="1414">
        <v>6</v>
      </c>
      <c r="U118" s="1413">
        <v>2</v>
      </c>
      <c r="V118" s="1414">
        <v>2</v>
      </c>
      <c r="W118" s="1413">
        <v>4</v>
      </c>
      <c r="X118" s="1414">
        <v>3</v>
      </c>
      <c r="Y118" s="1413"/>
      <c r="Z118" s="1414"/>
      <c r="AA118" s="1413">
        <v>19</v>
      </c>
      <c r="AB118" s="1414">
        <v>6</v>
      </c>
      <c r="AC118" s="1413"/>
      <c r="AD118" s="1414"/>
      <c r="AE118" s="1413"/>
      <c r="AF118" s="1414"/>
      <c r="AG118" s="1413">
        <v>2</v>
      </c>
      <c r="AH118" s="1414">
        <v>2</v>
      </c>
      <c r="AI118" s="1413">
        <v>15</v>
      </c>
      <c r="AJ118" s="1414">
        <v>9</v>
      </c>
      <c r="AK118" s="1413"/>
      <c r="AL118" s="1414"/>
      <c r="AM118" s="1413"/>
      <c r="AN118" s="1414"/>
      <c r="AO118" s="1413"/>
      <c r="AP118" s="1414"/>
      <c r="AQ118" s="1413"/>
      <c r="AR118" s="1414"/>
      <c r="AS118" s="1413"/>
      <c r="AT118" s="1414"/>
      <c r="AU118" s="1413">
        <v>1</v>
      </c>
      <c r="AV118" s="1414">
        <v>1</v>
      </c>
      <c r="AW118" s="1413"/>
      <c r="AX118" s="1414"/>
    </row>
    <row r="119" spans="1:50" x14ac:dyDescent="0.3">
      <c r="A119" s="487" t="s">
        <v>234</v>
      </c>
      <c r="B119" s="488" t="s">
        <v>235</v>
      </c>
      <c r="C119" s="494" t="s">
        <v>256</v>
      </c>
      <c r="D119" s="1411">
        <v>529</v>
      </c>
      <c r="E119" s="1411">
        <v>46</v>
      </c>
      <c r="F119" s="1382">
        <f t="shared" si="1"/>
        <v>11.5</v>
      </c>
      <c r="G119" s="1413">
        <v>58</v>
      </c>
      <c r="H119" s="1414">
        <v>4</v>
      </c>
      <c r="I119" s="1413"/>
      <c r="J119" s="1414"/>
      <c r="K119" s="1413"/>
      <c r="L119" s="1414"/>
      <c r="M119" s="1413">
        <v>45</v>
      </c>
      <c r="N119" s="1414">
        <v>11</v>
      </c>
      <c r="O119" s="1413">
        <v>3</v>
      </c>
      <c r="P119" s="1414">
        <v>3</v>
      </c>
      <c r="Q119" s="1413"/>
      <c r="R119" s="1414"/>
      <c r="S119" s="1413">
        <v>134</v>
      </c>
      <c r="T119" s="1414">
        <v>8</v>
      </c>
      <c r="U119" s="1413">
        <v>23</v>
      </c>
      <c r="V119" s="1414">
        <v>6</v>
      </c>
      <c r="W119" s="1413"/>
      <c r="X119" s="1414"/>
      <c r="Y119" s="1413"/>
      <c r="Z119" s="1414"/>
      <c r="AA119" s="1413">
        <v>43</v>
      </c>
      <c r="AB119" s="1414">
        <v>4</v>
      </c>
      <c r="AC119" s="1413">
        <v>1</v>
      </c>
      <c r="AD119" s="1414">
        <v>1</v>
      </c>
      <c r="AE119" s="1413"/>
      <c r="AF119" s="1414"/>
      <c r="AG119" s="1413"/>
      <c r="AH119" s="1414"/>
      <c r="AI119" s="1413">
        <v>217</v>
      </c>
      <c r="AJ119" s="1414">
        <v>4</v>
      </c>
      <c r="AK119" s="1413"/>
      <c r="AL119" s="1414"/>
      <c r="AM119" s="1413"/>
      <c r="AN119" s="1414"/>
      <c r="AO119" s="1413"/>
      <c r="AP119" s="1414"/>
      <c r="AQ119" s="1413"/>
      <c r="AR119" s="1414"/>
      <c r="AS119" s="1413"/>
      <c r="AT119" s="1414"/>
      <c r="AU119" s="1413">
        <v>5</v>
      </c>
      <c r="AV119" s="1414">
        <v>5</v>
      </c>
      <c r="AW119" s="1413"/>
      <c r="AX119" s="1414"/>
    </row>
    <row r="120" spans="1:50" x14ac:dyDescent="0.3">
      <c r="A120" s="487" t="s">
        <v>236</v>
      </c>
      <c r="B120" s="488" t="s">
        <v>237</v>
      </c>
      <c r="C120" s="494" t="s">
        <v>254</v>
      </c>
      <c r="D120" s="1411">
        <v>49</v>
      </c>
      <c r="E120" s="1411">
        <v>18</v>
      </c>
      <c r="F120" s="1382">
        <f t="shared" si="1"/>
        <v>2.7222222222222223</v>
      </c>
      <c r="G120" s="1413">
        <v>5</v>
      </c>
      <c r="H120" s="1414">
        <v>1</v>
      </c>
      <c r="I120" s="1413"/>
      <c r="J120" s="1414"/>
      <c r="K120" s="1413"/>
      <c r="L120" s="1414"/>
      <c r="M120" s="1413">
        <v>16</v>
      </c>
      <c r="N120" s="1414">
        <v>5</v>
      </c>
      <c r="O120" s="1413"/>
      <c r="P120" s="1414"/>
      <c r="Q120" s="1413">
        <v>1</v>
      </c>
      <c r="R120" s="1414">
        <v>1</v>
      </c>
      <c r="S120" s="1413">
        <v>5</v>
      </c>
      <c r="T120" s="1414">
        <v>3</v>
      </c>
      <c r="U120" s="1413">
        <v>5</v>
      </c>
      <c r="V120" s="1414">
        <v>3</v>
      </c>
      <c r="W120" s="1413">
        <v>2</v>
      </c>
      <c r="X120" s="1414">
        <v>1</v>
      </c>
      <c r="Y120" s="1413"/>
      <c r="Z120" s="1414"/>
      <c r="AA120" s="1413">
        <v>8</v>
      </c>
      <c r="AB120" s="1414">
        <v>2</v>
      </c>
      <c r="AC120" s="1413">
        <v>4</v>
      </c>
      <c r="AD120" s="1414">
        <v>1</v>
      </c>
      <c r="AE120" s="1413"/>
      <c r="AF120" s="1414"/>
      <c r="AG120" s="1413"/>
      <c r="AH120" s="1414"/>
      <c r="AI120" s="1413"/>
      <c r="AJ120" s="1414"/>
      <c r="AK120" s="1413"/>
      <c r="AL120" s="1414"/>
      <c r="AM120" s="1413"/>
      <c r="AN120" s="1414"/>
      <c r="AO120" s="1413"/>
      <c r="AP120" s="1414"/>
      <c r="AQ120" s="1413"/>
      <c r="AR120" s="1414"/>
      <c r="AS120" s="1413"/>
      <c r="AT120" s="1414"/>
      <c r="AU120" s="1413">
        <v>3</v>
      </c>
      <c r="AV120" s="1414">
        <v>1</v>
      </c>
      <c r="AW120" s="1413"/>
      <c r="AX120" s="1414"/>
    </row>
    <row r="121" spans="1:50" x14ac:dyDescent="0.3">
      <c r="A121" s="487" t="s">
        <v>238</v>
      </c>
      <c r="B121" s="488" t="s">
        <v>239</v>
      </c>
      <c r="C121" s="494" t="s">
        <v>252</v>
      </c>
      <c r="D121" s="1411">
        <v>22</v>
      </c>
      <c r="E121" s="1411">
        <v>5</v>
      </c>
      <c r="F121" s="1382">
        <f t="shared" si="1"/>
        <v>4.4000000000000004</v>
      </c>
      <c r="G121" s="1413">
        <v>10</v>
      </c>
      <c r="H121" s="1414">
        <v>1</v>
      </c>
      <c r="I121" s="1413"/>
      <c r="J121" s="1414"/>
      <c r="K121" s="1413"/>
      <c r="L121" s="1414"/>
      <c r="M121" s="1413">
        <v>8</v>
      </c>
      <c r="N121" s="1414">
        <v>3</v>
      </c>
      <c r="O121" s="1413"/>
      <c r="P121" s="1414"/>
      <c r="Q121" s="1413"/>
      <c r="R121" s="1414"/>
      <c r="S121" s="1413"/>
      <c r="T121" s="1414"/>
      <c r="U121" s="1413"/>
      <c r="V121" s="1414"/>
      <c r="W121" s="1413"/>
      <c r="X121" s="1414"/>
      <c r="Y121" s="1413"/>
      <c r="Z121" s="1414"/>
      <c r="AA121" s="1413">
        <v>4</v>
      </c>
      <c r="AB121" s="1414">
        <v>1</v>
      </c>
      <c r="AC121" s="1413"/>
      <c r="AD121" s="1414"/>
      <c r="AE121" s="1413"/>
      <c r="AF121" s="1414"/>
      <c r="AG121" s="1413"/>
      <c r="AH121" s="1414"/>
      <c r="AI121" s="1413"/>
      <c r="AJ121" s="1414"/>
      <c r="AK121" s="1413"/>
      <c r="AL121" s="1414"/>
      <c r="AM121" s="1413"/>
      <c r="AN121" s="1414"/>
      <c r="AO121" s="1413"/>
      <c r="AP121" s="1414"/>
      <c r="AQ121" s="1413"/>
      <c r="AR121" s="1414"/>
      <c r="AS121" s="1413"/>
      <c r="AT121" s="1414"/>
      <c r="AU121" s="1413"/>
      <c r="AV121" s="1414"/>
      <c r="AW121" s="1413"/>
      <c r="AX121" s="1414"/>
    </row>
    <row r="122" spans="1:50" x14ac:dyDescent="0.3">
      <c r="A122" s="881" t="s">
        <v>240</v>
      </c>
      <c r="B122" s="882" t="s">
        <v>241</v>
      </c>
      <c r="C122" s="494" t="s">
        <v>255</v>
      </c>
      <c r="D122" s="1411">
        <v>184</v>
      </c>
      <c r="E122" s="1411">
        <v>36</v>
      </c>
      <c r="F122" s="1382">
        <f t="shared" si="1"/>
        <v>5.1111111111111107</v>
      </c>
      <c r="G122" s="1413">
        <v>36</v>
      </c>
      <c r="H122" s="1414">
        <v>2</v>
      </c>
      <c r="I122" s="1413">
        <v>9</v>
      </c>
      <c r="J122" s="1414">
        <v>3</v>
      </c>
      <c r="K122" s="1413"/>
      <c r="L122" s="1414"/>
      <c r="M122" s="1413">
        <v>78</v>
      </c>
      <c r="N122" s="1414">
        <v>9</v>
      </c>
      <c r="O122" s="1413">
        <v>7</v>
      </c>
      <c r="P122" s="1414">
        <v>4</v>
      </c>
      <c r="Q122" s="1413">
        <v>2</v>
      </c>
      <c r="R122" s="1414">
        <v>2</v>
      </c>
      <c r="S122" s="1413">
        <v>2</v>
      </c>
      <c r="T122" s="1414">
        <v>1</v>
      </c>
      <c r="U122" s="1413"/>
      <c r="V122" s="1414"/>
      <c r="W122" s="1413">
        <v>3</v>
      </c>
      <c r="X122" s="1414">
        <v>2</v>
      </c>
      <c r="Y122" s="1413"/>
      <c r="Z122" s="1414"/>
      <c r="AA122" s="1413">
        <v>43</v>
      </c>
      <c r="AB122" s="1414">
        <v>9</v>
      </c>
      <c r="AC122" s="1413">
        <v>4</v>
      </c>
      <c r="AD122" s="1414">
        <v>4</v>
      </c>
      <c r="AE122" s="1413"/>
      <c r="AF122" s="1414"/>
      <c r="AG122" s="1413"/>
      <c r="AH122" s="1414"/>
      <c r="AI122" s="1413"/>
      <c r="AJ122" s="1414"/>
      <c r="AK122" s="1413"/>
      <c r="AL122" s="1414"/>
      <c r="AM122" s="1413"/>
      <c r="AN122" s="1414"/>
      <c r="AO122" s="1413"/>
      <c r="AP122" s="1414"/>
      <c r="AQ122" s="1413"/>
      <c r="AR122" s="1414"/>
      <c r="AS122" s="1413"/>
      <c r="AT122" s="1414"/>
      <c r="AU122" s="1413"/>
      <c r="AV122" s="1414"/>
      <c r="AW122" s="1413"/>
      <c r="AX122" s="1414"/>
    </row>
    <row r="123" spans="1:50" x14ac:dyDescent="0.3">
      <c r="A123" s="487" t="s">
        <v>242</v>
      </c>
      <c r="B123" s="488" t="s">
        <v>243</v>
      </c>
      <c r="C123" s="494" t="s">
        <v>256</v>
      </c>
      <c r="D123" s="1411">
        <v>371</v>
      </c>
      <c r="E123" s="1411">
        <v>23</v>
      </c>
      <c r="F123" s="1382">
        <f t="shared" si="1"/>
        <v>16.130434782608695</v>
      </c>
      <c r="G123" s="1413">
        <v>105</v>
      </c>
      <c r="H123" s="1414">
        <v>1</v>
      </c>
      <c r="I123" s="1413"/>
      <c r="J123" s="1414"/>
      <c r="K123" s="1413"/>
      <c r="L123" s="1414"/>
      <c r="M123" s="1413">
        <v>114</v>
      </c>
      <c r="N123" s="1414">
        <v>8</v>
      </c>
      <c r="O123" s="1413">
        <v>1</v>
      </c>
      <c r="P123" s="1414">
        <v>1</v>
      </c>
      <c r="Q123" s="1413"/>
      <c r="R123" s="1414"/>
      <c r="S123" s="1413">
        <v>9</v>
      </c>
      <c r="T123" s="1414">
        <v>4</v>
      </c>
      <c r="U123" s="1413">
        <v>5</v>
      </c>
      <c r="V123" s="1414">
        <v>3</v>
      </c>
      <c r="W123" s="1413"/>
      <c r="X123" s="1414"/>
      <c r="Y123" s="1413"/>
      <c r="Z123" s="1414"/>
      <c r="AA123" s="1413">
        <v>136</v>
      </c>
      <c r="AB123" s="1414">
        <v>6</v>
      </c>
      <c r="AC123" s="1413"/>
      <c r="AD123" s="1414"/>
      <c r="AE123" s="1413"/>
      <c r="AF123" s="1414"/>
      <c r="AG123" s="1413"/>
      <c r="AH123" s="1414"/>
      <c r="AI123" s="1413"/>
      <c r="AJ123" s="1414"/>
      <c r="AK123" s="1413"/>
      <c r="AL123" s="1414"/>
      <c r="AM123" s="1413"/>
      <c r="AN123" s="1414"/>
      <c r="AO123" s="1413"/>
      <c r="AP123" s="1414"/>
      <c r="AQ123" s="1413"/>
      <c r="AR123" s="1414"/>
      <c r="AS123" s="1413"/>
      <c r="AT123" s="1414"/>
      <c r="AU123" s="1413"/>
      <c r="AV123" s="1414"/>
      <c r="AW123" s="1413">
        <v>1</v>
      </c>
      <c r="AX123" s="1414">
        <v>0</v>
      </c>
    </row>
    <row r="124" spans="1:50" x14ac:dyDescent="0.3">
      <c r="A124" s="487" t="s">
        <v>244</v>
      </c>
      <c r="B124" s="488" t="s">
        <v>245</v>
      </c>
      <c r="C124" s="494" t="s">
        <v>256</v>
      </c>
      <c r="D124" s="1411">
        <v>276</v>
      </c>
      <c r="E124" s="1411">
        <v>33</v>
      </c>
      <c r="F124" s="1382">
        <f t="shared" si="1"/>
        <v>8.3636363636363633</v>
      </c>
      <c r="G124" s="1413">
        <v>43</v>
      </c>
      <c r="H124" s="1414">
        <v>2</v>
      </c>
      <c r="I124" s="1413"/>
      <c r="J124" s="1414"/>
      <c r="K124" s="1413"/>
      <c r="L124" s="1414"/>
      <c r="M124" s="1413">
        <v>62</v>
      </c>
      <c r="N124" s="1414">
        <v>4</v>
      </c>
      <c r="O124" s="1413">
        <v>4</v>
      </c>
      <c r="P124" s="1414">
        <v>3</v>
      </c>
      <c r="Q124" s="1413">
        <v>2</v>
      </c>
      <c r="R124" s="1414">
        <v>1</v>
      </c>
      <c r="S124" s="1413">
        <v>14</v>
      </c>
      <c r="T124" s="1414">
        <v>2</v>
      </c>
      <c r="U124" s="1413">
        <v>81</v>
      </c>
      <c r="V124" s="1414">
        <v>4</v>
      </c>
      <c r="W124" s="1413">
        <v>3</v>
      </c>
      <c r="X124" s="1414">
        <v>1</v>
      </c>
      <c r="Y124" s="1413"/>
      <c r="Z124" s="1414"/>
      <c r="AA124" s="1413">
        <v>37</v>
      </c>
      <c r="AB124" s="1414">
        <v>7</v>
      </c>
      <c r="AC124" s="1413">
        <v>3</v>
      </c>
      <c r="AD124" s="1414">
        <v>2</v>
      </c>
      <c r="AE124" s="1413"/>
      <c r="AF124" s="1414"/>
      <c r="AG124" s="1413"/>
      <c r="AH124" s="1414"/>
      <c r="AI124" s="1413">
        <v>26</v>
      </c>
      <c r="AJ124" s="1414">
        <v>6</v>
      </c>
      <c r="AK124" s="1413"/>
      <c r="AL124" s="1414"/>
      <c r="AM124" s="1413"/>
      <c r="AN124" s="1414"/>
      <c r="AO124" s="1413"/>
      <c r="AP124" s="1414"/>
      <c r="AQ124" s="1413"/>
      <c r="AR124" s="1414"/>
      <c r="AS124" s="1413"/>
      <c r="AT124" s="1414"/>
      <c r="AU124" s="1413">
        <v>1</v>
      </c>
      <c r="AV124" s="1414">
        <v>1</v>
      </c>
      <c r="AW124" s="1413"/>
      <c r="AX124" s="1414"/>
    </row>
    <row r="125" spans="1:50" x14ac:dyDescent="0.3">
      <c r="A125" s="495" t="s">
        <v>246</v>
      </c>
      <c r="B125" s="496" t="s">
        <v>247</v>
      </c>
      <c r="C125" s="502" t="s">
        <v>252</v>
      </c>
      <c r="D125" s="1411">
        <v>276</v>
      </c>
      <c r="E125" s="1411">
        <v>87</v>
      </c>
      <c r="F125" s="1382">
        <f t="shared" si="1"/>
        <v>3.1724137931034484</v>
      </c>
      <c r="G125" s="1413">
        <v>23</v>
      </c>
      <c r="H125" s="1414">
        <v>12</v>
      </c>
      <c r="I125" s="1413"/>
      <c r="J125" s="1414"/>
      <c r="K125" s="1413"/>
      <c r="L125" s="1414"/>
      <c r="M125" s="1413">
        <v>32</v>
      </c>
      <c r="N125" s="1414">
        <v>14</v>
      </c>
      <c r="O125" s="1413"/>
      <c r="P125" s="1414"/>
      <c r="Q125" s="1413">
        <v>121</v>
      </c>
      <c r="R125" s="1414">
        <v>14</v>
      </c>
      <c r="S125" s="1413">
        <v>35</v>
      </c>
      <c r="T125" s="1414">
        <v>13</v>
      </c>
      <c r="U125" s="1413">
        <v>27</v>
      </c>
      <c r="V125" s="1414">
        <v>15</v>
      </c>
      <c r="W125" s="1413"/>
      <c r="X125" s="1414"/>
      <c r="Y125" s="1413"/>
      <c r="Z125" s="1414"/>
      <c r="AA125" s="1413">
        <v>9</v>
      </c>
      <c r="AB125" s="1414">
        <v>6</v>
      </c>
      <c r="AC125" s="1413">
        <v>7</v>
      </c>
      <c r="AD125" s="1414">
        <v>3</v>
      </c>
      <c r="AE125" s="1413"/>
      <c r="AF125" s="1414"/>
      <c r="AG125" s="1413"/>
      <c r="AH125" s="1414"/>
      <c r="AI125" s="1413">
        <v>21</v>
      </c>
      <c r="AJ125" s="1414">
        <v>9</v>
      </c>
      <c r="AK125" s="1413"/>
      <c r="AL125" s="1414"/>
      <c r="AM125" s="1413"/>
      <c r="AN125" s="1414"/>
      <c r="AO125" s="1413"/>
      <c r="AP125" s="1414"/>
      <c r="AQ125" s="1413">
        <v>1</v>
      </c>
      <c r="AR125" s="1414">
        <v>1</v>
      </c>
      <c r="AS125" s="1413"/>
      <c r="AT125" s="1414"/>
      <c r="AU125" s="1413"/>
      <c r="AV125" s="1414"/>
      <c r="AW125" s="1413"/>
      <c r="AX125" s="1414"/>
    </row>
    <row r="127" spans="1:50" ht="31.5" customHeight="1" x14ac:dyDescent="0.3">
      <c r="A127" s="2762" t="s">
        <v>1007</v>
      </c>
      <c r="B127" s="2762"/>
      <c r="C127" s="2762"/>
      <c r="D127" s="2762"/>
      <c r="E127" s="2762"/>
      <c r="F127" s="2762"/>
    </row>
    <row r="128" spans="1:50" ht="15" customHeight="1" x14ac:dyDescent="0.3">
      <c r="A128" s="1365"/>
      <c r="B128" s="1365"/>
      <c r="C128" s="1365"/>
    </row>
    <row r="129" spans="1:6" ht="15" customHeight="1" x14ac:dyDescent="0.3">
      <c r="A129" s="2759" t="s">
        <v>248</v>
      </c>
      <c r="B129" s="2759"/>
      <c r="C129" s="2759"/>
      <c r="D129" s="2759"/>
      <c r="E129" s="2759"/>
      <c r="F129" s="2759"/>
    </row>
    <row r="130" spans="1:6" ht="15" customHeight="1" x14ac:dyDescent="0.3">
      <c r="A130" s="498" t="s">
        <v>249</v>
      </c>
      <c r="B130" s="499" t="s">
        <v>250</v>
      </c>
      <c r="C130" s="499"/>
    </row>
  </sheetData>
  <mergeCells count="24">
    <mergeCell ref="AQ3:AR3"/>
    <mergeCell ref="AS3:AT3"/>
    <mergeCell ref="AU3:AV3"/>
    <mergeCell ref="AW3:AX3"/>
    <mergeCell ref="A127:F127"/>
    <mergeCell ref="AG3:AH3"/>
    <mergeCell ref="AI3:AJ3"/>
    <mergeCell ref="AK3:AL3"/>
    <mergeCell ref="AM3:AN3"/>
    <mergeCell ref="AO3:AP3"/>
    <mergeCell ref="W3:X3"/>
    <mergeCell ref="Y3:Z3"/>
    <mergeCell ref="AA3:AB3"/>
    <mergeCell ref="AC3:AD3"/>
    <mergeCell ref="AE3:AF3"/>
    <mergeCell ref="M3:N3"/>
    <mergeCell ref="A129:F129"/>
    <mergeCell ref="O3:P3"/>
    <mergeCell ref="Q3:R3"/>
    <mergeCell ref="S3:T3"/>
    <mergeCell ref="U3:V3"/>
    <mergeCell ref="G3:H3"/>
    <mergeCell ref="I3:J3"/>
    <mergeCell ref="K3:L3"/>
  </mergeCells>
  <hyperlinks>
    <hyperlink ref="B130"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130"/>
  <sheetViews>
    <sheetView zoomScaleNormal="100" workbookViewId="0">
      <pane xSplit="3" ySplit="5" topLeftCell="D6" activePane="bottomRight" state="frozen"/>
      <selection pane="topRight" activeCell="D1" sqref="D1"/>
      <selection pane="bottomLeft" activeCell="A6" sqref="A6"/>
      <selection pane="bottomRight" activeCell="D6" sqref="D6"/>
    </sheetView>
  </sheetViews>
  <sheetFormatPr defaultColWidth="9" defaultRowHeight="15.6" x14ac:dyDescent="0.3"/>
  <cols>
    <col min="1" max="1" width="6.796875" style="473" bestFit="1" customWidth="1"/>
    <col min="2" max="2" width="30.796875" style="477" customWidth="1"/>
    <col min="3" max="3" width="12.796875" style="477" customWidth="1"/>
    <col min="4" max="4" width="7.69921875" style="473" bestFit="1" customWidth="1"/>
    <col min="5" max="5" width="8.796875" style="473" bestFit="1" customWidth="1"/>
    <col min="6" max="6" width="9" style="473" customWidth="1"/>
    <col min="7" max="7" width="9.5" style="473" customWidth="1"/>
    <col min="8" max="8" width="11.59765625" style="473" customWidth="1"/>
    <col min="9" max="10" width="9" style="473" customWidth="1"/>
    <col min="11" max="11" width="10.69921875" style="473" customWidth="1"/>
    <col min="12" max="12" width="11.69921875" style="473" customWidth="1"/>
    <col min="13" max="13" width="9" style="473" customWidth="1"/>
    <col min="14" max="14" width="1.5" style="473" customWidth="1"/>
    <col min="15" max="16" width="12" style="473" customWidth="1"/>
    <col min="17" max="17" width="2.69921875" style="473" customWidth="1"/>
    <col min="18" max="18" width="7.09765625" style="473" bestFit="1" customWidth="1"/>
    <col min="19" max="19" width="9" style="473"/>
    <col min="20" max="20" width="3.59765625" style="473" customWidth="1"/>
    <col min="21" max="25" width="10.796875" style="473" customWidth="1"/>
    <col min="26" max="16384" width="9" style="473"/>
  </cols>
  <sheetData>
    <row r="1" spans="1:33" ht="15.75" customHeight="1" x14ac:dyDescent="0.3">
      <c r="A1" s="887" t="s">
        <v>1091</v>
      </c>
      <c r="B1" s="472"/>
      <c r="C1" s="472"/>
      <c r="D1" s="472"/>
      <c r="E1" s="472"/>
      <c r="F1" s="472"/>
      <c r="G1" s="472"/>
      <c r="H1" s="472"/>
      <c r="I1" s="472"/>
      <c r="J1" s="472"/>
      <c r="K1" s="472"/>
      <c r="L1" s="472"/>
      <c r="M1" s="472"/>
      <c r="N1" s="472"/>
      <c r="O1" s="472"/>
      <c r="P1" s="472"/>
      <c r="Q1" s="472"/>
      <c r="R1" s="472"/>
      <c r="S1" s="472"/>
    </row>
    <row r="2" spans="1:33" x14ac:dyDescent="0.3">
      <c r="A2" s="474"/>
      <c r="B2" s="474"/>
      <c r="C2" s="474"/>
      <c r="D2" s="474"/>
      <c r="E2" s="472"/>
      <c r="F2" s="472"/>
      <c r="G2" s="472"/>
      <c r="H2" s="472"/>
      <c r="I2" s="472"/>
      <c r="J2" s="472"/>
      <c r="K2" s="472"/>
      <c r="L2" s="472"/>
      <c r="M2" s="472"/>
      <c r="N2" s="472"/>
      <c r="O2" s="472"/>
      <c r="P2" s="472"/>
      <c r="Q2" s="472"/>
      <c r="R2" s="476"/>
      <c r="S2" s="476"/>
    </row>
    <row r="3" spans="1:33" ht="15.75" customHeight="1" x14ac:dyDescent="0.3">
      <c r="D3" s="2764" t="s">
        <v>617</v>
      </c>
      <c r="E3" s="2764"/>
      <c r="F3" s="2764"/>
      <c r="G3" s="2764"/>
      <c r="H3" s="2764"/>
      <c r="I3" s="2764"/>
      <c r="J3" s="2764"/>
      <c r="K3" s="2764"/>
      <c r="L3" s="2764"/>
      <c r="M3" s="2764"/>
      <c r="N3" s="478"/>
      <c r="O3" s="478"/>
      <c r="P3" s="478"/>
      <c r="Q3" s="478"/>
      <c r="R3" s="2763" t="s">
        <v>268</v>
      </c>
      <c r="S3" s="2763"/>
    </row>
    <row r="4" spans="1:33" ht="62.4" x14ac:dyDescent="0.3">
      <c r="A4" s="479" t="s">
        <v>4</v>
      </c>
      <c r="B4" s="480" t="s">
        <v>5</v>
      </c>
      <c r="C4" s="475" t="s">
        <v>251</v>
      </c>
      <c r="D4" s="1230" t="s">
        <v>269</v>
      </c>
      <c r="E4" s="1230" t="s">
        <v>2</v>
      </c>
      <c r="F4" s="1230" t="s">
        <v>314</v>
      </c>
      <c r="G4" s="1230" t="s">
        <v>411</v>
      </c>
      <c r="H4" s="1230" t="s">
        <v>814</v>
      </c>
      <c r="I4" s="1230" t="s">
        <v>811</v>
      </c>
      <c r="J4" s="1230" t="s">
        <v>420</v>
      </c>
      <c r="K4" s="1230" t="s">
        <v>694</v>
      </c>
      <c r="L4" s="1230" t="s">
        <v>953</v>
      </c>
      <c r="M4" s="1230" t="s">
        <v>782</v>
      </c>
      <c r="N4" s="481"/>
      <c r="O4" s="885" t="s">
        <v>954</v>
      </c>
      <c r="P4" s="1230" t="s">
        <v>955</v>
      </c>
      <c r="Q4" s="885"/>
      <c r="R4" s="481" t="s">
        <v>2</v>
      </c>
      <c r="S4" s="481" t="s">
        <v>3</v>
      </c>
      <c r="U4" s="1079" t="s">
        <v>904</v>
      </c>
      <c r="V4" s="1079" t="s">
        <v>905</v>
      </c>
      <c r="W4" s="1079" t="s">
        <v>789</v>
      </c>
      <c r="X4" s="1079" t="s">
        <v>790</v>
      </c>
      <c r="Y4" s="1079" t="s">
        <v>791</v>
      </c>
      <c r="Z4" s="1079" t="s">
        <v>792</v>
      </c>
      <c r="AA4" s="1079" t="s">
        <v>621</v>
      </c>
      <c r="AB4" s="1079" t="s">
        <v>269</v>
      </c>
      <c r="AC4" s="1079" t="s">
        <v>788</v>
      </c>
      <c r="AD4" s="1079" t="s">
        <v>789</v>
      </c>
      <c r="AE4" s="1361" t="s">
        <v>790</v>
      </c>
      <c r="AF4" s="1079" t="s">
        <v>791</v>
      </c>
      <c r="AG4" s="1079" t="s">
        <v>792</v>
      </c>
    </row>
    <row r="5" spans="1:33" x14ac:dyDescent="0.3">
      <c r="A5" s="482" t="s">
        <v>8</v>
      </c>
      <c r="B5" s="483" t="s">
        <v>9</v>
      </c>
      <c r="C5" s="483"/>
      <c r="D5" s="484">
        <f t="shared" ref="D5:M5" si="0">SUM(D6:D125)</f>
        <v>4919</v>
      </c>
      <c r="E5" s="484">
        <f t="shared" si="0"/>
        <v>2517</v>
      </c>
      <c r="F5" s="484">
        <f t="shared" si="0"/>
        <v>1343</v>
      </c>
      <c r="G5" s="484">
        <f t="shared" si="0"/>
        <v>23</v>
      </c>
      <c r="H5" s="484">
        <f t="shared" si="0"/>
        <v>3</v>
      </c>
      <c r="I5" s="484">
        <f t="shared" si="0"/>
        <v>1</v>
      </c>
      <c r="J5" s="484">
        <f>SUM(J6:J125)</f>
        <v>517</v>
      </c>
      <c r="K5" s="484">
        <f>SUM(K6:K125)</f>
        <v>466</v>
      </c>
      <c r="L5" s="484">
        <f t="shared" si="0"/>
        <v>41</v>
      </c>
      <c r="M5" s="484">
        <f t="shared" si="0"/>
        <v>8</v>
      </c>
      <c r="N5" s="485"/>
      <c r="O5" s="485">
        <f>SUM(O6:O125)</f>
        <v>1010</v>
      </c>
      <c r="P5" s="485">
        <f>SUM(P6:P125)</f>
        <v>49</v>
      </c>
      <c r="Q5" s="485"/>
      <c r="R5" s="486">
        <f>+E5/D5</f>
        <v>0.51168936775767437</v>
      </c>
      <c r="S5" s="486">
        <f>+F5/D5</f>
        <v>0.27302297214881072</v>
      </c>
      <c r="U5" s="485">
        <f t="shared" ref="U5:AG5" si="1">SUM(U6:U125)</f>
        <v>278</v>
      </c>
      <c r="V5" s="485">
        <f t="shared" si="1"/>
        <v>1281</v>
      </c>
      <c r="W5" s="485">
        <f t="shared" si="1"/>
        <v>1041</v>
      </c>
      <c r="X5" s="485">
        <f t="shared" si="1"/>
        <v>1279</v>
      </c>
      <c r="Y5" s="485">
        <f t="shared" si="1"/>
        <v>1039</v>
      </c>
      <c r="Z5" s="485">
        <f t="shared" si="1"/>
        <v>1</v>
      </c>
      <c r="AA5" s="485">
        <f t="shared" si="1"/>
        <v>0</v>
      </c>
      <c r="AB5" s="485">
        <f t="shared" si="1"/>
        <v>4919</v>
      </c>
      <c r="AC5" s="485">
        <f t="shared" si="1"/>
        <v>1559</v>
      </c>
      <c r="AD5" s="485">
        <f t="shared" si="1"/>
        <v>1041</v>
      </c>
      <c r="AE5" s="485">
        <f t="shared" si="1"/>
        <v>1279</v>
      </c>
      <c r="AF5" s="485">
        <f t="shared" si="1"/>
        <v>1039</v>
      </c>
      <c r="AG5" s="485">
        <f t="shared" si="1"/>
        <v>1</v>
      </c>
    </row>
    <row r="6" spans="1:33" x14ac:dyDescent="0.3">
      <c r="A6" s="487" t="s">
        <v>10</v>
      </c>
      <c r="B6" s="488" t="s">
        <v>11</v>
      </c>
      <c r="C6" s="489" t="s">
        <v>252</v>
      </c>
      <c r="D6" s="490">
        <v>14</v>
      </c>
      <c r="E6" s="490">
        <v>9</v>
      </c>
      <c r="F6" s="490">
        <v>5</v>
      </c>
      <c r="G6" s="490">
        <v>0</v>
      </c>
      <c r="H6" s="490">
        <v>0</v>
      </c>
      <c r="I6" s="490">
        <v>0</v>
      </c>
      <c r="J6" s="490">
        <v>0</v>
      </c>
      <c r="K6" s="490">
        <v>0</v>
      </c>
      <c r="L6" s="490">
        <v>0</v>
      </c>
      <c r="M6" s="490">
        <v>0</v>
      </c>
      <c r="N6" s="491"/>
      <c r="O6" s="491">
        <f t="shared" ref="O6:O37" si="2">SUM(G6:K6)</f>
        <v>0</v>
      </c>
      <c r="P6" s="491">
        <f t="shared" ref="P6:P37" si="3">L6+M6</f>
        <v>0</v>
      </c>
      <c r="Q6" s="491"/>
      <c r="R6" s="492">
        <f t="shared" ref="R6:R37" si="4">IF(D6=0,"N/A",+E6/D6)</f>
        <v>0.6428571428571429</v>
      </c>
      <c r="S6" s="492">
        <f t="shared" ref="S6:S37" si="5">IF(D6=0,"N/A",+F6/D6)</f>
        <v>0.35714285714285715</v>
      </c>
      <c r="U6" s="473">
        <v>0</v>
      </c>
      <c r="V6" s="473">
        <v>4</v>
      </c>
      <c r="W6" s="473">
        <v>5</v>
      </c>
      <c r="X6" s="473">
        <v>3</v>
      </c>
      <c r="Y6" s="473">
        <v>2</v>
      </c>
      <c r="Z6" s="473">
        <v>0</v>
      </c>
      <c r="AA6" s="473">
        <v>0</v>
      </c>
      <c r="AB6" s="473">
        <v>14</v>
      </c>
      <c r="AC6" s="473">
        <f t="shared" ref="AC6:AC37" si="6">U6+V6</f>
        <v>4</v>
      </c>
      <c r="AD6" s="473">
        <f t="shared" ref="AD6:AD37" si="7">W6</f>
        <v>5</v>
      </c>
      <c r="AE6" s="473">
        <f t="shared" ref="AE6:AE37" si="8">X6</f>
        <v>3</v>
      </c>
      <c r="AF6" s="473">
        <f t="shared" ref="AF6:AF37" si="9">Y6</f>
        <v>2</v>
      </c>
      <c r="AG6" s="473">
        <f t="shared" ref="AG6:AG37" si="10">Z6</f>
        <v>0</v>
      </c>
    </row>
    <row r="7" spans="1:33" x14ac:dyDescent="0.3">
      <c r="A7" s="487" t="s">
        <v>12</v>
      </c>
      <c r="B7" s="488" t="s">
        <v>13</v>
      </c>
      <c r="C7" s="489" t="s">
        <v>253</v>
      </c>
      <c r="D7" s="490">
        <v>91</v>
      </c>
      <c r="E7" s="490">
        <v>37</v>
      </c>
      <c r="F7" s="490">
        <v>32</v>
      </c>
      <c r="G7" s="490">
        <v>0</v>
      </c>
      <c r="H7" s="490">
        <v>0</v>
      </c>
      <c r="I7" s="490">
        <v>0</v>
      </c>
      <c r="J7" s="490">
        <v>10</v>
      </c>
      <c r="K7" s="490">
        <v>11</v>
      </c>
      <c r="L7" s="490">
        <v>0</v>
      </c>
      <c r="M7" s="490">
        <v>1</v>
      </c>
      <c r="N7" s="491"/>
      <c r="O7" s="491">
        <f t="shared" si="2"/>
        <v>21</v>
      </c>
      <c r="P7" s="491">
        <f t="shared" si="3"/>
        <v>1</v>
      </c>
      <c r="Q7" s="491"/>
      <c r="R7" s="492">
        <f t="shared" si="4"/>
        <v>0.40659340659340659</v>
      </c>
      <c r="S7" s="492">
        <f t="shared" si="5"/>
        <v>0.35164835164835168</v>
      </c>
      <c r="U7" s="473">
        <v>4</v>
      </c>
      <c r="V7" s="473">
        <v>33</v>
      </c>
      <c r="W7" s="473">
        <v>25</v>
      </c>
      <c r="X7" s="473">
        <v>20</v>
      </c>
      <c r="Y7" s="473">
        <v>9</v>
      </c>
      <c r="Z7" s="473">
        <v>0</v>
      </c>
      <c r="AA7" s="473">
        <v>0</v>
      </c>
      <c r="AB7" s="473">
        <v>91</v>
      </c>
      <c r="AC7" s="473">
        <f t="shared" si="6"/>
        <v>37</v>
      </c>
      <c r="AD7" s="473">
        <f t="shared" si="7"/>
        <v>25</v>
      </c>
      <c r="AE7" s="473">
        <f t="shared" si="8"/>
        <v>20</v>
      </c>
      <c r="AF7" s="473">
        <f t="shared" si="9"/>
        <v>9</v>
      </c>
      <c r="AG7" s="473">
        <f t="shared" si="10"/>
        <v>0</v>
      </c>
    </row>
    <row r="8" spans="1:33" x14ac:dyDescent="0.3">
      <c r="A8" s="487" t="s">
        <v>16</v>
      </c>
      <c r="B8" s="488" t="s">
        <v>17</v>
      </c>
      <c r="C8" s="489" t="s">
        <v>253</v>
      </c>
      <c r="D8" s="490">
        <v>16</v>
      </c>
      <c r="E8" s="490">
        <v>12</v>
      </c>
      <c r="F8" s="490">
        <v>1</v>
      </c>
      <c r="G8" s="490">
        <v>0</v>
      </c>
      <c r="H8" s="490">
        <v>0</v>
      </c>
      <c r="I8" s="490">
        <v>0</v>
      </c>
      <c r="J8" s="490">
        <v>2</v>
      </c>
      <c r="K8" s="490">
        <v>1</v>
      </c>
      <c r="L8" s="490">
        <v>0</v>
      </c>
      <c r="M8" s="490">
        <v>0</v>
      </c>
      <c r="N8" s="491"/>
      <c r="O8" s="491">
        <f t="shared" si="2"/>
        <v>3</v>
      </c>
      <c r="P8" s="491">
        <f t="shared" si="3"/>
        <v>0</v>
      </c>
      <c r="Q8" s="491"/>
      <c r="R8" s="492">
        <f t="shared" si="4"/>
        <v>0.75</v>
      </c>
      <c r="S8" s="492">
        <f t="shared" si="5"/>
        <v>6.25E-2</v>
      </c>
      <c r="U8" s="473">
        <v>0</v>
      </c>
      <c r="V8" s="473">
        <v>3</v>
      </c>
      <c r="W8" s="473">
        <v>5</v>
      </c>
      <c r="X8" s="473">
        <v>3</v>
      </c>
      <c r="Y8" s="473">
        <v>5</v>
      </c>
      <c r="Z8" s="473">
        <v>0</v>
      </c>
      <c r="AA8" s="473">
        <v>0</v>
      </c>
      <c r="AB8" s="473">
        <v>16</v>
      </c>
      <c r="AC8" s="473">
        <f t="shared" si="6"/>
        <v>3</v>
      </c>
      <c r="AD8" s="473">
        <f t="shared" si="7"/>
        <v>5</v>
      </c>
      <c r="AE8" s="473">
        <f t="shared" si="8"/>
        <v>3</v>
      </c>
      <c r="AF8" s="473">
        <f t="shared" si="9"/>
        <v>5</v>
      </c>
      <c r="AG8" s="473">
        <f t="shared" si="10"/>
        <v>0</v>
      </c>
    </row>
    <row r="9" spans="1:33" x14ac:dyDescent="0.3">
      <c r="A9" s="487" t="s">
        <v>18</v>
      </c>
      <c r="B9" s="488" t="s">
        <v>19</v>
      </c>
      <c r="C9" s="489" t="s">
        <v>254</v>
      </c>
      <c r="D9" s="490">
        <v>5</v>
      </c>
      <c r="E9" s="490">
        <v>5</v>
      </c>
      <c r="F9" s="490">
        <v>0</v>
      </c>
      <c r="G9" s="490">
        <v>0</v>
      </c>
      <c r="H9" s="490">
        <v>0</v>
      </c>
      <c r="I9" s="490">
        <v>0</v>
      </c>
      <c r="J9" s="490">
        <v>0</v>
      </c>
      <c r="K9" s="490">
        <v>0</v>
      </c>
      <c r="L9" s="490">
        <v>0</v>
      </c>
      <c r="M9" s="490">
        <v>0</v>
      </c>
      <c r="N9" s="491"/>
      <c r="O9" s="491">
        <f t="shared" si="2"/>
        <v>0</v>
      </c>
      <c r="P9" s="491">
        <f t="shared" si="3"/>
        <v>0</v>
      </c>
      <c r="Q9" s="491"/>
      <c r="R9" s="492">
        <f t="shared" si="4"/>
        <v>1</v>
      </c>
      <c r="S9" s="492">
        <f t="shared" si="5"/>
        <v>0</v>
      </c>
      <c r="U9" s="473">
        <v>1</v>
      </c>
      <c r="V9" s="473">
        <v>2</v>
      </c>
      <c r="W9" s="473">
        <v>1</v>
      </c>
      <c r="X9" s="473">
        <v>1</v>
      </c>
      <c r="Y9" s="473">
        <v>0</v>
      </c>
      <c r="Z9" s="473">
        <v>0</v>
      </c>
      <c r="AA9" s="473">
        <v>0</v>
      </c>
      <c r="AB9" s="473">
        <v>5</v>
      </c>
      <c r="AC9" s="473">
        <f t="shared" si="6"/>
        <v>3</v>
      </c>
      <c r="AD9" s="473">
        <f t="shared" si="7"/>
        <v>1</v>
      </c>
      <c r="AE9" s="473">
        <f t="shared" si="8"/>
        <v>1</v>
      </c>
      <c r="AF9" s="473">
        <f t="shared" si="9"/>
        <v>0</v>
      </c>
      <c r="AG9" s="473">
        <f t="shared" si="10"/>
        <v>0</v>
      </c>
    </row>
    <row r="10" spans="1:33" x14ac:dyDescent="0.3">
      <c r="A10" s="487" t="s">
        <v>20</v>
      </c>
      <c r="B10" s="488" t="s">
        <v>21</v>
      </c>
      <c r="C10" s="489" t="s">
        <v>253</v>
      </c>
      <c r="D10" s="490">
        <v>33</v>
      </c>
      <c r="E10" s="490">
        <v>20</v>
      </c>
      <c r="F10" s="490">
        <v>11</v>
      </c>
      <c r="G10" s="490">
        <v>0</v>
      </c>
      <c r="H10" s="490">
        <v>0</v>
      </c>
      <c r="I10" s="490">
        <v>0</v>
      </c>
      <c r="J10" s="490">
        <v>0</v>
      </c>
      <c r="K10" s="490">
        <v>2</v>
      </c>
      <c r="L10" s="490">
        <v>0</v>
      </c>
      <c r="M10" s="490">
        <v>0</v>
      </c>
      <c r="N10" s="491"/>
      <c r="O10" s="491">
        <f t="shared" si="2"/>
        <v>2</v>
      </c>
      <c r="P10" s="491">
        <f t="shared" si="3"/>
        <v>0</v>
      </c>
      <c r="Q10" s="491"/>
      <c r="R10" s="492">
        <f t="shared" si="4"/>
        <v>0.60606060606060608</v>
      </c>
      <c r="S10" s="492">
        <f t="shared" si="5"/>
        <v>0.33333333333333331</v>
      </c>
      <c r="U10" s="473">
        <v>0</v>
      </c>
      <c r="V10" s="473">
        <v>13</v>
      </c>
      <c r="W10" s="473">
        <v>8</v>
      </c>
      <c r="X10" s="473">
        <v>5</v>
      </c>
      <c r="Y10" s="473">
        <v>7</v>
      </c>
      <c r="Z10" s="473">
        <v>0</v>
      </c>
      <c r="AA10" s="473">
        <v>0</v>
      </c>
      <c r="AB10" s="473">
        <v>33</v>
      </c>
      <c r="AC10" s="473">
        <f t="shared" si="6"/>
        <v>13</v>
      </c>
      <c r="AD10" s="473">
        <f t="shared" si="7"/>
        <v>8</v>
      </c>
      <c r="AE10" s="473">
        <f t="shared" si="8"/>
        <v>5</v>
      </c>
      <c r="AF10" s="473">
        <f t="shared" si="9"/>
        <v>7</v>
      </c>
      <c r="AG10" s="473">
        <f t="shared" si="10"/>
        <v>0</v>
      </c>
    </row>
    <row r="11" spans="1:33" x14ac:dyDescent="0.3">
      <c r="A11" s="487" t="s">
        <v>22</v>
      </c>
      <c r="B11" s="488" t="s">
        <v>23</v>
      </c>
      <c r="C11" s="489" t="s">
        <v>253</v>
      </c>
      <c r="D11" s="490">
        <v>21</v>
      </c>
      <c r="E11" s="490">
        <v>13</v>
      </c>
      <c r="F11" s="490">
        <v>3</v>
      </c>
      <c r="G11" s="490">
        <v>0</v>
      </c>
      <c r="H11" s="490">
        <v>0</v>
      </c>
      <c r="I11" s="490">
        <v>0</v>
      </c>
      <c r="J11" s="490">
        <v>1</v>
      </c>
      <c r="K11" s="490">
        <v>4</v>
      </c>
      <c r="L11" s="490">
        <v>0</v>
      </c>
      <c r="M11" s="490">
        <v>0</v>
      </c>
      <c r="N11" s="491"/>
      <c r="O11" s="491">
        <f t="shared" si="2"/>
        <v>5</v>
      </c>
      <c r="P11" s="491">
        <f t="shared" si="3"/>
        <v>0</v>
      </c>
      <c r="Q11" s="491"/>
      <c r="R11" s="492">
        <f t="shared" si="4"/>
        <v>0.61904761904761907</v>
      </c>
      <c r="S11" s="492">
        <f t="shared" si="5"/>
        <v>0.14285714285714285</v>
      </c>
      <c r="U11" s="473">
        <v>1</v>
      </c>
      <c r="V11" s="473">
        <v>7</v>
      </c>
      <c r="W11" s="473">
        <v>2</v>
      </c>
      <c r="X11" s="473">
        <v>8</v>
      </c>
      <c r="Y11" s="473">
        <v>3</v>
      </c>
      <c r="Z11" s="473">
        <v>0</v>
      </c>
      <c r="AA11" s="473">
        <v>0</v>
      </c>
      <c r="AB11" s="473">
        <v>21</v>
      </c>
      <c r="AC11" s="473">
        <f t="shared" si="6"/>
        <v>8</v>
      </c>
      <c r="AD11" s="473">
        <f t="shared" si="7"/>
        <v>2</v>
      </c>
      <c r="AE11" s="473">
        <f t="shared" si="8"/>
        <v>8</v>
      </c>
      <c r="AF11" s="473">
        <f t="shared" si="9"/>
        <v>3</v>
      </c>
      <c r="AG11" s="473">
        <f t="shared" si="10"/>
        <v>0</v>
      </c>
    </row>
    <row r="12" spans="1:33" x14ac:dyDescent="0.3">
      <c r="A12" s="487" t="s">
        <v>24</v>
      </c>
      <c r="B12" s="488" t="s">
        <v>25</v>
      </c>
      <c r="C12" s="489" t="s">
        <v>255</v>
      </c>
      <c r="D12" s="490">
        <v>61</v>
      </c>
      <c r="E12" s="490">
        <v>8</v>
      </c>
      <c r="F12" s="490">
        <v>24</v>
      </c>
      <c r="G12" s="490">
        <v>2</v>
      </c>
      <c r="H12" s="490">
        <v>0</v>
      </c>
      <c r="I12" s="490">
        <v>0</v>
      </c>
      <c r="J12" s="490">
        <v>23</v>
      </c>
      <c r="K12" s="490">
        <v>3</v>
      </c>
      <c r="L12" s="490">
        <v>1</v>
      </c>
      <c r="M12" s="490">
        <v>0</v>
      </c>
      <c r="N12" s="491"/>
      <c r="O12" s="491">
        <f t="shared" si="2"/>
        <v>28</v>
      </c>
      <c r="P12" s="491">
        <f t="shared" si="3"/>
        <v>1</v>
      </c>
      <c r="Q12" s="491"/>
      <c r="R12" s="492">
        <f t="shared" si="4"/>
        <v>0.13114754098360656</v>
      </c>
      <c r="S12" s="492">
        <f t="shared" si="5"/>
        <v>0.39344262295081966</v>
      </c>
      <c r="U12" s="473">
        <v>5</v>
      </c>
      <c r="V12" s="473">
        <v>20</v>
      </c>
      <c r="W12" s="473">
        <v>14</v>
      </c>
      <c r="X12" s="473">
        <v>8</v>
      </c>
      <c r="Y12" s="473">
        <v>14</v>
      </c>
      <c r="Z12" s="473">
        <v>0</v>
      </c>
      <c r="AA12" s="473">
        <v>0</v>
      </c>
      <c r="AB12" s="473">
        <v>61</v>
      </c>
      <c r="AC12" s="473">
        <f t="shared" si="6"/>
        <v>25</v>
      </c>
      <c r="AD12" s="473">
        <f t="shared" si="7"/>
        <v>14</v>
      </c>
      <c r="AE12" s="473">
        <f t="shared" si="8"/>
        <v>8</v>
      </c>
      <c r="AF12" s="473">
        <f t="shared" si="9"/>
        <v>14</v>
      </c>
      <c r="AG12" s="473">
        <f t="shared" si="10"/>
        <v>0</v>
      </c>
    </row>
    <row r="13" spans="1:33" x14ac:dyDescent="0.3">
      <c r="A13" s="487" t="s">
        <v>26</v>
      </c>
      <c r="B13" s="488" t="s">
        <v>547</v>
      </c>
      <c r="C13" s="489" t="s">
        <v>253</v>
      </c>
      <c r="D13" s="490">
        <v>151</v>
      </c>
      <c r="E13" s="490">
        <v>113</v>
      </c>
      <c r="F13" s="490">
        <v>15</v>
      </c>
      <c r="G13" s="490">
        <v>2</v>
      </c>
      <c r="H13" s="490">
        <v>2</v>
      </c>
      <c r="I13" s="490">
        <v>0</v>
      </c>
      <c r="J13" s="490">
        <v>11</v>
      </c>
      <c r="K13" s="490">
        <v>8</v>
      </c>
      <c r="L13" s="490">
        <v>0</v>
      </c>
      <c r="M13" s="490">
        <v>0</v>
      </c>
      <c r="N13" s="491"/>
      <c r="O13" s="491">
        <f t="shared" si="2"/>
        <v>23</v>
      </c>
      <c r="P13" s="491">
        <f t="shared" si="3"/>
        <v>0</v>
      </c>
      <c r="Q13" s="491"/>
      <c r="R13" s="492">
        <f t="shared" si="4"/>
        <v>0.7483443708609272</v>
      </c>
      <c r="S13" s="492">
        <f t="shared" si="5"/>
        <v>9.9337748344370855E-2</v>
      </c>
      <c r="U13" s="473">
        <v>3</v>
      </c>
      <c r="V13" s="473">
        <v>38</v>
      </c>
      <c r="W13" s="473">
        <v>38</v>
      </c>
      <c r="X13" s="473">
        <v>45</v>
      </c>
      <c r="Y13" s="473">
        <v>27</v>
      </c>
      <c r="Z13" s="473">
        <v>0</v>
      </c>
      <c r="AA13" s="473">
        <v>0</v>
      </c>
      <c r="AB13" s="473">
        <v>151</v>
      </c>
      <c r="AC13" s="473">
        <f t="shared" si="6"/>
        <v>41</v>
      </c>
      <c r="AD13" s="473">
        <f t="shared" si="7"/>
        <v>38</v>
      </c>
      <c r="AE13" s="473">
        <f t="shared" si="8"/>
        <v>45</v>
      </c>
      <c r="AF13" s="473">
        <f t="shared" si="9"/>
        <v>27</v>
      </c>
      <c r="AG13" s="473">
        <f t="shared" si="10"/>
        <v>0</v>
      </c>
    </row>
    <row r="14" spans="1:33" x14ac:dyDescent="0.3">
      <c r="A14" s="493" t="s">
        <v>27</v>
      </c>
      <c r="B14" s="488" t="s">
        <v>28</v>
      </c>
      <c r="C14" s="494" t="s">
        <v>253</v>
      </c>
      <c r="D14" s="490">
        <v>0</v>
      </c>
      <c r="E14" s="490">
        <v>0</v>
      </c>
      <c r="F14" s="490">
        <v>0</v>
      </c>
      <c r="G14" s="490">
        <v>0</v>
      </c>
      <c r="H14" s="490">
        <v>0</v>
      </c>
      <c r="I14" s="490">
        <v>0</v>
      </c>
      <c r="J14" s="490">
        <v>0</v>
      </c>
      <c r="K14" s="490">
        <v>0</v>
      </c>
      <c r="L14" s="490">
        <v>0</v>
      </c>
      <c r="M14" s="490">
        <v>0</v>
      </c>
      <c r="N14" s="491"/>
      <c r="O14" s="491">
        <f t="shared" si="2"/>
        <v>0</v>
      </c>
      <c r="P14" s="491">
        <f t="shared" si="3"/>
        <v>0</v>
      </c>
      <c r="Q14" s="491"/>
      <c r="R14" s="492" t="str">
        <f t="shared" si="4"/>
        <v>N/A</v>
      </c>
      <c r="S14" s="492" t="str">
        <f t="shared" si="5"/>
        <v>N/A</v>
      </c>
      <c r="U14" s="473">
        <v>0</v>
      </c>
      <c r="V14" s="473">
        <v>0</v>
      </c>
      <c r="W14" s="473">
        <v>0</v>
      </c>
      <c r="X14" s="473">
        <v>0</v>
      </c>
      <c r="Y14" s="473">
        <v>0</v>
      </c>
      <c r="Z14" s="473">
        <v>0</v>
      </c>
      <c r="AA14" s="473">
        <v>0</v>
      </c>
      <c r="AB14" s="473">
        <v>0</v>
      </c>
      <c r="AC14" s="473">
        <f t="shared" si="6"/>
        <v>0</v>
      </c>
      <c r="AD14" s="473">
        <f t="shared" si="7"/>
        <v>0</v>
      </c>
      <c r="AE14" s="473">
        <f t="shared" si="8"/>
        <v>0</v>
      </c>
      <c r="AF14" s="473">
        <f t="shared" si="9"/>
        <v>0</v>
      </c>
      <c r="AG14" s="473">
        <f t="shared" si="10"/>
        <v>0</v>
      </c>
    </row>
    <row r="15" spans="1:33" x14ac:dyDescent="0.3">
      <c r="A15" s="487" t="s">
        <v>29</v>
      </c>
      <c r="B15" s="488" t="s">
        <v>736</v>
      </c>
      <c r="C15" s="494" t="s">
        <v>253</v>
      </c>
      <c r="D15" s="490">
        <v>81</v>
      </c>
      <c r="E15" s="490">
        <v>62</v>
      </c>
      <c r="F15" s="490">
        <v>8</v>
      </c>
      <c r="G15" s="490">
        <v>0</v>
      </c>
      <c r="H15" s="490">
        <v>0</v>
      </c>
      <c r="I15" s="490">
        <v>0</v>
      </c>
      <c r="J15" s="490">
        <v>3</v>
      </c>
      <c r="K15" s="490">
        <v>8</v>
      </c>
      <c r="L15" s="490">
        <v>0</v>
      </c>
      <c r="M15" s="490">
        <v>0</v>
      </c>
      <c r="N15" s="491"/>
      <c r="O15" s="491">
        <f t="shared" si="2"/>
        <v>11</v>
      </c>
      <c r="P15" s="491">
        <f t="shared" si="3"/>
        <v>0</v>
      </c>
      <c r="Q15" s="491"/>
      <c r="R15" s="492">
        <f t="shared" si="4"/>
        <v>0.76543209876543206</v>
      </c>
      <c r="S15" s="492">
        <f t="shared" si="5"/>
        <v>9.8765432098765427E-2</v>
      </c>
      <c r="U15" s="473">
        <v>3</v>
      </c>
      <c r="V15" s="473">
        <v>11</v>
      </c>
      <c r="W15" s="473">
        <v>23</v>
      </c>
      <c r="X15" s="473">
        <v>24</v>
      </c>
      <c r="Y15" s="473">
        <v>20</v>
      </c>
      <c r="Z15" s="473">
        <v>0</v>
      </c>
      <c r="AA15" s="473">
        <v>0</v>
      </c>
      <c r="AB15" s="473">
        <v>81</v>
      </c>
      <c r="AC15" s="473">
        <f t="shared" si="6"/>
        <v>14</v>
      </c>
      <c r="AD15" s="473">
        <f t="shared" si="7"/>
        <v>23</v>
      </c>
      <c r="AE15" s="473">
        <f t="shared" si="8"/>
        <v>24</v>
      </c>
      <c r="AF15" s="473">
        <f t="shared" si="9"/>
        <v>20</v>
      </c>
      <c r="AG15" s="473">
        <f t="shared" si="10"/>
        <v>0</v>
      </c>
    </row>
    <row r="16" spans="1:33" x14ac:dyDescent="0.3">
      <c r="A16" s="487" t="s">
        <v>30</v>
      </c>
      <c r="B16" s="488" t="s">
        <v>31</v>
      </c>
      <c r="C16" s="494" t="s">
        <v>256</v>
      </c>
      <c r="D16" s="490">
        <v>7</v>
      </c>
      <c r="E16" s="490">
        <v>6</v>
      </c>
      <c r="F16" s="490">
        <v>0</v>
      </c>
      <c r="G16" s="490">
        <v>0</v>
      </c>
      <c r="H16" s="490">
        <v>0</v>
      </c>
      <c r="I16" s="490">
        <v>0</v>
      </c>
      <c r="J16" s="490">
        <v>0</v>
      </c>
      <c r="K16" s="490">
        <v>1</v>
      </c>
      <c r="L16" s="490">
        <v>0</v>
      </c>
      <c r="M16" s="490">
        <v>0</v>
      </c>
      <c r="N16" s="491"/>
      <c r="O16" s="491">
        <f t="shared" si="2"/>
        <v>1</v>
      </c>
      <c r="P16" s="491">
        <f t="shared" si="3"/>
        <v>0</v>
      </c>
      <c r="Q16" s="491"/>
      <c r="R16" s="492">
        <f t="shared" si="4"/>
        <v>0.8571428571428571</v>
      </c>
      <c r="S16" s="492">
        <f t="shared" si="5"/>
        <v>0</v>
      </c>
      <c r="U16" s="473">
        <v>0</v>
      </c>
      <c r="V16" s="473">
        <v>1</v>
      </c>
      <c r="W16" s="473">
        <v>2</v>
      </c>
      <c r="X16" s="473">
        <v>3</v>
      </c>
      <c r="Y16" s="473">
        <v>1</v>
      </c>
      <c r="Z16" s="473">
        <v>0</v>
      </c>
      <c r="AA16" s="473">
        <v>0</v>
      </c>
      <c r="AB16" s="473">
        <v>7</v>
      </c>
      <c r="AC16" s="473">
        <f t="shared" si="6"/>
        <v>1</v>
      </c>
      <c r="AD16" s="473">
        <f t="shared" si="7"/>
        <v>2</v>
      </c>
      <c r="AE16" s="473">
        <f t="shared" si="8"/>
        <v>3</v>
      </c>
      <c r="AF16" s="473">
        <f t="shared" si="9"/>
        <v>1</v>
      </c>
      <c r="AG16" s="473">
        <f t="shared" si="10"/>
        <v>0</v>
      </c>
    </row>
    <row r="17" spans="1:33" x14ac:dyDescent="0.3">
      <c r="A17" s="487" t="s">
        <v>32</v>
      </c>
      <c r="B17" s="488" t="s">
        <v>33</v>
      </c>
      <c r="C17" s="494" t="s">
        <v>253</v>
      </c>
      <c r="D17" s="490">
        <v>14</v>
      </c>
      <c r="E17" s="490">
        <v>11</v>
      </c>
      <c r="F17" s="490">
        <v>1</v>
      </c>
      <c r="G17" s="490">
        <v>0</v>
      </c>
      <c r="H17" s="490">
        <v>0</v>
      </c>
      <c r="I17" s="490">
        <v>0</v>
      </c>
      <c r="J17" s="490">
        <v>1</v>
      </c>
      <c r="K17" s="490">
        <v>1</v>
      </c>
      <c r="L17" s="490">
        <v>0</v>
      </c>
      <c r="M17" s="490">
        <v>0</v>
      </c>
      <c r="N17" s="491"/>
      <c r="O17" s="491">
        <f t="shared" si="2"/>
        <v>2</v>
      </c>
      <c r="P17" s="491">
        <f t="shared" si="3"/>
        <v>0</v>
      </c>
      <c r="Q17" s="491"/>
      <c r="R17" s="492">
        <f t="shared" si="4"/>
        <v>0.7857142857142857</v>
      </c>
      <c r="S17" s="492">
        <f t="shared" si="5"/>
        <v>7.1428571428571425E-2</v>
      </c>
      <c r="U17" s="473">
        <v>0</v>
      </c>
      <c r="V17" s="473">
        <v>3</v>
      </c>
      <c r="W17" s="473">
        <v>3</v>
      </c>
      <c r="X17" s="473">
        <v>6</v>
      </c>
      <c r="Y17" s="473">
        <v>2</v>
      </c>
      <c r="Z17" s="473">
        <v>0</v>
      </c>
      <c r="AA17" s="473">
        <v>0</v>
      </c>
      <c r="AB17" s="473">
        <v>14</v>
      </c>
      <c r="AC17" s="473">
        <f t="shared" si="6"/>
        <v>3</v>
      </c>
      <c r="AD17" s="473">
        <f t="shared" si="7"/>
        <v>3</v>
      </c>
      <c r="AE17" s="473">
        <f t="shared" si="8"/>
        <v>6</v>
      </c>
      <c r="AF17" s="473">
        <f t="shared" si="9"/>
        <v>2</v>
      </c>
      <c r="AG17" s="473">
        <f t="shared" si="10"/>
        <v>0</v>
      </c>
    </row>
    <row r="18" spans="1:33" x14ac:dyDescent="0.3">
      <c r="A18" s="487" t="s">
        <v>36</v>
      </c>
      <c r="B18" s="488" t="s">
        <v>37</v>
      </c>
      <c r="C18" s="494" t="s">
        <v>252</v>
      </c>
      <c r="D18" s="490">
        <v>5</v>
      </c>
      <c r="E18" s="490">
        <v>4</v>
      </c>
      <c r="F18" s="490">
        <v>1</v>
      </c>
      <c r="G18" s="490">
        <v>0</v>
      </c>
      <c r="H18" s="490">
        <v>0</v>
      </c>
      <c r="I18" s="490">
        <v>0</v>
      </c>
      <c r="J18" s="490">
        <v>0</v>
      </c>
      <c r="K18" s="490">
        <v>0</v>
      </c>
      <c r="L18" s="490">
        <v>0</v>
      </c>
      <c r="M18" s="490">
        <v>0</v>
      </c>
      <c r="N18" s="491"/>
      <c r="O18" s="491">
        <f t="shared" si="2"/>
        <v>0</v>
      </c>
      <c r="P18" s="491">
        <f t="shared" si="3"/>
        <v>0</v>
      </c>
      <c r="Q18" s="491"/>
      <c r="R18" s="492">
        <f t="shared" si="4"/>
        <v>0.8</v>
      </c>
      <c r="S18" s="492">
        <f t="shared" si="5"/>
        <v>0.2</v>
      </c>
      <c r="U18" s="473">
        <v>0</v>
      </c>
      <c r="V18" s="473">
        <v>3</v>
      </c>
      <c r="W18" s="473">
        <v>0</v>
      </c>
      <c r="X18" s="473">
        <v>0</v>
      </c>
      <c r="Y18" s="473">
        <v>2</v>
      </c>
      <c r="Z18" s="473">
        <v>0</v>
      </c>
      <c r="AA18" s="473">
        <v>0</v>
      </c>
      <c r="AB18" s="473">
        <v>5</v>
      </c>
      <c r="AC18" s="473">
        <f t="shared" si="6"/>
        <v>3</v>
      </c>
      <c r="AD18" s="473">
        <f t="shared" si="7"/>
        <v>0</v>
      </c>
      <c r="AE18" s="473">
        <f t="shared" si="8"/>
        <v>0</v>
      </c>
      <c r="AF18" s="473">
        <f t="shared" si="9"/>
        <v>2</v>
      </c>
      <c r="AG18" s="473">
        <f t="shared" si="10"/>
        <v>0</v>
      </c>
    </row>
    <row r="19" spans="1:33" x14ac:dyDescent="0.3">
      <c r="A19" s="487" t="s">
        <v>38</v>
      </c>
      <c r="B19" s="488" t="s">
        <v>39</v>
      </c>
      <c r="C19" s="494" t="s">
        <v>256</v>
      </c>
      <c r="D19" s="490">
        <v>54</v>
      </c>
      <c r="E19" s="490">
        <v>54</v>
      </c>
      <c r="F19" s="490">
        <v>0</v>
      </c>
      <c r="G19" s="490">
        <v>0</v>
      </c>
      <c r="H19" s="490">
        <v>0</v>
      </c>
      <c r="I19" s="490">
        <v>0</v>
      </c>
      <c r="J19" s="490">
        <v>0</v>
      </c>
      <c r="K19" s="490">
        <v>0</v>
      </c>
      <c r="L19" s="490">
        <v>0</v>
      </c>
      <c r="M19" s="490">
        <v>0</v>
      </c>
      <c r="N19" s="491"/>
      <c r="O19" s="491">
        <f t="shared" si="2"/>
        <v>0</v>
      </c>
      <c r="P19" s="491">
        <f t="shared" si="3"/>
        <v>0</v>
      </c>
      <c r="Q19" s="491"/>
      <c r="R19" s="492">
        <f t="shared" si="4"/>
        <v>1</v>
      </c>
      <c r="S19" s="492">
        <f t="shared" si="5"/>
        <v>0</v>
      </c>
      <c r="U19" s="473">
        <v>1</v>
      </c>
      <c r="V19" s="473">
        <v>13</v>
      </c>
      <c r="W19" s="473">
        <v>10</v>
      </c>
      <c r="X19" s="473">
        <v>15</v>
      </c>
      <c r="Y19" s="473">
        <v>15</v>
      </c>
      <c r="Z19" s="473">
        <v>0</v>
      </c>
      <c r="AA19" s="473">
        <v>0</v>
      </c>
      <c r="AB19" s="473">
        <v>54</v>
      </c>
      <c r="AC19" s="473">
        <f t="shared" si="6"/>
        <v>14</v>
      </c>
      <c r="AD19" s="473">
        <f t="shared" si="7"/>
        <v>10</v>
      </c>
      <c r="AE19" s="473">
        <f t="shared" si="8"/>
        <v>15</v>
      </c>
      <c r="AF19" s="473">
        <f t="shared" si="9"/>
        <v>15</v>
      </c>
      <c r="AG19" s="473">
        <f t="shared" si="10"/>
        <v>0</v>
      </c>
    </row>
    <row r="20" spans="1:33" x14ac:dyDescent="0.3">
      <c r="A20" s="487" t="s">
        <v>40</v>
      </c>
      <c r="B20" s="488" t="s">
        <v>41</v>
      </c>
      <c r="C20" s="494" t="s">
        <v>254</v>
      </c>
      <c r="D20" s="490">
        <v>20</v>
      </c>
      <c r="E20" s="490">
        <v>7</v>
      </c>
      <c r="F20" s="490">
        <v>9</v>
      </c>
      <c r="G20" s="490">
        <v>0</v>
      </c>
      <c r="H20" s="490">
        <v>0</v>
      </c>
      <c r="I20" s="490">
        <v>0</v>
      </c>
      <c r="J20" s="490">
        <v>1</v>
      </c>
      <c r="K20" s="490">
        <v>2</v>
      </c>
      <c r="L20" s="490">
        <v>1</v>
      </c>
      <c r="M20" s="490">
        <v>0</v>
      </c>
      <c r="N20" s="491"/>
      <c r="O20" s="491">
        <f t="shared" si="2"/>
        <v>3</v>
      </c>
      <c r="P20" s="491">
        <f t="shared" si="3"/>
        <v>1</v>
      </c>
      <c r="Q20" s="491"/>
      <c r="R20" s="492">
        <f t="shared" si="4"/>
        <v>0.35</v>
      </c>
      <c r="S20" s="492">
        <f t="shared" si="5"/>
        <v>0.45</v>
      </c>
      <c r="U20" s="473">
        <v>1</v>
      </c>
      <c r="V20" s="473">
        <v>7</v>
      </c>
      <c r="W20" s="473">
        <v>5</v>
      </c>
      <c r="X20" s="473">
        <v>6</v>
      </c>
      <c r="Y20" s="473">
        <v>1</v>
      </c>
      <c r="Z20" s="473">
        <v>0</v>
      </c>
      <c r="AA20" s="473">
        <v>0</v>
      </c>
      <c r="AB20" s="473">
        <v>20</v>
      </c>
      <c r="AC20" s="473">
        <f t="shared" si="6"/>
        <v>8</v>
      </c>
      <c r="AD20" s="473">
        <f t="shared" si="7"/>
        <v>5</v>
      </c>
      <c r="AE20" s="473">
        <f t="shared" si="8"/>
        <v>6</v>
      </c>
      <c r="AF20" s="473">
        <f t="shared" si="9"/>
        <v>1</v>
      </c>
      <c r="AG20" s="473">
        <f t="shared" si="10"/>
        <v>0</v>
      </c>
    </row>
    <row r="21" spans="1:33" x14ac:dyDescent="0.3">
      <c r="A21" s="487" t="s">
        <v>42</v>
      </c>
      <c r="B21" s="488" t="s">
        <v>43</v>
      </c>
      <c r="C21" s="494" t="s">
        <v>253</v>
      </c>
      <c r="D21" s="490">
        <v>47</v>
      </c>
      <c r="E21" s="490">
        <v>45</v>
      </c>
      <c r="F21" s="490">
        <v>0</v>
      </c>
      <c r="G21" s="490">
        <v>0</v>
      </c>
      <c r="H21" s="490">
        <v>0</v>
      </c>
      <c r="I21" s="490">
        <v>0</v>
      </c>
      <c r="J21" s="490">
        <v>2</v>
      </c>
      <c r="K21" s="490">
        <v>0</v>
      </c>
      <c r="L21" s="490">
        <v>0</v>
      </c>
      <c r="M21" s="490">
        <v>0</v>
      </c>
      <c r="N21" s="491"/>
      <c r="O21" s="491">
        <f t="shared" si="2"/>
        <v>2</v>
      </c>
      <c r="P21" s="491">
        <f t="shared" si="3"/>
        <v>0</v>
      </c>
      <c r="Q21" s="491"/>
      <c r="R21" s="492">
        <f t="shared" si="4"/>
        <v>0.95744680851063835</v>
      </c>
      <c r="S21" s="492">
        <f t="shared" si="5"/>
        <v>0</v>
      </c>
      <c r="U21" s="473">
        <v>2</v>
      </c>
      <c r="V21" s="473">
        <v>14</v>
      </c>
      <c r="W21" s="473">
        <v>10</v>
      </c>
      <c r="X21" s="473">
        <v>16</v>
      </c>
      <c r="Y21" s="473">
        <v>5</v>
      </c>
      <c r="Z21" s="473">
        <v>0</v>
      </c>
      <c r="AA21" s="473">
        <v>0</v>
      </c>
      <c r="AB21" s="473">
        <v>47</v>
      </c>
      <c r="AC21" s="473">
        <f t="shared" si="6"/>
        <v>16</v>
      </c>
      <c r="AD21" s="473">
        <f t="shared" si="7"/>
        <v>10</v>
      </c>
      <c r="AE21" s="473">
        <f t="shared" si="8"/>
        <v>16</v>
      </c>
      <c r="AF21" s="473">
        <f t="shared" si="9"/>
        <v>5</v>
      </c>
      <c r="AG21" s="473">
        <f t="shared" si="10"/>
        <v>0</v>
      </c>
    </row>
    <row r="22" spans="1:33" x14ac:dyDescent="0.3">
      <c r="A22" s="487" t="s">
        <v>44</v>
      </c>
      <c r="B22" s="488" t="s">
        <v>45</v>
      </c>
      <c r="C22" s="494" t="s">
        <v>254</v>
      </c>
      <c r="D22" s="490">
        <v>16</v>
      </c>
      <c r="E22" s="490">
        <v>6</v>
      </c>
      <c r="F22" s="490">
        <v>7</v>
      </c>
      <c r="G22" s="490">
        <v>0</v>
      </c>
      <c r="H22" s="490">
        <v>0</v>
      </c>
      <c r="I22" s="490">
        <v>0</v>
      </c>
      <c r="J22" s="490">
        <v>0</v>
      </c>
      <c r="K22" s="490">
        <v>3</v>
      </c>
      <c r="L22" s="490">
        <v>0</v>
      </c>
      <c r="M22" s="490">
        <v>0</v>
      </c>
      <c r="N22" s="491"/>
      <c r="O22" s="491">
        <f t="shared" si="2"/>
        <v>3</v>
      </c>
      <c r="P22" s="491">
        <f t="shared" si="3"/>
        <v>0</v>
      </c>
      <c r="Q22" s="491"/>
      <c r="R22" s="492">
        <f t="shared" si="4"/>
        <v>0.375</v>
      </c>
      <c r="S22" s="492">
        <f t="shared" si="5"/>
        <v>0.4375</v>
      </c>
      <c r="U22" s="473">
        <v>2</v>
      </c>
      <c r="V22" s="473">
        <v>3</v>
      </c>
      <c r="W22" s="473">
        <v>3</v>
      </c>
      <c r="X22" s="473">
        <v>4</v>
      </c>
      <c r="Y22" s="473">
        <v>4</v>
      </c>
      <c r="Z22" s="473">
        <v>0</v>
      </c>
      <c r="AA22" s="473">
        <v>0</v>
      </c>
      <c r="AB22" s="473">
        <v>16</v>
      </c>
      <c r="AC22" s="473">
        <f t="shared" si="6"/>
        <v>5</v>
      </c>
      <c r="AD22" s="473">
        <f t="shared" si="7"/>
        <v>3</v>
      </c>
      <c r="AE22" s="473">
        <f t="shared" si="8"/>
        <v>4</v>
      </c>
      <c r="AF22" s="473">
        <f t="shared" si="9"/>
        <v>4</v>
      </c>
      <c r="AG22" s="473">
        <f t="shared" si="10"/>
        <v>0</v>
      </c>
    </row>
    <row r="23" spans="1:33" x14ac:dyDescent="0.3">
      <c r="A23" s="487" t="s">
        <v>46</v>
      </c>
      <c r="B23" s="488" t="s">
        <v>47</v>
      </c>
      <c r="C23" s="494" t="s">
        <v>256</v>
      </c>
      <c r="D23" s="490">
        <v>87</v>
      </c>
      <c r="E23" s="490">
        <v>85</v>
      </c>
      <c r="F23" s="490">
        <v>2</v>
      </c>
      <c r="G23" s="490">
        <v>0</v>
      </c>
      <c r="H23" s="490">
        <v>0</v>
      </c>
      <c r="I23" s="490">
        <v>0</v>
      </c>
      <c r="J23" s="490">
        <v>0</v>
      </c>
      <c r="K23" s="490">
        <v>0</v>
      </c>
      <c r="L23" s="490">
        <v>0</v>
      </c>
      <c r="M23" s="490">
        <v>0</v>
      </c>
      <c r="N23" s="491"/>
      <c r="O23" s="491">
        <f t="shared" si="2"/>
        <v>0</v>
      </c>
      <c r="P23" s="491">
        <f t="shared" si="3"/>
        <v>0</v>
      </c>
      <c r="Q23" s="491"/>
      <c r="R23" s="492">
        <f t="shared" si="4"/>
        <v>0.97701149425287359</v>
      </c>
      <c r="S23" s="492">
        <f t="shared" si="5"/>
        <v>2.2988505747126436E-2</v>
      </c>
      <c r="U23" s="473">
        <v>6</v>
      </c>
      <c r="V23" s="473">
        <v>26</v>
      </c>
      <c r="W23" s="473">
        <v>17</v>
      </c>
      <c r="X23" s="473">
        <v>17</v>
      </c>
      <c r="Y23" s="473">
        <v>21</v>
      </c>
      <c r="Z23" s="473">
        <v>0</v>
      </c>
      <c r="AA23" s="473">
        <v>0</v>
      </c>
      <c r="AB23" s="473">
        <v>87</v>
      </c>
      <c r="AC23" s="473">
        <f t="shared" si="6"/>
        <v>32</v>
      </c>
      <c r="AD23" s="473">
        <f t="shared" si="7"/>
        <v>17</v>
      </c>
      <c r="AE23" s="473">
        <f t="shared" si="8"/>
        <v>17</v>
      </c>
      <c r="AF23" s="473">
        <f t="shared" si="9"/>
        <v>21</v>
      </c>
      <c r="AG23" s="473">
        <f t="shared" si="10"/>
        <v>0</v>
      </c>
    </row>
    <row r="24" spans="1:33" x14ac:dyDescent="0.3">
      <c r="A24" s="493" t="s">
        <v>48</v>
      </c>
      <c r="B24" s="488" t="s">
        <v>49</v>
      </c>
      <c r="C24" s="494" t="s">
        <v>254</v>
      </c>
      <c r="D24" s="490">
        <v>1</v>
      </c>
      <c r="E24" s="490">
        <v>1</v>
      </c>
      <c r="F24" s="490">
        <v>0</v>
      </c>
      <c r="G24" s="490">
        <v>0</v>
      </c>
      <c r="H24" s="490">
        <v>0</v>
      </c>
      <c r="I24" s="490">
        <v>0</v>
      </c>
      <c r="J24" s="490">
        <v>0</v>
      </c>
      <c r="K24" s="490">
        <v>0</v>
      </c>
      <c r="L24" s="490">
        <v>0</v>
      </c>
      <c r="M24" s="490">
        <v>0</v>
      </c>
      <c r="N24" s="491"/>
      <c r="O24" s="491">
        <f t="shared" si="2"/>
        <v>0</v>
      </c>
      <c r="P24" s="491">
        <f t="shared" si="3"/>
        <v>0</v>
      </c>
      <c r="Q24" s="491"/>
      <c r="R24" s="492">
        <f t="shared" si="4"/>
        <v>1</v>
      </c>
      <c r="S24" s="492">
        <f t="shared" si="5"/>
        <v>0</v>
      </c>
      <c r="U24" s="473">
        <v>0</v>
      </c>
      <c r="V24" s="473">
        <v>0</v>
      </c>
      <c r="W24" s="473">
        <v>0</v>
      </c>
      <c r="X24" s="473">
        <v>0</v>
      </c>
      <c r="Y24" s="473">
        <v>1</v>
      </c>
      <c r="Z24" s="473">
        <v>0</v>
      </c>
      <c r="AA24" s="473">
        <v>0</v>
      </c>
      <c r="AB24" s="473">
        <v>1</v>
      </c>
      <c r="AC24" s="473">
        <f t="shared" si="6"/>
        <v>0</v>
      </c>
      <c r="AD24" s="473">
        <f t="shared" si="7"/>
        <v>0</v>
      </c>
      <c r="AE24" s="473">
        <f t="shared" si="8"/>
        <v>0</v>
      </c>
      <c r="AF24" s="473">
        <f t="shared" si="9"/>
        <v>1</v>
      </c>
      <c r="AG24" s="473">
        <f t="shared" si="10"/>
        <v>0</v>
      </c>
    </row>
    <row r="25" spans="1:33" x14ac:dyDescent="0.3">
      <c r="A25" s="487" t="s">
        <v>50</v>
      </c>
      <c r="B25" s="488" t="s">
        <v>51</v>
      </c>
      <c r="C25" s="494" t="s">
        <v>253</v>
      </c>
      <c r="D25" s="490">
        <v>20</v>
      </c>
      <c r="E25" s="490">
        <v>12</v>
      </c>
      <c r="F25" s="490">
        <v>6</v>
      </c>
      <c r="G25" s="490">
        <v>0</v>
      </c>
      <c r="H25" s="490">
        <v>0</v>
      </c>
      <c r="I25" s="490">
        <v>0</v>
      </c>
      <c r="J25" s="490">
        <v>0</v>
      </c>
      <c r="K25" s="490">
        <v>2</v>
      </c>
      <c r="L25" s="490">
        <v>0</v>
      </c>
      <c r="M25" s="490">
        <v>0</v>
      </c>
      <c r="N25" s="491"/>
      <c r="O25" s="491">
        <f t="shared" si="2"/>
        <v>2</v>
      </c>
      <c r="P25" s="491">
        <f t="shared" si="3"/>
        <v>0</v>
      </c>
      <c r="Q25" s="491"/>
      <c r="R25" s="492">
        <f t="shared" si="4"/>
        <v>0.6</v>
      </c>
      <c r="S25" s="492">
        <f t="shared" si="5"/>
        <v>0.3</v>
      </c>
      <c r="U25" s="473">
        <v>1</v>
      </c>
      <c r="V25" s="473">
        <v>5</v>
      </c>
      <c r="W25" s="473">
        <v>3</v>
      </c>
      <c r="X25" s="473">
        <v>7</v>
      </c>
      <c r="Y25" s="473">
        <v>4</v>
      </c>
      <c r="Z25" s="473">
        <v>0</v>
      </c>
      <c r="AA25" s="473">
        <v>0</v>
      </c>
      <c r="AB25" s="473">
        <v>20</v>
      </c>
      <c r="AC25" s="473">
        <f t="shared" si="6"/>
        <v>6</v>
      </c>
      <c r="AD25" s="473">
        <f t="shared" si="7"/>
        <v>3</v>
      </c>
      <c r="AE25" s="473">
        <f t="shared" si="8"/>
        <v>7</v>
      </c>
      <c r="AF25" s="473">
        <f t="shared" si="9"/>
        <v>4</v>
      </c>
      <c r="AG25" s="473">
        <f t="shared" si="10"/>
        <v>0</v>
      </c>
    </row>
    <row r="26" spans="1:33" x14ac:dyDescent="0.3">
      <c r="A26" s="487" t="s">
        <v>56</v>
      </c>
      <c r="B26" s="488" t="s">
        <v>57</v>
      </c>
      <c r="C26" s="494" t="s">
        <v>254</v>
      </c>
      <c r="D26" s="490">
        <v>95</v>
      </c>
      <c r="E26" s="490">
        <v>54</v>
      </c>
      <c r="F26" s="490">
        <v>19</v>
      </c>
      <c r="G26" s="490">
        <v>0</v>
      </c>
      <c r="H26" s="490">
        <v>0</v>
      </c>
      <c r="I26" s="490">
        <v>0</v>
      </c>
      <c r="J26" s="490">
        <v>9</v>
      </c>
      <c r="K26" s="490">
        <v>12</v>
      </c>
      <c r="L26" s="490">
        <v>1</v>
      </c>
      <c r="M26" s="490">
        <v>0</v>
      </c>
      <c r="N26" s="491"/>
      <c r="O26" s="491">
        <f t="shared" si="2"/>
        <v>21</v>
      </c>
      <c r="P26" s="491">
        <f t="shared" si="3"/>
        <v>1</v>
      </c>
      <c r="Q26" s="491"/>
      <c r="R26" s="492">
        <f t="shared" si="4"/>
        <v>0.56842105263157894</v>
      </c>
      <c r="S26" s="492">
        <f t="shared" si="5"/>
        <v>0.2</v>
      </c>
      <c r="U26" s="473">
        <v>3</v>
      </c>
      <c r="V26" s="473">
        <v>11</v>
      </c>
      <c r="W26" s="473">
        <v>20</v>
      </c>
      <c r="X26" s="473">
        <v>28</v>
      </c>
      <c r="Y26" s="473">
        <v>33</v>
      </c>
      <c r="Z26" s="473">
        <v>0</v>
      </c>
      <c r="AA26" s="473">
        <v>0</v>
      </c>
      <c r="AB26" s="473">
        <v>95</v>
      </c>
      <c r="AC26" s="473">
        <f t="shared" si="6"/>
        <v>14</v>
      </c>
      <c r="AD26" s="473">
        <f t="shared" si="7"/>
        <v>20</v>
      </c>
      <c r="AE26" s="473">
        <f t="shared" si="8"/>
        <v>28</v>
      </c>
      <c r="AF26" s="473">
        <f t="shared" si="9"/>
        <v>33</v>
      </c>
      <c r="AG26" s="473">
        <f t="shared" si="10"/>
        <v>0</v>
      </c>
    </row>
    <row r="27" spans="1:33" x14ac:dyDescent="0.3">
      <c r="A27" s="487" t="s">
        <v>58</v>
      </c>
      <c r="B27" s="488" t="s">
        <v>59</v>
      </c>
      <c r="C27" s="494" t="s">
        <v>255</v>
      </c>
      <c r="D27" s="490">
        <v>5</v>
      </c>
      <c r="E27" s="490">
        <v>3</v>
      </c>
      <c r="F27" s="490">
        <v>0</v>
      </c>
      <c r="G27" s="490">
        <v>0</v>
      </c>
      <c r="H27" s="490">
        <v>0</v>
      </c>
      <c r="I27" s="490">
        <v>0</v>
      </c>
      <c r="J27" s="490">
        <v>1</v>
      </c>
      <c r="K27" s="490">
        <v>1</v>
      </c>
      <c r="L27" s="490">
        <v>0</v>
      </c>
      <c r="M27" s="490">
        <v>0</v>
      </c>
      <c r="N27" s="491"/>
      <c r="O27" s="491">
        <f t="shared" si="2"/>
        <v>2</v>
      </c>
      <c r="P27" s="491">
        <f t="shared" si="3"/>
        <v>0</v>
      </c>
      <c r="Q27" s="491"/>
      <c r="R27" s="492">
        <f t="shared" si="4"/>
        <v>0.6</v>
      </c>
      <c r="S27" s="492">
        <f t="shared" si="5"/>
        <v>0</v>
      </c>
      <c r="U27" s="473">
        <v>0</v>
      </c>
      <c r="V27" s="473">
        <v>1</v>
      </c>
      <c r="W27" s="473">
        <v>2</v>
      </c>
      <c r="X27" s="473">
        <v>0</v>
      </c>
      <c r="Y27" s="473">
        <v>2</v>
      </c>
      <c r="Z27" s="473">
        <v>0</v>
      </c>
      <c r="AA27" s="473">
        <v>0</v>
      </c>
      <c r="AB27" s="473">
        <v>5</v>
      </c>
      <c r="AC27" s="473">
        <f t="shared" si="6"/>
        <v>1</v>
      </c>
      <c r="AD27" s="473">
        <f t="shared" si="7"/>
        <v>2</v>
      </c>
      <c r="AE27" s="473">
        <f t="shared" si="8"/>
        <v>0</v>
      </c>
      <c r="AF27" s="473">
        <f t="shared" si="9"/>
        <v>2</v>
      </c>
      <c r="AG27" s="473">
        <f t="shared" si="10"/>
        <v>0</v>
      </c>
    </row>
    <row r="28" spans="1:33" x14ac:dyDescent="0.3">
      <c r="A28" s="493" t="s">
        <v>60</v>
      </c>
      <c r="B28" s="488" t="s">
        <v>61</v>
      </c>
      <c r="C28" s="494" t="s">
        <v>253</v>
      </c>
      <c r="D28" s="490">
        <v>18</v>
      </c>
      <c r="E28" s="490">
        <v>18</v>
      </c>
      <c r="F28" s="490">
        <v>0</v>
      </c>
      <c r="G28" s="490">
        <v>0</v>
      </c>
      <c r="H28" s="490">
        <v>0</v>
      </c>
      <c r="I28" s="490">
        <v>0</v>
      </c>
      <c r="J28" s="490">
        <v>0</v>
      </c>
      <c r="K28" s="490">
        <v>0</v>
      </c>
      <c r="L28" s="490">
        <v>0</v>
      </c>
      <c r="M28" s="490">
        <v>0</v>
      </c>
      <c r="N28" s="491"/>
      <c r="O28" s="491">
        <f t="shared" si="2"/>
        <v>0</v>
      </c>
      <c r="P28" s="491">
        <f t="shared" si="3"/>
        <v>0</v>
      </c>
      <c r="Q28" s="491"/>
      <c r="R28" s="492">
        <f t="shared" si="4"/>
        <v>1</v>
      </c>
      <c r="S28" s="492">
        <f t="shared" si="5"/>
        <v>0</v>
      </c>
      <c r="U28" s="473">
        <v>1</v>
      </c>
      <c r="V28" s="473">
        <v>3</v>
      </c>
      <c r="W28" s="473">
        <v>7</v>
      </c>
      <c r="X28" s="473">
        <v>5</v>
      </c>
      <c r="Y28" s="473">
        <v>2</v>
      </c>
      <c r="Z28" s="473">
        <v>0</v>
      </c>
      <c r="AA28" s="473">
        <v>0</v>
      </c>
      <c r="AB28" s="473">
        <v>18</v>
      </c>
      <c r="AC28" s="473">
        <f t="shared" si="6"/>
        <v>4</v>
      </c>
      <c r="AD28" s="473">
        <f t="shared" si="7"/>
        <v>7</v>
      </c>
      <c r="AE28" s="473">
        <f t="shared" si="8"/>
        <v>5</v>
      </c>
      <c r="AF28" s="473">
        <f t="shared" si="9"/>
        <v>2</v>
      </c>
      <c r="AG28" s="473">
        <f t="shared" si="10"/>
        <v>0</v>
      </c>
    </row>
    <row r="29" spans="1:33" x14ac:dyDescent="0.3">
      <c r="A29" s="487" t="s">
        <v>62</v>
      </c>
      <c r="B29" s="488" t="s">
        <v>63</v>
      </c>
      <c r="C29" s="494" t="s">
        <v>255</v>
      </c>
      <c r="D29" s="490">
        <v>32</v>
      </c>
      <c r="E29" s="490">
        <v>16</v>
      </c>
      <c r="F29" s="490">
        <v>10</v>
      </c>
      <c r="G29" s="490">
        <v>0</v>
      </c>
      <c r="H29" s="490">
        <v>0</v>
      </c>
      <c r="I29" s="490">
        <v>0</v>
      </c>
      <c r="J29" s="490">
        <v>3</v>
      </c>
      <c r="K29" s="490">
        <v>3</v>
      </c>
      <c r="L29" s="490">
        <v>0</v>
      </c>
      <c r="M29" s="490">
        <v>0</v>
      </c>
      <c r="N29" s="491"/>
      <c r="O29" s="491">
        <f t="shared" si="2"/>
        <v>6</v>
      </c>
      <c r="P29" s="491">
        <f t="shared" si="3"/>
        <v>0</v>
      </c>
      <c r="Q29" s="491"/>
      <c r="R29" s="492">
        <f t="shared" si="4"/>
        <v>0.5</v>
      </c>
      <c r="S29" s="492">
        <f t="shared" si="5"/>
        <v>0.3125</v>
      </c>
      <c r="U29" s="473">
        <v>1</v>
      </c>
      <c r="V29" s="473">
        <v>6</v>
      </c>
      <c r="W29" s="473">
        <v>6</v>
      </c>
      <c r="X29" s="473">
        <v>11</v>
      </c>
      <c r="Y29" s="473">
        <v>8</v>
      </c>
      <c r="Z29" s="473">
        <v>0</v>
      </c>
      <c r="AA29" s="473">
        <v>0</v>
      </c>
      <c r="AB29" s="473">
        <v>32</v>
      </c>
      <c r="AC29" s="473">
        <f t="shared" si="6"/>
        <v>7</v>
      </c>
      <c r="AD29" s="473">
        <f t="shared" si="7"/>
        <v>6</v>
      </c>
      <c r="AE29" s="473">
        <f t="shared" si="8"/>
        <v>11</v>
      </c>
      <c r="AF29" s="473">
        <f t="shared" si="9"/>
        <v>8</v>
      </c>
      <c r="AG29" s="473">
        <f t="shared" si="10"/>
        <v>0</v>
      </c>
    </row>
    <row r="30" spans="1:33" x14ac:dyDescent="0.3">
      <c r="A30" s="487" t="s">
        <v>64</v>
      </c>
      <c r="B30" s="488" t="s">
        <v>65</v>
      </c>
      <c r="C30" s="494" t="s">
        <v>254</v>
      </c>
      <c r="D30" s="490">
        <v>12</v>
      </c>
      <c r="E30" s="490">
        <v>8</v>
      </c>
      <c r="F30" s="490">
        <v>2</v>
      </c>
      <c r="G30" s="490">
        <v>0</v>
      </c>
      <c r="H30" s="490">
        <v>0</v>
      </c>
      <c r="I30" s="490">
        <v>0</v>
      </c>
      <c r="J30" s="490">
        <v>0</v>
      </c>
      <c r="K30" s="490">
        <v>2</v>
      </c>
      <c r="L30" s="490">
        <v>0</v>
      </c>
      <c r="M30" s="490">
        <v>0</v>
      </c>
      <c r="N30" s="491"/>
      <c r="O30" s="491">
        <f t="shared" si="2"/>
        <v>2</v>
      </c>
      <c r="P30" s="491">
        <f t="shared" si="3"/>
        <v>0</v>
      </c>
      <c r="Q30" s="491"/>
      <c r="R30" s="492">
        <f t="shared" si="4"/>
        <v>0.66666666666666663</v>
      </c>
      <c r="S30" s="492">
        <f t="shared" si="5"/>
        <v>0.16666666666666666</v>
      </c>
      <c r="U30" s="473">
        <v>1</v>
      </c>
      <c r="V30" s="473">
        <v>2</v>
      </c>
      <c r="W30" s="473">
        <v>2</v>
      </c>
      <c r="X30" s="473">
        <v>5</v>
      </c>
      <c r="Y30" s="473">
        <v>2</v>
      </c>
      <c r="Z30" s="473">
        <v>0</v>
      </c>
      <c r="AA30" s="473">
        <v>0</v>
      </c>
      <c r="AB30" s="473">
        <v>12</v>
      </c>
      <c r="AC30" s="473">
        <f t="shared" si="6"/>
        <v>3</v>
      </c>
      <c r="AD30" s="473">
        <f t="shared" si="7"/>
        <v>2</v>
      </c>
      <c r="AE30" s="473">
        <f t="shared" si="8"/>
        <v>5</v>
      </c>
      <c r="AF30" s="473">
        <f t="shared" si="9"/>
        <v>2</v>
      </c>
      <c r="AG30" s="473">
        <f t="shared" si="10"/>
        <v>0</v>
      </c>
    </row>
    <row r="31" spans="1:33" x14ac:dyDescent="0.3">
      <c r="A31" s="487" t="s">
        <v>68</v>
      </c>
      <c r="B31" s="488" t="s">
        <v>69</v>
      </c>
      <c r="C31" s="494" t="s">
        <v>256</v>
      </c>
      <c r="D31" s="490">
        <v>20</v>
      </c>
      <c r="E31" s="490">
        <v>20</v>
      </c>
      <c r="F31" s="490">
        <v>0</v>
      </c>
      <c r="G31" s="490">
        <v>0</v>
      </c>
      <c r="H31" s="490">
        <v>0</v>
      </c>
      <c r="I31" s="490">
        <v>0</v>
      </c>
      <c r="J31" s="490">
        <v>0</v>
      </c>
      <c r="K31" s="490">
        <v>0</v>
      </c>
      <c r="L31" s="490">
        <v>0</v>
      </c>
      <c r="M31" s="490">
        <v>0</v>
      </c>
      <c r="N31" s="491"/>
      <c r="O31" s="491">
        <f t="shared" si="2"/>
        <v>0</v>
      </c>
      <c r="P31" s="491">
        <f t="shared" si="3"/>
        <v>0</v>
      </c>
      <c r="Q31" s="491"/>
      <c r="R31" s="492">
        <f t="shared" si="4"/>
        <v>1</v>
      </c>
      <c r="S31" s="492">
        <f t="shared" si="5"/>
        <v>0</v>
      </c>
      <c r="U31" s="473">
        <v>1</v>
      </c>
      <c r="V31" s="473">
        <v>2</v>
      </c>
      <c r="W31" s="473">
        <v>3</v>
      </c>
      <c r="X31" s="473">
        <v>9</v>
      </c>
      <c r="Y31" s="473">
        <v>5</v>
      </c>
      <c r="Z31" s="473">
        <v>0</v>
      </c>
      <c r="AA31" s="473">
        <v>0</v>
      </c>
      <c r="AB31" s="473">
        <v>20</v>
      </c>
      <c r="AC31" s="473">
        <f t="shared" si="6"/>
        <v>3</v>
      </c>
      <c r="AD31" s="473">
        <f t="shared" si="7"/>
        <v>3</v>
      </c>
      <c r="AE31" s="473">
        <f t="shared" si="8"/>
        <v>9</v>
      </c>
      <c r="AF31" s="473">
        <f t="shared" si="9"/>
        <v>5</v>
      </c>
      <c r="AG31" s="473">
        <f t="shared" si="10"/>
        <v>0</v>
      </c>
    </row>
    <row r="32" spans="1:33" x14ac:dyDescent="0.3">
      <c r="A32" s="487" t="s">
        <v>70</v>
      </c>
      <c r="B32" s="488" t="s">
        <v>71</v>
      </c>
      <c r="C32" s="494" t="s">
        <v>252</v>
      </c>
      <c r="D32" s="490">
        <v>13</v>
      </c>
      <c r="E32" s="490">
        <v>9</v>
      </c>
      <c r="F32" s="490">
        <v>3</v>
      </c>
      <c r="G32" s="490">
        <v>0</v>
      </c>
      <c r="H32" s="490">
        <v>0</v>
      </c>
      <c r="I32" s="490">
        <v>0</v>
      </c>
      <c r="J32" s="490">
        <v>0</v>
      </c>
      <c r="K32" s="490">
        <v>1</v>
      </c>
      <c r="L32" s="490">
        <v>0</v>
      </c>
      <c r="M32" s="490">
        <v>0</v>
      </c>
      <c r="N32" s="491"/>
      <c r="O32" s="491">
        <f t="shared" si="2"/>
        <v>1</v>
      </c>
      <c r="P32" s="491">
        <f t="shared" si="3"/>
        <v>0</v>
      </c>
      <c r="Q32" s="491"/>
      <c r="R32" s="492">
        <f t="shared" si="4"/>
        <v>0.69230769230769229</v>
      </c>
      <c r="S32" s="492">
        <f t="shared" si="5"/>
        <v>0.23076923076923078</v>
      </c>
      <c r="U32" s="473">
        <v>1</v>
      </c>
      <c r="V32" s="473">
        <v>3</v>
      </c>
      <c r="W32" s="473">
        <v>7</v>
      </c>
      <c r="X32" s="473">
        <v>2</v>
      </c>
      <c r="Y32" s="473">
        <v>0</v>
      </c>
      <c r="Z32" s="473">
        <v>0</v>
      </c>
      <c r="AA32" s="473">
        <v>0</v>
      </c>
      <c r="AB32" s="473">
        <v>13</v>
      </c>
      <c r="AC32" s="473">
        <f t="shared" si="6"/>
        <v>4</v>
      </c>
      <c r="AD32" s="473">
        <f t="shared" si="7"/>
        <v>7</v>
      </c>
      <c r="AE32" s="473">
        <f t="shared" si="8"/>
        <v>2</v>
      </c>
      <c r="AF32" s="473">
        <f t="shared" si="9"/>
        <v>0</v>
      </c>
      <c r="AG32" s="473">
        <f t="shared" si="10"/>
        <v>0</v>
      </c>
    </row>
    <row r="33" spans="1:33" x14ac:dyDescent="0.3">
      <c r="A33" s="487" t="s">
        <v>72</v>
      </c>
      <c r="B33" s="488" t="s">
        <v>73</v>
      </c>
      <c r="C33" s="494" t="s">
        <v>254</v>
      </c>
      <c r="D33" s="490">
        <v>12</v>
      </c>
      <c r="E33" s="490">
        <v>4</v>
      </c>
      <c r="F33" s="490">
        <v>6</v>
      </c>
      <c r="G33" s="490">
        <v>0</v>
      </c>
      <c r="H33" s="490">
        <v>0</v>
      </c>
      <c r="I33" s="490">
        <v>0</v>
      </c>
      <c r="J33" s="490">
        <v>0</v>
      </c>
      <c r="K33" s="490">
        <v>1</v>
      </c>
      <c r="L33" s="490">
        <v>1</v>
      </c>
      <c r="M33" s="490">
        <v>0</v>
      </c>
      <c r="N33" s="491"/>
      <c r="O33" s="491">
        <f t="shared" si="2"/>
        <v>1</v>
      </c>
      <c r="P33" s="491">
        <f t="shared" si="3"/>
        <v>1</v>
      </c>
      <c r="Q33" s="491"/>
      <c r="R33" s="492">
        <f t="shared" si="4"/>
        <v>0.33333333333333331</v>
      </c>
      <c r="S33" s="492">
        <f t="shared" si="5"/>
        <v>0.5</v>
      </c>
      <c r="U33" s="473">
        <v>0</v>
      </c>
      <c r="V33" s="473">
        <v>3</v>
      </c>
      <c r="W33" s="473">
        <v>0</v>
      </c>
      <c r="X33" s="473">
        <v>7</v>
      </c>
      <c r="Y33" s="473">
        <v>2</v>
      </c>
      <c r="Z33" s="473">
        <v>0</v>
      </c>
      <c r="AA33" s="473">
        <v>0</v>
      </c>
      <c r="AB33" s="473">
        <v>12</v>
      </c>
      <c r="AC33" s="473">
        <f t="shared" si="6"/>
        <v>3</v>
      </c>
      <c r="AD33" s="473">
        <f t="shared" si="7"/>
        <v>0</v>
      </c>
      <c r="AE33" s="473">
        <f t="shared" si="8"/>
        <v>7</v>
      </c>
      <c r="AF33" s="473">
        <f t="shared" si="9"/>
        <v>2</v>
      </c>
      <c r="AG33" s="473">
        <f t="shared" si="10"/>
        <v>0</v>
      </c>
    </row>
    <row r="34" spans="1:33" x14ac:dyDescent="0.3">
      <c r="A34" s="487" t="s">
        <v>74</v>
      </c>
      <c r="B34" s="488" t="s">
        <v>75</v>
      </c>
      <c r="C34" s="494" t="s">
        <v>255</v>
      </c>
      <c r="D34" s="490">
        <v>192</v>
      </c>
      <c r="E34" s="490">
        <v>23</v>
      </c>
      <c r="F34" s="490">
        <v>48</v>
      </c>
      <c r="G34" s="490">
        <v>6</v>
      </c>
      <c r="H34" s="490">
        <v>0</v>
      </c>
      <c r="I34" s="490">
        <v>0</v>
      </c>
      <c r="J34" s="490">
        <v>91</v>
      </c>
      <c r="K34" s="490">
        <v>23</v>
      </c>
      <c r="L34" s="490">
        <v>1</v>
      </c>
      <c r="M34" s="490">
        <v>0</v>
      </c>
      <c r="N34" s="491"/>
      <c r="O34" s="491">
        <f t="shared" si="2"/>
        <v>120</v>
      </c>
      <c r="P34" s="491">
        <f t="shared" si="3"/>
        <v>1</v>
      </c>
      <c r="Q34" s="491"/>
      <c r="R34" s="492">
        <f t="shared" si="4"/>
        <v>0.11979166666666667</v>
      </c>
      <c r="S34" s="492">
        <f t="shared" si="5"/>
        <v>0.25</v>
      </c>
      <c r="U34" s="473">
        <v>16</v>
      </c>
      <c r="V34" s="473">
        <v>46</v>
      </c>
      <c r="W34" s="473">
        <v>40</v>
      </c>
      <c r="X34" s="473">
        <v>51</v>
      </c>
      <c r="Y34" s="473">
        <v>39</v>
      </c>
      <c r="Z34" s="473">
        <v>0</v>
      </c>
      <c r="AA34" s="473">
        <v>0</v>
      </c>
      <c r="AB34" s="473">
        <v>192</v>
      </c>
      <c r="AC34" s="473">
        <f t="shared" si="6"/>
        <v>62</v>
      </c>
      <c r="AD34" s="473">
        <f t="shared" si="7"/>
        <v>40</v>
      </c>
      <c r="AE34" s="473">
        <f t="shared" si="8"/>
        <v>51</v>
      </c>
      <c r="AF34" s="473">
        <f t="shared" si="9"/>
        <v>39</v>
      </c>
      <c r="AG34" s="473">
        <f t="shared" si="10"/>
        <v>0</v>
      </c>
    </row>
    <row r="35" spans="1:33" x14ac:dyDescent="0.3">
      <c r="A35" s="487" t="s">
        <v>76</v>
      </c>
      <c r="B35" s="488" t="s">
        <v>77</v>
      </c>
      <c r="C35" s="494" t="s">
        <v>255</v>
      </c>
      <c r="D35" s="490">
        <v>42</v>
      </c>
      <c r="E35" s="490">
        <v>12</v>
      </c>
      <c r="F35" s="490">
        <v>8</v>
      </c>
      <c r="G35" s="490">
        <v>0</v>
      </c>
      <c r="H35" s="490">
        <v>0</v>
      </c>
      <c r="I35" s="490">
        <v>0</v>
      </c>
      <c r="J35" s="490">
        <v>8</v>
      </c>
      <c r="K35" s="490">
        <v>13</v>
      </c>
      <c r="L35" s="490">
        <v>1</v>
      </c>
      <c r="M35" s="490">
        <v>0</v>
      </c>
      <c r="N35" s="491"/>
      <c r="O35" s="491">
        <f t="shared" si="2"/>
        <v>21</v>
      </c>
      <c r="P35" s="491">
        <f t="shared" si="3"/>
        <v>1</v>
      </c>
      <c r="Q35" s="491"/>
      <c r="R35" s="492">
        <f t="shared" si="4"/>
        <v>0.2857142857142857</v>
      </c>
      <c r="S35" s="492">
        <f t="shared" si="5"/>
        <v>0.19047619047619047</v>
      </c>
      <c r="U35" s="473">
        <v>3</v>
      </c>
      <c r="V35" s="473">
        <v>16</v>
      </c>
      <c r="W35" s="473">
        <v>8</v>
      </c>
      <c r="X35" s="473">
        <v>9</v>
      </c>
      <c r="Y35" s="473">
        <v>6</v>
      </c>
      <c r="Z35" s="473">
        <v>0</v>
      </c>
      <c r="AA35" s="473">
        <v>0</v>
      </c>
      <c r="AB35" s="473">
        <v>42</v>
      </c>
      <c r="AC35" s="473">
        <f t="shared" si="6"/>
        <v>19</v>
      </c>
      <c r="AD35" s="473">
        <f t="shared" si="7"/>
        <v>8</v>
      </c>
      <c r="AE35" s="473">
        <f t="shared" si="8"/>
        <v>9</v>
      </c>
      <c r="AF35" s="473">
        <f t="shared" si="9"/>
        <v>6</v>
      </c>
      <c r="AG35" s="473">
        <f t="shared" si="10"/>
        <v>0</v>
      </c>
    </row>
    <row r="36" spans="1:33" x14ac:dyDescent="0.3">
      <c r="A36" s="487" t="s">
        <v>78</v>
      </c>
      <c r="B36" s="488" t="s">
        <v>79</v>
      </c>
      <c r="C36" s="494" t="s">
        <v>256</v>
      </c>
      <c r="D36" s="490">
        <v>19</v>
      </c>
      <c r="E36" s="490">
        <v>16</v>
      </c>
      <c r="F36" s="490">
        <v>0</v>
      </c>
      <c r="G36" s="490">
        <v>0</v>
      </c>
      <c r="H36" s="490">
        <v>0</v>
      </c>
      <c r="I36" s="490">
        <v>0</v>
      </c>
      <c r="J36" s="490">
        <v>2</v>
      </c>
      <c r="K36" s="490">
        <v>1</v>
      </c>
      <c r="L36" s="490">
        <v>0</v>
      </c>
      <c r="M36" s="490">
        <v>0</v>
      </c>
      <c r="N36" s="491"/>
      <c r="O36" s="491">
        <f t="shared" si="2"/>
        <v>3</v>
      </c>
      <c r="P36" s="491">
        <f t="shared" si="3"/>
        <v>0</v>
      </c>
      <c r="Q36" s="491"/>
      <c r="R36" s="492">
        <f t="shared" si="4"/>
        <v>0.84210526315789469</v>
      </c>
      <c r="S36" s="492">
        <f t="shared" si="5"/>
        <v>0</v>
      </c>
      <c r="U36" s="473">
        <v>1</v>
      </c>
      <c r="V36" s="473">
        <v>10</v>
      </c>
      <c r="W36" s="473">
        <v>1</v>
      </c>
      <c r="X36" s="473">
        <v>4</v>
      </c>
      <c r="Y36" s="473">
        <v>3</v>
      </c>
      <c r="Z36" s="473">
        <v>0</v>
      </c>
      <c r="AA36" s="473">
        <v>0</v>
      </c>
      <c r="AB36" s="473">
        <v>19</v>
      </c>
      <c r="AC36" s="473">
        <f t="shared" si="6"/>
        <v>11</v>
      </c>
      <c r="AD36" s="473">
        <f t="shared" si="7"/>
        <v>1</v>
      </c>
      <c r="AE36" s="473">
        <f t="shared" si="8"/>
        <v>4</v>
      </c>
      <c r="AF36" s="473">
        <f t="shared" si="9"/>
        <v>3</v>
      </c>
      <c r="AG36" s="473">
        <f t="shared" si="10"/>
        <v>0</v>
      </c>
    </row>
    <row r="37" spans="1:33" x14ac:dyDescent="0.3">
      <c r="A37" s="487" t="s">
        <v>80</v>
      </c>
      <c r="B37" s="488" t="s">
        <v>81</v>
      </c>
      <c r="C37" s="494" t="s">
        <v>254</v>
      </c>
      <c r="D37" s="490">
        <v>16</v>
      </c>
      <c r="E37" s="490">
        <v>13</v>
      </c>
      <c r="F37" s="490">
        <v>3</v>
      </c>
      <c r="G37" s="490">
        <v>0</v>
      </c>
      <c r="H37" s="490">
        <v>0</v>
      </c>
      <c r="I37" s="490">
        <v>0</v>
      </c>
      <c r="J37" s="490">
        <v>0</v>
      </c>
      <c r="K37" s="490">
        <v>0</v>
      </c>
      <c r="L37" s="490">
        <v>0</v>
      </c>
      <c r="M37" s="490">
        <v>0</v>
      </c>
      <c r="N37" s="491"/>
      <c r="O37" s="491">
        <f t="shared" si="2"/>
        <v>0</v>
      </c>
      <c r="P37" s="491">
        <f t="shared" si="3"/>
        <v>0</v>
      </c>
      <c r="Q37" s="491"/>
      <c r="R37" s="492">
        <f t="shared" si="4"/>
        <v>0.8125</v>
      </c>
      <c r="S37" s="492">
        <f t="shared" si="5"/>
        <v>0.1875</v>
      </c>
      <c r="U37" s="473">
        <v>0</v>
      </c>
      <c r="V37" s="473">
        <v>4</v>
      </c>
      <c r="W37" s="473">
        <v>0</v>
      </c>
      <c r="X37" s="473">
        <v>6</v>
      </c>
      <c r="Y37" s="473">
        <v>6</v>
      </c>
      <c r="Z37" s="473">
        <v>0</v>
      </c>
      <c r="AA37" s="473">
        <v>0</v>
      </c>
      <c r="AB37" s="473">
        <v>16</v>
      </c>
      <c r="AC37" s="473">
        <f t="shared" si="6"/>
        <v>4</v>
      </c>
      <c r="AD37" s="473">
        <f t="shared" si="7"/>
        <v>0</v>
      </c>
      <c r="AE37" s="473">
        <f t="shared" si="8"/>
        <v>6</v>
      </c>
      <c r="AF37" s="473">
        <f t="shared" si="9"/>
        <v>6</v>
      </c>
      <c r="AG37" s="473">
        <f t="shared" si="10"/>
        <v>0</v>
      </c>
    </row>
    <row r="38" spans="1:33" x14ac:dyDescent="0.3">
      <c r="A38" s="487" t="s">
        <v>84</v>
      </c>
      <c r="B38" s="488" t="s">
        <v>85</v>
      </c>
      <c r="C38" s="494" t="s">
        <v>253</v>
      </c>
      <c r="D38" s="490">
        <v>98</v>
      </c>
      <c r="E38" s="490">
        <v>70</v>
      </c>
      <c r="F38" s="490">
        <v>4</v>
      </c>
      <c r="G38" s="490">
        <v>0</v>
      </c>
      <c r="H38" s="490">
        <v>0</v>
      </c>
      <c r="I38" s="490">
        <v>0</v>
      </c>
      <c r="J38" s="490">
        <v>13</v>
      </c>
      <c r="K38" s="490">
        <v>7</v>
      </c>
      <c r="L38" s="490">
        <v>4</v>
      </c>
      <c r="M38" s="490">
        <v>0</v>
      </c>
      <c r="N38" s="491"/>
      <c r="O38" s="491">
        <f t="shared" ref="O38:O69" si="11">SUM(G38:K38)</f>
        <v>20</v>
      </c>
      <c r="P38" s="491">
        <f t="shared" ref="P38:P69" si="12">L38+M38</f>
        <v>4</v>
      </c>
      <c r="Q38" s="491"/>
      <c r="R38" s="492">
        <f t="shared" ref="R38:R69" si="13">IF(D38=0,"N/A",+E38/D38)</f>
        <v>0.7142857142857143</v>
      </c>
      <c r="S38" s="492">
        <f t="shared" ref="S38:S69" si="14">IF(D38=0,"N/A",+F38/D38)</f>
        <v>4.0816326530612242E-2</v>
      </c>
      <c r="U38" s="473">
        <v>3</v>
      </c>
      <c r="V38" s="473">
        <v>27</v>
      </c>
      <c r="W38" s="473">
        <v>23</v>
      </c>
      <c r="X38" s="473">
        <v>30</v>
      </c>
      <c r="Y38" s="473">
        <v>15</v>
      </c>
      <c r="Z38" s="473">
        <v>0</v>
      </c>
      <c r="AA38" s="473">
        <v>0</v>
      </c>
      <c r="AB38" s="473">
        <v>98</v>
      </c>
      <c r="AC38" s="473">
        <f t="shared" ref="AC38:AC69" si="15">U38+V38</f>
        <v>30</v>
      </c>
      <c r="AD38" s="473">
        <f t="shared" ref="AD38:AD69" si="16">W38</f>
        <v>23</v>
      </c>
      <c r="AE38" s="473">
        <f t="shared" ref="AE38:AE69" si="17">X38</f>
        <v>30</v>
      </c>
      <c r="AF38" s="473">
        <f t="shared" ref="AF38:AF69" si="18">Y38</f>
        <v>15</v>
      </c>
      <c r="AG38" s="473">
        <f t="shared" ref="AG38:AG69" si="19">Z38</f>
        <v>0</v>
      </c>
    </row>
    <row r="39" spans="1:33" x14ac:dyDescent="0.3">
      <c r="A39" s="487" t="s">
        <v>86</v>
      </c>
      <c r="B39" s="488" t="s">
        <v>87</v>
      </c>
      <c r="C39" s="494" t="s">
        <v>255</v>
      </c>
      <c r="D39" s="490">
        <v>39</v>
      </c>
      <c r="E39" s="490">
        <v>25</v>
      </c>
      <c r="F39" s="490">
        <v>2</v>
      </c>
      <c r="G39" s="490">
        <v>0</v>
      </c>
      <c r="H39" s="490">
        <v>0</v>
      </c>
      <c r="I39" s="490">
        <v>0</v>
      </c>
      <c r="J39" s="490">
        <v>1</v>
      </c>
      <c r="K39" s="490">
        <v>11</v>
      </c>
      <c r="L39" s="490">
        <v>0</v>
      </c>
      <c r="M39" s="490">
        <v>0</v>
      </c>
      <c r="N39" s="491"/>
      <c r="O39" s="491">
        <f t="shared" si="11"/>
        <v>12</v>
      </c>
      <c r="P39" s="491">
        <f t="shared" si="12"/>
        <v>0</v>
      </c>
      <c r="Q39" s="491"/>
      <c r="R39" s="492">
        <f t="shared" si="13"/>
        <v>0.64102564102564108</v>
      </c>
      <c r="S39" s="492">
        <f t="shared" si="14"/>
        <v>5.128205128205128E-2</v>
      </c>
      <c r="U39" s="473">
        <v>2</v>
      </c>
      <c r="V39" s="473">
        <v>10</v>
      </c>
      <c r="W39" s="473">
        <v>10</v>
      </c>
      <c r="X39" s="473">
        <v>13</v>
      </c>
      <c r="Y39" s="473">
        <v>4</v>
      </c>
      <c r="Z39" s="473">
        <v>0</v>
      </c>
      <c r="AA39" s="473">
        <v>0</v>
      </c>
      <c r="AB39" s="473">
        <v>39</v>
      </c>
      <c r="AC39" s="473">
        <f t="shared" si="15"/>
        <v>12</v>
      </c>
      <c r="AD39" s="473">
        <f t="shared" si="16"/>
        <v>10</v>
      </c>
      <c r="AE39" s="473">
        <f t="shared" si="17"/>
        <v>13</v>
      </c>
      <c r="AF39" s="473">
        <f t="shared" si="18"/>
        <v>4</v>
      </c>
      <c r="AG39" s="473">
        <f t="shared" si="19"/>
        <v>0</v>
      </c>
    </row>
    <row r="40" spans="1:33" x14ac:dyDescent="0.3">
      <c r="A40" s="493" t="s">
        <v>92</v>
      </c>
      <c r="B40" s="488" t="s">
        <v>93</v>
      </c>
      <c r="C40" s="494" t="s">
        <v>256</v>
      </c>
      <c r="D40" s="490">
        <v>40</v>
      </c>
      <c r="E40" s="490">
        <v>39</v>
      </c>
      <c r="F40" s="490">
        <v>0</v>
      </c>
      <c r="G40" s="490">
        <v>0</v>
      </c>
      <c r="H40" s="490">
        <v>0</v>
      </c>
      <c r="I40" s="490">
        <v>0</v>
      </c>
      <c r="J40" s="490">
        <v>0</v>
      </c>
      <c r="K40" s="490">
        <v>1</v>
      </c>
      <c r="L40" s="490">
        <v>0</v>
      </c>
      <c r="M40" s="490">
        <v>0</v>
      </c>
      <c r="N40" s="491"/>
      <c r="O40" s="491">
        <f t="shared" si="11"/>
        <v>1</v>
      </c>
      <c r="P40" s="491">
        <f t="shared" si="12"/>
        <v>0</v>
      </c>
      <c r="Q40" s="491"/>
      <c r="R40" s="492">
        <f t="shared" si="13"/>
        <v>0.97499999999999998</v>
      </c>
      <c r="S40" s="492">
        <f t="shared" si="14"/>
        <v>0</v>
      </c>
      <c r="U40" s="473">
        <v>1</v>
      </c>
      <c r="V40" s="473">
        <v>19</v>
      </c>
      <c r="W40" s="473">
        <v>12</v>
      </c>
      <c r="X40" s="473">
        <v>4</v>
      </c>
      <c r="Y40" s="473">
        <v>4</v>
      </c>
      <c r="Z40" s="473">
        <v>0</v>
      </c>
      <c r="AA40" s="473">
        <v>0</v>
      </c>
      <c r="AB40" s="473">
        <v>40</v>
      </c>
      <c r="AC40" s="473">
        <f t="shared" si="15"/>
        <v>20</v>
      </c>
      <c r="AD40" s="473">
        <f t="shared" si="16"/>
        <v>12</v>
      </c>
      <c r="AE40" s="473">
        <f t="shared" si="17"/>
        <v>4</v>
      </c>
      <c r="AF40" s="473">
        <f t="shared" si="18"/>
        <v>4</v>
      </c>
      <c r="AG40" s="473">
        <f t="shared" si="19"/>
        <v>0</v>
      </c>
    </row>
    <row r="41" spans="1:33" x14ac:dyDescent="0.3">
      <c r="A41" s="487" t="s">
        <v>94</v>
      </c>
      <c r="B41" s="488" t="s">
        <v>95</v>
      </c>
      <c r="C41" s="494" t="s">
        <v>252</v>
      </c>
      <c r="D41" s="490">
        <v>18</v>
      </c>
      <c r="E41" s="490">
        <v>12</v>
      </c>
      <c r="F41" s="490">
        <v>1</v>
      </c>
      <c r="G41" s="490">
        <v>0</v>
      </c>
      <c r="H41" s="490">
        <v>0</v>
      </c>
      <c r="I41" s="490">
        <v>0</v>
      </c>
      <c r="J41" s="490">
        <v>0</v>
      </c>
      <c r="K41" s="490">
        <v>5</v>
      </c>
      <c r="L41" s="490">
        <v>0</v>
      </c>
      <c r="M41" s="490">
        <v>0</v>
      </c>
      <c r="N41" s="491"/>
      <c r="O41" s="491">
        <f t="shared" si="11"/>
        <v>5</v>
      </c>
      <c r="P41" s="491">
        <f t="shared" si="12"/>
        <v>0</v>
      </c>
      <c r="Q41" s="491"/>
      <c r="R41" s="492">
        <f t="shared" si="13"/>
        <v>0.66666666666666663</v>
      </c>
      <c r="S41" s="492">
        <f t="shared" si="14"/>
        <v>5.5555555555555552E-2</v>
      </c>
      <c r="U41" s="473">
        <v>1</v>
      </c>
      <c r="V41" s="473">
        <v>9</v>
      </c>
      <c r="W41" s="473">
        <v>4</v>
      </c>
      <c r="X41" s="473">
        <v>2</v>
      </c>
      <c r="Y41" s="473">
        <v>2</v>
      </c>
      <c r="Z41" s="473">
        <v>0</v>
      </c>
      <c r="AA41" s="473">
        <v>0</v>
      </c>
      <c r="AB41" s="473">
        <v>18</v>
      </c>
      <c r="AC41" s="473">
        <f t="shared" si="15"/>
        <v>10</v>
      </c>
      <c r="AD41" s="473">
        <f t="shared" si="16"/>
        <v>4</v>
      </c>
      <c r="AE41" s="473">
        <f t="shared" si="17"/>
        <v>2</v>
      </c>
      <c r="AF41" s="473">
        <f t="shared" si="18"/>
        <v>2</v>
      </c>
      <c r="AG41" s="473">
        <f t="shared" si="19"/>
        <v>0</v>
      </c>
    </row>
    <row r="42" spans="1:33" x14ac:dyDescent="0.3">
      <c r="A42" s="487" t="s">
        <v>96</v>
      </c>
      <c r="B42" s="488" t="s">
        <v>97</v>
      </c>
      <c r="C42" s="494" t="s">
        <v>254</v>
      </c>
      <c r="D42" s="490">
        <v>14</v>
      </c>
      <c r="E42" s="490">
        <v>7</v>
      </c>
      <c r="F42" s="490">
        <v>3</v>
      </c>
      <c r="G42" s="490">
        <v>0</v>
      </c>
      <c r="H42" s="490">
        <v>0</v>
      </c>
      <c r="I42" s="490">
        <v>0</v>
      </c>
      <c r="J42" s="490">
        <v>2</v>
      </c>
      <c r="K42" s="490">
        <v>2</v>
      </c>
      <c r="L42" s="490">
        <v>0</v>
      </c>
      <c r="M42" s="490">
        <v>0</v>
      </c>
      <c r="N42" s="491"/>
      <c r="O42" s="491">
        <f t="shared" si="11"/>
        <v>4</v>
      </c>
      <c r="P42" s="491">
        <f t="shared" si="12"/>
        <v>0</v>
      </c>
      <c r="Q42" s="491"/>
      <c r="R42" s="492">
        <f t="shared" si="13"/>
        <v>0.5</v>
      </c>
      <c r="S42" s="492">
        <f t="shared" si="14"/>
        <v>0.21428571428571427</v>
      </c>
      <c r="U42" s="473">
        <v>2</v>
      </c>
      <c r="V42" s="473">
        <v>4</v>
      </c>
      <c r="W42" s="473">
        <v>2</v>
      </c>
      <c r="X42" s="473">
        <v>1</v>
      </c>
      <c r="Y42" s="473">
        <v>5</v>
      </c>
      <c r="Z42" s="473">
        <v>0</v>
      </c>
      <c r="AA42" s="473">
        <v>0</v>
      </c>
      <c r="AB42" s="473">
        <v>14</v>
      </c>
      <c r="AC42" s="473">
        <f t="shared" si="15"/>
        <v>6</v>
      </c>
      <c r="AD42" s="473">
        <f t="shared" si="16"/>
        <v>2</v>
      </c>
      <c r="AE42" s="473">
        <f t="shared" si="17"/>
        <v>1</v>
      </c>
      <c r="AF42" s="473">
        <f t="shared" si="18"/>
        <v>5</v>
      </c>
      <c r="AG42" s="473">
        <f t="shared" si="19"/>
        <v>0</v>
      </c>
    </row>
    <row r="43" spans="1:33" x14ac:dyDescent="0.3">
      <c r="A43" s="487" t="s">
        <v>98</v>
      </c>
      <c r="B43" s="488" t="s">
        <v>99</v>
      </c>
      <c r="C43" s="494" t="s">
        <v>256</v>
      </c>
      <c r="D43" s="490">
        <v>18</v>
      </c>
      <c r="E43" s="490">
        <v>15</v>
      </c>
      <c r="F43" s="490">
        <v>0</v>
      </c>
      <c r="G43" s="490">
        <v>0</v>
      </c>
      <c r="H43" s="490">
        <v>0</v>
      </c>
      <c r="I43" s="490">
        <v>0</v>
      </c>
      <c r="J43" s="490">
        <v>2</v>
      </c>
      <c r="K43" s="490">
        <v>1</v>
      </c>
      <c r="L43" s="490">
        <v>0</v>
      </c>
      <c r="M43" s="490">
        <v>0</v>
      </c>
      <c r="N43" s="491"/>
      <c r="O43" s="491">
        <f t="shared" si="11"/>
        <v>3</v>
      </c>
      <c r="P43" s="491">
        <f t="shared" si="12"/>
        <v>0</v>
      </c>
      <c r="Q43" s="491"/>
      <c r="R43" s="492">
        <f t="shared" si="13"/>
        <v>0.83333333333333337</v>
      </c>
      <c r="S43" s="492">
        <f t="shared" si="14"/>
        <v>0</v>
      </c>
      <c r="U43" s="473">
        <v>2</v>
      </c>
      <c r="V43" s="473">
        <v>10</v>
      </c>
      <c r="W43" s="473">
        <v>3</v>
      </c>
      <c r="X43" s="473">
        <v>0</v>
      </c>
      <c r="Y43" s="473">
        <v>3</v>
      </c>
      <c r="Z43" s="473">
        <v>0</v>
      </c>
      <c r="AA43" s="473">
        <v>0</v>
      </c>
      <c r="AB43" s="473">
        <v>18</v>
      </c>
      <c r="AC43" s="473">
        <f t="shared" si="15"/>
        <v>12</v>
      </c>
      <c r="AD43" s="473">
        <f t="shared" si="16"/>
        <v>3</v>
      </c>
      <c r="AE43" s="473">
        <f t="shared" si="17"/>
        <v>0</v>
      </c>
      <c r="AF43" s="473">
        <f t="shared" si="18"/>
        <v>3</v>
      </c>
      <c r="AG43" s="473">
        <f t="shared" si="19"/>
        <v>0</v>
      </c>
    </row>
    <row r="44" spans="1:33" x14ac:dyDescent="0.3">
      <c r="A44" s="487" t="s">
        <v>100</v>
      </c>
      <c r="B44" s="488" t="s">
        <v>101</v>
      </c>
      <c r="C44" s="494" t="s">
        <v>255</v>
      </c>
      <c r="D44" s="490">
        <v>13</v>
      </c>
      <c r="E44" s="490">
        <v>12</v>
      </c>
      <c r="F44" s="490">
        <v>1</v>
      </c>
      <c r="G44" s="490">
        <v>0</v>
      </c>
      <c r="H44" s="490">
        <v>0</v>
      </c>
      <c r="I44" s="490">
        <v>0</v>
      </c>
      <c r="J44" s="490">
        <v>0</v>
      </c>
      <c r="K44" s="490">
        <v>0</v>
      </c>
      <c r="L44" s="490">
        <v>0</v>
      </c>
      <c r="M44" s="490">
        <v>0</v>
      </c>
      <c r="N44" s="491"/>
      <c r="O44" s="491">
        <f t="shared" si="11"/>
        <v>0</v>
      </c>
      <c r="P44" s="491">
        <f t="shared" si="12"/>
        <v>0</v>
      </c>
      <c r="Q44" s="491"/>
      <c r="R44" s="492">
        <f t="shared" si="13"/>
        <v>0.92307692307692313</v>
      </c>
      <c r="S44" s="492">
        <f t="shared" si="14"/>
        <v>7.6923076923076927E-2</v>
      </c>
      <c r="U44" s="473">
        <v>0</v>
      </c>
      <c r="V44" s="473">
        <v>3</v>
      </c>
      <c r="W44" s="473">
        <v>2</v>
      </c>
      <c r="X44" s="473">
        <v>2</v>
      </c>
      <c r="Y44" s="473">
        <v>5</v>
      </c>
      <c r="Z44" s="473">
        <v>1</v>
      </c>
      <c r="AA44" s="473">
        <v>0</v>
      </c>
      <c r="AB44" s="473">
        <v>13</v>
      </c>
      <c r="AC44" s="473">
        <f t="shared" si="15"/>
        <v>3</v>
      </c>
      <c r="AD44" s="473">
        <f t="shared" si="16"/>
        <v>2</v>
      </c>
      <c r="AE44" s="473">
        <f t="shared" si="17"/>
        <v>2</v>
      </c>
      <c r="AF44" s="473">
        <f t="shared" si="18"/>
        <v>5</v>
      </c>
      <c r="AG44" s="473">
        <f t="shared" si="19"/>
        <v>1</v>
      </c>
    </row>
    <row r="45" spans="1:33" x14ac:dyDescent="0.3">
      <c r="A45" s="487" t="s">
        <v>102</v>
      </c>
      <c r="B45" s="488" t="s">
        <v>270</v>
      </c>
      <c r="C45" s="494" t="s">
        <v>252</v>
      </c>
      <c r="D45" s="490">
        <v>15</v>
      </c>
      <c r="E45" s="490">
        <v>3</v>
      </c>
      <c r="F45" s="490">
        <v>10</v>
      </c>
      <c r="G45" s="490">
        <v>0</v>
      </c>
      <c r="H45" s="490">
        <v>0</v>
      </c>
      <c r="I45" s="490">
        <v>0</v>
      </c>
      <c r="J45" s="490">
        <v>0</v>
      </c>
      <c r="K45" s="490">
        <v>2</v>
      </c>
      <c r="L45" s="490">
        <v>0</v>
      </c>
      <c r="M45" s="490">
        <v>0</v>
      </c>
      <c r="N45" s="491"/>
      <c r="O45" s="491">
        <f t="shared" si="11"/>
        <v>2</v>
      </c>
      <c r="P45" s="491">
        <f t="shared" si="12"/>
        <v>0</v>
      </c>
      <c r="Q45" s="491"/>
      <c r="R45" s="492">
        <f t="shared" si="13"/>
        <v>0.2</v>
      </c>
      <c r="S45" s="492">
        <f t="shared" si="14"/>
        <v>0.66666666666666663</v>
      </c>
      <c r="U45" s="473">
        <v>2</v>
      </c>
      <c r="V45" s="473">
        <v>4</v>
      </c>
      <c r="W45" s="473">
        <v>1</v>
      </c>
      <c r="X45" s="473">
        <v>6</v>
      </c>
      <c r="Y45" s="473">
        <v>2</v>
      </c>
      <c r="Z45" s="473">
        <v>0</v>
      </c>
      <c r="AA45" s="473">
        <v>0</v>
      </c>
      <c r="AB45" s="473">
        <v>15</v>
      </c>
      <c r="AC45" s="473">
        <f t="shared" si="15"/>
        <v>6</v>
      </c>
      <c r="AD45" s="473">
        <f t="shared" si="16"/>
        <v>1</v>
      </c>
      <c r="AE45" s="473">
        <f t="shared" si="17"/>
        <v>6</v>
      </c>
      <c r="AF45" s="473">
        <f t="shared" si="18"/>
        <v>2</v>
      </c>
      <c r="AG45" s="473">
        <f t="shared" si="19"/>
        <v>0</v>
      </c>
    </row>
    <row r="46" spans="1:33" x14ac:dyDescent="0.3">
      <c r="A46" s="487" t="s">
        <v>104</v>
      </c>
      <c r="B46" s="488" t="s">
        <v>105</v>
      </c>
      <c r="C46" s="494" t="s">
        <v>253</v>
      </c>
      <c r="D46" s="490">
        <v>34</v>
      </c>
      <c r="E46" s="490">
        <v>14</v>
      </c>
      <c r="F46" s="490">
        <v>13</v>
      </c>
      <c r="G46" s="490">
        <v>0</v>
      </c>
      <c r="H46" s="490">
        <v>0</v>
      </c>
      <c r="I46" s="490">
        <v>0</v>
      </c>
      <c r="J46" s="490">
        <v>1</v>
      </c>
      <c r="K46" s="490">
        <v>6</v>
      </c>
      <c r="L46" s="490">
        <v>0</v>
      </c>
      <c r="M46" s="490">
        <v>0</v>
      </c>
      <c r="N46" s="491"/>
      <c r="O46" s="491">
        <f t="shared" si="11"/>
        <v>7</v>
      </c>
      <c r="P46" s="491">
        <f t="shared" si="12"/>
        <v>0</v>
      </c>
      <c r="Q46" s="491"/>
      <c r="R46" s="492">
        <f t="shared" si="13"/>
        <v>0.41176470588235292</v>
      </c>
      <c r="S46" s="492">
        <f t="shared" si="14"/>
        <v>0.38235294117647056</v>
      </c>
      <c r="U46" s="473">
        <v>2</v>
      </c>
      <c r="V46" s="473">
        <v>10</v>
      </c>
      <c r="W46" s="473">
        <v>9</v>
      </c>
      <c r="X46" s="473">
        <v>6</v>
      </c>
      <c r="Y46" s="473">
        <v>7</v>
      </c>
      <c r="Z46" s="473">
        <v>0</v>
      </c>
      <c r="AA46" s="473">
        <v>0</v>
      </c>
      <c r="AB46" s="473">
        <v>34</v>
      </c>
      <c r="AC46" s="473">
        <f t="shared" si="15"/>
        <v>12</v>
      </c>
      <c r="AD46" s="473">
        <f t="shared" si="16"/>
        <v>9</v>
      </c>
      <c r="AE46" s="473">
        <f t="shared" si="17"/>
        <v>6</v>
      </c>
      <c r="AF46" s="473">
        <f t="shared" si="18"/>
        <v>7</v>
      </c>
      <c r="AG46" s="473">
        <f t="shared" si="19"/>
        <v>0</v>
      </c>
    </row>
    <row r="47" spans="1:33" x14ac:dyDescent="0.3">
      <c r="A47" s="487" t="s">
        <v>108</v>
      </c>
      <c r="B47" s="488" t="s">
        <v>109</v>
      </c>
      <c r="C47" s="494" t="s">
        <v>254</v>
      </c>
      <c r="D47" s="490">
        <v>21</v>
      </c>
      <c r="E47" s="490">
        <v>13</v>
      </c>
      <c r="F47" s="490">
        <v>6</v>
      </c>
      <c r="G47" s="490">
        <v>0</v>
      </c>
      <c r="H47" s="490">
        <v>0</v>
      </c>
      <c r="I47" s="490">
        <v>0</v>
      </c>
      <c r="J47" s="490">
        <v>0</v>
      </c>
      <c r="K47" s="490">
        <v>2</v>
      </c>
      <c r="L47" s="490">
        <v>0</v>
      </c>
      <c r="M47" s="490">
        <v>0</v>
      </c>
      <c r="N47" s="491"/>
      <c r="O47" s="491">
        <f t="shared" si="11"/>
        <v>2</v>
      </c>
      <c r="P47" s="491">
        <f t="shared" si="12"/>
        <v>0</v>
      </c>
      <c r="Q47" s="491"/>
      <c r="R47" s="492">
        <f t="shared" si="13"/>
        <v>0.61904761904761907</v>
      </c>
      <c r="S47" s="492">
        <f t="shared" si="14"/>
        <v>0.2857142857142857</v>
      </c>
      <c r="U47" s="473">
        <v>0</v>
      </c>
      <c r="V47" s="473">
        <v>2</v>
      </c>
      <c r="W47" s="473">
        <v>1</v>
      </c>
      <c r="X47" s="473">
        <v>8</v>
      </c>
      <c r="Y47" s="473">
        <v>10</v>
      </c>
      <c r="Z47" s="473">
        <v>0</v>
      </c>
      <c r="AA47" s="473">
        <v>0</v>
      </c>
      <c r="AB47" s="473">
        <v>21</v>
      </c>
      <c r="AC47" s="473">
        <f t="shared" si="15"/>
        <v>2</v>
      </c>
      <c r="AD47" s="473">
        <f t="shared" si="16"/>
        <v>1</v>
      </c>
      <c r="AE47" s="473">
        <f t="shared" si="17"/>
        <v>8</v>
      </c>
      <c r="AF47" s="473">
        <f t="shared" si="18"/>
        <v>10</v>
      </c>
      <c r="AG47" s="473">
        <f t="shared" si="19"/>
        <v>0</v>
      </c>
    </row>
    <row r="48" spans="1:33" x14ac:dyDescent="0.3">
      <c r="A48" s="487" t="s">
        <v>110</v>
      </c>
      <c r="B48" s="488" t="s">
        <v>111</v>
      </c>
      <c r="C48" s="494" t="s">
        <v>254</v>
      </c>
      <c r="D48" s="490">
        <v>110</v>
      </c>
      <c r="E48" s="490">
        <v>36</v>
      </c>
      <c r="F48" s="490">
        <v>55</v>
      </c>
      <c r="G48" s="490">
        <v>2</v>
      </c>
      <c r="H48" s="490">
        <v>0</v>
      </c>
      <c r="I48" s="490">
        <v>0</v>
      </c>
      <c r="J48" s="490">
        <v>4</v>
      </c>
      <c r="K48" s="490">
        <v>12</v>
      </c>
      <c r="L48" s="490">
        <v>1</v>
      </c>
      <c r="M48" s="490">
        <v>0</v>
      </c>
      <c r="N48" s="491"/>
      <c r="O48" s="491">
        <f t="shared" si="11"/>
        <v>18</v>
      </c>
      <c r="P48" s="491">
        <f t="shared" si="12"/>
        <v>1</v>
      </c>
      <c r="Q48" s="491"/>
      <c r="R48" s="492">
        <f t="shared" si="13"/>
        <v>0.32727272727272727</v>
      </c>
      <c r="S48" s="492">
        <f t="shared" si="14"/>
        <v>0.5</v>
      </c>
      <c r="U48" s="473">
        <v>4</v>
      </c>
      <c r="V48" s="473">
        <v>17</v>
      </c>
      <c r="W48" s="473">
        <v>19</v>
      </c>
      <c r="X48" s="473">
        <v>37</v>
      </c>
      <c r="Y48" s="473">
        <v>33</v>
      </c>
      <c r="Z48" s="473">
        <v>0</v>
      </c>
      <c r="AA48" s="473">
        <v>0</v>
      </c>
      <c r="AB48" s="473">
        <v>110</v>
      </c>
      <c r="AC48" s="473">
        <f t="shared" si="15"/>
        <v>21</v>
      </c>
      <c r="AD48" s="473">
        <f t="shared" si="16"/>
        <v>19</v>
      </c>
      <c r="AE48" s="473">
        <f t="shared" si="17"/>
        <v>37</v>
      </c>
      <c r="AF48" s="473">
        <f t="shared" si="18"/>
        <v>33</v>
      </c>
      <c r="AG48" s="473">
        <f t="shared" si="19"/>
        <v>0</v>
      </c>
    </row>
    <row r="49" spans="1:33" x14ac:dyDescent="0.3">
      <c r="A49" s="487" t="s">
        <v>112</v>
      </c>
      <c r="B49" s="488" t="s">
        <v>113</v>
      </c>
      <c r="C49" s="494" t="s">
        <v>253</v>
      </c>
      <c r="D49" s="490">
        <v>44</v>
      </c>
      <c r="E49" s="490">
        <v>32</v>
      </c>
      <c r="F49" s="490">
        <v>6</v>
      </c>
      <c r="G49" s="490">
        <v>0</v>
      </c>
      <c r="H49" s="490">
        <v>0</v>
      </c>
      <c r="I49" s="490">
        <v>0</v>
      </c>
      <c r="J49" s="490">
        <v>2</v>
      </c>
      <c r="K49" s="490">
        <v>4</v>
      </c>
      <c r="L49" s="490">
        <v>0</v>
      </c>
      <c r="M49" s="490">
        <v>0</v>
      </c>
      <c r="N49" s="491"/>
      <c r="O49" s="491">
        <f t="shared" si="11"/>
        <v>6</v>
      </c>
      <c r="P49" s="491">
        <f t="shared" si="12"/>
        <v>0</v>
      </c>
      <c r="Q49" s="491"/>
      <c r="R49" s="492">
        <f t="shared" si="13"/>
        <v>0.72727272727272729</v>
      </c>
      <c r="S49" s="492">
        <f t="shared" si="14"/>
        <v>0.13636363636363635</v>
      </c>
      <c r="U49" s="473">
        <v>1</v>
      </c>
      <c r="V49" s="473">
        <v>6</v>
      </c>
      <c r="W49" s="473">
        <v>12</v>
      </c>
      <c r="X49" s="473">
        <v>14</v>
      </c>
      <c r="Y49" s="473">
        <v>11</v>
      </c>
      <c r="Z49" s="473">
        <v>0</v>
      </c>
      <c r="AA49" s="473">
        <v>0</v>
      </c>
      <c r="AB49" s="473">
        <v>44</v>
      </c>
      <c r="AC49" s="473">
        <f t="shared" si="15"/>
        <v>7</v>
      </c>
      <c r="AD49" s="473">
        <f t="shared" si="16"/>
        <v>12</v>
      </c>
      <c r="AE49" s="473">
        <f t="shared" si="17"/>
        <v>14</v>
      </c>
      <c r="AF49" s="473">
        <f t="shared" si="18"/>
        <v>11</v>
      </c>
      <c r="AG49" s="473">
        <f t="shared" si="19"/>
        <v>0</v>
      </c>
    </row>
    <row r="50" spans="1:33" x14ac:dyDescent="0.3">
      <c r="A50" s="493" t="s">
        <v>114</v>
      </c>
      <c r="B50" s="488" t="s">
        <v>115</v>
      </c>
      <c r="C50" s="494" t="s">
        <v>253</v>
      </c>
      <c r="D50" s="490">
        <v>2</v>
      </c>
      <c r="E50" s="490">
        <v>2</v>
      </c>
      <c r="F50" s="490">
        <v>0</v>
      </c>
      <c r="G50" s="490">
        <v>0</v>
      </c>
      <c r="H50" s="490">
        <v>0</v>
      </c>
      <c r="I50" s="490">
        <v>0</v>
      </c>
      <c r="J50" s="490">
        <v>0</v>
      </c>
      <c r="K50" s="490">
        <v>0</v>
      </c>
      <c r="L50" s="490">
        <v>0</v>
      </c>
      <c r="M50" s="490">
        <v>0</v>
      </c>
      <c r="N50" s="491"/>
      <c r="O50" s="491">
        <f t="shared" si="11"/>
        <v>0</v>
      </c>
      <c r="P50" s="491">
        <f t="shared" si="12"/>
        <v>0</v>
      </c>
      <c r="Q50" s="491"/>
      <c r="R50" s="492">
        <f t="shared" si="13"/>
        <v>1</v>
      </c>
      <c r="S50" s="492">
        <f t="shared" si="14"/>
        <v>0</v>
      </c>
      <c r="U50" s="473">
        <v>0</v>
      </c>
      <c r="V50" s="473">
        <v>0</v>
      </c>
      <c r="W50" s="473">
        <v>2</v>
      </c>
      <c r="X50" s="473">
        <v>0</v>
      </c>
      <c r="Y50" s="473">
        <v>0</v>
      </c>
      <c r="Z50" s="473">
        <v>0</v>
      </c>
      <c r="AA50" s="473">
        <v>0</v>
      </c>
      <c r="AB50" s="473">
        <v>2</v>
      </c>
      <c r="AC50" s="473">
        <f t="shared" si="15"/>
        <v>0</v>
      </c>
      <c r="AD50" s="473">
        <f t="shared" si="16"/>
        <v>2</v>
      </c>
      <c r="AE50" s="473">
        <f t="shared" si="17"/>
        <v>0</v>
      </c>
      <c r="AF50" s="473">
        <f t="shared" si="18"/>
        <v>0</v>
      </c>
      <c r="AG50" s="473">
        <f t="shared" si="19"/>
        <v>0</v>
      </c>
    </row>
    <row r="51" spans="1:33" x14ac:dyDescent="0.3">
      <c r="A51" s="487" t="s">
        <v>118</v>
      </c>
      <c r="B51" s="488" t="s">
        <v>119</v>
      </c>
      <c r="C51" s="494" t="s">
        <v>252</v>
      </c>
      <c r="D51" s="490">
        <v>8</v>
      </c>
      <c r="E51" s="490">
        <v>8</v>
      </c>
      <c r="F51" s="490">
        <v>0</v>
      </c>
      <c r="G51" s="490">
        <v>0</v>
      </c>
      <c r="H51" s="490">
        <v>0</v>
      </c>
      <c r="I51" s="490">
        <v>0</v>
      </c>
      <c r="J51" s="490">
        <v>0</v>
      </c>
      <c r="K51" s="490">
        <v>0</v>
      </c>
      <c r="L51" s="490">
        <v>0</v>
      </c>
      <c r="M51" s="490">
        <v>0</v>
      </c>
      <c r="N51" s="491"/>
      <c r="O51" s="491">
        <f t="shared" si="11"/>
        <v>0</v>
      </c>
      <c r="P51" s="491">
        <f t="shared" si="12"/>
        <v>0</v>
      </c>
      <c r="Q51" s="491"/>
      <c r="R51" s="492">
        <f t="shared" si="13"/>
        <v>1</v>
      </c>
      <c r="S51" s="492">
        <f t="shared" si="14"/>
        <v>0</v>
      </c>
      <c r="U51" s="473">
        <v>1</v>
      </c>
      <c r="V51" s="473">
        <v>3</v>
      </c>
      <c r="W51" s="473">
        <v>1</v>
      </c>
      <c r="X51" s="473">
        <v>2</v>
      </c>
      <c r="Y51" s="473">
        <v>1</v>
      </c>
      <c r="Z51" s="473">
        <v>0</v>
      </c>
      <c r="AA51" s="473">
        <v>0</v>
      </c>
      <c r="AB51" s="473">
        <v>8</v>
      </c>
      <c r="AC51" s="473">
        <f t="shared" si="15"/>
        <v>4</v>
      </c>
      <c r="AD51" s="473">
        <f t="shared" si="16"/>
        <v>1</v>
      </c>
      <c r="AE51" s="473">
        <f t="shared" si="17"/>
        <v>2</v>
      </c>
      <c r="AF51" s="473">
        <f t="shared" si="18"/>
        <v>1</v>
      </c>
      <c r="AG51" s="473">
        <f t="shared" si="19"/>
        <v>0</v>
      </c>
    </row>
    <row r="52" spans="1:33" x14ac:dyDescent="0.3">
      <c r="A52" s="487" t="s">
        <v>120</v>
      </c>
      <c r="B52" s="488" t="s">
        <v>121</v>
      </c>
      <c r="C52" s="494" t="s">
        <v>252</v>
      </c>
      <c r="D52" s="490">
        <v>13</v>
      </c>
      <c r="E52" s="490">
        <v>5</v>
      </c>
      <c r="F52" s="490">
        <v>3</v>
      </c>
      <c r="G52" s="490">
        <v>0</v>
      </c>
      <c r="H52" s="490">
        <v>0</v>
      </c>
      <c r="I52" s="490">
        <v>0</v>
      </c>
      <c r="J52" s="490">
        <v>2</v>
      </c>
      <c r="K52" s="490">
        <v>3</v>
      </c>
      <c r="L52" s="490">
        <v>0</v>
      </c>
      <c r="M52" s="490">
        <v>0</v>
      </c>
      <c r="N52" s="491"/>
      <c r="O52" s="491">
        <f t="shared" si="11"/>
        <v>5</v>
      </c>
      <c r="P52" s="491">
        <f t="shared" si="12"/>
        <v>0</v>
      </c>
      <c r="Q52" s="491"/>
      <c r="R52" s="492">
        <f t="shared" si="13"/>
        <v>0.38461538461538464</v>
      </c>
      <c r="S52" s="492">
        <f t="shared" si="14"/>
        <v>0.23076923076923078</v>
      </c>
      <c r="U52" s="473">
        <v>3</v>
      </c>
      <c r="V52" s="473">
        <v>2</v>
      </c>
      <c r="W52" s="473">
        <v>1</v>
      </c>
      <c r="X52" s="473">
        <v>5</v>
      </c>
      <c r="Y52" s="473">
        <v>2</v>
      </c>
      <c r="Z52" s="473">
        <v>0</v>
      </c>
      <c r="AA52" s="473">
        <v>0</v>
      </c>
      <c r="AB52" s="473">
        <v>13</v>
      </c>
      <c r="AC52" s="473">
        <f t="shared" si="15"/>
        <v>5</v>
      </c>
      <c r="AD52" s="473">
        <f t="shared" si="16"/>
        <v>1</v>
      </c>
      <c r="AE52" s="473">
        <f t="shared" si="17"/>
        <v>5</v>
      </c>
      <c r="AF52" s="473">
        <f t="shared" si="18"/>
        <v>2</v>
      </c>
      <c r="AG52" s="473">
        <f t="shared" si="19"/>
        <v>0</v>
      </c>
    </row>
    <row r="53" spans="1:33" x14ac:dyDescent="0.3">
      <c r="A53" s="487" t="s">
        <v>122</v>
      </c>
      <c r="B53" s="488" t="s">
        <v>123</v>
      </c>
      <c r="C53" s="494" t="s">
        <v>254</v>
      </c>
      <c r="D53" s="490">
        <v>3</v>
      </c>
      <c r="E53" s="490">
        <v>3</v>
      </c>
      <c r="F53" s="490">
        <v>0</v>
      </c>
      <c r="G53" s="490">
        <v>0</v>
      </c>
      <c r="H53" s="490">
        <v>0</v>
      </c>
      <c r="I53" s="490">
        <v>0</v>
      </c>
      <c r="J53" s="490">
        <v>0</v>
      </c>
      <c r="K53" s="490">
        <v>0</v>
      </c>
      <c r="L53" s="490">
        <v>0</v>
      </c>
      <c r="M53" s="490">
        <v>0</v>
      </c>
      <c r="N53" s="491"/>
      <c r="O53" s="491">
        <f t="shared" si="11"/>
        <v>0</v>
      </c>
      <c r="P53" s="491">
        <f t="shared" si="12"/>
        <v>0</v>
      </c>
      <c r="Q53" s="491"/>
      <c r="R53" s="492">
        <f t="shared" si="13"/>
        <v>1</v>
      </c>
      <c r="S53" s="492">
        <f t="shared" si="14"/>
        <v>0</v>
      </c>
      <c r="U53" s="473">
        <v>0</v>
      </c>
      <c r="V53" s="473">
        <v>0</v>
      </c>
      <c r="W53" s="473">
        <v>0</v>
      </c>
      <c r="X53" s="473">
        <v>2</v>
      </c>
      <c r="Y53" s="473">
        <v>1</v>
      </c>
      <c r="Z53" s="473">
        <v>0</v>
      </c>
      <c r="AA53" s="473">
        <v>0</v>
      </c>
      <c r="AB53" s="473">
        <v>3</v>
      </c>
      <c r="AC53" s="473">
        <f t="shared" si="15"/>
        <v>0</v>
      </c>
      <c r="AD53" s="473">
        <f t="shared" si="16"/>
        <v>0</v>
      </c>
      <c r="AE53" s="473">
        <f t="shared" si="17"/>
        <v>2</v>
      </c>
      <c r="AF53" s="473">
        <f t="shared" si="18"/>
        <v>1</v>
      </c>
      <c r="AG53" s="473">
        <f t="shared" si="19"/>
        <v>0</v>
      </c>
    </row>
    <row r="54" spans="1:33" x14ac:dyDescent="0.3">
      <c r="A54" s="487" t="s">
        <v>124</v>
      </c>
      <c r="B54" s="488" t="s">
        <v>125</v>
      </c>
      <c r="C54" s="494" t="s">
        <v>255</v>
      </c>
      <c r="D54" s="490">
        <v>12</v>
      </c>
      <c r="E54" s="490">
        <v>8</v>
      </c>
      <c r="F54" s="490">
        <v>2</v>
      </c>
      <c r="G54" s="490">
        <v>0</v>
      </c>
      <c r="H54" s="490">
        <v>0</v>
      </c>
      <c r="I54" s="490">
        <v>0</v>
      </c>
      <c r="J54" s="490">
        <v>2</v>
      </c>
      <c r="K54" s="490">
        <v>0</v>
      </c>
      <c r="L54" s="490">
        <v>0</v>
      </c>
      <c r="M54" s="490">
        <v>0</v>
      </c>
      <c r="N54" s="491"/>
      <c r="O54" s="491">
        <f t="shared" si="11"/>
        <v>2</v>
      </c>
      <c r="P54" s="491">
        <f t="shared" si="12"/>
        <v>0</v>
      </c>
      <c r="Q54" s="491"/>
      <c r="R54" s="492">
        <f t="shared" si="13"/>
        <v>0.66666666666666663</v>
      </c>
      <c r="S54" s="492">
        <f t="shared" si="14"/>
        <v>0.16666666666666666</v>
      </c>
      <c r="U54" s="473">
        <v>0</v>
      </c>
      <c r="V54" s="473">
        <v>1</v>
      </c>
      <c r="W54" s="473">
        <v>2</v>
      </c>
      <c r="X54" s="473">
        <v>6</v>
      </c>
      <c r="Y54" s="473">
        <v>3</v>
      </c>
      <c r="Z54" s="473">
        <v>0</v>
      </c>
      <c r="AA54" s="473">
        <v>0</v>
      </c>
      <c r="AB54" s="473">
        <v>12</v>
      </c>
      <c r="AC54" s="473">
        <f t="shared" si="15"/>
        <v>1</v>
      </c>
      <c r="AD54" s="473">
        <f t="shared" si="16"/>
        <v>2</v>
      </c>
      <c r="AE54" s="473">
        <f t="shared" si="17"/>
        <v>6</v>
      </c>
      <c r="AF54" s="473">
        <f t="shared" si="18"/>
        <v>3</v>
      </c>
      <c r="AG54" s="473">
        <f t="shared" si="19"/>
        <v>0</v>
      </c>
    </row>
    <row r="55" spans="1:33" x14ac:dyDescent="0.3">
      <c r="A55" s="487" t="s">
        <v>126</v>
      </c>
      <c r="B55" s="488" t="s">
        <v>127</v>
      </c>
      <c r="C55" s="494" t="s">
        <v>254</v>
      </c>
      <c r="D55" s="490">
        <v>3</v>
      </c>
      <c r="E55" s="490">
        <v>1</v>
      </c>
      <c r="F55" s="490">
        <v>1</v>
      </c>
      <c r="G55" s="490">
        <v>0</v>
      </c>
      <c r="H55" s="490">
        <v>0</v>
      </c>
      <c r="I55" s="490">
        <v>0</v>
      </c>
      <c r="J55" s="490">
        <v>1</v>
      </c>
      <c r="K55" s="490">
        <v>0</v>
      </c>
      <c r="L55" s="490">
        <v>0</v>
      </c>
      <c r="M55" s="490">
        <v>0</v>
      </c>
      <c r="N55" s="491"/>
      <c r="O55" s="491">
        <f t="shared" si="11"/>
        <v>1</v>
      </c>
      <c r="P55" s="491">
        <f t="shared" si="12"/>
        <v>0</v>
      </c>
      <c r="Q55" s="491"/>
      <c r="R55" s="492">
        <f t="shared" si="13"/>
        <v>0.33333333333333331</v>
      </c>
      <c r="S55" s="492">
        <f t="shared" si="14"/>
        <v>0.33333333333333331</v>
      </c>
      <c r="U55" s="473">
        <v>1</v>
      </c>
      <c r="V55" s="473">
        <v>0</v>
      </c>
      <c r="W55" s="473">
        <v>0</v>
      </c>
      <c r="X55" s="473">
        <v>1</v>
      </c>
      <c r="Y55" s="473">
        <v>1</v>
      </c>
      <c r="Z55" s="473">
        <v>0</v>
      </c>
      <c r="AA55" s="473">
        <v>0</v>
      </c>
      <c r="AB55" s="473">
        <v>3</v>
      </c>
      <c r="AC55" s="473">
        <f t="shared" si="15"/>
        <v>1</v>
      </c>
      <c r="AD55" s="473">
        <f t="shared" si="16"/>
        <v>0</v>
      </c>
      <c r="AE55" s="473">
        <f t="shared" si="17"/>
        <v>1</v>
      </c>
      <c r="AF55" s="473">
        <f t="shared" si="18"/>
        <v>1</v>
      </c>
      <c r="AG55" s="473">
        <f t="shared" si="19"/>
        <v>0</v>
      </c>
    </row>
    <row r="56" spans="1:33" x14ac:dyDescent="0.3">
      <c r="A56" s="487" t="s">
        <v>128</v>
      </c>
      <c r="B56" s="488" t="s">
        <v>129</v>
      </c>
      <c r="C56" s="494" t="s">
        <v>254</v>
      </c>
      <c r="D56" s="490">
        <v>4</v>
      </c>
      <c r="E56" s="490">
        <v>4</v>
      </c>
      <c r="F56" s="490">
        <v>0</v>
      </c>
      <c r="G56" s="490">
        <v>0</v>
      </c>
      <c r="H56" s="490">
        <v>0</v>
      </c>
      <c r="I56" s="490">
        <v>0</v>
      </c>
      <c r="J56" s="490">
        <v>0</v>
      </c>
      <c r="K56" s="490">
        <v>0</v>
      </c>
      <c r="L56" s="490">
        <v>0</v>
      </c>
      <c r="M56" s="490">
        <v>0</v>
      </c>
      <c r="N56" s="491"/>
      <c r="O56" s="491">
        <f t="shared" si="11"/>
        <v>0</v>
      </c>
      <c r="P56" s="491">
        <f t="shared" si="12"/>
        <v>0</v>
      </c>
      <c r="Q56" s="491"/>
      <c r="R56" s="492">
        <f t="shared" si="13"/>
        <v>1</v>
      </c>
      <c r="S56" s="492">
        <f t="shared" si="14"/>
        <v>0</v>
      </c>
      <c r="U56" s="473">
        <v>0</v>
      </c>
      <c r="V56" s="473">
        <v>0</v>
      </c>
      <c r="W56" s="473">
        <v>0</v>
      </c>
      <c r="X56" s="473">
        <v>1</v>
      </c>
      <c r="Y56" s="473">
        <v>3</v>
      </c>
      <c r="Z56" s="473">
        <v>0</v>
      </c>
      <c r="AA56" s="473">
        <v>0</v>
      </c>
      <c r="AB56" s="473">
        <v>4</v>
      </c>
      <c r="AC56" s="473">
        <f t="shared" si="15"/>
        <v>0</v>
      </c>
      <c r="AD56" s="473">
        <f t="shared" si="16"/>
        <v>0</v>
      </c>
      <c r="AE56" s="473">
        <f t="shared" si="17"/>
        <v>1</v>
      </c>
      <c r="AF56" s="473">
        <f t="shared" si="18"/>
        <v>3</v>
      </c>
      <c r="AG56" s="473">
        <f t="shared" si="19"/>
        <v>0</v>
      </c>
    </row>
    <row r="57" spans="1:33" x14ac:dyDescent="0.3">
      <c r="A57" s="493" t="s">
        <v>130</v>
      </c>
      <c r="B57" s="488" t="s">
        <v>131</v>
      </c>
      <c r="C57" s="494" t="s">
        <v>256</v>
      </c>
      <c r="D57" s="490">
        <v>46</v>
      </c>
      <c r="E57" s="490">
        <v>44</v>
      </c>
      <c r="F57" s="490">
        <v>1</v>
      </c>
      <c r="G57" s="490">
        <v>0</v>
      </c>
      <c r="H57" s="490">
        <v>0</v>
      </c>
      <c r="I57" s="490">
        <v>0</v>
      </c>
      <c r="J57" s="490">
        <v>0</v>
      </c>
      <c r="K57" s="490">
        <v>1</v>
      </c>
      <c r="L57" s="490">
        <v>0</v>
      </c>
      <c r="M57" s="490">
        <v>0</v>
      </c>
      <c r="N57" s="491"/>
      <c r="O57" s="491">
        <f t="shared" si="11"/>
        <v>1</v>
      </c>
      <c r="P57" s="491">
        <f t="shared" si="12"/>
        <v>0</v>
      </c>
      <c r="Q57" s="491"/>
      <c r="R57" s="492">
        <f t="shared" si="13"/>
        <v>0.95652173913043481</v>
      </c>
      <c r="S57" s="492">
        <f t="shared" si="14"/>
        <v>2.1739130434782608E-2</v>
      </c>
      <c r="U57" s="473">
        <v>2</v>
      </c>
      <c r="V57" s="473">
        <v>10</v>
      </c>
      <c r="W57" s="473">
        <v>6</v>
      </c>
      <c r="X57" s="473">
        <v>15</v>
      </c>
      <c r="Y57" s="473">
        <v>13</v>
      </c>
      <c r="Z57" s="473">
        <v>0</v>
      </c>
      <c r="AA57" s="473">
        <v>0</v>
      </c>
      <c r="AB57" s="473">
        <v>46</v>
      </c>
      <c r="AC57" s="473">
        <f t="shared" si="15"/>
        <v>12</v>
      </c>
      <c r="AD57" s="473">
        <f t="shared" si="16"/>
        <v>6</v>
      </c>
      <c r="AE57" s="473">
        <f t="shared" si="17"/>
        <v>15</v>
      </c>
      <c r="AF57" s="473">
        <f t="shared" si="18"/>
        <v>13</v>
      </c>
      <c r="AG57" s="473">
        <f t="shared" si="19"/>
        <v>0</v>
      </c>
    </row>
    <row r="58" spans="1:33" x14ac:dyDescent="0.3">
      <c r="A58" s="487" t="s">
        <v>132</v>
      </c>
      <c r="B58" s="488" t="s">
        <v>133</v>
      </c>
      <c r="C58" s="494" t="s">
        <v>255</v>
      </c>
      <c r="D58" s="490">
        <v>47</v>
      </c>
      <c r="E58" s="490">
        <v>12</v>
      </c>
      <c r="F58" s="490">
        <v>9</v>
      </c>
      <c r="G58" s="490">
        <v>2</v>
      </c>
      <c r="H58" s="490">
        <v>0</v>
      </c>
      <c r="I58" s="490">
        <v>0</v>
      </c>
      <c r="J58" s="490">
        <v>17</v>
      </c>
      <c r="K58" s="490">
        <v>1</v>
      </c>
      <c r="L58" s="490">
        <v>5</v>
      </c>
      <c r="M58" s="490">
        <v>1</v>
      </c>
      <c r="N58" s="491"/>
      <c r="O58" s="491">
        <f t="shared" si="11"/>
        <v>20</v>
      </c>
      <c r="P58" s="491">
        <f t="shared" si="12"/>
        <v>6</v>
      </c>
      <c r="Q58" s="491"/>
      <c r="R58" s="492">
        <f t="shared" si="13"/>
        <v>0.25531914893617019</v>
      </c>
      <c r="S58" s="492">
        <f t="shared" si="14"/>
        <v>0.19148936170212766</v>
      </c>
      <c r="U58" s="473">
        <v>2</v>
      </c>
      <c r="V58" s="473">
        <v>7</v>
      </c>
      <c r="W58" s="473">
        <v>7</v>
      </c>
      <c r="X58" s="473">
        <v>14</v>
      </c>
      <c r="Y58" s="473">
        <v>17</v>
      </c>
      <c r="Z58" s="473">
        <v>0</v>
      </c>
      <c r="AA58" s="473">
        <v>0</v>
      </c>
      <c r="AB58" s="473">
        <v>47</v>
      </c>
      <c r="AC58" s="473">
        <f t="shared" si="15"/>
        <v>9</v>
      </c>
      <c r="AD58" s="473">
        <f t="shared" si="16"/>
        <v>7</v>
      </c>
      <c r="AE58" s="473">
        <f t="shared" si="17"/>
        <v>14</v>
      </c>
      <c r="AF58" s="473">
        <f t="shared" si="18"/>
        <v>17</v>
      </c>
      <c r="AG58" s="473">
        <f t="shared" si="19"/>
        <v>0</v>
      </c>
    </row>
    <row r="59" spans="1:33" x14ac:dyDescent="0.3">
      <c r="A59" s="487" t="s">
        <v>134</v>
      </c>
      <c r="B59" s="488" t="s">
        <v>135</v>
      </c>
      <c r="C59" s="494" t="s">
        <v>255</v>
      </c>
      <c r="D59" s="490">
        <v>35</v>
      </c>
      <c r="E59" s="490">
        <v>25</v>
      </c>
      <c r="F59" s="490">
        <v>7</v>
      </c>
      <c r="G59" s="490">
        <v>0</v>
      </c>
      <c r="H59" s="490">
        <v>0</v>
      </c>
      <c r="I59" s="490">
        <v>0</v>
      </c>
      <c r="J59" s="490">
        <v>0</v>
      </c>
      <c r="K59" s="490">
        <v>3</v>
      </c>
      <c r="L59" s="490">
        <v>0</v>
      </c>
      <c r="M59" s="490">
        <v>0</v>
      </c>
      <c r="N59" s="491"/>
      <c r="O59" s="491">
        <f t="shared" si="11"/>
        <v>3</v>
      </c>
      <c r="P59" s="491">
        <f t="shared" si="12"/>
        <v>0</v>
      </c>
      <c r="Q59" s="491"/>
      <c r="R59" s="492">
        <f t="shared" si="13"/>
        <v>0.7142857142857143</v>
      </c>
      <c r="S59" s="492">
        <f t="shared" si="14"/>
        <v>0.2</v>
      </c>
      <c r="U59" s="473">
        <v>1</v>
      </c>
      <c r="V59" s="473">
        <v>8</v>
      </c>
      <c r="W59" s="473">
        <v>11</v>
      </c>
      <c r="X59" s="473">
        <v>9</v>
      </c>
      <c r="Y59" s="473">
        <v>6</v>
      </c>
      <c r="Z59" s="473">
        <v>0</v>
      </c>
      <c r="AA59" s="473">
        <v>0</v>
      </c>
      <c r="AB59" s="473">
        <v>35</v>
      </c>
      <c r="AC59" s="473">
        <f t="shared" si="15"/>
        <v>9</v>
      </c>
      <c r="AD59" s="473">
        <f t="shared" si="16"/>
        <v>11</v>
      </c>
      <c r="AE59" s="473">
        <f t="shared" si="17"/>
        <v>9</v>
      </c>
      <c r="AF59" s="473">
        <f t="shared" si="18"/>
        <v>6</v>
      </c>
      <c r="AG59" s="473">
        <f t="shared" si="19"/>
        <v>0</v>
      </c>
    </row>
    <row r="60" spans="1:33" x14ac:dyDescent="0.3">
      <c r="A60" s="487" t="s">
        <v>136</v>
      </c>
      <c r="B60" s="488" t="s">
        <v>137</v>
      </c>
      <c r="C60" s="494" t="s">
        <v>254</v>
      </c>
      <c r="D60" s="490">
        <v>10</v>
      </c>
      <c r="E60" s="490">
        <v>3</v>
      </c>
      <c r="F60" s="490">
        <v>6</v>
      </c>
      <c r="G60" s="490">
        <v>0</v>
      </c>
      <c r="H60" s="490">
        <v>0</v>
      </c>
      <c r="I60" s="490">
        <v>0</v>
      </c>
      <c r="J60" s="490">
        <v>0</v>
      </c>
      <c r="K60" s="490">
        <v>1</v>
      </c>
      <c r="L60" s="490">
        <v>0</v>
      </c>
      <c r="M60" s="490">
        <v>0</v>
      </c>
      <c r="N60" s="491"/>
      <c r="O60" s="491">
        <f t="shared" si="11"/>
        <v>1</v>
      </c>
      <c r="P60" s="491">
        <f t="shared" si="12"/>
        <v>0</v>
      </c>
      <c r="Q60" s="491"/>
      <c r="R60" s="492">
        <f t="shared" si="13"/>
        <v>0.3</v>
      </c>
      <c r="S60" s="492">
        <f t="shared" si="14"/>
        <v>0.6</v>
      </c>
      <c r="U60" s="473">
        <v>1</v>
      </c>
      <c r="V60" s="473">
        <v>3</v>
      </c>
      <c r="W60" s="473">
        <v>1</v>
      </c>
      <c r="X60" s="473">
        <v>3</v>
      </c>
      <c r="Y60" s="473">
        <v>2</v>
      </c>
      <c r="Z60" s="473">
        <v>0</v>
      </c>
      <c r="AA60" s="473">
        <v>0</v>
      </c>
      <c r="AB60" s="473">
        <v>10</v>
      </c>
      <c r="AC60" s="473">
        <f t="shared" si="15"/>
        <v>4</v>
      </c>
      <c r="AD60" s="473">
        <f t="shared" si="16"/>
        <v>1</v>
      </c>
      <c r="AE60" s="473">
        <f t="shared" si="17"/>
        <v>3</v>
      </c>
      <c r="AF60" s="473">
        <f t="shared" si="18"/>
        <v>2</v>
      </c>
      <c r="AG60" s="473">
        <f t="shared" si="19"/>
        <v>0</v>
      </c>
    </row>
    <row r="61" spans="1:33" x14ac:dyDescent="0.3">
      <c r="A61" s="487" t="s">
        <v>140</v>
      </c>
      <c r="B61" s="488" t="s">
        <v>141</v>
      </c>
      <c r="C61" s="494" t="s">
        <v>255</v>
      </c>
      <c r="D61" s="490">
        <v>43</v>
      </c>
      <c r="E61" s="490">
        <v>34</v>
      </c>
      <c r="F61" s="490">
        <v>2</v>
      </c>
      <c r="G61" s="490">
        <v>0</v>
      </c>
      <c r="H61" s="490">
        <v>0</v>
      </c>
      <c r="I61" s="490">
        <v>0</v>
      </c>
      <c r="J61" s="490">
        <v>1</v>
      </c>
      <c r="K61" s="490">
        <v>5</v>
      </c>
      <c r="L61" s="490">
        <v>0</v>
      </c>
      <c r="M61" s="490">
        <v>1</v>
      </c>
      <c r="N61" s="491"/>
      <c r="O61" s="491">
        <f t="shared" si="11"/>
        <v>6</v>
      </c>
      <c r="P61" s="491">
        <f t="shared" si="12"/>
        <v>1</v>
      </c>
      <c r="Q61" s="491"/>
      <c r="R61" s="492">
        <f t="shared" si="13"/>
        <v>0.79069767441860461</v>
      </c>
      <c r="S61" s="492">
        <f t="shared" si="14"/>
        <v>4.6511627906976744E-2</v>
      </c>
      <c r="U61" s="473">
        <v>6</v>
      </c>
      <c r="V61" s="473">
        <v>14</v>
      </c>
      <c r="W61" s="473">
        <v>7</v>
      </c>
      <c r="X61" s="473">
        <v>8</v>
      </c>
      <c r="Y61" s="473">
        <v>8</v>
      </c>
      <c r="Z61" s="473">
        <v>0</v>
      </c>
      <c r="AA61" s="473">
        <v>0</v>
      </c>
      <c r="AB61" s="473">
        <v>43</v>
      </c>
      <c r="AC61" s="473">
        <f t="shared" si="15"/>
        <v>20</v>
      </c>
      <c r="AD61" s="473">
        <f t="shared" si="16"/>
        <v>7</v>
      </c>
      <c r="AE61" s="473">
        <f t="shared" si="17"/>
        <v>8</v>
      </c>
      <c r="AF61" s="473">
        <f t="shared" si="18"/>
        <v>8</v>
      </c>
      <c r="AG61" s="473">
        <f t="shared" si="19"/>
        <v>0</v>
      </c>
    </row>
    <row r="62" spans="1:33" x14ac:dyDescent="0.3">
      <c r="A62" s="487" t="s">
        <v>146</v>
      </c>
      <c r="B62" s="488" t="s">
        <v>147</v>
      </c>
      <c r="C62" s="494" t="s">
        <v>252</v>
      </c>
      <c r="D62" s="490">
        <v>7</v>
      </c>
      <c r="E62" s="490">
        <v>5</v>
      </c>
      <c r="F62" s="490">
        <v>0</v>
      </c>
      <c r="G62" s="490">
        <v>0</v>
      </c>
      <c r="H62" s="490">
        <v>0</v>
      </c>
      <c r="I62" s="490">
        <v>0</v>
      </c>
      <c r="J62" s="490">
        <v>0</v>
      </c>
      <c r="K62" s="490">
        <v>2</v>
      </c>
      <c r="L62" s="490">
        <v>0</v>
      </c>
      <c r="M62" s="490">
        <v>0</v>
      </c>
      <c r="N62" s="491"/>
      <c r="O62" s="491">
        <f t="shared" si="11"/>
        <v>2</v>
      </c>
      <c r="P62" s="491">
        <f t="shared" si="12"/>
        <v>0</v>
      </c>
      <c r="Q62" s="491"/>
      <c r="R62" s="492">
        <f t="shared" si="13"/>
        <v>0.7142857142857143</v>
      </c>
      <c r="S62" s="492">
        <f t="shared" si="14"/>
        <v>0</v>
      </c>
      <c r="U62" s="473">
        <v>0</v>
      </c>
      <c r="V62" s="473">
        <v>2</v>
      </c>
      <c r="W62" s="473">
        <v>3</v>
      </c>
      <c r="X62" s="473">
        <v>1</v>
      </c>
      <c r="Y62" s="473">
        <v>1</v>
      </c>
      <c r="Z62" s="473">
        <v>0</v>
      </c>
      <c r="AA62" s="473">
        <v>0</v>
      </c>
      <c r="AB62" s="473">
        <v>7</v>
      </c>
      <c r="AC62" s="473">
        <f t="shared" si="15"/>
        <v>2</v>
      </c>
      <c r="AD62" s="473">
        <f t="shared" si="16"/>
        <v>3</v>
      </c>
      <c r="AE62" s="473">
        <f t="shared" si="17"/>
        <v>1</v>
      </c>
      <c r="AF62" s="473">
        <f t="shared" si="18"/>
        <v>1</v>
      </c>
      <c r="AG62" s="473">
        <f t="shared" si="19"/>
        <v>0</v>
      </c>
    </row>
    <row r="63" spans="1:33" x14ac:dyDescent="0.3">
      <c r="A63" s="487" t="s">
        <v>148</v>
      </c>
      <c r="B63" s="488" t="s">
        <v>149</v>
      </c>
      <c r="C63" s="494" t="s">
        <v>253</v>
      </c>
      <c r="D63" s="490">
        <v>22</v>
      </c>
      <c r="E63" s="490">
        <v>12</v>
      </c>
      <c r="F63" s="490">
        <v>4</v>
      </c>
      <c r="G63" s="490">
        <v>0</v>
      </c>
      <c r="H63" s="490">
        <v>0</v>
      </c>
      <c r="I63" s="490">
        <v>0</v>
      </c>
      <c r="J63" s="490">
        <v>1</v>
      </c>
      <c r="K63" s="490">
        <v>5</v>
      </c>
      <c r="L63" s="490">
        <v>0</v>
      </c>
      <c r="M63" s="490">
        <v>0</v>
      </c>
      <c r="N63" s="491"/>
      <c r="O63" s="491">
        <f t="shared" si="11"/>
        <v>6</v>
      </c>
      <c r="P63" s="491">
        <f t="shared" si="12"/>
        <v>0</v>
      </c>
      <c r="Q63" s="491"/>
      <c r="R63" s="492">
        <f t="shared" si="13"/>
        <v>0.54545454545454541</v>
      </c>
      <c r="S63" s="492">
        <f t="shared" si="14"/>
        <v>0.18181818181818182</v>
      </c>
      <c r="U63" s="473">
        <v>2</v>
      </c>
      <c r="V63" s="473">
        <v>5</v>
      </c>
      <c r="W63" s="473">
        <v>4</v>
      </c>
      <c r="X63" s="473">
        <v>7</v>
      </c>
      <c r="Y63" s="473">
        <v>4</v>
      </c>
      <c r="Z63" s="473">
        <v>0</v>
      </c>
      <c r="AA63" s="473">
        <v>0</v>
      </c>
      <c r="AB63" s="473">
        <v>22</v>
      </c>
      <c r="AC63" s="473">
        <f t="shared" si="15"/>
        <v>7</v>
      </c>
      <c r="AD63" s="473">
        <f t="shared" si="16"/>
        <v>4</v>
      </c>
      <c r="AE63" s="473">
        <f t="shared" si="17"/>
        <v>7</v>
      </c>
      <c r="AF63" s="473">
        <f t="shared" si="18"/>
        <v>4</v>
      </c>
      <c r="AG63" s="473">
        <f t="shared" si="19"/>
        <v>0</v>
      </c>
    </row>
    <row r="64" spans="1:33" x14ac:dyDescent="0.3">
      <c r="A64" s="487" t="s">
        <v>150</v>
      </c>
      <c r="B64" s="488" t="s">
        <v>151</v>
      </c>
      <c r="C64" s="494" t="s">
        <v>254</v>
      </c>
      <c r="D64" s="490">
        <v>10</v>
      </c>
      <c r="E64" s="490">
        <v>9</v>
      </c>
      <c r="F64" s="490">
        <v>0</v>
      </c>
      <c r="G64" s="490">
        <v>0</v>
      </c>
      <c r="H64" s="490">
        <v>0</v>
      </c>
      <c r="I64" s="490">
        <v>0</v>
      </c>
      <c r="J64" s="490">
        <v>0</v>
      </c>
      <c r="K64" s="490">
        <v>0</v>
      </c>
      <c r="L64" s="490">
        <v>1</v>
      </c>
      <c r="M64" s="490">
        <v>0</v>
      </c>
      <c r="N64" s="491"/>
      <c r="O64" s="491">
        <f t="shared" si="11"/>
        <v>0</v>
      </c>
      <c r="P64" s="491">
        <f t="shared" si="12"/>
        <v>1</v>
      </c>
      <c r="Q64" s="491"/>
      <c r="R64" s="492">
        <f t="shared" si="13"/>
        <v>0.9</v>
      </c>
      <c r="S64" s="492">
        <f t="shared" si="14"/>
        <v>0</v>
      </c>
      <c r="U64" s="473">
        <v>1</v>
      </c>
      <c r="V64" s="473">
        <v>5</v>
      </c>
      <c r="W64" s="473">
        <v>0</v>
      </c>
      <c r="X64" s="473">
        <v>1</v>
      </c>
      <c r="Y64" s="473">
        <v>3</v>
      </c>
      <c r="Z64" s="473">
        <v>0</v>
      </c>
      <c r="AA64" s="473">
        <v>0</v>
      </c>
      <c r="AB64" s="473">
        <v>10</v>
      </c>
      <c r="AC64" s="473">
        <f t="shared" si="15"/>
        <v>6</v>
      </c>
      <c r="AD64" s="473">
        <f t="shared" si="16"/>
        <v>0</v>
      </c>
      <c r="AE64" s="473">
        <f t="shared" si="17"/>
        <v>1</v>
      </c>
      <c r="AF64" s="473">
        <f t="shared" si="18"/>
        <v>3</v>
      </c>
      <c r="AG64" s="473">
        <f t="shared" si="19"/>
        <v>0</v>
      </c>
    </row>
    <row r="65" spans="1:33" x14ac:dyDescent="0.3">
      <c r="A65" s="487" t="s">
        <v>152</v>
      </c>
      <c r="B65" s="488" t="s">
        <v>153</v>
      </c>
      <c r="C65" s="494" t="s">
        <v>256</v>
      </c>
      <c r="D65" s="490">
        <v>36</v>
      </c>
      <c r="E65" s="490">
        <v>26</v>
      </c>
      <c r="F65" s="490">
        <v>4</v>
      </c>
      <c r="G65" s="490">
        <v>0</v>
      </c>
      <c r="H65" s="490">
        <v>0</v>
      </c>
      <c r="I65" s="490">
        <v>0</v>
      </c>
      <c r="J65" s="490">
        <v>2</v>
      </c>
      <c r="K65" s="490">
        <v>3</v>
      </c>
      <c r="L65" s="490">
        <v>1</v>
      </c>
      <c r="M65" s="490">
        <v>0</v>
      </c>
      <c r="N65" s="491"/>
      <c r="O65" s="491">
        <f t="shared" si="11"/>
        <v>5</v>
      </c>
      <c r="P65" s="491">
        <f t="shared" si="12"/>
        <v>1</v>
      </c>
      <c r="Q65" s="491"/>
      <c r="R65" s="492">
        <f t="shared" si="13"/>
        <v>0.72222222222222221</v>
      </c>
      <c r="S65" s="492">
        <f t="shared" si="14"/>
        <v>0.1111111111111111</v>
      </c>
      <c r="U65" s="473">
        <v>3</v>
      </c>
      <c r="V65" s="473">
        <v>9</v>
      </c>
      <c r="W65" s="473">
        <v>13</v>
      </c>
      <c r="X65" s="473">
        <v>4</v>
      </c>
      <c r="Y65" s="473">
        <v>7</v>
      </c>
      <c r="Z65" s="473">
        <v>0</v>
      </c>
      <c r="AA65" s="473">
        <v>0</v>
      </c>
      <c r="AB65" s="473">
        <v>36</v>
      </c>
      <c r="AC65" s="473">
        <f t="shared" si="15"/>
        <v>12</v>
      </c>
      <c r="AD65" s="473">
        <f t="shared" si="16"/>
        <v>13</v>
      </c>
      <c r="AE65" s="473">
        <f t="shared" si="17"/>
        <v>4</v>
      </c>
      <c r="AF65" s="473">
        <f t="shared" si="18"/>
        <v>7</v>
      </c>
      <c r="AG65" s="473">
        <f t="shared" si="19"/>
        <v>0</v>
      </c>
    </row>
    <row r="66" spans="1:33" x14ac:dyDescent="0.3">
      <c r="A66" s="487" t="s">
        <v>154</v>
      </c>
      <c r="B66" s="488" t="s">
        <v>155</v>
      </c>
      <c r="C66" s="494" t="s">
        <v>253</v>
      </c>
      <c r="D66" s="490">
        <v>18</v>
      </c>
      <c r="E66" s="490">
        <v>18</v>
      </c>
      <c r="F66" s="490">
        <v>0</v>
      </c>
      <c r="G66" s="490">
        <v>0</v>
      </c>
      <c r="H66" s="490">
        <v>0</v>
      </c>
      <c r="I66" s="490">
        <v>0</v>
      </c>
      <c r="J66" s="490">
        <v>0</v>
      </c>
      <c r="K66" s="490">
        <v>0</v>
      </c>
      <c r="L66" s="490">
        <v>0</v>
      </c>
      <c r="M66" s="490">
        <v>0</v>
      </c>
      <c r="N66" s="491"/>
      <c r="O66" s="491">
        <f t="shared" si="11"/>
        <v>0</v>
      </c>
      <c r="P66" s="491">
        <f t="shared" si="12"/>
        <v>0</v>
      </c>
      <c r="Q66" s="491"/>
      <c r="R66" s="492">
        <f t="shared" si="13"/>
        <v>1</v>
      </c>
      <c r="S66" s="492">
        <f t="shared" si="14"/>
        <v>0</v>
      </c>
      <c r="U66" s="473">
        <v>0</v>
      </c>
      <c r="V66" s="473">
        <v>5</v>
      </c>
      <c r="W66" s="473">
        <v>5</v>
      </c>
      <c r="X66" s="473">
        <v>5</v>
      </c>
      <c r="Y66" s="473">
        <v>3</v>
      </c>
      <c r="Z66" s="473">
        <v>0</v>
      </c>
      <c r="AA66" s="473">
        <v>0</v>
      </c>
      <c r="AB66" s="473">
        <v>18</v>
      </c>
      <c r="AC66" s="473">
        <f t="shared" si="15"/>
        <v>5</v>
      </c>
      <c r="AD66" s="473">
        <f t="shared" si="16"/>
        <v>5</v>
      </c>
      <c r="AE66" s="473">
        <f t="shared" si="17"/>
        <v>5</v>
      </c>
      <c r="AF66" s="473">
        <f t="shared" si="18"/>
        <v>3</v>
      </c>
      <c r="AG66" s="473">
        <f t="shared" si="19"/>
        <v>0</v>
      </c>
    </row>
    <row r="67" spans="1:33" x14ac:dyDescent="0.3">
      <c r="A67" s="493" t="s">
        <v>156</v>
      </c>
      <c r="B67" s="488" t="s">
        <v>157</v>
      </c>
      <c r="C67" s="494" t="s">
        <v>254</v>
      </c>
      <c r="D67" s="490">
        <v>1</v>
      </c>
      <c r="E67" s="490">
        <v>0</v>
      </c>
      <c r="F67" s="490">
        <v>0</v>
      </c>
      <c r="G67" s="490">
        <v>0</v>
      </c>
      <c r="H67" s="490">
        <v>0</v>
      </c>
      <c r="I67" s="490">
        <v>0</v>
      </c>
      <c r="J67" s="490">
        <v>1</v>
      </c>
      <c r="K67" s="490">
        <v>0</v>
      </c>
      <c r="L67" s="490">
        <v>0</v>
      </c>
      <c r="M67" s="490">
        <v>0</v>
      </c>
      <c r="N67" s="491"/>
      <c r="O67" s="491">
        <f t="shared" si="11"/>
        <v>1</v>
      </c>
      <c r="P67" s="491">
        <f t="shared" si="12"/>
        <v>0</v>
      </c>
      <c r="Q67" s="491"/>
      <c r="R67" s="492">
        <f t="shared" si="13"/>
        <v>0</v>
      </c>
      <c r="S67" s="492">
        <f t="shared" si="14"/>
        <v>0</v>
      </c>
      <c r="U67" s="473">
        <v>0</v>
      </c>
      <c r="V67" s="473">
        <v>0</v>
      </c>
      <c r="W67" s="473">
        <v>0</v>
      </c>
      <c r="X67" s="473">
        <v>0</v>
      </c>
      <c r="Y67" s="473">
        <v>1</v>
      </c>
      <c r="Z67" s="473">
        <v>0</v>
      </c>
      <c r="AA67" s="473">
        <v>0</v>
      </c>
      <c r="AB67" s="473">
        <v>1</v>
      </c>
      <c r="AC67" s="473">
        <f t="shared" si="15"/>
        <v>0</v>
      </c>
      <c r="AD67" s="473">
        <f t="shared" si="16"/>
        <v>0</v>
      </c>
      <c r="AE67" s="473">
        <f t="shared" si="17"/>
        <v>0</v>
      </c>
      <c r="AF67" s="473">
        <f t="shared" si="18"/>
        <v>1</v>
      </c>
      <c r="AG67" s="473">
        <f t="shared" si="19"/>
        <v>0</v>
      </c>
    </row>
    <row r="68" spans="1:33" x14ac:dyDescent="0.3">
      <c r="A68" s="487" t="s">
        <v>162</v>
      </c>
      <c r="B68" s="488" t="s">
        <v>163</v>
      </c>
      <c r="C68" s="494" t="s">
        <v>252</v>
      </c>
      <c r="D68" s="490">
        <v>4</v>
      </c>
      <c r="E68" s="490">
        <v>1</v>
      </c>
      <c r="F68" s="490">
        <v>2</v>
      </c>
      <c r="G68" s="490">
        <v>0</v>
      </c>
      <c r="H68" s="490">
        <v>0</v>
      </c>
      <c r="I68" s="490">
        <v>0</v>
      </c>
      <c r="J68" s="490">
        <v>1</v>
      </c>
      <c r="K68" s="490">
        <v>0</v>
      </c>
      <c r="L68" s="490">
        <v>0</v>
      </c>
      <c r="M68" s="490">
        <v>0</v>
      </c>
      <c r="N68" s="491"/>
      <c r="O68" s="491">
        <f t="shared" si="11"/>
        <v>1</v>
      </c>
      <c r="P68" s="491">
        <f t="shared" si="12"/>
        <v>0</v>
      </c>
      <c r="Q68" s="491"/>
      <c r="R68" s="492">
        <f t="shared" si="13"/>
        <v>0.25</v>
      </c>
      <c r="S68" s="492">
        <f t="shared" si="14"/>
        <v>0.5</v>
      </c>
      <c r="U68" s="473">
        <v>0</v>
      </c>
      <c r="V68" s="473">
        <v>0</v>
      </c>
      <c r="W68" s="473">
        <v>1</v>
      </c>
      <c r="X68" s="473">
        <v>0</v>
      </c>
      <c r="Y68" s="473">
        <v>3</v>
      </c>
      <c r="Z68" s="473">
        <v>0</v>
      </c>
      <c r="AA68" s="473">
        <v>0</v>
      </c>
      <c r="AB68" s="473">
        <v>4</v>
      </c>
      <c r="AC68" s="473">
        <f t="shared" si="15"/>
        <v>0</v>
      </c>
      <c r="AD68" s="473">
        <f t="shared" si="16"/>
        <v>1</v>
      </c>
      <c r="AE68" s="473">
        <f t="shared" si="17"/>
        <v>0</v>
      </c>
      <c r="AF68" s="473">
        <f t="shared" si="18"/>
        <v>3</v>
      </c>
      <c r="AG68" s="473">
        <f t="shared" si="19"/>
        <v>0</v>
      </c>
    </row>
    <row r="69" spans="1:33" x14ac:dyDescent="0.3">
      <c r="A69" s="487" t="s">
        <v>164</v>
      </c>
      <c r="B69" s="488" t="s">
        <v>165</v>
      </c>
      <c r="C69" s="494" t="s">
        <v>254</v>
      </c>
      <c r="D69" s="490">
        <v>0</v>
      </c>
      <c r="E69" s="490">
        <v>0</v>
      </c>
      <c r="F69" s="490">
        <v>0</v>
      </c>
      <c r="G69" s="490">
        <v>0</v>
      </c>
      <c r="H69" s="490">
        <v>0</v>
      </c>
      <c r="I69" s="490">
        <v>0</v>
      </c>
      <c r="J69" s="490">
        <v>0</v>
      </c>
      <c r="K69" s="490">
        <v>0</v>
      </c>
      <c r="L69" s="490">
        <v>0</v>
      </c>
      <c r="M69" s="490">
        <v>0</v>
      </c>
      <c r="N69" s="491"/>
      <c r="O69" s="491">
        <f t="shared" si="11"/>
        <v>0</v>
      </c>
      <c r="P69" s="491">
        <f t="shared" si="12"/>
        <v>0</v>
      </c>
      <c r="Q69" s="491"/>
      <c r="R69" s="492" t="str">
        <f t="shared" si="13"/>
        <v>N/A</v>
      </c>
      <c r="S69" s="492" t="str">
        <f t="shared" si="14"/>
        <v>N/A</v>
      </c>
      <c r="U69" s="473">
        <v>0</v>
      </c>
      <c r="V69" s="473">
        <v>0</v>
      </c>
      <c r="W69" s="473">
        <v>0</v>
      </c>
      <c r="X69" s="473">
        <v>0</v>
      </c>
      <c r="Y69" s="473">
        <v>0</v>
      </c>
      <c r="Z69" s="473">
        <v>0</v>
      </c>
      <c r="AA69" s="473">
        <v>0</v>
      </c>
      <c r="AB69" s="473">
        <v>0</v>
      </c>
      <c r="AC69" s="473">
        <f t="shared" si="15"/>
        <v>0</v>
      </c>
      <c r="AD69" s="473">
        <f t="shared" si="16"/>
        <v>0</v>
      </c>
      <c r="AE69" s="473">
        <f t="shared" si="17"/>
        <v>0</v>
      </c>
      <c r="AF69" s="473">
        <f t="shared" si="18"/>
        <v>0</v>
      </c>
      <c r="AG69" s="473">
        <f t="shared" si="19"/>
        <v>0</v>
      </c>
    </row>
    <row r="70" spans="1:33" x14ac:dyDescent="0.3">
      <c r="A70" s="487" t="s">
        <v>168</v>
      </c>
      <c r="B70" s="488" t="s">
        <v>169</v>
      </c>
      <c r="C70" s="494" t="s">
        <v>254</v>
      </c>
      <c r="D70" s="490">
        <v>8</v>
      </c>
      <c r="E70" s="490">
        <v>5</v>
      </c>
      <c r="F70" s="490">
        <v>3</v>
      </c>
      <c r="G70" s="490">
        <v>0</v>
      </c>
      <c r="H70" s="490">
        <v>0</v>
      </c>
      <c r="I70" s="490">
        <v>0</v>
      </c>
      <c r="J70" s="490">
        <v>0</v>
      </c>
      <c r="K70" s="490">
        <v>0</v>
      </c>
      <c r="L70" s="490">
        <v>0</v>
      </c>
      <c r="M70" s="490">
        <v>0</v>
      </c>
      <c r="N70" s="491"/>
      <c r="O70" s="491">
        <f t="shared" ref="O70:O101" si="20">SUM(G70:K70)</f>
        <v>0</v>
      </c>
      <c r="P70" s="491">
        <f t="shared" ref="P70:P101" si="21">L70+M70</f>
        <v>0</v>
      </c>
      <c r="Q70" s="491"/>
      <c r="R70" s="492">
        <f t="shared" ref="R70:R101" si="22">IF(D70=0,"N/A",+E70/D70)</f>
        <v>0.625</v>
      </c>
      <c r="S70" s="492">
        <f t="shared" ref="S70:S101" si="23">IF(D70=0,"N/A",+F70/D70)</f>
        <v>0.375</v>
      </c>
      <c r="U70" s="473">
        <v>0</v>
      </c>
      <c r="V70" s="473">
        <v>1</v>
      </c>
      <c r="W70" s="473">
        <v>0</v>
      </c>
      <c r="X70" s="473">
        <v>4</v>
      </c>
      <c r="Y70" s="473">
        <v>3</v>
      </c>
      <c r="Z70" s="473">
        <v>0</v>
      </c>
      <c r="AA70" s="473">
        <v>0</v>
      </c>
      <c r="AB70" s="473">
        <v>8</v>
      </c>
      <c r="AC70" s="473">
        <f t="shared" ref="AC70:AC101" si="24">U70+V70</f>
        <v>1</v>
      </c>
      <c r="AD70" s="473">
        <f t="shared" ref="AD70:AD101" si="25">W70</f>
        <v>0</v>
      </c>
      <c r="AE70" s="473">
        <f t="shared" ref="AE70:AE101" si="26">X70</f>
        <v>4</v>
      </c>
      <c r="AF70" s="473">
        <f t="shared" ref="AF70:AF101" si="27">Y70</f>
        <v>3</v>
      </c>
      <c r="AG70" s="473">
        <f t="shared" ref="AG70:AG101" si="28">Z70</f>
        <v>0</v>
      </c>
    </row>
    <row r="71" spans="1:33" x14ac:dyDescent="0.3">
      <c r="A71" s="487" t="s">
        <v>170</v>
      </c>
      <c r="B71" s="488" t="s">
        <v>171</v>
      </c>
      <c r="C71" s="494" t="s">
        <v>255</v>
      </c>
      <c r="D71" s="490">
        <v>21</v>
      </c>
      <c r="E71" s="490">
        <v>11</v>
      </c>
      <c r="F71" s="490">
        <v>2</v>
      </c>
      <c r="G71" s="490">
        <v>0</v>
      </c>
      <c r="H71" s="490">
        <v>0</v>
      </c>
      <c r="I71" s="490">
        <v>0</v>
      </c>
      <c r="J71" s="490">
        <v>3</v>
      </c>
      <c r="K71" s="490">
        <v>5</v>
      </c>
      <c r="L71" s="490">
        <v>0</v>
      </c>
      <c r="M71" s="490">
        <v>0</v>
      </c>
      <c r="N71" s="491"/>
      <c r="O71" s="491">
        <f t="shared" si="20"/>
        <v>8</v>
      </c>
      <c r="P71" s="491">
        <f t="shared" si="21"/>
        <v>0</v>
      </c>
      <c r="Q71" s="491"/>
      <c r="R71" s="492">
        <f t="shared" si="22"/>
        <v>0.52380952380952384</v>
      </c>
      <c r="S71" s="492">
        <f t="shared" si="23"/>
        <v>9.5238095238095233E-2</v>
      </c>
      <c r="U71" s="473">
        <v>1</v>
      </c>
      <c r="V71" s="473">
        <v>2</v>
      </c>
      <c r="W71" s="473">
        <v>6</v>
      </c>
      <c r="X71" s="473">
        <v>3</v>
      </c>
      <c r="Y71" s="473">
        <v>9</v>
      </c>
      <c r="Z71" s="473">
        <v>0</v>
      </c>
      <c r="AA71" s="473">
        <v>0</v>
      </c>
      <c r="AB71" s="473">
        <v>21</v>
      </c>
      <c r="AC71" s="473">
        <f t="shared" si="24"/>
        <v>3</v>
      </c>
      <c r="AD71" s="473">
        <f t="shared" si="25"/>
        <v>6</v>
      </c>
      <c r="AE71" s="473">
        <f t="shared" si="26"/>
        <v>3</v>
      </c>
      <c r="AF71" s="473">
        <f t="shared" si="27"/>
        <v>9</v>
      </c>
      <c r="AG71" s="473">
        <f t="shared" si="28"/>
        <v>0</v>
      </c>
    </row>
    <row r="72" spans="1:33" x14ac:dyDescent="0.3">
      <c r="A72" s="493" t="s">
        <v>172</v>
      </c>
      <c r="B72" s="488" t="s">
        <v>173</v>
      </c>
      <c r="C72" s="494" t="s">
        <v>255</v>
      </c>
      <c r="D72" s="490">
        <v>24</v>
      </c>
      <c r="E72" s="490">
        <v>19</v>
      </c>
      <c r="F72" s="490">
        <v>3</v>
      </c>
      <c r="G72" s="490">
        <v>0</v>
      </c>
      <c r="H72" s="490">
        <v>0</v>
      </c>
      <c r="I72" s="490">
        <v>0</v>
      </c>
      <c r="J72" s="490">
        <v>2</v>
      </c>
      <c r="K72" s="490">
        <v>0</v>
      </c>
      <c r="L72" s="490">
        <v>0</v>
      </c>
      <c r="M72" s="490">
        <v>0</v>
      </c>
      <c r="N72" s="491"/>
      <c r="O72" s="491">
        <f t="shared" si="20"/>
        <v>2</v>
      </c>
      <c r="P72" s="491">
        <f t="shared" si="21"/>
        <v>0</v>
      </c>
      <c r="Q72" s="491"/>
      <c r="R72" s="492">
        <f t="shared" si="22"/>
        <v>0.79166666666666663</v>
      </c>
      <c r="S72" s="492">
        <f t="shared" si="23"/>
        <v>0.125</v>
      </c>
      <c r="U72" s="473">
        <v>2</v>
      </c>
      <c r="V72" s="473">
        <v>5</v>
      </c>
      <c r="W72" s="473">
        <v>5</v>
      </c>
      <c r="X72" s="473">
        <v>10</v>
      </c>
      <c r="Y72" s="473">
        <v>2</v>
      </c>
      <c r="Z72" s="473">
        <v>0</v>
      </c>
      <c r="AA72" s="473">
        <v>0</v>
      </c>
      <c r="AB72" s="473">
        <v>24</v>
      </c>
      <c r="AC72" s="473">
        <f t="shared" si="24"/>
        <v>7</v>
      </c>
      <c r="AD72" s="473">
        <f t="shared" si="25"/>
        <v>5</v>
      </c>
      <c r="AE72" s="473">
        <f t="shared" si="26"/>
        <v>10</v>
      </c>
      <c r="AF72" s="473">
        <f t="shared" si="27"/>
        <v>2</v>
      </c>
      <c r="AG72" s="473">
        <f t="shared" si="28"/>
        <v>0</v>
      </c>
    </row>
    <row r="73" spans="1:33" x14ac:dyDescent="0.3">
      <c r="A73" s="493" t="s">
        <v>174</v>
      </c>
      <c r="B73" s="488" t="s">
        <v>175</v>
      </c>
      <c r="C73" s="494" t="s">
        <v>256</v>
      </c>
      <c r="D73" s="490">
        <v>22</v>
      </c>
      <c r="E73" s="490">
        <v>22</v>
      </c>
      <c r="F73" s="490">
        <v>0</v>
      </c>
      <c r="G73" s="490">
        <v>0</v>
      </c>
      <c r="H73" s="490">
        <v>0</v>
      </c>
      <c r="I73" s="490">
        <v>0</v>
      </c>
      <c r="J73" s="490">
        <v>0</v>
      </c>
      <c r="K73" s="490">
        <v>0</v>
      </c>
      <c r="L73" s="490">
        <v>0</v>
      </c>
      <c r="M73" s="490">
        <v>0</v>
      </c>
      <c r="N73" s="491"/>
      <c r="O73" s="491">
        <f t="shared" si="20"/>
        <v>0</v>
      </c>
      <c r="P73" s="491">
        <f t="shared" si="21"/>
        <v>0</v>
      </c>
      <c r="Q73" s="491"/>
      <c r="R73" s="492">
        <f t="shared" si="22"/>
        <v>1</v>
      </c>
      <c r="S73" s="492">
        <f t="shared" si="23"/>
        <v>0</v>
      </c>
      <c r="U73" s="473">
        <v>0</v>
      </c>
      <c r="V73" s="473">
        <v>8</v>
      </c>
      <c r="W73" s="473">
        <v>3</v>
      </c>
      <c r="X73" s="473">
        <v>9</v>
      </c>
      <c r="Y73" s="473">
        <v>2</v>
      </c>
      <c r="Z73" s="473">
        <v>0</v>
      </c>
      <c r="AA73" s="473">
        <v>0</v>
      </c>
      <c r="AB73" s="473">
        <v>22</v>
      </c>
      <c r="AC73" s="473">
        <f t="shared" si="24"/>
        <v>8</v>
      </c>
      <c r="AD73" s="473">
        <f t="shared" si="25"/>
        <v>3</v>
      </c>
      <c r="AE73" s="473">
        <f t="shared" si="26"/>
        <v>9</v>
      </c>
      <c r="AF73" s="473">
        <f t="shared" si="27"/>
        <v>2</v>
      </c>
      <c r="AG73" s="473">
        <f t="shared" si="28"/>
        <v>0</v>
      </c>
    </row>
    <row r="74" spans="1:33" x14ac:dyDescent="0.3">
      <c r="A74" s="487" t="s">
        <v>178</v>
      </c>
      <c r="B74" s="488" t="s">
        <v>179</v>
      </c>
      <c r="C74" s="494" t="s">
        <v>253</v>
      </c>
      <c r="D74" s="490">
        <v>29</v>
      </c>
      <c r="E74" s="490">
        <v>25</v>
      </c>
      <c r="F74" s="490">
        <v>2</v>
      </c>
      <c r="G74" s="490">
        <v>0</v>
      </c>
      <c r="H74" s="490">
        <v>0</v>
      </c>
      <c r="I74" s="490">
        <v>0</v>
      </c>
      <c r="J74" s="490">
        <v>1</v>
      </c>
      <c r="K74" s="490">
        <v>1</v>
      </c>
      <c r="L74" s="490">
        <v>0</v>
      </c>
      <c r="M74" s="490">
        <v>0</v>
      </c>
      <c r="N74" s="491"/>
      <c r="O74" s="491">
        <f t="shared" si="20"/>
        <v>2</v>
      </c>
      <c r="P74" s="491">
        <f t="shared" si="21"/>
        <v>0</v>
      </c>
      <c r="Q74" s="491"/>
      <c r="R74" s="492">
        <f t="shared" si="22"/>
        <v>0.86206896551724133</v>
      </c>
      <c r="S74" s="492">
        <f t="shared" si="23"/>
        <v>6.8965517241379309E-2</v>
      </c>
      <c r="U74" s="473">
        <v>0</v>
      </c>
      <c r="V74" s="473">
        <v>3</v>
      </c>
      <c r="W74" s="473">
        <v>7</v>
      </c>
      <c r="X74" s="473">
        <v>9</v>
      </c>
      <c r="Y74" s="473">
        <v>10</v>
      </c>
      <c r="Z74" s="473">
        <v>0</v>
      </c>
      <c r="AA74" s="473">
        <v>0</v>
      </c>
      <c r="AB74" s="473">
        <v>29</v>
      </c>
      <c r="AC74" s="473">
        <f t="shared" si="24"/>
        <v>3</v>
      </c>
      <c r="AD74" s="473">
        <f t="shared" si="25"/>
        <v>7</v>
      </c>
      <c r="AE74" s="473">
        <f t="shared" si="26"/>
        <v>9</v>
      </c>
      <c r="AF74" s="473">
        <f t="shared" si="27"/>
        <v>10</v>
      </c>
      <c r="AG74" s="473">
        <f t="shared" si="28"/>
        <v>0</v>
      </c>
    </row>
    <row r="75" spans="1:33" x14ac:dyDescent="0.3">
      <c r="A75" s="487" t="s">
        <v>182</v>
      </c>
      <c r="B75" s="488" t="s">
        <v>183</v>
      </c>
      <c r="C75" s="494" t="s">
        <v>254</v>
      </c>
      <c r="D75" s="490">
        <v>3</v>
      </c>
      <c r="E75" s="490">
        <v>3</v>
      </c>
      <c r="F75" s="490">
        <v>0</v>
      </c>
      <c r="G75" s="490">
        <v>0</v>
      </c>
      <c r="H75" s="490">
        <v>0</v>
      </c>
      <c r="I75" s="490">
        <v>0</v>
      </c>
      <c r="J75" s="490">
        <v>0</v>
      </c>
      <c r="K75" s="490">
        <v>0</v>
      </c>
      <c r="L75" s="490">
        <v>0</v>
      </c>
      <c r="M75" s="490">
        <v>0</v>
      </c>
      <c r="N75" s="491"/>
      <c r="O75" s="491">
        <f t="shared" si="20"/>
        <v>0</v>
      </c>
      <c r="P75" s="491">
        <f t="shared" si="21"/>
        <v>0</v>
      </c>
      <c r="Q75" s="491"/>
      <c r="R75" s="492">
        <f t="shared" si="22"/>
        <v>1</v>
      </c>
      <c r="S75" s="492">
        <f t="shared" si="23"/>
        <v>0</v>
      </c>
      <c r="U75" s="473">
        <v>0</v>
      </c>
      <c r="V75" s="473">
        <v>0</v>
      </c>
      <c r="W75" s="473">
        <v>0</v>
      </c>
      <c r="X75" s="473">
        <v>0</v>
      </c>
      <c r="Y75" s="473">
        <v>3</v>
      </c>
      <c r="Z75" s="473">
        <v>0</v>
      </c>
      <c r="AA75" s="473">
        <v>0</v>
      </c>
      <c r="AB75" s="473">
        <v>3</v>
      </c>
      <c r="AC75" s="473">
        <f t="shared" si="24"/>
        <v>0</v>
      </c>
      <c r="AD75" s="473">
        <f t="shared" si="25"/>
        <v>0</v>
      </c>
      <c r="AE75" s="473">
        <f t="shared" si="26"/>
        <v>0</v>
      </c>
      <c r="AF75" s="473">
        <f t="shared" si="27"/>
        <v>3</v>
      </c>
      <c r="AG75" s="473">
        <f t="shared" si="28"/>
        <v>0</v>
      </c>
    </row>
    <row r="76" spans="1:33" x14ac:dyDescent="0.3">
      <c r="A76" s="487" t="s">
        <v>184</v>
      </c>
      <c r="B76" s="488" t="s">
        <v>185</v>
      </c>
      <c r="C76" s="494" t="s">
        <v>254</v>
      </c>
      <c r="D76" s="490">
        <v>5</v>
      </c>
      <c r="E76" s="490">
        <v>4</v>
      </c>
      <c r="F76" s="490">
        <v>0</v>
      </c>
      <c r="G76" s="490">
        <v>0</v>
      </c>
      <c r="H76" s="490">
        <v>0</v>
      </c>
      <c r="I76" s="490">
        <v>0</v>
      </c>
      <c r="J76" s="490">
        <v>0</v>
      </c>
      <c r="K76" s="490">
        <v>1</v>
      </c>
      <c r="L76" s="490">
        <v>0</v>
      </c>
      <c r="M76" s="490">
        <v>0</v>
      </c>
      <c r="N76" s="491"/>
      <c r="O76" s="491">
        <f t="shared" si="20"/>
        <v>1</v>
      </c>
      <c r="P76" s="491">
        <f t="shared" si="21"/>
        <v>0</v>
      </c>
      <c r="Q76" s="491"/>
      <c r="R76" s="492">
        <f t="shared" si="22"/>
        <v>0.8</v>
      </c>
      <c r="S76" s="492">
        <f t="shared" si="23"/>
        <v>0</v>
      </c>
      <c r="U76" s="473">
        <v>0</v>
      </c>
      <c r="V76" s="473">
        <v>0</v>
      </c>
      <c r="W76" s="473">
        <v>3</v>
      </c>
      <c r="X76" s="473">
        <v>1</v>
      </c>
      <c r="Y76" s="473">
        <v>1</v>
      </c>
      <c r="Z76" s="473">
        <v>0</v>
      </c>
      <c r="AA76" s="473">
        <v>0</v>
      </c>
      <c r="AB76" s="473">
        <v>5</v>
      </c>
      <c r="AC76" s="473">
        <f t="shared" si="24"/>
        <v>0</v>
      </c>
      <c r="AD76" s="473">
        <f t="shared" si="25"/>
        <v>3</v>
      </c>
      <c r="AE76" s="473">
        <f t="shared" si="26"/>
        <v>1</v>
      </c>
      <c r="AF76" s="473">
        <f t="shared" si="27"/>
        <v>1</v>
      </c>
      <c r="AG76" s="473">
        <f t="shared" si="28"/>
        <v>0</v>
      </c>
    </row>
    <row r="77" spans="1:33" x14ac:dyDescent="0.3">
      <c r="A77" s="487" t="s">
        <v>186</v>
      </c>
      <c r="B77" s="488" t="s">
        <v>187</v>
      </c>
      <c r="C77" s="494" t="s">
        <v>252</v>
      </c>
      <c r="D77" s="490">
        <v>20</v>
      </c>
      <c r="E77" s="490">
        <v>13</v>
      </c>
      <c r="F77" s="490">
        <v>1</v>
      </c>
      <c r="G77" s="490">
        <v>0</v>
      </c>
      <c r="H77" s="490">
        <v>0</v>
      </c>
      <c r="I77" s="490">
        <v>0</v>
      </c>
      <c r="J77" s="490">
        <v>3</v>
      </c>
      <c r="K77" s="490">
        <v>2</v>
      </c>
      <c r="L77" s="490">
        <v>1</v>
      </c>
      <c r="M77" s="490">
        <v>0</v>
      </c>
      <c r="N77" s="491"/>
      <c r="O77" s="491">
        <f t="shared" si="20"/>
        <v>5</v>
      </c>
      <c r="P77" s="491">
        <f t="shared" si="21"/>
        <v>1</v>
      </c>
      <c r="Q77" s="491"/>
      <c r="R77" s="492">
        <f t="shared" si="22"/>
        <v>0.65</v>
      </c>
      <c r="S77" s="492">
        <f t="shared" si="23"/>
        <v>0.05</v>
      </c>
      <c r="U77" s="473">
        <v>1</v>
      </c>
      <c r="V77" s="473">
        <v>8</v>
      </c>
      <c r="W77" s="473">
        <v>3</v>
      </c>
      <c r="X77" s="473">
        <v>7</v>
      </c>
      <c r="Y77" s="473">
        <v>1</v>
      </c>
      <c r="Z77" s="473">
        <v>0</v>
      </c>
      <c r="AA77" s="473">
        <v>0</v>
      </c>
      <c r="AB77" s="473">
        <v>20</v>
      </c>
      <c r="AC77" s="473">
        <f t="shared" si="24"/>
        <v>9</v>
      </c>
      <c r="AD77" s="473">
        <f t="shared" si="25"/>
        <v>3</v>
      </c>
      <c r="AE77" s="473">
        <f t="shared" si="26"/>
        <v>7</v>
      </c>
      <c r="AF77" s="473">
        <f t="shared" si="27"/>
        <v>1</v>
      </c>
      <c r="AG77" s="473">
        <f t="shared" si="28"/>
        <v>0</v>
      </c>
    </row>
    <row r="78" spans="1:33" x14ac:dyDescent="0.3">
      <c r="A78" s="487" t="s">
        <v>188</v>
      </c>
      <c r="B78" s="488" t="s">
        <v>189</v>
      </c>
      <c r="C78" s="494" t="s">
        <v>255</v>
      </c>
      <c r="D78" s="490">
        <v>88</v>
      </c>
      <c r="E78" s="490">
        <v>20</v>
      </c>
      <c r="F78" s="490">
        <v>33</v>
      </c>
      <c r="G78" s="490">
        <v>0</v>
      </c>
      <c r="H78" s="490">
        <v>0</v>
      </c>
      <c r="I78" s="490">
        <v>0</v>
      </c>
      <c r="J78" s="490">
        <v>24</v>
      </c>
      <c r="K78" s="490">
        <v>10</v>
      </c>
      <c r="L78" s="490">
        <v>1</v>
      </c>
      <c r="M78" s="490">
        <v>0</v>
      </c>
      <c r="N78" s="491"/>
      <c r="O78" s="491">
        <f t="shared" si="20"/>
        <v>34</v>
      </c>
      <c r="P78" s="491">
        <f t="shared" si="21"/>
        <v>1</v>
      </c>
      <c r="Q78" s="491"/>
      <c r="R78" s="492">
        <f t="shared" si="22"/>
        <v>0.22727272727272727</v>
      </c>
      <c r="S78" s="492">
        <f t="shared" si="23"/>
        <v>0.375</v>
      </c>
      <c r="U78" s="473">
        <v>6</v>
      </c>
      <c r="V78" s="473">
        <v>14</v>
      </c>
      <c r="W78" s="473">
        <v>13</v>
      </c>
      <c r="X78" s="473">
        <v>26</v>
      </c>
      <c r="Y78" s="473">
        <v>29</v>
      </c>
      <c r="Z78" s="473">
        <v>0</v>
      </c>
      <c r="AA78" s="473">
        <v>0</v>
      </c>
      <c r="AB78" s="473">
        <v>88</v>
      </c>
      <c r="AC78" s="473">
        <f t="shared" si="24"/>
        <v>20</v>
      </c>
      <c r="AD78" s="473">
        <f t="shared" si="25"/>
        <v>13</v>
      </c>
      <c r="AE78" s="473">
        <f t="shared" si="26"/>
        <v>26</v>
      </c>
      <c r="AF78" s="473">
        <f t="shared" si="27"/>
        <v>29</v>
      </c>
      <c r="AG78" s="473">
        <f t="shared" si="28"/>
        <v>0</v>
      </c>
    </row>
    <row r="79" spans="1:33" x14ac:dyDescent="0.3">
      <c r="A79" s="487" t="s">
        <v>190</v>
      </c>
      <c r="B79" s="488" t="s">
        <v>191</v>
      </c>
      <c r="C79" s="494" t="s">
        <v>256</v>
      </c>
      <c r="D79" s="490">
        <v>30</v>
      </c>
      <c r="E79" s="490">
        <v>27</v>
      </c>
      <c r="F79" s="490">
        <v>2</v>
      </c>
      <c r="G79" s="490">
        <v>0</v>
      </c>
      <c r="H79" s="490">
        <v>0</v>
      </c>
      <c r="I79" s="490">
        <v>0</v>
      </c>
      <c r="J79" s="490">
        <v>0</v>
      </c>
      <c r="K79" s="490">
        <v>1</v>
      </c>
      <c r="L79" s="490">
        <v>0</v>
      </c>
      <c r="M79" s="490">
        <v>0</v>
      </c>
      <c r="N79" s="491"/>
      <c r="O79" s="491">
        <f t="shared" si="20"/>
        <v>1</v>
      </c>
      <c r="P79" s="491">
        <f t="shared" si="21"/>
        <v>0</v>
      </c>
      <c r="Q79" s="491"/>
      <c r="R79" s="492">
        <f t="shared" si="22"/>
        <v>0.9</v>
      </c>
      <c r="S79" s="492">
        <f t="shared" si="23"/>
        <v>6.6666666666666666E-2</v>
      </c>
      <c r="U79" s="473">
        <v>2</v>
      </c>
      <c r="V79" s="473">
        <v>4</v>
      </c>
      <c r="W79" s="473">
        <v>5</v>
      </c>
      <c r="X79" s="473">
        <v>7</v>
      </c>
      <c r="Y79" s="473">
        <v>12</v>
      </c>
      <c r="Z79" s="473">
        <v>0</v>
      </c>
      <c r="AA79" s="473">
        <v>0</v>
      </c>
      <c r="AB79" s="473">
        <v>30</v>
      </c>
      <c r="AC79" s="473">
        <f t="shared" si="24"/>
        <v>6</v>
      </c>
      <c r="AD79" s="473">
        <f t="shared" si="25"/>
        <v>5</v>
      </c>
      <c r="AE79" s="473">
        <f t="shared" si="26"/>
        <v>7</v>
      </c>
      <c r="AF79" s="473">
        <f t="shared" si="27"/>
        <v>12</v>
      </c>
      <c r="AG79" s="473">
        <f t="shared" si="28"/>
        <v>0</v>
      </c>
    </row>
    <row r="80" spans="1:33" x14ac:dyDescent="0.3">
      <c r="A80" s="487" t="s">
        <v>194</v>
      </c>
      <c r="B80" s="488" t="s">
        <v>195</v>
      </c>
      <c r="C80" s="494" t="s">
        <v>255</v>
      </c>
      <c r="D80" s="490">
        <v>25</v>
      </c>
      <c r="E80" s="490">
        <v>20</v>
      </c>
      <c r="F80" s="490">
        <v>0</v>
      </c>
      <c r="G80" s="490">
        <v>0</v>
      </c>
      <c r="H80" s="490">
        <v>0</v>
      </c>
      <c r="I80" s="490">
        <v>0</v>
      </c>
      <c r="J80" s="490">
        <v>0</v>
      </c>
      <c r="K80" s="490">
        <v>5</v>
      </c>
      <c r="L80" s="490">
        <v>0</v>
      </c>
      <c r="M80" s="490">
        <v>0</v>
      </c>
      <c r="N80" s="491"/>
      <c r="O80" s="491">
        <f t="shared" si="20"/>
        <v>5</v>
      </c>
      <c r="P80" s="491">
        <f t="shared" si="21"/>
        <v>0</v>
      </c>
      <c r="Q80" s="491"/>
      <c r="R80" s="492">
        <f t="shared" si="22"/>
        <v>0.8</v>
      </c>
      <c r="S80" s="492">
        <f t="shared" si="23"/>
        <v>0</v>
      </c>
      <c r="U80" s="473">
        <v>0</v>
      </c>
      <c r="V80" s="473">
        <v>5</v>
      </c>
      <c r="W80" s="473">
        <v>6</v>
      </c>
      <c r="X80" s="473">
        <v>8</v>
      </c>
      <c r="Y80" s="473">
        <v>6</v>
      </c>
      <c r="Z80" s="473">
        <v>0</v>
      </c>
      <c r="AA80" s="473">
        <v>0</v>
      </c>
      <c r="AB80" s="473">
        <v>25</v>
      </c>
      <c r="AC80" s="473">
        <f t="shared" si="24"/>
        <v>5</v>
      </c>
      <c r="AD80" s="473">
        <f t="shared" si="25"/>
        <v>6</v>
      </c>
      <c r="AE80" s="473">
        <f t="shared" si="26"/>
        <v>8</v>
      </c>
      <c r="AF80" s="473">
        <f t="shared" si="27"/>
        <v>6</v>
      </c>
      <c r="AG80" s="473">
        <f t="shared" si="28"/>
        <v>0</v>
      </c>
    </row>
    <row r="81" spans="1:33" x14ac:dyDescent="0.3">
      <c r="A81" s="487" t="s">
        <v>198</v>
      </c>
      <c r="B81" s="488" t="s">
        <v>260</v>
      </c>
      <c r="C81" s="494" t="s">
        <v>254</v>
      </c>
      <c r="D81" s="490">
        <v>0</v>
      </c>
      <c r="E81" s="490">
        <v>0</v>
      </c>
      <c r="F81" s="490">
        <v>0</v>
      </c>
      <c r="G81" s="490">
        <v>0</v>
      </c>
      <c r="H81" s="490">
        <v>0</v>
      </c>
      <c r="I81" s="490">
        <v>0</v>
      </c>
      <c r="J81" s="490">
        <v>0</v>
      </c>
      <c r="K81" s="490">
        <v>0</v>
      </c>
      <c r="L81" s="490">
        <v>0</v>
      </c>
      <c r="M81" s="490">
        <v>0</v>
      </c>
      <c r="N81" s="491"/>
      <c r="O81" s="491">
        <f t="shared" si="20"/>
        <v>0</v>
      </c>
      <c r="P81" s="491">
        <f t="shared" si="21"/>
        <v>0</v>
      </c>
      <c r="Q81" s="491"/>
      <c r="R81" s="492" t="str">
        <f t="shared" si="22"/>
        <v>N/A</v>
      </c>
      <c r="S81" s="492" t="str">
        <f t="shared" si="23"/>
        <v>N/A</v>
      </c>
      <c r="U81" s="473">
        <v>0</v>
      </c>
      <c r="V81" s="473">
        <v>0</v>
      </c>
      <c r="W81" s="473">
        <v>0</v>
      </c>
      <c r="X81" s="473">
        <v>0</v>
      </c>
      <c r="Y81" s="473">
        <v>0</v>
      </c>
      <c r="Z81" s="473">
        <v>0</v>
      </c>
      <c r="AA81" s="473">
        <v>0</v>
      </c>
      <c r="AB81" s="473">
        <v>0</v>
      </c>
      <c r="AC81" s="473">
        <f t="shared" si="24"/>
        <v>0</v>
      </c>
      <c r="AD81" s="473">
        <f t="shared" si="25"/>
        <v>0</v>
      </c>
      <c r="AE81" s="473">
        <f t="shared" si="26"/>
        <v>0</v>
      </c>
      <c r="AF81" s="473">
        <f t="shared" si="27"/>
        <v>0</v>
      </c>
      <c r="AG81" s="473">
        <f t="shared" si="28"/>
        <v>0</v>
      </c>
    </row>
    <row r="82" spans="1:33" x14ac:dyDescent="0.3">
      <c r="A82" s="487" t="s">
        <v>202</v>
      </c>
      <c r="B82" s="488" t="s">
        <v>271</v>
      </c>
      <c r="C82" s="494" t="s">
        <v>253</v>
      </c>
      <c r="D82" s="490">
        <v>105</v>
      </c>
      <c r="E82" s="490">
        <v>81</v>
      </c>
      <c r="F82" s="490">
        <v>10</v>
      </c>
      <c r="G82" s="490">
        <v>0</v>
      </c>
      <c r="H82" s="490">
        <v>0</v>
      </c>
      <c r="I82" s="490">
        <v>0</v>
      </c>
      <c r="J82" s="490">
        <v>7</v>
      </c>
      <c r="K82" s="490">
        <v>7</v>
      </c>
      <c r="L82" s="490">
        <v>0</v>
      </c>
      <c r="M82" s="490">
        <v>0</v>
      </c>
      <c r="N82" s="491"/>
      <c r="O82" s="491">
        <f t="shared" si="20"/>
        <v>14</v>
      </c>
      <c r="P82" s="491">
        <f t="shared" si="21"/>
        <v>0</v>
      </c>
      <c r="Q82" s="491"/>
      <c r="R82" s="492">
        <f t="shared" si="22"/>
        <v>0.77142857142857146</v>
      </c>
      <c r="S82" s="492">
        <f t="shared" si="23"/>
        <v>9.5238095238095233E-2</v>
      </c>
      <c r="U82" s="473">
        <v>5</v>
      </c>
      <c r="V82" s="473">
        <v>26</v>
      </c>
      <c r="W82" s="473">
        <v>28</v>
      </c>
      <c r="X82" s="473">
        <v>27</v>
      </c>
      <c r="Y82" s="473">
        <v>19</v>
      </c>
      <c r="Z82" s="473">
        <v>0</v>
      </c>
      <c r="AA82" s="473">
        <v>0</v>
      </c>
      <c r="AB82" s="473">
        <v>105</v>
      </c>
      <c r="AC82" s="473">
        <f t="shared" si="24"/>
        <v>31</v>
      </c>
      <c r="AD82" s="473">
        <f t="shared" si="25"/>
        <v>28</v>
      </c>
      <c r="AE82" s="473">
        <f t="shared" si="26"/>
        <v>27</v>
      </c>
      <c r="AF82" s="473">
        <f t="shared" si="27"/>
        <v>19</v>
      </c>
      <c r="AG82" s="473">
        <f t="shared" si="28"/>
        <v>0</v>
      </c>
    </row>
    <row r="83" spans="1:33" x14ac:dyDescent="0.3">
      <c r="A83" s="487" t="s">
        <v>204</v>
      </c>
      <c r="B83" s="488" t="s">
        <v>272</v>
      </c>
      <c r="C83" s="494" t="s">
        <v>253</v>
      </c>
      <c r="D83" s="490">
        <v>34</v>
      </c>
      <c r="E83" s="490">
        <v>24</v>
      </c>
      <c r="F83" s="490">
        <v>1</v>
      </c>
      <c r="G83" s="490">
        <v>0</v>
      </c>
      <c r="H83" s="490">
        <v>0</v>
      </c>
      <c r="I83" s="490">
        <v>0</v>
      </c>
      <c r="J83" s="490">
        <v>4</v>
      </c>
      <c r="K83" s="490">
        <v>5</v>
      </c>
      <c r="L83" s="490">
        <v>0</v>
      </c>
      <c r="M83" s="490">
        <v>0</v>
      </c>
      <c r="N83" s="491"/>
      <c r="O83" s="491">
        <f t="shared" si="20"/>
        <v>9</v>
      </c>
      <c r="P83" s="491">
        <f t="shared" si="21"/>
        <v>0</v>
      </c>
      <c r="Q83" s="491"/>
      <c r="R83" s="492">
        <f t="shared" si="22"/>
        <v>0.70588235294117652</v>
      </c>
      <c r="S83" s="492">
        <f t="shared" si="23"/>
        <v>2.9411764705882353E-2</v>
      </c>
      <c r="U83" s="473">
        <v>1</v>
      </c>
      <c r="V83" s="473">
        <v>9</v>
      </c>
      <c r="W83" s="473">
        <v>8</v>
      </c>
      <c r="X83" s="473">
        <v>15</v>
      </c>
      <c r="Y83" s="473">
        <v>1</v>
      </c>
      <c r="Z83" s="473">
        <v>0</v>
      </c>
      <c r="AA83" s="473">
        <v>0</v>
      </c>
      <c r="AB83" s="473">
        <v>34</v>
      </c>
      <c r="AC83" s="473">
        <f t="shared" si="24"/>
        <v>10</v>
      </c>
      <c r="AD83" s="473">
        <f t="shared" si="25"/>
        <v>8</v>
      </c>
      <c r="AE83" s="473">
        <f t="shared" si="26"/>
        <v>15</v>
      </c>
      <c r="AF83" s="473">
        <f t="shared" si="27"/>
        <v>1</v>
      </c>
      <c r="AG83" s="473">
        <f t="shared" si="28"/>
        <v>0</v>
      </c>
    </row>
    <row r="84" spans="1:33" x14ac:dyDescent="0.3">
      <c r="A84" s="487" t="s">
        <v>206</v>
      </c>
      <c r="B84" s="488" t="s">
        <v>207</v>
      </c>
      <c r="C84" s="494" t="s">
        <v>255</v>
      </c>
      <c r="D84" s="490">
        <v>163</v>
      </c>
      <c r="E84" s="490">
        <v>110</v>
      </c>
      <c r="F84" s="490">
        <v>11</v>
      </c>
      <c r="G84" s="490">
        <v>0</v>
      </c>
      <c r="H84" s="490">
        <v>0</v>
      </c>
      <c r="I84" s="490">
        <v>1</v>
      </c>
      <c r="J84" s="490">
        <v>26</v>
      </c>
      <c r="K84" s="490">
        <v>14</v>
      </c>
      <c r="L84" s="490">
        <v>1</v>
      </c>
      <c r="M84" s="490">
        <v>0</v>
      </c>
      <c r="N84" s="491"/>
      <c r="O84" s="491">
        <f t="shared" si="20"/>
        <v>41</v>
      </c>
      <c r="P84" s="491">
        <f t="shared" si="21"/>
        <v>1</v>
      </c>
      <c r="Q84" s="491"/>
      <c r="R84" s="492">
        <f t="shared" si="22"/>
        <v>0.67484662576687116</v>
      </c>
      <c r="S84" s="492">
        <f t="shared" si="23"/>
        <v>6.7484662576687116E-2</v>
      </c>
      <c r="U84" s="473">
        <v>9</v>
      </c>
      <c r="V84" s="473">
        <v>43</v>
      </c>
      <c r="W84" s="473">
        <v>38</v>
      </c>
      <c r="X84" s="473">
        <v>37</v>
      </c>
      <c r="Y84" s="473">
        <v>36</v>
      </c>
      <c r="Z84" s="473">
        <v>0</v>
      </c>
      <c r="AA84" s="473">
        <v>0</v>
      </c>
      <c r="AB84" s="473">
        <v>163</v>
      </c>
      <c r="AC84" s="473">
        <f t="shared" si="24"/>
        <v>52</v>
      </c>
      <c r="AD84" s="473">
        <f t="shared" si="25"/>
        <v>38</v>
      </c>
      <c r="AE84" s="473">
        <f t="shared" si="26"/>
        <v>37</v>
      </c>
      <c r="AF84" s="473">
        <f t="shared" si="27"/>
        <v>36</v>
      </c>
      <c r="AG84" s="473">
        <f t="shared" si="28"/>
        <v>0</v>
      </c>
    </row>
    <row r="85" spans="1:33" x14ac:dyDescent="0.3">
      <c r="A85" s="487" t="s">
        <v>208</v>
      </c>
      <c r="B85" s="488" t="s">
        <v>209</v>
      </c>
      <c r="C85" s="494" t="s">
        <v>256</v>
      </c>
      <c r="D85" s="490">
        <v>45</v>
      </c>
      <c r="E85" s="490">
        <v>42</v>
      </c>
      <c r="F85" s="490">
        <v>0</v>
      </c>
      <c r="G85" s="490">
        <v>0</v>
      </c>
      <c r="H85" s="490">
        <v>0</v>
      </c>
      <c r="I85" s="490">
        <v>0</v>
      </c>
      <c r="J85" s="490">
        <v>1</v>
      </c>
      <c r="K85" s="490">
        <v>2</v>
      </c>
      <c r="L85" s="490">
        <v>0</v>
      </c>
      <c r="M85" s="490">
        <v>0</v>
      </c>
      <c r="N85" s="491"/>
      <c r="O85" s="491">
        <f t="shared" si="20"/>
        <v>3</v>
      </c>
      <c r="P85" s="491">
        <f t="shared" si="21"/>
        <v>0</v>
      </c>
      <c r="Q85" s="491"/>
      <c r="R85" s="492">
        <f t="shared" si="22"/>
        <v>0.93333333333333335</v>
      </c>
      <c r="S85" s="492">
        <f t="shared" si="23"/>
        <v>0</v>
      </c>
      <c r="U85" s="473">
        <v>1</v>
      </c>
      <c r="V85" s="473">
        <v>10</v>
      </c>
      <c r="W85" s="473">
        <v>10</v>
      </c>
      <c r="X85" s="473">
        <v>11</v>
      </c>
      <c r="Y85" s="473">
        <v>13</v>
      </c>
      <c r="Z85" s="473">
        <v>0</v>
      </c>
      <c r="AA85" s="473">
        <v>0</v>
      </c>
      <c r="AB85" s="473">
        <v>45</v>
      </c>
      <c r="AC85" s="473">
        <f t="shared" si="24"/>
        <v>11</v>
      </c>
      <c r="AD85" s="473">
        <f t="shared" si="25"/>
        <v>10</v>
      </c>
      <c r="AE85" s="473">
        <f t="shared" si="26"/>
        <v>11</v>
      </c>
      <c r="AF85" s="473">
        <f t="shared" si="27"/>
        <v>13</v>
      </c>
      <c r="AG85" s="473">
        <f t="shared" si="28"/>
        <v>0</v>
      </c>
    </row>
    <row r="86" spans="1:33" x14ac:dyDescent="0.3">
      <c r="A86" s="493" t="s">
        <v>210</v>
      </c>
      <c r="B86" s="488" t="s">
        <v>211</v>
      </c>
      <c r="C86" s="494" t="s">
        <v>256</v>
      </c>
      <c r="D86" s="490">
        <v>47</v>
      </c>
      <c r="E86" s="490">
        <v>42</v>
      </c>
      <c r="F86" s="490">
        <v>0</v>
      </c>
      <c r="G86" s="490">
        <v>0</v>
      </c>
      <c r="H86" s="490">
        <v>0</v>
      </c>
      <c r="I86" s="490">
        <v>0</v>
      </c>
      <c r="J86" s="490">
        <v>1</v>
      </c>
      <c r="K86" s="490">
        <v>4</v>
      </c>
      <c r="L86" s="490">
        <v>0</v>
      </c>
      <c r="M86" s="490">
        <v>0</v>
      </c>
      <c r="N86" s="491"/>
      <c r="O86" s="491">
        <f t="shared" si="20"/>
        <v>5</v>
      </c>
      <c r="P86" s="491">
        <f t="shared" si="21"/>
        <v>0</v>
      </c>
      <c r="Q86" s="491"/>
      <c r="R86" s="492">
        <f t="shared" si="22"/>
        <v>0.8936170212765957</v>
      </c>
      <c r="S86" s="492">
        <f t="shared" si="23"/>
        <v>0</v>
      </c>
      <c r="U86" s="473">
        <v>0</v>
      </c>
      <c r="V86" s="473">
        <v>9</v>
      </c>
      <c r="W86" s="473">
        <v>11</v>
      </c>
      <c r="X86" s="473">
        <v>13</v>
      </c>
      <c r="Y86" s="473">
        <v>14</v>
      </c>
      <c r="Z86" s="473">
        <v>0</v>
      </c>
      <c r="AA86" s="473">
        <v>0</v>
      </c>
      <c r="AB86" s="473">
        <v>47</v>
      </c>
      <c r="AC86" s="473">
        <f t="shared" si="24"/>
        <v>9</v>
      </c>
      <c r="AD86" s="473">
        <f t="shared" si="25"/>
        <v>11</v>
      </c>
      <c r="AE86" s="473">
        <f t="shared" si="26"/>
        <v>13</v>
      </c>
      <c r="AF86" s="473">
        <f t="shared" si="27"/>
        <v>14</v>
      </c>
      <c r="AG86" s="473">
        <f t="shared" si="28"/>
        <v>0</v>
      </c>
    </row>
    <row r="87" spans="1:33" x14ac:dyDescent="0.3">
      <c r="A87" s="487" t="s">
        <v>212</v>
      </c>
      <c r="B87" s="488" t="s">
        <v>213</v>
      </c>
      <c r="C87" s="494" t="s">
        <v>255</v>
      </c>
      <c r="D87" s="490">
        <v>9</v>
      </c>
      <c r="E87" s="490">
        <v>8</v>
      </c>
      <c r="F87" s="490">
        <v>0</v>
      </c>
      <c r="G87" s="490">
        <v>0</v>
      </c>
      <c r="H87" s="490">
        <v>0</v>
      </c>
      <c r="I87" s="490">
        <v>0</v>
      </c>
      <c r="J87" s="490">
        <v>0</v>
      </c>
      <c r="K87" s="490">
        <v>1</v>
      </c>
      <c r="L87" s="490">
        <v>0</v>
      </c>
      <c r="M87" s="490">
        <v>0</v>
      </c>
      <c r="N87" s="491"/>
      <c r="O87" s="491">
        <f t="shared" si="20"/>
        <v>1</v>
      </c>
      <c r="P87" s="491">
        <f t="shared" si="21"/>
        <v>0</v>
      </c>
      <c r="Q87" s="491"/>
      <c r="R87" s="492">
        <f t="shared" si="22"/>
        <v>0.88888888888888884</v>
      </c>
      <c r="S87" s="492">
        <f t="shared" si="23"/>
        <v>0</v>
      </c>
      <c r="U87" s="473">
        <v>1</v>
      </c>
      <c r="V87" s="473">
        <v>1</v>
      </c>
      <c r="W87" s="473">
        <v>2</v>
      </c>
      <c r="X87" s="473">
        <v>4</v>
      </c>
      <c r="Y87" s="473">
        <v>1</v>
      </c>
      <c r="Z87" s="473">
        <v>0</v>
      </c>
      <c r="AA87" s="473">
        <v>0</v>
      </c>
      <c r="AB87" s="473">
        <v>9</v>
      </c>
      <c r="AC87" s="473">
        <f t="shared" si="24"/>
        <v>2</v>
      </c>
      <c r="AD87" s="473">
        <f t="shared" si="25"/>
        <v>2</v>
      </c>
      <c r="AE87" s="473">
        <f t="shared" si="26"/>
        <v>4</v>
      </c>
      <c r="AF87" s="473">
        <f t="shared" si="27"/>
        <v>1</v>
      </c>
      <c r="AG87" s="473">
        <f t="shared" si="28"/>
        <v>0</v>
      </c>
    </row>
    <row r="88" spans="1:33" x14ac:dyDescent="0.3">
      <c r="A88" s="487" t="s">
        <v>214</v>
      </c>
      <c r="B88" s="488" t="s">
        <v>215</v>
      </c>
      <c r="C88" s="494" t="s">
        <v>256</v>
      </c>
      <c r="D88" s="490">
        <v>42</v>
      </c>
      <c r="E88" s="490">
        <v>37</v>
      </c>
      <c r="F88" s="490">
        <v>1</v>
      </c>
      <c r="G88" s="490">
        <v>0</v>
      </c>
      <c r="H88" s="490">
        <v>0</v>
      </c>
      <c r="I88" s="490">
        <v>0</v>
      </c>
      <c r="J88" s="490">
        <v>0</v>
      </c>
      <c r="K88" s="490">
        <v>4</v>
      </c>
      <c r="L88" s="490">
        <v>0</v>
      </c>
      <c r="M88" s="490">
        <v>0</v>
      </c>
      <c r="N88" s="491"/>
      <c r="O88" s="491">
        <f t="shared" si="20"/>
        <v>4</v>
      </c>
      <c r="P88" s="491">
        <f t="shared" si="21"/>
        <v>0</v>
      </c>
      <c r="Q88" s="491"/>
      <c r="R88" s="492">
        <f t="shared" si="22"/>
        <v>0.88095238095238093</v>
      </c>
      <c r="S88" s="492">
        <f t="shared" si="23"/>
        <v>2.3809523809523808E-2</v>
      </c>
      <c r="U88" s="473">
        <v>3</v>
      </c>
      <c r="V88" s="473">
        <v>16</v>
      </c>
      <c r="W88" s="473">
        <v>12</v>
      </c>
      <c r="X88" s="473">
        <v>8</v>
      </c>
      <c r="Y88" s="473">
        <v>3</v>
      </c>
      <c r="Z88" s="473">
        <v>0</v>
      </c>
      <c r="AA88" s="473">
        <v>0</v>
      </c>
      <c r="AB88" s="473">
        <v>42</v>
      </c>
      <c r="AC88" s="473">
        <f t="shared" si="24"/>
        <v>19</v>
      </c>
      <c r="AD88" s="473">
        <f t="shared" si="25"/>
        <v>12</v>
      </c>
      <c r="AE88" s="473">
        <f t="shared" si="26"/>
        <v>8</v>
      </c>
      <c r="AF88" s="473">
        <f t="shared" si="27"/>
        <v>3</v>
      </c>
      <c r="AG88" s="473">
        <f t="shared" si="28"/>
        <v>0</v>
      </c>
    </row>
    <row r="89" spans="1:33" x14ac:dyDescent="0.3">
      <c r="A89" s="487" t="s">
        <v>216</v>
      </c>
      <c r="B89" s="488" t="s">
        <v>217</v>
      </c>
      <c r="C89" s="494" t="s">
        <v>252</v>
      </c>
      <c r="D89" s="490">
        <v>1</v>
      </c>
      <c r="E89" s="490">
        <v>0</v>
      </c>
      <c r="F89" s="490">
        <v>0</v>
      </c>
      <c r="G89" s="490">
        <v>0</v>
      </c>
      <c r="H89" s="490">
        <v>0</v>
      </c>
      <c r="I89" s="490">
        <v>0</v>
      </c>
      <c r="J89" s="490">
        <v>0</v>
      </c>
      <c r="K89" s="490">
        <v>1</v>
      </c>
      <c r="L89" s="490">
        <v>0</v>
      </c>
      <c r="M89" s="490">
        <v>0</v>
      </c>
      <c r="N89" s="491"/>
      <c r="O89" s="491">
        <f t="shared" si="20"/>
        <v>1</v>
      </c>
      <c r="P89" s="491">
        <f t="shared" si="21"/>
        <v>0</v>
      </c>
      <c r="Q89" s="491"/>
      <c r="R89" s="492">
        <f t="shared" si="22"/>
        <v>0</v>
      </c>
      <c r="S89" s="492">
        <f t="shared" si="23"/>
        <v>0</v>
      </c>
      <c r="U89" s="473">
        <v>0</v>
      </c>
      <c r="V89" s="473">
        <v>1</v>
      </c>
      <c r="W89" s="473">
        <v>0</v>
      </c>
      <c r="X89" s="473">
        <v>0</v>
      </c>
      <c r="Y89" s="473">
        <v>0</v>
      </c>
      <c r="Z89" s="473">
        <v>0</v>
      </c>
      <c r="AA89" s="473">
        <v>0</v>
      </c>
      <c r="AB89" s="473">
        <v>1</v>
      </c>
      <c r="AC89" s="473">
        <f t="shared" si="24"/>
        <v>1</v>
      </c>
      <c r="AD89" s="473">
        <f t="shared" si="25"/>
        <v>0</v>
      </c>
      <c r="AE89" s="473">
        <f t="shared" si="26"/>
        <v>0</v>
      </c>
      <c r="AF89" s="473">
        <f t="shared" si="27"/>
        <v>0</v>
      </c>
      <c r="AG89" s="473">
        <f t="shared" si="28"/>
        <v>0</v>
      </c>
    </row>
    <row r="90" spans="1:33" x14ac:dyDescent="0.3">
      <c r="A90" s="487" t="s">
        <v>218</v>
      </c>
      <c r="B90" s="488" t="s">
        <v>219</v>
      </c>
      <c r="C90" s="494" t="s">
        <v>255</v>
      </c>
      <c r="D90" s="490">
        <v>103</v>
      </c>
      <c r="E90" s="490">
        <v>60</v>
      </c>
      <c r="F90" s="490">
        <v>19</v>
      </c>
      <c r="G90" s="490">
        <v>0</v>
      </c>
      <c r="H90" s="490">
        <v>0</v>
      </c>
      <c r="I90" s="490">
        <v>0</v>
      </c>
      <c r="J90" s="490">
        <v>18</v>
      </c>
      <c r="K90" s="490">
        <v>4</v>
      </c>
      <c r="L90" s="490">
        <v>2</v>
      </c>
      <c r="M90" s="490">
        <v>0</v>
      </c>
      <c r="N90" s="491"/>
      <c r="O90" s="491">
        <f t="shared" si="20"/>
        <v>22</v>
      </c>
      <c r="P90" s="491">
        <f t="shared" si="21"/>
        <v>2</v>
      </c>
      <c r="Q90" s="491"/>
      <c r="R90" s="492">
        <f t="shared" si="22"/>
        <v>0.58252427184466016</v>
      </c>
      <c r="S90" s="492">
        <f t="shared" si="23"/>
        <v>0.18446601941747573</v>
      </c>
      <c r="U90" s="473">
        <v>1</v>
      </c>
      <c r="V90" s="473">
        <v>21</v>
      </c>
      <c r="W90" s="473">
        <v>23</v>
      </c>
      <c r="X90" s="473">
        <v>30</v>
      </c>
      <c r="Y90" s="473">
        <v>28</v>
      </c>
      <c r="Z90" s="473">
        <v>0</v>
      </c>
      <c r="AA90" s="473">
        <v>0</v>
      </c>
      <c r="AB90" s="473">
        <v>103</v>
      </c>
      <c r="AC90" s="473">
        <f t="shared" si="24"/>
        <v>22</v>
      </c>
      <c r="AD90" s="473">
        <f t="shared" si="25"/>
        <v>23</v>
      </c>
      <c r="AE90" s="473">
        <f t="shared" si="26"/>
        <v>30</v>
      </c>
      <c r="AF90" s="473">
        <f t="shared" si="27"/>
        <v>28</v>
      </c>
      <c r="AG90" s="473">
        <f t="shared" si="28"/>
        <v>0</v>
      </c>
    </row>
    <row r="91" spans="1:33" x14ac:dyDescent="0.3">
      <c r="A91" s="487" t="s">
        <v>220</v>
      </c>
      <c r="B91" s="488" t="s">
        <v>221</v>
      </c>
      <c r="C91" s="494" t="s">
        <v>255</v>
      </c>
      <c r="D91" s="490">
        <v>44</v>
      </c>
      <c r="E91" s="490">
        <v>20</v>
      </c>
      <c r="F91" s="490">
        <v>12</v>
      </c>
      <c r="G91" s="490">
        <v>0</v>
      </c>
      <c r="H91" s="490">
        <v>0</v>
      </c>
      <c r="I91" s="490">
        <v>0</v>
      </c>
      <c r="J91" s="490">
        <v>2</v>
      </c>
      <c r="K91" s="490">
        <v>10</v>
      </c>
      <c r="L91" s="490">
        <v>0</v>
      </c>
      <c r="M91" s="490">
        <v>0</v>
      </c>
      <c r="N91" s="491"/>
      <c r="O91" s="491">
        <f t="shared" si="20"/>
        <v>12</v>
      </c>
      <c r="P91" s="491">
        <f t="shared" si="21"/>
        <v>0</v>
      </c>
      <c r="Q91" s="491"/>
      <c r="R91" s="492">
        <f t="shared" si="22"/>
        <v>0.45454545454545453</v>
      </c>
      <c r="S91" s="492">
        <f t="shared" si="23"/>
        <v>0.27272727272727271</v>
      </c>
      <c r="U91" s="473">
        <v>0</v>
      </c>
      <c r="V91" s="473">
        <v>20</v>
      </c>
      <c r="W91" s="473">
        <v>7</v>
      </c>
      <c r="X91" s="473">
        <v>11</v>
      </c>
      <c r="Y91" s="473">
        <v>6</v>
      </c>
      <c r="Z91" s="473">
        <v>0</v>
      </c>
      <c r="AA91" s="473">
        <v>0</v>
      </c>
      <c r="AB91" s="473">
        <v>44</v>
      </c>
      <c r="AC91" s="473">
        <f t="shared" si="24"/>
        <v>20</v>
      </c>
      <c r="AD91" s="473">
        <f t="shared" si="25"/>
        <v>7</v>
      </c>
      <c r="AE91" s="473">
        <f t="shared" si="26"/>
        <v>11</v>
      </c>
      <c r="AF91" s="473">
        <f t="shared" si="27"/>
        <v>6</v>
      </c>
      <c r="AG91" s="473">
        <f t="shared" si="28"/>
        <v>0</v>
      </c>
    </row>
    <row r="92" spans="1:33" x14ac:dyDescent="0.3">
      <c r="A92" s="493" t="s">
        <v>224</v>
      </c>
      <c r="B92" s="488" t="s">
        <v>225</v>
      </c>
      <c r="C92" s="494" t="s">
        <v>252</v>
      </c>
      <c r="D92" s="490">
        <v>1</v>
      </c>
      <c r="E92" s="490">
        <v>1</v>
      </c>
      <c r="F92" s="490">
        <v>0</v>
      </c>
      <c r="G92" s="490">
        <v>0</v>
      </c>
      <c r="H92" s="490">
        <v>0</v>
      </c>
      <c r="I92" s="490">
        <v>0</v>
      </c>
      <c r="J92" s="490">
        <v>0</v>
      </c>
      <c r="K92" s="490">
        <v>0</v>
      </c>
      <c r="L92" s="490">
        <v>0</v>
      </c>
      <c r="M92" s="490">
        <v>0</v>
      </c>
      <c r="N92" s="491"/>
      <c r="O92" s="491">
        <f t="shared" si="20"/>
        <v>0</v>
      </c>
      <c r="P92" s="491">
        <f t="shared" si="21"/>
        <v>0</v>
      </c>
      <c r="Q92" s="491"/>
      <c r="R92" s="492">
        <f t="shared" si="22"/>
        <v>1</v>
      </c>
      <c r="S92" s="492">
        <f t="shared" si="23"/>
        <v>0</v>
      </c>
      <c r="U92" s="473">
        <v>0</v>
      </c>
      <c r="V92" s="473">
        <v>0</v>
      </c>
      <c r="W92" s="473">
        <v>0</v>
      </c>
      <c r="X92" s="473">
        <v>1</v>
      </c>
      <c r="Y92" s="473">
        <v>0</v>
      </c>
      <c r="Z92" s="473">
        <v>0</v>
      </c>
      <c r="AA92" s="473">
        <v>0</v>
      </c>
      <c r="AB92" s="473">
        <v>1</v>
      </c>
      <c r="AC92" s="473">
        <f t="shared" si="24"/>
        <v>0</v>
      </c>
      <c r="AD92" s="473">
        <f t="shared" si="25"/>
        <v>0</v>
      </c>
      <c r="AE92" s="473">
        <f t="shared" si="26"/>
        <v>1</v>
      </c>
      <c r="AF92" s="473">
        <f t="shared" si="27"/>
        <v>0</v>
      </c>
      <c r="AG92" s="473">
        <f t="shared" si="28"/>
        <v>0</v>
      </c>
    </row>
    <row r="93" spans="1:33" x14ac:dyDescent="0.3">
      <c r="A93" s="487" t="s">
        <v>226</v>
      </c>
      <c r="B93" s="488" t="s">
        <v>227</v>
      </c>
      <c r="C93" s="494" t="s">
        <v>252</v>
      </c>
      <c r="D93" s="490">
        <v>8</v>
      </c>
      <c r="E93" s="490">
        <v>0</v>
      </c>
      <c r="F93" s="490">
        <v>8</v>
      </c>
      <c r="G93" s="490">
        <v>0</v>
      </c>
      <c r="H93" s="490">
        <v>0</v>
      </c>
      <c r="I93" s="490">
        <v>0</v>
      </c>
      <c r="J93" s="490">
        <v>0</v>
      </c>
      <c r="K93" s="490">
        <v>0</v>
      </c>
      <c r="L93" s="490">
        <v>0</v>
      </c>
      <c r="M93" s="490">
        <v>0</v>
      </c>
      <c r="N93" s="491"/>
      <c r="O93" s="491">
        <f t="shared" si="20"/>
        <v>0</v>
      </c>
      <c r="P93" s="491">
        <f t="shared" si="21"/>
        <v>0</v>
      </c>
      <c r="Q93" s="491"/>
      <c r="R93" s="492">
        <f t="shared" si="22"/>
        <v>0</v>
      </c>
      <c r="S93" s="492">
        <f t="shared" si="23"/>
        <v>1</v>
      </c>
      <c r="U93" s="473">
        <v>1</v>
      </c>
      <c r="V93" s="473">
        <v>0</v>
      </c>
      <c r="W93" s="473">
        <v>5</v>
      </c>
      <c r="X93" s="473">
        <v>2</v>
      </c>
      <c r="Y93" s="473">
        <v>0</v>
      </c>
      <c r="Z93" s="473">
        <v>0</v>
      </c>
      <c r="AA93" s="473">
        <v>0</v>
      </c>
      <c r="AB93" s="473">
        <v>8</v>
      </c>
      <c r="AC93" s="473">
        <f t="shared" si="24"/>
        <v>1</v>
      </c>
      <c r="AD93" s="473">
        <f t="shared" si="25"/>
        <v>5</v>
      </c>
      <c r="AE93" s="473">
        <f t="shared" si="26"/>
        <v>2</v>
      </c>
      <c r="AF93" s="473">
        <f t="shared" si="27"/>
        <v>0</v>
      </c>
      <c r="AG93" s="473">
        <f t="shared" si="28"/>
        <v>0</v>
      </c>
    </row>
    <row r="94" spans="1:33" x14ac:dyDescent="0.3">
      <c r="A94" s="487" t="s">
        <v>228</v>
      </c>
      <c r="B94" s="488" t="s">
        <v>229</v>
      </c>
      <c r="C94" s="494" t="s">
        <v>256</v>
      </c>
      <c r="D94" s="490">
        <v>73</v>
      </c>
      <c r="E94" s="490">
        <v>66</v>
      </c>
      <c r="F94" s="490">
        <v>1</v>
      </c>
      <c r="G94" s="490">
        <v>0</v>
      </c>
      <c r="H94" s="490">
        <v>0</v>
      </c>
      <c r="I94" s="490">
        <v>0</v>
      </c>
      <c r="J94" s="490">
        <v>5</v>
      </c>
      <c r="K94" s="490">
        <v>1</v>
      </c>
      <c r="L94" s="490">
        <v>0</v>
      </c>
      <c r="M94" s="490">
        <v>0</v>
      </c>
      <c r="N94" s="491"/>
      <c r="O94" s="491">
        <f t="shared" si="20"/>
        <v>6</v>
      </c>
      <c r="P94" s="491">
        <f t="shared" si="21"/>
        <v>0</v>
      </c>
      <c r="Q94" s="491"/>
      <c r="R94" s="492">
        <f t="shared" si="22"/>
        <v>0.90410958904109584</v>
      </c>
      <c r="S94" s="492">
        <f t="shared" si="23"/>
        <v>1.3698630136986301E-2</v>
      </c>
      <c r="U94" s="473">
        <v>3</v>
      </c>
      <c r="V94" s="473">
        <v>25</v>
      </c>
      <c r="W94" s="473">
        <v>12</v>
      </c>
      <c r="X94" s="473">
        <v>22</v>
      </c>
      <c r="Y94" s="473">
        <v>11</v>
      </c>
      <c r="Z94" s="473">
        <v>0</v>
      </c>
      <c r="AA94" s="473">
        <v>0</v>
      </c>
      <c r="AB94" s="473">
        <v>73</v>
      </c>
      <c r="AC94" s="473">
        <f t="shared" si="24"/>
        <v>28</v>
      </c>
      <c r="AD94" s="473">
        <f t="shared" si="25"/>
        <v>12</v>
      </c>
      <c r="AE94" s="473">
        <f t="shared" si="26"/>
        <v>22</v>
      </c>
      <c r="AF94" s="473">
        <f t="shared" si="27"/>
        <v>11</v>
      </c>
      <c r="AG94" s="473">
        <f t="shared" si="28"/>
        <v>0</v>
      </c>
    </row>
    <row r="95" spans="1:33" x14ac:dyDescent="0.3">
      <c r="A95" s="487" t="s">
        <v>232</v>
      </c>
      <c r="B95" s="488" t="s">
        <v>233</v>
      </c>
      <c r="C95" s="494" t="s">
        <v>255</v>
      </c>
      <c r="D95" s="490">
        <v>17</v>
      </c>
      <c r="E95" s="490">
        <v>8</v>
      </c>
      <c r="F95" s="490">
        <v>5</v>
      </c>
      <c r="G95" s="490">
        <v>0</v>
      </c>
      <c r="H95" s="490">
        <v>0</v>
      </c>
      <c r="I95" s="490">
        <v>0</v>
      </c>
      <c r="J95" s="490">
        <v>4</v>
      </c>
      <c r="K95" s="490">
        <v>0</v>
      </c>
      <c r="L95" s="490">
        <v>0</v>
      </c>
      <c r="M95" s="490">
        <v>0</v>
      </c>
      <c r="N95" s="491"/>
      <c r="O95" s="491">
        <f t="shared" si="20"/>
        <v>4</v>
      </c>
      <c r="P95" s="491">
        <f t="shared" si="21"/>
        <v>0</v>
      </c>
      <c r="Q95" s="491"/>
      <c r="R95" s="492">
        <f t="shared" si="22"/>
        <v>0.47058823529411764</v>
      </c>
      <c r="S95" s="492">
        <f t="shared" si="23"/>
        <v>0.29411764705882354</v>
      </c>
      <c r="U95" s="473">
        <v>1</v>
      </c>
      <c r="V95" s="473">
        <v>2</v>
      </c>
      <c r="W95" s="473">
        <v>4</v>
      </c>
      <c r="X95" s="473">
        <v>8</v>
      </c>
      <c r="Y95" s="473">
        <v>2</v>
      </c>
      <c r="Z95" s="473">
        <v>0</v>
      </c>
      <c r="AA95" s="473">
        <v>0</v>
      </c>
      <c r="AB95" s="473">
        <v>17</v>
      </c>
      <c r="AC95" s="473">
        <f t="shared" si="24"/>
        <v>3</v>
      </c>
      <c r="AD95" s="473">
        <f t="shared" si="25"/>
        <v>4</v>
      </c>
      <c r="AE95" s="473">
        <f t="shared" si="26"/>
        <v>8</v>
      </c>
      <c r="AF95" s="473">
        <f t="shared" si="27"/>
        <v>2</v>
      </c>
      <c r="AG95" s="473">
        <f t="shared" si="28"/>
        <v>0</v>
      </c>
    </row>
    <row r="96" spans="1:33" x14ac:dyDescent="0.3">
      <c r="A96" s="487" t="s">
        <v>234</v>
      </c>
      <c r="B96" s="488" t="s">
        <v>235</v>
      </c>
      <c r="C96" s="494" t="s">
        <v>256</v>
      </c>
      <c r="D96" s="490">
        <v>44</v>
      </c>
      <c r="E96" s="490">
        <v>40</v>
      </c>
      <c r="F96" s="490">
        <v>0</v>
      </c>
      <c r="G96" s="490">
        <v>0</v>
      </c>
      <c r="H96" s="490">
        <v>0</v>
      </c>
      <c r="I96" s="490">
        <v>0</v>
      </c>
      <c r="J96" s="490">
        <v>0</v>
      </c>
      <c r="K96" s="490">
        <v>3</v>
      </c>
      <c r="L96" s="490">
        <v>1</v>
      </c>
      <c r="M96" s="490">
        <v>0</v>
      </c>
      <c r="N96" s="491"/>
      <c r="O96" s="491">
        <f t="shared" si="20"/>
        <v>3</v>
      </c>
      <c r="P96" s="491">
        <f t="shared" si="21"/>
        <v>1</v>
      </c>
      <c r="Q96" s="491"/>
      <c r="R96" s="492">
        <f t="shared" si="22"/>
        <v>0.90909090909090906</v>
      </c>
      <c r="S96" s="492">
        <f t="shared" si="23"/>
        <v>0</v>
      </c>
      <c r="U96" s="473">
        <v>0</v>
      </c>
      <c r="V96" s="473">
        <v>7</v>
      </c>
      <c r="W96" s="473">
        <v>11</v>
      </c>
      <c r="X96" s="473">
        <v>11</v>
      </c>
      <c r="Y96" s="473">
        <v>15</v>
      </c>
      <c r="Z96" s="473">
        <v>0</v>
      </c>
      <c r="AA96" s="473">
        <v>0</v>
      </c>
      <c r="AB96" s="473">
        <v>44</v>
      </c>
      <c r="AC96" s="473">
        <f t="shared" si="24"/>
        <v>7</v>
      </c>
      <c r="AD96" s="473">
        <f t="shared" si="25"/>
        <v>11</v>
      </c>
      <c r="AE96" s="473">
        <f t="shared" si="26"/>
        <v>11</v>
      </c>
      <c r="AF96" s="473">
        <f t="shared" si="27"/>
        <v>15</v>
      </c>
      <c r="AG96" s="473">
        <f t="shared" si="28"/>
        <v>0</v>
      </c>
    </row>
    <row r="97" spans="1:33" x14ac:dyDescent="0.3">
      <c r="A97" s="487" t="s">
        <v>236</v>
      </c>
      <c r="B97" s="488" t="s">
        <v>237</v>
      </c>
      <c r="C97" s="494" t="s">
        <v>254</v>
      </c>
      <c r="D97" s="490">
        <v>13</v>
      </c>
      <c r="E97" s="490">
        <v>3</v>
      </c>
      <c r="F97" s="490">
        <v>4</v>
      </c>
      <c r="G97" s="490">
        <v>0</v>
      </c>
      <c r="H97" s="490">
        <v>0</v>
      </c>
      <c r="I97" s="490">
        <v>0</v>
      </c>
      <c r="J97" s="490">
        <v>1</v>
      </c>
      <c r="K97" s="490">
        <v>4</v>
      </c>
      <c r="L97" s="490">
        <v>1</v>
      </c>
      <c r="M97" s="490">
        <v>0</v>
      </c>
      <c r="N97" s="491"/>
      <c r="O97" s="491">
        <f t="shared" si="20"/>
        <v>5</v>
      </c>
      <c r="P97" s="491">
        <f t="shared" si="21"/>
        <v>1</v>
      </c>
      <c r="Q97" s="491"/>
      <c r="R97" s="492">
        <f t="shared" si="22"/>
        <v>0.23076923076923078</v>
      </c>
      <c r="S97" s="492">
        <f t="shared" si="23"/>
        <v>0.30769230769230771</v>
      </c>
      <c r="U97" s="473">
        <v>1</v>
      </c>
      <c r="V97" s="473">
        <v>7</v>
      </c>
      <c r="W97" s="473">
        <v>2</v>
      </c>
      <c r="X97" s="473">
        <v>1</v>
      </c>
      <c r="Y97" s="473">
        <v>2</v>
      </c>
      <c r="Z97" s="473">
        <v>0</v>
      </c>
      <c r="AA97" s="473">
        <v>0</v>
      </c>
      <c r="AB97" s="473">
        <v>13</v>
      </c>
      <c r="AC97" s="473">
        <f t="shared" si="24"/>
        <v>8</v>
      </c>
      <c r="AD97" s="473">
        <f t="shared" si="25"/>
        <v>2</v>
      </c>
      <c r="AE97" s="473">
        <f t="shared" si="26"/>
        <v>1</v>
      </c>
      <c r="AF97" s="473">
        <f t="shared" si="27"/>
        <v>2</v>
      </c>
      <c r="AG97" s="473">
        <f t="shared" si="28"/>
        <v>0</v>
      </c>
    </row>
    <row r="98" spans="1:33" x14ac:dyDescent="0.3">
      <c r="A98" s="487" t="s">
        <v>242</v>
      </c>
      <c r="B98" s="488" t="s">
        <v>243</v>
      </c>
      <c r="C98" s="494" t="s">
        <v>256</v>
      </c>
      <c r="D98" s="490">
        <v>65</v>
      </c>
      <c r="E98" s="490">
        <v>56</v>
      </c>
      <c r="F98" s="490">
        <v>1</v>
      </c>
      <c r="G98" s="490">
        <v>0</v>
      </c>
      <c r="H98" s="490">
        <v>0</v>
      </c>
      <c r="I98" s="490">
        <v>0</v>
      </c>
      <c r="J98" s="490">
        <v>5</v>
      </c>
      <c r="K98" s="490">
        <v>3</v>
      </c>
      <c r="L98" s="490">
        <v>0</v>
      </c>
      <c r="M98" s="490">
        <v>0</v>
      </c>
      <c r="N98" s="491"/>
      <c r="O98" s="491">
        <f t="shared" si="20"/>
        <v>8</v>
      </c>
      <c r="P98" s="491">
        <f t="shared" si="21"/>
        <v>0</v>
      </c>
      <c r="Q98" s="491"/>
      <c r="R98" s="492">
        <f t="shared" si="22"/>
        <v>0.86153846153846159</v>
      </c>
      <c r="S98" s="492">
        <f t="shared" si="23"/>
        <v>1.5384615384615385E-2</v>
      </c>
      <c r="U98" s="473">
        <v>4</v>
      </c>
      <c r="V98" s="473">
        <v>17</v>
      </c>
      <c r="W98" s="473">
        <v>14</v>
      </c>
      <c r="X98" s="473">
        <v>15</v>
      </c>
      <c r="Y98" s="473">
        <v>15</v>
      </c>
      <c r="Z98" s="473">
        <v>0</v>
      </c>
      <c r="AA98" s="473">
        <v>0</v>
      </c>
      <c r="AB98" s="473">
        <v>65</v>
      </c>
      <c r="AC98" s="473">
        <f t="shared" si="24"/>
        <v>21</v>
      </c>
      <c r="AD98" s="473">
        <f t="shared" si="25"/>
        <v>14</v>
      </c>
      <c r="AE98" s="473">
        <f t="shared" si="26"/>
        <v>15</v>
      </c>
      <c r="AF98" s="473">
        <f t="shared" si="27"/>
        <v>15</v>
      </c>
      <c r="AG98" s="473">
        <f t="shared" si="28"/>
        <v>0</v>
      </c>
    </row>
    <row r="99" spans="1:33" x14ac:dyDescent="0.3">
      <c r="A99" s="487" t="s">
        <v>244</v>
      </c>
      <c r="B99" s="488" t="s">
        <v>245</v>
      </c>
      <c r="C99" s="494" t="s">
        <v>256</v>
      </c>
      <c r="D99" s="490">
        <v>32</v>
      </c>
      <c r="E99" s="490">
        <v>21</v>
      </c>
      <c r="F99" s="490">
        <v>4</v>
      </c>
      <c r="G99" s="490">
        <v>0</v>
      </c>
      <c r="H99" s="490">
        <v>0</v>
      </c>
      <c r="I99" s="490">
        <v>0</v>
      </c>
      <c r="J99" s="490">
        <v>4</v>
      </c>
      <c r="K99" s="490">
        <v>3</v>
      </c>
      <c r="L99" s="490">
        <v>0</v>
      </c>
      <c r="M99" s="490">
        <v>0</v>
      </c>
      <c r="N99" s="491"/>
      <c r="O99" s="491">
        <f t="shared" si="20"/>
        <v>7</v>
      </c>
      <c r="P99" s="491">
        <f t="shared" si="21"/>
        <v>0</v>
      </c>
      <c r="Q99" s="491"/>
      <c r="R99" s="492">
        <f t="shared" si="22"/>
        <v>0.65625</v>
      </c>
      <c r="S99" s="492">
        <f t="shared" si="23"/>
        <v>0.125</v>
      </c>
      <c r="U99" s="473">
        <v>2</v>
      </c>
      <c r="V99" s="473">
        <v>6</v>
      </c>
      <c r="W99" s="473">
        <v>7</v>
      </c>
      <c r="X99" s="473">
        <v>8</v>
      </c>
      <c r="Y99" s="473">
        <v>9</v>
      </c>
      <c r="Z99" s="473">
        <v>0</v>
      </c>
      <c r="AA99" s="473">
        <v>0</v>
      </c>
      <c r="AB99" s="473">
        <v>32</v>
      </c>
      <c r="AC99" s="473">
        <f t="shared" si="24"/>
        <v>8</v>
      </c>
      <c r="AD99" s="473">
        <f t="shared" si="25"/>
        <v>7</v>
      </c>
      <c r="AE99" s="473">
        <f t="shared" si="26"/>
        <v>8</v>
      </c>
      <c r="AF99" s="473">
        <f t="shared" si="27"/>
        <v>9</v>
      </c>
      <c r="AG99" s="473">
        <f t="shared" si="28"/>
        <v>0</v>
      </c>
    </row>
    <row r="100" spans="1:33" x14ac:dyDescent="0.3">
      <c r="A100" s="881" t="s">
        <v>246</v>
      </c>
      <c r="B100" s="882" t="s">
        <v>247</v>
      </c>
      <c r="C100" s="494" t="s">
        <v>252</v>
      </c>
      <c r="D100" s="883">
        <v>7</v>
      </c>
      <c r="E100" s="883">
        <v>3</v>
      </c>
      <c r="F100" s="883">
        <v>3</v>
      </c>
      <c r="G100" s="883">
        <v>0</v>
      </c>
      <c r="H100" s="883">
        <v>0</v>
      </c>
      <c r="I100" s="883">
        <v>0</v>
      </c>
      <c r="J100" s="883">
        <v>0</v>
      </c>
      <c r="K100" s="883">
        <v>1</v>
      </c>
      <c r="L100" s="883">
        <v>0</v>
      </c>
      <c r="M100" s="883">
        <v>0</v>
      </c>
      <c r="N100" s="884"/>
      <c r="O100" s="884">
        <f t="shared" si="20"/>
        <v>1</v>
      </c>
      <c r="P100" s="884">
        <f t="shared" si="21"/>
        <v>0</v>
      </c>
      <c r="Q100" s="884"/>
      <c r="R100" s="492">
        <f t="shared" si="22"/>
        <v>0.42857142857142855</v>
      </c>
      <c r="S100" s="492">
        <f t="shared" si="23"/>
        <v>0.42857142857142855</v>
      </c>
      <c r="U100" s="473">
        <v>1</v>
      </c>
      <c r="V100" s="473">
        <v>0</v>
      </c>
      <c r="W100" s="473">
        <v>0</v>
      </c>
      <c r="X100" s="473">
        <v>1</v>
      </c>
      <c r="Y100" s="473">
        <v>5</v>
      </c>
      <c r="Z100" s="473">
        <v>0</v>
      </c>
      <c r="AA100" s="473">
        <v>0</v>
      </c>
      <c r="AB100" s="473">
        <v>7</v>
      </c>
      <c r="AC100" s="473">
        <f t="shared" si="24"/>
        <v>1</v>
      </c>
      <c r="AD100" s="473">
        <f t="shared" si="25"/>
        <v>0</v>
      </c>
      <c r="AE100" s="473">
        <f t="shared" si="26"/>
        <v>1</v>
      </c>
      <c r="AF100" s="473">
        <f t="shared" si="27"/>
        <v>5</v>
      </c>
      <c r="AG100" s="473">
        <f t="shared" si="28"/>
        <v>0</v>
      </c>
    </row>
    <row r="101" spans="1:33" x14ac:dyDescent="0.3">
      <c r="A101" s="487" t="s">
        <v>14</v>
      </c>
      <c r="B101" s="488" t="s">
        <v>15</v>
      </c>
      <c r="C101" s="494" t="s">
        <v>255</v>
      </c>
      <c r="D101" s="490">
        <v>99</v>
      </c>
      <c r="E101" s="490">
        <v>10</v>
      </c>
      <c r="F101" s="490">
        <v>48</v>
      </c>
      <c r="G101" s="490">
        <v>0</v>
      </c>
      <c r="H101" s="490">
        <v>0</v>
      </c>
      <c r="I101" s="490">
        <v>0</v>
      </c>
      <c r="J101" s="490">
        <v>34</v>
      </c>
      <c r="K101" s="490">
        <v>7</v>
      </c>
      <c r="L101" s="490">
        <v>0</v>
      </c>
      <c r="M101" s="490">
        <v>0</v>
      </c>
      <c r="N101" s="491"/>
      <c r="O101" s="491">
        <f t="shared" si="20"/>
        <v>41</v>
      </c>
      <c r="P101" s="491">
        <f t="shared" si="21"/>
        <v>0</v>
      </c>
      <c r="Q101" s="491"/>
      <c r="R101" s="492">
        <f t="shared" si="22"/>
        <v>0.10101010101010101</v>
      </c>
      <c r="S101" s="492">
        <f t="shared" si="23"/>
        <v>0.48484848484848486</v>
      </c>
      <c r="U101" s="473">
        <v>5</v>
      </c>
      <c r="V101" s="473">
        <v>24</v>
      </c>
      <c r="W101" s="473">
        <v>25</v>
      </c>
      <c r="X101" s="473">
        <v>25</v>
      </c>
      <c r="Y101" s="473">
        <v>20</v>
      </c>
      <c r="Z101" s="473">
        <v>0</v>
      </c>
      <c r="AA101" s="473">
        <v>0</v>
      </c>
      <c r="AB101" s="473">
        <v>99</v>
      </c>
      <c r="AC101" s="473">
        <f t="shared" si="24"/>
        <v>29</v>
      </c>
      <c r="AD101" s="473">
        <f t="shared" si="25"/>
        <v>25</v>
      </c>
      <c r="AE101" s="473">
        <f t="shared" si="26"/>
        <v>25</v>
      </c>
      <c r="AF101" s="473">
        <f t="shared" si="27"/>
        <v>20</v>
      </c>
      <c r="AG101" s="473">
        <f t="shared" si="28"/>
        <v>0</v>
      </c>
    </row>
    <row r="102" spans="1:33" x14ac:dyDescent="0.3">
      <c r="A102" s="487" t="s">
        <v>34</v>
      </c>
      <c r="B102" s="488" t="s">
        <v>35</v>
      </c>
      <c r="C102" s="494" t="s">
        <v>256</v>
      </c>
      <c r="D102" s="490">
        <v>51</v>
      </c>
      <c r="E102" s="490">
        <v>39</v>
      </c>
      <c r="F102" s="490">
        <v>3</v>
      </c>
      <c r="G102" s="490">
        <v>0</v>
      </c>
      <c r="H102" s="490">
        <v>0</v>
      </c>
      <c r="I102" s="490">
        <v>0</v>
      </c>
      <c r="J102" s="490">
        <v>4</v>
      </c>
      <c r="K102" s="490">
        <v>5</v>
      </c>
      <c r="L102" s="490">
        <v>0</v>
      </c>
      <c r="M102" s="490">
        <v>0</v>
      </c>
      <c r="N102" s="491"/>
      <c r="O102" s="491">
        <f t="shared" ref="O102:O125" si="29">SUM(G102:K102)</f>
        <v>9</v>
      </c>
      <c r="P102" s="491">
        <f t="shared" ref="P102:P125" si="30">L102+M102</f>
        <v>0</v>
      </c>
      <c r="Q102" s="491"/>
      <c r="R102" s="492">
        <f t="shared" ref="R102:R125" si="31">IF(D102=0,"N/A",+E102/D102)</f>
        <v>0.76470588235294112</v>
      </c>
      <c r="S102" s="492">
        <f t="shared" ref="S102:S125" si="32">IF(D102=0,"N/A",+F102/D102)</f>
        <v>5.8823529411764705E-2</v>
      </c>
      <c r="U102" s="473">
        <v>2</v>
      </c>
      <c r="V102" s="473">
        <v>10</v>
      </c>
      <c r="W102" s="473">
        <v>15</v>
      </c>
      <c r="X102" s="473">
        <v>16</v>
      </c>
      <c r="Y102" s="473">
        <v>8</v>
      </c>
      <c r="Z102" s="473">
        <v>0</v>
      </c>
      <c r="AA102" s="473">
        <v>0</v>
      </c>
      <c r="AB102" s="473">
        <v>51</v>
      </c>
      <c r="AC102" s="473">
        <f t="shared" ref="AC102:AC125" si="33">U102+V102</f>
        <v>12</v>
      </c>
      <c r="AD102" s="473">
        <f t="shared" ref="AD102:AD125" si="34">W102</f>
        <v>15</v>
      </c>
      <c r="AE102" s="473">
        <f t="shared" ref="AE102:AE125" si="35">X102</f>
        <v>16</v>
      </c>
      <c r="AF102" s="473">
        <f t="shared" ref="AF102:AF125" si="36">Y102</f>
        <v>8</v>
      </c>
      <c r="AG102" s="473">
        <f t="shared" ref="AG102:AG125" si="37">Z102</f>
        <v>0</v>
      </c>
    </row>
    <row r="103" spans="1:33" x14ac:dyDescent="0.3">
      <c r="A103" s="487" t="s">
        <v>52</v>
      </c>
      <c r="B103" s="488" t="s">
        <v>53</v>
      </c>
      <c r="C103" s="494" t="s">
        <v>253</v>
      </c>
      <c r="D103" s="490">
        <v>97</v>
      </c>
      <c r="E103" s="490">
        <v>24</v>
      </c>
      <c r="F103" s="490">
        <v>49</v>
      </c>
      <c r="G103" s="490">
        <v>2</v>
      </c>
      <c r="H103" s="490">
        <v>0</v>
      </c>
      <c r="I103" s="490">
        <v>0</v>
      </c>
      <c r="J103" s="490">
        <v>6</v>
      </c>
      <c r="K103" s="490">
        <v>16</v>
      </c>
      <c r="L103" s="490">
        <v>0</v>
      </c>
      <c r="M103" s="490">
        <v>0</v>
      </c>
      <c r="N103" s="491"/>
      <c r="O103" s="491">
        <f t="shared" si="29"/>
        <v>24</v>
      </c>
      <c r="P103" s="491">
        <f t="shared" si="30"/>
        <v>0</v>
      </c>
      <c r="Q103" s="491"/>
      <c r="R103" s="492">
        <f t="shared" si="31"/>
        <v>0.24742268041237114</v>
      </c>
      <c r="S103" s="492">
        <f t="shared" si="32"/>
        <v>0.50515463917525771</v>
      </c>
      <c r="U103" s="473">
        <v>6</v>
      </c>
      <c r="V103" s="473">
        <v>28</v>
      </c>
      <c r="W103" s="473">
        <v>19</v>
      </c>
      <c r="X103" s="473">
        <v>28</v>
      </c>
      <c r="Y103" s="473">
        <v>16</v>
      </c>
      <c r="Z103" s="473">
        <v>0</v>
      </c>
      <c r="AA103" s="473">
        <v>0</v>
      </c>
      <c r="AB103" s="473">
        <v>97</v>
      </c>
      <c r="AC103" s="473">
        <f t="shared" si="33"/>
        <v>34</v>
      </c>
      <c r="AD103" s="473">
        <f t="shared" si="34"/>
        <v>19</v>
      </c>
      <c r="AE103" s="473">
        <f t="shared" si="35"/>
        <v>28</v>
      </c>
      <c r="AF103" s="473">
        <f t="shared" si="36"/>
        <v>16</v>
      </c>
      <c r="AG103" s="473">
        <f t="shared" si="37"/>
        <v>0</v>
      </c>
    </row>
    <row r="104" spans="1:33" x14ac:dyDescent="0.3">
      <c r="A104" s="487" t="s">
        <v>54</v>
      </c>
      <c r="B104" s="488" t="s">
        <v>55</v>
      </c>
      <c r="C104" s="494" t="s">
        <v>252</v>
      </c>
      <c r="D104" s="490">
        <v>51</v>
      </c>
      <c r="E104" s="490">
        <v>15</v>
      </c>
      <c r="F104" s="490">
        <v>25</v>
      </c>
      <c r="G104" s="490">
        <v>0</v>
      </c>
      <c r="H104" s="490">
        <v>0</v>
      </c>
      <c r="I104" s="490">
        <v>0</v>
      </c>
      <c r="J104" s="490">
        <v>3</v>
      </c>
      <c r="K104" s="490">
        <v>8</v>
      </c>
      <c r="L104" s="490">
        <v>0</v>
      </c>
      <c r="M104" s="490">
        <v>0</v>
      </c>
      <c r="N104" s="491"/>
      <c r="O104" s="491">
        <f t="shared" si="29"/>
        <v>11</v>
      </c>
      <c r="P104" s="491">
        <f t="shared" si="30"/>
        <v>0</v>
      </c>
      <c r="Q104" s="491"/>
      <c r="R104" s="492">
        <f t="shared" si="31"/>
        <v>0.29411764705882354</v>
      </c>
      <c r="S104" s="492">
        <f t="shared" si="32"/>
        <v>0.49019607843137253</v>
      </c>
      <c r="U104" s="473">
        <v>1</v>
      </c>
      <c r="V104" s="473">
        <v>13</v>
      </c>
      <c r="W104" s="473">
        <v>14</v>
      </c>
      <c r="X104" s="473">
        <v>13</v>
      </c>
      <c r="Y104" s="473">
        <v>10</v>
      </c>
      <c r="Z104" s="473">
        <v>0</v>
      </c>
      <c r="AA104" s="473">
        <v>0</v>
      </c>
      <c r="AB104" s="473">
        <v>51</v>
      </c>
      <c r="AC104" s="473">
        <f t="shared" si="33"/>
        <v>14</v>
      </c>
      <c r="AD104" s="473">
        <f t="shared" si="34"/>
        <v>14</v>
      </c>
      <c r="AE104" s="473">
        <f t="shared" si="35"/>
        <v>13</v>
      </c>
      <c r="AF104" s="473">
        <f t="shared" si="36"/>
        <v>10</v>
      </c>
      <c r="AG104" s="473">
        <f t="shared" si="37"/>
        <v>0</v>
      </c>
    </row>
    <row r="105" spans="1:33" x14ac:dyDescent="0.3">
      <c r="A105" s="487" t="s">
        <v>66</v>
      </c>
      <c r="B105" s="488" t="s">
        <v>67</v>
      </c>
      <c r="C105" s="494" t="s">
        <v>253</v>
      </c>
      <c r="D105" s="490">
        <v>43</v>
      </c>
      <c r="E105" s="490">
        <v>6</v>
      </c>
      <c r="F105" s="490">
        <v>28</v>
      </c>
      <c r="G105" s="490">
        <v>0</v>
      </c>
      <c r="H105" s="490">
        <v>0</v>
      </c>
      <c r="I105" s="490">
        <v>0</v>
      </c>
      <c r="J105" s="490">
        <v>1</v>
      </c>
      <c r="K105" s="490">
        <v>6</v>
      </c>
      <c r="L105" s="490">
        <v>1</v>
      </c>
      <c r="M105" s="490">
        <v>1</v>
      </c>
      <c r="N105" s="491"/>
      <c r="O105" s="491">
        <f t="shared" si="29"/>
        <v>7</v>
      </c>
      <c r="P105" s="491">
        <f t="shared" si="30"/>
        <v>2</v>
      </c>
      <c r="Q105" s="491"/>
      <c r="R105" s="492">
        <f t="shared" si="31"/>
        <v>0.13953488372093023</v>
      </c>
      <c r="S105" s="492">
        <f t="shared" si="32"/>
        <v>0.65116279069767447</v>
      </c>
      <c r="U105" s="473">
        <v>3</v>
      </c>
      <c r="V105" s="473">
        <v>5</v>
      </c>
      <c r="W105" s="473">
        <v>5</v>
      </c>
      <c r="X105" s="473">
        <v>13</v>
      </c>
      <c r="Y105" s="473">
        <v>17</v>
      </c>
      <c r="Z105" s="473">
        <v>0</v>
      </c>
      <c r="AA105" s="473">
        <v>0</v>
      </c>
      <c r="AB105" s="473">
        <v>43</v>
      </c>
      <c r="AC105" s="473">
        <f t="shared" si="33"/>
        <v>8</v>
      </c>
      <c r="AD105" s="473">
        <f t="shared" si="34"/>
        <v>5</v>
      </c>
      <c r="AE105" s="473">
        <f t="shared" si="35"/>
        <v>13</v>
      </c>
      <c r="AF105" s="473">
        <f t="shared" si="36"/>
        <v>17</v>
      </c>
      <c r="AG105" s="473">
        <f t="shared" si="37"/>
        <v>0</v>
      </c>
    </row>
    <row r="106" spans="1:33" x14ac:dyDescent="0.3">
      <c r="A106" s="487" t="s">
        <v>82</v>
      </c>
      <c r="B106" s="488" t="s">
        <v>83</v>
      </c>
      <c r="C106" s="494" t="s">
        <v>252</v>
      </c>
      <c r="D106" s="490">
        <v>4</v>
      </c>
      <c r="E106" s="490">
        <v>0</v>
      </c>
      <c r="F106" s="490">
        <v>1</v>
      </c>
      <c r="G106" s="490">
        <v>0</v>
      </c>
      <c r="H106" s="490">
        <v>0</v>
      </c>
      <c r="I106" s="490">
        <v>0</v>
      </c>
      <c r="J106" s="490">
        <v>0</v>
      </c>
      <c r="K106" s="490">
        <v>3</v>
      </c>
      <c r="L106" s="490">
        <v>0</v>
      </c>
      <c r="M106" s="490">
        <v>0</v>
      </c>
      <c r="N106" s="491"/>
      <c r="O106" s="491">
        <f t="shared" si="29"/>
        <v>3</v>
      </c>
      <c r="P106" s="491">
        <f t="shared" si="30"/>
        <v>0</v>
      </c>
      <c r="Q106" s="491"/>
      <c r="R106" s="492">
        <f t="shared" si="31"/>
        <v>0</v>
      </c>
      <c r="S106" s="492">
        <f t="shared" si="32"/>
        <v>0.25</v>
      </c>
      <c r="U106" s="473">
        <v>0</v>
      </c>
      <c r="V106" s="473">
        <v>0</v>
      </c>
      <c r="W106" s="473">
        <v>2</v>
      </c>
      <c r="X106" s="473">
        <v>2</v>
      </c>
      <c r="Y106" s="473">
        <v>0</v>
      </c>
      <c r="Z106" s="473">
        <v>0</v>
      </c>
      <c r="AA106" s="473">
        <v>0</v>
      </c>
      <c r="AB106" s="473">
        <v>4</v>
      </c>
      <c r="AC106" s="473">
        <f t="shared" si="33"/>
        <v>0</v>
      </c>
      <c r="AD106" s="473">
        <f t="shared" si="34"/>
        <v>2</v>
      </c>
      <c r="AE106" s="473">
        <f t="shared" si="35"/>
        <v>2</v>
      </c>
      <c r="AF106" s="473">
        <f t="shared" si="36"/>
        <v>0</v>
      </c>
      <c r="AG106" s="473">
        <f t="shared" si="37"/>
        <v>0</v>
      </c>
    </row>
    <row r="107" spans="1:33" x14ac:dyDescent="0.3">
      <c r="A107" s="487" t="s">
        <v>88</v>
      </c>
      <c r="B107" s="488" t="s">
        <v>89</v>
      </c>
      <c r="C107" s="494" t="s">
        <v>255</v>
      </c>
      <c r="D107" s="490">
        <v>44</v>
      </c>
      <c r="E107" s="490">
        <v>14</v>
      </c>
      <c r="F107" s="490">
        <v>12</v>
      </c>
      <c r="G107" s="490">
        <v>2</v>
      </c>
      <c r="H107" s="490">
        <v>0</v>
      </c>
      <c r="I107" s="490">
        <v>0</v>
      </c>
      <c r="J107" s="490">
        <v>8</v>
      </c>
      <c r="K107" s="490">
        <v>8</v>
      </c>
      <c r="L107" s="490">
        <v>0</v>
      </c>
      <c r="M107" s="490">
        <v>0</v>
      </c>
      <c r="N107" s="491"/>
      <c r="O107" s="491">
        <f t="shared" si="29"/>
        <v>18</v>
      </c>
      <c r="P107" s="491">
        <f t="shared" si="30"/>
        <v>0</v>
      </c>
      <c r="Q107" s="491"/>
      <c r="R107" s="492">
        <f t="shared" si="31"/>
        <v>0.31818181818181818</v>
      </c>
      <c r="S107" s="492">
        <f t="shared" si="32"/>
        <v>0.27272727272727271</v>
      </c>
      <c r="U107" s="473">
        <v>4</v>
      </c>
      <c r="V107" s="473">
        <v>17</v>
      </c>
      <c r="W107" s="473">
        <v>11</v>
      </c>
      <c r="X107" s="473">
        <v>6</v>
      </c>
      <c r="Y107" s="473">
        <v>6</v>
      </c>
      <c r="Z107" s="473">
        <v>0</v>
      </c>
      <c r="AA107" s="473">
        <v>0</v>
      </c>
      <c r="AB107" s="473">
        <v>44</v>
      </c>
      <c r="AC107" s="473">
        <f t="shared" si="33"/>
        <v>21</v>
      </c>
      <c r="AD107" s="473">
        <f t="shared" si="34"/>
        <v>11</v>
      </c>
      <c r="AE107" s="473">
        <f t="shared" si="35"/>
        <v>6</v>
      </c>
      <c r="AF107" s="473">
        <f t="shared" si="36"/>
        <v>6</v>
      </c>
      <c r="AG107" s="473">
        <f t="shared" si="37"/>
        <v>0</v>
      </c>
    </row>
    <row r="108" spans="1:33" x14ac:dyDescent="0.3">
      <c r="A108" s="493" t="s">
        <v>90</v>
      </c>
      <c r="B108" s="488" t="s">
        <v>91</v>
      </c>
      <c r="C108" s="494" t="s">
        <v>256</v>
      </c>
      <c r="D108" s="490">
        <v>60</v>
      </c>
      <c r="E108" s="490">
        <v>32</v>
      </c>
      <c r="F108" s="490">
        <v>3</v>
      </c>
      <c r="G108" s="490">
        <v>0</v>
      </c>
      <c r="H108" s="490">
        <v>0</v>
      </c>
      <c r="I108" s="490">
        <v>0</v>
      </c>
      <c r="J108" s="490">
        <v>24</v>
      </c>
      <c r="K108" s="490">
        <v>1</v>
      </c>
      <c r="L108" s="490">
        <v>0</v>
      </c>
      <c r="M108" s="490">
        <v>0</v>
      </c>
      <c r="N108" s="491"/>
      <c r="O108" s="491">
        <f t="shared" si="29"/>
        <v>25</v>
      </c>
      <c r="P108" s="491">
        <f t="shared" si="30"/>
        <v>0</v>
      </c>
      <c r="Q108" s="491"/>
      <c r="R108" s="492">
        <f t="shared" si="31"/>
        <v>0.53333333333333333</v>
      </c>
      <c r="S108" s="492">
        <f t="shared" si="32"/>
        <v>0.05</v>
      </c>
      <c r="U108" s="473">
        <v>3</v>
      </c>
      <c r="V108" s="473">
        <v>9</v>
      </c>
      <c r="W108" s="473">
        <v>19</v>
      </c>
      <c r="X108" s="473">
        <v>18</v>
      </c>
      <c r="Y108" s="473">
        <v>11</v>
      </c>
      <c r="Z108" s="473">
        <v>0</v>
      </c>
      <c r="AA108" s="473">
        <v>0</v>
      </c>
      <c r="AB108" s="473">
        <v>60</v>
      </c>
      <c r="AC108" s="473">
        <f t="shared" si="33"/>
        <v>12</v>
      </c>
      <c r="AD108" s="473">
        <f t="shared" si="34"/>
        <v>19</v>
      </c>
      <c r="AE108" s="473">
        <f t="shared" si="35"/>
        <v>18</v>
      </c>
      <c r="AF108" s="473">
        <f t="shared" si="36"/>
        <v>11</v>
      </c>
      <c r="AG108" s="473">
        <f t="shared" si="37"/>
        <v>0</v>
      </c>
    </row>
    <row r="109" spans="1:33" x14ac:dyDescent="0.3">
      <c r="A109" s="487" t="s">
        <v>106</v>
      </c>
      <c r="B109" s="488" t="s">
        <v>107</v>
      </c>
      <c r="C109" s="494" t="s">
        <v>252</v>
      </c>
      <c r="D109" s="490">
        <v>61</v>
      </c>
      <c r="E109" s="490">
        <v>12</v>
      </c>
      <c r="F109" s="490">
        <v>26</v>
      </c>
      <c r="G109" s="490">
        <v>0</v>
      </c>
      <c r="H109" s="490">
        <v>0</v>
      </c>
      <c r="I109" s="490">
        <v>0</v>
      </c>
      <c r="J109" s="490">
        <v>6</v>
      </c>
      <c r="K109" s="490">
        <v>16</v>
      </c>
      <c r="L109" s="490">
        <v>0</v>
      </c>
      <c r="M109" s="490">
        <v>1</v>
      </c>
      <c r="N109" s="491"/>
      <c r="O109" s="491">
        <f t="shared" si="29"/>
        <v>22</v>
      </c>
      <c r="P109" s="491">
        <f t="shared" si="30"/>
        <v>1</v>
      </c>
      <c r="Q109" s="491"/>
      <c r="R109" s="492">
        <f t="shared" si="31"/>
        <v>0.19672131147540983</v>
      </c>
      <c r="S109" s="492">
        <f t="shared" si="32"/>
        <v>0.42622950819672129</v>
      </c>
      <c r="U109" s="473">
        <v>9</v>
      </c>
      <c r="V109" s="473">
        <v>20</v>
      </c>
      <c r="W109" s="473">
        <v>11</v>
      </c>
      <c r="X109" s="473">
        <v>13</v>
      </c>
      <c r="Y109" s="473">
        <v>8</v>
      </c>
      <c r="Z109" s="473">
        <v>0</v>
      </c>
      <c r="AA109" s="473">
        <v>0</v>
      </c>
      <c r="AB109" s="473">
        <v>61</v>
      </c>
      <c r="AC109" s="473">
        <f t="shared" si="33"/>
        <v>29</v>
      </c>
      <c r="AD109" s="473">
        <f t="shared" si="34"/>
        <v>11</v>
      </c>
      <c r="AE109" s="473">
        <f t="shared" si="35"/>
        <v>13</v>
      </c>
      <c r="AF109" s="473">
        <f t="shared" si="36"/>
        <v>8</v>
      </c>
      <c r="AG109" s="473">
        <f t="shared" si="37"/>
        <v>0</v>
      </c>
    </row>
    <row r="110" spans="1:33" x14ac:dyDescent="0.3">
      <c r="A110" s="487" t="s">
        <v>116</v>
      </c>
      <c r="B110" s="488" t="s">
        <v>117</v>
      </c>
      <c r="C110" s="494" t="s">
        <v>254</v>
      </c>
      <c r="D110" s="490">
        <v>20</v>
      </c>
      <c r="E110" s="490">
        <v>6</v>
      </c>
      <c r="F110" s="490">
        <v>10</v>
      </c>
      <c r="G110" s="490">
        <v>0</v>
      </c>
      <c r="H110" s="490">
        <v>0</v>
      </c>
      <c r="I110" s="490">
        <v>0</v>
      </c>
      <c r="J110" s="490">
        <v>4</v>
      </c>
      <c r="K110" s="490">
        <v>0</v>
      </c>
      <c r="L110" s="490">
        <v>0</v>
      </c>
      <c r="M110" s="490">
        <v>0</v>
      </c>
      <c r="N110" s="491"/>
      <c r="O110" s="491">
        <f t="shared" si="29"/>
        <v>4</v>
      </c>
      <c r="P110" s="491">
        <f t="shared" si="30"/>
        <v>0</v>
      </c>
      <c r="Q110" s="491"/>
      <c r="R110" s="492">
        <f t="shared" si="31"/>
        <v>0.3</v>
      </c>
      <c r="S110" s="492">
        <f t="shared" si="32"/>
        <v>0.5</v>
      </c>
      <c r="U110" s="473">
        <v>5</v>
      </c>
      <c r="V110" s="473">
        <v>4</v>
      </c>
      <c r="W110" s="473">
        <v>7</v>
      </c>
      <c r="X110" s="473">
        <v>4</v>
      </c>
      <c r="Y110" s="473">
        <v>0</v>
      </c>
      <c r="Z110" s="473">
        <v>0</v>
      </c>
      <c r="AA110" s="473">
        <v>0</v>
      </c>
      <c r="AB110" s="473">
        <v>20</v>
      </c>
      <c r="AC110" s="473">
        <f t="shared" si="33"/>
        <v>9</v>
      </c>
      <c r="AD110" s="473">
        <f t="shared" si="34"/>
        <v>7</v>
      </c>
      <c r="AE110" s="473">
        <f t="shared" si="35"/>
        <v>4</v>
      </c>
      <c r="AF110" s="473">
        <f t="shared" si="36"/>
        <v>0</v>
      </c>
      <c r="AG110" s="473">
        <f t="shared" si="37"/>
        <v>0</v>
      </c>
    </row>
    <row r="111" spans="1:33" x14ac:dyDescent="0.3">
      <c r="A111" s="487" t="s">
        <v>138</v>
      </c>
      <c r="B111" s="488" t="s">
        <v>139</v>
      </c>
      <c r="C111" s="494" t="s">
        <v>253</v>
      </c>
      <c r="D111" s="490">
        <v>143</v>
      </c>
      <c r="E111" s="490">
        <v>59</v>
      </c>
      <c r="F111" s="490">
        <v>63</v>
      </c>
      <c r="G111" s="490">
        <v>0</v>
      </c>
      <c r="H111" s="490">
        <v>0</v>
      </c>
      <c r="I111" s="490">
        <v>0</v>
      </c>
      <c r="J111" s="490">
        <v>3</v>
      </c>
      <c r="K111" s="490">
        <v>18</v>
      </c>
      <c r="L111" s="490">
        <v>0</v>
      </c>
      <c r="M111" s="490">
        <v>0</v>
      </c>
      <c r="N111" s="491"/>
      <c r="O111" s="491">
        <f t="shared" si="29"/>
        <v>21</v>
      </c>
      <c r="P111" s="491">
        <f t="shared" si="30"/>
        <v>0</v>
      </c>
      <c r="Q111" s="491"/>
      <c r="R111" s="492">
        <f t="shared" si="31"/>
        <v>0.41258741258741261</v>
      </c>
      <c r="S111" s="492">
        <f t="shared" si="32"/>
        <v>0.44055944055944057</v>
      </c>
      <c r="U111" s="473">
        <v>7</v>
      </c>
      <c r="V111" s="473">
        <v>53</v>
      </c>
      <c r="W111" s="473">
        <v>25</v>
      </c>
      <c r="X111" s="473">
        <v>36</v>
      </c>
      <c r="Y111" s="473">
        <v>22</v>
      </c>
      <c r="Z111" s="473">
        <v>0</v>
      </c>
      <c r="AA111" s="473">
        <v>0</v>
      </c>
      <c r="AB111" s="473">
        <v>143</v>
      </c>
      <c r="AC111" s="473">
        <f t="shared" si="33"/>
        <v>60</v>
      </c>
      <c r="AD111" s="473">
        <f t="shared" si="34"/>
        <v>25</v>
      </c>
      <c r="AE111" s="473">
        <f t="shared" si="35"/>
        <v>36</v>
      </c>
      <c r="AF111" s="473">
        <f t="shared" si="36"/>
        <v>22</v>
      </c>
      <c r="AG111" s="473">
        <f t="shared" si="37"/>
        <v>0</v>
      </c>
    </row>
    <row r="112" spans="1:33" x14ac:dyDescent="0.3">
      <c r="A112" s="487" t="s">
        <v>142</v>
      </c>
      <c r="B112" s="488" t="s">
        <v>143</v>
      </c>
      <c r="C112" s="494" t="s">
        <v>255</v>
      </c>
      <c r="D112" s="490">
        <v>16</v>
      </c>
      <c r="E112" s="490">
        <v>2</v>
      </c>
      <c r="F112" s="490">
        <v>4</v>
      </c>
      <c r="G112" s="490">
        <v>0</v>
      </c>
      <c r="H112" s="490">
        <v>0</v>
      </c>
      <c r="I112" s="490">
        <v>0</v>
      </c>
      <c r="J112" s="490">
        <v>9</v>
      </c>
      <c r="K112" s="490">
        <v>1</v>
      </c>
      <c r="L112" s="490">
        <v>0</v>
      </c>
      <c r="M112" s="490">
        <v>0</v>
      </c>
      <c r="N112" s="491"/>
      <c r="O112" s="491">
        <f t="shared" si="29"/>
        <v>10</v>
      </c>
      <c r="P112" s="491">
        <f t="shared" si="30"/>
        <v>0</v>
      </c>
      <c r="Q112" s="491"/>
      <c r="R112" s="492">
        <f t="shared" si="31"/>
        <v>0.125</v>
      </c>
      <c r="S112" s="492">
        <f t="shared" si="32"/>
        <v>0.25</v>
      </c>
      <c r="U112" s="473">
        <v>0</v>
      </c>
      <c r="V112" s="473">
        <v>4</v>
      </c>
      <c r="W112" s="473">
        <v>4</v>
      </c>
      <c r="X112" s="473">
        <v>5</v>
      </c>
      <c r="Y112" s="473">
        <v>3</v>
      </c>
      <c r="Z112" s="473">
        <v>0</v>
      </c>
      <c r="AA112" s="473">
        <v>0</v>
      </c>
      <c r="AB112" s="473">
        <v>16</v>
      </c>
      <c r="AC112" s="473">
        <f t="shared" si="33"/>
        <v>4</v>
      </c>
      <c r="AD112" s="473">
        <f t="shared" si="34"/>
        <v>4</v>
      </c>
      <c r="AE112" s="473">
        <f t="shared" si="35"/>
        <v>5</v>
      </c>
      <c r="AF112" s="473">
        <f t="shared" si="36"/>
        <v>3</v>
      </c>
      <c r="AG112" s="473">
        <f t="shared" si="37"/>
        <v>0</v>
      </c>
    </row>
    <row r="113" spans="1:33" x14ac:dyDescent="0.3">
      <c r="A113" s="493" t="s">
        <v>144</v>
      </c>
      <c r="B113" s="488" t="s">
        <v>145</v>
      </c>
      <c r="C113" s="494" t="s">
        <v>255</v>
      </c>
      <c r="D113" s="490">
        <v>4</v>
      </c>
      <c r="E113" s="490">
        <v>3</v>
      </c>
      <c r="F113" s="490">
        <v>1</v>
      </c>
      <c r="G113" s="490">
        <v>0</v>
      </c>
      <c r="H113" s="490">
        <v>0</v>
      </c>
      <c r="I113" s="490">
        <v>0</v>
      </c>
      <c r="J113" s="490">
        <v>0</v>
      </c>
      <c r="K113" s="490">
        <v>0</v>
      </c>
      <c r="L113" s="490">
        <v>0</v>
      </c>
      <c r="M113" s="490">
        <v>0</v>
      </c>
      <c r="N113" s="491"/>
      <c r="O113" s="491">
        <f t="shared" si="29"/>
        <v>0</v>
      </c>
      <c r="P113" s="491">
        <f t="shared" si="30"/>
        <v>0</v>
      </c>
      <c r="Q113" s="491"/>
      <c r="R113" s="492">
        <f t="shared" si="31"/>
        <v>0.75</v>
      </c>
      <c r="S113" s="492">
        <f t="shared" si="32"/>
        <v>0.25</v>
      </c>
      <c r="U113" s="473">
        <v>0</v>
      </c>
      <c r="V113" s="473">
        <v>1</v>
      </c>
      <c r="W113" s="473">
        <v>1</v>
      </c>
      <c r="X113" s="473">
        <v>1</v>
      </c>
      <c r="Y113" s="473">
        <v>1</v>
      </c>
      <c r="Z113" s="473">
        <v>0</v>
      </c>
      <c r="AA113" s="473">
        <v>0</v>
      </c>
      <c r="AB113" s="473">
        <v>4</v>
      </c>
      <c r="AC113" s="473">
        <f t="shared" si="33"/>
        <v>1</v>
      </c>
      <c r="AD113" s="473">
        <f t="shared" si="34"/>
        <v>1</v>
      </c>
      <c r="AE113" s="473">
        <f t="shared" si="35"/>
        <v>1</v>
      </c>
      <c r="AF113" s="473">
        <f t="shared" si="36"/>
        <v>1</v>
      </c>
      <c r="AG113" s="473">
        <f t="shared" si="37"/>
        <v>0</v>
      </c>
    </row>
    <row r="114" spans="1:33" x14ac:dyDescent="0.3">
      <c r="A114" s="487" t="s">
        <v>158</v>
      </c>
      <c r="B114" s="488" t="s">
        <v>159</v>
      </c>
      <c r="C114" s="494" t="s">
        <v>252</v>
      </c>
      <c r="D114" s="490">
        <v>136</v>
      </c>
      <c r="E114" s="490">
        <v>17</v>
      </c>
      <c r="F114" s="490">
        <v>75</v>
      </c>
      <c r="G114" s="490">
        <v>1</v>
      </c>
      <c r="H114" s="490">
        <v>0</v>
      </c>
      <c r="I114" s="490">
        <v>0</v>
      </c>
      <c r="J114" s="490">
        <v>17</v>
      </c>
      <c r="K114" s="490">
        <v>21</v>
      </c>
      <c r="L114" s="490">
        <v>4</v>
      </c>
      <c r="M114" s="490">
        <v>1</v>
      </c>
      <c r="N114" s="491"/>
      <c r="O114" s="491">
        <f t="shared" si="29"/>
        <v>39</v>
      </c>
      <c r="P114" s="491">
        <f t="shared" si="30"/>
        <v>5</v>
      </c>
      <c r="Q114" s="491"/>
      <c r="R114" s="492">
        <f t="shared" si="31"/>
        <v>0.125</v>
      </c>
      <c r="S114" s="492">
        <f t="shared" si="32"/>
        <v>0.55147058823529416</v>
      </c>
      <c r="U114" s="473">
        <v>12</v>
      </c>
      <c r="V114" s="473">
        <v>33</v>
      </c>
      <c r="W114" s="473">
        <v>27</v>
      </c>
      <c r="X114" s="473">
        <v>34</v>
      </c>
      <c r="Y114" s="473">
        <v>30</v>
      </c>
      <c r="Z114" s="473">
        <v>0</v>
      </c>
      <c r="AA114" s="473">
        <v>0</v>
      </c>
      <c r="AB114" s="473">
        <v>136</v>
      </c>
      <c r="AC114" s="473">
        <f t="shared" si="33"/>
        <v>45</v>
      </c>
      <c r="AD114" s="473">
        <f t="shared" si="34"/>
        <v>27</v>
      </c>
      <c r="AE114" s="473">
        <f t="shared" si="35"/>
        <v>34</v>
      </c>
      <c r="AF114" s="473">
        <f t="shared" si="36"/>
        <v>30</v>
      </c>
      <c r="AG114" s="473">
        <f t="shared" si="37"/>
        <v>0</v>
      </c>
    </row>
    <row r="115" spans="1:33" x14ac:dyDescent="0.3">
      <c r="A115" s="487" t="s">
        <v>160</v>
      </c>
      <c r="B115" s="488" t="s">
        <v>161</v>
      </c>
      <c r="C115" s="494" t="s">
        <v>252</v>
      </c>
      <c r="D115" s="490">
        <v>195</v>
      </c>
      <c r="E115" s="490">
        <v>39</v>
      </c>
      <c r="F115" s="490">
        <v>126</v>
      </c>
      <c r="G115" s="490">
        <v>0</v>
      </c>
      <c r="H115" s="490">
        <v>1</v>
      </c>
      <c r="I115" s="490">
        <v>0</v>
      </c>
      <c r="J115" s="490">
        <v>14</v>
      </c>
      <c r="K115" s="490">
        <v>15</v>
      </c>
      <c r="L115" s="490">
        <v>0</v>
      </c>
      <c r="M115" s="490">
        <v>0</v>
      </c>
      <c r="N115" s="491"/>
      <c r="O115" s="491">
        <f t="shared" si="29"/>
        <v>30</v>
      </c>
      <c r="P115" s="491">
        <f t="shared" si="30"/>
        <v>0</v>
      </c>
      <c r="Q115" s="491"/>
      <c r="R115" s="492">
        <f t="shared" si="31"/>
        <v>0.2</v>
      </c>
      <c r="S115" s="492">
        <f t="shared" si="32"/>
        <v>0.64615384615384619</v>
      </c>
      <c r="U115" s="473">
        <v>18</v>
      </c>
      <c r="V115" s="473">
        <v>66</v>
      </c>
      <c r="W115" s="473">
        <v>38</v>
      </c>
      <c r="X115" s="473">
        <v>39</v>
      </c>
      <c r="Y115" s="473">
        <v>34</v>
      </c>
      <c r="Z115" s="473">
        <v>0</v>
      </c>
      <c r="AA115" s="473">
        <v>0</v>
      </c>
      <c r="AB115" s="473">
        <v>195</v>
      </c>
      <c r="AC115" s="473">
        <f t="shared" si="33"/>
        <v>84</v>
      </c>
      <c r="AD115" s="473">
        <f t="shared" si="34"/>
        <v>38</v>
      </c>
      <c r="AE115" s="473">
        <f t="shared" si="35"/>
        <v>39</v>
      </c>
      <c r="AF115" s="473">
        <f t="shared" si="36"/>
        <v>34</v>
      </c>
      <c r="AG115" s="473">
        <f t="shared" si="37"/>
        <v>0</v>
      </c>
    </row>
    <row r="116" spans="1:33" x14ac:dyDescent="0.3">
      <c r="A116" s="487" t="s">
        <v>166</v>
      </c>
      <c r="B116" s="488" t="s">
        <v>167</v>
      </c>
      <c r="C116" s="494" t="s">
        <v>256</v>
      </c>
      <c r="D116" s="490">
        <v>7</v>
      </c>
      <c r="E116" s="490">
        <v>7</v>
      </c>
      <c r="F116" s="490">
        <v>0</v>
      </c>
      <c r="G116" s="490">
        <v>0</v>
      </c>
      <c r="H116" s="490">
        <v>0</v>
      </c>
      <c r="I116" s="490">
        <v>0</v>
      </c>
      <c r="J116" s="490">
        <v>0</v>
      </c>
      <c r="K116" s="490">
        <v>0</v>
      </c>
      <c r="L116" s="490">
        <v>0</v>
      </c>
      <c r="M116" s="490">
        <v>0</v>
      </c>
      <c r="N116" s="491"/>
      <c r="O116" s="491">
        <f t="shared" si="29"/>
        <v>0</v>
      </c>
      <c r="P116" s="491">
        <f t="shared" si="30"/>
        <v>0</v>
      </c>
      <c r="Q116" s="491"/>
      <c r="R116" s="492">
        <f t="shared" si="31"/>
        <v>1</v>
      </c>
      <c r="S116" s="492">
        <f t="shared" si="32"/>
        <v>0</v>
      </c>
      <c r="U116" s="473">
        <v>1</v>
      </c>
      <c r="V116" s="473">
        <v>3</v>
      </c>
      <c r="W116" s="473">
        <v>1</v>
      </c>
      <c r="X116" s="473">
        <v>1</v>
      </c>
      <c r="Y116" s="473">
        <v>1</v>
      </c>
      <c r="Z116" s="473">
        <v>0</v>
      </c>
      <c r="AA116" s="473">
        <v>0</v>
      </c>
      <c r="AB116" s="473">
        <v>7</v>
      </c>
      <c r="AC116" s="473">
        <f t="shared" si="33"/>
        <v>4</v>
      </c>
      <c r="AD116" s="473">
        <f t="shared" si="34"/>
        <v>1</v>
      </c>
      <c r="AE116" s="473">
        <f t="shared" si="35"/>
        <v>1</v>
      </c>
      <c r="AF116" s="473">
        <f t="shared" si="36"/>
        <v>1</v>
      </c>
      <c r="AG116" s="473">
        <f t="shared" si="37"/>
        <v>0</v>
      </c>
    </row>
    <row r="117" spans="1:33" x14ac:dyDescent="0.3">
      <c r="A117" s="487" t="s">
        <v>176</v>
      </c>
      <c r="B117" s="488" t="s">
        <v>177</v>
      </c>
      <c r="C117" s="494" t="s">
        <v>254</v>
      </c>
      <c r="D117" s="490">
        <v>40</v>
      </c>
      <c r="E117" s="490">
        <v>8</v>
      </c>
      <c r="F117" s="490">
        <v>21</v>
      </c>
      <c r="G117" s="490">
        <v>0</v>
      </c>
      <c r="H117" s="490">
        <v>0</v>
      </c>
      <c r="I117" s="490">
        <v>0</v>
      </c>
      <c r="J117" s="490">
        <v>5</v>
      </c>
      <c r="K117" s="490">
        <v>6</v>
      </c>
      <c r="L117" s="490">
        <v>0</v>
      </c>
      <c r="M117" s="490">
        <v>0</v>
      </c>
      <c r="N117" s="491"/>
      <c r="O117" s="491">
        <f t="shared" si="29"/>
        <v>11</v>
      </c>
      <c r="P117" s="491">
        <f t="shared" si="30"/>
        <v>0</v>
      </c>
      <c r="Q117" s="491"/>
      <c r="R117" s="492">
        <f t="shared" si="31"/>
        <v>0.2</v>
      </c>
      <c r="S117" s="492">
        <f t="shared" si="32"/>
        <v>0.52500000000000002</v>
      </c>
      <c r="U117" s="473">
        <v>2</v>
      </c>
      <c r="V117" s="473">
        <v>18</v>
      </c>
      <c r="W117" s="473">
        <v>9</v>
      </c>
      <c r="X117" s="473">
        <v>5</v>
      </c>
      <c r="Y117" s="473">
        <v>6</v>
      </c>
      <c r="Z117" s="473">
        <v>0</v>
      </c>
      <c r="AA117" s="473">
        <v>0</v>
      </c>
      <c r="AB117" s="473">
        <v>40</v>
      </c>
      <c r="AC117" s="473">
        <f t="shared" si="33"/>
        <v>20</v>
      </c>
      <c r="AD117" s="473">
        <f t="shared" si="34"/>
        <v>9</v>
      </c>
      <c r="AE117" s="473">
        <f t="shared" si="35"/>
        <v>5</v>
      </c>
      <c r="AF117" s="473">
        <f t="shared" si="36"/>
        <v>6</v>
      </c>
      <c r="AG117" s="473">
        <f t="shared" si="37"/>
        <v>0</v>
      </c>
    </row>
    <row r="118" spans="1:33" x14ac:dyDescent="0.3">
      <c r="A118" s="487" t="s">
        <v>180</v>
      </c>
      <c r="B118" s="488" t="s">
        <v>181</v>
      </c>
      <c r="C118" s="494" t="s">
        <v>252</v>
      </c>
      <c r="D118" s="490">
        <v>40</v>
      </c>
      <c r="E118" s="490">
        <v>3</v>
      </c>
      <c r="F118" s="490">
        <v>33</v>
      </c>
      <c r="G118" s="490">
        <v>0</v>
      </c>
      <c r="H118" s="490">
        <v>0</v>
      </c>
      <c r="I118" s="490">
        <v>0</v>
      </c>
      <c r="J118" s="490">
        <v>1</v>
      </c>
      <c r="K118" s="490">
        <v>3</v>
      </c>
      <c r="L118" s="490">
        <v>0</v>
      </c>
      <c r="M118" s="490">
        <v>0</v>
      </c>
      <c r="N118" s="491"/>
      <c r="O118" s="491">
        <f t="shared" si="29"/>
        <v>4</v>
      </c>
      <c r="P118" s="491">
        <f t="shared" si="30"/>
        <v>0</v>
      </c>
      <c r="Q118" s="491"/>
      <c r="R118" s="492">
        <f t="shared" si="31"/>
        <v>7.4999999999999997E-2</v>
      </c>
      <c r="S118" s="492">
        <f t="shared" si="32"/>
        <v>0.82499999999999996</v>
      </c>
      <c r="U118" s="473">
        <v>0</v>
      </c>
      <c r="V118" s="473">
        <v>3</v>
      </c>
      <c r="W118" s="473">
        <v>6</v>
      </c>
      <c r="X118" s="473">
        <v>13</v>
      </c>
      <c r="Y118" s="473">
        <v>18</v>
      </c>
      <c r="Z118" s="473">
        <v>0</v>
      </c>
      <c r="AA118" s="473">
        <v>0</v>
      </c>
      <c r="AB118" s="473">
        <v>40</v>
      </c>
      <c r="AC118" s="473">
        <f t="shared" si="33"/>
        <v>3</v>
      </c>
      <c r="AD118" s="473">
        <f t="shared" si="34"/>
        <v>6</v>
      </c>
      <c r="AE118" s="473">
        <f t="shared" si="35"/>
        <v>13</v>
      </c>
      <c r="AF118" s="473">
        <f t="shared" si="36"/>
        <v>18</v>
      </c>
      <c r="AG118" s="473">
        <f t="shared" si="37"/>
        <v>0</v>
      </c>
    </row>
    <row r="119" spans="1:33" x14ac:dyDescent="0.3">
      <c r="A119" s="487" t="s">
        <v>192</v>
      </c>
      <c r="B119" s="488" t="s">
        <v>193</v>
      </c>
      <c r="C119" s="494" t="s">
        <v>256</v>
      </c>
      <c r="D119" s="490">
        <v>15</v>
      </c>
      <c r="E119" s="490">
        <v>11</v>
      </c>
      <c r="F119" s="490">
        <v>2</v>
      </c>
      <c r="G119" s="490">
        <v>0</v>
      </c>
      <c r="H119" s="490">
        <v>0</v>
      </c>
      <c r="I119" s="490">
        <v>0</v>
      </c>
      <c r="J119" s="490">
        <v>2</v>
      </c>
      <c r="K119" s="490">
        <v>0</v>
      </c>
      <c r="L119" s="490">
        <v>0</v>
      </c>
      <c r="M119" s="490">
        <v>0</v>
      </c>
      <c r="N119" s="491"/>
      <c r="O119" s="491">
        <f t="shared" si="29"/>
        <v>2</v>
      </c>
      <c r="P119" s="491">
        <f t="shared" si="30"/>
        <v>0</v>
      </c>
      <c r="Q119" s="491"/>
      <c r="R119" s="492">
        <f t="shared" si="31"/>
        <v>0.73333333333333328</v>
      </c>
      <c r="S119" s="492">
        <f t="shared" si="32"/>
        <v>0.13333333333333333</v>
      </c>
      <c r="U119" s="473">
        <v>2</v>
      </c>
      <c r="V119" s="473">
        <v>7</v>
      </c>
      <c r="W119" s="473">
        <v>5</v>
      </c>
      <c r="X119" s="473">
        <v>1</v>
      </c>
      <c r="Y119" s="473">
        <v>0</v>
      </c>
      <c r="Z119" s="473">
        <v>0</v>
      </c>
      <c r="AA119" s="473">
        <v>0</v>
      </c>
      <c r="AB119" s="473">
        <v>15</v>
      </c>
      <c r="AC119" s="473">
        <f t="shared" si="33"/>
        <v>9</v>
      </c>
      <c r="AD119" s="473">
        <f t="shared" si="34"/>
        <v>5</v>
      </c>
      <c r="AE119" s="473">
        <f t="shared" si="35"/>
        <v>1</v>
      </c>
      <c r="AF119" s="473">
        <f t="shared" si="36"/>
        <v>0</v>
      </c>
      <c r="AG119" s="473">
        <f t="shared" si="37"/>
        <v>0</v>
      </c>
    </row>
    <row r="120" spans="1:33" x14ac:dyDescent="0.3">
      <c r="A120" s="487" t="s">
        <v>196</v>
      </c>
      <c r="B120" s="488" t="s">
        <v>197</v>
      </c>
      <c r="C120" s="494" t="s">
        <v>254</v>
      </c>
      <c r="D120" s="490">
        <v>204</v>
      </c>
      <c r="E120" s="490">
        <v>8</v>
      </c>
      <c r="F120" s="490">
        <v>177</v>
      </c>
      <c r="G120" s="490">
        <v>0</v>
      </c>
      <c r="H120" s="490">
        <v>0</v>
      </c>
      <c r="I120" s="490">
        <v>0</v>
      </c>
      <c r="J120" s="490">
        <v>12</v>
      </c>
      <c r="K120" s="490">
        <v>5</v>
      </c>
      <c r="L120" s="490">
        <v>2</v>
      </c>
      <c r="M120" s="490">
        <v>0</v>
      </c>
      <c r="N120" s="491"/>
      <c r="O120" s="491">
        <f t="shared" si="29"/>
        <v>17</v>
      </c>
      <c r="P120" s="491">
        <f t="shared" si="30"/>
        <v>2</v>
      </c>
      <c r="Q120" s="491"/>
      <c r="R120" s="492">
        <f t="shared" si="31"/>
        <v>3.9215686274509803E-2</v>
      </c>
      <c r="S120" s="492">
        <f t="shared" si="32"/>
        <v>0.86764705882352944</v>
      </c>
      <c r="U120" s="473">
        <v>10</v>
      </c>
      <c r="V120" s="473">
        <v>52</v>
      </c>
      <c r="W120" s="473">
        <v>34</v>
      </c>
      <c r="X120" s="473">
        <v>45</v>
      </c>
      <c r="Y120" s="473">
        <v>63</v>
      </c>
      <c r="Z120" s="473">
        <v>0</v>
      </c>
      <c r="AA120" s="473">
        <v>0</v>
      </c>
      <c r="AB120" s="473">
        <v>204</v>
      </c>
      <c r="AC120" s="473">
        <f t="shared" si="33"/>
        <v>62</v>
      </c>
      <c r="AD120" s="473">
        <f t="shared" si="34"/>
        <v>34</v>
      </c>
      <c r="AE120" s="473">
        <f t="shared" si="35"/>
        <v>45</v>
      </c>
      <c r="AF120" s="473">
        <f t="shared" si="36"/>
        <v>63</v>
      </c>
      <c r="AG120" s="473">
        <f t="shared" si="37"/>
        <v>0</v>
      </c>
    </row>
    <row r="121" spans="1:33" x14ac:dyDescent="0.3">
      <c r="A121" s="487" t="s">
        <v>200</v>
      </c>
      <c r="B121" s="488" t="s">
        <v>201</v>
      </c>
      <c r="C121" s="494" t="s">
        <v>253</v>
      </c>
      <c r="D121" s="490">
        <v>194</v>
      </c>
      <c r="E121" s="490">
        <v>94</v>
      </c>
      <c r="F121" s="490">
        <v>60</v>
      </c>
      <c r="G121" s="490">
        <v>2</v>
      </c>
      <c r="H121" s="490">
        <v>0</v>
      </c>
      <c r="I121" s="490">
        <v>0</v>
      </c>
      <c r="J121" s="490">
        <v>9</v>
      </c>
      <c r="K121" s="490">
        <v>27</v>
      </c>
      <c r="L121" s="490">
        <v>1</v>
      </c>
      <c r="M121" s="490">
        <v>1</v>
      </c>
      <c r="N121" s="491"/>
      <c r="O121" s="491">
        <f t="shared" si="29"/>
        <v>38</v>
      </c>
      <c r="P121" s="491">
        <f t="shared" si="30"/>
        <v>2</v>
      </c>
      <c r="Q121" s="491"/>
      <c r="R121" s="492">
        <f t="shared" si="31"/>
        <v>0.4845360824742268</v>
      </c>
      <c r="S121" s="492">
        <f t="shared" si="32"/>
        <v>0.30927835051546393</v>
      </c>
      <c r="U121" s="473">
        <v>15</v>
      </c>
      <c r="V121" s="473">
        <v>54</v>
      </c>
      <c r="W121" s="473">
        <v>40</v>
      </c>
      <c r="X121" s="473">
        <v>51</v>
      </c>
      <c r="Y121" s="473">
        <v>34</v>
      </c>
      <c r="Z121" s="473">
        <v>0</v>
      </c>
      <c r="AA121" s="473">
        <v>0</v>
      </c>
      <c r="AB121" s="473">
        <v>194</v>
      </c>
      <c r="AC121" s="473">
        <f t="shared" si="33"/>
        <v>69</v>
      </c>
      <c r="AD121" s="473">
        <f t="shared" si="34"/>
        <v>40</v>
      </c>
      <c r="AE121" s="473">
        <f t="shared" si="35"/>
        <v>51</v>
      </c>
      <c r="AF121" s="473">
        <f t="shared" si="36"/>
        <v>34</v>
      </c>
      <c r="AG121" s="473">
        <f t="shared" si="37"/>
        <v>0</v>
      </c>
    </row>
    <row r="122" spans="1:33" x14ac:dyDescent="0.3">
      <c r="A122" s="487" t="s">
        <v>222</v>
      </c>
      <c r="B122" s="488" t="s">
        <v>223</v>
      </c>
      <c r="C122" s="494" t="s">
        <v>252</v>
      </c>
      <c r="D122" s="490">
        <v>28</v>
      </c>
      <c r="E122" s="490">
        <v>4</v>
      </c>
      <c r="F122" s="490">
        <v>18</v>
      </c>
      <c r="G122" s="490">
        <v>0</v>
      </c>
      <c r="H122" s="490">
        <v>0</v>
      </c>
      <c r="I122" s="490">
        <v>0</v>
      </c>
      <c r="J122" s="490">
        <v>1</v>
      </c>
      <c r="K122" s="490">
        <v>5</v>
      </c>
      <c r="L122" s="490">
        <v>0</v>
      </c>
      <c r="M122" s="490">
        <v>0</v>
      </c>
      <c r="N122" s="491"/>
      <c r="O122" s="491">
        <f t="shared" si="29"/>
        <v>6</v>
      </c>
      <c r="P122" s="491">
        <f t="shared" si="30"/>
        <v>0</v>
      </c>
      <c r="Q122" s="491"/>
      <c r="R122" s="492">
        <f t="shared" si="31"/>
        <v>0.14285714285714285</v>
      </c>
      <c r="S122" s="492">
        <f t="shared" si="32"/>
        <v>0.6428571428571429</v>
      </c>
      <c r="U122" s="473">
        <v>2</v>
      </c>
      <c r="V122" s="473">
        <v>5</v>
      </c>
      <c r="W122" s="473">
        <v>6</v>
      </c>
      <c r="X122" s="473">
        <v>12</v>
      </c>
      <c r="Y122" s="473">
        <v>3</v>
      </c>
      <c r="Z122" s="473">
        <v>0</v>
      </c>
      <c r="AA122" s="473">
        <v>0</v>
      </c>
      <c r="AB122" s="473">
        <v>28</v>
      </c>
      <c r="AC122" s="473">
        <f t="shared" si="33"/>
        <v>7</v>
      </c>
      <c r="AD122" s="473">
        <f t="shared" si="34"/>
        <v>6</v>
      </c>
      <c r="AE122" s="473">
        <f t="shared" si="35"/>
        <v>12</v>
      </c>
      <c r="AF122" s="473">
        <f t="shared" si="36"/>
        <v>3</v>
      </c>
      <c r="AG122" s="473">
        <f t="shared" si="37"/>
        <v>0</v>
      </c>
    </row>
    <row r="123" spans="1:33" x14ac:dyDescent="0.3">
      <c r="A123" s="487" t="s">
        <v>230</v>
      </c>
      <c r="B123" s="488" t="s">
        <v>231</v>
      </c>
      <c r="C123" s="494" t="s">
        <v>252</v>
      </c>
      <c r="D123" s="490">
        <v>178</v>
      </c>
      <c r="E123" s="490">
        <v>77</v>
      </c>
      <c r="F123" s="490">
        <v>63</v>
      </c>
      <c r="G123" s="490">
        <v>2</v>
      </c>
      <c r="H123" s="490">
        <v>0</v>
      </c>
      <c r="I123" s="490">
        <v>0</v>
      </c>
      <c r="J123" s="490">
        <v>14</v>
      </c>
      <c r="K123" s="490">
        <v>17</v>
      </c>
      <c r="L123" s="490">
        <v>5</v>
      </c>
      <c r="M123" s="490">
        <v>0</v>
      </c>
      <c r="N123" s="491"/>
      <c r="O123" s="491">
        <f t="shared" si="29"/>
        <v>33</v>
      </c>
      <c r="P123" s="491">
        <f t="shared" si="30"/>
        <v>5</v>
      </c>
      <c r="Q123" s="491"/>
      <c r="R123" s="492">
        <f t="shared" si="31"/>
        <v>0.43258426966292135</v>
      </c>
      <c r="S123" s="492">
        <f t="shared" si="32"/>
        <v>0.3539325842696629</v>
      </c>
      <c r="U123" s="473">
        <v>20</v>
      </c>
      <c r="V123" s="473">
        <v>55</v>
      </c>
      <c r="W123" s="473">
        <v>28</v>
      </c>
      <c r="X123" s="473">
        <v>45</v>
      </c>
      <c r="Y123" s="473">
        <v>30</v>
      </c>
      <c r="Z123" s="473">
        <v>0</v>
      </c>
      <c r="AA123" s="473">
        <v>0</v>
      </c>
      <c r="AB123" s="473">
        <v>178</v>
      </c>
      <c r="AC123" s="473">
        <f t="shared" si="33"/>
        <v>75</v>
      </c>
      <c r="AD123" s="473">
        <f t="shared" si="34"/>
        <v>28</v>
      </c>
      <c r="AE123" s="473">
        <f t="shared" si="35"/>
        <v>45</v>
      </c>
      <c r="AF123" s="473">
        <f t="shared" si="36"/>
        <v>30</v>
      </c>
      <c r="AG123" s="473">
        <f t="shared" si="37"/>
        <v>0</v>
      </c>
    </row>
    <row r="124" spans="1:33" x14ac:dyDescent="0.3">
      <c r="A124" s="487" t="s">
        <v>238</v>
      </c>
      <c r="B124" s="488" t="s">
        <v>239</v>
      </c>
      <c r="C124" s="494" t="s">
        <v>252</v>
      </c>
      <c r="D124" s="490">
        <v>3</v>
      </c>
      <c r="E124" s="490">
        <v>2</v>
      </c>
      <c r="F124" s="490">
        <v>0</v>
      </c>
      <c r="G124" s="490">
        <v>0</v>
      </c>
      <c r="H124" s="490">
        <v>0</v>
      </c>
      <c r="I124" s="490">
        <v>0</v>
      </c>
      <c r="J124" s="490">
        <v>0</v>
      </c>
      <c r="K124" s="490">
        <v>1</v>
      </c>
      <c r="L124" s="490">
        <v>0</v>
      </c>
      <c r="M124" s="490">
        <v>0</v>
      </c>
      <c r="N124" s="491"/>
      <c r="O124" s="491">
        <f t="shared" si="29"/>
        <v>1</v>
      </c>
      <c r="P124" s="491">
        <f t="shared" si="30"/>
        <v>0</v>
      </c>
      <c r="Q124" s="491"/>
      <c r="R124" s="492">
        <f t="shared" si="31"/>
        <v>0.66666666666666663</v>
      </c>
      <c r="S124" s="492">
        <f t="shared" si="32"/>
        <v>0</v>
      </c>
      <c r="U124" s="473">
        <v>0</v>
      </c>
      <c r="V124" s="473">
        <v>0</v>
      </c>
      <c r="W124" s="473">
        <v>2</v>
      </c>
      <c r="X124" s="473">
        <v>0</v>
      </c>
      <c r="Y124" s="473">
        <v>1</v>
      </c>
      <c r="Z124" s="473">
        <v>0</v>
      </c>
      <c r="AA124" s="473">
        <v>0</v>
      </c>
      <c r="AB124" s="473">
        <v>3</v>
      </c>
      <c r="AC124" s="473">
        <f t="shared" si="33"/>
        <v>0</v>
      </c>
      <c r="AD124" s="473">
        <f t="shared" si="34"/>
        <v>2</v>
      </c>
      <c r="AE124" s="473">
        <f t="shared" si="35"/>
        <v>0</v>
      </c>
      <c r="AF124" s="473">
        <f t="shared" si="36"/>
        <v>1</v>
      </c>
      <c r="AG124" s="473">
        <f t="shared" si="37"/>
        <v>0</v>
      </c>
    </row>
    <row r="125" spans="1:33" x14ac:dyDescent="0.3">
      <c r="A125" s="495" t="s">
        <v>240</v>
      </c>
      <c r="B125" s="496" t="s">
        <v>241</v>
      </c>
      <c r="C125" s="502" t="s">
        <v>255</v>
      </c>
      <c r="D125" s="886">
        <v>50</v>
      </c>
      <c r="E125" s="886">
        <v>30</v>
      </c>
      <c r="F125" s="886">
        <v>3</v>
      </c>
      <c r="G125" s="886">
        <v>0</v>
      </c>
      <c r="H125" s="1231">
        <v>0</v>
      </c>
      <c r="I125" s="886">
        <v>0</v>
      </c>
      <c r="J125" s="886">
        <v>8</v>
      </c>
      <c r="K125" s="886">
        <v>5</v>
      </c>
      <c r="L125" s="886">
        <v>3</v>
      </c>
      <c r="M125" s="1231">
        <v>1</v>
      </c>
      <c r="N125" s="497"/>
      <c r="O125" s="1710">
        <f t="shared" si="29"/>
        <v>13</v>
      </c>
      <c r="P125" s="1710">
        <f t="shared" si="30"/>
        <v>4</v>
      </c>
      <c r="Q125" s="884"/>
      <c r="R125" s="492">
        <f t="shared" si="31"/>
        <v>0.6</v>
      </c>
      <c r="S125" s="492">
        <f t="shared" si="32"/>
        <v>0.06</v>
      </c>
      <c r="U125" s="473">
        <v>4</v>
      </c>
      <c r="V125" s="473">
        <v>19</v>
      </c>
      <c r="W125" s="473">
        <v>10</v>
      </c>
      <c r="X125" s="473">
        <v>9</v>
      </c>
      <c r="Y125" s="473">
        <v>8</v>
      </c>
      <c r="Z125" s="473">
        <v>0</v>
      </c>
      <c r="AA125" s="473">
        <v>0</v>
      </c>
      <c r="AB125" s="473">
        <v>50</v>
      </c>
      <c r="AC125" s="473">
        <f t="shared" si="33"/>
        <v>23</v>
      </c>
      <c r="AD125" s="473">
        <f t="shared" si="34"/>
        <v>10</v>
      </c>
      <c r="AE125" s="473">
        <f t="shared" si="35"/>
        <v>9</v>
      </c>
      <c r="AF125" s="473">
        <f t="shared" si="36"/>
        <v>8</v>
      </c>
      <c r="AG125" s="473">
        <f t="shared" si="37"/>
        <v>0</v>
      </c>
    </row>
    <row r="127" spans="1:33" ht="31.5" customHeight="1" x14ac:dyDescent="0.3">
      <c r="A127" s="2762" t="s">
        <v>1092</v>
      </c>
      <c r="B127" s="2762"/>
      <c r="C127" s="2762"/>
      <c r="D127" s="2762"/>
      <c r="E127" s="2762"/>
      <c r="F127" s="2762"/>
      <c r="G127" s="2762"/>
      <c r="H127" s="2762"/>
      <c r="I127" s="2762"/>
      <c r="J127" s="2762"/>
      <c r="K127" s="2762"/>
      <c r="L127" s="2762"/>
      <c r="M127" s="2762"/>
      <c r="N127" s="2762"/>
      <c r="O127" s="2762"/>
      <c r="P127" s="2762"/>
      <c r="Q127" s="2762"/>
      <c r="R127" s="2762"/>
      <c r="S127" s="2762"/>
    </row>
    <row r="128" spans="1:33" ht="15" customHeight="1" x14ac:dyDescent="0.3">
      <c r="A128" s="501"/>
      <c r="B128" s="501"/>
      <c r="C128" s="501"/>
      <c r="D128" s="501"/>
      <c r="E128" s="501"/>
      <c r="F128" s="501"/>
      <c r="G128" s="878"/>
      <c r="H128" s="1225"/>
      <c r="I128" s="878"/>
      <c r="J128" s="879"/>
      <c r="K128" s="879"/>
      <c r="L128" s="501"/>
      <c r="M128" s="1702"/>
      <c r="N128" s="501"/>
      <c r="O128" s="878"/>
      <c r="P128" s="1702"/>
      <c r="Q128" s="878"/>
      <c r="R128" s="501"/>
      <c r="S128" s="501"/>
    </row>
    <row r="129" spans="1:19" ht="15" customHeight="1" x14ac:dyDescent="0.3">
      <c r="A129" s="2759" t="s">
        <v>248</v>
      </c>
      <c r="B129" s="2759"/>
      <c r="C129" s="2759"/>
      <c r="D129" s="2759"/>
      <c r="E129" s="2759"/>
      <c r="F129" s="2759"/>
      <c r="G129" s="2759"/>
      <c r="H129" s="2759"/>
      <c r="I129" s="2759"/>
      <c r="J129" s="2759"/>
      <c r="K129" s="2759"/>
      <c r="L129" s="2759"/>
      <c r="M129" s="2759"/>
      <c r="N129" s="2759"/>
      <c r="O129" s="2759"/>
      <c r="P129" s="2759"/>
      <c r="Q129" s="2759"/>
      <c r="R129" s="2759"/>
      <c r="S129" s="2759"/>
    </row>
    <row r="130" spans="1:19" ht="15" customHeight="1" x14ac:dyDescent="0.3">
      <c r="A130" s="498" t="s">
        <v>249</v>
      </c>
      <c r="B130" s="499" t="s">
        <v>250</v>
      </c>
      <c r="C130" s="499"/>
      <c r="D130" s="500"/>
      <c r="E130" s="500"/>
      <c r="F130" s="500"/>
      <c r="G130" s="500"/>
      <c r="H130" s="500"/>
      <c r="I130" s="500"/>
      <c r="J130" s="500"/>
      <c r="K130" s="500"/>
      <c r="L130" s="500"/>
      <c r="M130" s="500"/>
      <c r="N130" s="500"/>
      <c r="O130" s="500"/>
      <c r="P130" s="500"/>
      <c r="Q130" s="500"/>
      <c r="R130" s="500"/>
      <c r="S130" s="500"/>
    </row>
  </sheetData>
  <autoFilter ref="A4:C4"/>
  <sortState ref="A6:AG125">
    <sortCondition ref="A6:A125"/>
  </sortState>
  <mergeCells count="4">
    <mergeCell ref="R3:S3"/>
    <mergeCell ref="A127:S127"/>
    <mergeCell ref="A129:S129"/>
    <mergeCell ref="D3:M3"/>
  </mergeCells>
  <hyperlinks>
    <hyperlink ref="B130" r:id="rId1"/>
  </hyperlinks>
  <pageMargins left="1" right="0" top="0.4" bottom="0.45" header="0.3" footer="0.3"/>
  <pageSetup orientation="portrait" r:id="rId2"/>
  <headerFooter>
    <oddFooter>&amp;C&amp;"Courier New,Regular"&amp;10&amp;P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0"/>
  <sheetViews>
    <sheetView workbookViewId="0">
      <pane ySplit="4" topLeftCell="A5" activePane="bottomLeft" state="frozen"/>
      <selection pane="bottomLeft" sqref="A1:IV65536"/>
    </sheetView>
  </sheetViews>
  <sheetFormatPr defaultColWidth="9" defaultRowHeight="15.6" x14ac:dyDescent="0.3"/>
  <cols>
    <col min="1" max="1" width="11" style="339" customWidth="1"/>
    <col min="2" max="2" width="25.59765625" style="339" bestFit="1" customWidth="1"/>
    <col min="3" max="3" width="14.19921875" style="339" customWidth="1"/>
    <col min="4" max="7" width="7.5" style="339" customWidth="1"/>
    <col min="8" max="11" width="12.19921875" style="339" customWidth="1"/>
    <col min="12" max="16384" width="9" style="339"/>
  </cols>
  <sheetData>
    <row r="1" spans="1:12" x14ac:dyDescent="0.3">
      <c r="A1" s="189" t="s">
        <v>623</v>
      </c>
    </row>
    <row r="3" spans="1:12" ht="32.25" customHeight="1" x14ac:dyDescent="0.3">
      <c r="A3" s="543" t="s">
        <v>4</v>
      </c>
      <c r="B3" s="544" t="s">
        <v>5</v>
      </c>
      <c r="C3" s="545" t="s">
        <v>251</v>
      </c>
      <c r="D3" s="546" t="s">
        <v>269</v>
      </c>
      <c r="E3" s="547" t="s">
        <v>2</v>
      </c>
      <c r="F3" s="548" t="s">
        <v>314</v>
      </c>
      <c r="G3" s="548" t="s">
        <v>315</v>
      </c>
      <c r="H3" s="549"/>
      <c r="I3" s="549"/>
      <c r="J3" s="549"/>
      <c r="K3" s="549"/>
    </row>
    <row r="4" spans="1:12" x14ac:dyDescent="0.3">
      <c r="A4" s="550">
        <v>999</v>
      </c>
      <c r="B4" s="551" t="s">
        <v>9</v>
      </c>
      <c r="C4" s="551"/>
      <c r="D4" s="552">
        <f>SUM(D5:D124)</f>
        <v>639</v>
      </c>
      <c r="E4" s="552">
        <f>SUM(E5:E124)</f>
        <v>314</v>
      </c>
      <c r="F4" s="552">
        <f>SUM(F5:F124)</f>
        <v>201</v>
      </c>
      <c r="G4" s="552">
        <f>SUM(G5:G124)</f>
        <v>124</v>
      </c>
      <c r="H4" s="549"/>
      <c r="I4" s="549"/>
      <c r="J4" s="549"/>
      <c r="K4" s="549"/>
    </row>
    <row r="5" spans="1:12" ht="16.5" customHeight="1" x14ac:dyDescent="0.3">
      <c r="A5" s="553" t="s">
        <v>10</v>
      </c>
      <c r="B5" s="554" t="s">
        <v>11</v>
      </c>
      <c r="C5" s="489" t="s">
        <v>252</v>
      </c>
      <c r="D5" s="555">
        <v>1</v>
      </c>
      <c r="E5" s="556">
        <v>0</v>
      </c>
      <c r="F5" s="557">
        <v>1</v>
      </c>
      <c r="G5" s="557">
        <v>0</v>
      </c>
      <c r="H5" s="558"/>
      <c r="I5" s="559"/>
      <c r="J5" s="558"/>
      <c r="K5" s="558"/>
      <c r="L5" s="558"/>
    </row>
    <row r="6" spans="1:12" ht="16.5" customHeight="1" x14ac:dyDescent="0.3">
      <c r="A6" s="553" t="s">
        <v>12</v>
      </c>
      <c r="B6" s="554" t="s">
        <v>13</v>
      </c>
      <c r="C6" s="489" t="s">
        <v>253</v>
      </c>
      <c r="D6" s="555">
        <v>2</v>
      </c>
      <c r="E6" s="556">
        <v>0</v>
      </c>
      <c r="F6" s="557">
        <v>2</v>
      </c>
      <c r="G6" s="557">
        <v>0</v>
      </c>
      <c r="H6" s="558"/>
      <c r="I6" s="560"/>
      <c r="J6" s="558"/>
      <c r="K6" s="558"/>
      <c r="L6" s="558"/>
    </row>
    <row r="7" spans="1:12" ht="16.5" customHeight="1" x14ac:dyDescent="0.3">
      <c r="A7" s="553" t="s">
        <v>16</v>
      </c>
      <c r="B7" s="554" t="s">
        <v>285</v>
      </c>
      <c r="C7" s="489" t="s">
        <v>253</v>
      </c>
      <c r="D7" s="555">
        <v>5</v>
      </c>
      <c r="E7" s="556">
        <v>1</v>
      </c>
      <c r="F7" s="557">
        <v>3</v>
      </c>
      <c r="G7" s="557">
        <v>1</v>
      </c>
      <c r="H7" s="558"/>
      <c r="I7" s="560"/>
      <c r="J7" s="558"/>
      <c r="K7" s="561"/>
      <c r="L7" s="558"/>
    </row>
    <row r="8" spans="1:12" ht="16.5" customHeight="1" x14ac:dyDescent="0.3">
      <c r="A8" s="553" t="s">
        <v>18</v>
      </c>
      <c r="B8" s="554" t="s">
        <v>19</v>
      </c>
      <c r="C8" s="489" t="s">
        <v>254</v>
      </c>
      <c r="D8" s="555">
        <v>0</v>
      </c>
      <c r="E8" s="556">
        <v>0</v>
      </c>
      <c r="F8" s="557">
        <v>0</v>
      </c>
      <c r="G8" s="557">
        <v>0</v>
      </c>
      <c r="H8" s="558"/>
      <c r="I8" s="561"/>
      <c r="J8" s="558"/>
      <c r="K8" s="558"/>
      <c r="L8" s="558"/>
    </row>
    <row r="9" spans="1:12" ht="16.5" customHeight="1" x14ac:dyDescent="0.3">
      <c r="A9" s="553" t="s">
        <v>20</v>
      </c>
      <c r="B9" s="554" t="s">
        <v>21</v>
      </c>
      <c r="C9" s="489" t="s">
        <v>253</v>
      </c>
      <c r="D9" s="555">
        <v>0</v>
      </c>
      <c r="E9" s="556">
        <v>0</v>
      </c>
      <c r="F9" s="557">
        <v>0</v>
      </c>
      <c r="G9" s="557">
        <v>0</v>
      </c>
      <c r="H9" s="558"/>
      <c r="I9" s="562"/>
      <c r="J9" s="558"/>
      <c r="K9" s="558"/>
      <c r="L9" s="558"/>
    </row>
    <row r="10" spans="1:12" ht="16.5" customHeight="1" x14ac:dyDescent="0.3">
      <c r="A10" s="553" t="s">
        <v>22</v>
      </c>
      <c r="B10" s="554" t="s">
        <v>23</v>
      </c>
      <c r="C10" s="489" t="s">
        <v>253</v>
      </c>
      <c r="D10" s="555">
        <v>0</v>
      </c>
      <c r="E10" s="556">
        <v>0</v>
      </c>
      <c r="F10" s="557">
        <v>0</v>
      </c>
      <c r="G10" s="563">
        <v>0</v>
      </c>
      <c r="H10" s="558"/>
      <c r="I10" s="561"/>
      <c r="J10" s="558"/>
      <c r="K10" s="558"/>
      <c r="L10" s="558"/>
    </row>
    <row r="11" spans="1:12" ht="16.5" customHeight="1" x14ac:dyDescent="0.3">
      <c r="A11" s="553" t="s">
        <v>24</v>
      </c>
      <c r="B11" s="554" t="s">
        <v>25</v>
      </c>
      <c r="C11" s="489" t="s">
        <v>255</v>
      </c>
      <c r="D11" s="555">
        <v>12</v>
      </c>
      <c r="E11" s="556">
        <v>0</v>
      </c>
      <c r="F11" s="557">
        <v>6</v>
      </c>
      <c r="G11" s="557">
        <v>6</v>
      </c>
      <c r="H11" s="558"/>
      <c r="I11" s="562"/>
      <c r="J11" s="558"/>
      <c r="K11" s="562"/>
      <c r="L11" s="558"/>
    </row>
    <row r="12" spans="1:12" ht="16.5" customHeight="1" x14ac:dyDescent="0.3">
      <c r="A12" s="553" t="s">
        <v>26</v>
      </c>
      <c r="B12" s="554" t="s">
        <v>547</v>
      </c>
      <c r="C12" s="489" t="s">
        <v>253</v>
      </c>
      <c r="D12" s="555">
        <v>18</v>
      </c>
      <c r="E12" s="556">
        <v>14</v>
      </c>
      <c r="F12" s="557">
        <v>2</v>
      </c>
      <c r="G12" s="557">
        <v>2</v>
      </c>
      <c r="H12" s="558"/>
      <c r="I12" s="560"/>
      <c r="J12" s="558"/>
      <c r="K12" s="561"/>
      <c r="L12" s="558"/>
    </row>
    <row r="13" spans="1:12" ht="16.5" customHeight="1" x14ac:dyDescent="0.3">
      <c r="A13" s="553" t="s">
        <v>27</v>
      </c>
      <c r="B13" s="554" t="s">
        <v>28</v>
      </c>
      <c r="C13" s="494" t="s">
        <v>253</v>
      </c>
      <c r="D13" s="555">
        <v>0</v>
      </c>
      <c r="E13" s="564">
        <v>0</v>
      </c>
      <c r="F13" s="563">
        <v>0</v>
      </c>
      <c r="G13" s="563">
        <v>0</v>
      </c>
      <c r="H13" s="558"/>
      <c r="I13" s="560"/>
      <c r="J13" s="558"/>
      <c r="K13" s="558"/>
      <c r="L13" s="558"/>
    </row>
    <row r="14" spans="1:12" ht="16.5" customHeight="1" x14ac:dyDescent="0.3">
      <c r="A14" s="553" t="s">
        <v>29</v>
      </c>
      <c r="B14" s="554" t="s">
        <v>295</v>
      </c>
      <c r="C14" s="494" t="s">
        <v>253</v>
      </c>
      <c r="D14" s="555">
        <v>4</v>
      </c>
      <c r="E14" s="556">
        <v>3</v>
      </c>
      <c r="F14" s="557">
        <v>1</v>
      </c>
      <c r="G14" s="557">
        <v>0</v>
      </c>
      <c r="H14" s="565"/>
      <c r="I14" s="560"/>
      <c r="J14" s="558"/>
      <c r="K14" s="558"/>
      <c r="L14" s="558"/>
    </row>
    <row r="15" spans="1:12" ht="16.5" customHeight="1" x14ac:dyDescent="0.3">
      <c r="A15" s="553" t="s">
        <v>30</v>
      </c>
      <c r="B15" s="554" t="s">
        <v>31</v>
      </c>
      <c r="C15" s="494" t="s">
        <v>256</v>
      </c>
      <c r="D15" s="555">
        <v>4</v>
      </c>
      <c r="E15" s="556">
        <v>4</v>
      </c>
      <c r="F15" s="557">
        <v>0</v>
      </c>
      <c r="G15" s="563">
        <v>0</v>
      </c>
      <c r="H15" s="561"/>
      <c r="I15" s="560"/>
      <c r="J15" s="558"/>
      <c r="K15" s="558"/>
      <c r="L15" s="558"/>
    </row>
    <row r="16" spans="1:12" ht="16.5" customHeight="1" x14ac:dyDescent="0.3">
      <c r="A16" s="553" t="s">
        <v>32</v>
      </c>
      <c r="B16" s="554" t="s">
        <v>33</v>
      </c>
      <c r="C16" s="494" t="s">
        <v>253</v>
      </c>
      <c r="D16" s="555">
        <v>0</v>
      </c>
      <c r="E16" s="556">
        <v>0</v>
      </c>
      <c r="F16" s="557">
        <v>0</v>
      </c>
      <c r="G16" s="557">
        <v>0</v>
      </c>
      <c r="H16" s="558"/>
      <c r="I16" s="561"/>
      <c r="J16" s="558"/>
      <c r="K16" s="558"/>
      <c r="L16" s="558"/>
    </row>
    <row r="17" spans="1:12" ht="16.5" customHeight="1" x14ac:dyDescent="0.3">
      <c r="A17" s="553" t="s">
        <v>36</v>
      </c>
      <c r="B17" s="554" t="s">
        <v>37</v>
      </c>
      <c r="C17" s="494" t="s">
        <v>252</v>
      </c>
      <c r="D17" s="555">
        <v>0</v>
      </c>
      <c r="E17" s="556">
        <v>0</v>
      </c>
      <c r="F17" s="557">
        <v>0</v>
      </c>
      <c r="G17" s="563">
        <v>0</v>
      </c>
      <c r="H17" s="558"/>
      <c r="I17" s="558"/>
      <c r="J17" s="558"/>
      <c r="K17" s="558"/>
      <c r="L17" s="558"/>
    </row>
    <row r="18" spans="1:12" ht="16.5" customHeight="1" x14ac:dyDescent="0.3">
      <c r="A18" s="553" t="s">
        <v>38</v>
      </c>
      <c r="B18" s="554" t="s">
        <v>39</v>
      </c>
      <c r="C18" s="494" t="s">
        <v>256</v>
      </c>
      <c r="D18" s="555">
        <v>9</v>
      </c>
      <c r="E18" s="556">
        <v>8</v>
      </c>
      <c r="F18" s="557">
        <v>0</v>
      </c>
      <c r="G18" s="557">
        <v>1</v>
      </c>
      <c r="H18" s="558"/>
      <c r="I18" s="560"/>
      <c r="J18" s="558"/>
      <c r="K18" s="558"/>
      <c r="L18" s="558"/>
    </row>
    <row r="19" spans="1:12" ht="16.5" customHeight="1" x14ac:dyDescent="0.3">
      <c r="A19" s="553" t="s">
        <v>40</v>
      </c>
      <c r="B19" s="554" t="s">
        <v>41</v>
      </c>
      <c r="C19" s="494" t="s">
        <v>254</v>
      </c>
      <c r="D19" s="555">
        <v>1</v>
      </c>
      <c r="E19" s="556">
        <v>0</v>
      </c>
      <c r="F19" s="557">
        <v>1</v>
      </c>
      <c r="G19" s="557">
        <v>0</v>
      </c>
      <c r="H19" s="558"/>
      <c r="I19" s="558"/>
      <c r="J19" s="558"/>
      <c r="K19" s="558"/>
      <c r="L19" s="558"/>
    </row>
    <row r="20" spans="1:12" ht="16.5" customHeight="1" x14ac:dyDescent="0.3">
      <c r="A20" s="553" t="s">
        <v>42</v>
      </c>
      <c r="B20" s="554" t="s">
        <v>43</v>
      </c>
      <c r="C20" s="494" t="s">
        <v>253</v>
      </c>
      <c r="D20" s="555">
        <v>5</v>
      </c>
      <c r="E20" s="556">
        <v>5</v>
      </c>
      <c r="F20" s="557">
        <v>0</v>
      </c>
      <c r="G20" s="557">
        <v>0</v>
      </c>
      <c r="H20" s="565"/>
      <c r="I20" s="560"/>
      <c r="J20" s="558"/>
      <c r="K20" s="558"/>
      <c r="L20" s="558"/>
    </row>
    <row r="21" spans="1:12" ht="16.5" customHeight="1" x14ac:dyDescent="0.3">
      <c r="A21" s="553" t="s">
        <v>44</v>
      </c>
      <c r="B21" s="554" t="s">
        <v>45</v>
      </c>
      <c r="C21" s="494" t="s">
        <v>254</v>
      </c>
      <c r="D21" s="555">
        <v>0</v>
      </c>
      <c r="E21" s="556">
        <v>0</v>
      </c>
      <c r="F21" s="557">
        <v>0</v>
      </c>
      <c r="G21" s="557">
        <v>0</v>
      </c>
      <c r="H21" s="558"/>
      <c r="I21" s="562"/>
      <c r="J21" s="558"/>
      <c r="K21" s="558"/>
      <c r="L21" s="558"/>
    </row>
    <row r="22" spans="1:12" ht="16.5" customHeight="1" x14ac:dyDescent="0.3">
      <c r="A22" s="553" t="s">
        <v>46</v>
      </c>
      <c r="B22" s="554" t="s">
        <v>47</v>
      </c>
      <c r="C22" s="494" t="s">
        <v>256</v>
      </c>
      <c r="D22" s="555">
        <v>5</v>
      </c>
      <c r="E22" s="556">
        <v>5</v>
      </c>
      <c r="F22" s="557">
        <v>0</v>
      </c>
      <c r="G22" s="563">
        <v>0</v>
      </c>
      <c r="H22" s="561"/>
      <c r="I22" s="560"/>
      <c r="J22" s="558"/>
      <c r="K22" s="558"/>
      <c r="L22" s="558"/>
    </row>
    <row r="23" spans="1:12" ht="16.5" customHeight="1" x14ac:dyDescent="0.3">
      <c r="A23" s="553" t="s">
        <v>48</v>
      </c>
      <c r="B23" s="554" t="s">
        <v>257</v>
      </c>
      <c r="C23" s="494" t="s">
        <v>254</v>
      </c>
      <c r="D23" s="555">
        <v>0</v>
      </c>
      <c r="E23" s="564">
        <v>0</v>
      </c>
      <c r="F23" s="563">
        <v>0</v>
      </c>
      <c r="G23" s="557">
        <v>0</v>
      </c>
      <c r="H23" s="558"/>
      <c r="I23" s="561"/>
      <c r="J23" s="558"/>
      <c r="K23" s="558"/>
      <c r="L23" s="558"/>
    </row>
    <row r="24" spans="1:12" ht="16.5" customHeight="1" x14ac:dyDescent="0.3">
      <c r="A24" s="553" t="s">
        <v>50</v>
      </c>
      <c r="B24" s="554" t="s">
        <v>51</v>
      </c>
      <c r="C24" s="494" t="s">
        <v>253</v>
      </c>
      <c r="D24" s="555">
        <v>2</v>
      </c>
      <c r="E24" s="556">
        <v>1</v>
      </c>
      <c r="F24" s="557">
        <v>0</v>
      </c>
      <c r="G24" s="557">
        <v>1</v>
      </c>
      <c r="H24" s="558"/>
      <c r="I24" s="560"/>
      <c r="J24" s="558"/>
      <c r="K24" s="558"/>
      <c r="L24" s="558"/>
    </row>
    <row r="25" spans="1:12" ht="16.5" customHeight="1" x14ac:dyDescent="0.3">
      <c r="A25" s="553" t="s">
        <v>56</v>
      </c>
      <c r="B25" s="554" t="s">
        <v>283</v>
      </c>
      <c r="C25" s="494" t="s">
        <v>254</v>
      </c>
      <c r="D25" s="555">
        <v>6</v>
      </c>
      <c r="E25" s="556">
        <v>2</v>
      </c>
      <c r="F25" s="557">
        <v>3</v>
      </c>
      <c r="G25" s="557">
        <v>1</v>
      </c>
      <c r="H25" s="558"/>
      <c r="I25" s="562"/>
      <c r="J25" s="558"/>
      <c r="K25" s="562"/>
      <c r="L25" s="558"/>
    </row>
    <row r="26" spans="1:12" ht="16.5" customHeight="1" x14ac:dyDescent="0.3">
      <c r="A26" s="553" t="s">
        <v>58</v>
      </c>
      <c r="B26" s="554" t="s">
        <v>59</v>
      </c>
      <c r="C26" s="494" t="s">
        <v>255</v>
      </c>
      <c r="D26" s="566">
        <v>3</v>
      </c>
      <c r="E26" s="567">
        <v>1</v>
      </c>
      <c r="F26" s="563">
        <v>0</v>
      </c>
      <c r="G26" s="563">
        <v>2</v>
      </c>
      <c r="H26" s="558"/>
      <c r="I26" s="561"/>
      <c r="J26" s="558"/>
      <c r="K26" s="558"/>
      <c r="L26" s="558"/>
    </row>
    <row r="27" spans="1:12" ht="16.5" customHeight="1" x14ac:dyDescent="0.3">
      <c r="A27" s="553" t="s">
        <v>60</v>
      </c>
      <c r="B27" s="554" t="s">
        <v>61</v>
      </c>
      <c r="C27" s="494" t="s">
        <v>253</v>
      </c>
      <c r="D27" s="566">
        <v>2</v>
      </c>
      <c r="E27" s="567">
        <v>2</v>
      </c>
      <c r="F27" s="563">
        <v>0</v>
      </c>
      <c r="G27" s="563">
        <v>0</v>
      </c>
      <c r="H27" s="558"/>
      <c r="I27" s="561"/>
      <c r="J27" s="558"/>
      <c r="K27" s="558"/>
      <c r="L27" s="558"/>
    </row>
    <row r="28" spans="1:12" ht="16.5" customHeight="1" x14ac:dyDescent="0.3">
      <c r="A28" s="553" t="s">
        <v>62</v>
      </c>
      <c r="B28" s="554" t="s">
        <v>63</v>
      </c>
      <c r="C28" s="494" t="s">
        <v>255</v>
      </c>
      <c r="D28" s="555">
        <v>5</v>
      </c>
      <c r="E28" s="556">
        <v>0</v>
      </c>
      <c r="F28" s="557">
        <v>0</v>
      </c>
      <c r="G28" s="557">
        <v>5</v>
      </c>
      <c r="H28" s="558"/>
      <c r="I28" s="560"/>
      <c r="J28" s="558"/>
      <c r="K28" s="558"/>
      <c r="L28" s="558"/>
    </row>
    <row r="29" spans="1:12" ht="16.5" customHeight="1" x14ac:dyDescent="0.3">
      <c r="A29" s="553" t="s">
        <v>64</v>
      </c>
      <c r="B29" s="554" t="s">
        <v>65</v>
      </c>
      <c r="C29" s="494" t="s">
        <v>254</v>
      </c>
      <c r="D29" s="555">
        <v>0</v>
      </c>
      <c r="E29" s="556">
        <v>0</v>
      </c>
      <c r="F29" s="557">
        <v>0</v>
      </c>
      <c r="G29" s="557">
        <v>0</v>
      </c>
      <c r="H29" s="558"/>
      <c r="I29" s="561"/>
      <c r="J29" s="558"/>
      <c r="K29" s="561"/>
      <c r="L29" s="558"/>
    </row>
    <row r="30" spans="1:12" ht="16.5" customHeight="1" x14ac:dyDescent="0.3">
      <c r="A30" s="553" t="s">
        <v>68</v>
      </c>
      <c r="B30" s="554" t="s">
        <v>69</v>
      </c>
      <c r="C30" s="494" t="s">
        <v>256</v>
      </c>
      <c r="D30" s="555">
        <v>12</v>
      </c>
      <c r="E30" s="556">
        <v>12</v>
      </c>
      <c r="F30" s="557">
        <v>0</v>
      </c>
      <c r="G30" s="557">
        <v>0</v>
      </c>
      <c r="H30" s="558"/>
      <c r="I30" s="558"/>
      <c r="J30" s="558"/>
      <c r="K30" s="558"/>
      <c r="L30" s="558"/>
    </row>
    <row r="31" spans="1:12" ht="16.5" customHeight="1" x14ac:dyDescent="0.3">
      <c r="A31" s="553" t="s">
        <v>70</v>
      </c>
      <c r="B31" s="554" t="s">
        <v>71</v>
      </c>
      <c r="C31" s="494" t="s">
        <v>252</v>
      </c>
      <c r="D31" s="555">
        <v>1</v>
      </c>
      <c r="E31" s="556">
        <v>0</v>
      </c>
      <c r="F31" s="557">
        <v>1</v>
      </c>
      <c r="G31" s="557">
        <v>0</v>
      </c>
      <c r="H31" s="558"/>
      <c r="I31" s="562"/>
      <c r="J31" s="558"/>
      <c r="K31" s="558"/>
      <c r="L31" s="558"/>
    </row>
    <row r="32" spans="1:12" ht="16.5" customHeight="1" x14ac:dyDescent="0.3">
      <c r="A32" s="553" t="s">
        <v>72</v>
      </c>
      <c r="B32" s="554" t="s">
        <v>73</v>
      </c>
      <c r="C32" s="494" t="s">
        <v>254</v>
      </c>
      <c r="D32" s="555">
        <v>0</v>
      </c>
      <c r="E32" s="564">
        <v>0</v>
      </c>
      <c r="F32" s="563">
        <v>0</v>
      </c>
      <c r="G32" s="557">
        <v>0</v>
      </c>
      <c r="H32" s="558"/>
      <c r="I32" s="561"/>
      <c r="J32" s="558"/>
      <c r="K32" s="562"/>
      <c r="L32" s="558"/>
    </row>
    <row r="33" spans="1:12" ht="16.5" customHeight="1" x14ac:dyDescent="0.3">
      <c r="A33" s="553" t="s">
        <v>74</v>
      </c>
      <c r="B33" s="554" t="s">
        <v>290</v>
      </c>
      <c r="C33" s="494" t="s">
        <v>255</v>
      </c>
      <c r="D33" s="555">
        <v>14</v>
      </c>
      <c r="E33" s="556">
        <v>5</v>
      </c>
      <c r="F33" s="557">
        <v>4</v>
      </c>
      <c r="G33" s="557">
        <v>5</v>
      </c>
      <c r="H33" s="565"/>
      <c r="I33" s="562"/>
      <c r="J33" s="562"/>
      <c r="K33" s="562"/>
      <c r="L33" s="558"/>
    </row>
    <row r="34" spans="1:12" ht="16.5" customHeight="1" x14ac:dyDescent="0.3">
      <c r="A34" s="553" t="s">
        <v>76</v>
      </c>
      <c r="B34" s="554" t="s">
        <v>77</v>
      </c>
      <c r="C34" s="494" t="s">
        <v>255</v>
      </c>
      <c r="D34" s="555">
        <v>2</v>
      </c>
      <c r="E34" s="556">
        <v>2</v>
      </c>
      <c r="F34" s="557">
        <v>0</v>
      </c>
      <c r="G34" s="557">
        <v>0</v>
      </c>
      <c r="H34" s="558"/>
      <c r="I34" s="560"/>
      <c r="J34" s="558"/>
      <c r="K34" s="558"/>
      <c r="L34" s="558"/>
    </row>
    <row r="35" spans="1:12" ht="16.5" customHeight="1" x14ac:dyDescent="0.3">
      <c r="A35" s="553" t="s">
        <v>78</v>
      </c>
      <c r="B35" s="554" t="s">
        <v>79</v>
      </c>
      <c r="C35" s="494" t="s">
        <v>256</v>
      </c>
      <c r="D35" s="555">
        <v>1</v>
      </c>
      <c r="E35" s="556">
        <v>1</v>
      </c>
      <c r="F35" s="557">
        <v>0</v>
      </c>
      <c r="G35" s="563">
        <v>0</v>
      </c>
      <c r="H35" s="558"/>
      <c r="I35" s="558"/>
      <c r="J35" s="558"/>
      <c r="K35" s="558"/>
      <c r="L35" s="558"/>
    </row>
    <row r="36" spans="1:12" ht="16.5" customHeight="1" x14ac:dyDescent="0.3">
      <c r="A36" s="553" t="s">
        <v>80</v>
      </c>
      <c r="B36" s="554" t="s">
        <v>81</v>
      </c>
      <c r="C36" s="494" t="s">
        <v>254</v>
      </c>
      <c r="D36" s="555">
        <v>0</v>
      </c>
      <c r="E36" s="556">
        <v>0</v>
      </c>
      <c r="F36" s="557">
        <v>0</v>
      </c>
      <c r="G36" s="557">
        <v>0</v>
      </c>
      <c r="H36" s="558"/>
      <c r="I36" s="561"/>
      <c r="J36" s="558"/>
      <c r="K36" s="558"/>
      <c r="L36" s="558"/>
    </row>
    <row r="37" spans="1:12" ht="16.5" customHeight="1" x14ac:dyDescent="0.3">
      <c r="A37" s="553" t="s">
        <v>84</v>
      </c>
      <c r="B37" s="554" t="s">
        <v>296</v>
      </c>
      <c r="C37" s="494" t="s">
        <v>253</v>
      </c>
      <c r="D37" s="555">
        <v>12</v>
      </c>
      <c r="E37" s="556">
        <v>8</v>
      </c>
      <c r="F37" s="557">
        <v>1</v>
      </c>
      <c r="G37" s="557">
        <v>3</v>
      </c>
      <c r="H37" s="558"/>
      <c r="I37" s="562"/>
      <c r="J37" s="558"/>
      <c r="K37" s="561"/>
      <c r="L37" s="558"/>
    </row>
    <row r="38" spans="1:12" ht="16.5" customHeight="1" x14ac:dyDescent="0.3">
      <c r="A38" s="553" t="s">
        <v>86</v>
      </c>
      <c r="B38" s="554" t="s">
        <v>87</v>
      </c>
      <c r="C38" s="494" t="s">
        <v>255</v>
      </c>
      <c r="D38" s="555">
        <v>8</v>
      </c>
      <c r="E38" s="556">
        <v>7</v>
      </c>
      <c r="F38" s="557">
        <v>0</v>
      </c>
      <c r="G38" s="557">
        <v>1</v>
      </c>
      <c r="H38" s="561"/>
      <c r="I38" s="560"/>
      <c r="J38" s="561"/>
      <c r="K38" s="560"/>
      <c r="L38" s="558"/>
    </row>
    <row r="39" spans="1:12" ht="16.5" customHeight="1" x14ac:dyDescent="0.3">
      <c r="A39" s="553" t="s">
        <v>92</v>
      </c>
      <c r="B39" s="554" t="s">
        <v>93</v>
      </c>
      <c r="C39" s="494" t="s">
        <v>256</v>
      </c>
      <c r="D39" s="555">
        <v>3</v>
      </c>
      <c r="E39" s="556">
        <v>3</v>
      </c>
      <c r="F39" s="557">
        <v>0</v>
      </c>
      <c r="G39" s="563">
        <v>0</v>
      </c>
      <c r="H39" s="558"/>
      <c r="I39" s="561"/>
      <c r="J39" s="558"/>
      <c r="K39" s="558"/>
      <c r="L39" s="558"/>
    </row>
    <row r="40" spans="1:12" ht="16.5" customHeight="1" x14ac:dyDescent="0.3">
      <c r="A40" s="553" t="s">
        <v>94</v>
      </c>
      <c r="B40" s="554" t="s">
        <v>95</v>
      </c>
      <c r="C40" s="494" t="s">
        <v>252</v>
      </c>
      <c r="D40" s="555">
        <v>1</v>
      </c>
      <c r="E40" s="556">
        <v>1</v>
      </c>
      <c r="F40" s="557">
        <v>0</v>
      </c>
      <c r="G40" s="557">
        <v>0</v>
      </c>
      <c r="H40" s="558"/>
      <c r="I40" s="562"/>
      <c r="J40" s="558"/>
      <c r="K40" s="558"/>
      <c r="L40" s="558"/>
    </row>
    <row r="41" spans="1:12" ht="16.5" customHeight="1" x14ac:dyDescent="0.3">
      <c r="A41" s="553" t="s">
        <v>96</v>
      </c>
      <c r="B41" s="554" t="s">
        <v>97</v>
      </c>
      <c r="C41" s="494" t="s">
        <v>254</v>
      </c>
      <c r="D41" s="555">
        <v>3</v>
      </c>
      <c r="E41" s="556">
        <v>1</v>
      </c>
      <c r="F41" s="557">
        <v>0</v>
      </c>
      <c r="G41" s="557">
        <v>2</v>
      </c>
      <c r="H41" s="558"/>
      <c r="I41" s="558"/>
      <c r="J41" s="558"/>
      <c r="K41" s="558"/>
      <c r="L41" s="558"/>
    </row>
    <row r="42" spans="1:12" ht="16.5" customHeight="1" x14ac:dyDescent="0.3">
      <c r="A42" s="553" t="s">
        <v>98</v>
      </c>
      <c r="B42" s="554" t="s">
        <v>99</v>
      </c>
      <c r="C42" s="494" t="s">
        <v>256</v>
      </c>
      <c r="D42" s="555">
        <v>0</v>
      </c>
      <c r="E42" s="556">
        <v>0</v>
      </c>
      <c r="F42" s="557">
        <v>0</v>
      </c>
      <c r="G42" s="563">
        <v>0</v>
      </c>
      <c r="H42" s="558"/>
      <c r="I42" s="562"/>
      <c r="J42" s="558"/>
      <c r="K42" s="562"/>
      <c r="L42" s="558"/>
    </row>
    <row r="43" spans="1:12" ht="16.5" customHeight="1" x14ac:dyDescent="0.3">
      <c r="A43" s="553" t="s">
        <v>100</v>
      </c>
      <c r="B43" s="554" t="s">
        <v>101</v>
      </c>
      <c r="C43" s="494" t="s">
        <v>255</v>
      </c>
      <c r="D43" s="555">
        <v>0</v>
      </c>
      <c r="E43" s="556">
        <v>0</v>
      </c>
      <c r="F43" s="557">
        <v>0</v>
      </c>
      <c r="G43" s="557">
        <v>0</v>
      </c>
      <c r="H43" s="558"/>
      <c r="I43" s="560"/>
      <c r="J43" s="558"/>
      <c r="K43" s="558"/>
      <c r="L43" s="558"/>
    </row>
    <row r="44" spans="1:12" ht="16.5" customHeight="1" x14ac:dyDescent="0.3">
      <c r="A44" s="553" t="s">
        <v>102</v>
      </c>
      <c r="B44" s="554" t="s">
        <v>103</v>
      </c>
      <c r="C44" s="494" t="s">
        <v>252</v>
      </c>
      <c r="D44" s="555">
        <v>0</v>
      </c>
      <c r="E44" s="564">
        <v>0</v>
      </c>
      <c r="F44" s="563">
        <v>0</v>
      </c>
      <c r="G44" s="557">
        <v>0</v>
      </c>
      <c r="H44" s="558"/>
      <c r="I44" s="561"/>
      <c r="J44" s="558"/>
      <c r="K44" s="561"/>
      <c r="L44" s="558"/>
    </row>
    <row r="45" spans="1:12" ht="16.5" customHeight="1" x14ac:dyDescent="0.3">
      <c r="A45" s="553" t="s">
        <v>104</v>
      </c>
      <c r="B45" s="554" t="s">
        <v>297</v>
      </c>
      <c r="C45" s="494" t="s">
        <v>253</v>
      </c>
      <c r="D45" s="555">
        <v>5</v>
      </c>
      <c r="E45" s="556">
        <v>0</v>
      </c>
      <c r="F45" s="557">
        <v>5</v>
      </c>
      <c r="G45" s="557">
        <v>0</v>
      </c>
      <c r="H45" s="558"/>
      <c r="I45" s="560"/>
      <c r="J45" s="558"/>
      <c r="K45" s="561"/>
      <c r="L45" s="558"/>
    </row>
    <row r="46" spans="1:12" ht="16.5" customHeight="1" x14ac:dyDescent="0.3">
      <c r="A46" s="553" t="s">
        <v>108</v>
      </c>
      <c r="B46" s="554" t="s">
        <v>109</v>
      </c>
      <c r="C46" s="494" t="s">
        <v>254</v>
      </c>
      <c r="D46" s="555">
        <v>3</v>
      </c>
      <c r="E46" s="556">
        <v>2</v>
      </c>
      <c r="F46" s="557">
        <v>0</v>
      </c>
      <c r="G46" s="557">
        <v>1</v>
      </c>
      <c r="H46" s="558"/>
      <c r="I46" s="562"/>
      <c r="J46" s="558"/>
      <c r="K46" s="558"/>
      <c r="L46" s="558"/>
    </row>
    <row r="47" spans="1:12" ht="16.5" customHeight="1" x14ac:dyDescent="0.3">
      <c r="A47" s="553" t="s">
        <v>110</v>
      </c>
      <c r="B47" s="554" t="s">
        <v>111</v>
      </c>
      <c r="C47" s="494" t="s">
        <v>254</v>
      </c>
      <c r="D47" s="555">
        <v>7</v>
      </c>
      <c r="E47" s="556">
        <v>1</v>
      </c>
      <c r="F47" s="557">
        <v>2</v>
      </c>
      <c r="G47" s="557">
        <v>4</v>
      </c>
      <c r="H47" s="558"/>
      <c r="I47" s="562"/>
      <c r="J47" s="558"/>
      <c r="K47" s="558"/>
      <c r="L47" s="558"/>
    </row>
    <row r="48" spans="1:12" ht="16.5" customHeight="1" x14ac:dyDescent="0.3">
      <c r="A48" s="553" t="s">
        <v>112</v>
      </c>
      <c r="B48" s="554" t="s">
        <v>288</v>
      </c>
      <c r="C48" s="494" t="s">
        <v>253</v>
      </c>
      <c r="D48" s="555">
        <v>3</v>
      </c>
      <c r="E48" s="556">
        <v>1</v>
      </c>
      <c r="F48" s="557">
        <v>2</v>
      </c>
      <c r="G48" s="557">
        <v>0</v>
      </c>
      <c r="H48" s="558"/>
      <c r="I48" s="560"/>
      <c r="J48" s="558"/>
      <c r="K48" s="558"/>
      <c r="L48" s="558"/>
    </row>
    <row r="49" spans="1:12" ht="16.5" customHeight="1" x14ac:dyDescent="0.3">
      <c r="A49" s="553" t="s">
        <v>114</v>
      </c>
      <c r="B49" s="554" t="s">
        <v>115</v>
      </c>
      <c r="C49" s="494" t="s">
        <v>253</v>
      </c>
      <c r="D49" s="566">
        <v>0</v>
      </c>
      <c r="E49" s="567">
        <v>0</v>
      </c>
      <c r="F49" s="563">
        <v>0</v>
      </c>
      <c r="G49" s="563">
        <v>0</v>
      </c>
      <c r="H49" s="558"/>
      <c r="I49" s="558"/>
      <c r="J49" s="558"/>
      <c r="K49" s="558"/>
      <c r="L49" s="558"/>
    </row>
    <row r="50" spans="1:12" ht="16.5" customHeight="1" x14ac:dyDescent="0.3">
      <c r="A50" s="553" t="s">
        <v>118</v>
      </c>
      <c r="B50" s="554" t="s">
        <v>119</v>
      </c>
      <c r="C50" s="494" t="s">
        <v>252</v>
      </c>
      <c r="D50" s="555">
        <v>0</v>
      </c>
      <c r="E50" s="556">
        <v>0</v>
      </c>
      <c r="F50" s="557">
        <v>0</v>
      </c>
      <c r="G50" s="557">
        <v>0</v>
      </c>
      <c r="H50" s="558"/>
      <c r="I50" s="561"/>
      <c r="J50" s="558"/>
      <c r="K50" s="561"/>
      <c r="L50" s="558"/>
    </row>
    <row r="51" spans="1:12" ht="16.5" customHeight="1" x14ac:dyDescent="0.3">
      <c r="A51" s="553" t="s">
        <v>120</v>
      </c>
      <c r="B51" s="554" t="s">
        <v>121</v>
      </c>
      <c r="C51" s="494" t="s">
        <v>252</v>
      </c>
      <c r="D51" s="555">
        <v>3</v>
      </c>
      <c r="E51" s="556">
        <v>3</v>
      </c>
      <c r="F51" s="557">
        <v>0</v>
      </c>
      <c r="G51" s="557">
        <v>0</v>
      </c>
      <c r="H51" s="558"/>
      <c r="I51" s="560"/>
      <c r="J51" s="558"/>
      <c r="K51" s="558"/>
      <c r="L51" s="558"/>
    </row>
    <row r="52" spans="1:12" ht="16.5" customHeight="1" x14ac:dyDescent="0.3">
      <c r="A52" s="553" t="s">
        <v>122</v>
      </c>
      <c r="B52" s="554" t="s">
        <v>259</v>
      </c>
      <c r="C52" s="494" t="s">
        <v>254</v>
      </c>
      <c r="D52" s="555">
        <v>2</v>
      </c>
      <c r="E52" s="556">
        <v>2</v>
      </c>
      <c r="F52" s="557">
        <v>0</v>
      </c>
      <c r="G52" s="557">
        <v>0</v>
      </c>
      <c r="H52" s="558"/>
      <c r="I52" s="558"/>
      <c r="J52" s="558"/>
      <c r="K52" s="558"/>
      <c r="L52" s="558"/>
    </row>
    <row r="53" spans="1:12" ht="16.5" customHeight="1" x14ac:dyDescent="0.3">
      <c r="A53" s="553" t="s">
        <v>124</v>
      </c>
      <c r="B53" s="554" t="s">
        <v>125</v>
      </c>
      <c r="C53" s="494" t="s">
        <v>255</v>
      </c>
      <c r="D53" s="555">
        <v>0</v>
      </c>
      <c r="E53" s="556">
        <v>0</v>
      </c>
      <c r="F53" s="557">
        <v>0</v>
      </c>
      <c r="G53" s="557">
        <v>0</v>
      </c>
      <c r="H53" s="558"/>
      <c r="I53" s="561"/>
      <c r="J53" s="558"/>
      <c r="K53" s="558"/>
      <c r="L53" s="558"/>
    </row>
    <row r="54" spans="1:12" ht="16.5" customHeight="1" x14ac:dyDescent="0.3">
      <c r="A54" s="553" t="s">
        <v>126</v>
      </c>
      <c r="B54" s="554" t="s">
        <v>127</v>
      </c>
      <c r="C54" s="494" t="s">
        <v>254</v>
      </c>
      <c r="D54" s="555">
        <v>0</v>
      </c>
      <c r="E54" s="556">
        <v>0</v>
      </c>
      <c r="F54" s="557">
        <v>0</v>
      </c>
      <c r="G54" s="557">
        <v>0</v>
      </c>
      <c r="H54" s="558"/>
      <c r="I54" s="561"/>
      <c r="J54" s="558"/>
      <c r="K54" s="558"/>
      <c r="L54" s="558"/>
    </row>
    <row r="55" spans="1:12" ht="16.5" customHeight="1" x14ac:dyDescent="0.3">
      <c r="A55" s="553" t="s">
        <v>128</v>
      </c>
      <c r="B55" s="554" t="s">
        <v>129</v>
      </c>
      <c r="C55" s="494" t="s">
        <v>254</v>
      </c>
      <c r="D55" s="555">
        <v>1</v>
      </c>
      <c r="E55" s="556">
        <v>1</v>
      </c>
      <c r="F55" s="557">
        <v>0</v>
      </c>
      <c r="G55" s="557">
        <v>0</v>
      </c>
      <c r="H55" s="558"/>
      <c r="I55" s="561"/>
      <c r="J55" s="558"/>
      <c r="K55" s="558"/>
      <c r="L55" s="558"/>
    </row>
    <row r="56" spans="1:12" ht="16.5" customHeight="1" x14ac:dyDescent="0.3">
      <c r="A56" s="553" t="s">
        <v>130</v>
      </c>
      <c r="B56" s="554" t="s">
        <v>131</v>
      </c>
      <c r="C56" s="494" t="s">
        <v>256</v>
      </c>
      <c r="D56" s="555">
        <v>8</v>
      </c>
      <c r="E56" s="556">
        <v>7</v>
      </c>
      <c r="F56" s="557">
        <v>0</v>
      </c>
      <c r="G56" s="557">
        <v>1</v>
      </c>
      <c r="H56" s="558"/>
      <c r="I56" s="560"/>
      <c r="J56" s="558"/>
      <c r="K56" s="558"/>
      <c r="L56" s="558"/>
    </row>
    <row r="57" spans="1:12" ht="16.5" customHeight="1" x14ac:dyDescent="0.3">
      <c r="A57" s="553" t="s">
        <v>132</v>
      </c>
      <c r="B57" s="554" t="s">
        <v>133</v>
      </c>
      <c r="C57" s="494" t="s">
        <v>255</v>
      </c>
      <c r="D57" s="555">
        <v>10</v>
      </c>
      <c r="E57" s="556">
        <v>2</v>
      </c>
      <c r="F57" s="557">
        <v>1</v>
      </c>
      <c r="G57" s="557">
        <v>7</v>
      </c>
      <c r="H57" s="565"/>
      <c r="I57" s="560"/>
      <c r="J57" s="558"/>
      <c r="K57" s="558"/>
      <c r="L57" s="558"/>
    </row>
    <row r="58" spans="1:12" ht="16.5" customHeight="1" x14ac:dyDescent="0.3">
      <c r="A58" s="553" t="s">
        <v>134</v>
      </c>
      <c r="B58" s="554" t="s">
        <v>135</v>
      </c>
      <c r="C58" s="494" t="s">
        <v>255</v>
      </c>
      <c r="D58" s="555">
        <v>14</v>
      </c>
      <c r="E58" s="556">
        <v>8</v>
      </c>
      <c r="F58" s="557">
        <v>3</v>
      </c>
      <c r="G58" s="557">
        <v>3</v>
      </c>
      <c r="H58" s="558"/>
      <c r="I58" s="562"/>
      <c r="J58" s="558"/>
      <c r="K58" s="558"/>
      <c r="L58" s="558"/>
    </row>
    <row r="59" spans="1:12" ht="16.5" customHeight="1" x14ac:dyDescent="0.3">
      <c r="A59" s="553" t="s">
        <v>136</v>
      </c>
      <c r="B59" s="554" t="s">
        <v>137</v>
      </c>
      <c r="C59" s="494" t="s">
        <v>254</v>
      </c>
      <c r="D59" s="555">
        <v>5</v>
      </c>
      <c r="E59" s="564">
        <v>0</v>
      </c>
      <c r="F59" s="563">
        <v>4</v>
      </c>
      <c r="G59" s="557">
        <v>1</v>
      </c>
      <c r="H59" s="558"/>
      <c r="I59" s="562"/>
      <c r="J59" s="558"/>
      <c r="K59" s="558"/>
      <c r="L59" s="558"/>
    </row>
    <row r="60" spans="1:12" ht="16.5" customHeight="1" x14ac:dyDescent="0.3">
      <c r="A60" s="553" t="s">
        <v>140</v>
      </c>
      <c r="B60" s="554" t="s">
        <v>141</v>
      </c>
      <c r="C60" s="494" t="s">
        <v>255</v>
      </c>
      <c r="D60" s="555">
        <v>0</v>
      </c>
      <c r="E60" s="556">
        <v>0</v>
      </c>
      <c r="F60" s="557">
        <v>0</v>
      </c>
      <c r="G60" s="557">
        <v>0</v>
      </c>
      <c r="H60" s="558"/>
      <c r="I60" s="558"/>
      <c r="J60" s="558"/>
      <c r="K60" s="558"/>
      <c r="L60" s="558"/>
    </row>
    <row r="61" spans="1:12" ht="16.5" customHeight="1" x14ac:dyDescent="0.3">
      <c r="A61" s="553" t="s">
        <v>146</v>
      </c>
      <c r="B61" s="554" t="s">
        <v>147</v>
      </c>
      <c r="C61" s="494" t="s">
        <v>252</v>
      </c>
      <c r="D61" s="555">
        <v>0</v>
      </c>
      <c r="E61" s="556">
        <v>0</v>
      </c>
      <c r="F61" s="557">
        <v>0</v>
      </c>
      <c r="G61" s="557">
        <v>0</v>
      </c>
      <c r="H61" s="558"/>
      <c r="I61" s="561"/>
      <c r="J61" s="558"/>
      <c r="K61" s="558"/>
      <c r="L61" s="558"/>
    </row>
    <row r="62" spans="1:12" ht="16.5" customHeight="1" x14ac:dyDescent="0.3">
      <c r="A62" s="553" t="s">
        <v>148</v>
      </c>
      <c r="B62" s="554" t="s">
        <v>149</v>
      </c>
      <c r="C62" s="494" t="s">
        <v>253</v>
      </c>
      <c r="D62" s="555">
        <v>3</v>
      </c>
      <c r="E62" s="556">
        <v>0</v>
      </c>
      <c r="F62" s="557">
        <v>3</v>
      </c>
      <c r="G62" s="557">
        <v>0</v>
      </c>
      <c r="H62" s="558"/>
      <c r="I62" s="562"/>
      <c r="J62" s="558"/>
      <c r="K62" s="558"/>
      <c r="L62" s="558"/>
    </row>
    <row r="63" spans="1:12" ht="16.5" customHeight="1" x14ac:dyDescent="0.3">
      <c r="A63" s="553" t="s">
        <v>150</v>
      </c>
      <c r="B63" s="554" t="s">
        <v>151</v>
      </c>
      <c r="C63" s="494" t="s">
        <v>254</v>
      </c>
      <c r="D63" s="555">
        <v>3</v>
      </c>
      <c r="E63" s="564">
        <v>1</v>
      </c>
      <c r="F63" s="563">
        <v>2</v>
      </c>
      <c r="G63" s="557">
        <v>0</v>
      </c>
      <c r="H63" s="558"/>
      <c r="I63" s="562"/>
      <c r="J63" s="558"/>
      <c r="K63" s="558"/>
      <c r="L63" s="558"/>
    </row>
    <row r="64" spans="1:12" ht="16.5" customHeight="1" x14ac:dyDescent="0.3">
      <c r="A64" s="553" t="s">
        <v>152</v>
      </c>
      <c r="B64" s="554" t="s">
        <v>153</v>
      </c>
      <c r="C64" s="494" t="s">
        <v>256</v>
      </c>
      <c r="D64" s="555">
        <v>15</v>
      </c>
      <c r="E64" s="556">
        <v>7</v>
      </c>
      <c r="F64" s="557">
        <v>3</v>
      </c>
      <c r="G64" s="557">
        <v>5</v>
      </c>
      <c r="H64" s="558"/>
      <c r="I64" s="558"/>
      <c r="J64" s="558"/>
      <c r="K64" s="562"/>
      <c r="L64" s="558"/>
    </row>
    <row r="65" spans="1:12" ht="16.5" customHeight="1" x14ac:dyDescent="0.3">
      <c r="A65" s="553" t="s">
        <v>154</v>
      </c>
      <c r="B65" s="554" t="s">
        <v>155</v>
      </c>
      <c r="C65" s="494" t="s">
        <v>253</v>
      </c>
      <c r="D65" s="566">
        <v>0</v>
      </c>
      <c r="E65" s="567">
        <v>0</v>
      </c>
      <c r="F65" s="563">
        <v>0</v>
      </c>
      <c r="G65" s="563">
        <v>0</v>
      </c>
      <c r="H65" s="558"/>
      <c r="I65" s="558"/>
      <c r="J65" s="558"/>
      <c r="K65" s="558"/>
      <c r="L65" s="558"/>
    </row>
    <row r="66" spans="1:12" ht="16.5" customHeight="1" x14ac:dyDescent="0.3">
      <c r="A66" s="553" t="s">
        <v>156</v>
      </c>
      <c r="B66" s="554" t="s">
        <v>157</v>
      </c>
      <c r="C66" s="494" t="s">
        <v>254</v>
      </c>
      <c r="D66" s="555">
        <v>1</v>
      </c>
      <c r="E66" s="556">
        <v>1</v>
      </c>
      <c r="F66" s="557">
        <v>0</v>
      </c>
      <c r="G66" s="563">
        <v>0</v>
      </c>
      <c r="H66" s="558"/>
      <c r="I66" s="561"/>
      <c r="J66" s="558"/>
      <c r="K66" s="558"/>
      <c r="L66" s="558"/>
    </row>
    <row r="67" spans="1:12" ht="16.5" customHeight="1" x14ac:dyDescent="0.3">
      <c r="A67" s="553" t="s">
        <v>162</v>
      </c>
      <c r="B67" s="554" t="s">
        <v>163</v>
      </c>
      <c r="C67" s="494" t="s">
        <v>252</v>
      </c>
      <c r="D67" s="555">
        <v>0</v>
      </c>
      <c r="E67" s="556">
        <v>0</v>
      </c>
      <c r="F67" s="557">
        <v>0</v>
      </c>
      <c r="G67" s="557">
        <v>0</v>
      </c>
      <c r="H67" s="561"/>
      <c r="I67" s="561"/>
      <c r="J67" s="558"/>
      <c r="K67" s="558"/>
      <c r="L67" s="558"/>
    </row>
    <row r="68" spans="1:12" ht="16.5" customHeight="1" x14ac:dyDescent="0.3">
      <c r="A68" s="553" t="s">
        <v>164</v>
      </c>
      <c r="B68" s="554" t="s">
        <v>165</v>
      </c>
      <c r="C68" s="494" t="s">
        <v>254</v>
      </c>
      <c r="D68" s="555">
        <v>0</v>
      </c>
      <c r="E68" s="556">
        <v>0</v>
      </c>
      <c r="F68" s="557">
        <v>0</v>
      </c>
      <c r="G68" s="557">
        <v>0</v>
      </c>
      <c r="H68" s="558"/>
      <c r="I68" s="561"/>
      <c r="J68" s="558"/>
      <c r="K68" s="558"/>
      <c r="L68" s="558"/>
    </row>
    <row r="69" spans="1:12" ht="16.5" customHeight="1" x14ac:dyDescent="0.3">
      <c r="A69" s="553" t="s">
        <v>168</v>
      </c>
      <c r="B69" s="554" t="s">
        <v>169</v>
      </c>
      <c r="C69" s="494" t="s">
        <v>254</v>
      </c>
      <c r="D69" s="555">
        <v>1</v>
      </c>
      <c r="E69" s="556">
        <v>0</v>
      </c>
      <c r="F69" s="557">
        <v>1</v>
      </c>
      <c r="G69" s="557">
        <v>0</v>
      </c>
      <c r="H69" s="558"/>
      <c r="I69" s="560"/>
      <c r="J69" s="558"/>
      <c r="K69" s="558"/>
      <c r="L69" s="558"/>
    </row>
    <row r="70" spans="1:12" ht="16.5" customHeight="1" x14ac:dyDescent="0.3">
      <c r="A70" s="553" t="s">
        <v>170</v>
      </c>
      <c r="B70" s="554" t="s">
        <v>171</v>
      </c>
      <c r="C70" s="494" t="s">
        <v>255</v>
      </c>
      <c r="D70" s="555">
        <v>3</v>
      </c>
      <c r="E70" s="556">
        <v>3</v>
      </c>
      <c r="F70" s="557">
        <v>0</v>
      </c>
      <c r="G70" s="557">
        <v>0</v>
      </c>
      <c r="H70" s="558"/>
      <c r="I70" s="560"/>
      <c r="J70" s="558"/>
      <c r="K70" s="561"/>
      <c r="L70" s="558"/>
    </row>
    <row r="71" spans="1:12" ht="16.5" customHeight="1" x14ac:dyDescent="0.3">
      <c r="A71" s="553" t="s">
        <v>172</v>
      </c>
      <c r="B71" s="554" t="s">
        <v>173</v>
      </c>
      <c r="C71" s="494" t="s">
        <v>255</v>
      </c>
      <c r="D71" s="555">
        <v>2</v>
      </c>
      <c r="E71" s="556">
        <v>2</v>
      </c>
      <c r="F71" s="557">
        <v>0</v>
      </c>
      <c r="G71" s="563">
        <v>0</v>
      </c>
      <c r="H71" s="558"/>
      <c r="I71" s="558"/>
      <c r="J71" s="558"/>
      <c r="K71" s="558"/>
      <c r="L71" s="558"/>
    </row>
    <row r="72" spans="1:12" ht="16.5" customHeight="1" x14ac:dyDescent="0.3">
      <c r="A72" s="553" t="s">
        <v>174</v>
      </c>
      <c r="B72" s="554" t="s">
        <v>175</v>
      </c>
      <c r="C72" s="494" t="s">
        <v>256</v>
      </c>
      <c r="D72" s="555">
        <v>0</v>
      </c>
      <c r="E72" s="556">
        <v>0</v>
      </c>
      <c r="F72" s="557">
        <v>0</v>
      </c>
      <c r="G72" s="563">
        <v>0</v>
      </c>
      <c r="H72" s="558"/>
      <c r="I72" s="558"/>
      <c r="J72" s="558"/>
      <c r="K72" s="558"/>
      <c r="L72" s="558"/>
    </row>
    <row r="73" spans="1:12" ht="16.5" customHeight="1" x14ac:dyDescent="0.3">
      <c r="A73" s="553" t="s">
        <v>178</v>
      </c>
      <c r="B73" s="554" t="s">
        <v>179</v>
      </c>
      <c r="C73" s="494" t="s">
        <v>253</v>
      </c>
      <c r="D73" s="555">
        <v>0</v>
      </c>
      <c r="E73" s="556">
        <v>0</v>
      </c>
      <c r="F73" s="557">
        <v>0</v>
      </c>
      <c r="G73" s="557">
        <v>0</v>
      </c>
      <c r="H73" s="558"/>
      <c r="I73" s="562"/>
      <c r="J73" s="558"/>
      <c r="K73" s="562"/>
      <c r="L73" s="558"/>
    </row>
    <row r="74" spans="1:12" ht="16.5" customHeight="1" x14ac:dyDescent="0.3">
      <c r="A74" s="553" t="s">
        <v>182</v>
      </c>
      <c r="B74" s="554" t="s">
        <v>183</v>
      </c>
      <c r="C74" s="494" t="s">
        <v>254</v>
      </c>
      <c r="D74" s="555">
        <v>0</v>
      </c>
      <c r="E74" s="556">
        <v>0</v>
      </c>
      <c r="F74" s="557">
        <v>0</v>
      </c>
      <c r="G74" s="563">
        <v>0</v>
      </c>
      <c r="H74" s="558"/>
      <c r="I74" s="562"/>
      <c r="J74" s="558"/>
      <c r="K74" s="558"/>
      <c r="L74" s="558"/>
    </row>
    <row r="75" spans="1:12" ht="16.5" customHeight="1" x14ac:dyDescent="0.3">
      <c r="A75" s="553" t="s">
        <v>184</v>
      </c>
      <c r="B75" s="554" t="s">
        <v>185</v>
      </c>
      <c r="C75" s="494" t="s">
        <v>254</v>
      </c>
      <c r="D75" s="555">
        <v>7</v>
      </c>
      <c r="E75" s="556">
        <v>3</v>
      </c>
      <c r="F75" s="557">
        <v>3</v>
      </c>
      <c r="G75" s="557">
        <v>1</v>
      </c>
      <c r="H75" s="558"/>
      <c r="I75" s="560"/>
      <c r="J75" s="558"/>
      <c r="K75" s="558"/>
      <c r="L75" s="558"/>
    </row>
    <row r="76" spans="1:12" ht="16.5" customHeight="1" x14ac:dyDescent="0.3">
      <c r="A76" s="553" t="s">
        <v>186</v>
      </c>
      <c r="B76" s="554" t="s">
        <v>187</v>
      </c>
      <c r="C76" s="494" t="s">
        <v>252</v>
      </c>
      <c r="D76" s="555">
        <v>2</v>
      </c>
      <c r="E76" s="556">
        <v>2</v>
      </c>
      <c r="F76" s="557">
        <v>0</v>
      </c>
      <c r="G76" s="557">
        <v>0</v>
      </c>
      <c r="H76" s="558"/>
      <c r="I76" s="561"/>
      <c r="J76" s="558"/>
      <c r="K76" s="558"/>
      <c r="L76" s="558"/>
    </row>
    <row r="77" spans="1:12" ht="16.5" customHeight="1" x14ac:dyDescent="0.3">
      <c r="A77" s="553" t="s">
        <v>188</v>
      </c>
      <c r="B77" s="554" t="s">
        <v>189</v>
      </c>
      <c r="C77" s="494" t="s">
        <v>255</v>
      </c>
      <c r="D77" s="555">
        <v>7</v>
      </c>
      <c r="E77" s="556">
        <v>1</v>
      </c>
      <c r="F77" s="557">
        <v>6</v>
      </c>
      <c r="G77" s="557">
        <v>0</v>
      </c>
      <c r="H77" s="558"/>
      <c r="I77" s="562"/>
      <c r="J77" s="558"/>
      <c r="K77" s="560"/>
      <c r="L77" s="558"/>
    </row>
    <row r="78" spans="1:12" ht="16.5" customHeight="1" x14ac:dyDescent="0.3">
      <c r="A78" s="553" t="s">
        <v>190</v>
      </c>
      <c r="B78" s="554" t="s">
        <v>191</v>
      </c>
      <c r="C78" s="494" t="s">
        <v>256</v>
      </c>
      <c r="D78" s="555">
        <v>12</v>
      </c>
      <c r="E78" s="556">
        <v>8</v>
      </c>
      <c r="F78" s="557">
        <v>0</v>
      </c>
      <c r="G78" s="557">
        <v>4</v>
      </c>
      <c r="H78" s="558"/>
      <c r="I78" s="562"/>
      <c r="J78" s="558"/>
      <c r="K78" s="558"/>
      <c r="L78" s="558"/>
    </row>
    <row r="79" spans="1:12" ht="16.5" customHeight="1" x14ac:dyDescent="0.3">
      <c r="A79" s="553" t="s">
        <v>194</v>
      </c>
      <c r="B79" s="554" t="s">
        <v>195</v>
      </c>
      <c r="C79" s="494" t="s">
        <v>255</v>
      </c>
      <c r="D79" s="555">
        <v>0</v>
      </c>
      <c r="E79" s="556">
        <v>0</v>
      </c>
      <c r="F79" s="557">
        <v>0</v>
      </c>
      <c r="G79" s="563">
        <v>0</v>
      </c>
      <c r="H79" s="558"/>
      <c r="I79" s="558"/>
      <c r="J79" s="558"/>
      <c r="K79" s="558"/>
      <c r="L79" s="558"/>
    </row>
    <row r="80" spans="1:12" ht="16.5" customHeight="1" x14ac:dyDescent="0.3">
      <c r="A80" s="553" t="s">
        <v>198</v>
      </c>
      <c r="B80" s="554" t="s">
        <v>199</v>
      </c>
      <c r="C80" s="494" t="s">
        <v>254</v>
      </c>
      <c r="D80" s="555">
        <v>0</v>
      </c>
      <c r="E80" s="556">
        <v>0</v>
      </c>
      <c r="F80" s="557">
        <v>0</v>
      </c>
      <c r="G80" s="557">
        <v>0</v>
      </c>
      <c r="H80" s="558"/>
      <c r="I80" s="561"/>
      <c r="J80" s="558"/>
      <c r="K80" s="558"/>
      <c r="L80" s="558"/>
    </row>
    <row r="81" spans="1:12" ht="16.5" customHeight="1" x14ac:dyDescent="0.3">
      <c r="A81" s="553" t="s">
        <v>202</v>
      </c>
      <c r="B81" s="554" t="s">
        <v>203</v>
      </c>
      <c r="C81" s="494" t="s">
        <v>253</v>
      </c>
      <c r="D81" s="555">
        <v>8</v>
      </c>
      <c r="E81" s="556">
        <v>8</v>
      </c>
      <c r="F81" s="557">
        <v>0</v>
      </c>
      <c r="G81" s="557">
        <v>0</v>
      </c>
      <c r="H81" s="558"/>
      <c r="I81" s="560"/>
      <c r="J81" s="561"/>
      <c r="K81" s="558"/>
      <c r="L81" s="558"/>
    </row>
    <row r="82" spans="1:12" ht="16.5" customHeight="1" x14ac:dyDescent="0.3">
      <c r="A82" s="553" t="s">
        <v>204</v>
      </c>
      <c r="B82" s="554" t="s">
        <v>205</v>
      </c>
      <c r="C82" s="494" t="s">
        <v>253</v>
      </c>
      <c r="D82" s="555">
        <v>1</v>
      </c>
      <c r="E82" s="556">
        <v>1</v>
      </c>
      <c r="F82" s="557">
        <v>0</v>
      </c>
      <c r="G82" s="563">
        <v>0</v>
      </c>
      <c r="H82" s="558"/>
      <c r="I82" s="562"/>
      <c r="J82" s="558"/>
      <c r="K82" s="558"/>
      <c r="L82" s="558"/>
    </row>
    <row r="83" spans="1:12" ht="16.5" customHeight="1" x14ac:dyDescent="0.3">
      <c r="A83" s="553" t="s">
        <v>206</v>
      </c>
      <c r="B83" s="554" t="s">
        <v>207</v>
      </c>
      <c r="C83" s="494" t="s">
        <v>255</v>
      </c>
      <c r="D83" s="555">
        <v>36</v>
      </c>
      <c r="E83" s="556">
        <v>18</v>
      </c>
      <c r="F83" s="557">
        <v>1</v>
      </c>
      <c r="G83" s="557">
        <v>17</v>
      </c>
      <c r="H83" s="558"/>
      <c r="I83" s="562"/>
      <c r="J83" s="558"/>
      <c r="K83" s="562"/>
      <c r="L83" s="558"/>
    </row>
    <row r="84" spans="1:12" ht="16.5" customHeight="1" x14ac:dyDescent="0.3">
      <c r="A84" s="553" t="s">
        <v>208</v>
      </c>
      <c r="B84" s="554" t="s">
        <v>209</v>
      </c>
      <c r="C84" s="494" t="s">
        <v>256</v>
      </c>
      <c r="D84" s="555">
        <v>14</v>
      </c>
      <c r="E84" s="556">
        <v>14</v>
      </c>
      <c r="F84" s="557">
        <v>0</v>
      </c>
      <c r="G84" s="563">
        <v>0</v>
      </c>
      <c r="H84" s="558"/>
      <c r="I84" s="561"/>
      <c r="J84" s="558"/>
      <c r="K84" s="558"/>
      <c r="L84" s="558"/>
    </row>
    <row r="85" spans="1:12" ht="16.5" customHeight="1" x14ac:dyDescent="0.3">
      <c r="A85" s="553" t="s">
        <v>210</v>
      </c>
      <c r="B85" s="554" t="s">
        <v>211</v>
      </c>
      <c r="C85" s="494" t="s">
        <v>256</v>
      </c>
      <c r="D85" s="555">
        <v>2</v>
      </c>
      <c r="E85" s="556">
        <v>2</v>
      </c>
      <c r="F85" s="557">
        <v>0</v>
      </c>
      <c r="G85" s="563">
        <v>0</v>
      </c>
      <c r="H85" s="558"/>
      <c r="I85" s="561"/>
      <c r="J85" s="558"/>
      <c r="K85" s="558"/>
      <c r="L85" s="558"/>
    </row>
    <row r="86" spans="1:12" ht="16.5" customHeight="1" x14ac:dyDescent="0.3">
      <c r="A86" s="553" t="s">
        <v>212</v>
      </c>
      <c r="B86" s="554" t="s">
        <v>213</v>
      </c>
      <c r="C86" s="494" t="s">
        <v>255</v>
      </c>
      <c r="D86" s="555">
        <v>5</v>
      </c>
      <c r="E86" s="556">
        <v>5</v>
      </c>
      <c r="F86" s="557">
        <v>0</v>
      </c>
      <c r="G86" s="557">
        <v>0</v>
      </c>
      <c r="H86" s="558"/>
      <c r="I86" s="560"/>
      <c r="J86" s="558"/>
      <c r="K86" s="558"/>
      <c r="L86" s="558"/>
    </row>
    <row r="87" spans="1:12" ht="16.5" customHeight="1" x14ac:dyDescent="0.3">
      <c r="A87" s="553" t="s">
        <v>214</v>
      </c>
      <c r="B87" s="554" t="s">
        <v>215</v>
      </c>
      <c r="C87" s="494" t="s">
        <v>256</v>
      </c>
      <c r="D87" s="555">
        <v>0</v>
      </c>
      <c r="E87" s="556">
        <v>0</v>
      </c>
      <c r="F87" s="557">
        <v>0</v>
      </c>
      <c r="G87" s="563">
        <v>0</v>
      </c>
      <c r="H87" s="558"/>
      <c r="I87" s="562"/>
      <c r="J87" s="558"/>
      <c r="K87" s="558"/>
      <c r="L87" s="558"/>
    </row>
    <row r="88" spans="1:12" ht="16.5" customHeight="1" x14ac:dyDescent="0.3">
      <c r="A88" s="553" t="s">
        <v>216</v>
      </c>
      <c r="B88" s="554" t="s">
        <v>217</v>
      </c>
      <c r="C88" s="494" t="s">
        <v>252</v>
      </c>
      <c r="D88" s="555">
        <v>0</v>
      </c>
      <c r="E88" s="556">
        <v>0</v>
      </c>
      <c r="F88" s="557">
        <v>0</v>
      </c>
      <c r="G88" s="557">
        <v>0</v>
      </c>
      <c r="H88" s="558"/>
      <c r="I88" s="558"/>
      <c r="J88" s="558"/>
      <c r="K88" s="562"/>
      <c r="L88" s="558"/>
    </row>
    <row r="89" spans="1:12" ht="16.5" customHeight="1" x14ac:dyDescent="0.3">
      <c r="A89" s="553" t="s">
        <v>218</v>
      </c>
      <c r="B89" s="554" t="s">
        <v>219</v>
      </c>
      <c r="C89" s="494" t="s">
        <v>255</v>
      </c>
      <c r="D89" s="555">
        <v>8</v>
      </c>
      <c r="E89" s="556">
        <v>6</v>
      </c>
      <c r="F89" s="557">
        <v>2</v>
      </c>
      <c r="G89" s="557">
        <v>0</v>
      </c>
      <c r="H89" s="558"/>
      <c r="I89" s="561"/>
      <c r="J89" s="558"/>
      <c r="K89" s="561"/>
      <c r="L89" s="558"/>
    </row>
    <row r="90" spans="1:12" ht="16.5" customHeight="1" x14ac:dyDescent="0.3">
      <c r="A90" s="553" t="s">
        <v>220</v>
      </c>
      <c r="B90" s="554" t="s">
        <v>221</v>
      </c>
      <c r="C90" s="494" t="s">
        <v>255</v>
      </c>
      <c r="D90" s="555">
        <v>12</v>
      </c>
      <c r="E90" s="556">
        <v>3</v>
      </c>
      <c r="F90" s="557">
        <v>3</v>
      </c>
      <c r="G90" s="557">
        <v>6</v>
      </c>
      <c r="H90" s="558"/>
      <c r="I90" s="560"/>
      <c r="J90" s="558"/>
      <c r="K90" s="560"/>
      <c r="L90" s="558"/>
    </row>
    <row r="91" spans="1:12" ht="16.5" customHeight="1" x14ac:dyDescent="0.3">
      <c r="A91" s="553" t="s">
        <v>224</v>
      </c>
      <c r="B91" s="554" t="s">
        <v>225</v>
      </c>
      <c r="C91" s="494" t="s">
        <v>252</v>
      </c>
      <c r="D91" s="555">
        <v>0</v>
      </c>
      <c r="E91" s="564">
        <v>0</v>
      </c>
      <c r="F91" s="563">
        <v>0</v>
      </c>
      <c r="G91" s="557">
        <v>0</v>
      </c>
      <c r="H91" s="558"/>
      <c r="I91" s="561"/>
      <c r="J91" s="558"/>
      <c r="K91" s="558"/>
      <c r="L91" s="558"/>
    </row>
    <row r="92" spans="1:12" ht="16.5" customHeight="1" x14ac:dyDescent="0.3">
      <c r="A92" s="553" t="s">
        <v>226</v>
      </c>
      <c r="B92" s="554" t="s">
        <v>227</v>
      </c>
      <c r="C92" s="494" t="s">
        <v>252</v>
      </c>
      <c r="D92" s="555">
        <v>2</v>
      </c>
      <c r="E92" s="556">
        <v>0</v>
      </c>
      <c r="F92" s="557">
        <v>2</v>
      </c>
      <c r="G92" s="557">
        <v>0</v>
      </c>
      <c r="H92" s="558"/>
      <c r="I92" s="561"/>
      <c r="J92" s="558"/>
      <c r="K92" s="558"/>
      <c r="L92" s="558"/>
    </row>
    <row r="93" spans="1:12" ht="16.5" customHeight="1" x14ac:dyDescent="0.3">
      <c r="A93" s="553" t="s">
        <v>228</v>
      </c>
      <c r="B93" s="554" t="s">
        <v>229</v>
      </c>
      <c r="C93" s="494" t="s">
        <v>256</v>
      </c>
      <c r="D93" s="555">
        <v>22</v>
      </c>
      <c r="E93" s="556">
        <v>22</v>
      </c>
      <c r="F93" s="557">
        <v>0</v>
      </c>
      <c r="G93" s="557">
        <v>0</v>
      </c>
      <c r="H93" s="558"/>
      <c r="I93" s="561"/>
      <c r="J93" s="558"/>
      <c r="K93" s="558"/>
      <c r="L93" s="558"/>
    </row>
    <row r="94" spans="1:12" ht="16.5" customHeight="1" x14ac:dyDescent="0.3">
      <c r="A94" s="553" t="s">
        <v>232</v>
      </c>
      <c r="B94" s="554" t="s">
        <v>233</v>
      </c>
      <c r="C94" s="494" t="s">
        <v>255</v>
      </c>
      <c r="D94" s="555">
        <v>3</v>
      </c>
      <c r="E94" s="556">
        <v>3</v>
      </c>
      <c r="F94" s="557">
        <v>0</v>
      </c>
      <c r="G94" s="557">
        <v>0</v>
      </c>
      <c r="H94" s="558"/>
      <c r="I94" s="562"/>
      <c r="J94" s="558"/>
      <c r="K94" s="558"/>
      <c r="L94" s="558"/>
    </row>
    <row r="95" spans="1:12" ht="16.5" customHeight="1" x14ac:dyDescent="0.3">
      <c r="A95" s="553" t="s">
        <v>234</v>
      </c>
      <c r="B95" s="554" t="s">
        <v>235</v>
      </c>
      <c r="C95" s="494" t="s">
        <v>256</v>
      </c>
      <c r="D95" s="555">
        <v>13</v>
      </c>
      <c r="E95" s="556">
        <v>13</v>
      </c>
      <c r="F95" s="557">
        <v>0</v>
      </c>
      <c r="G95" s="563">
        <v>0</v>
      </c>
      <c r="H95" s="558"/>
      <c r="I95" s="560"/>
      <c r="J95" s="558"/>
      <c r="K95" s="561"/>
      <c r="L95" s="558"/>
    </row>
    <row r="96" spans="1:12" ht="16.5" customHeight="1" x14ac:dyDescent="0.3">
      <c r="A96" s="553" t="s">
        <v>236</v>
      </c>
      <c r="B96" s="554" t="s">
        <v>237</v>
      </c>
      <c r="C96" s="494" t="s">
        <v>254</v>
      </c>
      <c r="D96" s="555">
        <v>0</v>
      </c>
      <c r="E96" s="556">
        <v>0</v>
      </c>
      <c r="F96" s="557">
        <v>0</v>
      </c>
      <c r="G96" s="557">
        <v>0</v>
      </c>
      <c r="H96" s="558"/>
      <c r="I96" s="560"/>
      <c r="J96" s="558"/>
      <c r="K96" s="558"/>
      <c r="L96" s="558"/>
    </row>
    <row r="97" spans="1:12" ht="16.5" customHeight="1" x14ac:dyDescent="0.3">
      <c r="A97" s="553" t="s">
        <v>242</v>
      </c>
      <c r="B97" s="554" t="s">
        <v>243</v>
      </c>
      <c r="C97" s="494" t="s">
        <v>256</v>
      </c>
      <c r="D97" s="555">
        <v>9</v>
      </c>
      <c r="E97" s="556">
        <v>9</v>
      </c>
      <c r="F97" s="557">
        <v>0</v>
      </c>
      <c r="G97" s="557">
        <v>0</v>
      </c>
      <c r="H97" s="558"/>
      <c r="I97" s="558"/>
      <c r="J97" s="558"/>
      <c r="K97" s="558"/>
      <c r="L97" s="558"/>
    </row>
    <row r="98" spans="1:12" ht="16.5" customHeight="1" x14ac:dyDescent="0.3">
      <c r="A98" s="553" t="s">
        <v>244</v>
      </c>
      <c r="B98" s="554" t="s">
        <v>245</v>
      </c>
      <c r="C98" s="494" t="s">
        <v>256</v>
      </c>
      <c r="D98" s="555">
        <v>3</v>
      </c>
      <c r="E98" s="556">
        <v>3</v>
      </c>
      <c r="F98" s="557">
        <v>0</v>
      </c>
      <c r="G98" s="563">
        <v>0</v>
      </c>
      <c r="H98" s="558"/>
      <c r="I98" s="558"/>
      <c r="J98" s="558"/>
      <c r="K98" s="558"/>
      <c r="L98" s="558"/>
    </row>
    <row r="99" spans="1:12" ht="16.5" customHeight="1" x14ac:dyDescent="0.3">
      <c r="A99" s="553" t="s">
        <v>246</v>
      </c>
      <c r="B99" s="554" t="s">
        <v>298</v>
      </c>
      <c r="C99" s="494" t="s">
        <v>252</v>
      </c>
      <c r="D99" s="555">
        <v>2</v>
      </c>
      <c r="E99" s="556">
        <v>1</v>
      </c>
      <c r="F99" s="557">
        <v>0</v>
      </c>
      <c r="G99" s="557">
        <v>1</v>
      </c>
      <c r="H99" s="558"/>
      <c r="I99" s="560"/>
      <c r="J99" s="558"/>
      <c r="K99" s="561"/>
      <c r="L99" s="558"/>
    </row>
    <row r="100" spans="1:12" ht="16.5" customHeight="1" x14ac:dyDescent="0.3">
      <c r="A100" s="553" t="s">
        <v>14</v>
      </c>
      <c r="B100" s="554" t="s">
        <v>15</v>
      </c>
      <c r="C100" s="494" t="s">
        <v>255</v>
      </c>
      <c r="D100" s="555">
        <v>10</v>
      </c>
      <c r="E100" s="556">
        <v>0</v>
      </c>
      <c r="F100" s="557">
        <v>9</v>
      </c>
      <c r="G100" s="557">
        <v>1</v>
      </c>
      <c r="H100" s="558"/>
      <c r="I100" s="562"/>
      <c r="J100" s="558"/>
      <c r="K100" s="562"/>
      <c r="L100" s="558"/>
    </row>
    <row r="101" spans="1:12" ht="16.5" customHeight="1" x14ac:dyDescent="0.3">
      <c r="A101" s="553" t="s">
        <v>34</v>
      </c>
      <c r="B101" s="554" t="s">
        <v>35</v>
      </c>
      <c r="C101" s="494" t="s">
        <v>256</v>
      </c>
      <c r="D101" s="555">
        <v>4</v>
      </c>
      <c r="E101" s="556">
        <v>4</v>
      </c>
      <c r="F101" s="557">
        <v>0</v>
      </c>
      <c r="G101" s="563">
        <v>0</v>
      </c>
      <c r="H101" s="558"/>
      <c r="I101" s="560"/>
      <c r="J101" s="558"/>
      <c r="K101" s="561"/>
      <c r="L101" s="558"/>
    </row>
    <row r="102" spans="1:12" ht="16.5" customHeight="1" x14ac:dyDescent="0.3">
      <c r="A102" s="553" t="s">
        <v>52</v>
      </c>
      <c r="B102" s="554" t="s">
        <v>53</v>
      </c>
      <c r="C102" s="494" t="s">
        <v>253</v>
      </c>
      <c r="D102" s="555">
        <v>11</v>
      </c>
      <c r="E102" s="556">
        <v>2</v>
      </c>
      <c r="F102" s="557">
        <v>1</v>
      </c>
      <c r="G102" s="557">
        <v>8</v>
      </c>
      <c r="H102" s="558"/>
      <c r="I102" s="560"/>
      <c r="J102" s="558"/>
      <c r="K102" s="558"/>
      <c r="L102" s="558"/>
    </row>
    <row r="103" spans="1:12" ht="16.5" customHeight="1" x14ac:dyDescent="0.3">
      <c r="A103" s="553" t="s">
        <v>54</v>
      </c>
      <c r="B103" s="554" t="s">
        <v>55</v>
      </c>
      <c r="C103" s="494" t="s">
        <v>252</v>
      </c>
      <c r="D103" s="555">
        <v>5</v>
      </c>
      <c r="E103" s="556">
        <v>2</v>
      </c>
      <c r="F103" s="557">
        <v>3</v>
      </c>
      <c r="G103" s="557">
        <v>0</v>
      </c>
      <c r="H103" s="558"/>
      <c r="I103" s="560"/>
      <c r="J103" s="558"/>
      <c r="K103" s="558"/>
      <c r="L103" s="558"/>
    </row>
    <row r="104" spans="1:12" ht="16.5" customHeight="1" x14ac:dyDescent="0.3">
      <c r="A104" s="553" t="s">
        <v>66</v>
      </c>
      <c r="B104" s="554" t="s">
        <v>67</v>
      </c>
      <c r="C104" s="494" t="s">
        <v>253</v>
      </c>
      <c r="D104" s="555">
        <v>3</v>
      </c>
      <c r="E104" s="556">
        <v>1</v>
      </c>
      <c r="F104" s="557">
        <v>2</v>
      </c>
      <c r="G104" s="557">
        <v>0</v>
      </c>
      <c r="H104" s="558"/>
      <c r="I104" s="560"/>
      <c r="J104" s="558"/>
      <c r="K104" s="561"/>
      <c r="L104" s="558"/>
    </row>
    <row r="105" spans="1:12" ht="16.5" customHeight="1" x14ac:dyDescent="0.3">
      <c r="A105" s="553" t="s">
        <v>82</v>
      </c>
      <c r="B105" s="554" t="s">
        <v>299</v>
      </c>
      <c r="C105" s="494" t="s">
        <v>252</v>
      </c>
      <c r="D105" s="555">
        <v>0</v>
      </c>
      <c r="E105" s="556">
        <v>0</v>
      </c>
      <c r="F105" s="557">
        <v>0</v>
      </c>
      <c r="G105" s="557">
        <v>0</v>
      </c>
      <c r="H105" s="558"/>
      <c r="I105" s="558"/>
      <c r="J105" s="558"/>
      <c r="K105" s="558"/>
      <c r="L105" s="558"/>
    </row>
    <row r="106" spans="1:12" ht="16.5" customHeight="1" x14ac:dyDescent="0.3">
      <c r="A106" s="553" t="s">
        <v>88</v>
      </c>
      <c r="B106" s="554" t="s">
        <v>89</v>
      </c>
      <c r="C106" s="494" t="s">
        <v>255</v>
      </c>
      <c r="D106" s="555">
        <v>6</v>
      </c>
      <c r="E106" s="556">
        <v>1</v>
      </c>
      <c r="F106" s="557">
        <v>3</v>
      </c>
      <c r="G106" s="557">
        <v>2</v>
      </c>
      <c r="H106" s="558"/>
      <c r="I106" s="562"/>
      <c r="J106" s="558"/>
      <c r="K106" s="562"/>
      <c r="L106" s="558"/>
    </row>
    <row r="107" spans="1:12" ht="16.5" customHeight="1" x14ac:dyDescent="0.3">
      <c r="A107" s="553" t="s">
        <v>90</v>
      </c>
      <c r="B107" s="554" t="s">
        <v>91</v>
      </c>
      <c r="C107" s="494" t="s">
        <v>256</v>
      </c>
      <c r="D107" s="555">
        <v>0</v>
      </c>
      <c r="E107" s="556">
        <v>0</v>
      </c>
      <c r="F107" s="557">
        <v>0</v>
      </c>
      <c r="G107" s="557">
        <v>0</v>
      </c>
      <c r="H107" s="558"/>
      <c r="I107" s="561"/>
      <c r="J107" s="558"/>
      <c r="K107" s="558"/>
      <c r="L107" s="558"/>
    </row>
    <row r="108" spans="1:12" ht="16.5" customHeight="1" x14ac:dyDescent="0.3">
      <c r="A108" s="553" t="s">
        <v>106</v>
      </c>
      <c r="B108" s="554" t="s">
        <v>107</v>
      </c>
      <c r="C108" s="494" t="s">
        <v>252</v>
      </c>
      <c r="D108" s="555">
        <v>0</v>
      </c>
      <c r="E108" s="556">
        <v>0</v>
      </c>
      <c r="F108" s="557">
        <v>0</v>
      </c>
      <c r="G108" s="557">
        <v>0</v>
      </c>
      <c r="H108" s="558"/>
      <c r="I108" s="560"/>
      <c r="J108" s="558"/>
      <c r="K108" s="558"/>
      <c r="L108" s="558"/>
    </row>
    <row r="109" spans="1:12" ht="16.5" customHeight="1" x14ac:dyDescent="0.3">
      <c r="A109" s="553" t="s">
        <v>116</v>
      </c>
      <c r="B109" s="554" t="s">
        <v>117</v>
      </c>
      <c r="C109" s="494" t="s">
        <v>254</v>
      </c>
      <c r="D109" s="555">
        <v>4</v>
      </c>
      <c r="E109" s="556">
        <v>1</v>
      </c>
      <c r="F109" s="557">
        <v>3</v>
      </c>
      <c r="G109" s="557">
        <v>0</v>
      </c>
      <c r="H109" s="558"/>
      <c r="I109" s="558"/>
      <c r="J109" s="558"/>
      <c r="K109" s="561"/>
      <c r="L109" s="558"/>
    </row>
    <row r="110" spans="1:12" ht="16.5" customHeight="1" x14ac:dyDescent="0.3">
      <c r="A110" s="553" t="s">
        <v>138</v>
      </c>
      <c r="B110" s="554" t="s">
        <v>139</v>
      </c>
      <c r="C110" s="494" t="s">
        <v>253</v>
      </c>
      <c r="D110" s="555">
        <v>24</v>
      </c>
      <c r="E110" s="556">
        <v>8</v>
      </c>
      <c r="F110" s="557">
        <v>15</v>
      </c>
      <c r="G110" s="557">
        <v>1</v>
      </c>
      <c r="H110" s="558"/>
      <c r="I110" s="562"/>
      <c r="J110" s="558"/>
      <c r="K110" s="562"/>
      <c r="L110" s="558"/>
    </row>
    <row r="111" spans="1:12" ht="16.5" customHeight="1" x14ac:dyDescent="0.3">
      <c r="A111" s="553" t="s">
        <v>142</v>
      </c>
      <c r="B111" s="554" t="s">
        <v>143</v>
      </c>
      <c r="C111" s="494" t="s">
        <v>255</v>
      </c>
      <c r="D111" s="555">
        <v>0</v>
      </c>
      <c r="E111" s="556">
        <v>0</v>
      </c>
      <c r="F111" s="557">
        <v>0</v>
      </c>
      <c r="G111" s="557">
        <v>0</v>
      </c>
      <c r="H111" s="558"/>
      <c r="I111" s="561"/>
      <c r="J111" s="558"/>
      <c r="K111" s="561"/>
      <c r="L111" s="558"/>
    </row>
    <row r="112" spans="1:12" ht="16.5" customHeight="1" x14ac:dyDescent="0.3">
      <c r="A112" s="553" t="s">
        <v>144</v>
      </c>
      <c r="B112" s="554" t="s">
        <v>145</v>
      </c>
      <c r="C112" s="494" t="s">
        <v>255</v>
      </c>
      <c r="D112" s="555">
        <v>0</v>
      </c>
      <c r="E112" s="556">
        <v>0</v>
      </c>
      <c r="F112" s="557">
        <v>0</v>
      </c>
      <c r="G112" s="563">
        <v>0</v>
      </c>
      <c r="H112" s="558"/>
      <c r="I112" s="558"/>
      <c r="J112" s="558"/>
      <c r="K112" s="558"/>
      <c r="L112" s="558"/>
    </row>
    <row r="113" spans="1:14" ht="16.5" customHeight="1" x14ac:dyDescent="0.3">
      <c r="A113" s="553" t="s">
        <v>158</v>
      </c>
      <c r="B113" s="554" t="s">
        <v>159</v>
      </c>
      <c r="C113" s="494" t="s">
        <v>252</v>
      </c>
      <c r="D113" s="555">
        <v>18</v>
      </c>
      <c r="E113" s="556">
        <v>3</v>
      </c>
      <c r="F113" s="557">
        <v>12</v>
      </c>
      <c r="G113" s="557">
        <v>3</v>
      </c>
      <c r="H113" s="558"/>
      <c r="I113" s="562"/>
      <c r="J113" s="558"/>
      <c r="K113" s="558"/>
      <c r="L113" s="558"/>
    </row>
    <row r="114" spans="1:14" ht="16.5" customHeight="1" x14ac:dyDescent="0.3">
      <c r="A114" s="553" t="s">
        <v>160</v>
      </c>
      <c r="B114" s="554" t="s">
        <v>161</v>
      </c>
      <c r="C114" s="494" t="s">
        <v>252</v>
      </c>
      <c r="D114" s="555">
        <v>34</v>
      </c>
      <c r="E114" s="556">
        <v>7</v>
      </c>
      <c r="F114" s="557">
        <v>27</v>
      </c>
      <c r="G114" s="557">
        <v>0</v>
      </c>
      <c r="H114" s="558"/>
      <c r="I114" s="562"/>
      <c r="J114" s="562"/>
      <c r="K114" s="558"/>
      <c r="L114" s="558"/>
    </row>
    <row r="115" spans="1:14" ht="16.5" customHeight="1" x14ac:dyDescent="0.3">
      <c r="A115" s="553" t="s">
        <v>166</v>
      </c>
      <c r="B115" s="554" t="s">
        <v>167</v>
      </c>
      <c r="C115" s="494" t="s">
        <v>256</v>
      </c>
      <c r="D115" s="555">
        <v>0</v>
      </c>
      <c r="E115" s="556">
        <v>0</v>
      </c>
      <c r="F115" s="557">
        <v>0</v>
      </c>
      <c r="G115" s="563">
        <v>0</v>
      </c>
      <c r="H115" s="558"/>
      <c r="I115" s="562"/>
      <c r="J115" s="558"/>
      <c r="K115" s="558"/>
      <c r="L115" s="558"/>
    </row>
    <row r="116" spans="1:14" ht="16.5" customHeight="1" x14ac:dyDescent="0.3">
      <c r="A116" s="553" t="s">
        <v>176</v>
      </c>
      <c r="B116" s="554" t="s">
        <v>177</v>
      </c>
      <c r="C116" s="494" t="s">
        <v>254</v>
      </c>
      <c r="D116" s="555">
        <v>16</v>
      </c>
      <c r="E116" s="556">
        <v>5</v>
      </c>
      <c r="F116" s="557">
        <v>3</v>
      </c>
      <c r="G116" s="557">
        <v>8</v>
      </c>
      <c r="H116" s="558"/>
      <c r="I116" s="560"/>
      <c r="J116" s="558"/>
      <c r="K116" s="560"/>
      <c r="L116" s="558"/>
    </row>
    <row r="117" spans="1:14" ht="16.5" customHeight="1" x14ac:dyDescent="0.3">
      <c r="A117" s="553" t="s">
        <v>180</v>
      </c>
      <c r="B117" s="554" t="s">
        <v>181</v>
      </c>
      <c r="C117" s="494" t="s">
        <v>252</v>
      </c>
      <c r="D117" s="555">
        <v>12</v>
      </c>
      <c r="E117" s="556">
        <v>1</v>
      </c>
      <c r="F117" s="557">
        <v>11</v>
      </c>
      <c r="G117" s="557">
        <v>0</v>
      </c>
      <c r="H117" s="558"/>
      <c r="I117" s="560"/>
      <c r="J117" s="558"/>
      <c r="K117" s="558"/>
      <c r="L117" s="558"/>
    </row>
    <row r="118" spans="1:14" ht="16.5" customHeight="1" x14ac:dyDescent="0.3">
      <c r="A118" s="553" t="s">
        <v>192</v>
      </c>
      <c r="B118" s="554" t="s">
        <v>193</v>
      </c>
      <c r="C118" s="494" t="s">
        <v>256</v>
      </c>
      <c r="D118" s="555">
        <v>1</v>
      </c>
      <c r="E118" s="556">
        <v>1</v>
      </c>
      <c r="F118" s="557">
        <v>0</v>
      </c>
      <c r="G118" s="557">
        <v>0</v>
      </c>
      <c r="H118" s="558"/>
      <c r="I118" s="561"/>
      <c r="J118" s="558"/>
      <c r="K118" s="558"/>
      <c r="L118" s="558"/>
    </row>
    <row r="119" spans="1:14" ht="16.5" customHeight="1" x14ac:dyDescent="0.3">
      <c r="A119" s="553" t="s">
        <v>196</v>
      </c>
      <c r="B119" s="554" t="s">
        <v>300</v>
      </c>
      <c r="C119" s="494" t="s">
        <v>254</v>
      </c>
      <c r="D119" s="555">
        <v>27</v>
      </c>
      <c r="E119" s="556">
        <v>1</v>
      </c>
      <c r="F119" s="557">
        <v>24</v>
      </c>
      <c r="G119" s="557">
        <v>2</v>
      </c>
      <c r="H119" s="558"/>
      <c r="I119" s="560"/>
      <c r="J119" s="558"/>
      <c r="K119" s="562"/>
      <c r="L119" s="558"/>
    </row>
    <row r="120" spans="1:14" ht="16.5" customHeight="1" x14ac:dyDescent="0.3">
      <c r="A120" s="553" t="s">
        <v>200</v>
      </c>
      <c r="B120" s="554" t="s">
        <v>301</v>
      </c>
      <c r="C120" s="494" t="s">
        <v>253</v>
      </c>
      <c r="D120" s="555">
        <v>34</v>
      </c>
      <c r="E120" s="556">
        <v>14</v>
      </c>
      <c r="F120" s="557">
        <v>11</v>
      </c>
      <c r="G120" s="557">
        <v>9</v>
      </c>
      <c r="H120" s="558"/>
      <c r="I120" s="562"/>
      <c r="J120" s="558"/>
      <c r="K120" s="562"/>
      <c r="L120" s="558"/>
    </row>
    <row r="121" spans="1:14" ht="16.5" customHeight="1" x14ac:dyDescent="0.3">
      <c r="A121" s="553" t="s">
        <v>222</v>
      </c>
      <c r="B121" s="554" t="s">
        <v>223</v>
      </c>
      <c r="C121" s="494" t="s">
        <v>252</v>
      </c>
      <c r="D121" s="555">
        <v>5</v>
      </c>
      <c r="E121" s="556">
        <v>3</v>
      </c>
      <c r="F121" s="557">
        <v>1</v>
      </c>
      <c r="G121" s="557">
        <v>1</v>
      </c>
      <c r="H121" s="558"/>
      <c r="I121" s="561"/>
      <c r="J121" s="558"/>
      <c r="K121" s="558"/>
      <c r="L121" s="558"/>
    </row>
    <row r="122" spans="1:14" ht="16.5" customHeight="1" x14ac:dyDescent="0.3">
      <c r="A122" s="553" t="s">
        <v>230</v>
      </c>
      <c r="B122" s="554" t="s">
        <v>231</v>
      </c>
      <c r="C122" s="494" t="s">
        <v>252</v>
      </c>
      <c r="D122" s="555">
        <v>16</v>
      </c>
      <c r="E122" s="556">
        <v>6</v>
      </c>
      <c r="F122" s="557">
        <v>4</v>
      </c>
      <c r="G122" s="557">
        <v>6</v>
      </c>
      <c r="H122" s="558"/>
      <c r="I122" s="562"/>
      <c r="J122" s="558"/>
      <c r="K122" s="562"/>
      <c r="L122" s="558"/>
    </row>
    <row r="123" spans="1:14" ht="16.5" customHeight="1" x14ac:dyDescent="0.3">
      <c r="A123" s="553" t="s">
        <v>238</v>
      </c>
      <c r="B123" s="554" t="s">
        <v>239</v>
      </c>
      <c r="C123" s="494" t="s">
        <v>252</v>
      </c>
      <c r="D123" s="555">
        <v>5</v>
      </c>
      <c r="E123" s="556">
        <v>1</v>
      </c>
      <c r="F123" s="557">
        <v>4</v>
      </c>
      <c r="G123" s="557">
        <v>0</v>
      </c>
      <c r="H123" s="558"/>
      <c r="I123" s="558"/>
      <c r="J123" s="558"/>
      <c r="K123" s="558"/>
      <c r="L123" s="558"/>
    </row>
    <row r="124" spans="1:14" ht="16.5" customHeight="1" x14ac:dyDescent="0.3">
      <c r="A124" s="553" t="s">
        <v>240</v>
      </c>
      <c r="B124" s="554" t="s">
        <v>241</v>
      </c>
      <c r="C124" s="494" t="s">
        <v>255</v>
      </c>
      <c r="D124" s="555">
        <v>6</v>
      </c>
      <c r="E124" s="556">
        <v>4</v>
      </c>
      <c r="F124" s="557">
        <v>0</v>
      </c>
      <c r="G124" s="557">
        <v>2</v>
      </c>
      <c r="H124" s="558"/>
      <c r="I124" s="560"/>
      <c r="J124" s="558"/>
      <c r="K124" s="558"/>
      <c r="L124" s="558"/>
    </row>
    <row r="125" spans="1:14" x14ac:dyDescent="0.3">
      <c r="D125" s="558"/>
      <c r="E125" s="558"/>
      <c r="F125" s="558"/>
      <c r="G125" s="568"/>
      <c r="H125" s="558"/>
      <c r="I125" s="558"/>
      <c r="J125" s="558"/>
      <c r="K125" s="558"/>
      <c r="L125" s="558"/>
    </row>
    <row r="126" spans="1:14" ht="32.25" customHeight="1" x14ac:dyDescent="0.3">
      <c r="A126" s="2765" t="s">
        <v>644</v>
      </c>
      <c r="B126" s="2765"/>
      <c r="C126" s="2765"/>
      <c r="D126" s="2765"/>
      <c r="E126" s="2765"/>
      <c r="F126" s="2765"/>
      <c r="G126" s="2765"/>
      <c r="H126" s="2765"/>
      <c r="I126" s="2765"/>
      <c r="J126" s="569"/>
      <c r="K126" s="569"/>
      <c r="L126" s="569"/>
      <c r="M126" s="569"/>
      <c r="N126" s="569"/>
    </row>
    <row r="127" spans="1:14" x14ac:dyDescent="0.3">
      <c r="A127" s="339" t="s">
        <v>624</v>
      </c>
    </row>
    <row r="129" spans="1:3" s="359" customFormat="1" x14ac:dyDescent="0.3">
      <c r="A129" s="359" t="s">
        <v>248</v>
      </c>
    </row>
    <row r="130" spans="1:3" s="359" customFormat="1" x14ac:dyDescent="0.3">
      <c r="A130" s="360" t="s">
        <v>249</v>
      </c>
      <c r="B130" s="361" t="s">
        <v>250</v>
      </c>
      <c r="C130" s="361"/>
    </row>
  </sheetData>
  <autoFilter ref="A3:C3"/>
  <mergeCells count="1">
    <mergeCell ref="A126:I126"/>
  </mergeCells>
  <hyperlinks>
    <hyperlink ref="B130" r:id="rId1"/>
  </hyperlinks>
  <pageMargins left="0.75" right="0.75" top="1" bottom="1" header="0.5" footer="0.5"/>
  <pageSetup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130"/>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11" style="339" customWidth="1"/>
    <col min="2" max="2" width="32" style="339" customWidth="1"/>
    <col min="3" max="3" width="14.19921875" style="339" customWidth="1"/>
    <col min="4" max="9" width="7.5" style="339" customWidth="1"/>
    <col min="10" max="12" width="10.09765625" style="339" customWidth="1"/>
    <col min="13" max="13" width="12.19921875" style="339" customWidth="1"/>
    <col min="14" max="14" width="4.796875" style="339" customWidth="1"/>
    <col min="15" max="17" width="12.19921875" style="339" customWidth="1"/>
    <col min="18" max="18" width="11.5" style="339" customWidth="1"/>
    <col min="19" max="19" width="11.09765625" style="339" customWidth="1"/>
    <col min="20" max="20" width="11.5" style="339" customWidth="1"/>
    <col min="21" max="23" width="9" style="339"/>
    <col min="24" max="25" width="10" style="339" customWidth="1"/>
    <col min="26" max="26" width="9.69921875" style="339" customWidth="1"/>
    <col min="27" max="16384" width="9" style="339"/>
  </cols>
  <sheetData>
    <row r="1" spans="1:27" x14ac:dyDescent="0.3">
      <c r="A1" s="189" t="s">
        <v>1144</v>
      </c>
    </row>
    <row r="3" spans="1:27" ht="32.25" customHeight="1" x14ac:dyDescent="0.3">
      <c r="A3" s="543" t="s">
        <v>4</v>
      </c>
      <c r="B3" s="544" t="s">
        <v>5</v>
      </c>
      <c r="C3" s="1322" t="s">
        <v>251</v>
      </c>
      <c r="D3" s="1324" t="s">
        <v>269</v>
      </c>
      <c r="E3" s="1325" t="s">
        <v>2</v>
      </c>
      <c r="F3" s="1325" t="s">
        <v>314</v>
      </c>
      <c r="G3" s="1325" t="s">
        <v>411</v>
      </c>
      <c r="H3" s="1325" t="s">
        <v>620</v>
      </c>
      <c r="I3" s="1325" t="s">
        <v>582</v>
      </c>
      <c r="J3" s="1325" t="s">
        <v>694</v>
      </c>
      <c r="K3" s="1325" t="s">
        <v>420</v>
      </c>
      <c r="L3" s="1326" t="s">
        <v>1031</v>
      </c>
      <c r="M3" s="1092" t="s">
        <v>813</v>
      </c>
      <c r="N3" s="549"/>
      <c r="O3" s="1092" t="s">
        <v>906</v>
      </c>
      <c r="P3" s="1092" t="s">
        <v>905</v>
      </c>
      <c r="Q3" s="1092" t="s">
        <v>789</v>
      </c>
      <c r="R3" s="1093" t="s">
        <v>790</v>
      </c>
      <c r="S3" s="1093" t="s">
        <v>791</v>
      </c>
      <c r="T3" s="1093" t="s">
        <v>792</v>
      </c>
      <c r="U3" s="189" t="s">
        <v>621</v>
      </c>
      <c r="W3" s="189" t="s">
        <v>788</v>
      </c>
      <c r="X3" s="189" t="s">
        <v>789</v>
      </c>
      <c r="Y3" s="189" t="s">
        <v>790</v>
      </c>
      <c r="Z3" s="189" t="s">
        <v>791</v>
      </c>
      <c r="AA3" s="189" t="s">
        <v>792</v>
      </c>
    </row>
    <row r="4" spans="1:27" x14ac:dyDescent="0.3">
      <c r="A4" s="550">
        <v>999</v>
      </c>
      <c r="B4" s="551" t="s">
        <v>9</v>
      </c>
      <c r="C4" s="551"/>
      <c r="D4" s="1319">
        <f t="shared" ref="D4:M4" si="0">SUM(D5:D124)</f>
        <v>769</v>
      </c>
      <c r="E4" s="1327">
        <f t="shared" si="0"/>
        <v>414</v>
      </c>
      <c r="F4" s="1327">
        <f t="shared" si="0"/>
        <v>186</v>
      </c>
      <c r="G4" s="1327">
        <f t="shared" si="0"/>
        <v>1</v>
      </c>
      <c r="H4" s="1327">
        <f t="shared" si="0"/>
        <v>2</v>
      </c>
      <c r="I4" s="1327">
        <f t="shared" si="0"/>
        <v>0</v>
      </c>
      <c r="J4" s="1327">
        <f t="shared" si="0"/>
        <v>106</v>
      </c>
      <c r="K4" s="1327">
        <f t="shared" si="0"/>
        <v>59</v>
      </c>
      <c r="L4" s="1328">
        <f t="shared" si="0"/>
        <v>1</v>
      </c>
      <c r="M4" s="1323">
        <f t="shared" si="0"/>
        <v>168</v>
      </c>
      <c r="N4" s="549"/>
      <c r="O4" s="552">
        <f t="shared" ref="O4:AA4" si="1">SUM(O5:O124)</f>
        <v>13</v>
      </c>
      <c r="P4" s="552">
        <f t="shared" si="1"/>
        <v>367</v>
      </c>
      <c r="Q4" s="552">
        <f t="shared" si="1"/>
        <v>189</v>
      </c>
      <c r="R4" s="552">
        <f t="shared" si="1"/>
        <v>155</v>
      </c>
      <c r="S4" s="552">
        <f t="shared" si="1"/>
        <v>45</v>
      </c>
      <c r="T4" s="552">
        <f t="shared" si="1"/>
        <v>0</v>
      </c>
      <c r="U4" s="552">
        <f t="shared" si="1"/>
        <v>0</v>
      </c>
      <c r="W4" s="189">
        <f t="shared" si="1"/>
        <v>380</v>
      </c>
      <c r="X4" s="189">
        <f t="shared" si="1"/>
        <v>189</v>
      </c>
      <c r="Y4" s="189">
        <f t="shared" si="1"/>
        <v>155</v>
      </c>
      <c r="Z4" s="189">
        <f t="shared" si="1"/>
        <v>45</v>
      </c>
      <c r="AA4" s="189">
        <f t="shared" si="1"/>
        <v>0</v>
      </c>
    </row>
    <row r="5" spans="1:27" s="1229" customFormat="1" ht="16.5" customHeight="1" x14ac:dyDescent="0.3">
      <c r="A5" s="1320" t="s">
        <v>10</v>
      </c>
      <c r="B5" s="1321" t="s">
        <v>11</v>
      </c>
      <c r="C5" s="489" t="s">
        <v>252</v>
      </c>
      <c r="D5" s="1329">
        <f t="shared" ref="D5:D36" si="2">SUM(E5:L5)</f>
        <v>3</v>
      </c>
      <c r="E5" s="1330">
        <v>2</v>
      </c>
      <c r="F5" s="1330">
        <v>1</v>
      </c>
      <c r="G5" s="1330">
        <v>0</v>
      </c>
      <c r="H5" s="1330">
        <v>0</v>
      </c>
      <c r="I5" s="1330">
        <v>0</v>
      </c>
      <c r="J5" s="1330">
        <v>0</v>
      </c>
      <c r="K5" s="1330">
        <v>0</v>
      </c>
      <c r="L5" s="1331">
        <v>0</v>
      </c>
      <c r="M5" s="891">
        <f t="shared" ref="M5:M36" si="3">G5+H5+I5+J5+K5</f>
        <v>0</v>
      </c>
      <c r="N5" s="568"/>
      <c r="O5" s="891">
        <v>0</v>
      </c>
      <c r="P5" s="891">
        <v>2</v>
      </c>
      <c r="Q5" s="891">
        <v>1</v>
      </c>
      <c r="R5" s="891">
        <v>0</v>
      </c>
      <c r="S5" s="1229">
        <v>0</v>
      </c>
      <c r="T5" s="1229">
        <v>0</v>
      </c>
      <c r="U5" s="1229">
        <v>0</v>
      </c>
      <c r="W5" s="891">
        <f t="shared" ref="W5:W36" si="4">O5+P5</f>
        <v>2</v>
      </c>
      <c r="X5" s="891">
        <f t="shared" ref="X5:X36" si="5">Q5</f>
        <v>1</v>
      </c>
      <c r="Y5" s="891">
        <f t="shared" ref="Y5:Y36" si="6">R5</f>
        <v>0</v>
      </c>
      <c r="Z5" s="891">
        <f t="shared" ref="Z5:Z36" si="7">S5</f>
        <v>0</v>
      </c>
      <c r="AA5" s="1229">
        <f t="shared" ref="AA5:AA36" si="8">T5</f>
        <v>0</v>
      </c>
    </row>
    <row r="6" spans="1:27" s="1229" customFormat="1" ht="16.5" customHeight="1" x14ac:dyDescent="0.3">
      <c r="A6" s="1320" t="s">
        <v>12</v>
      </c>
      <c r="B6" s="1321" t="s">
        <v>13</v>
      </c>
      <c r="C6" s="489" t="s">
        <v>253</v>
      </c>
      <c r="D6" s="1329">
        <f t="shared" si="2"/>
        <v>9</v>
      </c>
      <c r="E6" s="1330">
        <v>7</v>
      </c>
      <c r="F6" s="1330">
        <v>1</v>
      </c>
      <c r="G6" s="1330">
        <v>0</v>
      </c>
      <c r="H6" s="1330">
        <v>0</v>
      </c>
      <c r="I6" s="1330">
        <v>0</v>
      </c>
      <c r="J6" s="1330">
        <v>1</v>
      </c>
      <c r="K6" s="1330">
        <v>0</v>
      </c>
      <c r="L6" s="1331">
        <v>0</v>
      </c>
      <c r="M6" s="891">
        <f t="shared" si="3"/>
        <v>1</v>
      </c>
      <c r="N6" s="568"/>
      <c r="O6" s="891">
        <v>0</v>
      </c>
      <c r="P6" s="891">
        <v>0</v>
      </c>
      <c r="Q6" s="891">
        <v>4</v>
      </c>
      <c r="R6" s="891">
        <v>5</v>
      </c>
      <c r="S6" s="1229">
        <v>0</v>
      </c>
      <c r="T6" s="1229">
        <v>0</v>
      </c>
      <c r="U6" s="1229">
        <v>0</v>
      </c>
      <c r="W6" s="891">
        <f t="shared" si="4"/>
        <v>0</v>
      </c>
      <c r="X6" s="891">
        <f t="shared" si="5"/>
        <v>4</v>
      </c>
      <c r="Y6" s="891">
        <f t="shared" si="6"/>
        <v>5</v>
      </c>
      <c r="Z6" s="891">
        <f t="shared" si="7"/>
        <v>0</v>
      </c>
      <c r="AA6" s="1229">
        <f t="shared" si="8"/>
        <v>0</v>
      </c>
    </row>
    <row r="7" spans="1:27" s="1229" customFormat="1" ht="16.5" customHeight="1" x14ac:dyDescent="0.3">
      <c r="A7" s="1320" t="s">
        <v>16</v>
      </c>
      <c r="B7" s="1321" t="s">
        <v>285</v>
      </c>
      <c r="C7" s="489" t="s">
        <v>253</v>
      </c>
      <c r="D7" s="1329">
        <f t="shared" si="2"/>
        <v>5</v>
      </c>
      <c r="E7" s="1330">
        <v>5</v>
      </c>
      <c r="F7" s="1330">
        <v>0</v>
      </c>
      <c r="G7" s="1330">
        <v>0</v>
      </c>
      <c r="H7" s="1330">
        <v>0</v>
      </c>
      <c r="I7" s="1330">
        <v>0</v>
      </c>
      <c r="J7" s="1330">
        <v>0</v>
      </c>
      <c r="K7" s="1330">
        <v>0</v>
      </c>
      <c r="L7" s="1331">
        <v>0</v>
      </c>
      <c r="M7" s="891">
        <f t="shared" si="3"/>
        <v>0</v>
      </c>
      <c r="N7" s="568"/>
      <c r="O7" s="891">
        <v>0</v>
      </c>
      <c r="P7" s="891">
        <v>4</v>
      </c>
      <c r="Q7" s="568">
        <v>1</v>
      </c>
      <c r="R7" s="891">
        <v>0</v>
      </c>
      <c r="S7" s="1229">
        <v>0</v>
      </c>
      <c r="T7" s="1229">
        <v>0</v>
      </c>
      <c r="U7" s="1229">
        <v>0</v>
      </c>
      <c r="W7" s="891">
        <f t="shared" si="4"/>
        <v>4</v>
      </c>
      <c r="X7" s="891">
        <f t="shared" si="5"/>
        <v>1</v>
      </c>
      <c r="Y7" s="891">
        <f t="shared" si="6"/>
        <v>0</v>
      </c>
      <c r="Z7" s="891">
        <f t="shared" si="7"/>
        <v>0</v>
      </c>
      <c r="AA7" s="1229">
        <f t="shared" si="8"/>
        <v>0</v>
      </c>
    </row>
    <row r="8" spans="1:27" s="1229" customFormat="1" ht="16.5" customHeight="1" x14ac:dyDescent="0.3">
      <c r="A8" s="1320" t="s">
        <v>18</v>
      </c>
      <c r="B8" s="1321" t="s">
        <v>19</v>
      </c>
      <c r="C8" s="489" t="s">
        <v>254</v>
      </c>
      <c r="D8" s="1329">
        <f t="shared" si="2"/>
        <v>0</v>
      </c>
      <c r="E8" s="1330">
        <v>0</v>
      </c>
      <c r="F8" s="1330">
        <v>0</v>
      </c>
      <c r="G8" s="1330">
        <v>0</v>
      </c>
      <c r="H8" s="1330">
        <v>0</v>
      </c>
      <c r="I8" s="1330">
        <v>0</v>
      </c>
      <c r="J8" s="1330">
        <v>0</v>
      </c>
      <c r="K8" s="1330">
        <v>0</v>
      </c>
      <c r="L8" s="1331">
        <v>0</v>
      </c>
      <c r="M8" s="891">
        <f t="shared" si="3"/>
        <v>0</v>
      </c>
      <c r="N8" s="568"/>
      <c r="O8" s="891">
        <v>0</v>
      </c>
      <c r="P8" s="891">
        <v>0</v>
      </c>
      <c r="Q8" s="891">
        <v>0</v>
      </c>
      <c r="R8" s="891">
        <v>0</v>
      </c>
      <c r="S8" s="1229">
        <v>0</v>
      </c>
      <c r="T8" s="1229">
        <v>0</v>
      </c>
      <c r="U8" s="1229">
        <v>0</v>
      </c>
      <c r="W8" s="891">
        <f t="shared" si="4"/>
        <v>0</v>
      </c>
      <c r="X8" s="891">
        <f t="shared" si="5"/>
        <v>0</v>
      </c>
      <c r="Y8" s="891">
        <f t="shared" si="6"/>
        <v>0</v>
      </c>
      <c r="Z8" s="891">
        <f t="shared" si="7"/>
        <v>0</v>
      </c>
      <c r="AA8" s="1229">
        <f t="shared" si="8"/>
        <v>0</v>
      </c>
    </row>
    <row r="9" spans="1:27" s="1229" customFormat="1" ht="16.5" customHeight="1" x14ac:dyDescent="0.3">
      <c r="A9" s="1320" t="s">
        <v>20</v>
      </c>
      <c r="B9" s="1321" t="s">
        <v>21</v>
      </c>
      <c r="C9" s="489" t="s">
        <v>253</v>
      </c>
      <c r="D9" s="1329">
        <f t="shared" si="2"/>
        <v>4</v>
      </c>
      <c r="E9" s="1330">
        <v>4</v>
      </c>
      <c r="F9" s="1330">
        <v>0</v>
      </c>
      <c r="G9" s="1330">
        <v>0</v>
      </c>
      <c r="H9" s="1330">
        <v>0</v>
      </c>
      <c r="I9" s="1330">
        <v>0</v>
      </c>
      <c r="J9" s="1330">
        <v>0</v>
      </c>
      <c r="K9" s="1330">
        <v>0</v>
      </c>
      <c r="L9" s="1331">
        <v>0</v>
      </c>
      <c r="M9" s="891">
        <f t="shared" si="3"/>
        <v>0</v>
      </c>
      <c r="N9" s="891"/>
      <c r="O9" s="891">
        <v>0</v>
      </c>
      <c r="P9" s="891">
        <v>1</v>
      </c>
      <c r="Q9" s="891">
        <v>1</v>
      </c>
      <c r="R9" s="891">
        <v>0</v>
      </c>
      <c r="S9" s="1229">
        <v>2</v>
      </c>
      <c r="T9" s="1229">
        <v>0</v>
      </c>
      <c r="U9" s="1229">
        <v>0</v>
      </c>
      <c r="W9" s="891">
        <f t="shared" si="4"/>
        <v>1</v>
      </c>
      <c r="X9" s="891">
        <f t="shared" si="5"/>
        <v>1</v>
      </c>
      <c r="Y9" s="891">
        <f t="shared" si="6"/>
        <v>0</v>
      </c>
      <c r="Z9" s="891">
        <f t="shared" si="7"/>
        <v>2</v>
      </c>
      <c r="AA9" s="1229">
        <f t="shared" si="8"/>
        <v>0</v>
      </c>
    </row>
    <row r="10" spans="1:27" s="1229" customFormat="1" ht="16.5" customHeight="1" x14ac:dyDescent="0.3">
      <c r="A10" s="1320" t="s">
        <v>22</v>
      </c>
      <c r="B10" s="1321" t="s">
        <v>23</v>
      </c>
      <c r="C10" s="489" t="s">
        <v>253</v>
      </c>
      <c r="D10" s="1329">
        <f t="shared" si="2"/>
        <v>0</v>
      </c>
      <c r="E10" s="1330">
        <v>0</v>
      </c>
      <c r="F10" s="1330">
        <v>0</v>
      </c>
      <c r="G10" s="1330">
        <v>0</v>
      </c>
      <c r="H10" s="1330">
        <v>0</v>
      </c>
      <c r="I10" s="1330">
        <v>0</v>
      </c>
      <c r="J10" s="1330">
        <v>0</v>
      </c>
      <c r="K10" s="1330">
        <v>0</v>
      </c>
      <c r="L10" s="1331">
        <v>0</v>
      </c>
      <c r="M10" s="891">
        <f t="shared" si="3"/>
        <v>0</v>
      </c>
      <c r="N10" s="568"/>
      <c r="O10" s="891">
        <v>0</v>
      </c>
      <c r="P10" s="891">
        <v>0</v>
      </c>
      <c r="Q10" s="891">
        <v>0</v>
      </c>
      <c r="R10" s="891">
        <v>0</v>
      </c>
      <c r="S10" s="1229">
        <v>0</v>
      </c>
      <c r="T10" s="1229">
        <v>0</v>
      </c>
      <c r="U10" s="1229">
        <v>0</v>
      </c>
      <c r="W10" s="891">
        <f t="shared" si="4"/>
        <v>0</v>
      </c>
      <c r="X10" s="891">
        <f t="shared" si="5"/>
        <v>0</v>
      </c>
      <c r="Y10" s="891">
        <f t="shared" si="6"/>
        <v>0</v>
      </c>
      <c r="Z10" s="891">
        <f t="shared" si="7"/>
        <v>0</v>
      </c>
      <c r="AA10" s="1229">
        <f t="shared" si="8"/>
        <v>0</v>
      </c>
    </row>
    <row r="11" spans="1:27" s="1229" customFormat="1" ht="16.5" customHeight="1" x14ac:dyDescent="0.3">
      <c r="A11" s="1320" t="s">
        <v>24</v>
      </c>
      <c r="B11" s="1321" t="s">
        <v>25</v>
      </c>
      <c r="C11" s="489" t="s">
        <v>255</v>
      </c>
      <c r="D11" s="1329">
        <f t="shared" si="2"/>
        <v>12</v>
      </c>
      <c r="E11" s="1330">
        <v>0</v>
      </c>
      <c r="F11" s="1330">
        <v>9</v>
      </c>
      <c r="G11" s="1330">
        <v>0</v>
      </c>
      <c r="H11" s="1330">
        <v>0</v>
      </c>
      <c r="I11" s="1330">
        <v>0</v>
      </c>
      <c r="J11" s="1330">
        <v>0</v>
      </c>
      <c r="K11" s="1330">
        <v>3</v>
      </c>
      <c r="L11" s="1331">
        <v>0</v>
      </c>
      <c r="M11" s="891">
        <f t="shared" si="3"/>
        <v>3</v>
      </c>
      <c r="N11" s="891"/>
      <c r="O11" s="891">
        <v>0</v>
      </c>
      <c r="P11" s="891">
        <v>4</v>
      </c>
      <c r="Q11" s="891">
        <v>3</v>
      </c>
      <c r="R11" s="891">
        <v>3</v>
      </c>
      <c r="S11" s="1229">
        <v>2</v>
      </c>
      <c r="T11" s="1229">
        <v>0</v>
      </c>
      <c r="U11" s="1229">
        <v>0</v>
      </c>
      <c r="W11" s="891">
        <f t="shared" si="4"/>
        <v>4</v>
      </c>
      <c r="X11" s="891">
        <f t="shared" si="5"/>
        <v>3</v>
      </c>
      <c r="Y11" s="891">
        <f t="shared" si="6"/>
        <v>3</v>
      </c>
      <c r="Z11" s="891">
        <f t="shared" si="7"/>
        <v>2</v>
      </c>
      <c r="AA11" s="1229">
        <f t="shared" si="8"/>
        <v>0</v>
      </c>
    </row>
    <row r="12" spans="1:27" s="1229" customFormat="1" ht="16.5" customHeight="1" x14ac:dyDescent="0.3">
      <c r="A12" s="1320" t="s">
        <v>26</v>
      </c>
      <c r="B12" s="1321" t="s">
        <v>547</v>
      </c>
      <c r="C12" s="489" t="s">
        <v>253</v>
      </c>
      <c r="D12" s="1329">
        <f t="shared" si="2"/>
        <v>20</v>
      </c>
      <c r="E12" s="1330">
        <v>11</v>
      </c>
      <c r="F12" s="1330">
        <v>4</v>
      </c>
      <c r="G12" s="1330">
        <v>0</v>
      </c>
      <c r="H12" s="1330">
        <v>0</v>
      </c>
      <c r="I12" s="1330">
        <v>0</v>
      </c>
      <c r="J12" s="1330">
        <v>5</v>
      </c>
      <c r="K12" s="1330">
        <v>0</v>
      </c>
      <c r="L12" s="1331">
        <v>0</v>
      </c>
      <c r="M12" s="891">
        <f t="shared" si="3"/>
        <v>5</v>
      </c>
      <c r="N12" s="568"/>
      <c r="O12" s="891">
        <v>0</v>
      </c>
      <c r="P12" s="891">
        <v>7</v>
      </c>
      <c r="Q12" s="568">
        <v>7</v>
      </c>
      <c r="R12" s="891">
        <v>4</v>
      </c>
      <c r="S12" s="1229">
        <v>2</v>
      </c>
      <c r="T12" s="1229">
        <v>0</v>
      </c>
      <c r="U12" s="1229">
        <v>0</v>
      </c>
      <c r="W12" s="891">
        <f t="shared" si="4"/>
        <v>7</v>
      </c>
      <c r="X12" s="891">
        <f t="shared" si="5"/>
        <v>7</v>
      </c>
      <c r="Y12" s="891">
        <f t="shared" si="6"/>
        <v>4</v>
      </c>
      <c r="Z12" s="891">
        <f t="shared" si="7"/>
        <v>2</v>
      </c>
      <c r="AA12" s="1229">
        <f t="shared" si="8"/>
        <v>0</v>
      </c>
    </row>
    <row r="13" spans="1:27" s="1229" customFormat="1" ht="16.5" customHeight="1" x14ac:dyDescent="0.3">
      <c r="A13" s="1320" t="s">
        <v>27</v>
      </c>
      <c r="B13" s="1321" t="s">
        <v>28</v>
      </c>
      <c r="C13" s="494" t="s">
        <v>253</v>
      </c>
      <c r="D13" s="1329">
        <f t="shared" si="2"/>
        <v>0</v>
      </c>
      <c r="E13" s="1330">
        <v>0</v>
      </c>
      <c r="F13" s="1332">
        <v>0</v>
      </c>
      <c r="G13" s="1332">
        <v>0</v>
      </c>
      <c r="H13" s="1332">
        <v>0</v>
      </c>
      <c r="I13" s="1332">
        <v>0</v>
      </c>
      <c r="J13" s="1333">
        <v>0</v>
      </c>
      <c r="K13" s="1333">
        <v>0</v>
      </c>
      <c r="L13" s="1334">
        <v>0</v>
      </c>
      <c r="M13" s="891">
        <f t="shared" si="3"/>
        <v>0</v>
      </c>
      <c r="N13" s="568"/>
      <c r="O13" s="891">
        <v>0</v>
      </c>
      <c r="P13" s="891">
        <v>0</v>
      </c>
      <c r="Q13" s="891">
        <v>0</v>
      </c>
      <c r="R13" s="891">
        <v>0</v>
      </c>
      <c r="S13" s="1229">
        <v>0</v>
      </c>
      <c r="T13" s="1229">
        <v>0</v>
      </c>
      <c r="U13" s="1229">
        <v>0</v>
      </c>
      <c r="W13" s="891">
        <f t="shared" si="4"/>
        <v>0</v>
      </c>
      <c r="X13" s="891">
        <f t="shared" si="5"/>
        <v>0</v>
      </c>
      <c r="Y13" s="891">
        <f t="shared" si="6"/>
        <v>0</v>
      </c>
      <c r="Z13" s="891">
        <f t="shared" si="7"/>
        <v>0</v>
      </c>
      <c r="AA13" s="1229">
        <f t="shared" si="8"/>
        <v>0</v>
      </c>
    </row>
    <row r="14" spans="1:27" s="1229" customFormat="1" ht="16.5" customHeight="1" x14ac:dyDescent="0.3">
      <c r="A14" s="1320" t="s">
        <v>29</v>
      </c>
      <c r="B14" s="1321" t="s">
        <v>736</v>
      </c>
      <c r="C14" s="494" t="s">
        <v>253</v>
      </c>
      <c r="D14" s="1329">
        <f t="shared" si="2"/>
        <v>6</v>
      </c>
      <c r="E14" s="1330">
        <v>2</v>
      </c>
      <c r="F14" s="1330">
        <v>1</v>
      </c>
      <c r="G14" s="1330">
        <v>0</v>
      </c>
      <c r="H14" s="1330">
        <v>0</v>
      </c>
      <c r="I14" s="1330">
        <v>0</v>
      </c>
      <c r="J14" s="1330">
        <v>2</v>
      </c>
      <c r="K14" s="1330">
        <v>1</v>
      </c>
      <c r="L14" s="1331">
        <v>0</v>
      </c>
      <c r="M14" s="891">
        <f t="shared" si="3"/>
        <v>3</v>
      </c>
      <c r="N14" s="568"/>
      <c r="O14" s="891">
        <v>0</v>
      </c>
      <c r="P14" s="891">
        <v>1</v>
      </c>
      <c r="Q14" s="891">
        <v>3</v>
      </c>
      <c r="R14" s="891">
        <v>1</v>
      </c>
      <c r="S14" s="1229">
        <v>1</v>
      </c>
      <c r="T14" s="1229">
        <v>0</v>
      </c>
      <c r="U14" s="1229">
        <v>0</v>
      </c>
      <c r="W14" s="891">
        <f t="shared" si="4"/>
        <v>1</v>
      </c>
      <c r="X14" s="891">
        <f t="shared" si="5"/>
        <v>3</v>
      </c>
      <c r="Y14" s="891">
        <f t="shared" si="6"/>
        <v>1</v>
      </c>
      <c r="Z14" s="891">
        <f t="shared" si="7"/>
        <v>1</v>
      </c>
      <c r="AA14" s="1229">
        <f t="shared" si="8"/>
        <v>0</v>
      </c>
    </row>
    <row r="15" spans="1:27" s="1229" customFormat="1" ht="16.5" customHeight="1" x14ac:dyDescent="0.3">
      <c r="A15" s="1320" t="s">
        <v>30</v>
      </c>
      <c r="B15" s="1321" t="s">
        <v>31</v>
      </c>
      <c r="C15" s="494" t="s">
        <v>256</v>
      </c>
      <c r="D15" s="1329">
        <f t="shared" si="2"/>
        <v>1</v>
      </c>
      <c r="E15" s="1330">
        <v>1</v>
      </c>
      <c r="F15" s="1330">
        <v>0</v>
      </c>
      <c r="G15" s="1330">
        <v>0</v>
      </c>
      <c r="H15" s="1330">
        <v>0</v>
      </c>
      <c r="I15" s="1330">
        <v>0</v>
      </c>
      <c r="J15" s="1330">
        <v>0</v>
      </c>
      <c r="K15" s="1330">
        <v>0</v>
      </c>
      <c r="L15" s="1331">
        <v>0</v>
      </c>
      <c r="M15" s="568">
        <f t="shared" si="3"/>
        <v>0</v>
      </c>
      <c r="N15" s="568"/>
      <c r="O15" s="891">
        <v>0</v>
      </c>
      <c r="P15" s="891">
        <v>0</v>
      </c>
      <c r="Q15" s="891">
        <v>0</v>
      </c>
      <c r="R15" s="891">
        <v>1</v>
      </c>
      <c r="S15" s="1229">
        <v>0</v>
      </c>
      <c r="T15" s="1229">
        <v>0</v>
      </c>
      <c r="U15" s="1229">
        <v>0</v>
      </c>
      <c r="W15" s="891">
        <f t="shared" si="4"/>
        <v>0</v>
      </c>
      <c r="X15" s="891">
        <f t="shared" si="5"/>
        <v>0</v>
      </c>
      <c r="Y15" s="891">
        <f t="shared" si="6"/>
        <v>1</v>
      </c>
      <c r="Z15" s="891">
        <f t="shared" si="7"/>
        <v>0</v>
      </c>
      <c r="AA15" s="1229">
        <f t="shared" si="8"/>
        <v>0</v>
      </c>
    </row>
    <row r="16" spans="1:27" s="1229" customFormat="1" ht="16.5" customHeight="1" x14ac:dyDescent="0.3">
      <c r="A16" s="1320" t="s">
        <v>32</v>
      </c>
      <c r="B16" s="1321" t="s">
        <v>33</v>
      </c>
      <c r="C16" s="494" t="s">
        <v>253</v>
      </c>
      <c r="D16" s="1329">
        <f t="shared" si="2"/>
        <v>1</v>
      </c>
      <c r="E16" s="1330">
        <v>1</v>
      </c>
      <c r="F16" s="1330">
        <v>0</v>
      </c>
      <c r="G16" s="1330">
        <v>0</v>
      </c>
      <c r="H16" s="1330">
        <v>0</v>
      </c>
      <c r="I16" s="1330">
        <v>0</v>
      </c>
      <c r="J16" s="1330">
        <v>0</v>
      </c>
      <c r="K16" s="1330">
        <v>0</v>
      </c>
      <c r="L16" s="1331">
        <v>0</v>
      </c>
      <c r="M16" s="891">
        <f t="shared" si="3"/>
        <v>0</v>
      </c>
      <c r="N16" s="568"/>
      <c r="O16" s="891">
        <v>0</v>
      </c>
      <c r="P16" s="891">
        <v>0</v>
      </c>
      <c r="Q16" s="891">
        <v>1</v>
      </c>
      <c r="R16" s="891">
        <v>0</v>
      </c>
      <c r="S16" s="1229">
        <v>0</v>
      </c>
      <c r="T16" s="1229">
        <v>0</v>
      </c>
      <c r="U16" s="1229">
        <v>0</v>
      </c>
      <c r="W16" s="891">
        <f t="shared" si="4"/>
        <v>0</v>
      </c>
      <c r="X16" s="891">
        <f t="shared" si="5"/>
        <v>1</v>
      </c>
      <c r="Y16" s="891">
        <f t="shared" si="6"/>
        <v>0</v>
      </c>
      <c r="Z16" s="891">
        <f t="shared" si="7"/>
        <v>0</v>
      </c>
      <c r="AA16" s="1229">
        <f t="shared" si="8"/>
        <v>0</v>
      </c>
    </row>
    <row r="17" spans="1:27" s="1229" customFormat="1" ht="16.5" customHeight="1" x14ac:dyDescent="0.3">
      <c r="A17" s="1320" t="s">
        <v>36</v>
      </c>
      <c r="B17" s="1321" t="s">
        <v>37</v>
      </c>
      <c r="C17" s="494" t="s">
        <v>252</v>
      </c>
      <c r="D17" s="1329">
        <f t="shared" si="2"/>
        <v>0</v>
      </c>
      <c r="E17" s="1330">
        <v>0</v>
      </c>
      <c r="F17" s="1330">
        <v>0</v>
      </c>
      <c r="G17" s="1330">
        <v>0</v>
      </c>
      <c r="H17" s="1330">
        <v>0</v>
      </c>
      <c r="I17" s="1330">
        <v>0</v>
      </c>
      <c r="J17" s="1330">
        <v>0</v>
      </c>
      <c r="K17" s="1330">
        <v>0</v>
      </c>
      <c r="L17" s="1331">
        <v>0</v>
      </c>
      <c r="M17" s="891">
        <f t="shared" si="3"/>
        <v>0</v>
      </c>
      <c r="N17" s="891"/>
      <c r="O17" s="891">
        <v>0</v>
      </c>
      <c r="P17" s="891">
        <v>0</v>
      </c>
      <c r="Q17" s="891">
        <v>0</v>
      </c>
      <c r="R17" s="891">
        <v>0</v>
      </c>
      <c r="S17" s="1229">
        <v>0</v>
      </c>
      <c r="T17" s="1229">
        <v>0</v>
      </c>
      <c r="U17" s="1229">
        <v>0</v>
      </c>
      <c r="W17" s="891">
        <f t="shared" si="4"/>
        <v>0</v>
      </c>
      <c r="X17" s="891">
        <f t="shared" si="5"/>
        <v>0</v>
      </c>
      <c r="Y17" s="891">
        <f t="shared" si="6"/>
        <v>0</v>
      </c>
      <c r="Z17" s="891">
        <f t="shared" si="7"/>
        <v>0</v>
      </c>
      <c r="AA17" s="1229">
        <f t="shared" si="8"/>
        <v>0</v>
      </c>
    </row>
    <row r="18" spans="1:27" s="1229" customFormat="1" ht="16.5" customHeight="1" x14ac:dyDescent="0.3">
      <c r="A18" s="1320" t="s">
        <v>38</v>
      </c>
      <c r="B18" s="1321" t="s">
        <v>39</v>
      </c>
      <c r="C18" s="494" t="s">
        <v>256</v>
      </c>
      <c r="D18" s="1329">
        <f t="shared" si="2"/>
        <v>0</v>
      </c>
      <c r="E18" s="1330">
        <v>0</v>
      </c>
      <c r="F18" s="1330">
        <v>0</v>
      </c>
      <c r="G18" s="1330">
        <v>0</v>
      </c>
      <c r="H18" s="1330">
        <v>0</v>
      </c>
      <c r="I18" s="1330">
        <v>0</v>
      </c>
      <c r="J18" s="1330">
        <v>0</v>
      </c>
      <c r="K18" s="1330">
        <v>0</v>
      </c>
      <c r="L18" s="1331">
        <v>0</v>
      </c>
      <c r="M18" s="891">
        <f t="shared" si="3"/>
        <v>0</v>
      </c>
      <c r="N18" s="568"/>
      <c r="O18" s="891">
        <v>0</v>
      </c>
      <c r="P18" s="891">
        <v>0</v>
      </c>
      <c r="Q18" s="891">
        <v>0</v>
      </c>
      <c r="R18" s="891">
        <v>0</v>
      </c>
      <c r="S18" s="1229">
        <v>0</v>
      </c>
      <c r="T18" s="1229">
        <v>0</v>
      </c>
      <c r="U18" s="1229">
        <v>0</v>
      </c>
      <c r="W18" s="891">
        <f t="shared" si="4"/>
        <v>0</v>
      </c>
      <c r="X18" s="891">
        <f t="shared" si="5"/>
        <v>0</v>
      </c>
      <c r="Y18" s="891">
        <f t="shared" si="6"/>
        <v>0</v>
      </c>
      <c r="Z18" s="891">
        <f t="shared" si="7"/>
        <v>0</v>
      </c>
      <c r="AA18" s="1229">
        <f t="shared" si="8"/>
        <v>0</v>
      </c>
    </row>
    <row r="19" spans="1:27" s="1229" customFormat="1" ht="16.5" customHeight="1" x14ac:dyDescent="0.3">
      <c r="A19" s="1320" t="s">
        <v>40</v>
      </c>
      <c r="B19" s="1321" t="s">
        <v>41</v>
      </c>
      <c r="C19" s="494" t="s">
        <v>254</v>
      </c>
      <c r="D19" s="1329">
        <f t="shared" si="2"/>
        <v>1</v>
      </c>
      <c r="E19" s="1330">
        <v>0</v>
      </c>
      <c r="F19" s="1330">
        <v>1</v>
      </c>
      <c r="G19" s="1330">
        <v>0</v>
      </c>
      <c r="H19" s="1330">
        <v>0</v>
      </c>
      <c r="I19" s="1330">
        <v>0</v>
      </c>
      <c r="J19" s="1330">
        <v>0</v>
      </c>
      <c r="K19" s="1330">
        <v>0</v>
      </c>
      <c r="L19" s="1331">
        <v>0</v>
      </c>
      <c r="M19" s="891">
        <f t="shared" si="3"/>
        <v>0</v>
      </c>
      <c r="N19" s="891"/>
      <c r="O19" s="891">
        <v>0</v>
      </c>
      <c r="P19" s="891">
        <v>1</v>
      </c>
      <c r="Q19" s="891">
        <v>0</v>
      </c>
      <c r="R19" s="891">
        <v>0</v>
      </c>
      <c r="S19" s="1229">
        <v>0</v>
      </c>
      <c r="T19" s="1229">
        <v>0</v>
      </c>
      <c r="U19" s="1229">
        <v>0</v>
      </c>
      <c r="W19" s="891">
        <f t="shared" si="4"/>
        <v>1</v>
      </c>
      <c r="X19" s="891">
        <f t="shared" si="5"/>
        <v>0</v>
      </c>
      <c r="Y19" s="891">
        <f t="shared" si="6"/>
        <v>0</v>
      </c>
      <c r="Z19" s="891">
        <f t="shared" si="7"/>
        <v>0</v>
      </c>
      <c r="AA19" s="1229">
        <f t="shared" si="8"/>
        <v>0</v>
      </c>
    </row>
    <row r="20" spans="1:27" s="1229" customFormat="1" ht="16.5" customHeight="1" x14ac:dyDescent="0.3">
      <c r="A20" s="1320" t="s">
        <v>42</v>
      </c>
      <c r="B20" s="1321" t="s">
        <v>43</v>
      </c>
      <c r="C20" s="494" t="s">
        <v>253</v>
      </c>
      <c r="D20" s="1329">
        <f t="shared" si="2"/>
        <v>4</v>
      </c>
      <c r="E20" s="1330">
        <v>3</v>
      </c>
      <c r="F20" s="1330">
        <v>0</v>
      </c>
      <c r="G20" s="1330">
        <v>0</v>
      </c>
      <c r="H20" s="1330">
        <v>0</v>
      </c>
      <c r="I20" s="1330">
        <v>0</v>
      </c>
      <c r="J20" s="1330">
        <v>0</v>
      </c>
      <c r="K20" s="1330">
        <v>1</v>
      </c>
      <c r="L20" s="1331">
        <v>0</v>
      </c>
      <c r="M20" s="891">
        <f t="shared" si="3"/>
        <v>1</v>
      </c>
      <c r="N20" s="568"/>
      <c r="O20" s="891">
        <v>0</v>
      </c>
      <c r="P20" s="891">
        <v>1</v>
      </c>
      <c r="Q20" s="891">
        <v>1</v>
      </c>
      <c r="R20" s="891">
        <v>1</v>
      </c>
      <c r="S20" s="1229">
        <v>1</v>
      </c>
      <c r="T20" s="1229">
        <v>0</v>
      </c>
      <c r="U20" s="1229">
        <v>0</v>
      </c>
      <c r="W20" s="891">
        <f t="shared" si="4"/>
        <v>1</v>
      </c>
      <c r="X20" s="891">
        <f t="shared" si="5"/>
        <v>1</v>
      </c>
      <c r="Y20" s="891">
        <f t="shared" si="6"/>
        <v>1</v>
      </c>
      <c r="Z20" s="891">
        <f t="shared" si="7"/>
        <v>1</v>
      </c>
      <c r="AA20" s="1229">
        <f t="shared" si="8"/>
        <v>0</v>
      </c>
    </row>
    <row r="21" spans="1:27" s="1229" customFormat="1" ht="16.5" customHeight="1" x14ac:dyDescent="0.3">
      <c r="A21" s="1320" t="s">
        <v>44</v>
      </c>
      <c r="B21" s="1321" t="s">
        <v>45</v>
      </c>
      <c r="C21" s="494" t="s">
        <v>254</v>
      </c>
      <c r="D21" s="1329">
        <f t="shared" si="2"/>
        <v>5</v>
      </c>
      <c r="E21" s="1330">
        <v>3</v>
      </c>
      <c r="F21" s="1330">
        <v>0</v>
      </c>
      <c r="G21" s="1330">
        <v>0</v>
      </c>
      <c r="H21" s="1330">
        <v>0</v>
      </c>
      <c r="I21" s="1330">
        <v>0</v>
      </c>
      <c r="J21" s="1330">
        <v>1</v>
      </c>
      <c r="K21" s="1330">
        <v>1</v>
      </c>
      <c r="L21" s="1331">
        <v>0</v>
      </c>
      <c r="M21" s="891">
        <f t="shared" si="3"/>
        <v>2</v>
      </c>
      <c r="N21" s="891"/>
      <c r="O21" s="891">
        <v>0</v>
      </c>
      <c r="P21" s="891">
        <v>1</v>
      </c>
      <c r="Q21" s="891">
        <v>2</v>
      </c>
      <c r="R21" s="891">
        <v>1</v>
      </c>
      <c r="S21" s="1229">
        <v>1</v>
      </c>
      <c r="T21" s="1229">
        <v>0</v>
      </c>
      <c r="U21" s="1229">
        <v>0</v>
      </c>
      <c r="W21" s="891">
        <f t="shared" si="4"/>
        <v>1</v>
      </c>
      <c r="X21" s="891">
        <f t="shared" si="5"/>
        <v>2</v>
      </c>
      <c r="Y21" s="891">
        <f t="shared" si="6"/>
        <v>1</v>
      </c>
      <c r="Z21" s="891">
        <f t="shared" si="7"/>
        <v>1</v>
      </c>
      <c r="AA21" s="1229">
        <f t="shared" si="8"/>
        <v>0</v>
      </c>
    </row>
    <row r="22" spans="1:27" s="1229" customFormat="1" ht="16.5" customHeight="1" x14ac:dyDescent="0.3">
      <c r="A22" s="1320" t="s">
        <v>46</v>
      </c>
      <c r="B22" s="1321" t="s">
        <v>47</v>
      </c>
      <c r="C22" s="494" t="s">
        <v>256</v>
      </c>
      <c r="D22" s="1329">
        <f t="shared" si="2"/>
        <v>8</v>
      </c>
      <c r="E22" s="1330">
        <v>7</v>
      </c>
      <c r="F22" s="1330">
        <v>0</v>
      </c>
      <c r="G22" s="1330">
        <v>0</v>
      </c>
      <c r="H22" s="1330">
        <v>0</v>
      </c>
      <c r="I22" s="1330">
        <v>0</v>
      </c>
      <c r="J22" s="1330">
        <v>0</v>
      </c>
      <c r="K22" s="1330">
        <v>1</v>
      </c>
      <c r="L22" s="1331">
        <v>0</v>
      </c>
      <c r="M22" s="568">
        <f t="shared" si="3"/>
        <v>1</v>
      </c>
      <c r="N22" s="568"/>
      <c r="O22" s="891">
        <v>0</v>
      </c>
      <c r="P22" s="891">
        <v>4</v>
      </c>
      <c r="Q22" s="891">
        <v>3</v>
      </c>
      <c r="R22" s="891">
        <v>0</v>
      </c>
      <c r="S22" s="1229">
        <v>1</v>
      </c>
      <c r="T22" s="1229">
        <v>0</v>
      </c>
      <c r="U22" s="1229">
        <v>0</v>
      </c>
      <c r="W22" s="891">
        <f t="shared" si="4"/>
        <v>4</v>
      </c>
      <c r="X22" s="891">
        <f t="shared" si="5"/>
        <v>3</v>
      </c>
      <c r="Y22" s="891">
        <f t="shared" si="6"/>
        <v>0</v>
      </c>
      <c r="Z22" s="891">
        <f t="shared" si="7"/>
        <v>1</v>
      </c>
      <c r="AA22" s="1229">
        <f t="shared" si="8"/>
        <v>0</v>
      </c>
    </row>
    <row r="23" spans="1:27" s="1229" customFormat="1" ht="16.5" customHeight="1" x14ac:dyDescent="0.3">
      <c r="A23" s="1320" t="s">
        <v>48</v>
      </c>
      <c r="B23" s="1321" t="s">
        <v>257</v>
      </c>
      <c r="C23" s="494" t="s">
        <v>254</v>
      </c>
      <c r="D23" s="1329">
        <f t="shared" si="2"/>
        <v>0</v>
      </c>
      <c r="E23" s="1330">
        <v>0</v>
      </c>
      <c r="F23" s="1332">
        <v>0</v>
      </c>
      <c r="G23" s="1332">
        <v>0</v>
      </c>
      <c r="H23" s="1332">
        <v>0</v>
      </c>
      <c r="I23" s="1332">
        <v>0</v>
      </c>
      <c r="J23" s="1333">
        <v>0</v>
      </c>
      <c r="K23" s="1333">
        <v>0</v>
      </c>
      <c r="L23" s="1334">
        <v>0</v>
      </c>
      <c r="M23" s="891">
        <f t="shared" si="3"/>
        <v>0</v>
      </c>
      <c r="N23" s="568"/>
      <c r="O23" s="891">
        <v>0</v>
      </c>
      <c r="P23" s="891">
        <v>0</v>
      </c>
      <c r="Q23" s="891">
        <v>0</v>
      </c>
      <c r="R23" s="891">
        <v>0</v>
      </c>
      <c r="S23" s="1229">
        <v>0</v>
      </c>
      <c r="T23" s="1229">
        <v>0</v>
      </c>
      <c r="U23" s="1229">
        <v>0</v>
      </c>
      <c r="W23" s="891">
        <f t="shared" si="4"/>
        <v>0</v>
      </c>
      <c r="X23" s="891">
        <f t="shared" si="5"/>
        <v>0</v>
      </c>
      <c r="Y23" s="891">
        <f t="shared" si="6"/>
        <v>0</v>
      </c>
      <c r="Z23" s="891">
        <f t="shared" si="7"/>
        <v>0</v>
      </c>
      <c r="AA23" s="1229">
        <f t="shared" si="8"/>
        <v>0</v>
      </c>
    </row>
    <row r="24" spans="1:27" s="1229" customFormat="1" ht="16.5" customHeight="1" x14ac:dyDescent="0.3">
      <c r="A24" s="1320" t="s">
        <v>50</v>
      </c>
      <c r="B24" s="1321" t="s">
        <v>51</v>
      </c>
      <c r="C24" s="494" t="s">
        <v>253</v>
      </c>
      <c r="D24" s="1329">
        <f t="shared" si="2"/>
        <v>2</v>
      </c>
      <c r="E24" s="1330">
        <v>1</v>
      </c>
      <c r="F24" s="1330">
        <v>0</v>
      </c>
      <c r="G24" s="1330">
        <v>0</v>
      </c>
      <c r="H24" s="1330">
        <v>0</v>
      </c>
      <c r="I24" s="1330">
        <v>0</v>
      </c>
      <c r="J24" s="1330">
        <v>1</v>
      </c>
      <c r="K24" s="1330">
        <v>0</v>
      </c>
      <c r="L24" s="1331">
        <v>0</v>
      </c>
      <c r="M24" s="891">
        <f t="shared" si="3"/>
        <v>1</v>
      </c>
      <c r="N24" s="568"/>
      <c r="O24" s="891">
        <v>0</v>
      </c>
      <c r="P24" s="891">
        <v>1</v>
      </c>
      <c r="Q24" s="891">
        <v>1</v>
      </c>
      <c r="R24" s="891">
        <v>0</v>
      </c>
      <c r="S24" s="1229">
        <v>0</v>
      </c>
      <c r="T24" s="1229">
        <v>0</v>
      </c>
      <c r="U24" s="1229">
        <v>0</v>
      </c>
      <c r="W24" s="891">
        <f t="shared" si="4"/>
        <v>1</v>
      </c>
      <c r="X24" s="891">
        <f t="shared" si="5"/>
        <v>1</v>
      </c>
      <c r="Y24" s="891">
        <f t="shared" si="6"/>
        <v>0</v>
      </c>
      <c r="Z24" s="891">
        <f t="shared" si="7"/>
        <v>0</v>
      </c>
      <c r="AA24" s="1229">
        <f t="shared" si="8"/>
        <v>0</v>
      </c>
    </row>
    <row r="25" spans="1:27" s="1229" customFormat="1" ht="16.5" customHeight="1" x14ac:dyDescent="0.3">
      <c r="A25" s="1320" t="s">
        <v>56</v>
      </c>
      <c r="B25" s="1321" t="s">
        <v>283</v>
      </c>
      <c r="C25" s="494" t="s">
        <v>254</v>
      </c>
      <c r="D25" s="1329">
        <f t="shared" si="2"/>
        <v>13</v>
      </c>
      <c r="E25" s="1330">
        <v>12</v>
      </c>
      <c r="F25" s="1330">
        <v>1</v>
      </c>
      <c r="G25" s="1330">
        <v>0</v>
      </c>
      <c r="H25" s="1330">
        <v>0</v>
      </c>
      <c r="I25" s="1330">
        <v>0</v>
      </c>
      <c r="J25" s="1330">
        <v>0</v>
      </c>
      <c r="K25" s="1330">
        <v>0</v>
      </c>
      <c r="L25" s="1331">
        <v>0</v>
      </c>
      <c r="M25" s="891">
        <f t="shared" si="3"/>
        <v>0</v>
      </c>
      <c r="N25" s="891"/>
      <c r="O25" s="891">
        <v>0</v>
      </c>
      <c r="P25" s="891">
        <v>5</v>
      </c>
      <c r="Q25" s="891">
        <v>1</v>
      </c>
      <c r="R25" s="891">
        <v>6</v>
      </c>
      <c r="S25" s="1229">
        <v>1</v>
      </c>
      <c r="T25" s="1229">
        <v>0</v>
      </c>
      <c r="U25" s="1229">
        <v>0</v>
      </c>
      <c r="W25" s="891">
        <f t="shared" si="4"/>
        <v>5</v>
      </c>
      <c r="X25" s="891">
        <f t="shared" si="5"/>
        <v>1</v>
      </c>
      <c r="Y25" s="891">
        <f t="shared" si="6"/>
        <v>6</v>
      </c>
      <c r="Z25" s="891">
        <f t="shared" si="7"/>
        <v>1</v>
      </c>
      <c r="AA25" s="1229">
        <f t="shared" si="8"/>
        <v>0</v>
      </c>
    </row>
    <row r="26" spans="1:27" s="1229" customFormat="1" ht="16.5" customHeight="1" x14ac:dyDescent="0.3">
      <c r="A26" s="1320" t="s">
        <v>58</v>
      </c>
      <c r="B26" s="1321" t="s">
        <v>59</v>
      </c>
      <c r="C26" s="494" t="s">
        <v>255</v>
      </c>
      <c r="D26" s="1335">
        <f t="shared" si="2"/>
        <v>1</v>
      </c>
      <c r="E26" s="1332">
        <v>1</v>
      </c>
      <c r="F26" s="1332">
        <v>0</v>
      </c>
      <c r="G26" s="1332">
        <v>0</v>
      </c>
      <c r="H26" s="1332">
        <v>0</v>
      </c>
      <c r="I26" s="1332">
        <v>0</v>
      </c>
      <c r="J26" s="1333">
        <v>0</v>
      </c>
      <c r="K26" s="1333">
        <v>0</v>
      </c>
      <c r="L26" s="1334">
        <v>0</v>
      </c>
      <c r="M26" s="891">
        <f t="shared" si="3"/>
        <v>0</v>
      </c>
      <c r="N26" s="568"/>
      <c r="O26" s="891">
        <v>0</v>
      </c>
      <c r="P26" s="891">
        <v>1</v>
      </c>
      <c r="Q26" s="891">
        <v>0</v>
      </c>
      <c r="R26" s="891">
        <v>0</v>
      </c>
      <c r="S26" s="1229">
        <v>0</v>
      </c>
      <c r="T26" s="1229">
        <v>0</v>
      </c>
      <c r="U26" s="1229">
        <v>0</v>
      </c>
      <c r="W26" s="891">
        <f t="shared" si="4"/>
        <v>1</v>
      </c>
      <c r="X26" s="891">
        <f t="shared" si="5"/>
        <v>0</v>
      </c>
      <c r="Y26" s="891">
        <f t="shared" si="6"/>
        <v>0</v>
      </c>
      <c r="Z26" s="891">
        <f t="shared" si="7"/>
        <v>0</v>
      </c>
      <c r="AA26" s="1229">
        <f t="shared" si="8"/>
        <v>0</v>
      </c>
    </row>
    <row r="27" spans="1:27" s="1229" customFormat="1" ht="16.5" customHeight="1" x14ac:dyDescent="0.3">
      <c r="A27" s="1320" t="s">
        <v>60</v>
      </c>
      <c r="B27" s="1321" t="s">
        <v>61</v>
      </c>
      <c r="C27" s="494" t="s">
        <v>253</v>
      </c>
      <c r="D27" s="1335">
        <f t="shared" si="2"/>
        <v>1</v>
      </c>
      <c r="E27" s="1332">
        <v>1</v>
      </c>
      <c r="F27" s="1332">
        <v>0</v>
      </c>
      <c r="G27" s="1332">
        <v>0</v>
      </c>
      <c r="H27" s="1332">
        <v>0</v>
      </c>
      <c r="I27" s="1332">
        <v>0</v>
      </c>
      <c r="J27" s="1333">
        <v>0</v>
      </c>
      <c r="K27" s="1333">
        <v>0</v>
      </c>
      <c r="L27" s="1334">
        <v>0</v>
      </c>
      <c r="M27" s="891">
        <f t="shared" si="3"/>
        <v>0</v>
      </c>
      <c r="N27" s="568"/>
      <c r="O27" s="891">
        <v>0</v>
      </c>
      <c r="P27" s="891">
        <v>1</v>
      </c>
      <c r="Q27" s="891">
        <v>0</v>
      </c>
      <c r="R27" s="891">
        <v>0</v>
      </c>
      <c r="S27" s="1229">
        <v>0</v>
      </c>
      <c r="T27" s="1229">
        <v>0</v>
      </c>
      <c r="U27" s="1229">
        <v>0</v>
      </c>
      <c r="W27" s="891">
        <f t="shared" si="4"/>
        <v>1</v>
      </c>
      <c r="X27" s="891">
        <f t="shared" si="5"/>
        <v>0</v>
      </c>
      <c r="Y27" s="891">
        <f t="shared" si="6"/>
        <v>0</v>
      </c>
      <c r="Z27" s="891">
        <f t="shared" si="7"/>
        <v>0</v>
      </c>
      <c r="AA27" s="1229">
        <f t="shared" si="8"/>
        <v>0</v>
      </c>
    </row>
    <row r="28" spans="1:27" s="1229" customFormat="1" ht="16.5" customHeight="1" x14ac:dyDescent="0.3">
      <c r="A28" s="1320" t="s">
        <v>62</v>
      </c>
      <c r="B28" s="1321" t="s">
        <v>63</v>
      </c>
      <c r="C28" s="494" t="s">
        <v>255</v>
      </c>
      <c r="D28" s="1329">
        <f t="shared" si="2"/>
        <v>5</v>
      </c>
      <c r="E28" s="1330">
        <v>3</v>
      </c>
      <c r="F28" s="1330">
        <v>1</v>
      </c>
      <c r="G28" s="1330">
        <v>0</v>
      </c>
      <c r="H28" s="1330">
        <v>0</v>
      </c>
      <c r="I28" s="1330">
        <v>0</v>
      </c>
      <c r="J28" s="1330">
        <v>0</v>
      </c>
      <c r="K28" s="1330">
        <v>1</v>
      </c>
      <c r="L28" s="1331">
        <v>0</v>
      </c>
      <c r="M28" s="891">
        <f t="shared" si="3"/>
        <v>1</v>
      </c>
      <c r="N28" s="568"/>
      <c r="O28" s="891">
        <v>0</v>
      </c>
      <c r="P28" s="891">
        <v>3</v>
      </c>
      <c r="Q28" s="891">
        <v>0</v>
      </c>
      <c r="R28" s="891">
        <v>2</v>
      </c>
      <c r="S28" s="1229">
        <v>0</v>
      </c>
      <c r="T28" s="1229">
        <v>0</v>
      </c>
      <c r="U28" s="1229">
        <v>0</v>
      </c>
      <c r="W28" s="891">
        <f t="shared" si="4"/>
        <v>3</v>
      </c>
      <c r="X28" s="891">
        <f t="shared" si="5"/>
        <v>0</v>
      </c>
      <c r="Y28" s="891">
        <f t="shared" si="6"/>
        <v>2</v>
      </c>
      <c r="Z28" s="891">
        <f t="shared" si="7"/>
        <v>0</v>
      </c>
      <c r="AA28" s="1229">
        <f t="shared" si="8"/>
        <v>0</v>
      </c>
    </row>
    <row r="29" spans="1:27" s="1229" customFormat="1" ht="16.5" customHeight="1" x14ac:dyDescent="0.3">
      <c r="A29" s="1320" t="s">
        <v>64</v>
      </c>
      <c r="B29" s="1321" t="s">
        <v>65</v>
      </c>
      <c r="C29" s="494" t="s">
        <v>254</v>
      </c>
      <c r="D29" s="1329">
        <f t="shared" si="2"/>
        <v>0</v>
      </c>
      <c r="E29" s="1330">
        <v>0</v>
      </c>
      <c r="F29" s="1330">
        <v>0</v>
      </c>
      <c r="G29" s="1330">
        <v>0</v>
      </c>
      <c r="H29" s="1330">
        <v>0</v>
      </c>
      <c r="I29" s="1330">
        <v>0</v>
      </c>
      <c r="J29" s="1330">
        <v>0</v>
      </c>
      <c r="K29" s="1330">
        <v>0</v>
      </c>
      <c r="L29" s="1331">
        <v>0</v>
      </c>
      <c r="M29" s="891">
        <f t="shared" si="3"/>
        <v>0</v>
      </c>
      <c r="N29" s="568"/>
      <c r="O29" s="891">
        <v>0</v>
      </c>
      <c r="P29" s="891">
        <v>0</v>
      </c>
      <c r="Q29" s="568">
        <v>0</v>
      </c>
      <c r="R29" s="891">
        <v>0</v>
      </c>
      <c r="S29" s="1229">
        <v>0</v>
      </c>
      <c r="T29" s="1229">
        <v>0</v>
      </c>
      <c r="U29" s="1229">
        <v>0</v>
      </c>
      <c r="W29" s="891">
        <f t="shared" si="4"/>
        <v>0</v>
      </c>
      <c r="X29" s="891">
        <f t="shared" si="5"/>
        <v>0</v>
      </c>
      <c r="Y29" s="891">
        <f t="shared" si="6"/>
        <v>0</v>
      </c>
      <c r="Z29" s="891">
        <f t="shared" si="7"/>
        <v>0</v>
      </c>
      <c r="AA29" s="1229">
        <f t="shared" si="8"/>
        <v>0</v>
      </c>
    </row>
    <row r="30" spans="1:27" s="1229" customFormat="1" ht="16.5" customHeight="1" x14ac:dyDescent="0.3">
      <c r="A30" s="1320" t="s">
        <v>68</v>
      </c>
      <c r="B30" s="1321" t="s">
        <v>69</v>
      </c>
      <c r="C30" s="494" t="s">
        <v>256</v>
      </c>
      <c r="D30" s="1329">
        <f t="shared" si="2"/>
        <v>15</v>
      </c>
      <c r="E30" s="1330">
        <v>15</v>
      </c>
      <c r="F30" s="1330">
        <v>0</v>
      </c>
      <c r="G30" s="1330">
        <v>0</v>
      </c>
      <c r="H30" s="1330">
        <v>0</v>
      </c>
      <c r="I30" s="1330">
        <v>0</v>
      </c>
      <c r="J30" s="1330">
        <v>0</v>
      </c>
      <c r="K30" s="1330">
        <v>0</v>
      </c>
      <c r="L30" s="1331">
        <v>0</v>
      </c>
      <c r="M30" s="891">
        <f t="shared" si="3"/>
        <v>0</v>
      </c>
      <c r="N30" s="891"/>
      <c r="O30" s="891">
        <v>1</v>
      </c>
      <c r="P30" s="891">
        <v>7</v>
      </c>
      <c r="Q30" s="891">
        <v>2</v>
      </c>
      <c r="R30" s="891">
        <v>4</v>
      </c>
      <c r="S30" s="1229">
        <v>1</v>
      </c>
      <c r="T30" s="1229">
        <v>0</v>
      </c>
      <c r="U30" s="1229">
        <v>0</v>
      </c>
      <c r="W30" s="891">
        <f t="shared" si="4"/>
        <v>8</v>
      </c>
      <c r="X30" s="891">
        <f t="shared" si="5"/>
        <v>2</v>
      </c>
      <c r="Y30" s="891">
        <f t="shared" si="6"/>
        <v>4</v>
      </c>
      <c r="Z30" s="891">
        <f t="shared" si="7"/>
        <v>1</v>
      </c>
      <c r="AA30" s="1229">
        <f t="shared" si="8"/>
        <v>0</v>
      </c>
    </row>
    <row r="31" spans="1:27" s="1229" customFormat="1" ht="16.5" customHeight="1" x14ac:dyDescent="0.3">
      <c r="A31" s="1320" t="s">
        <v>70</v>
      </c>
      <c r="B31" s="1321" t="s">
        <v>71</v>
      </c>
      <c r="C31" s="494" t="s">
        <v>252</v>
      </c>
      <c r="D31" s="1329">
        <f t="shared" si="2"/>
        <v>2</v>
      </c>
      <c r="E31" s="1330">
        <v>0</v>
      </c>
      <c r="F31" s="1330">
        <v>1</v>
      </c>
      <c r="G31" s="1330">
        <v>0</v>
      </c>
      <c r="H31" s="1330">
        <v>0</v>
      </c>
      <c r="I31" s="1330">
        <v>0</v>
      </c>
      <c r="J31" s="1330">
        <v>1</v>
      </c>
      <c r="K31" s="1330">
        <v>0</v>
      </c>
      <c r="L31" s="1331">
        <v>0</v>
      </c>
      <c r="M31" s="891">
        <f t="shared" si="3"/>
        <v>1</v>
      </c>
      <c r="N31" s="891"/>
      <c r="O31" s="891">
        <v>0</v>
      </c>
      <c r="P31" s="891">
        <v>0</v>
      </c>
      <c r="Q31" s="891">
        <v>1</v>
      </c>
      <c r="R31" s="891">
        <v>0</v>
      </c>
      <c r="S31" s="1229">
        <v>1</v>
      </c>
      <c r="T31" s="1229">
        <v>0</v>
      </c>
      <c r="U31" s="1229">
        <v>0</v>
      </c>
      <c r="W31" s="891">
        <f t="shared" si="4"/>
        <v>0</v>
      </c>
      <c r="X31" s="891">
        <f t="shared" si="5"/>
        <v>1</v>
      </c>
      <c r="Y31" s="891">
        <f t="shared" si="6"/>
        <v>0</v>
      </c>
      <c r="Z31" s="891">
        <f t="shared" si="7"/>
        <v>1</v>
      </c>
      <c r="AA31" s="1229">
        <f t="shared" si="8"/>
        <v>0</v>
      </c>
    </row>
    <row r="32" spans="1:27" s="1229" customFormat="1" ht="16.5" customHeight="1" x14ac:dyDescent="0.3">
      <c r="A32" s="1320" t="s">
        <v>72</v>
      </c>
      <c r="B32" s="1321" t="s">
        <v>73</v>
      </c>
      <c r="C32" s="494" t="s">
        <v>254</v>
      </c>
      <c r="D32" s="1329">
        <f t="shared" si="2"/>
        <v>0</v>
      </c>
      <c r="E32" s="1330">
        <v>0</v>
      </c>
      <c r="F32" s="1332">
        <v>0</v>
      </c>
      <c r="G32" s="1332">
        <v>0</v>
      </c>
      <c r="H32" s="1332">
        <v>0</v>
      </c>
      <c r="I32" s="1332">
        <v>0</v>
      </c>
      <c r="J32" s="1333">
        <v>0</v>
      </c>
      <c r="K32" s="1333">
        <v>0</v>
      </c>
      <c r="L32" s="1334">
        <v>0</v>
      </c>
      <c r="M32" s="891">
        <f t="shared" si="3"/>
        <v>0</v>
      </c>
      <c r="N32" s="568"/>
      <c r="O32" s="891">
        <v>0</v>
      </c>
      <c r="P32" s="891">
        <v>0</v>
      </c>
      <c r="Q32" s="891">
        <v>0</v>
      </c>
      <c r="R32" s="891">
        <v>0</v>
      </c>
      <c r="S32" s="1229">
        <v>0</v>
      </c>
      <c r="T32" s="1229">
        <v>0</v>
      </c>
      <c r="U32" s="1229">
        <v>0</v>
      </c>
      <c r="W32" s="891">
        <f t="shared" si="4"/>
        <v>0</v>
      </c>
      <c r="X32" s="891">
        <f t="shared" si="5"/>
        <v>0</v>
      </c>
      <c r="Y32" s="891">
        <f t="shared" si="6"/>
        <v>0</v>
      </c>
      <c r="Z32" s="891">
        <f t="shared" si="7"/>
        <v>0</v>
      </c>
      <c r="AA32" s="1229">
        <f t="shared" si="8"/>
        <v>0</v>
      </c>
    </row>
    <row r="33" spans="1:27" s="1229" customFormat="1" ht="16.5" customHeight="1" x14ac:dyDescent="0.3">
      <c r="A33" s="1320" t="s">
        <v>74</v>
      </c>
      <c r="B33" s="1321" t="s">
        <v>290</v>
      </c>
      <c r="C33" s="494" t="s">
        <v>255</v>
      </c>
      <c r="D33" s="1329">
        <f t="shared" si="2"/>
        <v>17</v>
      </c>
      <c r="E33" s="1330">
        <v>3</v>
      </c>
      <c r="F33" s="1330">
        <v>6</v>
      </c>
      <c r="G33" s="1330">
        <v>0</v>
      </c>
      <c r="H33" s="1330">
        <v>0</v>
      </c>
      <c r="I33" s="1330">
        <v>0</v>
      </c>
      <c r="J33" s="1330">
        <v>3</v>
      </c>
      <c r="K33" s="1330">
        <v>5</v>
      </c>
      <c r="L33" s="1331">
        <v>0</v>
      </c>
      <c r="M33" s="891">
        <f t="shared" si="3"/>
        <v>8</v>
      </c>
      <c r="N33" s="891"/>
      <c r="O33" s="891">
        <v>1</v>
      </c>
      <c r="P33" s="891">
        <v>8</v>
      </c>
      <c r="Q33" s="891">
        <v>4</v>
      </c>
      <c r="R33" s="891">
        <v>3</v>
      </c>
      <c r="S33" s="1229">
        <v>1</v>
      </c>
      <c r="T33" s="1229">
        <v>0</v>
      </c>
      <c r="U33" s="1229">
        <v>0</v>
      </c>
      <c r="W33" s="891">
        <f t="shared" si="4"/>
        <v>9</v>
      </c>
      <c r="X33" s="891">
        <f t="shared" si="5"/>
        <v>4</v>
      </c>
      <c r="Y33" s="891">
        <f t="shared" si="6"/>
        <v>3</v>
      </c>
      <c r="Z33" s="891">
        <f t="shared" si="7"/>
        <v>1</v>
      </c>
      <c r="AA33" s="1229">
        <f t="shared" si="8"/>
        <v>0</v>
      </c>
    </row>
    <row r="34" spans="1:27" s="1229" customFormat="1" ht="16.5" customHeight="1" x14ac:dyDescent="0.3">
      <c r="A34" s="1320" t="s">
        <v>76</v>
      </c>
      <c r="B34" s="1321" t="s">
        <v>77</v>
      </c>
      <c r="C34" s="494" t="s">
        <v>255</v>
      </c>
      <c r="D34" s="1329">
        <f t="shared" si="2"/>
        <v>10</v>
      </c>
      <c r="E34" s="1330">
        <v>7</v>
      </c>
      <c r="F34" s="1330">
        <v>1</v>
      </c>
      <c r="G34" s="1330">
        <v>0</v>
      </c>
      <c r="H34" s="1330">
        <v>0</v>
      </c>
      <c r="I34" s="1330">
        <v>0</v>
      </c>
      <c r="J34" s="1330">
        <v>1</v>
      </c>
      <c r="K34" s="1330">
        <v>1</v>
      </c>
      <c r="L34" s="1331">
        <v>0</v>
      </c>
      <c r="M34" s="891">
        <f t="shared" si="3"/>
        <v>2</v>
      </c>
      <c r="N34" s="568"/>
      <c r="O34" s="891">
        <v>0</v>
      </c>
      <c r="P34" s="891">
        <v>6</v>
      </c>
      <c r="Q34" s="891">
        <v>2</v>
      </c>
      <c r="R34" s="891">
        <v>1</v>
      </c>
      <c r="S34" s="1229">
        <v>1</v>
      </c>
      <c r="T34" s="1229">
        <v>0</v>
      </c>
      <c r="U34" s="1229">
        <v>0</v>
      </c>
      <c r="W34" s="891">
        <f t="shared" si="4"/>
        <v>6</v>
      </c>
      <c r="X34" s="891">
        <f t="shared" si="5"/>
        <v>2</v>
      </c>
      <c r="Y34" s="891">
        <f t="shared" si="6"/>
        <v>1</v>
      </c>
      <c r="Z34" s="891">
        <f t="shared" si="7"/>
        <v>1</v>
      </c>
      <c r="AA34" s="1229">
        <f t="shared" si="8"/>
        <v>0</v>
      </c>
    </row>
    <row r="35" spans="1:27" s="1229" customFormat="1" ht="16.5" customHeight="1" x14ac:dyDescent="0.3">
      <c r="A35" s="1320" t="s">
        <v>78</v>
      </c>
      <c r="B35" s="1321" t="s">
        <v>79</v>
      </c>
      <c r="C35" s="494" t="s">
        <v>256</v>
      </c>
      <c r="D35" s="1329">
        <f t="shared" si="2"/>
        <v>1</v>
      </c>
      <c r="E35" s="1330">
        <v>0</v>
      </c>
      <c r="F35" s="1330">
        <v>0</v>
      </c>
      <c r="G35" s="1330">
        <v>0</v>
      </c>
      <c r="H35" s="1330">
        <v>0</v>
      </c>
      <c r="I35" s="1330">
        <v>0</v>
      </c>
      <c r="J35" s="1330">
        <v>0</v>
      </c>
      <c r="K35" s="1330">
        <v>1</v>
      </c>
      <c r="L35" s="1331">
        <v>0</v>
      </c>
      <c r="M35" s="891">
        <f t="shared" si="3"/>
        <v>1</v>
      </c>
      <c r="N35" s="891"/>
      <c r="O35" s="891">
        <v>0</v>
      </c>
      <c r="P35" s="891">
        <v>1</v>
      </c>
      <c r="Q35" s="891">
        <v>0</v>
      </c>
      <c r="R35" s="891">
        <v>0</v>
      </c>
      <c r="S35" s="1229">
        <v>0</v>
      </c>
      <c r="T35" s="1229">
        <v>0</v>
      </c>
      <c r="U35" s="1229">
        <v>0</v>
      </c>
      <c r="W35" s="891">
        <f t="shared" si="4"/>
        <v>1</v>
      </c>
      <c r="X35" s="891">
        <f t="shared" si="5"/>
        <v>0</v>
      </c>
      <c r="Y35" s="891">
        <f t="shared" si="6"/>
        <v>0</v>
      </c>
      <c r="Z35" s="891">
        <f t="shared" si="7"/>
        <v>0</v>
      </c>
      <c r="AA35" s="1229">
        <f t="shared" si="8"/>
        <v>0</v>
      </c>
    </row>
    <row r="36" spans="1:27" s="1229" customFormat="1" ht="16.5" customHeight="1" x14ac:dyDescent="0.3">
      <c r="A36" s="1320" t="s">
        <v>80</v>
      </c>
      <c r="B36" s="1321" t="s">
        <v>81</v>
      </c>
      <c r="C36" s="494" t="s">
        <v>254</v>
      </c>
      <c r="D36" s="1329">
        <f t="shared" si="2"/>
        <v>4</v>
      </c>
      <c r="E36" s="1330">
        <v>2</v>
      </c>
      <c r="F36" s="1330">
        <v>0</v>
      </c>
      <c r="G36" s="1330">
        <v>0</v>
      </c>
      <c r="H36" s="1330">
        <v>0</v>
      </c>
      <c r="I36" s="1330">
        <v>0</v>
      </c>
      <c r="J36" s="1330">
        <v>2</v>
      </c>
      <c r="K36" s="1330">
        <v>0</v>
      </c>
      <c r="L36" s="1331">
        <v>0</v>
      </c>
      <c r="M36" s="891">
        <f t="shared" si="3"/>
        <v>2</v>
      </c>
      <c r="N36" s="568"/>
      <c r="O36" s="891">
        <v>0</v>
      </c>
      <c r="P36" s="891">
        <v>2</v>
      </c>
      <c r="Q36" s="891">
        <v>0</v>
      </c>
      <c r="R36" s="891">
        <v>1</v>
      </c>
      <c r="S36" s="1229">
        <v>1</v>
      </c>
      <c r="T36" s="1229">
        <v>0</v>
      </c>
      <c r="U36" s="1229">
        <v>0</v>
      </c>
      <c r="W36" s="891">
        <f t="shared" si="4"/>
        <v>2</v>
      </c>
      <c r="X36" s="891">
        <f t="shared" si="5"/>
        <v>0</v>
      </c>
      <c r="Y36" s="891">
        <f t="shared" si="6"/>
        <v>1</v>
      </c>
      <c r="Z36" s="891">
        <f t="shared" si="7"/>
        <v>1</v>
      </c>
      <c r="AA36" s="1229">
        <f t="shared" si="8"/>
        <v>0</v>
      </c>
    </row>
    <row r="37" spans="1:27" s="1229" customFormat="1" ht="16.5" customHeight="1" x14ac:dyDescent="0.3">
      <c r="A37" s="1320" t="s">
        <v>84</v>
      </c>
      <c r="B37" s="1321" t="s">
        <v>296</v>
      </c>
      <c r="C37" s="494" t="s">
        <v>253</v>
      </c>
      <c r="D37" s="1329">
        <f t="shared" ref="D37:D68" si="9">SUM(E37:L37)</f>
        <v>15</v>
      </c>
      <c r="E37" s="1330">
        <v>14</v>
      </c>
      <c r="F37" s="1330">
        <v>0</v>
      </c>
      <c r="G37" s="1330">
        <v>0</v>
      </c>
      <c r="H37" s="1330">
        <v>0</v>
      </c>
      <c r="I37" s="1330">
        <v>0</v>
      </c>
      <c r="J37" s="1330">
        <v>1</v>
      </c>
      <c r="K37" s="1330">
        <v>0</v>
      </c>
      <c r="L37" s="1331">
        <v>0</v>
      </c>
      <c r="M37" s="891">
        <f t="shared" ref="M37:M68" si="10">G37+H37+I37+J37+K37</f>
        <v>1</v>
      </c>
      <c r="N37" s="891"/>
      <c r="O37" s="891">
        <v>0</v>
      </c>
      <c r="P37" s="891">
        <v>6</v>
      </c>
      <c r="Q37" s="568">
        <v>6</v>
      </c>
      <c r="R37" s="891">
        <v>1</v>
      </c>
      <c r="S37" s="1229">
        <v>2</v>
      </c>
      <c r="T37" s="1229">
        <v>0</v>
      </c>
      <c r="U37" s="1229">
        <v>0</v>
      </c>
      <c r="W37" s="891">
        <f t="shared" ref="W37:W68" si="11">O37+P37</f>
        <v>6</v>
      </c>
      <c r="X37" s="891">
        <f t="shared" ref="X37:X68" si="12">Q37</f>
        <v>6</v>
      </c>
      <c r="Y37" s="891">
        <f t="shared" ref="Y37:Y68" si="13">R37</f>
        <v>1</v>
      </c>
      <c r="Z37" s="891">
        <f t="shared" ref="Z37:Z68" si="14">S37</f>
        <v>2</v>
      </c>
      <c r="AA37" s="1229">
        <f t="shared" ref="AA37:AA68" si="15">T37</f>
        <v>0</v>
      </c>
    </row>
    <row r="38" spans="1:27" s="1229" customFormat="1" ht="16.5" customHeight="1" x14ac:dyDescent="0.3">
      <c r="A38" s="1320" t="s">
        <v>86</v>
      </c>
      <c r="B38" s="1321" t="s">
        <v>87</v>
      </c>
      <c r="C38" s="494" t="s">
        <v>255</v>
      </c>
      <c r="D38" s="1329">
        <f t="shared" si="9"/>
        <v>4</v>
      </c>
      <c r="E38" s="1330">
        <v>3</v>
      </c>
      <c r="F38" s="1330">
        <v>0</v>
      </c>
      <c r="G38" s="1330">
        <v>0</v>
      </c>
      <c r="H38" s="1330">
        <v>0</v>
      </c>
      <c r="I38" s="1330">
        <v>0</v>
      </c>
      <c r="J38" s="1330">
        <v>1</v>
      </c>
      <c r="K38" s="1330">
        <v>0</v>
      </c>
      <c r="L38" s="1331">
        <v>0</v>
      </c>
      <c r="M38" s="568">
        <f t="shared" si="10"/>
        <v>1</v>
      </c>
      <c r="N38" s="568"/>
      <c r="O38" s="568">
        <v>0</v>
      </c>
      <c r="P38" s="568">
        <v>4</v>
      </c>
      <c r="Q38" s="568">
        <v>0</v>
      </c>
      <c r="R38" s="891">
        <v>0</v>
      </c>
      <c r="S38" s="1229">
        <v>0</v>
      </c>
      <c r="T38" s="1229">
        <v>0</v>
      </c>
      <c r="U38" s="1229">
        <v>0</v>
      </c>
      <c r="W38" s="891">
        <f t="shared" si="11"/>
        <v>4</v>
      </c>
      <c r="X38" s="891">
        <f t="shared" si="12"/>
        <v>0</v>
      </c>
      <c r="Y38" s="891">
        <f t="shared" si="13"/>
        <v>0</v>
      </c>
      <c r="Z38" s="891">
        <f t="shared" si="14"/>
        <v>0</v>
      </c>
      <c r="AA38" s="1229">
        <f t="shared" si="15"/>
        <v>0</v>
      </c>
    </row>
    <row r="39" spans="1:27" s="1229" customFormat="1" ht="16.5" customHeight="1" x14ac:dyDescent="0.3">
      <c r="A39" s="1320" t="s">
        <v>92</v>
      </c>
      <c r="B39" s="1321" t="s">
        <v>93</v>
      </c>
      <c r="C39" s="494" t="s">
        <v>256</v>
      </c>
      <c r="D39" s="1329">
        <f t="shared" si="9"/>
        <v>3</v>
      </c>
      <c r="E39" s="1330">
        <v>3</v>
      </c>
      <c r="F39" s="1330">
        <v>0</v>
      </c>
      <c r="G39" s="1330">
        <v>0</v>
      </c>
      <c r="H39" s="1330">
        <v>0</v>
      </c>
      <c r="I39" s="1330">
        <v>0</v>
      </c>
      <c r="J39" s="1330">
        <v>0</v>
      </c>
      <c r="K39" s="1330">
        <v>0</v>
      </c>
      <c r="L39" s="1331">
        <v>0</v>
      </c>
      <c r="M39" s="891">
        <f t="shared" si="10"/>
        <v>0</v>
      </c>
      <c r="N39" s="568"/>
      <c r="O39" s="891">
        <v>0</v>
      </c>
      <c r="P39" s="891">
        <v>3</v>
      </c>
      <c r="Q39" s="891">
        <v>0</v>
      </c>
      <c r="R39" s="891">
        <v>0</v>
      </c>
      <c r="S39" s="1229">
        <v>0</v>
      </c>
      <c r="T39" s="1229">
        <v>0</v>
      </c>
      <c r="U39" s="1229">
        <v>0</v>
      </c>
      <c r="W39" s="891">
        <f t="shared" si="11"/>
        <v>3</v>
      </c>
      <c r="X39" s="891">
        <f t="shared" si="12"/>
        <v>0</v>
      </c>
      <c r="Y39" s="891">
        <f t="shared" si="13"/>
        <v>0</v>
      </c>
      <c r="Z39" s="891">
        <f t="shared" si="14"/>
        <v>0</v>
      </c>
      <c r="AA39" s="1229">
        <f t="shared" si="15"/>
        <v>0</v>
      </c>
    </row>
    <row r="40" spans="1:27" s="1229" customFormat="1" ht="16.5" customHeight="1" x14ac:dyDescent="0.3">
      <c r="A40" s="1320" t="s">
        <v>94</v>
      </c>
      <c r="B40" s="1321" t="s">
        <v>95</v>
      </c>
      <c r="C40" s="494" t="s">
        <v>252</v>
      </c>
      <c r="D40" s="1329">
        <f t="shared" si="9"/>
        <v>4</v>
      </c>
      <c r="E40" s="1330">
        <v>2</v>
      </c>
      <c r="F40" s="1330">
        <v>0</v>
      </c>
      <c r="G40" s="1330">
        <v>0</v>
      </c>
      <c r="H40" s="1330">
        <v>0</v>
      </c>
      <c r="I40" s="1330">
        <v>0</v>
      </c>
      <c r="J40" s="1330">
        <v>2</v>
      </c>
      <c r="K40" s="1330">
        <v>0</v>
      </c>
      <c r="L40" s="1331">
        <v>0</v>
      </c>
      <c r="M40" s="891">
        <f t="shared" si="10"/>
        <v>2</v>
      </c>
      <c r="N40" s="891"/>
      <c r="O40" s="891">
        <v>0</v>
      </c>
      <c r="P40" s="891">
        <v>1</v>
      </c>
      <c r="Q40" s="891">
        <v>1</v>
      </c>
      <c r="R40" s="891">
        <v>2</v>
      </c>
      <c r="S40" s="1229">
        <v>0</v>
      </c>
      <c r="T40" s="1229">
        <v>0</v>
      </c>
      <c r="U40" s="1229">
        <v>0</v>
      </c>
      <c r="W40" s="891">
        <f t="shared" si="11"/>
        <v>1</v>
      </c>
      <c r="X40" s="891">
        <f t="shared" si="12"/>
        <v>1</v>
      </c>
      <c r="Y40" s="891">
        <f t="shared" si="13"/>
        <v>2</v>
      </c>
      <c r="Z40" s="891">
        <f t="shared" si="14"/>
        <v>0</v>
      </c>
      <c r="AA40" s="1229">
        <f t="shared" si="15"/>
        <v>0</v>
      </c>
    </row>
    <row r="41" spans="1:27" s="1229" customFormat="1" ht="16.5" customHeight="1" x14ac:dyDescent="0.3">
      <c r="A41" s="1320" t="s">
        <v>96</v>
      </c>
      <c r="B41" s="1321" t="s">
        <v>97</v>
      </c>
      <c r="C41" s="494" t="s">
        <v>254</v>
      </c>
      <c r="D41" s="1329">
        <f t="shared" si="9"/>
        <v>0</v>
      </c>
      <c r="E41" s="1330">
        <v>0</v>
      </c>
      <c r="F41" s="1330">
        <v>0</v>
      </c>
      <c r="G41" s="1330">
        <v>0</v>
      </c>
      <c r="H41" s="1330">
        <v>0</v>
      </c>
      <c r="I41" s="1330">
        <v>0</v>
      </c>
      <c r="J41" s="1330">
        <v>0</v>
      </c>
      <c r="K41" s="1330">
        <v>0</v>
      </c>
      <c r="L41" s="1331">
        <v>0</v>
      </c>
      <c r="M41" s="891">
        <f t="shared" si="10"/>
        <v>0</v>
      </c>
      <c r="N41" s="891"/>
      <c r="O41" s="891">
        <v>0</v>
      </c>
      <c r="P41" s="891">
        <v>0</v>
      </c>
      <c r="Q41" s="891">
        <v>0</v>
      </c>
      <c r="R41" s="891">
        <v>0</v>
      </c>
      <c r="S41" s="1229">
        <v>0</v>
      </c>
      <c r="T41" s="1229">
        <v>0</v>
      </c>
      <c r="U41" s="1229">
        <v>0</v>
      </c>
      <c r="W41" s="891">
        <f t="shared" si="11"/>
        <v>0</v>
      </c>
      <c r="X41" s="891">
        <f t="shared" si="12"/>
        <v>0</v>
      </c>
      <c r="Y41" s="891">
        <f t="shared" si="13"/>
        <v>0</v>
      </c>
      <c r="Z41" s="891">
        <f t="shared" si="14"/>
        <v>0</v>
      </c>
      <c r="AA41" s="1229">
        <f t="shared" si="15"/>
        <v>0</v>
      </c>
    </row>
    <row r="42" spans="1:27" s="1229" customFormat="1" ht="16.5" customHeight="1" x14ac:dyDescent="0.3">
      <c r="A42" s="1320" t="s">
        <v>98</v>
      </c>
      <c r="B42" s="1321" t="s">
        <v>99</v>
      </c>
      <c r="C42" s="494" t="s">
        <v>256</v>
      </c>
      <c r="D42" s="1329">
        <f t="shared" si="9"/>
        <v>3</v>
      </c>
      <c r="E42" s="1330">
        <v>3</v>
      </c>
      <c r="F42" s="1330">
        <v>0</v>
      </c>
      <c r="G42" s="1330">
        <v>0</v>
      </c>
      <c r="H42" s="1330">
        <v>0</v>
      </c>
      <c r="I42" s="1330">
        <v>0</v>
      </c>
      <c r="J42" s="1330">
        <v>0</v>
      </c>
      <c r="K42" s="1330">
        <v>0</v>
      </c>
      <c r="L42" s="1331">
        <v>0</v>
      </c>
      <c r="M42" s="891">
        <f t="shared" si="10"/>
        <v>0</v>
      </c>
      <c r="N42" s="891"/>
      <c r="O42" s="891">
        <v>0</v>
      </c>
      <c r="P42" s="891">
        <v>2</v>
      </c>
      <c r="Q42" s="891">
        <v>1</v>
      </c>
      <c r="R42" s="891">
        <v>0</v>
      </c>
      <c r="S42" s="1229">
        <v>0</v>
      </c>
      <c r="T42" s="1229">
        <v>0</v>
      </c>
      <c r="U42" s="1229">
        <v>0</v>
      </c>
      <c r="W42" s="891">
        <f t="shared" si="11"/>
        <v>2</v>
      </c>
      <c r="X42" s="891">
        <f t="shared" si="12"/>
        <v>1</v>
      </c>
      <c r="Y42" s="891">
        <f t="shared" si="13"/>
        <v>0</v>
      </c>
      <c r="Z42" s="891">
        <f t="shared" si="14"/>
        <v>0</v>
      </c>
      <c r="AA42" s="1229">
        <f t="shared" si="15"/>
        <v>0</v>
      </c>
    </row>
    <row r="43" spans="1:27" s="1229" customFormat="1" ht="16.5" customHeight="1" x14ac:dyDescent="0.3">
      <c r="A43" s="1320" t="s">
        <v>100</v>
      </c>
      <c r="B43" s="1321" t="s">
        <v>101</v>
      </c>
      <c r="C43" s="494" t="s">
        <v>255</v>
      </c>
      <c r="D43" s="1329">
        <f t="shared" si="9"/>
        <v>0</v>
      </c>
      <c r="E43" s="1330">
        <v>0</v>
      </c>
      <c r="F43" s="1330">
        <v>0</v>
      </c>
      <c r="G43" s="1330">
        <v>0</v>
      </c>
      <c r="H43" s="1330">
        <v>0</v>
      </c>
      <c r="I43" s="1330">
        <v>0</v>
      </c>
      <c r="J43" s="1330">
        <v>0</v>
      </c>
      <c r="K43" s="1330">
        <v>0</v>
      </c>
      <c r="L43" s="1331">
        <v>0</v>
      </c>
      <c r="M43" s="891">
        <f t="shared" si="10"/>
        <v>0</v>
      </c>
      <c r="N43" s="568"/>
      <c r="O43" s="891">
        <v>0</v>
      </c>
      <c r="P43" s="891">
        <v>0</v>
      </c>
      <c r="Q43" s="891">
        <v>0</v>
      </c>
      <c r="R43" s="891">
        <v>0</v>
      </c>
      <c r="S43" s="1229">
        <v>0</v>
      </c>
      <c r="T43" s="1229">
        <v>0</v>
      </c>
      <c r="U43" s="1229">
        <v>0</v>
      </c>
      <c r="W43" s="891">
        <f t="shared" si="11"/>
        <v>0</v>
      </c>
      <c r="X43" s="891">
        <f t="shared" si="12"/>
        <v>0</v>
      </c>
      <c r="Y43" s="891">
        <f t="shared" si="13"/>
        <v>0</v>
      </c>
      <c r="Z43" s="891">
        <f t="shared" si="14"/>
        <v>0</v>
      </c>
      <c r="AA43" s="1229">
        <f t="shared" si="15"/>
        <v>0</v>
      </c>
    </row>
    <row r="44" spans="1:27" s="1229" customFormat="1" ht="16.5" customHeight="1" x14ac:dyDescent="0.3">
      <c r="A44" s="1320" t="s">
        <v>102</v>
      </c>
      <c r="B44" s="1321" t="s">
        <v>103</v>
      </c>
      <c r="C44" s="494" t="s">
        <v>252</v>
      </c>
      <c r="D44" s="1329">
        <f t="shared" si="9"/>
        <v>3</v>
      </c>
      <c r="E44" s="1330">
        <v>0</v>
      </c>
      <c r="F44" s="1332">
        <v>3</v>
      </c>
      <c r="G44" s="1332">
        <v>0</v>
      </c>
      <c r="H44" s="1332">
        <v>0</v>
      </c>
      <c r="I44" s="1332">
        <v>0</v>
      </c>
      <c r="J44" s="1333">
        <v>0</v>
      </c>
      <c r="K44" s="1333">
        <v>0</v>
      </c>
      <c r="L44" s="1334">
        <v>0</v>
      </c>
      <c r="M44" s="891">
        <f t="shared" si="10"/>
        <v>0</v>
      </c>
      <c r="N44" s="568"/>
      <c r="O44" s="891">
        <v>0</v>
      </c>
      <c r="P44" s="891">
        <v>3</v>
      </c>
      <c r="Q44" s="568">
        <v>0</v>
      </c>
      <c r="R44" s="891">
        <v>0</v>
      </c>
      <c r="S44" s="1229">
        <v>0</v>
      </c>
      <c r="T44" s="1229">
        <v>0</v>
      </c>
      <c r="U44" s="1229">
        <v>0</v>
      </c>
      <c r="W44" s="891">
        <f t="shared" si="11"/>
        <v>3</v>
      </c>
      <c r="X44" s="891">
        <f t="shared" si="12"/>
        <v>0</v>
      </c>
      <c r="Y44" s="891">
        <f t="shared" si="13"/>
        <v>0</v>
      </c>
      <c r="Z44" s="891">
        <f t="shared" si="14"/>
        <v>0</v>
      </c>
      <c r="AA44" s="1229">
        <f t="shared" si="15"/>
        <v>0</v>
      </c>
    </row>
    <row r="45" spans="1:27" s="1229" customFormat="1" ht="16.5" customHeight="1" x14ac:dyDescent="0.3">
      <c r="A45" s="1320" t="s">
        <v>104</v>
      </c>
      <c r="B45" s="1321" t="s">
        <v>297</v>
      </c>
      <c r="C45" s="494" t="s">
        <v>253</v>
      </c>
      <c r="D45" s="1329">
        <f t="shared" si="9"/>
        <v>1</v>
      </c>
      <c r="E45" s="1330">
        <v>0</v>
      </c>
      <c r="F45" s="1330">
        <v>1</v>
      </c>
      <c r="G45" s="1330">
        <v>0</v>
      </c>
      <c r="H45" s="1330">
        <v>0</v>
      </c>
      <c r="I45" s="1330">
        <v>0</v>
      </c>
      <c r="J45" s="1330">
        <v>0</v>
      </c>
      <c r="K45" s="1330">
        <v>0</v>
      </c>
      <c r="L45" s="1331">
        <v>0</v>
      </c>
      <c r="M45" s="891">
        <f t="shared" si="10"/>
        <v>0</v>
      </c>
      <c r="N45" s="568"/>
      <c r="O45" s="891">
        <v>0</v>
      </c>
      <c r="P45" s="891">
        <v>1</v>
      </c>
      <c r="Q45" s="568">
        <v>0</v>
      </c>
      <c r="R45" s="891">
        <v>0</v>
      </c>
      <c r="S45" s="1229">
        <v>0</v>
      </c>
      <c r="T45" s="1229">
        <v>0</v>
      </c>
      <c r="U45" s="1229">
        <v>0</v>
      </c>
      <c r="W45" s="891">
        <f t="shared" si="11"/>
        <v>1</v>
      </c>
      <c r="X45" s="891">
        <f t="shared" si="12"/>
        <v>0</v>
      </c>
      <c r="Y45" s="891">
        <f t="shared" si="13"/>
        <v>0</v>
      </c>
      <c r="Z45" s="891">
        <f t="shared" si="14"/>
        <v>0</v>
      </c>
      <c r="AA45" s="1229">
        <f t="shared" si="15"/>
        <v>0</v>
      </c>
    </row>
    <row r="46" spans="1:27" s="1229" customFormat="1" ht="16.5" customHeight="1" x14ac:dyDescent="0.3">
      <c r="A46" s="1320" t="s">
        <v>108</v>
      </c>
      <c r="B46" s="1321" t="s">
        <v>109</v>
      </c>
      <c r="C46" s="494" t="s">
        <v>254</v>
      </c>
      <c r="D46" s="1329">
        <f t="shared" si="9"/>
        <v>4</v>
      </c>
      <c r="E46" s="1330">
        <v>4</v>
      </c>
      <c r="F46" s="1330">
        <v>0</v>
      </c>
      <c r="G46" s="1330">
        <v>0</v>
      </c>
      <c r="H46" s="1330">
        <v>0</v>
      </c>
      <c r="I46" s="1330">
        <v>0</v>
      </c>
      <c r="J46" s="1330">
        <v>0</v>
      </c>
      <c r="K46" s="1330">
        <v>0</v>
      </c>
      <c r="L46" s="1331">
        <v>0</v>
      </c>
      <c r="M46" s="891">
        <f t="shared" si="10"/>
        <v>0</v>
      </c>
      <c r="N46" s="891"/>
      <c r="O46" s="891">
        <v>0</v>
      </c>
      <c r="P46" s="891">
        <v>0</v>
      </c>
      <c r="Q46" s="891">
        <v>0</v>
      </c>
      <c r="R46" s="891">
        <v>1</v>
      </c>
      <c r="S46" s="1229">
        <v>3</v>
      </c>
      <c r="T46" s="1229">
        <v>0</v>
      </c>
      <c r="U46" s="1229">
        <v>0</v>
      </c>
      <c r="W46" s="891">
        <f t="shared" si="11"/>
        <v>0</v>
      </c>
      <c r="X46" s="891">
        <f t="shared" si="12"/>
        <v>0</v>
      </c>
      <c r="Y46" s="891">
        <f t="shared" si="13"/>
        <v>1</v>
      </c>
      <c r="Z46" s="891">
        <f t="shared" si="14"/>
        <v>3</v>
      </c>
      <c r="AA46" s="1229">
        <f t="shared" si="15"/>
        <v>0</v>
      </c>
    </row>
    <row r="47" spans="1:27" s="1229" customFormat="1" ht="16.5" customHeight="1" x14ac:dyDescent="0.3">
      <c r="A47" s="1320" t="s">
        <v>110</v>
      </c>
      <c r="B47" s="1321" t="s">
        <v>111</v>
      </c>
      <c r="C47" s="494" t="s">
        <v>254</v>
      </c>
      <c r="D47" s="1329">
        <f t="shared" si="9"/>
        <v>10</v>
      </c>
      <c r="E47" s="1330">
        <v>9</v>
      </c>
      <c r="F47" s="1330">
        <v>0</v>
      </c>
      <c r="G47" s="1330">
        <v>0</v>
      </c>
      <c r="H47" s="1330">
        <v>0</v>
      </c>
      <c r="I47" s="1330">
        <v>0</v>
      </c>
      <c r="J47" s="1330">
        <v>0</v>
      </c>
      <c r="K47" s="1330">
        <v>1</v>
      </c>
      <c r="L47" s="1331">
        <v>0</v>
      </c>
      <c r="M47" s="891">
        <f t="shared" si="10"/>
        <v>1</v>
      </c>
      <c r="N47" s="891"/>
      <c r="O47" s="891">
        <v>0</v>
      </c>
      <c r="P47" s="891">
        <v>5</v>
      </c>
      <c r="Q47" s="891">
        <v>5</v>
      </c>
      <c r="R47" s="891">
        <v>0</v>
      </c>
      <c r="S47" s="1229">
        <v>0</v>
      </c>
      <c r="T47" s="1229">
        <v>0</v>
      </c>
      <c r="U47" s="1229">
        <v>0</v>
      </c>
      <c r="W47" s="891">
        <f t="shared" si="11"/>
        <v>5</v>
      </c>
      <c r="X47" s="891">
        <f t="shared" si="12"/>
        <v>5</v>
      </c>
      <c r="Y47" s="891">
        <f t="shared" si="13"/>
        <v>0</v>
      </c>
      <c r="Z47" s="891">
        <f t="shared" si="14"/>
        <v>0</v>
      </c>
      <c r="AA47" s="1229">
        <f t="shared" si="15"/>
        <v>0</v>
      </c>
    </row>
    <row r="48" spans="1:27" s="1229" customFormat="1" ht="16.5" customHeight="1" x14ac:dyDescent="0.3">
      <c r="A48" s="1320" t="s">
        <v>112</v>
      </c>
      <c r="B48" s="1321" t="s">
        <v>288</v>
      </c>
      <c r="C48" s="494" t="s">
        <v>253</v>
      </c>
      <c r="D48" s="1329">
        <f t="shared" si="9"/>
        <v>10</v>
      </c>
      <c r="E48" s="1330">
        <v>6</v>
      </c>
      <c r="F48" s="1330">
        <v>0</v>
      </c>
      <c r="G48" s="1330">
        <v>0</v>
      </c>
      <c r="H48" s="1330">
        <v>0</v>
      </c>
      <c r="I48" s="1330">
        <v>0</v>
      </c>
      <c r="J48" s="1330">
        <v>0</v>
      </c>
      <c r="K48" s="1330">
        <v>4</v>
      </c>
      <c r="L48" s="1331">
        <v>0</v>
      </c>
      <c r="M48" s="891">
        <f t="shared" si="10"/>
        <v>4</v>
      </c>
      <c r="N48" s="568"/>
      <c r="O48" s="891">
        <v>1</v>
      </c>
      <c r="P48" s="891">
        <v>4</v>
      </c>
      <c r="Q48" s="891">
        <v>2</v>
      </c>
      <c r="R48" s="891">
        <v>3</v>
      </c>
      <c r="S48" s="1229">
        <v>0</v>
      </c>
      <c r="T48" s="1229">
        <v>0</v>
      </c>
      <c r="U48" s="1229">
        <v>0</v>
      </c>
      <c r="W48" s="891">
        <f t="shared" si="11"/>
        <v>5</v>
      </c>
      <c r="X48" s="891">
        <f t="shared" si="12"/>
        <v>2</v>
      </c>
      <c r="Y48" s="891">
        <f t="shared" si="13"/>
        <v>3</v>
      </c>
      <c r="Z48" s="891">
        <f t="shared" si="14"/>
        <v>0</v>
      </c>
      <c r="AA48" s="1229">
        <f t="shared" si="15"/>
        <v>0</v>
      </c>
    </row>
    <row r="49" spans="1:27" s="1229" customFormat="1" ht="16.5" customHeight="1" x14ac:dyDescent="0.3">
      <c r="A49" s="1320" t="s">
        <v>114</v>
      </c>
      <c r="B49" s="1321" t="s">
        <v>115</v>
      </c>
      <c r="C49" s="494" t="s">
        <v>253</v>
      </c>
      <c r="D49" s="1335">
        <f t="shared" si="9"/>
        <v>1</v>
      </c>
      <c r="E49" s="1332">
        <v>1</v>
      </c>
      <c r="F49" s="1332">
        <v>0</v>
      </c>
      <c r="G49" s="1332">
        <v>0</v>
      </c>
      <c r="H49" s="1332">
        <v>0</v>
      </c>
      <c r="I49" s="1332">
        <v>0</v>
      </c>
      <c r="J49" s="1333">
        <v>0</v>
      </c>
      <c r="K49" s="1333">
        <v>0</v>
      </c>
      <c r="L49" s="1334">
        <v>0</v>
      </c>
      <c r="M49" s="891">
        <f t="shared" si="10"/>
        <v>0</v>
      </c>
      <c r="N49" s="891"/>
      <c r="O49" s="891">
        <v>0</v>
      </c>
      <c r="P49" s="891">
        <v>1</v>
      </c>
      <c r="Q49" s="891">
        <v>0</v>
      </c>
      <c r="R49" s="891">
        <v>0</v>
      </c>
      <c r="S49" s="1229">
        <v>0</v>
      </c>
      <c r="T49" s="1229">
        <v>0</v>
      </c>
      <c r="U49" s="1229">
        <v>0</v>
      </c>
      <c r="W49" s="891">
        <f t="shared" si="11"/>
        <v>1</v>
      </c>
      <c r="X49" s="891">
        <f t="shared" si="12"/>
        <v>0</v>
      </c>
      <c r="Y49" s="891">
        <f t="shared" si="13"/>
        <v>0</v>
      </c>
      <c r="Z49" s="891">
        <f t="shared" si="14"/>
        <v>0</v>
      </c>
      <c r="AA49" s="1229">
        <f t="shared" si="15"/>
        <v>0</v>
      </c>
    </row>
    <row r="50" spans="1:27" s="1229" customFormat="1" ht="16.5" customHeight="1" x14ac:dyDescent="0.3">
      <c r="A50" s="1320" t="s">
        <v>118</v>
      </c>
      <c r="B50" s="1321" t="s">
        <v>119</v>
      </c>
      <c r="C50" s="494" t="s">
        <v>252</v>
      </c>
      <c r="D50" s="1329">
        <f t="shared" si="9"/>
        <v>1</v>
      </c>
      <c r="E50" s="1330">
        <v>0</v>
      </c>
      <c r="F50" s="1330">
        <v>0</v>
      </c>
      <c r="G50" s="1330">
        <v>0</v>
      </c>
      <c r="H50" s="1330">
        <v>0</v>
      </c>
      <c r="I50" s="1330">
        <v>0</v>
      </c>
      <c r="J50" s="1330">
        <v>1</v>
      </c>
      <c r="K50" s="1330">
        <v>0</v>
      </c>
      <c r="L50" s="1331">
        <v>0</v>
      </c>
      <c r="M50" s="891">
        <f t="shared" si="10"/>
        <v>1</v>
      </c>
      <c r="N50" s="568"/>
      <c r="O50" s="891">
        <v>0</v>
      </c>
      <c r="P50" s="891">
        <v>0</v>
      </c>
      <c r="Q50" s="568">
        <v>0</v>
      </c>
      <c r="R50" s="891">
        <v>0</v>
      </c>
      <c r="S50" s="1229">
        <v>1</v>
      </c>
      <c r="T50" s="1229">
        <v>0</v>
      </c>
      <c r="U50" s="1229">
        <v>0</v>
      </c>
      <c r="W50" s="891">
        <f t="shared" si="11"/>
        <v>0</v>
      </c>
      <c r="X50" s="891">
        <f t="shared" si="12"/>
        <v>0</v>
      </c>
      <c r="Y50" s="891">
        <f t="shared" si="13"/>
        <v>0</v>
      </c>
      <c r="Z50" s="891">
        <f t="shared" si="14"/>
        <v>1</v>
      </c>
      <c r="AA50" s="1229">
        <f t="shared" si="15"/>
        <v>0</v>
      </c>
    </row>
    <row r="51" spans="1:27" s="1229" customFormat="1" ht="16.5" customHeight="1" x14ac:dyDescent="0.3">
      <c r="A51" s="1320" t="s">
        <v>120</v>
      </c>
      <c r="B51" s="1321" t="s">
        <v>121</v>
      </c>
      <c r="C51" s="494" t="s">
        <v>252</v>
      </c>
      <c r="D51" s="1329">
        <f t="shared" si="9"/>
        <v>1</v>
      </c>
      <c r="E51" s="1330">
        <v>1</v>
      </c>
      <c r="F51" s="1330">
        <v>0</v>
      </c>
      <c r="G51" s="1330">
        <v>0</v>
      </c>
      <c r="H51" s="1330">
        <v>0</v>
      </c>
      <c r="I51" s="1330">
        <v>0</v>
      </c>
      <c r="J51" s="1330">
        <v>0</v>
      </c>
      <c r="K51" s="1330">
        <v>0</v>
      </c>
      <c r="L51" s="1331">
        <v>0</v>
      </c>
      <c r="M51" s="891">
        <f t="shared" si="10"/>
        <v>0</v>
      </c>
      <c r="N51" s="568"/>
      <c r="O51" s="891">
        <v>0</v>
      </c>
      <c r="P51" s="891">
        <v>1</v>
      </c>
      <c r="Q51" s="891">
        <v>0</v>
      </c>
      <c r="R51" s="891">
        <v>0</v>
      </c>
      <c r="S51" s="1229">
        <v>0</v>
      </c>
      <c r="T51" s="1229">
        <v>0</v>
      </c>
      <c r="U51" s="1229">
        <v>0</v>
      </c>
      <c r="W51" s="891">
        <f t="shared" si="11"/>
        <v>1</v>
      </c>
      <c r="X51" s="891">
        <f t="shared" si="12"/>
        <v>0</v>
      </c>
      <c r="Y51" s="891">
        <f t="shared" si="13"/>
        <v>0</v>
      </c>
      <c r="Z51" s="891">
        <f t="shared" si="14"/>
        <v>0</v>
      </c>
      <c r="AA51" s="1229">
        <f t="shared" si="15"/>
        <v>0</v>
      </c>
    </row>
    <row r="52" spans="1:27" s="1229" customFormat="1" ht="16.5" customHeight="1" x14ac:dyDescent="0.3">
      <c r="A52" s="1320" t="s">
        <v>122</v>
      </c>
      <c r="B52" s="1321" t="s">
        <v>259</v>
      </c>
      <c r="C52" s="494" t="s">
        <v>254</v>
      </c>
      <c r="D52" s="1329">
        <f t="shared" si="9"/>
        <v>0</v>
      </c>
      <c r="E52" s="1330">
        <v>0</v>
      </c>
      <c r="F52" s="1330">
        <v>0</v>
      </c>
      <c r="G52" s="1330">
        <v>0</v>
      </c>
      <c r="H52" s="1330">
        <v>0</v>
      </c>
      <c r="I52" s="1330">
        <v>0</v>
      </c>
      <c r="J52" s="1330">
        <v>0</v>
      </c>
      <c r="K52" s="1330">
        <v>0</v>
      </c>
      <c r="L52" s="1331">
        <v>0</v>
      </c>
      <c r="M52" s="891">
        <f t="shared" si="10"/>
        <v>0</v>
      </c>
      <c r="N52" s="891"/>
      <c r="O52" s="891">
        <v>0</v>
      </c>
      <c r="P52" s="891">
        <v>0</v>
      </c>
      <c r="Q52" s="891">
        <v>0</v>
      </c>
      <c r="R52" s="891">
        <v>0</v>
      </c>
      <c r="S52" s="1229">
        <v>0</v>
      </c>
      <c r="T52" s="1229">
        <v>0</v>
      </c>
      <c r="U52" s="1229">
        <v>0</v>
      </c>
      <c r="W52" s="891">
        <f t="shared" si="11"/>
        <v>0</v>
      </c>
      <c r="X52" s="891">
        <f t="shared" si="12"/>
        <v>0</v>
      </c>
      <c r="Y52" s="891">
        <f t="shared" si="13"/>
        <v>0</v>
      </c>
      <c r="Z52" s="891">
        <f t="shared" si="14"/>
        <v>0</v>
      </c>
      <c r="AA52" s="1229">
        <f t="shared" si="15"/>
        <v>0</v>
      </c>
    </row>
    <row r="53" spans="1:27" s="1229" customFormat="1" ht="16.5" customHeight="1" x14ac:dyDescent="0.3">
      <c r="A53" s="1320" t="s">
        <v>124</v>
      </c>
      <c r="B53" s="1321" t="s">
        <v>125</v>
      </c>
      <c r="C53" s="494" t="s">
        <v>255</v>
      </c>
      <c r="D53" s="1329">
        <f t="shared" si="9"/>
        <v>4</v>
      </c>
      <c r="E53" s="1330">
        <v>4</v>
      </c>
      <c r="F53" s="1330">
        <v>0</v>
      </c>
      <c r="G53" s="1330">
        <v>0</v>
      </c>
      <c r="H53" s="1330">
        <v>0</v>
      </c>
      <c r="I53" s="1330">
        <v>0</v>
      </c>
      <c r="J53" s="1330">
        <v>0</v>
      </c>
      <c r="K53" s="1330">
        <v>0</v>
      </c>
      <c r="L53" s="1331">
        <v>0</v>
      </c>
      <c r="M53" s="891">
        <f t="shared" si="10"/>
        <v>0</v>
      </c>
      <c r="N53" s="568"/>
      <c r="O53" s="891">
        <v>0</v>
      </c>
      <c r="P53" s="891">
        <v>0</v>
      </c>
      <c r="Q53" s="891">
        <v>2</v>
      </c>
      <c r="R53" s="891">
        <v>2</v>
      </c>
      <c r="S53" s="1229">
        <v>0</v>
      </c>
      <c r="T53" s="1229">
        <v>0</v>
      </c>
      <c r="U53" s="1229">
        <v>0</v>
      </c>
      <c r="W53" s="891">
        <f t="shared" si="11"/>
        <v>0</v>
      </c>
      <c r="X53" s="891">
        <f t="shared" si="12"/>
        <v>2</v>
      </c>
      <c r="Y53" s="891">
        <f t="shared" si="13"/>
        <v>2</v>
      </c>
      <c r="Z53" s="891">
        <f t="shared" si="14"/>
        <v>0</v>
      </c>
      <c r="AA53" s="1229">
        <f t="shared" si="15"/>
        <v>0</v>
      </c>
    </row>
    <row r="54" spans="1:27" s="1229" customFormat="1" ht="16.5" customHeight="1" x14ac:dyDescent="0.3">
      <c r="A54" s="1320" t="s">
        <v>126</v>
      </c>
      <c r="B54" s="1321" t="s">
        <v>127</v>
      </c>
      <c r="C54" s="494" t="s">
        <v>254</v>
      </c>
      <c r="D54" s="1329">
        <f t="shared" si="9"/>
        <v>0</v>
      </c>
      <c r="E54" s="1330">
        <v>0</v>
      </c>
      <c r="F54" s="1330">
        <v>0</v>
      </c>
      <c r="G54" s="1330">
        <v>0</v>
      </c>
      <c r="H54" s="1330">
        <v>0</v>
      </c>
      <c r="I54" s="1330">
        <v>0</v>
      </c>
      <c r="J54" s="1330">
        <v>0</v>
      </c>
      <c r="K54" s="1330">
        <v>0</v>
      </c>
      <c r="L54" s="1331">
        <v>0</v>
      </c>
      <c r="M54" s="891">
        <f t="shared" si="10"/>
        <v>0</v>
      </c>
      <c r="N54" s="568"/>
      <c r="O54" s="891">
        <v>0</v>
      </c>
      <c r="P54" s="891">
        <v>0</v>
      </c>
      <c r="Q54" s="891">
        <v>0</v>
      </c>
      <c r="R54" s="891">
        <v>0</v>
      </c>
      <c r="S54" s="1229">
        <v>0</v>
      </c>
      <c r="T54" s="1229">
        <v>0</v>
      </c>
      <c r="U54" s="1229">
        <v>0</v>
      </c>
      <c r="W54" s="891">
        <f t="shared" si="11"/>
        <v>0</v>
      </c>
      <c r="X54" s="891">
        <f t="shared" si="12"/>
        <v>0</v>
      </c>
      <c r="Y54" s="891">
        <f t="shared" si="13"/>
        <v>0</v>
      </c>
      <c r="Z54" s="891">
        <f t="shared" si="14"/>
        <v>0</v>
      </c>
      <c r="AA54" s="1229">
        <f t="shared" si="15"/>
        <v>0</v>
      </c>
    </row>
    <row r="55" spans="1:27" s="1229" customFormat="1" ht="16.5" customHeight="1" x14ac:dyDescent="0.3">
      <c r="A55" s="1320" t="s">
        <v>128</v>
      </c>
      <c r="B55" s="1321" t="s">
        <v>129</v>
      </c>
      <c r="C55" s="494" t="s">
        <v>254</v>
      </c>
      <c r="D55" s="1329">
        <f t="shared" si="9"/>
        <v>0</v>
      </c>
      <c r="E55" s="1330">
        <v>0</v>
      </c>
      <c r="F55" s="1330">
        <v>0</v>
      </c>
      <c r="G55" s="1330">
        <v>0</v>
      </c>
      <c r="H55" s="1330">
        <v>0</v>
      </c>
      <c r="I55" s="1330">
        <v>0</v>
      </c>
      <c r="J55" s="1330">
        <v>0</v>
      </c>
      <c r="K55" s="1330">
        <v>0</v>
      </c>
      <c r="L55" s="1331">
        <v>0</v>
      </c>
      <c r="M55" s="891">
        <f t="shared" si="10"/>
        <v>0</v>
      </c>
      <c r="N55" s="568"/>
      <c r="O55" s="891">
        <v>0</v>
      </c>
      <c r="P55" s="891">
        <v>0</v>
      </c>
      <c r="Q55" s="891">
        <v>0</v>
      </c>
      <c r="R55" s="891">
        <v>0</v>
      </c>
      <c r="S55" s="1229">
        <v>0</v>
      </c>
      <c r="T55" s="1229">
        <v>0</v>
      </c>
      <c r="U55" s="1229">
        <v>0</v>
      </c>
      <c r="W55" s="891">
        <f t="shared" si="11"/>
        <v>0</v>
      </c>
      <c r="X55" s="891">
        <f t="shared" si="12"/>
        <v>0</v>
      </c>
      <c r="Y55" s="891">
        <f t="shared" si="13"/>
        <v>0</v>
      </c>
      <c r="Z55" s="891">
        <f t="shared" si="14"/>
        <v>0</v>
      </c>
      <c r="AA55" s="1229">
        <f t="shared" si="15"/>
        <v>0</v>
      </c>
    </row>
    <row r="56" spans="1:27" s="1229" customFormat="1" ht="16.5" customHeight="1" x14ac:dyDescent="0.3">
      <c r="A56" s="1320" t="s">
        <v>130</v>
      </c>
      <c r="B56" s="1321" t="s">
        <v>131</v>
      </c>
      <c r="C56" s="494" t="s">
        <v>256</v>
      </c>
      <c r="D56" s="1329">
        <f t="shared" si="9"/>
        <v>5</v>
      </c>
      <c r="E56" s="1330">
        <v>5</v>
      </c>
      <c r="F56" s="1330">
        <v>0</v>
      </c>
      <c r="G56" s="1330">
        <v>0</v>
      </c>
      <c r="H56" s="1330">
        <v>0</v>
      </c>
      <c r="I56" s="1330">
        <v>0</v>
      </c>
      <c r="J56" s="1330">
        <v>0</v>
      </c>
      <c r="K56" s="1330">
        <v>0</v>
      </c>
      <c r="L56" s="1331">
        <v>0</v>
      </c>
      <c r="M56" s="891">
        <f t="shared" si="10"/>
        <v>0</v>
      </c>
      <c r="N56" s="568"/>
      <c r="O56" s="891">
        <v>0</v>
      </c>
      <c r="P56" s="891">
        <v>3</v>
      </c>
      <c r="Q56" s="891">
        <v>1</v>
      </c>
      <c r="R56" s="891">
        <v>1</v>
      </c>
      <c r="S56" s="1229">
        <v>0</v>
      </c>
      <c r="T56" s="1229">
        <v>0</v>
      </c>
      <c r="U56" s="1229">
        <v>0</v>
      </c>
      <c r="W56" s="891">
        <f t="shared" si="11"/>
        <v>3</v>
      </c>
      <c r="X56" s="891">
        <f t="shared" si="12"/>
        <v>1</v>
      </c>
      <c r="Y56" s="891">
        <f t="shared" si="13"/>
        <v>1</v>
      </c>
      <c r="Z56" s="891">
        <f t="shared" si="14"/>
        <v>0</v>
      </c>
      <c r="AA56" s="1229">
        <f t="shared" si="15"/>
        <v>0</v>
      </c>
    </row>
    <row r="57" spans="1:27" s="1229" customFormat="1" ht="16.5" customHeight="1" x14ac:dyDescent="0.3">
      <c r="A57" s="1320" t="s">
        <v>132</v>
      </c>
      <c r="B57" s="1321" t="s">
        <v>133</v>
      </c>
      <c r="C57" s="494" t="s">
        <v>255</v>
      </c>
      <c r="D57" s="1329">
        <f t="shared" si="9"/>
        <v>2</v>
      </c>
      <c r="E57" s="1330">
        <v>1</v>
      </c>
      <c r="F57" s="1330">
        <v>0</v>
      </c>
      <c r="G57" s="1330">
        <v>1</v>
      </c>
      <c r="H57" s="1330">
        <v>0</v>
      </c>
      <c r="I57" s="1330">
        <v>0</v>
      </c>
      <c r="J57" s="1330">
        <v>0</v>
      </c>
      <c r="K57" s="1330">
        <v>0</v>
      </c>
      <c r="L57" s="1331">
        <v>0</v>
      </c>
      <c r="M57" s="891">
        <f t="shared" si="10"/>
        <v>1</v>
      </c>
      <c r="N57" s="568"/>
      <c r="O57" s="891">
        <v>1</v>
      </c>
      <c r="P57" s="891">
        <v>0</v>
      </c>
      <c r="Q57" s="891">
        <v>1</v>
      </c>
      <c r="R57" s="891">
        <v>0</v>
      </c>
      <c r="S57" s="1229">
        <v>0</v>
      </c>
      <c r="T57" s="1229">
        <v>0</v>
      </c>
      <c r="U57" s="1229">
        <v>0</v>
      </c>
      <c r="W57" s="891">
        <f t="shared" si="11"/>
        <v>1</v>
      </c>
      <c r="X57" s="891">
        <f t="shared" si="12"/>
        <v>1</v>
      </c>
      <c r="Y57" s="891">
        <f t="shared" si="13"/>
        <v>0</v>
      </c>
      <c r="Z57" s="891">
        <f t="shared" si="14"/>
        <v>0</v>
      </c>
      <c r="AA57" s="1229">
        <f t="shared" si="15"/>
        <v>0</v>
      </c>
    </row>
    <row r="58" spans="1:27" s="1229" customFormat="1" ht="16.5" customHeight="1" x14ac:dyDescent="0.3">
      <c r="A58" s="1320" t="s">
        <v>134</v>
      </c>
      <c r="B58" s="1321" t="s">
        <v>135</v>
      </c>
      <c r="C58" s="494" t="s">
        <v>255</v>
      </c>
      <c r="D58" s="1329">
        <f t="shared" si="9"/>
        <v>7</v>
      </c>
      <c r="E58" s="1330">
        <v>5</v>
      </c>
      <c r="F58" s="1330">
        <v>0</v>
      </c>
      <c r="G58" s="1330">
        <v>0</v>
      </c>
      <c r="H58" s="1330">
        <v>0</v>
      </c>
      <c r="I58" s="1330">
        <v>0</v>
      </c>
      <c r="J58" s="1330">
        <v>2</v>
      </c>
      <c r="K58" s="1330">
        <v>0</v>
      </c>
      <c r="L58" s="1331">
        <v>0</v>
      </c>
      <c r="M58" s="891">
        <f t="shared" si="10"/>
        <v>2</v>
      </c>
      <c r="N58" s="891"/>
      <c r="O58" s="891">
        <v>0</v>
      </c>
      <c r="P58" s="891">
        <v>0</v>
      </c>
      <c r="Q58" s="891">
        <v>3</v>
      </c>
      <c r="R58" s="891">
        <v>4</v>
      </c>
      <c r="S58" s="1229">
        <v>0</v>
      </c>
      <c r="T58" s="1229">
        <v>0</v>
      </c>
      <c r="U58" s="1229">
        <v>0</v>
      </c>
      <c r="W58" s="891">
        <f t="shared" si="11"/>
        <v>0</v>
      </c>
      <c r="X58" s="891">
        <f t="shared" si="12"/>
        <v>3</v>
      </c>
      <c r="Y58" s="891">
        <f t="shared" si="13"/>
        <v>4</v>
      </c>
      <c r="Z58" s="891">
        <f t="shared" si="14"/>
        <v>0</v>
      </c>
      <c r="AA58" s="1229">
        <f t="shared" si="15"/>
        <v>0</v>
      </c>
    </row>
    <row r="59" spans="1:27" s="1229" customFormat="1" ht="16.5" customHeight="1" x14ac:dyDescent="0.3">
      <c r="A59" s="1320" t="s">
        <v>136</v>
      </c>
      <c r="B59" s="1321" t="s">
        <v>137</v>
      </c>
      <c r="C59" s="494" t="s">
        <v>254</v>
      </c>
      <c r="D59" s="1329">
        <f t="shared" si="9"/>
        <v>0</v>
      </c>
      <c r="E59" s="1330">
        <v>0</v>
      </c>
      <c r="F59" s="1332">
        <v>0</v>
      </c>
      <c r="G59" s="1332">
        <v>0</v>
      </c>
      <c r="H59" s="1332">
        <v>0</v>
      </c>
      <c r="I59" s="1332">
        <v>0</v>
      </c>
      <c r="J59" s="1333">
        <v>0</v>
      </c>
      <c r="K59" s="1333">
        <v>0</v>
      </c>
      <c r="L59" s="1334">
        <v>0</v>
      </c>
      <c r="M59" s="891">
        <f t="shared" si="10"/>
        <v>0</v>
      </c>
      <c r="N59" s="891"/>
      <c r="O59" s="891">
        <v>0</v>
      </c>
      <c r="P59" s="891">
        <v>0</v>
      </c>
      <c r="Q59" s="891">
        <v>0</v>
      </c>
      <c r="R59" s="891">
        <v>0</v>
      </c>
      <c r="S59" s="1229">
        <v>0</v>
      </c>
      <c r="T59" s="1229">
        <v>0</v>
      </c>
      <c r="U59" s="1229">
        <v>0</v>
      </c>
      <c r="W59" s="891">
        <f t="shared" si="11"/>
        <v>0</v>
      </c>
      <c r="X59" s="891">
        <f t="shared" si="12"/>
        <v>0</v>
      </c>
      <c r="Y59" s="891">
        <f t="shared" si="13"/>
        <v>0</v>
      </c>
      <c r="Z59" s="891">
        <f t="shared" si="14"/>
        <v>0</v>
      </c>
      <c r="AA59" s="1229">
        <f t="shared" si="15"/>
        <v>0</v>
      </c>
    </row>
    <row r="60" spans="1:27" s="1229" customFormat="1" ht="16.5" customHeight="1" x14ac:dyDescent="0.3">
      <c r="A60" s="1320" t="s">
        <v>140</v>
      </c>
      <c r="B60" s="1321" t="s">
        <v>141</v>
      </c>
      <c r="C60" s="494" t="s">
        <v>255</v>
      </c>
      <c r="D60" s="1329">
        <f t="shared" si="9"/>
        <v>8</v>
      </c>
      <c r="E60" s="1330">
        <v>7</v>
      </c>
      <c r="F60" s="1330">
        <v>1</v>
      </c>
      <c r="G60" s="1330">
        <v>0</v>
      </c>
      <c r="H60" s="1330">
        <v>0</v>
      </c>
      <c r="I60" s="1330">
        <v>0</v>
      </c>
      <c r="J60" s="1330">
        <v>0</v>
      </c>
      <c r="K60" s="1330">
        <v>0</v>
      </c>
      <c r="L60" s="1331">
        <v>0</v>
      </c>
      <c r="M60" s="891">
        <f t="shared" si="10"/>
        <v>0</v>
      </c>
      <c r="N60" s="891"/>
      <c r="O60" s="891">
        <v>0</v>
      </c>
      <c r="P60" s="891">
        <v>4</v>
      </c>
      <c r="Q60" s="891">
        <v>2</v>
      </c>
      <c r="R60" s="891">
        <v>2</v>
      </c>
      <c r="S60" s="1229">
        <v>0</v>
      </c>
      <c r="T60" s="1229">
        <v>0</v>
      </c>
      <c r="U60" s="1229">
        <v>0</v>
      </c>
      <c r="W60" s="891">
        <f t="shared" si="11"/>
        <v>4</v>
      </c>
      <c r="X60" s="891">
        <f t="shared" si="12"/>
        <v>2</v>
      </c>
      <c r="Y60" s="891">
        <f t="shared" si="13"/>
        <v>2</v>
      </c>
      <c r="Z60" s="891">
        <f t="shared" si="14"/>
        <v>0</v>
      </c>
      <c r="AA60" s="1229">
        <f t="shared" si="15"/>
        <v>0</v>
      </c>
    </row>
    <row r="61" spans="1:27" s="1229" customFormat="1" ht="16.5" customHeight="1" x14ac:dyDescent="0.3">
      <c r="A61" s="1320" t="s">
        <v>146</v>
      </c>
      <c r="B61" s="1321" t="s">
        <v>147</v>
      </c>
      <c r="C61" s="494" t="s">
        <v>252</v>
      </c>
      <c r="D61" s="1329">
        <f t="shared" si="9"/>
        <v>0</v>
      </c>
      <c r="E61" s="1330">
        <v>0</v>
      </c>
      <c r="F61" s="1330">
        <v>0</v>
      </c>
      <c r="G61" s="1330">
        <v>0</v>
      </c>
      <c r="H61" s="1330">
        <v>0</v>
      </c>
      <c r="I61" s="1330">
        <v>0</v>
      </c>
      <c r="J61" s="1330">
        <v>0</v>
      </c>
      <c r="K61" s="1330">
        <v>0</v>
      </c>
      <c r="L61" s="1331">
        <v>0</v>
      </c>
      <c r="M61" s="891">
        <f t="shared" si="10"/>
        <v>0</v>
      </c>
      <c r="N61" s="568"/>
      <c r="O61" s="891">
        <v>0</v>
      </c>
      <c r="P61" s="891">
        <v>0</v>
      </c>
      <c r="Q61" s="891">
        <v>0</v>
      </c>
      <c r="R61" s="891">
        <v>0</v>
      </c>
      <c r="S61" s="1229">
        <v>0</v>
      </c>
      <c r="T61" s="1229">
        <v>0</v>
      </c>
      <c r="U61" s="1229">
        <v>0</v>
      </c>
      <c r="W61" s="891">
        <f t="shared" si="11"/>
        <v>0</v>
      </c>
      <c r="X61" s="891">
        <f t="shared" si="12"/>
        <v>0</v>
      </c>
      <c r="Y61" s="891">
        <f t="shared" si="13"/>
        <v>0</v>
      </c>
      <c r="Z61" s="891">
        <f t="shared" si="14"/>
        <v>0</v>
      </c>
      <c r="AA61" s="1229">
        <f t="shared" si="15"/>
        <v>0</v>
      </c>
    </row>
    <row r="62" spans="1:27" s="1229" customFormat="1" ht="16.5" customHeight="1" x14ac:dyDescent="0.3">
      <c r="A62" s="1320" t="s">
        <v>148</v>
      </c>
      <c r="B62" s="1321" t="s">
        <v>149</v>
      </c>
      <c r="C62" s="494" t="s">
        <v>253</v>
      </c>
      <c r="D62" s="1329">
        <f t="shared" si="9"/>
        <v>2</v>
      </c>
      <c r="E62" s="1330">
        <v>2</v>
      </c>
      <c r="F62" s="1330">
        <v>0</v>
      </c>
      <c r="G62" s="1330">
        <v>0</v>
      </c>
      <c r="H62" s="1330">
        <v>0</v>
      </c>
      <c r="I62" s="1330">
        <v>0</v>
      </c>
      <c r="J62" s="1330">
        <v>0</v>
      </c>
      <c r="K62" s="1330">
        <v>0</v>
      </c>
      <c r="L62" s="1331">
        <v>0</v>
      </c>
      <c r="M62" s="891">
        <f t="shared" si="10"/>
        <v>0</v>
      </c>
      <c r="N62" s="891"/>
      <c r="O62" s="891">
        <v>0</v>
      </c>
      <c r="P62" s="891">
        <v>2</v>
      </c>
      <c r="Q62" s="891">
        <v>0</v>
      </c>
      <c r="R62" s="891">
        <v>0</v>
      </c>
      <c r="S62" s="1229">
        <v>0</v>
      </c>
      <c r="T62" s="1229">
        <v>0</v>
      </c>
      <c r="U62" s="1229">
        <v>0</v>
      </c>
      <c r="W62" s="891">
        <f t="shared" si="11"/>
        <v>2</v>
      </c>
      <c r="X62" s="891">
        <f t="shared" si="12"/>
        <v>0</v>
      </c>
      <c r="Y62" s="891">
        <f t="shared" si="13"/>
        <v>0</v>
      </c>
      <c r="Z62" s="891">
        <f t="shared" si="14"/>
        <v>0</v>
      </c>
      <c r="AA62" s="1229">
        <f t="shared" si="15"/>
        <v>0</v>
      </c>
    </row>
    <row r="63" spans="1:27" s="1229" customFormat="1" ht="16.5" customHeight="1" x14ac:dyDescent="0.3">
      <c r="A63" s="1320" t="s">
        <v>150</v>
      </c>
      <c r="B63" s="1321" t="s">
        <v>151</v>
      </c>
      <c r="C63" s="494" t="s">
        <v>254</v>
      </c>
      <c r="D63" s="1329">
        <f t="shared" si="9"/>
        <v>1</v>
      </c>
      <c r="E63" s="1330">
        <v>1</v>
      </c>
      <c r="F63" s="1332">
        <v>0</v>
      </c>
      <c r="G63" s="1332">
        <v>0</v>
      </c>
      <c r="H63" s="1332">
        <v>0</v>
      </c>
      <c r="I63" s="1332">
        <v>0</v>
      </c>
      <c r="J63" s="1333">
        <v>0</v>
      </c>
      <c r="K63" s="1333">
        <v>0</v>
      </c>
      <c r="L63" s="1334">
        <v>0</v>
      </c>
      <c r="M63" s="891">
        <f t="shared" si="10"/>
        <v>0</v>
      </c>
      <c r="N63" s="891"/>
      <c r="O63" s="891">
        <v>0</v>
      </c>
      <c r="P63" s="891">
        <v>0</v>
      </c>
      <c r="Q63" s="891">
        <v>0</v>
      </c>
      <c r="R63" s="891">
        <v>0</v>
      </c>
      <c r="S63" s="1229">
        <v>1</v>
      </c>
      <c r="T63" s="1229">
        <v>0</v>
      </c>
      <c r="U63" s="1229">
        <v>0</v>
      </c>
      <c r="W63" s="891">
        <f t="shared" si="11"/>
        <v>0</v>
      </c>
      <c r="X63" s="891">
        <f t="shared" si="12"/>
        <v>0</v>
      </c>
      <c r="Y63" s="891">
        <f t="shared" si="13"/>
        <v>0</v>
      </c>
      <c r="Z63" s="891">
        <f t="shared" si="14"/>
        <v>1</v>
      </c>
      <c r="AA63" s="1229">
        <f t="shared" si="15"/>
        <v>0</v>
      </c>
    </row>
    <row r="64" spans="1:27" s="1229" customFormat="1" ht="16.5" customHeight="1" x14ac:dyDescent="0.3">
      <c r="A64" s="1320" t="s">
        <v>152</v>
      </c>
      <c r="B64" s="1321" t="s">
        <v>153</v>
      </c>
      <c r="C64" s="494" t="s">
        <v>256</v>
      </c>
      <c r="D64" s="1329">
        <f t="shared" si="9"/>
        <v>7</v>
      </c>
      <c r="E64" s="1330">
        <v>6</v>
      </c>
      <c r="F64" s="1330">
        <v>0</v>
      </c>
      <c r="G64" s="1330">
        <v>0</v>
      </c>
      <c r="H64" s="1330">
        <v>0</v>
      </c>
      <c r="I64" s="1330">
        <v>0</v>
      </c>
      <c r="J64" s="1330">
        <v>1</v>
      </c>
      <c r="K64" s="1330">
        <v>0</v>
      </c>
      <c r="L64" s="1331">
        <v>0</v>
      </c>
      <c r="M64" s="891">
        <f t="shared" si="10"/>
        <v>1</v>
      </c>
      <c r="N64" s="891"/>
      <c r="O64" s="891">
        <v>2</v>
      </c>
      <c r="P64" s="891">
        <v>4</v>
      </c>
      <c r="Q64" s="891">
        <v>1</v>
      </c>
      <c r="R64" s="891">
        <v>0</v>
      </c>
      <c r="S64" s="1229">
        <v>0</v>
      </c>
      <c r="T64" s="1229">
        <v>0</v>
      </c>
      <c r="U64" s="1229">
        <v>0</v>
      </c>
      <c r="W64" s="891">
        <f t="shared" si="11"/>
        <v>6</v>
      </c>
      <c r="X64" s="891">
        <f t="shared" si="12"/>
        <v>1</v>
      </c>
      <c r="Y64" s="891">
        <f t="shared" si="13"/>
        <v>0</v>
      </c>
      <c r="Z64" s="891">
        <f t="shared" si="14"/>
        <v>0</v>
      </c>
      <c r="AA64" s="1229">
        <f t="shared" si="15"/>
        <v>0</v>
      </c>
    </row>
    <row r="65" spans="1:27" s="1229" customFormat="1" ht="16.5" customHeight="1" x14ac:dyDescent="0.3">
      <c r="A65" s="1320" t="s">
        <v>154</v>
      </c>
      <c r="B65" s="1321" t="s">
        <v>155</v>
      </c>
      <c r="C65" s="494" t="s">
        <v>253</v>
      </c>
      <c r="D65" s="1335">
        <f t="shared" si="9"/>
        <v>0</v>
      </c>
      <c r="E65" s="1332">
        <v>0</v>
      </c>
      <c r="F65" s="1332">
        <v>0</v>
      </c>
      <c r="G65" s="1332">
        <v>0</v>
      </c>
      <c r="H65" s="1332">
        <v>0</v>
      </c>
      <c r="I65" s="1332">
        <v>0</v>
      </c>
      <c r="J65" s="1333">
        <v>0</v>
      </c>
      <c r="K65" s="1333">
        <v>0</v>
      </c>
      <c r="L65" s="1334">
        <v>0</v>
      </c>
      <c r="M65" s="891">
        <f t="shared" si="10"/>
        <v>0</v>
      </c>
      <c r="N65" s="891"/>
      <c r="O65" s="891">
        <v>0</v>
      </c>
      <c r="P65" s="891">
        <v>0</v>
      </c>
      <c r="Q65" s="891">
        <v>0</v>
      </c>
      <c r="R65" s="891">
        <v>0</v>
      </c>
      <c r="S65" s="1229">
        <v>0</v>
      </c>
      <c r="T65" s="1229">
        <v>0</v>
      </c>
      <c r="U65" s="1229">
        <v>0</v>
      </c>
      <c r="W65" s="891">
        <f t="shared" si="11"/>
        <v>0</v>
      </c>
      <c r="X65" s="891">
        <f t="shared" si="12"/>
        <v>0</v>
      </c>
      <c r="Y65" s="891">
        <f t="shared" si="13"/>
        <v>0</v>
      </c>
      <c r="Z65" s="891">
        <f t="shared" si="14"/>
        <v>0</v>
      </c>
      <c r="AA65" s="1229">
        <f t="shared" si="15"/>
        <v>0</v>
      </c>
    </row>
    <row r="66" spans="1:27" s="1229" customFormat="1" ht="16.5" customHeight="1" x14ac:dyDescent="0.3">
      <c r="A66" s="1320" t="s">
        <v>156</v>
      </c>
      <c r="B66" s="1321" t="s">
        <v>157</v>
      </c>
      <c r="C66" s="494" t="s">
        <v>254</v>
      </c>
      <c r="D66" s="1329">
        <f t="shared" si="9"/>
        <v>2</v>
      </c>
      <c r="E66" s="1330">
        <v>2</v>
      </c>
      <c r="F66" s="1330">
        <v>0</v>
      </c>
      <c r="G66" s="1330">
        <v>0</v>
      </c>
      <c r="H66" s="1330">
        <v>0</v>
      </c>
      <c r="I66" s="1330">
        <v>0</v>
      </c>
      <c r="J66" s="1330">
        <v>0</v>
      </c>
      <c r="K66" s="1330">
        <v>0</v>
      </c>
      <c r="L66" s="1331">
        <v>0</v>
      </c>
      <c r="M66" s="891">
        <f t="shared" si="10"/>
        <v>0</v>
      </c>
      <c r="N66" s="568"/>
      <c r="O66" s="891">
        <v>0</v>
      </c>
      <c r="P66" s="891">
        <v>0</v>
      </c>
      <c r="Q66" s="891">
        <v>0</v>
      </c>
      <c r="R66" s="891">
        <v>2</v>
      </c>
      <c r="S66" s="1229">
        <v>0</v>
      </c>
      <c r="T66" s="1229">
        <v>0</v>
      </c>
      <c r="U66" s="1229">
        <v>0</v>
      </c>
      <c r="W66" s="891">
        <f t="shared" si="11"/>
        <v>0</v>
      </c>
      <c r="X66" s="891">
        <f t="shared" si="12"/>
        <v>0</v>
      </c>
      <c r="Y66" s="891">
        <f t="shared" si="13"/>
        <v>2</v>
      </c>
      <c r="Z66" s="891">
        <f t="shared" si="14"/>
        <v>0</v>
      </c>
      <c r="AA66" s="1229">
        <f t="shared" si="15"/>
        <v>0</v>
      </c>
    </row>
    <row r="67" spans="1:27" s="1229" customFormat="1" ht="16.5" customHeight="1" x14ac:dyDescent="0.3">
      <c r="A67" s="1320" t="s">
        <v>162</v>
      </c>
      <c r="B67" s="1321" t="s">
        <v>163</v>
      </c>
      <c r="C67" s="494" t="s">
        <v>252</v>
      </c>
      <c r="D67" s="1329">
        <f t="shared" si="9"/>
        <v>0</v>
      </c>
      <c r="E67" s="1330">
        <v>0</v>
      </c>
      <c r="F67" s="1330">
        <v>0</v>
      </c>
      <c r="G67" s="1330">
        <v>0</v>
      </c>
      <c r="H67" s="1330">
        <v>0</v>
      </c>
      <c r="I67" s="1330">
        <v>0</v>
      </c>
      <c r="J67" s="1330">
        <v>0</v>
      </c>
      <c r="K67" s="1330">
        <v>0</v>
      </c>
      <c r="L67" s="1331">
        <v>0</v>
      </c>
      <c r="M67" s="568">
        <f t="shared" si="10"/>
        <v>0</v>
      </c>
      <c r="N67" s="568"/>
      <c r="O67" s="891">
        <v>0</v>
      </c>
      <c r="P67" s="891">
        <v>0</v>
      </c>
      <c r="Q67" s="891">
        <v>0</v>
      </c>
      <c r="R67" s="891">
        <v>0</v>
      </c>
      <c r="S67" s="1229">
        <v>0</v>
      </c>
      <c r="T67" s="1229">
        <v>0</v>
      </c>
      <c r="U67" s="1229">
        <v>0</v>
      </c>
      <c r="W67" s="891">
        <f t="shared" si="11"/>
        <v>0</v>
      </c>
      <c r="X67" s="891">
        <f t="shared" si="12"/>
        <v>0</v>
      </c>
      <c r="Y67" s="891">
        <f t="shared" si="13"/>
        <v>0</v>
      </c>
      <c r="Z67" s="891">
        <f t="shared" si="14"/>
        <v>0</v>
      </c>
      <c r="AA67" s="1229">
        <f t="shared" si="15"/>
        <v>0</v>
      </c>
    </row>
    <row r="68" spans="1:27" s="1229" customFormat="1" ht="16.5" customHeight="1" x14ac:dyDescent="0.3">
      <c r="A68" s="1320" t="s">
        <v>164</v>
      </c>
      <c r="B68" s="1321" t="s">
        <v>165</v>
      </c>
      <c r="C68" s="494" t="s">
        <v>254</v>
      </c>
      <c r="D68" s="1329">
        <f t="shared" si="9"/>
        <v>0</v>
      </c>
      <c r="E68" s="1330">
        <v>0</v>
      </c>
      <c r="F68" s="1330">
        <v>0</v>
      </c>
      <c r="G68" s="1330">
        <v>0</v>
      </c>
      <c r="H68" s="1330">
        <v>0</v>
      </c>
      <c r="I68" s="1330">
        <v>0</v>
      </c>
      <c r="J68" s="1330">
        <v>0</v>
      </c>
      <c r="K68" s="1330">
        <v>0</v>
      </c>
      <c r="L68" s="1331">
        <v>0</v>
      </c>
      <c r="M68" s="891">
        <f t="shared" si="10"/>
        <v>0</v>
      </c>
      <c r="N68" s="568"/>
      <c r="O68" s="891">
        <v>0</v>
      </c>
      <c r="P68" s="891">
        <v>0</v>
      </c>
      <c r="Q68" s="891">
        <v>0</v>
      </c>
      <c r="R68" s="891">
        <v>0</v>
      </c>
      <c r="S68" s="1229">
        <v>0</v>
      </c>
      <c r="T68" s="1229">
        <v>0</v>
      </c>
      <c r="U68" s="1229">
        <v>0</v>
      </c>
      <c r="W68" s="891">
        <f t="shared" si="11"/>
        <v>0</v>
      </c>
      <c r="X68" s="891">
        <f t="shared" si="12"/>
        <v>0</v>
      </c>
      <c r="Y68" s="891">
        <f t="shared" si="13"/>
        <v>0</v>
      </c>
      <c r="Z68" s="891">
        <f t="shared" si="14"/>
        <v>0</v>
      </c>
      <c r="AA68" s="1229">
        <f t="shared" si="15"/>
        <v>0</v>
      </c>
    </row>
    <row r="69" spans="1:27" s="1229" customFormat="1" ht="16.5" customHeight="1" x14ac:dyDescent="0.3">
      <c r="A69" s="1320" t="s">
        <v>168</v>
      </c>
      <c r="B69" s="1321" t="s">
        <v>169</v>
      </c>
      <c r="C69" s="494" t="s">
        <v>254</v>
      </c>
      <c r="D69" s="1329">
        <f t="shared" ref="D69:D100" si="16">SUM(E69:L69)</f>
        <v>0</v>
      </c>
      <c r="E69" s="1330">
        <v>0</v>
      </c>
      <c r="F69" s="1330">
        <v>0</v>
      </c>
      <c r="G69" s="1330">
        <v>0</v>
      </c>
      <c r="H69" s="1330">
        <v>0</v>
      </c>
      <c r="I69" s="1330">
        <v>0</v>
      </c>
      <c r="J69" s="1330">
        <v>0</v>
      </c>
      <c r="K69" s="1330">
        <v>0</v>
      </c>
      <c r="L69" s="1331">
        <v>0</v>
      </c>
      <c r="M69" s="891">
        <f t="shared" ref="M69:M100" si="17">G69+H69+I69+J69+K69</f>
        <v>0</v>
      </c>
      <c r="N69" s="568"/>
      <c r="O69" s="891">
        <v>0</v>
      </c>
      <c r="P69" s="891">
        <v>0</v>
      </c>
      <c r="Q69" s="891">
        <v>0</v>
      </c>
      <c r="R69" s="891">
        <v>0</v>
      </c>
      <c r="S69" s="1229">
        <v>0</v>
      </c>
      <c r="T69" s="1229">
        <v>0</v>
      </c>
      <c r="U69" s="1229">
        <v>0</v>
      </c>
      <c r="W69" s="891">
        <f t="shared" ref="W69:W100" si="18">O69+P69</f>
        <v>0</v>
      </c>
      <c r="X69" s="891">
        <f t="shared" ref="X69:X100" si="19">Q69</f>
        <v>0</v>
      </c>
      <c r="Y69" s="891">
        <f t="shared" ref="Y69:Y100" si="20">R69</f>
        <v>0</v>
      </c>
      <c r="Z69" s="891">
        <f t="shared" ref="Z69:Z100" si="21">S69</f>
        <v>0</v>
      </c>
      <c r="AA69" s="1229">
        <f t="shared" ref="AA69:AA100" si="22">T69</f>
        <v>0</v>
      </c>
    </row>
    <row r="70" spans="1:27" s="1229" customFormat="1" ht="16.5" customHeight="1" x14ac:dyDescent="0.3">
      <c r="A70" s="1320" t="s">
        <v>170</v>
      </c>
      <c r="B70" s="1321" t="s">
        <v>171</v>
      </c>
      <c r="C70" s="494" t="s">
        <v>255</v>
      </c>
      <c r="D70" s="1329">
        <f t="shared" si="16"/>
        <v>4</v>
      </c>
      <c r="E70" s="1330">
        <v>3</v>
      </c>
      <c r="F70" s="1330">
        <v>0</v>
      </c>
      <c r="G70" s="1330">
        <v>0</v>
      </c>
      <c r="H70" s="1330">
        <v>0</v>
      </c>
      <c r="I70" s="1330">
        <v>0</v>
      </c>
      <c r="J70" s="1330">
        <v>0</v>
      </c>
      <c r="K70" s="1330">
        <v>1</v>
      </c>
      <c r="L70" s="1331">
        <v>0</v>
      </c>
      <c r="M70" s="891">
        <f t="shared" si="17"/>
        <v>1</v>
      </c>
      <c r="N70" s="568"/>
      <c r="O70" s="891">
        <v>0</v>
      </c>
      <c r="P70" s="891">
        <v>1</v>
      </c>
      <c r="Q70" s="568">
        <v>2</v>
      </c>
      <c r="R70" s="891">
        <v>0</v>
      </c>
      <c r="S70" s="1229">
        <v>1</v>
      </c>
      <c r="T70" s="1229">
        <v>0</v>
      </c>
      <c r="U70" s="1229">
        <v>0</v>
      </c>
      <c r="W70" s="891">
        <f t="shared" si="18"/>
        <v>1</v>
      </c>
      <c r="X70" s="891">
        <f t="shared" si="19"/>
        <v>2</v>
      </c>
      <c r="Y70" s="891">
        <f t="shared" si="20"/>
        <v>0</v>
      </c>
      <c r="Z70" s="891">
        <f t="shared" si="21"/>
        <v>1</v>
      </c>
      <c r="AA70" s="1229">
        <f t="shared" si="22"/>
        <v>0</v>
      </c>
    </row>
    <row r="71" spans="1:27" s="1229" customFormat="1" ht="16.5" customHeight="1" x14ac:dyDescent="0.3">
      <c r="A71" s="1320" t="s">
        <v>172</v>
      </c>
      <c r="B71" s="1321" t="s">
        <v>173</v>
      </c>
      <c r="C71" s="494" t="s">
        <v>255</v>
      </c>
      <c r="D71" s="1329">
        <f t="shared" si="16"/>
        <v>5</v>
      </c>
      <c r="E71" s="1330">
        <v>5</v>
      </c>
      <c r="F71" s="1330">
        <v>0</v>
      </c>
      <c r="G71" s="1330">
        <v>0</v>
      </c>
      <c r="H71" s="1330">
        <v>0</v>
      </c>
      <c r="I71" s="1330">
        <v>0</v>
      </c>
      <c r="J71" s="1330">
        <v>0</v>
      </c>
      <c r="K71" s="1330">
        <v>0</v>
      </c>
      <c r="L71" s="1331">
        <v>0</v>
      </c>
      <c r="M71" s="891">
        <f t="shared" si="17"/>
        <v>0</v>
      </c>
      <c r="N71" s="891"/>
      <c r="O71" s="891">
        <v>0</v>
      </c>
      <c r="P71" s="891">
        <v>3</v>
      </c>
      <c r="Q71" s="891">
        <v>1</v>
      </c>
      <c r="R71" s="891">
        <v>1</v>
      </c>
      <c r="S71" s="1229">
        <v>0</v>
      </c>
      <c r="T71" s="1229">
        <v>0</v>
      </c>
      <c r="U71" s="1229">
        <v>0</v>
      </c>
      <c r="W71" s="891">
        <f t="shared" si="18"/>
        <v>3</v>
      </c>
      <c r="X71" s="891">
        <f t="shared" si="19"/>
        <v>1</v>
      </c>
      <c r="Y71" s="891">
        <f t="shared" si="20"/>
        <v>1</v>
      </c>
      <c r="Z71" s="891">
        <f t="shared" si="21"/>
        <v>0</v>
      </c>
      <c r="AA71" s="1229">
        <f t="shared" si="22"/>
        <v>0</v>
      </c>
    </row>
    <row r="72" spans="1:27" s="1229" customFormat="1" ht="16.5" customHeight="1" x14ac:dyDescent="0.3">
      <c r="A72" s="1320" t="s">
        <v>174</v>
      </c>
      <c r="B72" s="1321" t="s">
        <v>175</v>
      </c>
      <c r="C72" s="494" t="s">
        <v>256</v>
      </c>
      <c r="D72" s="1329">
        <f t="shared" si="16"/>
        <v>0</v>
      </c>
      <c r="E72" s="1330">
        <v>0</v>
      </c>
      <c r="F72" s="1330">
        <v>0</v>
      </c>
      <c r="G72" s="1330">
        <v>0</v>
      </c>
      <c r="H72" s="1330">
        <v>0</v>
      </c>
      <c r="I72" s="1330">
        <v>0</v>
      </c>
      <c r="J72" s="1330">
        <v>0</v>
      </c>
      <c r="K72" s="1330">
        <v>0</v>
      </c>
      <c r="L72" s="1331">
        <v>0</v>
      </c>
      <c r="M72" s="891">
        <f t="shared" si="17"/>
        <v>0</v>
      </c>
      <c r="N72" s="891"/>
      <c r="O72" s="891">
        <v>0</v>
      </c>
      <c r="P72" s="891">
        <v>0</v>
      </c>
      <c r="Q72" s="891">
        <v>0</v>
      </c>
      <c r="R72" s="891">
        <v>0</v>
      </c>
      <c r="S72" s="1229">
        <v>0</v>
      </c>
      <c r="T72" s="1229">
        <v>0</v>
      </c>
      <c r="U72" s="1229">
        <v>0</v>
      </c>
      <c r="W72" s="891">
        <f t="shared" si="18"/>
        <v>0</v>
      </c>
      <c r="X72" s="891">
        <f t="shared" si="19"/>
        <v>0</v>
      </c>
      <c r="Y72" s="891">
        <f t="shared" si="20"/>
        <v>0</v>
      </c>
      <c r="Z72" s="891">
        <f t="shared" si="21"/>
        <v>0</v>
      </c>
      <c r="AA72" s="1229">
        <f t="shared" si="22"/>
        <v>0</v>
      </c>
    </row>
    <row r="73" spans="1:27" s="1229" customFormat="1" ht="16.5" customHeight="1" x14ac:dyDescent="0.3">
      <c r="A73" s="1320" t="s">
        <v>178</v>
      </c>
      <c r="B73" s="1321" t="s">
        <v>179</v>
      </c>
      <c r="C73" s="494" t="s">
        <v>253</v>
      </c>
      <c r="D73" s="1329">
        <f t="shared" si="16"/>
        <v>4</v>
      </c>
      <c r="E73" s="1330">
        <v>4</v>
      </c>
      <c r="F73" s="1330">
        <v>0</v>
      </c>
      <c r="G73" s="1330">
        <v>0</v>
      </c>
      <c r="H73" s="1330">
        <v>0</v>
      </c>
      <c r="I73" s="1330">
        <v>0</v>
      </c>
      <c r="J73" s="1330">
        <v>0</v>
      </c>
      <c r="K73" s="1330">
        <v>0</v>
      </c>
      <c r="L73" s="1331">
        <v>0</v>
      </c>
      <c r="M73" s="891">
        <f t="shared" si="17"/>
        <v>0</v>
      </c>
      <c r="N73" s="891"/>
      <c r="O73" s="891">
        <v>0</v>
      </c>
      <c r="P73" s="891">
        <v>2</v>
      </c>
      <c r="Q73" s="891">
        <v>1</v>
      </c>
      <c r="R73" s="891">
        <v>0</v>
      </c>
      <c r="S73" s="1229">
        <v>1</v>
      </c>
      <c r="T73" s="1229">
        <v>0</v>
      </c>
      <c r="U73" s="1229">
        <v>0</v>
      </c>
      <c r="W73" s="891">
        <f t="shared" si="18"/>
        <v>2</v>
      </c>
      <c r="X73" s="891">
        <f t="shared" si="19"/>
        <v>1</v>
      </c>
      <c r="Y73" s="891">
        <f t="shared" si="20"/>
        <v>0</v>
      </c>
      <c r="Z73" s="891">
        <f t="shared" si="21"/>
        <v>1</v>
      </c>
      <c r="AA73" s="1229">
        <f t="shared" si="22"/>
        <v>0</v>
      </c>
    </row>
    <row r="74" spans="1:27" s="1229" customFormat="1" ht="16.5" customHeight="1" x14ac:dyDescent="0.3">
      <c r="A74" s="1320" t="s">
        <v>182</v>
      </c>
      <c r="B74" s="1321" t="s">
        <v>183</v>
      </c>
      <c r="C74" s="494" t="s">
        <v>254</v>
      </c>
      <c r="D74" s="1329">
        <f t="shared" si="16"/>
        <v>0</v>
      </c>
      <c r="E74" s="1330">
        <v>0</v>
      </c>
      <c r="F74" s="1330">
        <v>0</v>
      </c>
      <c r="G74" s="1330">
        <v>0</v>
      </c>
      <c r="H74" s="1330">
        <v>0</v>
      </c>
      <c r="I74" s="1330">
        <v>0</v>
      </c>
      <c r="J74" s="1330">
        <v>0</v>
      </c>
      <c r="K74" s="1330">
        <v>0</v>
      </c>
      <c r="L74" s="1331">
        <v>0</v>
      </c>
      <c r="M74" s="891">
        <f t="shared" si="17"/>
        <v>0</v>
      </c>
      <c r="N74" s="891"/>
      <c r="O74" s="891">
        <v>0</v>
      </c>
      <c r="P74" s="891">
        <v>0</v>
      </c>
      <c r="Q74" s="891">
        <v>0</v>
      </c>
      <c r="R74" s="891">
        <v>0</v>
      </c>
      <c r="S74" s="1229">
        <v>0</v>
      </c>
      <c r="T74" s="1229">
        <v>0</v>
      </c>
      <c r="U74" s="1229">
        <v>0</v>
      </c>
      <c r="W74" s="891">
        <f t="shared" si="18"/>
        <v>0</v>
      </c>
      <c r="X74" s="891">
        <f t="shared" si="19"/>
        <v>0</v>
      </c>
      <c r="Y74" s="891">
        <f t="shared" si="20"/>
        <v>0</v>
      </c>
      <c r="Z74" s="891">
        <f t="shared" si="21"/>
        <v>0</v>
      </c>
      <c r="AA74" s="1229">
        <f t="shared" si="22"/>
        <v>0</v>
      </c>
    </row>
    <row r="75" spans="1:27" s="1229" customFormat="1" ht="16.5" customHeight="1" x14ac:dyDescent="0.3">
      <c r="A75" s="1320" t="s">
        <v>184</v>
      </c>
      <c r="B75" s="1321" t="s">
        <v>185</v>
      </c>
      <c r="C75" s="494" t="s">
        <v>254</v>
      </c>
      <c r="D75" s="1329">
        <f t="shared" si="16"/>
        <v>2</v>
      </c>
      <c r="E75" s="1330">
        <v>1</v>
      </c>
      <c r="F75" s="1330">
        <v>0</v>
      </c>
      <c r="G75" s="1330">
        <v>0</v>
      </c>
      <c r="H75" s="1330">
        <v>0</v>
      </c>
      <c r="I75" s="1330">
        <v>0</v>
      </c>
      <c r="J75" s="1330">
        <v>0</v>
      </c>
      <c r="K75" s="1330">
        <v>0</v>
      </c>
      <c r="L75" s="1331">
        <v>1</v>
      </c>
      <c r="M75" s="891">
        <f t="shared" si="17"/>
        <v>0</v>
      </c>
      <c r="N75" s="568"/>
      <c r="O75" s="891">
        <v>0</v>
      </c>
      <c r="P75" s="891">
        <v>1</v>
      </c>
      <c r="Q75" s="891">
        <v>0</v>
      </c>
      <c r="R75" s="891">
        <v>1</v>
      </c>
      <c r="S75" s="1229">
        <v>0</v>
      </c>
      <c r="T75" s="1229">
        <v>0</v>
      </c>
      <c r="U75" s="1229">
        <v>0</v>
      </c>
      <c r="W75" s="891">
        <f t="shared" si="18"/>
        <v>1</v>
      </c>
      <c r="X75" s="891">
        <f t="shared" si="19"/>
        <v>0</v>
      </c>
      <c r="Y75" s="891">
        <f t="shared" si="20"/>
        <v>1</v>
      </c>
      <c r="Z75" s="891">
        <f t="shared" si="21"/>
        <v>0</v>
      </c>
      <c r="AA75" s="1229">
        <f t="shared" si="22"/>
        <v>0</v>
      </c>
    </row>
    <row r="76" spans="1:27" s="1229" customFormat="1" ht="16.5" customHeight="1" x14ac:dyDescent="0.3">
      <c r="A76" s="1320" t="s">
        <v>186</v>
      </c>
      <c r="B76" s="1321" t="s">
        <v>187</v>
      </c>
      <c r="C76" s="494" t="s">
        <v>252</v>
      </c>
      <c r="D76" s="1329">
        <f t="shared" si="16"/>
        <v>2</v>
      </c>
      <c r="E76" s="1330">
        <v>2</v>
      </c>
      <c r="F76" s="1330">
        <v>0</v>
      </c>
      <c r="G76" s="1330">
        <v>0</v>
      </c>
      <c r="H76" s="1330">
        <v>0</v>
      </c>
      <c r="I76" s="1330">
        <v>0</v>
      </c>
      <c r="J76" s="1330">
        <v>0</v>
      </c>
      <c r="K76" s="1330">
        <v>0</v>
      </c>
      <c r="L76" s="1331">
        <v>0</v>
      </c>
      <c r="M76" s="891">
        <f t="shared" si="17"/>
        <v>0</v>
      </c>
      <c r="N76" s="568"/>
      <c r="O76" s="891">
        <v>0</v>
      </c>
      <c r="P76" s="891">
        <v>2</v>
      </c>
      <c r="Q76" s="891">
        <v>0</v>
      </c>
      <c r="R76" s="891">
        <v>0</v>
      </c>
      <c r="S76" s="1229">
        <v>0</v>
      </c>
      <c r="T76" s="1229">
        <v>0</v>
      </c>
      <c r="U76" s="1229">
        <v>0</v>
      </c>
      <c r="W76" s="891">
        <f t="shared" si="18"/>
        <v>2</v>
      </c>
      <c r="X76" s="891">
        <f t="shared" si="19"/>
        <v>0</v>
      </c>
      <c r="Y76" s="891">
        <f t="shared" si="20"/>
        <v>0</v>
      </c>
      <c r="Z76" s="891">
        <f t="shared" si="21"/>
        <v>0</v>
      </c>
      <c r="AA76" s="1229">
        <f t="shared" si="22"/>
        <v>0</v>
      </c>
    </row>
    <row r="77" spans="1:27" s="1229" customFormat="1" ht="16.5" customHeight="1" x14ac:dyDescent="0.3">
      <c r="A77" s="1320" t="s">
        <v>188</v>
      </c>
      <c r="B77" s="1321" t="s">
        <v>189</v>
      </c>
      <c r="C77" s="494" t="s">
        <v>255</v>
      </c>
      <c r="D77" s="1329">
        <f t="shared" si="16"/>
        <v>2</v>
      </c>
      <c r="E77" s="1330">
        <v>2</v>
      </c>
      <c r="F77" s="1330">
        <v>0</v>
      </c>
      <c r="G77" s="1330">
        <v>0</v>
      </c>
      <c r="H77" s="1330">
        <v>0</v>
      </c>
      <c r="I77" s="1330">
        <v>0</v>
      </c>
      <c r="J77" s="1330">
        <v>0</v>
      </c>
      <c r="K77" s="1330">
        <v>0</v>
      </c>
      <c r="L77" s="1331">
        <v>0</v>
      </c>
      <c r="M77" s="891">
        <f t="shared" si="17"/>
        <v>0</v>
      </c>
      <c r="N77" s="891"/>
      <c r="O77" s="891">
        <v>0</v>
      </c>
      <c r="P77" s="891">
        <v>2</v>
      </c>
      <c r="Q77" s="568">
        <v>0</v>
      </c>
      <c r="R77" s="891">
        <v>0</v>
      </c>
      <c r="S77" s="1229">
        <v>0</v>
      </c>
      <c r="T77" s="1229">
        <v>0</v>
      </c>
      <c r="U77" s="1229">
        <v>0</v>
      </c>
      <c r="W77" s="891">
        <f t="shared" si="18"/>
        <v>2</v>
      </c>
      <c r="X77" s="891">
        <f t="shared" si="19"/>
        <v>0</v>
      </c>
      <c r="Y77" s="891">
        <f t="shared" si="20"/>
        <v>0</v>
      </c>
      <c r="Z77" s="891">
        <f t="shared" si="21"/>
        <v>0</v>
      </c>
      <c r="AA77" s="1229">
        <f t="shared" si="22"/>
        <v>0</v>
      </c>
    </row>
    <row r="78" spans="1:27" s="1229" customFormat="1" ht="16.5" customHeight="1" x14ac:dyDescent="0.3">
      <c r="A78" s="1320" t="s">
        <v>190</v>
      </c>
      <c r="B78" s="1321" t="s">
        <v>191</v>
      </c>
      <c r="C78" s="494" t="s">
        <v>256</v>
      </c>
      <c r="D78" s="1329">
        <f t="shared" si="16"/>
        <v>11</v>
      </c>
      <c r="E78" s="1330">
        <v>10</v>
      </c>
      <c r="F78" s="1330">
        <v>0</v>
      </c>
      <c r="G78" s="1330">
        <v>0</v>
      </c>
      <c r="H78" s="1330">
        <v>0</v>
      </c>
      <c r="I78" s="1330">
        <v>0</v>
      </c>
      <c r="J78" s="1330">
        <v>0</v>
      </c>
      <c r="K78" s="1330">
        <v>1</v>
      </c>
      <c r="L78" s="1331">
        <v>0</v>
      </c>
      <c r="M78" s="891">
        <f t="shared" si="17"/>
        <v>1</v>
      </c>
      <c r="N78" s="891"/>
      <c r="O78" s="891">
        <v>0</v>
      </c>
      <c r="P78" s="891">
        <v>7</v>
      </c>
      <c r="Q78" s="891">
        <v>3</v>
      </c>
      <c r="R78" s="891">
        <v>0</v>
      </c>
      <c r="S78" s="1229">
        <v>1</v>
      </c>
      <c r="T78" s="1229">
        <v>0</v>
      </c>
      <c r="U78" s="1229">
        <v>0</v>
      </c>
      <c r="W78" s="891">
        <f t="shared" si="18"/>
        <v>7</v>
      </c>
      <c r="X78" s="891">
        <f t="shared" si="19"/>
        <v>3</v>
      </c>
      <c r="Y78" s="891">
        <f t="shared" si="20"/>
        <v>0</v>
      </c>
      <c r="Z78" s="891">
        <f t="shared" si="21"/>
        <v>1</v>
      </c>
      <c r="AA78" s="1229">
        <f t="shared" si="22"/>
        <v>0</v>
      </c>
    </row>
    <row r="79" spans="1:27" s="1229" customFormat="1" ht="16.5" customHeight="1" x14ac:dyDescent="0.3">
      <c r="A79" s="1320" t="s">
        <v>194</v>
      </c>
      <c r="B79" s="1321" t="s">
        <v>195</v>
      </c>
      <c r="C79" s="494" t="s">
        <v>255</v>
      </c>
      <c r="D79" s="1329">
        <f t="shared" si="16"/>
        <v>0</v>
      </c>
      <c r="E79" s="1330">
        <v>0</v>
      </c>
      <c r="F79" s="1330">
        <v>0</v>
      </c>
      <c r="G79" s="1330">
        <v>0</v>
      </c>
      <c r="H79" s="1330">
        <v>0</v>
      </c>
      <c r="I79" s="1330">
        <v>0</v>
      </c>
      <c r="J79" s="1330">
        <v>0</v>
      </c>
      <c r="K79" s="1330">
        <v>0</v>
      </c>
      <c r="L79" s="1331">
        <v>0</v>
      </c>
      <c r="M79" s="891">
        <f t="shared" si="17"/>
        <v>0</v>
      </c>
      <c r="N79" s="891"/>
      <c r="O79" s="891">
        <v>0</v>
      </c>
      <c r="P79" s="891">
        <v>0</v>
      </c>
      <c r="Q79" s="891">
        <v>0</v>
      </c>
      <c r="R79" s="891">
        <v>0</v>
      </c>
      <c r="S79" s="1229">
        <v>0</v>
      </c>
      <c r="T79" s="1229">
        <v>0</v>
      </c>
      <c r="U79" s="1229">
        <v>0</v>
      </c>
      <c r="W79" s="891">
        <f t="shared" si="18"/>
        <v>0</v>
      </c>
      <c r="X79" s="891">
        <f t="shared" si="19"/>
        <v>0</v>
      </c>
      <c r="Y79" s="891">
        <f t="shared" si="20"/>
        <v>0</v>
      </c>
      <c r="Z79" s="891">
        <f t="shared" si="21"/>
        <v>0</v>
      </c>
      <c r="AA79" s="1229">
        <f t="shared" si="22"/>
        <v>0</v>
      </c>
    </row>
    <row r="80" spans="1:27" s="1229" customFormat="1" ht="16.5" customHeight="1" x14ac:dyDescent="0.3">
      <c r="A80" s="1320" t="s">
        <v>198</v>
      </c>
      <c r="B80" s="1321" t="s">
        <v>199</v>
      </c>
      <c r="C80" s="494" t="s">
        <v>254</v>
      </c>
      <c r="D80" s="1329">
        <f t="shared" si="16"/>
        <v>1</v>
      </c>
      <c r="E80" s="1330">
        <v>1</v>
      </c>
      <c r="F80" s="1330">
        <v>0</v>
      </c>
      <c r="G80" s="1330">
        <v>0</v>
      </c>
      <c r="H80" s="1330">
        <v>0</v>
      </c>
      <c r="I80" s="1330">
        <v>0</v>
      </c>
      <c r="J80" s="1330">
        <v>0</v>
      </c>
      <c r="K80" s="1330">
        <v>0</v>
      </c>
      <c r="L80" s="1331">
        <v>0</v>
      </c>
      <c r="M80" s="891">
        <f t="shared" si="17"/>
        <v>0</v>
      </c>
      <c r="N80" s="568"/>
      <c r="O80" s="891">
        <v>0</v>
      </c>
      <c r="P80" s="891">
        <v>1</v>
      </c>
      <c r="Q80" s="891">
        <v>0</v>
      </c>
      <c r="R80" s="891">
        <v>0</v>
      </c>
      <c r="S80" s="1229">
        <v>0</v>
      </c>
      <c r="T80" s="1229">
        <v>0</v>
      </c>
      <c r="U80" s="1229">
        <v>0</v>
      </c>
      <c r="W80" s="891">
        <f t="shared" si="18"/>
        <v>1</v>
      </c>
      <c r="X80" s="891">
        <f t="shared" si="19"/>
        <v>0</v>
      </c>
      <c r="Y80" s="891">
        <f t="shared" si="20"/>
        <v>0</v>
      </c>
      <c r="Z80" s="891">
        <f t="shared" si="21"/>
        <v>0</v>
      </c>
      <c r="AA80" s="1229">
        <f t="shared" si="22"/>
        <v>0</v>
      </c>
    </row>
    <row r="81" spans="1:27" s="1229" customFormat="1" ht="16.5" customHeight="1" x14ac:dyDescent="0.3">
      <c r="A81" s="1320" t="s">
        <v>202</v>
      </c>
      <c r="B81" s="1321" t="s">
        <v>203</v>
      </c>
      <c r="C81" s="494" t="s">
        <v>253</v>
      </c>
      <c r="D81" s="1329">
        <f t="shared" si="16"/>
        <v>12</v>
      </c>
      <c r="E81" s="1330">
        <v>7</v>
      </c>
      <c r="F81" s="1330">
        <v>0</v>
      </c>
      <c r="G81" s="1330">
        <v>0</v>
      </c>
      <c r="H81" s="1330">
        <v>0</v>
      </c>
      <c r="I81" s="1330">
        <v>0</v>
      </c>
      <c r="J81" s="1330">
        <v>2</v>
      </c>
      <c r="K81" s="1330">
        <v>3</v>
      </c>
      <c r="L81" s="1331">
        <v>0</v>
      </c>
      <c r="M81" s="891">
        <f t="shared" si="17"/>
        <v>5</v>
      </c>
      <c r="N81" s="568"/>
      <c r="O81" s="568">
        <v>0</v>
      </c>
      <c r="P81" s="568">
        <v>5</v>
      </c>
      <c r="Q81" s="891">
        <v>3</v>
      </c>
      <c r="R81" s="891">
        <v>4</v>
      </c>
      <c r="S81" s="1229">
        <v>0</v>
      </c>
      <c r="T81" s="1229">
        <v>0</v>
      </c>
      <c r="U81" s="1229">
        <v>0</v>
      </c>
      <c r="W81" s="891">
        <f t="shared" si="18"/>
        <v>5</v>
      </c>
      <c r="X81" s="891">
        <f t="shared" si="19"/>
        <v>3</v>
      </c>
      <c r="Y81" s="891">
        <f t="shared" si="20"/>
        <v>4</v>
      </c>
      <c r="Z81" s="891">
        <f t="shared" si="21"/>
        <v>0</v>
      </c>
      <c r="AA81" s="1229">
        <f t="shared" si="22"/>
        <v>0</v>
      </c>
    </row>
    <row r="82" spans="1:27" s="1229" customFormat="1" ht="16.5" customHeight="1" x14ac:dyDescent="0.3">
      <c r="A82" s="1320" t="s">
        <v>204</v>
      </c>
      <c r="B82" s="1321" t="s">
        <v>205</v>
      </c>
      <c r="C82" s="494" t="s">
        <v>253</v>
      </c>
      <c r="D82" s="1329">
        <f t="shared" si="16"/>
        <v>0</v>
      </c>
      <c r="E82" s="1330">
        <v>0</v>
      </c>
      <c r="F82" s="1330">
        <v>0</v>
      </c>
      <c r="G82" s="1330">
        <v>0</v>
      </c>
      <c r="H82" s="1330">
        <v>0</v>
      </c>
      <c r="I82" s="1330">
        <v>0</v>
      </c>
      <c r="J82" s="1330">
        <v>0</v>
      </c>
      <c r="K82" s="1330">
        <v>0</v>
      </c>
      <c r="L82" s="1331">
        <v>0</v>
      </c>
      <c r="M82" s="891">
        <f t="shared" si="17"/>
        <v>0</v>
      </c>
      <c r="N82" s="891"/>
      <c r="O82" s="891">
        <v>0</v>
      </c>
      <c r="P82" s="891">
        <v>0</v>
      </c>
      <c r="Q82" s="891">
        <v>0</v>
      </c>
      <c r="R82" s="891">
        <v>0</v>
      </c>
      <c r="S82" s="1229">
        <v>0</v>
      </c>
      <c r="T82" s="1229">
        <v>0</v>
      </c>
      <c r="U82" s="1229">
        <v>0</v>
      </c>
      <c r="W82" s="891">
        <f t="shared" si="18"/>
        <v>0</v>
      </c>
      <c r="X82" s="891">
        <f t="shared" si="19"/>
        <v>0</v>
      </c>
      <c r="Y82" s="891">
        <f t="shared" si="20"/>
        <v>0</v>
      </c>
      <c r="Z82" s="891">
        <f t="shared" si="21"/>
        <v>0</v>
      </c>
      <c r="AA82" s="1229">
        <f t="shared" si="22"/>
        <v>0</v>
      </c>
    </row>
    <row r="83" spans="1:27" s="1229" customFormat="1" ht="16.5" customHeight="1" x14ac:dyDescent="0.3">
      <c r="A83" s="1320" t="s">
        <v>206</v>
      </c>
      <c r="B83" s="1321" t="s">
        <v>207</v>
      </c>
      <c r="C83" s="494" t="s">
        <v>255</v>
      </c>
      <c r="D83" s="1329">
        <f t="shared" si="16"/>
        <v>38</v>
      </c>
      <c r="E83" s="1330">
        <v>17</v>
      </c>
      <c r="F83" s="1330">
        <v>9</v>
      </c>
      <c r="G83" s="1330">
        <v>0</v>
      </c>
      <c r="H83" s="1330">
        <v>0</v>
      </c>
      <c r="I83" s="1330">
        <v>0</v>
      </c>
      <c r="J83" s="1330">
        <v>6</v>
      </c>
      <c r="K83" s="1330">
        <v>6</v>
      </c>
      <c r="L83" s="1331">
        <v>0</v>
      </c>
      <c r="M83" s="891">
        <f t="shared" si="17"/>
        <v>12</v>
      </c>
      <c r="N83" s="891"/>
      <c r="O83" s="891">
        <v>0</v>
      </c>
      <c r="P83" s="891">
        <v>21</v>
      </c>
      <c r="Q83" s="891">
        <v>9</v>
      </c>
      <c r="R83" s="891">
        <v>8</v>
      </c>
      <c r="S83" s="1229">
        <v>0</v>
      </c>
      <c r="T83" s="1229">
        <v>0</v>
      </c>
      <c r="U83" s="1229">
        <v>0</v>
      </c>
      <c r="W83" s="891">
        <f t="shared" si="18"/>
        <v>21</v>
      </c>
      <c r="X83" s="891">
        <f t="shared" si="19"/>
        <v>9</v>
      </c>
      <c r="Y83" s="891">
        <f t="shared" si="20"/>
        <v>8</v>
      </c>
      <c r="Z83" s="891">
        <f t="shared" si="21"/>
        <v>0</v>
      </c>
      <c r="AA83" s="1229">
        <f t="shared" si="22"/>
        <v>0</v>
      </c>
    </row>
    <row r="84" spans="1:27" s="1229" customFormat="1" ht="16.5" customHeight="1" x14ac:dyDescent="0.3">
      <c r="A84" s="1320" t="s">
        <v>208</v>
      </c>
      <c r="B84" s="1321" t="s">
        <v>209</v>
      </c>
      <c r="C84" s="494" t="s">
        <v>256</v>
      </c>
      <c r="D84" s="1329">
        <f t="shared" si="16"/>
        <v>6</v>
      </c>
      <c r="E84" s="1330">
        <v>5</v>
      </c>
      <c r="F84" s="1330">
        <v>0</v>
      </c>
      <c r="G84" s="1330">
        <v>0</v>
      </c>
      <c r="H84" s="1330">
        <v>0</v>
      </c>
      <c r="I84" s="1330">
        <v>0</v>
      </c>
      <c r="J84" s="1330">
        <v>0</v>
      </c>
      <c r="K84" s="1330">
        <v>1</v>
      </c>
      <c r="L84" s="1331">
        <v>0</v>
      </c>
      <c r="M84" s="891">
        <f t="shared" si="17"/>
        <v>1</v>
      </c>
      <c r="N84" s="568"/>
      <c r="O84" s="891">
        <v>0</v>
      </c>
      <c r="P84" s="891">
        <v>0</v>
      </c>
      <c r="Q84" s="891">
        <v>1</v>
      </c>
      <c r="R84" s="891">
        <v>3</v>
      </c>
      <c r="S84" s="1229">
        <v>2</v>
      </c>
      <c r="T84" s="1229">
        <v>0</v>
      </c>
      <c r="U84" s="1229">
        <v>0</v>
      </c>
      <c r="W84" s="891">
        <f t="shared" si="18"/>
        <v>0</v>
      </c>
      <c r="X84" s="891">
        <f t="shared" si="19"/>
        <v>1</v>
      </c>
      <c r="Y84" s="891">
        <f t="shared" si="20"/>
        <v>3</v>
      </c>
      <c r="Z84" s="891">
        <f t="shared" si="21"/>
        <v>2</v>
      </c>
      <c r="AA84" s="1229">
        <f t="shared" si="22"/>
        <v>0</v>
      </c>
    </row>
    <row r="85" spans="1:27" s="1229" customFormat="1" ht="16.5" customHeight="1" x14ac:dyDescent="0.3">
      <c r="A85" s="1320" t="s">
        <v>210</v>
      </c>
      <c r="B85" s="1321" t="s">
        <v>211</v>
      </c>
      <c r="C85" s="494" t="s">
        <v>256</v>
      </c>
      <c r="D85" s="1329">
        <f t="shared" si="16"/>
        <v>7</v>
      </c>
      <c r="E85" s="1330">
        <v>6</v>
      </c>
      <c r="F85" s="1330">
        <v>0</v>
      </c>
      <c r="G85" s="1330">
        <v>0</v>
      </c>
      <c r="H85" s="1330">
        <v>0</v>
      </c>
      <c r="I85" s="1330">
        <v>0</v>
      </c>
      <c r="J85" s="1330">
        <v>1</v>
      </c>
      <c r="K85" s="1330">
        <v>0</v>
      </c>
      <c r="L85" s="1331">
        <v>0</v>
      </c>
      <c r="M85" s="891">
        <f t="shared" si="17"/>
        <v>1</v>
      </c>
      <c r="N85" s="568"/>
      <c r="O85" s="891">
        <v>0</v>
      </c>
      <c r="P85" s="891">
        <v>3</v>
      </c>
      <c r="Q85" s="891">
        <v>3</v>
      </c>
      <c r="R85" s="891">
        <v>0</v>
      </c>
      <c r="S85" s="1229">
        <v>1</v>
      </c>
      <c r="T85" s="1229">
        <v>0</v>
      </c>
      <c r="U85" s="1229">
        <v>0</v>
      </c>
      <c r="W85" s="891">
        <f t="shared" si="18"/>
        <v>3</v>
      </c>
      <c r="X85" s="891">
        <f t="shared" si="19"/>
        <v>3</v>
      </c>
      <c r="Y85" s="891">
        <f t="shared" si="20"/>
        <v>0</v>
      </c>
      <c r="Z85" s="891">
        <f t="shared" si="21"/>
        <v>1</v>
      </c>
      <c r="AA85" s="1229">
        <f t="shared" si="22"/>
        <v>0</v>
      </c>
    </row>
    <row r="86" spans="1:27" s="1229" customFormat="1" ht="16.5" customHeight="1" x14ac:dyDescent="0.3">
      <c r="A86" s="1320" t="s">
        <v>212</v>
      </c>
      <c r="B86" s="1321" t="s">
        <v>213</v>
      </c>
      <c r="C86" s="494" t="s">
        <v>255</v>
      </c>
      <c r="D86" s="1329">
        <f t="shared" si="16"/>
        <v>0</v>
      </c>
      <c r="E86" s="1330">
        <v>0</v>
      </c>
      <c r="F86" s="1330">
        <v>0</v>
      </c>
      <c r="G86" s="1330">
        <v>0</v>
      </c>
      <c r="H86" s="1330">
        <v>0</v>
      </c>
      <c r="I86" s="1330">
        <v>0</v>
      </c>
      <c r="J86" s="1330">
        <v>0</v>
      </c>
      <c r="K86" s="1330">
        <v>0</v>
      </c>
      <c r="L86" s="1331">
        <v>0</v>
      </c>
      <c r="M86" s="891">
        <f t="shared" si="17"/>
        <v>0</v>
      </c>
      <c r="N86" s="568"/>
      <c r="O86" s="891">
        <v>0</v>
      </c>
      <c r="P86" s="891">
        <v>0</v>
      </c>
      <c r="Q86" s="891">
        <v>0</v>
      </c>
      <c r="R86" s="891">
        <v>0</v>
      </c>
      <c r="S86" s="1229">
        <v>0</v>
      </c>
      <c r="T86" s="1229">
        <v>0</v>
      </c>
      <c r="U86" s="1229">
        <v>0</v>
      </c>
      <c r="W86" s="891">
        <f t="shared" si="18"/>
        <v>0</v>
      </c>
      <c r="X86" s="891">
        <f t="shared" si="19"/>
        <v>0</v>
      </c>
      <c r="Y86" s="891">
        <f t="shared" si="20"/>
        <v>0</v>
      </c>
      <c r="Z86" s="891">
        <f t="shared" si="21"/>
        <v>0</v>
      </c>
      <c r="AA86" s="1229">
        <f t="shared" si="22"/>
        <v>0</v>
      </c>
    </row>
    <row r="87" spans="1:27" s="1229" customFormat="1" ht="16.5" customHeight="1" x14ac:dyDescent="0.3">
      <c r="A87" s="1320" t="s">
        <v>214</v>
      </c>
      <c r="B87" s="1321" t="s">
        <v>215</v>
      </c>
      <c r="C87" s="494" t="s">
        <v>256</v>
      </c>
      <c r="D87" s="1329">
        <f t="shared" si="16"/>
        <v>1</v>
      </c>
      <c r="E87" s="1330">
        <v>1</v>
      </c>
      <c r="F87" s="1330">
        <v>0</v>
      </c>
      <c r="G87" s="1330">
        <v>0</v>
      </c>
      <c r="H87" s="1330">
        <v>0</v>
      </c>
      <c r="I87" s="1330">
        <v>0</v>
      </c>
      <c r="J87" s="1330">
        <v>0</v>
      </c>
      <c r="K87" s="1330">
        <v>0</v>
      </c>
      <c r="L87" s="1331">
        <v>0</v>
      </c>
      <c r="M87" s="891">
        <f t="shared" si="17"/>
        <v>0</v>
      </c>
      <c r="N87" s="891"/>
      <c r="O87" s="891">
        <v>0</v>
      </c>
      <c r="P87" s="891">
        <v>1</v>
      </c>
      <c r="Q87" s="891">
        <v>0</v>
      </c>
      <c r="R87" s="891">
        <v>0</v>
      </c>
      <c r="S87" s="1229">
        <v>0</v>
      </c>
      <c r="T87" s="1229">
        <v>0</v>
      </c>
      <c r="U87" s="1229">
        <v>0</v>
      </c>
      <c r="W87" s="891">
        <f t="shared" si="18"/>
        <v>1</v>
      </c>
      <c r="X87" s="891">
        <f t="shared" si="19"/>
        <v>0</v>
      </c>
      <c r="Y87" s="891">
        <f t="shared" si="20"/>
        <v>0</v>
      </c>
      <c r="Z87" s="891">
        <f t="shared" si="21"/>
        <v>0</v>
      </c>
      <c r="AA87" s="1229">
        <f t="shared" si="22"/>
        <v>0</v>
      </c>
    </row>
    <row r="88" spans="1:27" s="1229" customFormat="1" ht="16.5" customHeight="1" x14ac:dyDescent="0.3">
      <c r="A88" s="1320" t="s">
        <v>216</v>
      </c>
      <c r="B88" s="1321" t="s">
        <v>217</v>
      </c>
      <c r="C88" s="494" t="s">
        <v>252</v>
      </c>
      <c r="D88" s="1329">
        <f t="shared" si="16"/>
        <v>0</v>
      </c>
      <c r="E88" s="1330">
        <v>0</v>
      </c>
      <c r="F88" s="1330">
        <v>0</v>
      </c>
      <c r="G88" s="1330">
        <v>0</v>
      </c>
      <c r="H88" s="1330">
        <v>0</v>
      </c>
      <c r="I88" s="1330">
        <v>0</v>
      </c>
      <c r="J88" s="1330">
        <v>0</v>
      </c>
      <c r="K88" s="1330">
        <v>0</v>
      </c>
      <c r="L88" s="1331">
        <v>0</v>
      </c>
      <c r="M88" s="891">
        <f t="shared" si="17"/>
        <v>0</v>
      </c>
      <c r="N88" s="891"/>
      <c r="O88" s="891">
        <v>0</v>
      </c>
      <c r="P88" s="891">
        <v>0</v>
      </c>
      <c r="Q88" s="891">
        <v>0</v>
      </c>
      <c r="R88" s="891">
        <v>0</v>
      </c>
      <c r="S88" s="1229">
        <v>0</v>
      </c>
      <c r="T88" s="1229">
        <v>0</v>
      </c>
      <c r="U88" s="1229">
        <v>0</v>
      </c>
      <c r="W88" s="891">
        <f t="shared" si="18"/>
        <v>0</v>
      </c>
      <c r="X88" s="891">
        <f t="shared" si="19"/>
        <v>0</v>
      </c>
      <c r="Y88" s="891">
        <f t="shared" si="20"/>
        <v>0</v>
      </c>
      <c r="Z88" s="891">
        <f t="shared" si="21"/>
        <v>0</v>
      </c>
      <c r="AA88" s="1229">
        <f t="shared" si="22"/>
        <v>0</v>
      </c>
    </row>
    <row r="89" spans="1:27" s="1229" customFormat="1" ht="16.5" customHeight="1" x14ac:dyDescent="0.3">
      <c r="A89" s="1320" t="s">
        <v>218</v>
      </c>
      <c r="B89" s="1321" t="s">
        <v>219</v>
      </c>
      <c r="C89" s="494" t="s">
        <v>255</v>
      </c>
      <c r="D89" s="1329">
        <f t="shared" si="16"/>
        <v>33</v>
      </c>
      <c r="E89" s="1330">
        <v>11</v>
      </c>
      <c r="F89" s="1330">
        <v>9</v>
      </c>
      <c r="G89" s="1330">
        <v>0</v>
      </c>
      <c r="H89" s="1330">
        <v>0</v>
      </c>
      <c r="I89" s="1330">
        <v>0</v>
      </c>
      <c r="J89" s="1330">
        <v>5</v>
      </c>
      <c r="K89" s="1330">
        <v>8</v>
      </c>
      <c r="L89" s="1331">
        <v>0</v>
      </c>
      <c r="M89" s="891">
        <f t="shared" si="17"/>
        <v>13</v>
      </c>
      <c r="N89" s="568"/>
      <c r="O89" s="891">
        <v>0</v>
      </c>
      <c r="P89" s="891">
        <v>17</v>
      </c>
      <c r="Q89" s="568">
        <v>7</v>
      </c>
      <c r="R89" s="891">
        <v>7</v>
      </c>
      <c r="S89" s="1229">
        <v>2</v>
      </c>
      <c r="T89" s="1229">
        <v>0</v>
      </c>
      <c r="U89" s="1229">
        <v>0</v>
      </c>
      <c r="W89" s="891">
        <f t="shared" si="18"/>
        <v>17</v>
      </c>
      <c r="X89" s="891">
        <f t="shared" si="19"/>
        <v>7</v>
      </c>
      <c r="Y89" s="891">
        <f t="shared" si="20"/>
        <v>7</v>
      </c>
      <c r="Z89" s="891">
        <f t="shared" si="21"/>
        <v>2</v>
      </c>
      <c r="AA89" s="1229">
        <f t="shared" si="22"/>
        <v>0</v>
      </c>
    </row>
    <row r="90" spans="1:27" s="1229" customFormat="1" ht="16.5" customHeight="1" x14ac:dyDescent="0.3">
      <c r="A90" s="1320" t="s">
        <v>220</v>
      </c>
      <c r="B90" s="1321" t="s">
        <v>221</v>
      </c>
      <c r="C90" s="494" t="s">
        <v>255</v>
      </c>
      <c r="D90" s="1329">
        <f t="shared" si="16"/>
        <v>11</v>
      </c>
      <c r="E90" s="1330">
        <v>1</v>
      </c>
      <c r="F90" s="1330">
        <v>5</v>
      </c>
      <c r="G90" s="1330">
        <v>0</v>
      </c>
      <c r="H90" s="1330">
        <v>0</v>
      </c>
      <c r="I90" s="1330">
        <v>0</v>
      </c>
      <c r="J90" s="1330">
        <v>5</v>
      </c>
      <c r="K90" s="1330">
        <v>0</v>
      </c>
      <c r="L90" s="1331">
        <v>0</v>
      </c>
      <c r="M90" s="891">
        <f t="shared" si="17"/>
        <v>5</v>
      </c>
      <c r="N90" s="568"/>
      <c r="O90" s="891">
        <v>0</v>
      </c>
      <c r="P90" s="891">
        <v>4</v>
      </c>
      <c r="Q90" s="568">
        <v>4</v>
      </c>
      <c r="R90" s="891">
        <v>3</v>
      </c>
      <c r="S90" s="1229">
        <v>0</v>
      </c>
      <c r="T90" s="1229">
        <v>0</v>
      </c>
      <c r="U90" s="1229">
        <v>0</v>
      </c>
      <c r="W90" s="891">
        <f t="shared" si="18"/>
        <v>4</v>
      </c>
      <c r="X90" s="891">
        <f t="shared" si="19"/>
        <v>4</v>
      </c>
      <c r="Y90" s="891">
        <f t="shared" si="20"/>
        <v>3</v>
      </c>
      <c r="Z90" s="891">
        <f t="shared" si="21"/>
        <v>0</v>
      </c>
      <c r="AA90" s="1229">
        <f t="shared" si="22"/>
        <v>0</v>
      </c>
    </row>
    <row r="91" spans="1:27" s="1229" customFormat="1" ht="16.5" customHeight="1" x14ac:dyDescent="0.3">
      <c r="A91" s="1320" t="s">
        <v>224</v>
      </c>
      <c r="B91" s="1321" t="s">
        <v>225</v>
      </c>
      <c r="C91" s="494" t="s">
        <v>252</v>
      </c>
      <c r="D91" s="1329">
        <f t="shared" si="16"/>
        <v>0</v>
      </c>
      <c r="E91" s="1330">
        <v>0</v>
      </c>
      <c r="F91" s="1332">
        <v>0</v>
      </c>
      <c r="G91" s="1332">
        <v>0</v>
      </c>
      <c r="H91" s="1332">
        <v>0</v>
      </c>
      <c r="I91" s="1332">
        <v>0</v>
      </c>
      <c r="J91" s="1333">
        <v>0</v>
      </c>
      <c r="K91" s="1333">
        <v>0</v>
      </c>
      <c r="L91" s="1334">
        <v>0</v>
      </c>
      <c r="M91" s="891">
        <f t="shared" si="17"/>
        <v>0</v>
      </c>
      <c r="N91" s="568"/>
      <c r="O91" s="891">
        <v>0</v>
      </c>
      <c r="P91" s="891">
        <v>0</v>
      </c>
      <c r="Q91" s="891">
        <v>0</v>
      </c>
      <c r="R91" s="891">
        <v>0</v>
      </c>
      <c r="S91" s="1229">
        <v>0</v>
      </c>
      <c r="T91" s="1229">
        <v>0</v>
      </c>
      <c r="U91" s="1229">
        <v>0</v>
      </c>
      <c r="W91" s="891">
        <f t="shared" si="18"/>
        <v>0</v>
      </c>
      <c r="X91" s="891">
        <f t="shared" si="19"/>
        <v>0</v>
      </c>
      <c r="Y91" s="891">
        <f t="shared" si="20"/>
        <v>0</v>
      </c>
      <c r="Z91" s="891">
        <f t="shared" si="21"/>
        <v>0</v>
      </c>
      <c r="AA91" s="1229">
        <f t="shared" si="22"/>
        <v>0</v>
      </c>
    </row>
    <row r="92" spans="1:27" s="1229" customFormat="1" ht="16.5" customHeight="1" x14ac:dyDescent="0.3">
      <c r="A92" s="1320" t="s">
        <v>226</v>
      </c>
      <c r="B92" s="1321" t="s">
        <v>227</v>
      </c>
      <c r="C92" s="494" t="s">
        <v>252</v>
      </c>
      <c r="D92" s="1329">
        <f t="shared" si="16"/>
        <v>1</v>
      </c>
      <c r="E92" s="1330">
        <v>1</v>
      </c>
      <c r="F92" s="1330">
        <v>0</v>
      </c>
      <c r="G92" s="1330">
        <v>0</v>
      </c>
      <c r="H92" s="1330">
        <v>0</v>
      </c>
      <c r="I92" s="1330">
        <v>0</v>
      </c>
      <c r="J92" s="1330">
        <v>0</v>
      </c>
      <c r="K92" s="1330">
        <v>0</v>
      </c>
      <c r="L92" s="1331">
        <v>0</v>
      </c>
      <c r="M92" s="891">
        <f t="shared" si="17"/>
        <v>0</v>
      </c>
      <c r="N92" s="568"/>
      <c r="O92" s="891">
        <v>0</v>
      </c>
      <c r="P92" s="891">
        <v>1</v>
      </c>
      <c r="Q92" s="891">
        <v>0</v>
      </c>
      <c r="R92" s="891">
        <v>0</v>
      </c>
      <c r="S92" s="1229">
        <v>0</v>
      </c>
      <c r="T92" s="1229">
        <v>0</v>
      </c>
      <c r="U92" s="1229">
        <v>0</v>
      </c>
      <c r="W92" s="891">
        <f t="shared" si="18"/>
        <v>1</v>
      </c>
      <c r="X92" s="891">
        <f t="shared" si="19"/>
        <v>0</v>
      </c>
      <c r="Y92" s="891">
        <f t="shared" si="20"/>
        <v>0</v>
      </c>
      <c r="Z92" s="891">
        <f t="shared" si="21"/>
        <v>0</v>
      </c>
      <c r="AA92" s="1229">
        <f t="shared" si="22"/>
        <v>0</v>
      </c>
    </row>
    <row r="93" spans="1:27" s="1229" customFormat="1" ht="16.5" customHeight="1" x14ac:dyDescent="0.3">
      <c r="A93" s="1320" t="s">
        <v>228</v>
      </c>
      <c r="B93" s="1321" t="s">
        <v>229</v>
      </c>
      <c r="C93" s="494" t="s">
        <v>256</v>
      </c>
      <c r="D93" s="1329">
        <f t="shared" si="16"/>
        <v>16</v>
      </c>
      <c r="E93" s="1330">
        <v>11</v>
      </c>
      <c r="F93" s="1330">
        <v>0</v>
      </c>
      <c r="G93" s="1330">
        <v>0</v>
      </c>
      <c r="H93" s="1330">
        <v>0</v>
      </c>
      <c r="I93" s="1330">
        <v>0</v>
      </c>
      <c r="J93" s="1330">
        <v>5</v>
      </c>
      <c r="K93" s="1330">
        <v>0</v>
      </c>
      <c r="L93" s="1331">
        <v>0</v>
      </c>
      <c r="M93" s="891">
        <f t="shared" si="17"/>
        <v>5</v>
      </c>
      <c r="N93" s="568"/>
      <c r="O93" s="891">
        <v>0</v>
      </c>
      <c r="P93" s="891">
        <v>9</v>
      </c>
      <c r="Q93" s="891">
        <v>5</v>
      </c>
      <c r="R93" s="891">
        <v>2</v>
      </c>
      <c r="S93" s="1229">
        <v>0</v>
      </c>
      <c r="T93" s="1229">
        <v>0</v>
      </c>
      <c r="U93" s="1229">
        <v>0</v>
      </c>
      <c r="W93" s="891">
        <f t="shared" si="18"/>
        <v>9</v>
      </c>
      <c r="X93" s="891">
        <f t="shared" si="19"/>
        <v>5</v>
      </c>
      <c r="Y93" s="891">
        <f t="shared" si="20"/>
        <v>2</v>
      </c>
      <c r="Z93" s="891">
        <f t="shared" si="21"/>
        <v>0</v>
      </c>
      <c r="AA93" s="1229">
        <f t="shared" si="22"/>
        <v>0</v>
      </c>
    </row>
    <row r="94" spans="1:27" s="1229" customFormat="1" ht="16.5" customHeight="1" x14ac:dyDescent="0.3">
      <c r="A94" s="1320" t="s">
        <v>232</v>
      </c>
      <c r="B94" s="1321" t="s">
        <v>233</v>
      </c>
      <c r="C94" s="494" t="s">
        <v>255</v>
      </c>
      <c r="D94" s="1329">
        <f t="shared" si="16"/>
        <v>3</v>
      </c>
      <c r="E94" s="1330">
        <v>1</v>
      </c>
      <c r="F94" s="1330">
        <v>1</v>
      </c>
      <c r="G94" s="1330">
        <v>0</v>
      </c>
      <c r="H94" s="1330">
        <v>0</v>
      </c>
      <c r="I94" s="1330">
        <v>0</v>
      </c>
      <c r="J94" s="1330">
        <v>0</v>
      </c>
      <c r="K94" s="1330">
        <v>1</v>
      </c>
      <c r="L94" s="1331">
        <v>0</v>
      </c>
      <c r="M94" s="891">
        <f t="shared" si="17"/>
        <v>1</v>
      </c>
      <c r="N94" s="891"/>
      <c r="O94" s="891">
        <v>0</v>
      </c>
      <c r="P94" s="891">
        <v>0</v>
      </c>
      <c r="Q94" s="891">
        <v>2</v>
      </c>
      <c r="R94" s="891">
        <v>1</v>
      </c>
      <c r="S94" s="1229">
        <v>0</v>
      </c>
      <c r="T94" s="1229">
        <v>0</v>
      </c>
      <c r="U94" s="1229">
        <v>0</v>
      </c>
      <c r="W94" s="891">
        <f t="shared" si="18"/>
        <v>0</v>
      </c>
      <c r="X94" s="891">
        <f t="shared" si="19"/>
        <v>2</v>
      </c>
      <c r="Y94" s="891">
        <f t="shared" si="20"/>
        <v>1</v>
      </c>
      <c r="Z94" s="891">
        <f t="shared" si="21"/>
        <v>0</v>
      </c>
      <c r="AA94" s="1229">
        <f t="shared" si="22"/>
        <v>0</v>
      </c>
    </row>
    <row r="95" spans="1:27" s="1229" customFormat="1" ht="16.5" customHeight="1" x14ac:dyDescent="0.3">
      <c r="A95" s="1320" t="s">
        <v>234</v>
      </c>
      <c r="B95" s="1321" t="s">
        <v>235</v>
      </c>
      <c r="C95" s="494" t="s">
        <v>256</v>
      </c>
      <c r="D95" s="1329">
        <f t="shared" si="16"/>
        <v>4</v>
      </c>
      <c r="E95" s="1330">
        <v>4</v>
      </c>
      <c r="F95" s="1330">
        <v>0</v>
      </c>
      <c r="G95" s="1330">
        <v>0</v>
      </c>
      <c r="H95" s="1330">
        <v>0</v>
      </c>
      <c r="I95" s="1330">
        <v>0</v>
      </c>
      <c r="J95" s="1330">
        <v>0</v>
      </c>
      <c r="K95" s="1330">
        <v>0</v>
      </c>
      <c r="L95" s="1331">
        <v>0</v>
      </c>
      <c r="M95" s="891">
        <f t="shared" si="17"/>
        <v>0</v>
      </c>
      <c r="N95" s="568"/>
      <c r="O95" s="891">
        <v>0</v>
      </c>
      <c r="P95" s="891">
        <v>0</v>
      </c>
      <c r="Q95" s="568">
        <v>3</v>
      </c>
      <c r="R95" s="891">
        <v>1</v>
      </c>
      <c r="S95" s="1229">
        <v>0</v>
      </c>
      <c r="T95" s="1229">
        <v>0</v>
      </c>
      <c r="U95" s="1229">
        <v>0</v>
      </c>
      <c r="W95" s="891">
        <f t="shared" si="18"/>
        <v>0</v>
      </c>
      <c r="X95" s="891">
        <f t="shared" si="19"/>
        <v>3</v>
      </c>
      <c r="Y95" s="891">
        <f t="shared" si="20"/>
        <v>1</v>
      </c>
      <c r="Z95" s="891">
        <f t="shared" si="21"/>
        <v>0</v>
      </c>
      <c r="AA95" s="1229">
        <f t="shared" si="22"/>
        <v>0</v>
      </c>
    </row>
    <row r="96" spans="1:27" s="1229" customFormat="1" ht="16.5" customHeight="1" x14ac:dyDescent="0.3">
      <c r="A96" s="1320" t="s">
        <v>236</v>
      </c>
      <c r="B96" s="1321" t="s">
        <v>237</v>
      </c>
      <c r="C96" s="494" t="s">
        <v>254</v>
      </c>
      <c r="D96" s="1329">
        <f t="shared" si="16"/>
        <v>2</v>
      </c>
      <c r="E96" s="1330">
        <v>2</v>
      </c>
      <c r="F96" s="1330">
        <v>0</v>
      </c>
      <c r="G96" s="1330">
        <v>0</v>
      </c>
      <c r="H96" s="1330">
        <v>0</v>
      </c>
      <c r="I96" s="1330">
        <v>0</v>
      </c>
      <c r="J96" s="1330">
        <v>0</v>
      </c>
      <c r="K96" s="1330">
        <v>0</v>
      </c>
      <c r="L96" s="1331">
        <v>0</v>
      </c>
      <c r="M96" s="891">
        <f t="shared" si="17"/>
        <v>0</v>
      </c>
      <c r="N96" s="568"/>
      <c r="O96" s="891">
        <v>0</v>
      </c>
      <c r="P96" s="891">
        <v>1</v>
      </c>
      <c r="Q96" s="891">
        <v>0</v>
      </c>
      <c r="R96" s="891">
        <v>1</v>
      </c>
      <c r="S96" s="1229">
        <v>0</v>
      </c>
      <c r="T96" s="1229">
        <v>0</v>
      </c>
      <c r="U96" s="1229">
        <v>0</v>
      </c>
      <c r="W96" s="891">
        <f t="shared" si="18"/>
        <v>1</v>
      </c>
      <c r="X96" s="891">
        <f t="shared" si="19"/>
        <v>0</v>
      </c>
      <c r="Y96" s="891">
        <f t="shared" si="20"/>
        <v>1</v>
      </c>
      <c r="Z96" s="891">
        <f t="shared" si="21"/>
        <v>0</v>
      </c>
      <c r="AA96" s="1229">
        <f t="shared" si="22"/>
        <v>0</v>
      </c>
    </row>
    <row r="97" spans="1:27" s="1229" customFormat="1" ht="16.5" customHeight="1" x14ac:dyDescent="0.3">
      <c r="A97" s="1320" t="s">
        <v>242</v>
      </c>
      <c r="B97" s="1321" t="s">
        <v>243</v>
      </c>
      <c r="C97" s="494" t="s">
        <v>256</v>
      </c>
      <c r="D97" s="1329">
        <f t="shared" si="16"/>
        <v>22</v>
      </c>
      <c r="E97" s="1330">
        <v>22</v>
      </c>
      <c r="F97" s="1330">
        <v>0</v>
      </c>
      <c r="G97" s="1330">
        <v>0</v>
      </c>
      <c r="H97" s="1330">
        <v>0</v>
      </c>
      <c r="I97" s="1330">
        <v>0</v>
      </c>
      <c r="J97" s="1330">
        <v>0</v>
      </c>
      <c r="K97" s="1330">
        <v>0</v>
      </c>
      <c r="L97" s="1331">
        <v>0</v>
      </c>
      <c r="M97" s="891">
        <f t="shared" si="17"/>
        <v>0</v>
      </c>
      <c r="N97" s="891"/>
      <c r="O97" s="891">
        <v>1</v>
      </c>
      <c r="P97" s="891">
        <v>14</v>
      </c>
      <c r="Q97" s="891">
        <v>2</v>
      </c>
      <c r="R97" s="891">
        <v>4</v>
      </c>
      <c r="S97" s="1229">
        <v>1</v>
      </c>
      <c r="T97" s="1229">
        <v>0</v>
      </c>
      <c r="U97" s="1229">
        <v>0</v>
      </c>
      <c r="W97" s="891">
        <f t="shared" si="18"/>
        <v>15</v>
      </c>
      <c r="X97" s="891">
        <f t="shared" si="19"/>
        <v>2</v>
      </c>
      <c r="Y97" s="891">
        <f t="shared" si="20"/>
        <v>4</v>
      </c>
      <c r="Z97" s="891">
        <f t="shared" si="21"/>
        <v>1</v>
      </c>
      <c r="AA97" s="1229">
        <f t="shared" si="22"/>
        <v>0</v>
      </c>
    </row>
    <row r="98" spans="1:27" s="1229" customFormat="1" ht="16.5" customHeight="1" x14ac:dyDescent="0.3">
      <c r="A98" s="1320" t="s">
        <v>244</v>
      </c>
      <c r="B98" s="1321" t="s">
        <v>245</v>
      </c>
      <c r="C98" s="494" t="s">
        <v>256</v>
      </c>
      <c r="D98" s="1329">
        <f t="shared" si="16"/>
        <v>8</v>
      </c>
      <c r="E98" s="1330">
        <v>6</v>
      </c>
      <c r="F98" s="1330">
        <v>0</v>
      </c>
      <c r="G98" s="1330">
        <v>0</v>
      </c>
      <c r="H98" s="1330">
        <v>0</v>
      </c>
      <c r="I98" s="1330">
        <v>0</v>
      </c>
      <c r="J98" s="1330">
        <v>0</v>
      </c>
      <c r="K98" s="1330">
        <v>2</v>
      </c>
      <c r="L98" s="1331">
        <v>0</v>
      </c>
      <c r="M98" s="891">
        <f t="shared" si="17"/>
        <v>2</v>
      </c>
      <c r="N98" s="891"/>
      <c r="O98" s="891">
        <v>0</v>
      </c>
      <c r="P98" s="891">
        <v>4</v>
      </c>
      <c r="Q98" s="891">
        <v>2</v>
      </c>
      <c r="R98" s="891">
        <v>0</v>
      </c>
      <c r="S98" s="1229">
        <v>2</v>
      </c>
      <c r="T98" s="1229">
        <v>0</v>
      </c>
      <c r="U98" s="1229">
        <v>0</v>
      </c>
      <c r="W98" s="891">
        <f t="shared" si="18"/>
        <v>4</v>
      </c>
      <c r="X98" s="891">
        <f t="shared" si="19"/>
        <v>2</v>
      </c>
      <c r="Y98" s="891">
        <f t="shared" si="20"/>
        <v>0</v>
      </c>
      <c r="Z98" s="891">
        <f t="shared" si="21"/>
        <v>2</v>
      </c>
      <c r="AA98" s="1229">
        <f t="shared" si="22"/>
        <v>0</v>
      </c>
    </row>
    <row r="99" spans="1:27" s="1229" customFormat="1" ht="16.5" customHeight="1" x14ac:dyDescent="0.3">
      <c r="A99" s="1320" t="s">
        <v>246</v>
      </c>
      <c r="B99" s="1321" t="s">
        <v>298</v>
      </c>
      <c r="C99" s="494" t="s">
        <v>252</v>
      </c>
      <c r="D99" s="1329">
        <f t="shared" si="16"/>
        <v>2</v>
      </c>
      <c r="E99" s="1330">
        <v>2</v>
      </c>
      <c r="F99" s="1330">
        <v>0</v>
      </c>
      <c r="G99" s="1330">
        <v>0</v>
      </c>
      <c r="H99" s="1330">
        <v>0</v>
      </c>
      <c r="I99" s="1330">
        <v>0</v>
      </c>
      <c r="J99" s="1330">
        <v>0</v>
      </c>
      <c r="K99" s="1330">
        <v>0</v>
      </c>
      <c r="L99" s="1331">
        <v>0</v>
      </c>
      <c r="M99" s="891">
        <f t="shared" si="17"/>
        <v>0</v>
      </c>
      <c r="N99" s="568"/>
      <c r="O99" s="891">
        <v>0</v>
      </c>
      <c r="P99" s="891">
        <v>1</v>
      </c>
      <c r="Q99" s="568">
        <v>1</v>
      </c>
      <c r="R99" s="891">
        <v>0</v>
      </c>
      <c r="S99" s="1229">
        <v>0</v>
      </c>
      <c r="T99" s="1229">
        <v>0</v>
      </c>
      <c r="U99" s="1229">
        <v>0</v>
      </c>
      <c r="W99" s="891">
        <f t="shared" si="18"/>
        <v>1</v>
      </c>
      <c r="X99" s="891">
        <f t="shared" si="19"/>
        <v>1</v>
      </c>
      <c r="Y99" s="891">
        <f t="shared" si="20"/>
        <v>0</v>
      </c>
      <c r="Z99" s="891">
        <f t="shared" si="21"/>
        <v>0</v>
      </c>
      <c r="AA99" s="1229">
        <f t="shared" si="22"/>
        <v>0</v>
      </c>
    </row>
    <row r="100" spans="1:27" s="1229" customFormat="1" ht="16.5" customHeight="1" x14ac:dyDescent="0.3">
      <c r="A100" s="1320" t="s">
        <v>14</v>
      </c>
      <c r="B100" s="1321" t="s">
        <v>15</v>
      </c>
      <c r="C100" s="494" t="s">
        <v>255</v>
      </c>
      <c r="D100" s="1329">
        <f t="shared" si="16"/>
        <v>13</v>
      </c>
      <c r="E100" s="1330">
        <v>0</v>
      </c>
      <c r="F100" s="1330">
        <v>11</v>
      </c>
      <c r="G100" s="1330">
        <v>0</v>
      </c>
      <c r="H100" s="1330">
        <v>0</v>
      </c>
      <c r="I100" s="1330">
        <v>0</v>
      </c>
      <c r="J100" s="1330">
        <v>0</v>
      </c>
      <c r="K100" s="1330">
        <v>2</v>
      </c>
      <c r="L100" s="1331">
        <v>0</v>
      </c>
      <c r="M100" s="891">
        <f t="shared" si="17"/>
        <v>2</v>
      </c>
      <c r="N100" s="891"/>
      <c r="O100" s="891">
        <v>0</v>
      </c>
      <c r="P100" s="891">
        <v>7</v>
      </c>
      <c r="Q100" s="891">
        <v>3</v>
      </c>
      <c r="R100" s="891">
        <v>3</v>
      </c>
      <c r="S100" s="1229">
        <v>0</v>
      </c>
      <c r="T100" s="1229">
        <v>0</v>
      </c>
      <c r="U100" s="1229">
        <v>0</v>
      </c>
      <c r="W100" s="891">
        <f t="shared" si="18"/>
        <v>7</v>
      </c>
      <c r="X100" s="891">
        <f t="shared" si="19"/>
        <v>3</v>
      </c>
      <c r="Y100" s="891">
        <f t="shared" si="20"/>
        <v>3</v>
      </c>
      <c r="Z100" s="891">
        <f t="shared" si="21"/>
        <v>0</v>
      </c>
      <c r="AA100" s="1229">
        <f t="shared" si="22"/>
        <v>0</v>
      </c>
    </row>
    <row r="101" spans="1:27" s="1229" customFormat="1" ht="16.5" customHeight="1" x14ac:dyDescent="0.3">
      <c r="A101" s="1320" t="s">
        <v>34</v>
      </c>
      <c r="B101" s="1321" t="s">
        <v>35</v>
      </c>
      <c r="C101" s="494" t="s">
        <v>256</v>
      </c>
      <c r="D101" s="1329">
        <f t="shared" ref="D101:D124" si="23">SUM(E101:L101)</f>
        <v>9</v>
      </c>
      <c r="E101" s="1330">
        <v>7</v>
      </c>
      <c r="F101" s="1330">
        <v>2</v>
      </c>
      <c r="G101" s="1330">
        <v>0</v>
      </c>
      <c r="H101" s="1330">
        <v>0</v>
      </c>
      <c r="I101" s="1330">
        <v>0</v>
      </c>
      <c r="J101" s="1330">
        <v>0</v>
      </c>
      <c r="K101" s="1330">
        <v>0</v>
      </c>
      <c r="L101" s="1331">
        <v>0</v>
      </c>
      <c r="M101" s="891">
        <f t="shared" ref="M101:M124" si="24">G101+H101+I101+J101+K101</f>
        <v>0</v>
      </c>
      <c r="N101" s="568"/>
      <c r="O101" s="891">
        <v>0</v>
      </c>
      <c r="P101" s="891">
        <v>4</v>
      </c>
      <c r="Q101" s="568">
        <v>1</v>
      </c>
      <c r="R101" s="891">
        <v>4</v>
      </c>
      <c r="S101" s="1229">
        <v>0</v>
      </c>
      <c r="T101" s="1229">
        <v>0</v>
      </c>
      <c r="U101" s="1229">
        <v>0</v>
      </c>
      <c r="W101" s="891">
        <f t="shared" ref="W101:W124" si="25">O101+P101</f>
        <v>4</v>
      </c>
      <c r="X101" s="891">
        <f t="shared" ref="X101:X124" si="26">Q101</f>
        <v>1</v>
      </c>
      <c r="Y101" s="891">
        <f t="shared" ref="Y101:Y124" si="27">R101</f>
        <v>4</v>
      </c>
      <c r="Z101" s="891">
        <f t="shared" ref="Z101:Z124" si="28">S101</f>
        <v>0</v>
      </c>
      <c r="AA101" s="1229">
        <f t="shared" ref="AA101:AA124" si="29">T101</f>
        <v>0</v>
      </c>
    </row>
    <row r="102" spans="1:27" s="1229" customFormat="1" ht="16.5" customHeight="1" x14ac:dyDescent="0.3">
      <c r="A102" s="1320" t="s">
        <v>52</v>
      </c>
      <c r="B102" s="1321" t="s">
        <v>53</v>
      </c>
      <c r="C102" s="494" t="s">
        <v>253</v>
      </c>
      <c r="D102" s="1329">
        <f t="shared" si="23"/>
        <v>33</v>
      </c>
      <c r="E102" s="1330">
        <v>12</v>
      </c>
      <c r="F102" s="1330">
        <v>17</v>
      </c>
      <c r="G102" s="1330">
        <v>0</v>
      </c>
      <c r="H102" s="1330">
        <v>0</v>
      </c>
      <c r="I102" s="1330">
        <v>0</v>
      </c>
      <c r="J102" s="1330">
        <v>3</v>
      </c>
      <c r="K102" s="1330">
        <v>1</v>
      </c>
      <c r="L102" s="1331">
        <v>0</v>
      </c>
      <c r="M102" s="891">
        <f t="shared" si="24"/>
        <v>4</v>
      </c>
      <c r="N102" s="568"/>
      <c r="O102" s="891">
        <v>0</v>
      </c>
      <c r="P102" s="891">
        <v>18</v>
      </c>
      <c r="Q102" s="891">
        <v>12</v>
      </c>
      <c r="R102" s="891">
        <v>3</v>
      </c>
      <c r="S102" s="1229">
        <v>0</v>
      </c>
      <c r="T102" s="1229">
        <v>0</v>
      </c>
      <c r="U102" s="1229">
        <v>0</v>
      </c>
      <c r="W102" s="891">
        <f t="shared" si="25"/>
        <v>18</v>
      </c>
      <c r="X102" s="891">
        <f t="shared" si="26"/>
        <v>12</v>
      </c>
      <c r="Y102" s="891">
        <f t="shared" si="27"/>
        <v>3</v>
      </c>
      <c r="Z102" s="891">
        <f t="shared" si="28"/>
        <v>0</v>
      </c>
      <c r="AA102" s="1229">
        <f t="shared" si="29"/>
        <v>0</v>
      </c>
    </row>
    <row r="103" spans="1:27" s="1229" customFormat="1" ht="16.5" customHeight="1" x14ac:dyDescent="0.3">
      <c r="A103" s="1320" t="s">
        <v>54</v>
      </c>
      <c r="B103" s="1321" t="s">
        <v>55</v>
      </c>
      <c r="C103" s="494" t="s">
        <v>252</v>
      </c>
      <c r="D103" s="1329">
        <f t="shared" si="23"/>
        <v>11</v>
      </c>
      <c r="E103" s="1330">
        <v>6</v>
      </c>
      <c r="F103" s="1330">
        <v>5</v>
      </c>
      <c r="G103" s="1330">
        <v>0</v>
      </c>
      <c r="H103" s="1330">
        <v>0</v>
      </c>
      <c r="I103" s="1330">
        <v>0</v>
      </c>
      <c r="J103" s="1330">
        <v>0</v>
      </c>
      <c r="K103" s="1330">
        <v>0</v>
      </c>
      <c r="L103" s="1331">
        <v>0</v>
      </c>
      <c r="M103" s="891">
        <f t="shared" si="24"/>
        <v>0</v>
      </c>
      <c r="N103" s="568"/>
      <c r="O103" s="891">
        <v>0</v>
      </c>
      <c r="P103" s="891">
        <v>2</v>
      </c>
      <c r="Q103" s="891">
        <v>4</v>
      </c>
      <c r="R103" s="891">
        <v>4</v>
      </c>
      <c r="S103" s="1229">
        <v>1</v>
      </c>
      <c r="T103" s="1229">
        <v>0</v>
      </c>
      <c r="U103" s="1229">
        <v>0</v>
      </c>
      <c r="W103" s="891">
        <f t="shared" si="25"/>
        <v>2</v>
      </c>
      <c r="X103" s="891">
        <f t="shared" si="26"/>
        <v>4</v>
      </c>
      <c r="Y103" s="891">
        <f t="shared" si="27"/>
        <v>4</v>
      </c>
      <c r="Z103" s="891">
        <f t="shared" si="28"/>
        <v>1</v>
      </c>
      <c r="AA103" s="1229">
        <f t="shared" si="29"/>
        <v>0</v>
      </c>
    </row>
    <row r="104" spans="1:27" s="1229" customFormat="1" ht="16.5" customHeight="1" x14ac:dyDescent="0.3">
      <c r="A104" s="1320" t="s">
        <v>66</v>
      </c>
      <c r="B104" s="1321" t="s">
        <v>67</v>
      </c>
      <c r="C104" s="494" t="s">
        <v>253</v>
      </c>
      <c r="D104" s="1329">
        <f t="shared" si="23"/>
        <v>1</v>
      </c>
      <c r="E104" s="1330">
        <v>0</v>
      </c>
      <c r="F104" s="1330">
        <v>1</v>
      </c>
      <c r="G104" s="1330">
        <v>0</v>
      </c>
      <c r="H104" s="1330">
        <v>0</v>
      </c>
      <c r="I104" s="1330">
        <v>0</v>
      </c>
      <c r="J104" s="1330">
        <v>0</v>
      </c>
      <c r="K104" s="1330">
        <v>0</v>
      </c>
      <c r="L104" s="1331">
        <v>0</v>
      </c>
      <c r="M104" s="891">
        <f t="shared" si="24"/>
        <v>0</v>
      </c>
      <c r="N104" s="568"/>
      <c r="O104" s="891">
        <v>0</v>
      </c>
      <c r="P104" s="891">
        <v>1</v>
      </c>
      <c r="Q104" s="568">
        <v>0</v>
      </c>
      <c r="R104" s="891">
        <v>0</v>
      </c>
      <c r="S104" s="1229">
        <v>0</v>
      </c>
      <c r="T104" s="1229">
        <v>0</v>
      </c>
      <c r="U104" s="1229">
        <v>0</v>
      </c>
      <c r="W104" s="891">
        <f t="shared" si="25"/>
        <v>1</v>
      </c>
      <c r="X104" s="891">
        <f t="shared" si="26"/>
        <v>0</v>
      </c>
      <c r="Y104" s="891">
        <f t="shared" si="27"/>
        <v>0</v>
      </c>
      <c r="Z104" s="891">
        <f t="shared" si="28"/>
        <v>0</v>
      </c>
      <c r="AA104" s="1229">
        <f t="shared" si="29"/>
        <v>0</v>
      </c>
    </row>
    <row r="105" spans="1:27" s="1229" customFormat="1" ht="16.5" customHeight="1" x14ac:dyDescent="0.3">
      <c r="A105" s="1320" t="s">
        <v>82</v>
      </c>
      <c r="B105" s="1321" t="s">
        <v>299</v>
      </c>
      <c r="C105" s="494" t="s">
        <v>252</v>
      </c>
      <c r="D105" s="1329">
        <f t="shared" si="23"/>
        <v>0</v>
      </c>
      <c r="E105" s="1330">
        <v>0</v>
      </c>
      <c r="F105" s="1330">
        <v>0</v>
      </c>
      <c r="G105" s="1330">
        <v>0</v>
      </c>
      <c r="H105" s="1330">
        <v>0</v>
      </c>
      <c r="I105" s="1330">
        <v>0</v>
      </c>
      <c r="J105" s="1330">
        <v>0</v>
      </c>
      <c r="K105" s="1330">
        <v>0</v>
      </c>
      <c r="L105" s="1331">
        <v>0</v>
      </c>
      <c r="M105" s="891">
        <f t="shared" si="24"/>
        <v>0</v>
      </c>
      <c r="N105" s="891"/>
      <c r="O105" s="891">
        <v>0</v>
      </c>
      <c r="P105" s="891">
        <v>0</v>
      </c>
      <c r="Q105" s="891">
        <v>0</v>
      </c>
      <c r="R105" s="891">
        <v>0</v>
      </c>
      <c r="S105" s="1229">
        <v>0</v>
      </c>
      <c r="T105" s="1229">
        <v>0</v>
      </c>
      <c r="U105" s="1229">
        <v>0</v>
      </c>
      <c r="W105" s="891">
        <f t="shared" si="25"/>
        <v>0</v>
      </c>
      <c r="X105" s="891">
        <f t="shared" si="26"/>
        <v>0</v>
      </c>
      <c r="Y105" s="891">
        <f t="shared" si="27"/>
        <v>0</v>
      </c>
      <c r="Z105" s="891">
        <f t="shared" si="28"/>
        <v>0</v>
      </c>
      <c r="AA105" s="1229">
        <f t="shared" si="29"/>
        <v>0</v>
      </c>
    </row>
    <row r="106" spans="1:27" s="1229" customFormat="1" ht="16.5" customHeight="1" x14ac:dyDescent="0.3">
      <c r="A106" s="1320" t="s">
        <v>88</v>
      </c>
      <c r="B106" s="1321" t="s">
        <v>89</v>
      </c>
      <c r="C106" s="494" t="s">
        <v>255</v>
      </c>
      <c r="D106" s="1329">
        <f t="shared" si="23"/>
        <v>15</v>
      </c>
      <c r="E106" s="1330">
        <v>6</v>
      </c>
      <c r="F106" s="1330">
        <v>5</v>
      </c>
      <c r="G106" s="1330">
        <v>0</v>
      </c>
      <c r="H106" s="1330">
        <v>0</v>
      </c>
      <c r="I106" s="1330">
        <v>0</v>
      </c>
      <c r="J106" s="1330">
        <v>3</v>
      </c>
      <c r="K106" s="1330">
        <v>1</v>
      </c>
      <c r="L106" s="1331">
        <v>0</v>
      </c>
      <c r="M106" s="891">
        <f t="shared" si="24"/>
        <v>4</v>
      </c>
      <c r="N106" s="891"/>
      <c r="O106" s="891">
        <v>2</v>
      </c>
      <c r="P106" s="891">
        <v>8</v>
      </c>
      <c r="Q106" s="891">
        <v>4</v>
      </c>
      <c r="R106" s="891">
        <v>1</v>
      </c>
      <c r="S106" s="1229">
        <v>0</v>
      </c>
      <c r="T106" s="1229">
        <v>0</v>
      </c>
      <c r="U106" s="1229">
        <v>0</v>
      </c>
      <c r="W106" s="891">
        <f t="shared" si="25"/>
        <v>10</v>
      </c>
      <c r="X106" s="891">
        <f t="shared" si="26"/>
        <v>4</v>
      </c>
      <c r="Y106" s="891">
        <f t="shared" si="27"/>
        <v>1</v>
      </c>
      <c r="Z106" s="891">
        <f t="shared" si="28"/>
        <v>0</v>
      </c>
      <c r="AA106" s="1229">
        <f t="shared" si="29"/>
        <v>0</v>
      </c>
    </row>
    <row r="107" spans="1:27" s="1229" customFormat="1" ht="16.5" customHeight="1" x14ac:dyDescent="0.3">
      <c r="A107" s="1320" t="s">
        <v>90</v>
      </c>
      <c r="B107" s="1321" t="s">
        <v>91</v>
      </c>
      <c r="C107" s="494" t="s">
        <v>256</v>
      </c>
      <c r="D107" s="1329">
        <f t="shared" si="23"/>
        <v>6</v>
      </c>
      <c r="E107" s="1330">
        <v>4</v>
      </c>
      <c r="F107" s="1330">
        <v>0</v>
      </c>
      <c r="G107" s="1330">
        <v>0</v>
      </c>
      <c r="H107" s="1330">
        <v>0</v>
      </c>
      <c r="I107" s="1330">
        <v>0</v>
      </c>
      <c r="J107" s="1330">
        <v>2</v>
      </c>
      <c r="K107" s="1330">
        <v>0</v>
      </c>
      <c r="L107" s="1331">
        <v>0</v>
      </c>
      <c r="M107" s="891">
        <f t="shared" si="24"/>
        <v>2</v>
      </c>
      <c r="N107" s="568"/>
      <c r="O107" s="891">
        <v>0</v>
      </c>
      <c r="P107" s="891">
        <v>6</v>
      </c>
      <c r="Q107" s="891">
        <v>0</v>
      </c>
      <c r="R107" s="891">
        <v>0</v>
      </c>
      <c r="S107" s="1229">
        <v>0</v>
      </c>
      <c r="T107" s="1229">
        <v>0</v>
      </c>
      <c r="U107" s="1229">
        <v>0</v>
      </c>
      <c r="W107" s="891">
        <f t="shared" si="25"/>
        <v>6</v>
      </c>
      <c r="X107" s="891">
        <f t="shared" si="26"/>
        <v>0</v>
      </c>
      <c r="Y107" s="891">
        <f t="shared" si="27"/>
        <v>0</v>
      </c>
      <c r="Z107" s="891">
        <f t="shared" si="28"/>
        <v>0</v>
      </c>
      <c r="AA107" s="1229">
        <f t="shared" si="29"/>
        <v>0</v>
      </c>
    </row>
    <row r="108" spans="1:27" s="1229" customFormat="1" ht="16.5" customHeight="1" x14ac:dyDescent="0.3">
      <c r="A108" s="1320" t="s">
        <v>106</v>
      </c>
      <c r="B108" s="1321" t="s">
        <v>107</v>
      </c>
      <c r="C108" s="494" t="s">
        <v>252</v>
      </c>
      <c r="D108" s="1329">
        <f t="shared" si="23"/>
        <v>19</v>
      </c>
      <c r="E108" s="1330">
        <v>8</v>
      </c>
      <c r="F108" s="1330">
        <v>9</v>
      </c>
      <c r="G108" s="1330">
        <v>0</v>
      </c>
      <c r="H108" s="1330">
        <v>0</v>
      </c>
      <c r="I108" s="1330">
        <v>0</v>
      </c>
      <c r="J108" s="1330">
        <v>2</v>
      </c>
      <c r="K108" s="1330">
        <v>0</v>
      </c>
      <c r="L108" s="1331">
        <v>0</v>
      </c>
      <c r="M108" s="891">
        <f t="shared" si="24"/>
        <v>2</v>
      </c>
      <c r="N108" s="568"/>
      <c r="O108" s="891">
        <v>1</v>
      </c>
      <c r="P108" s="891">
        <v>12</v>
      </c>
      <c r="Q108" s="891">
        <v>1</v>
      </c>
      <c r="R108" s="891">
        <v>5</v>
      </c>
      <c r="S108" s="1229">
        <v>0</v>
      </c>
      <c r="T108" s="1229">
        <v>0</v>
      </c>
      <c r="U108" s="1229">
        <v>0</v>
      </c>
      <c r="W108" s="891">
        <f t="shared" si="25"/>
        <v>13</v>
      </c>
      <c r="X108" s="891">
        <f t="shared" si="26"/>
        <v>1</v>
      </c>
      <c r="Y108" s="891">
        <f t="shared" si="27"/>
        <v>5</v>
      </c>
      <c r="Z108" s="891">
        <f t="shared" si="28"/>
        <v>0</v>
      </c>
      <c r="AA108" s="1229">
        <f t="shared" si="29"/>
        <v>0</v>
      </c>
    </row>
    <row r="109" spans="1:27" s="1229" customFormat="1" ht="16.5" customHeight="1" x14ac:dyDescent="0.3">
      <c r="A109" s="1320" t="s">
        <v>116</v>
      </c>
      <c r="B109" s="1321" t="s">
        <v>117</v>
      </c>
      <c r="C109" s="494" t="s">
        <v>254</v>
      </c>
      <c r="D109" s="1329">
        <f t="shared" si="23"/>
        <v>7</v>
      </c>
      <c r="E109" s="1330">
        <v>5</v>
      </c>
      <c r="F109" s="1330">
        <v>2</v>
      </c>
      <c r="G109" s="1330">
        <v>0</v>
      </c>
      <c r="H109" s="1330">
        <v>0</v>
      </c>
      <c r="I109" s="1330">
        <v>0</v>
      </c>
      <c r="J109" s="1330">
        <v>0</v>
      </c>
      <c r="K109" s="1330">
        <v>0</v>
      </c>
      <c r="L109" s="1331">
        <v>0</v>
      </c>
      <c r="M109" s="891">
        <f t="shared" si="24"/>
        <v>0</v>
      </c>
      <c r="N109" s="891"/>
      <c r="O109" s="891">
        <v>0</v>
      </c>
      <c r="P109" s="891">
        <v>1</v>
      </c>
      <c r="Q109" s="568">
        <v>4</v>
      </c>
      <c r="R109" s="891">
        <v>2</v>
      </c>
      <c r="S109" s="1229">
        <v>0</v>
      </c>
      <c r="T109" s="1229">
        <v>0</v>
      </c>
      <c r="U109" s="1229">
        <v>0</v>
      </c>
      <c r="W109" s="891">
        <f t="shared" si="25"/>
        <v>1</v>
      </c>
      <c r="X109" s="891">
        <f t="shared" si="26"/>
        <v>4</v>
      </c>
      <c r="Y109" s="891">
        <f t="shared" si="27"/>
        <v>2</v>
      </c>
      <c r="Z109" s="891">
        <f t="shared" si="28"/>
        <v>0</v>
      </c>
      <c r="AA109" s="1229">
        <f t="shared" si="29"/>
        <v>0</v>
      </c>
    </row>
    <row r="110" spans="1:27" s="1229" customFormat="1" ht="16.5" customHeight="1" x14ac:dyDescent="0.3">
      <c r="A110" s="1320" t="s">
        <v>138</v>
      </c>
      <c r="B110" s="1321" t="s">
        <v>139</v>
      </c>
      <c r="C110" s="494" t="s">
        <v>253</v>
      </c>
      <c r="D110" s="1329">
        <f t="shared" si="23"/>
        <v>27</v>
      </c>
      <c r="E110" s="1330">
        <v>6</v>
      </c>
      <c r="F110" s="1330">
        <v>13</v>
      </c>
      <c r="G110" s="1330">
        <v>0</v>
      </c>
      <c r="H110" s="1330">
        <v>0</v>
      </c>
      <c r="I110" s="1330">
        <v>0</v>
      </c>
      <c r="J110" s="1330">
        <v>7</v>
      </c>
      <c r="K110" s="1330">
        <v>1</v>
      </c>
      <c r="L110" s="1331">
        <v>0</v>
      </c>
      <c r="M110" s="891">
        <f t="shared" si="24"/>
        <v>8</v>
      </c>
      <c r="N110" s="891"/>
      <c r="O110" s="891">
        <v>0</v>
      </c>
      <c r="P110" s="891">
        <v>15</v>
      </c>
      <c r="Q110" s="891">
        <v>5</v>
      </c>
      <c r="R110" s="891">
        <v>4</v>
      </c>
      <c r="S110" s="1229">
        <v>3</v>
      </c>
      <c r="T110" s="1229">
        <v>0</v>
      </c>
      <c r="U110" s="1229">
        <v>0</v>
      </c>
      <c r="W110" s="891">
        <f t="shared" si="25"/>
        <v>15</v>
      </c>
      <c r="X110" s="891">
        <f t="shared" si="26"/>
        <v>5</v>
      </c>
      <c r="Y110" s="891">
        <f t="shared" si="27"/>
        <v>4</v>
      </c>
      <c r="Z110" s="891">
        <f t="shared" si="28"/>
        <v>3</v>
      </c>
      <c r="AA110" s="1229">
        <f t="shared" si="29"/>
        <v>0</v>
      </c>
    </row>
    <row r="111" spans="1:27" s="1229" customFormat="1" ht="16.5" customHeight="1" x14ac:dyDescent="0.3">
      <c r="A111" s="1320" t="s">
        <v>142</v>
      </c>
      <c r="B111" s="1321" t="s">
        <v>143</v>
      </c>
      <c r="C111" s="494" t="s">
        <v>255</v>
      </c>
      <c r="D111" s="1329">
        <f t="shared" si="23"/>
        <v>1</v>
      </c>
      <c r="E111" s="1330">
        <v>1</v>
      </c>
      <c r="F111" s="1330">
        <v>0</v>
      </c>
      <c r="G111" s="1330">
        <v>0</v>
      </c>
      <c r="H111" s="1330">
        <v>0</v>
      </c>
      <c r="I111" s="1330">
        <v>0</v>
      </c>
      <c r="J111" s="1330">
        <v>0</v>
      </c>
      <c r="K111" s="1330">
        <v>0</v>
      </c>
      <c r="L111" s="1331">
        <v>0</v>
      </c>
      <c r="M111" s="891">
        <f t="shared" si="24"/>
        <v>0</v>
      </c>
      <c r="N111" s="568"/>
      <c r="O111" s="891">
        <v>0</v>
      </c>
      <c r="P111" s="891">
        <v>1</v>
      </c>
      <c r="Q111" s="568">
        <v>0</v>
      </c>
      <c r="R111" s="891">
        <v>0</v>
      </c>
      <c r="S111" s="1229">
        <v>0</v>
      </c>
      <c r="T111" s="1229">
        <v>0</v>
      </c>
      <c r="U111" s="1229">
        <v>0</v>
      </c>
      <c r="W111" s="891">
        <f t="shared" si="25"/>
        <v>1</v>
      </c>
      <c r="X111" s="891">
        <f t="shared" si="26"/>
        <v>0</v>
      </c>
      <c r="Y111" s="891">
        <f t="shared" si="27"/>
        <v>0</v>
      </c>
      <c r="Z111" s="891">
        <f t="shared" si="28"/>
        <v>0</v>
      </c>
      <c r="AA111" s="1229">
        <f t="shared" si="29"/>
        <v>0</v>
      </c>
    </row>
    <row r="112" spans="1:27" s="1229" customFormat="1" ht="16.5" customHeight="1" x14ac:dyDescent="0.3">
      <c r="A112" s="1320" t="s">
        <v>144</v>
      </c>
      <c r="B112" s="1321" t="s">
        <v>145</v>
      </c>
      <c r="C112" s="494" t="s">
        <v>255</v>
      </c>
      <c r="D112" s="1329">
        <f t="shared" si="23"/>
        <v>0</v>
      </c>
      <c r="E112" s="1330">
        <v>0</v>
      </c>
      <c r="F112" s="1330">
        <v>0</v>
      </c>
      <c r="G112" s="1330">
        <v>0</v>
      </c>
      <c r="H112" s="1330">
        <v>0</v>
      </c>
      <c r="I112" s="1330">
        <v>0</v>
      </c>
      <c r="J112" s="1330">
        <v>0</v>
      </c>
      <c r="K112" s="1330">
        <v>0</v>
      </c>
      <c r="L112" s="1331">
        <v>0</v>
      </c>
      <c r="M112" s="891">
        <f t="shared" si="24"/>
        <v>0</v>
      </c>
      <c r="N112" s="891"/>
      <c r="O112" s="891">
        <v>0</v>
      </c>
      <c r="P112" s="891">
        <v>0</v>
      </c>
      <c r="Q112" s="891">
        <v>0</v>
      </c>
      <c r="R112" s="891">
        <v>0</v>
      </c>
      <c r="S112" s="1229">
        <v>0</v>
      </c>
      <c r="T112" s="1229">
        <v>0</v>
      </c>
      <c r="U112" s="1229">
        <v>0</v>
      </c>
      <c r="W112" s="891">
        <f t="shared" si="25"/>
        <v>0</v>
      </c>
      <c r="X112" s="891">
        <f t="shared" si="26"/>
        <v>0</v>
      </c>
      <c r="Y112" s="891">
        <f t="shared" si="27"/>
        <v>0</v>
      </c>
      <c r="Z112" s="891">
        <f t="shared" si="28"/>
        <v>0</v>
      </c>
      <c r="AA112" s="1229">
        <f t="shared" si="29"/>
        <v>0</v>
      </c>
    </row>
    <row r="113" spans="1:27" s="1229" customFormat="1" ht="16.5" customHeight="1" x14ac:dyDescent="0.3">
      <c r="A113" s="1320" t="s">
        <v>158</v>
      </c>
      <c r="B113" s="1321" t="s">
        <v>159</v>
      </c>
      <c r="C113" s="494" t="s">
        <v>252</v>
      </c>
      <c r="D113" s="1329">
        <f t="shared" si="23"/>
        <v>32</v>
      </c>
      <c r="E113" s="1330">
        <v>12</v>
      </c>
      <c r="F113" s="1330">
        <v>14</v>
      </c>
      <c r="G113" s="1330">
        <v>0</v>
      </c>
      <c r="H113" s="1330">
        <v>0</v>
      </c>
      <c r="I113" s="1330">
        <v>0</v>
      </c>
      <c r="J113" s="1330">
        <v>3</v>
      </c>
      <c r="K113" s="1330">
        <v>3</v>
      </c>
      <c r="L113" s="1331">
        <v>0</v>
      </c>
      <c r="M113" s="891">
        <f t="shared" si="24"/>
        <v>6</v>
      </c>
      <c r="N113" s="891"/>
      <c r="O113" s="891">
        <v>0</v>
      </c>
      <c r="P113" s="891">
        <v>13</v>
      </c>
      <c r="Q113" s="891">
        <v>9</v>
      </c>
      <c r="R113" s="891">
        <v>9</v>
      </c>
      <c r="S113" s="1229">
        <v>1</v>
      </c>
      <c r="T113" s="1229">
        <v>0</v>
      </c>
      <c r="U113" s="1229">
        <v>0</v>
      </c>
      <c r="W113" s="891">
        <f t="shared" si="25"/>
        <v>13</v>
      </c>
      <c r="X113" s="891">
        <f t="shared" si="26"/>
        <v>9</v>
      </c>
      <c r="Y113" s="891">
        <f t="shared" si="27"/>
        <v>9</v>
      </c>
      <c r="Z113" s="891">
        <f t="shared" si="28"/>
        <v>1</v>
      </c>
      <c r="AA113" s="1229">
        <f t="shared" si="29"/>
        <v>0</v>
      </c>
    </row>
    <row r="114" spans="1:27" s="1229" customFormat="1" ht="16.5" customHeight="1" x14ac:dyDescent="0.3">
      <c r="A114" s="1320" t="s">
        <v>160</v>
      </c>
      <c r="B114" s="1321" t="s">
        <v>161</v>
      </c>
      <c r="C114" s="494" t="s">
        <v>252</v>
      </c>
      <c r="D114" s="1329">
        <f t="shared" si="23"/>
        <v>24</v>
      </c>
      <c r="E114" s="1330">
        <v>8</v>
      </c>
      <c r="F114" s="1330">
        <v>10</v>
      </c>
      <c r="G114" s="1330">
        <v>0</v>
      </c>
      <c r="H114" s="1330">
        <v>2</v>
      </c>
      <c r="I114" s="1330">
        <v>0</v>
      </c>
      <c r="J114" s="1330">
        <v>4</v>
      </c>
      <c r="K114" s="1330">
        <v>0</v>
      </c>
      <c r="L114" s="1331">
        <v>0</v>
      </c>
      <c r="M114" s="891">
        <f t="shared" si="24"/>
        <v>6</v>
      </c>
      <c r="N114" s="891"/>
      <c r="O114" s="891">
        <v>0</v>
      </c>
      <c r="P114" s="891">
        <v>9</v>
      </c>
      <c r="Q114" s="891">
        <v>4</v>
      </c>
      <c r="R114" s="891">
        <v>9</v>
      </c>
      <c r="S114" s="1229">
        <v>2</v>
      </c>
      <c r="T114" s="1229">
        <v>0</v>
      </c>
      <c r="U114" s="1229">
        <v>0</v>
      </c>
      <c r="W114" s="891">
        <f t="shared" si="25"/>
        <v>9</v>
      </c>
      <c r="X114" s="891">
        <f t="shared" si="26"/>
        <v>4</v>
      </c>
      <c r="Y114" s="891">
        <f t="shared" si="27"/>
        <v>9</v>
      </c>
      <c r="Z114" s="891">
        <f t="shared" si="28"/>
        <v>2</v>
      </c>
      <c r="AA114" s="1229">
        <f t="shared" si="29"/>
        <v>0</v>
      </c>
    </row>
    <row r="115" spans="1:27" s="1229" customFormat="1" ht="16.5" customHeight="1" x14ac:dyDescent="0.3">
      <c r="A115" s="1320" t="s">
        <v>166</v>
      </c>
      <c r="B115" s="1321" t="s">
        <v>167</v>
      </c>
      <c r="C115" s="494" t="s">
        <v>256</v>
      </c>
      <c r="D115" s="1329">
        <f t="shared" si="23"/>
        <v>3</v>
      </c>
      <c r="E115" s="1330">
        <v>3</v>
      </c>
      <c r="F115" s="1330">
        <v>0</v>
      </c>
      <c r="G115" s="1330">
        <v>0</v>
      </c>
      <c r="H115" s="1330">
        <v>0</v>
      </c>
      <c r="I115" s="1330">
        <v>0</v>
      </c>
      <c r="J115" s="1330">
        <v>0</v>
      </c>
      <c r="K115" s="1330">
        <v>0</v>
      </c>
      <c r="L115" s="1331">
        <v>0</v>
      </c>
      <c r="M115" s="891">
        <f t="shared" si="24"/>
        <v>0</v>
      </c>
      <c r="N115" s="891"/>
      <c r="O115" s="891">
        <v>0</v>
      </c>
      <c r="P115" s="891">
        <v>1</v>
      </c>
      <c r="Q115" s="891">
        <v>1</v>
      </c>
      <c r="R115" s="891">
        <v>1</v>
      </c>
      <c r="S115" s="1229">
        <v>0</v>
      </c>
      <c r="T115" s="1229">
        <v>0</v>
      </c>
      <c r="U115" s="1229">
        <v>0</v>
      </c>
      <c r="W115" s="891">
        <f t="shared" si="25"/>
        <v>1</v>
      </c>
      <c r="X115" s="891">
        <f t="shared" si="26"/>
        <v>1</v>
      </c>
      <c r="Y115" s="891">
        <f t="shared" si="27"/>
        <v>1</v>
      </c>
      <c r="Z115" s="891">
        <f t="shared" si="28"/>
        <v>0</v>
      </c>
      <c r="AA115" s="1229">
        <f t="shared" si="29"/>
        <v>0</v>
      </c>
    </row>
    <row r="116" spans="1:27" s="1229" customFormat="1" ht="16.5" customHeight="1" x14ac:dyDescent="0.3">
      <c r="A116" s="1320" t="s">
        <v>176</v>
      </c>
      <c r="B116" s="1321" t="s">
        <v>177</v>
      </c>
      <c r="C116" s="494" t="s">
        <v>254</v>
      </c>
      <c r="D116" s="1329">
        <f t="shared" si="23"/>
        <v>0</v>
      </c>
      <c r="E116" s="1330">
        <v>0</v>
      </c>
      <c r="F116" s="1330">
        <v>0</v>
      </c>
      <c r="G116" s="1330">
        <v>0</v>
      </c>
      <c r="H116" s="1330">
        <v>0</v>
      </c>
      <c r="I116" s="1330">
        <v>0</v>
      </c>
      <c r="J116" s="1330">
        <v>0</v>
      </c>
      <c r="K116" s="1330">
        <v>0</v>
      </c>
      <c r="L116" s="1331">
        <v>0</v>
      </c>
      <c r="M116" s="891">
        <f t="shared" si="24"/>
        <v>0</v>
      </c>
      <c r="N116" s="568"/>
      <c r="O116" s="891">
        <v>0</v>
      </c>
      <c r="P116" s="891">
        <v>0</v>
      </c>
      <c r="Q116" s="568">
        <v>0</v>
      </c>
      <c r="R116" s="891">
        <v>0</v>
      </c>
      <c r="S116" s="1229">
        <v>0</v>
      </c>
      <c r="T116" s="1229">
        <v>0</v>
      </c>
      <c r="U116" s="1229">
        <v>0</v>
      </c>
      <c r="W116" s="891">
        <f t="shared" si="25"/>
        <v>0</v>
      </c>
      <c r="X116" s="891">
        <f t="shared" si="26"/>
        <v>0</v>
      </c>
      <c r="Y116" s="891">
        <f t="shared" si="27"/>
        <v>0</v>
      </c>
      <c r="Z116" s="891">
        <f t="shared" si="28"/>
        <v>0</v>
      </c>
      <c r="AA116" s="1229">
        <f t="shared" si="29"/>
        <v>0</v>
      </c>
    </row>
    <row r="117" spans="1:27" s="1229" customFormat="1" ht="16.5" customHeight="1" x14ac:dyDescent="0.3">
      <c r="A117" s="1320" t="s">
        <v>180</v>
      </c>
      <c r="B117" s="1321" t="s">
        <v>181</v>
      </c>
      <c r="C117" s="494" t="s">
        <v>252</v>
      </c>
      <c r="D117" s="1329">
        <f t="shared" si="23"/>
        <v>11</v>
      </c>
      <c r="E117" s="1330">
        <v>4</v>
      </c>
      <c r="F117" s="1330">
        <v>7</v>
      </c>
      <c r="G117" s="1330">
        <v>0</v>
      </c>
      <c r="H117" s="1330">
        <v>0</v>
      </c>
      <c r="I117" s="1330">
        <v>0</v>
      </c>
      <c r="J117" s="1330">
        <v>0</v>
      </c>
      <c r="K117" s="1330">
        <v>0</v>
      </c>
      <c r="L117" s="1331">
        <v>0</v>
      </c>
      <c r="M117" s="891">
        <f t="shared" si="24"/>
        <v>0</v>
      </c>
      <c r="N117" s="568"/>
      <c r="O117" s="891">
        <v>0</v>
      </c>
      <c r="P117" s="891">
        <v>4</v>
      </c>
      <c r="Q117" s="891">
        <v>5</v>
      </c>
      <c r="R117" s="891">
        <v>1</v>
      </c>
      <c r="S117" s="1229">
        <v>1</v>
      </c>
      <c r="T117" s="1229">
        <v>0</v>
      </c>
      <c r="U117" s="1229">
        <v>0</v>
      </c>
      <c r="W117" s="891">
        <f t="shared" si="25"/>
        <v>4</v>
      </c>
      <c r="X117" s="891">
        <f t="shared" si="26"/>
        <v>5</v>
      </c>
      <c r="Y117" s="891">
        <f t="shared" si="27"/>
        <v>1</v>
      </c>
      <c r="Z117" s="891">
        <f t="shared" si="28"/>
        <v>1</v>
      </c>
      <c r="AA117" s="1229">
        <f t="shared" si="29"/>
        <v>0</v>
      </c>
    </row>
    <row r="118" spans="1:27" s="1229" customFormat="1" ht="16.5" customHeight="1" x14ac:dyDescent="0.3">
      <c r="A118" s="1320" t="s">
        <v>192</v>
      </c>
      <c r="B118" s="1321" t="s">
        <v>193</v>
      </c>
      <c r="C118" s="494" t="s">
        <v>256</v>
      </c>
      <c r="D118" s="1329">
        <f t="shared" si="23"/>
        <v>4</v>
      </c>
      <c r="E118" s="1330">
        <v>3</v>
      </c>
      <c r="F118" s="1330">
        <v>0</v>
      </c>
      <c r="G118" s="1330">
        <v>0</v>
      </c>
      <c r="H118" s="1330">
        <v>0</v>
      </c>
      <c r="I118" s="1330">
        <v>0</v>
      </c>
      <c r="J118" s="1330">
        <v>1</v>
      </c>
      <c r="K118" s="1330">
        <v>0</v>
      </c>
      <c r="L118" s="1331">
        <v>0</v>
      </c>
      <c r="M118" s="891">
        <f t="shared" si="24"/>
        <v>1</v>
      </c>
      <c r="N118" s="568"/>
      <c r="O118" s="891">
        <v>0</v>
      </c>
      <c r="P118" s="891">
        <v>3</v>
      </c>
      <c r="Q118" s="891">
        <v>1</v>
      </c>
      <c r="R118" s="891">
        <v>0</v>
      </c>
      <c r="S118" s="1229">
        <v>0</v>
      </c>
      <c r="T118" s="1229">
        <v>0</v>
      </c>
      <c r="U118" s="1229">
        <v>0</v>
      </c>
      <c r="W118" s="891">
        <f t="shared" si="25"/>
        <v>3</v>
      </c>
      <c r="X118" s="891">
        <f t="shared" si="26"/>
        <v>1</v>
      </c>
      <c r="Y118" s="891">
        <f t="shared" si="27"/>
        <v>0</v>
      </c>
      <c r="Z118" s="891">
        <f t="shared" si="28"/>
        <v>0</v>
      </c>
      <c r="AA118" s="1229">
        <f t="shared" si="29"/>
        <v>0</v>
      </c>
    </row>
    <row r="119" spans="1:27" s="1229" customFormat="1" ht="16.5" customHeight="1" x14ac:dyDescent="0.3">
      <c r="A119" s="1320" t="s">
        <v>196</v>
      </c>
      <c r="B119" s="1321" t="s">
        <v>300</v>
      </c>
      <c r="C119" s="494" t="s">
        <v>254</v>
      </c>
      <c r="D119" s="1329">
        <f t="shared" si="23"/>
        <v>34</v>
      </c>
      <c r="E119" s="1330">
        <v>3</v>
      </c>
      <c r="F119" s="1330">
        <v>23</v>
      </c>
      <c r="G119" s="1330">
        <v>0</v>
      </c>
      <c r="H119" s="1330">
        <v>0</v>
      </c>
      <c r="I119" s="1330">
        <v>0</v>
      </c>
      <c r="J119" s="1330">
        <v>4</v>
      </c>
      <c r="K119" s="1330">
        <v>4</v>
      </c>
      <c r="L119" s="1331">
        <v>0</v>
      </c>
      <c r="M119" s="891">
        <f t="shared" si="24"/>
        <v>8</v>
      </c>
      <c r="N119" s="568"/>
      <c r="O119" s="891">
        <v>0</v>
      </c>
      <c r="P119" s="891">
        <v>19</v>
      </c>
      <c r="Q119" s="891">
        <v>8</v>
      </c>
      <c r="R119" s="891">
        <v>7</v>
      </c>
      <c r="S119" s="1229">
        <v>0</v>
      </c>
      <c r="T119" s="1229">
        <v>0</v>
      </c>
      <c r="U119" s="1229">
        <v>0</v>
      </c>
      <c r="W119" s="891">
        <f t="shared" si="25"/>
        <v>19</v>
      </c>
      <c r="X119" s="891">
        <f t="shared" si="26"/>
        <v>8</v>
      </c>
      <c r="Y119" s="891">
        <f t="shared" si="27"/>
        <v>7</v>
      </c>
      <c r="Z119" s="891">
        <f t="shared" si="28"/>
        <v>0</v>
      </c>
      <c r="AA119" s="1229">
        <f t="shared" si="29"/>
        <v>0</v>
      </c>
    </row>
    <row r="120" spans="1:27" s="1229" customFormat="1" ht="16.5" customHeight="1" x14ac:dyDescent="0.3">
      <c r="A120" s="1320" t="s">
        <v>200</v>
      </c>
      <c r="B120" s="1321" t="s">
        <v>301</v>
      </c>
      <c r="C120" s="494" t="s">
        <v>253</v>
      </c>
      <c r="D120" s="1329">
        <f t="shared" si="23"/>
        <v>41</v>
      </c>
      <c r="E120" s="1330">
        <v>12</v>
      </c>
      <c r="F120" s="1330">
        <v>8</v>
      </c>
      <c r="G120" s="1330">
        <v>0</v>
      </c>
      <c r="H120" s="1330">
        <v>0</v>
      </c>
      <c r="I120" s="1330">
        <v>0</v>
      </c>
      <c r="J120" s="1330">
        <v>18</v>
      </c>
      <c r="K120" s="1330">
        <v>3</v>
      </c>
      <c r="L120" s="1331">
        <v>0</v>
      </c>
      <c r="M120" s="891">
        <f t="shared" si="24"/>
        <v>21</v>
      </c>
      <c r="N120" s="891"/>
      <c r="O120" s="891">
        <v>1</v>
      </c>
      <c r="P120" s="891">
        <v>20</v>
      </c>
      <c r="Q120" s="891">
        <v>12</v>
      </c>
      <c r="R120" s="891">
        <v>8</v>
      </c>
      <c r="S120" s="1229">
        <v>0</v>
      </c>
      <c r="T120" s="1229">
        <v>0</v>
      </c>
      <c r="U120" s="1229">
        <v>0</v>
      </c>
      <c r="W120" s="891">
        <f t="shared" si="25"/>
        <v>21</v>
      </c>
      <c r="X120" s="891">
        <f t="shared" si="26"/>
        <v>12</v>
      </c>
      <c r="Y120" s="891">
        <f t="shared" si="27"/>
        <v>8</v>
      </c>
      <c r="Z120" s="891">
        <f t="shared" si="28"/>
        <v>0</v>
      </c>
      <c r="AA120" s="1229">
        <f t="shared" si="29"/>
        <v>0</v>
      </c>
    </row>
    <row r="121" spans="1:27" s="1229" customFormat="1" ht="16.5" customHeight="1" x14ac:dyDescent="0.3">
      <c r="A121" s="1320" t="s">
        <v>222</v>
      </c>
      <c r="B121" s="1321" t="s">
        <v>223</v>
      </c>
      <c r="C121" s="494" t="s">
        <v>252</v>
      </c>
      <c r="D121" s="1329">
        <f t="shared" si="23"/>
        <v>0</v>
      </c>
      <c r="E121" s="1330">
        <v>0</v>
      </c>
      <c r="F121" s="1330">
        <v>0</v>
      </c>
      <c r="G121" s="1330">
        <v>0</v>
      </c>
      <c r="H121" s="1330">
        <v>0</v>
      </c>
      <c r="I121" s="1330">
        <v>0</v>
      </c>
      <c r="J121" s="1330">
        <v>0</v>
      </c>
      <c r="K121" s="1330">
        <v>0</v>
      </c>
      <c r="L121" s="1331">
        <v>0</v>
      </c>
      <c r="M121" s="891">
        <f t="shared" si="24"/>
        <v>0</v>
      </c>
      <c r="N121" s="568"/>
      <c r="O121" s="891">
        <v>0</v>
      </c>
      <c r="P121" s="891">
        <v>0</v>
      </c>
      <c r="Q121" s="891">
        <v>0</v>
      </c>
      <c r="R121" s="891">
        <v>0</v>
      </c>
      <c r="S121" s="1229">
        <v>0</v>
      </c>
      <c r="T121" s="1229">
        <v>0</v>
      </c>
      <c r="U121" s="1229">
        <v>0</v>
      </c>
      <c r="W121" s="891">
        <f t="shared" si="25"/>
        <v>0</v>
      </c>
      <c r="X121" s="891">
        <f t="shared" si="26"/>
        <v>0</v>
      </c>
      <c r="Y121" s="891">
        <f t="shared" si="27"/>
        <v>0</v>
      </c>
      <c r="Z121" s="891">
        <f t="shared" si="28"/>
        <v>0</v>
      </c>
      <c r="AA121" s="1229">
        <f t="shared" si="29"/>
        <v>0</v>
      </c>
    </row>
    <row r="122" spans="1:27" s="1229" customFormat="1" ht="16.5" customHeight="1" x14ac:dyDescent="0.3">
      <c r="A122" s="1320" t="s">
        <v>230</v>
      </c>
      <c r="B122" s="1321" t="s">
        <v>231</v>
      </c>
      <c r="C122" s="494" t="s">
        <v>252</v>
      </c>
      <c r="D122" s="1329">
        <f t="shared" si="23"/>
        <v>25</v>
      </c>
      <c r="E122" s="1330">
        <v>14</v>
      </c>
      <c r="F122" s="1330">
        <v>3</v>
      </c>
      <c r="G122" s="1330">
        <v>0</v>
      </c>
      <c r="H122" s="1330">
        <v>0</v>
      </c>
      <c r="I122" s="1330">
        <v>0</v>
      </c>
      <c r="J122" s="1330">
        <v>7</v>
      </c>
      <c r="K122" s="1330">
        <v>1</v>
      </c>
      <c r="L122" s="1331">
        <v>0</v>
      </c>
      <c r="M122" s="891">
        <f t="shared" si="24"/>
        <v>8</v>
      </c>
      <c r="N122" s="891"/>
      <c r="O122" s="891">
        <v>2</v>
      </c>
      <c r="P122" s="891">
        <v>13</v>
      </c>
      <c r="Q122" s="891">
        <v>2</v>
      </c>
      <c r="R122" s="891">
        <v>7</v>
      </c>
      <c r="S122" s="1229">
        <v>1</v>
      </c>
      <c r="T122" s="1229">
        <v>0</v>
      </c>
      <c r="U122" s="1229">
        <v>0</v>
      </c>
      <c r="W122" s="891">
        <f t="shared" si="25"/>
        <v>15</v>
      </c>
      <c r="X122" s="891">
        <f t="shared" si="26"/>
        <v>2</v>
      </c>
      <c r="Y122" s="891">
        <f t="shared" si="27"/>
        <v>7</v>
      </c>
      <c r="Z122" s="891">
        <f t="shared" si="28"/>
        <v>1</v>
      </c>
      <c r="AA122" s="1229">
        <f t="shared" si="29"/>
        <v>0</v>
      </c>
    </row>
    <row r="123" spans="1:27" s="1229" customFormat="1" ht="16.5" customHeight="1" x14ac:dyDescent="0.3">
      <c r="A123" s="1320" t="s">
        <v>238</v>
      </c>
      <c r="B123" s="1321" t="s">
        <v>239</v>
      </c>
      <c r="C123" s="494" t="s">
        <v>252</v>
      </c>
      <c r="D123" s="1329">
        <f t="shared" si="23"/>
        <v>0</v>
      </c>
      <c r="E123" s="1330">
        <v>0</v>
      </c>
      <c r="F123" s="1330">
        <v>0</v>
      </c>
      <c r="G123" s="1330">
        <v>0</v>
      </c>
      <c r="H123" s="1330">
        <v>0</v>
      </c>
      <c r="I123" s="1330">
        <v>0</v>
      </c>
      <c r="J123" s="1330">
        <v>0</v>
      </c>
      <c r="K123" s="1330">
        <v>0</v>
      </c>
      <c r="L123" s="1331">
        <v>0</v>
      </c>
      <c r="M123" s="891">
        <f t="shared" si="24"/>
        <v>0</v>
      </c>
      <c r="N123" s="891"/>
      <c r="O123" s="891">
        <v>0</v>
      </c>
      <c r="P123" s="891">
        <v>0</v>
      </c>
      <c r="Q123" s="891">
        <v>0</v>
      </c>
      <c r="R123" s="891">
        <v>0</v>
      </c>
      <c r="S123" s="1229">
        <v>0</v>
      </c>
      <c r="T123" s="1229">
        <v>0</v>
      </c>
      <c r="U123" s="1229">
        <v>0</v>
      </c>
      <c r="W123" s="891">
        <f t="shared" si="25"/>
        <v>0</v>
      </c>
      <c r="X123" s="891">
        <f t="shared" si="26"/>
        <v>0</v>
      </c>
      <c r="Y123" s="891">
        <f t="shared" si="27"/>
        <v>0</v>
      </c>
      <c r="Z123" s="891">
        <f t="shared" si="28"/>
        <v>0</v>
      </c>
      <c r="AA123" s="1229">
        <f t="shared" si="29"/>
        <v>0</v>
      </c>
    </row>
    <row r="124" spans="1:27" s="1229" customFormat="1" ht="16.5" customHeight="1" x14ac:dyDescent="0.3">
      <c r="A124" s="1320" t="s">
        <v>240</v>
      </c>
      <c r="B124" s="1321" t="s">
        <v>241</v>
      </c>
      <c r="C124" s="494" t="s">
        <v>255</v>
      </c>
      <c r="D124" s="1329">
        <f t="shared" si="23"/>
        <v>8</v>
      </c>
      <c r="E124" s="1330">
        <v>5</v>
      </c>
      <c r="F124" s="1330">
        <v>0</v>
      </c>
      <c r="G124" s="1330">
        <v>0</v>
      </c>
      <c r="H124" s="1330">
        <v>0</v>
      </c>
      <c r="I124" s="1330">
        <v>0</v>
      </c>
      <c r="J124" s="1330">
        <v>3</v>
      </c>
      <c r="K124" s="1330">
        <v>0</v>
      </c>
      <c r="L124" s="1331">
        <v>0</v>
      </c>
      <c r="M124" s="891">
        <f t="shared" si="24"/>
        <v>3</v>
      </c>
      <c r="N124" s="568"/>
      <c r="O124" s="891">
        <v>0</v>
      </c>
      <c r="P124" s="891">
        <v>5</v>
      </c>
      <c r="Q124" s="891">
        <v>1</v>
      </c>
      <c r="R124" s="891">
        <v>0</v>
      </c>
      <c r="S124" s="1229">
        <v>2</v>
      </c>
      <c r="T124" s="1229">
        <v>0</v>
      </c>
      <c r="U124" s="1229">
        <v>0</v>
      </c>
      <c r="W124" s="891">
        <f t="shared" si="25"/>
        <v>5</v>
      </c>
      <c r="X124" s="891">
        <f t="shared" si="26"/>
        <v>1</v>
      </c>
      <c r="Y124" s="891">
        <f t="shared" si="27"/>
        <v>0</v>
      </c>
      <c r="Z124" s="891">
        <f t="shared" si="28"/>
        <v>2</v>
      </c>
      <c r="AA124" s="1229">
        <f t="shared" si="29"/>
        <v>0</v>
      </c>
    </row>
    <row r="125" spans="1:27" x14ac:dyDescent="0.3">
      <c r="D125" s="558"/>
      <c r="E125" s="558"/>
      <c r="F125" s="558"/>
      <c r="G125" s="558"/>
      <c r="H125" s="558"/>
      <c r="I125" s="558"/>
      <c r="J125" s="558"/>
      <c r="K125" s="558"/>
      <c r="L125" s="558"/>
      <c r="M125" s="558"/>
      <c r="N125" s="558"/>
      <c r="O125" s="558"/>
      <c r="P125" s="558"/>
      <c r="Q125" s="558"/>
      <c r="R125" s="558"/>
    </row>
    <row r="126" spans="1:27" ht="32.25" customHeight="1" x14ac:dyDescent="0.3">
      <c r="A126" s="2766" t="s">
        <v>1143</v>
      </c>
      <c r="B126" s="2765"/>
      <c r="C126" s="2765"/>
      <c r="D126" s="2765"/>
      <c r="E126" s="2765"/>
      <c r="F126" s="2765"/>
      <c r="G126" s="2765"/>
      <c r="H126" s="2765"/>
      <c r="I126" s="2765"/>
      <c r="J126" s="2765"/>
      <c r="K126" s="2765"/>
      <c r="L126" s="2765"/>
      <c r="M126" s="2765"/>
      <c r="N126" s="2765"/>
      <c r="O126" s="569"/>
      <c r="P126" s="569"/>
      <c r="Q126" s="569"/>
      <c r="R126" s="569"/>
      <c r="S126" s="569"/>
      <c r="T126" s="569"/>
    </row>
    <row r="127" spans="1:27" x14ac:dyDescent="0.3">
      <c r="A127" s="339" t="s">
        <v>907</v>
      </c>
    </row>
    <row r="129" spans="1:3" s="359" customFormat="1" x14ac:dyDescent="0.3">
      <c r="A129" s="359" t="s">
        <v>248</v>
      </c>
    </row>
    <row r="130" spans="1:3" s="359" customFormat="1" x14ac:dyDescent="0.3">
      <c r="A130" s="360" t="s">
        <v>249</v>
      </c>
      <c r="B130" s="361" t="s">
        <v>250</v>
      </c>
      <c r="C130" s="361"/>
    </row>
  </sheetData>
  <sortState ref="A5:AA124">
    <sortCondition ref="A5:A124"/>
  </sortState>
  <mergeCells count="1">
    <mergeCell ref="A126:N126"/>
  </mergeCells>
  <hyperlinks>
    <hyperlink ref="B130" r:id="rId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130"/>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11" style="339" customWidth="1"/>
    <col min="2" max="2" width="32" style="339" customWidth="1"/>
    <col min="3" max="3" width="14.19921875" style="339" customWidth="1"/>
    <col min="4" max="9" width="7.5" style="339" customWidth="1"/>
    <col min="10" max="11" width="10.09765625" style="339" customWidth="1"/>
    <col min="12" max="12" width="12.19921875" style="339" customWidth="1"/>
    <col min="13" max="13" width="4.796875" style="339" customWidth="1"/>
    <col min="14" max="15" width="12.19921875" style="339" customWidth="1"/>
    <col min="16" max="16" width="11.5" style="339" customWidth="1"/>
    <col min="17" max="17" width="11.09765625" style="339" customWidth="1"/>
    <col min="18" max="18" width="11.5" style="339" customWidth="1"/>
    <col min="19" max="16384" width="9" style="339"/>
  </cols>
  <sheetData>
    <row r="1" spans="1:18" x14ac:dyDescent="0.3">
      <c r="A1" s="189" t="s">
        <v>1086</v>
      </c>
    </row>
    <row r="3" spans="1:18" ht="32.25" customHeight="1" x14ac:dyDescent="0.3">
      <c r="A3" s="543" t="s">
        <v>4</v>
      </c>
      <c r="B3" s="544" t="s">
        <v>5</v>
      </c>
      <c r="C3" s="545" t="s">
        <v>251</v>
      </c>
      <c r="D3" s="546" t="s">
        <v>269</v>
      </c>
      <c r="E3" s="547" t="s">
        <v>2</v>
      </c>
      <c r="F3" s="548" t="s">
        <v>314</v>
      </c>
      <c r="G3" s="892" t="s">
        <v>411</v>
      </c>
      <c r="H3" s="892" t="s">
        <v>620</v>
      </c>
      <c r="I3" s="892" t="s">
        <v>582</v>
      </c>
      <c r="J3" s="892" t="s">
        <v>694</v>
      </c>
      <c r="K3" s="892" t="s">
        <v>621</v>
      </c>
      <c r="L3" s="1239" t="s">
        <v>812</v>
      </c>
      <c r="M3" s="549"/>
      <c r="N3" s="1240" t="s">
        <v>788</v>
      </c>
      <c r="O3" s="1241" t="s">
        <v>789</v>
      </c>
      <c r="P3" s="1242" t="s">
        <v>790</v>
      </c>
      <c r="Q3" s="1242" t="s">
        <v>791</v>
      </c>
      <c r="R3" s="1243" t="s">
        <v>792</v>
      </c>
    </row>
    <row r="4" spans="1:18" x14ac:dyDescent="0.3">
      <c r="A4" s="550">
        <v>999</v>
      </c>
      <c r="B4" s="551" t="s">
        <v>9</v>
      </c>
      <c r="C4" s="551"/>
      <c r="D4" s="552">
        <f t="shared" ref="D4:K4" si="0">SUM(D5:D124)</f>
        <v>8436</v>
      </c>
      <c r="E4" s="552">
        <f t="shared" si="0"/>
        <v>4631</v>
      </c>
      <c r="F4" s="552">
        <f t="shared" si="0"/>
        <v>2602</v>
      </c>
      <c r="G4" s="552">
        <f t="shared" si="0"/>
        <v>39</v>
      </c>
      <c r="H4" s="552">
        <f t="shared" si="0"/>
        <v>20</v>
      </c>
      <c r="I4" s="552">
        <f t="shared" si="0"/>
        <v>12</v>
      </c>
      <c r="J4" s="552">
        <f t="shared" si="0"/>
        <v>1068</v>
      </c>
      <c r="K4" s="552">
        <f t="shared" si="0"/>
        <v>64</v>
      </c>
      <c r="L4" s="2202">
        <f t="shared" ref="L4" si="1">G4+H4+I4+J4</f>
        <v>1139</v>
      </c>
      <c r="M4" s="549"/>
      <c r="N4" s="552">
        <f t="shared" ref="N4:R4" si="2">SUM(N5:N124)</f>
        <v>1006</v>
      </c>
      <c r="O4" s="552">
        <f t="shared" si="2"/>
        <v>2118</v>
      </c>
      <c r="P4" s="552">
        <f t="shared" si="2"/>
        <v>3018</v>
      </c>
      <c r="Q4" s="552">
        <f t="shared" si="2"/>
        <v>1658</v>
      </c>
      <c r="R4" s="552">
        <f t="shared" si="2"/>
        <v>636</v>
      </c>
    </row>
    <row r="5" spans="1:18" ht="16.5" customHeight="1" x14ac:dyDescent="0.3">
      <c r="A5" s="553" t="s">
        <v>10</v>
      </c>
      <c r="B5" s="554" t="s">
        <v>11</v>
      </c>
      <c r="C5" s="489" t="s">
        <v>252</v>
      </c>
      <c r="D5" s="555">
        <f t="shared" ref="D5:D36" si="3">SUM(E5:K5)</f>
        <v>14</v>
      </c>
      <c r="E5" s="556">
        <v>9</v>
      </c>
      <c r="F5" s="557">
        <v>2</v>
      </c>
      <c r="G5" s="557">
        <v>0</v>
      </c>
      <c r="H5" s="557">
        <v>0</v>
      </c>
      <c r="I5" s="557">
        <v>0</v>
      </c>
      <c r="J5" s="557">
        <v>3</v>
      </c>
      <c r="K5" s="557">
        <v>0</v>
      </c>
      <c r="L5" s="558">
        <f t="shared" ref="L5:L36" si="4">G5+H5+I5+J5</f>
        <v>3</v>
      </c>
      <c r="M5" s="1226"/>
      <c r="N5" s="891">
        <v>3</v>
      </c>
      <c r="O5" s="891">
        <v>5</v>
      </c>
      <c r="P5" s="891">
        <v>4</v>
      </c>
      <c r="Q5" s="1229">
        <v>2</v>
      </c>
      <c r="R5" s="1229">
        <v>0</v>
      </c>
    </row>
    <row r="6" spans="1:18" ht="16.5" customHeight="1" x14ac:dyDescent="0.3">
      <c r="A6" s="553" t="s">
        <v>12</v>
      </c>
      <c r="B6" s="554" t="s">
        <v>13</v>
      </c>
      <c r="C6" s="489" t="s">
        <v>253</v>
      </c>
      <c r="D6" s="555">
        <f t="shared" si="3"/>
        <v>89</v>
      </c>
      <c r="E6" s="556">
        <v>55</v>
      </c>
      <c r="F6" s="557">
        <v>17</v>
      </c>
      <c r="G6" s="557">
        <v>1</v>
      </c>
      <c r="H6" s="557">
        <v>0</v>
      </c>
      <c r="I6" s="557">
        <v>0</v>
      </c>
      <c r="J6" s="557">
        <v>10</v>
      </c>
      <c r="K6" s="557">
        <v>6</v>
      </c>
      <c r="L6" s="558">
        <f t="shared" si="4"/>
        <v>11</v>
      </c>
      <c r="M6" s="1227"/>
      <c r="N6" s="891">
        <v>0</v>
      </c>
      <c r="O6" s="891">
        <v>26</v>
      </c>
      <c r="P6" s="891">
        <v>33</v>
      </c>
      <c r="Q6" s="1229">
        <v>23</v>
      </c>
      <c r="R6" s="1229">
        <v>7</v>
      </c>
    </row>
    <row r="7" spans="1:18" ht="16.5" customHeight="1" x14ac:dyDescent="0.3">
      <c r="A7" s="553" t="s">
        <v>16</v>
      </c>
      <c r="B7" s="554" t="s">
        <v>285</v>
      </c>
      <c r="C7" s="489" t="s">
        <v>253</v>
      </c>
      <c r="D7" s="555">
        <f t="shared" si="3"/>
        <v>12</v>
      </c>
      <c r="E7" s="556">
        <v>10</v>
      </c>
      <c r="F7" s="557">
        <v>1</v>
      </c>
      <c r="G7" s="557">
        <v>0</v>
      </c>
      <c r="H7" s="557">
        <v>0</v>
      </c>
      <c r="I7" s="557">
        <v>0</v>
      </c>
      <c r="J7" s="557">
        <v>1</v>
      </c>
      <c r="K7" s="557">
        <v>0</v>
      </c>
      <c r="L7" s="558">
        <f t="shared" si="4"/>
        <v>1</v>
      </c>
      <c r="M7" s="1227"/>
      <c r="N7" s="891">
        <v>4</v>
      </c>
      <c r="O7" s="568">
        <v>3</v>
      </c>
      <c r="P7" s="891">
        <v>4</v>
      </c>
      <c r="Q7" s="1229">
        <v>1</v>
      </c>
      <c r="R7" s="1229">
        <v>0</v>
      </c>
    </row>
    <row r="8" spans="1:18" ht="16.5" customHeight="1" x14ac:dyDescent="0.3">
      <c r="A8" s="553" t="s">
        <v>18</v>
      </c>
      <c r="B8" s="554" t="s">
        <v>19</v>
      </c>
      <c r="C8" s="489" t="s">
        <v>254</v>
      </c>
      <c r="D8" s="555">
        <f t="shared" si="3"/>
        <v>8</v>
      </c>
      <c r="E8" s="556">
        <v>5</v>
      </c>
      <c r="F8" s="557">
        <v>2</v>
      </c>
      <c r="G8" s="557">
        <v>0</v>
      </c>
      <c r="H8" s="557">
        <v>0</v>
      </c>
      <c r="I8" s="557">
        <v>0</v>
      </c>
      <c r="J8" s="557">
        <v>1</v>
      </c>
      <c r="K8" s="557">
        <v>0</v>
      </c>
      <c r="L8" s="558">
        <f t="shared" si="4"/>
        <v>1</v>
      </c>
      <c r="M8" s="568"/>
      <c r="N8" s="891">
        <v>0</v>
      </c>
      <c r="O8" s="891">
        <v>1</v>
      </c>
      <c r="P8" s="891">
        <v>1</v>
      </c>
      <c r="Q8" s="1229">
        <v>6</v>
      </c>
      <c r="R8" s="1229">
        <v>0</v>
      </c>
    </row>
    <row r="9" spans="1:18" ht="16.5" customHeight="1" x14ac:dyDescent="0.3">
      <c r="A9" s="553" t="s">
        <v>20</v>
      </c>
      <c r="B9" s="554" t="s">
        <v>21</v>
      </c>
      <c r="C9" s="489" t="s">
        <v>253</v>
      </c>
      <c r="D9" s="555">
        <f t="shared" si="3"/>
        <v>12</v>
      </c>
      <c r="E9" s="556">
        <v>12</v>
      </c>
      <c r="F9" s="557">
        <v>0</v>
      </c>
      <c r="G9" s="557">
        <v>0</v>
      </c>
      <c r="H9" s="557">
        <v>0</v>
      </c>
      <c r="I9" s="557">
        <v>0</v>
      </c>
      <c r="J9" s="557">
        <v>0</v>
      </c>
      <c r="K9" s="557">
        <v>0</v>
      </c>
      <c r="L9" s="558">
        <f t="shared" si="4"/>
        <v>0</v>
      </c>
      <c r="M9" s="1228"/>
      <c r="N9" s="891">
        <v>2</v>
      </c>
      <c r="O9" s="891">
        <v>5</v>
      </c>
      <c r="P9" s="891">
        <v>1</v>
      </c>
      <c r="Q9" s="1229">
        <v>2</v>
      </c>
      <c r="R9" s="1229">
        <v>2</v>
      </c>
    </row>
    <row r="10" spans="1:18" ht="16.5" customHeight="1" x14ac:dyDescent="0.3">
      <c r="A10" s="553" t="s">
        <v>22</v>
      </c>
      <c r="B10" s="554" t="s">
        <v>23</v>
      </c>
      <c r="C10" s="489" t="s">
        <v>253</v>
      </c>
      <c r="D10" s="555">
        <f t="shared" si="3"/>
        <v>6</v>
      </c>
      <c r="E10" s="556">
        <v>5</v>
      </c>
      <c r="F10" s="557">
        <v>0</v>
      </c>
      <c r="G10" s="890">
        <v>0</v>
      </c>
      <c r="H10" s="890">
        <v>0</v>
      </c>
      <c r="I10" s="890">
        <v>0</v>
      </c>
      <c r="J10" s="890">
        <v>1</v>
      </c>
      <c r="K10" s="890">
        <v>0</v>
      </c>
      <c r="L10" s="558">
        <f t="shared" si="4"/>
        <v>1</v>
      </c>
      <c r="M10" s="568"/>
      <c r="N10" s="891">
        <v>1</v>
      </c>
      <c r="O10" s="891">
        <v>1</v>
      </c>
      <c r="P10" s="891">
        <v>3</v>
      </c>
      <c r="Q10" s="1229">
        <v>1</v>
      </c>
      <c r="R10" s="1229">
        <v>0</v>
      </c>
    </row>
    <row r="11" spans="1:18" ht="16.5" customHeight="1" x14ac:dyDescent="0.3">
      <c r="A11" s="553" t="s">
        <v>24</v>
      </c>
      <c r="B11" s="554" t="s">
        <v>25</v>
      </c>
      <c r="C11" s="489" t="s">
        <v>255</v>
      </c>
      <c r="D11" s="555">
        <f t="shared" si="3"/>
        <v>121</v>
      </c>
      <c r="E11" s="556">
        <v>29</v>
      </c>
      <c r="F11" s="557">
        <v>76</v>
      </c>
      <c r="G11" s="557">
        <v>2</v>
      </c>
      <c r="H11" s="557">
        <v>0</v>
      </c>
      <c r="I11" s="557">
        <v>0</v>
      </c>
      <c r="J11" s="557">
        <v>12</v>
      </c>
      <c r="K11" s="557">
        <v>2</v>
      </c>
      <c r="L11" s="558">
        <f t="shared" si="4"/>
        <v>14</v>
      </c>
      <c r="M11" s="1228"/>
      <c r="N11" s="891">
        <v>18</v>
      </c>
      <c r="O11" s="891">
        <v>28</v>
      </c>
      <c r="P11" s="891">
        <v>44</v>
      </c>
      <c r="Q11" s="1229">
        <v>27</v>
      </c>
      <c r="R11" s="1229">
        <v>4</v>
      </c>
    </row>
    <row r="12" spans="1:18" ht="16.5" customHeight="1" x14ac:dyDescent="0.3">
      <c r="A12" s="553" t="s">
        <v>26</v>
      </c>
      <c r="B12" s="554" t="s">
        <v>547</v>
      </c>
      <c r="C12" s="489" t="s">
        <v>253</v>
      </c>
      <c r="D12" s="555">
        <f t="shared" si="3"/>
        <v>265</v>
      </c>
      <c r="E12" s="556">
        <v>200</v>
      </c>
      <c r="F12" s="557">
        <v>17</v>
      </c>
      <c r="G12" s="557">
        <v>0</v>
      </c>
      <c r="H12" s="557">
        <v>0</v>
      </c>
      <c r="I12" s="557">
        <v>1</v>
      </c>
      <c r="J12" s="557">
        <v>47</v>
      </c>
      <c r="K12" s="557">
        <v>0</v>
      </c>
      <c r="L12" s="558">
        <f t="shared" si="4"/>
        <v>48</v>
      </c>
      <c r="M12" s="1227"/>
      <c r="N12" s="891">
        <v>22</v>
      </c>
      <c r="O12" s="568">
        <v>80</v>
      </c>
      <c r="P12" s="891">
        <v>88</v>
      </c>
      <c r="Q12" s="1229">
        <v>54</v>
      </c>
      <c r="R12" s="1229">
        <v>21</v>
      </c>
    </row>
    <row r="13" spans="1:18" ht="16.5" customHeight="1" x14ac:dyDescent="0.3">
      <c r="A13" s="553" t="s">
        <v>27</v>
      </c>
      <c r="B13" s="554" t="s">
        <v>28</v>
      </c>
      <c r="C13" s="494" t="s">
        <v>253</v>
      </c>
      <c r="D13" s="555">
        <f t="shared" si="3"/>
        <v>5</v>
      </c>
      <c r="E13" s="564">
        <v>5</v>
      </c>
      <c r="F13" s="563">
        <v>0</v>
      </c>
      <c r="G13" s="563">
        <v>0</v>
      </c>
      <c r="H13" s="563">
        <v>0</v>
      </c>
      <c r="I13" s="563">
        <v>0</v>
      </c>
      <c r="J13" s="2203">
        <v>0</v>
      </c>
      <c r="K13" s="563">
        <v>0</v>
      </c>
      <c r="L13" s="558">
        <f t="shared" si="4"/>
        <v>0</v>
      </c>
      <c r="M13" s="1227"/>
      <c r="N13" s="891">
        <v>0</v>
      </c>
      <c r="O13" s="891">
        <v>2</v>
      </c>
      <c r="P13" s="891">
        <v>3</v>
      </c>
      <c r="Q13" s="1229">
        <v>0</v>
      </c>
      <c r="R13" s="1229">
        <v>0</v>
      </c>
    </row>
    <row r="14" spans="1:18" ht="16.5" customHeight="1" x14ac:dyDescent="0.3">
      <c r="A14" s="553" t="s">
        <v>29</v>
      </c>
      <c r="B14" s="554" t="s">
        <v>736</v>
      </c>
      <c r="C14" s="494" t="s">
        <v>253</v>
      </c>
      <c r="D14" s="555">
        <f t="shared" si="3"/>
        <v>66</v>
      </c>
      <c r="E14" s="556">
        <v>44</v>
      </c>
      <c r="F14" s="557">
        <v>11</v>
      </c>
      <c r="G14" s="557">
        <v>0</v>
      </c>
      <c r="H14" s="557">
        <v>0</v>
      </c>
      <c r="I14" s="557">
        <v>0</v>
      </c>
      <c r="J14" s="557">
        <v>11</v>
      </c>
      <c r="K14" s="557">
        <v>0</v>
      </c>
      <c r="L14" s="558">
        <f t="shared" si="4"/>
        <v>11</v>
      </c>
      <c r="M14" s="1227"/>
      <c r="N14" s="891">
        <v>7</v>
      </c>
      <c r="O14" s="891">
        <v>13</v>
      </c>
      <c r="P14" s="891">
        <v>26</v>
      </c>
      <c r="Q14" s="1229">
        <v>12</v>
      </c>
      <c r="R14" s="1229">
        <v>8</v>
      </c>
    </row>
    <row r="15" spans="1:18" ht="16.5" customHeight="1" x14ac:dyDescent="0.3">
      <c r="A15" s="553" t="s">
        <v>30</v>
      </c>
      <c r="B15" s="554" t="s">
        <v>31</v>
      </c>
      <c r="C15" s="494" t="s">
        <v>256</v>
      </c>
      <c r="D15" s="555">
        <f t="shared" si="3"/>
        <v>12</v>
      </c>
      <c r="E15" s="556">
        <v>11</v>
      </c>
      <c r="F15" s="557">
        <v>0</v>
      </c>
      <c r="G15" s="890">
        <v>0</v>
      </c>
      <c r="H15" s="890">
        <v>0</v>
      </c>
      <c r="I15" s="890">
        <v>0</v>
      </c>
      <c r="J15" s="890">
        <v>1</v>
      </c>
      <c r="K15" s="890">
        <v>0</v>
      </c>
      <c r="L15" s="558">
        <f t="shared" si="4"/>
        <v>1</v>
      </c>
      <c r="M15" s="1227"/>
      <c r="N15" s="891">
        <v>2</v>
      </c>
      <c r="O15" s="891">
        <v>2</v>
      </c>
      <c r="P15" s="891">
        <v>8</v>
      </c>
      <c r="Q15" s="1229">
        <v>0</v>
      </c>
      <c r="R15" s="1229">
        <v>0</v>
      </c>
    </row>
    <row r="16" spans="1:18" ht="16.5" customHeight="1" x14ac:dyDescent="0.3">
      <c r="A16" s="553" t="s">
        <v>32</v>
      </c>
      <c r="B16" s="554" t="s">
        <v>33</v>
      </c>
      <c r="C16" s="494" t="s">
        <v>253</v>
      </c>
      <c r="D16" s="555">
        <f t="shared" si="3"/>
        <v>9</v>
      </c>
      <c r="E16" s="556">
        <v>8</v>
      </c>
      <c r="F16" s="557">
        <v>0</v>
      </c>
      <c r="G16" s="557">
        <v>0</v>
      </c>
      <c r="H16" s="557">
        <v>0</v>
      </c>
      <c r="I16" s="557">
        <v>0</v>
      </c>
      <c r="J16" s="557">
        <v>1</v>
      </c>
      <c r="K16" s="557">
        <v>0</v>
      </c>
      <c r="L16" s="558">
        <f t="shared" si="4"/>
        <v>1</v>
      </c>
      <c r="M16" s="561"/>
      <c r="N16" s="891">
        <v>0</v>
      </c>
      <c r="O16" s="891">
        <v>2</v>
      </c>
      <c r="P16" s="891">
        <v>3</v>
      </c>
      <c r="Q16" s="1229">
        <v>2</v>
      </c>
      <c r="R16" s="1229">
        <v>2</v>
      </c>
    </row>
    <row r="17" spans="1:18" ht="16.5" customHeight="1" x14ac:dyDescent="0.3">
      <c r="A17" s="553" t="s">
        <v>36</v>
      </c>
      <c r="B17" s="554" t="s">
        <v>37</v>
      </c>
      <c r="C17" s="494" t="s">
        <v>252</v>
      </c>
      <c r="D17" s="555">
        <f t="shared" si="3"/>
        <v>5</v>
      </c>
      <c r="E17" s="556">
        <v>2</v>
      </c>
      <c r="F17" s="557">
        <v>1</v>
      </c>
      <c r="G17" s="890">
        <v>0</v>
      </c>
      <c r="H17" s="890">
        <v>0</v>
      </c>
      <c r="I17" s="890">
        <v>0</v>
      </c>
      <c r="J17" s="890">
        <v>2</v>
      </c>
      <c r="K17" s="890">
        <v>0</v>
      </c>
      <c r="L17" s="558">
        <f t="shared" si="4"/>
        <v>2</v>
      </c>
      <c r="M17" s="558"/>
      <c r="N17" s="891">
        <v>0</v>
      </c>
      <c r="O17" s="891">
        <v>1</v>
      </c>
      <c r="P17" s="891">
        <v>3</v>
      </c>
      <c r="Q17" s="1229">
        <v>1</v>
      </c>
      <c r="R17" s="1229">
        <v>0</v>
      </c>
    </row>
    <row r="18" spans="1:18" ht="16.5" customHeight="1" x14ac:dyDescent="0.3">
      <c r="A18" s="553" t="s">
        <v>38</v>
      </c>
      <c r="B18" s="554" t="s">
        <v>39</v>
      </c>
      <c r="C18" s="494" t="s">
        <v>256</v>
      </c>
      <c r="D18" s="555">
        <f t="shared" si="3"/>
        <v>103</v>
      </c>
      <c r="E18" s="556">
        <v>91</v>
      </c>
      <c r="F18" s="557">
        <v>1</v>
      </c>
      <c r="G18" s="557">
        <v>0</v>
      </c>
      <c r="H18" s="557">
        <v>0</v>
      </c>
      <c r="I18" s="557">
        <v>0</v>
      </c>
      <c r="J18" s="557">
        <v>11</v>
      </c>
      <c r="K18" s="557">
        <v>0</v>
      </c>
      <c r="L18" s="558">
        <f t="shared" si="4"/>
        <v>11</v>
      </c>
      <c r="M18" s="1227"/>
      <c r="N18" s="891">
        <v>15</v>
      </c>
      <c r="O18" s="891">
        <v>38</v>
      </c>
      <c r="P18" s="891">
        <v>31</v>
      </c>
      <c r="Q18" s="1229">
        <v>15</v>
      </c>
      <c r="R18" s="1229">
        <v>4</v>
      </c>
    </row>
    <row r="19" spans="1:18" ht="16.5" customHeight="1" x14ac:dyDescent="0.3">
      <c r="A19" s="553" t="s">
        <v>40</v>
      </c>
      <c r="B19" s="554" t="s">
        <v>41</v>
      </c>
      <c r="C19" s="494" t="s">
        <v>254</v>
      </c>
      <c r="D19" s="555">
        <f t="shared" si="3"/>
        <v>13</v>
      </c>
      <c r="E19" s="556">
        <v>6</v>
      </c>
      <c r="F19" s="557">
        <v>6</v>
      </c>
      <c r="G19" s="557">
        <v>0</v>
      </c>
      <c r="H19" s="557">
        <v>0</v>
      </c>
      <c r="I19" s="557">
        <v>0</v>
      </c>
      <c r="J19" s="557">
        <v>1</v>
      </c>
      <c r="K19" s="557">
        <v>0</v>
      </c>
      <c r="L19" s="558">
        <f t="shared" si="4"/>
        <v>1</v>
      </c>
      <c r="M19" s="891"/>
      <c r="N19" s="891">
        <v>1</v>
      </c>
      <c r="O19" s="891">
        <v>3</v>
      </c>
      <c r="P19" s="891">
        <v>5</v>
      </c>
      <c r="Q19" s="1229">
        <v>4</v>
      </c>
      <c r="R19" s="1229">
        <v>0</v>
      </c>
    </row>
    <row r="20" spans="1:18" ht="16.5" customHeight="1" x14ac:dyDescent="0.3">
      <c r="A20" s="553" t="s">
        <v>42</v>
      </c>
      <c r="B20" s="554" t="s">
        <v>43</v>
      </c>
      <c r="C20" s="494" t="s">
        <v>253</v>
      </c>
      <c r="D20" s="555">
        <f t="shared" si="3"/>
        <v>113</v>
      </c>
      <c r="E20" s="556">
        <v>88</v>
      </c>
      <c r="F20" s="557">
        <v>8</v>
      </c>
      <c r="G20" s="557">
        <v>0</v>
      </c>
      <c r="H20" s="557">
        <v>0</v>
      </c>
      <c r="I20" s="557">
        <v>2</v>
      </c>
      <c r="J20" s="557">
        <v>15</v>
      </c>
      <c r="K20" s="557">
        <v>0</v>
      </c>
      <c r="L20" s="558">
        <f t="shared" si="4"/>
        <v>17</v>
      </c>
      <c r="M20" s="1227"/>
      <c r="N20" s="891">
        <v>13</v>
      </c>
      <c r="O20" s="891">
        <v>35</v>
      </c>
      <c r="P20" s="891">
        <v>31</v>
      </c>
      <c r="Q20" s="1229">
        <v>23</v>
      </c>
      <c r="R20" s="1229">
        <v>11</v>
      </c>
    </row>
    <row r="21" spans="1:18" ht="16.5" customHeight="1" x14ac:dyDescent="0.3">
      <c r="A21" s="553" t="s">
        <v>44</v>
      </c>
      <c r="B21" s="554" t="s">
        <v>45</v>
      </c>
      <c r="C21" s="494" t="s">
        <v>254</v>
      </c>
      <c r="D21" s="555">
        <f t="shared" si="3"/>
        <v>20</v>
      </c>
      <c r="E21" s="556">
        <v>12</v>
      </c>
      <c r="F21" s="557">
        <v>0</v>
      </c>
      <c r="G21" s="557">
        <v>0</v>
      </c>
      <c r="H21" s="557">
        <v>0</v>
      </c>
      <c r="I21" s="557">
        <v>0</v>
      </c>
      <c r="J21" s="557">
        <v>8</v>
      </c>
      <c r="K21" s="557">
        <v>0</v>
      </c>
      <c r="L21" s="558">
        <f t="shared" si="4"/>
        <v>8</v>
      </c>
      <c r="M21" s="1228"/>
      <c r="N21" s="891">
        <v>3</v>
      </c>
      <c r="O21" s="891">
        <v>9</v>
      </c>
      <c r="P21" s="891">
        <v>7</v>
      </c>
      <c r="Q21" s="1229">
        <v>1</v>
      </c>
      <c r="R21" s="1229">
        <v>0</v>
      </c>
    </row>
    <row r="22" spans="1:18" ht="16.5" customHeight="1" x14ac:dyDescent="0.3">
      <c r="A22" s="553" t="s">
        <v>46</v>
      </c>
      <c r="B22" s="554" t="s">
        <v>47</v>
      </c>
      <c r="C22" s="494" t="s">
        <v>256</v>
      </c>
      <c r="D22" s="555">
        <f t="shared" si="3"/>
        <v>46</v>
      </c>
      <c r="E22" s="556">
        <v>42</v>
      </c>
      <c r="F22" s="557">
        <v>0</v>
      </c>
      <c r="G22" s="890">
        <v>0</v>
      </c>
      <c r="H22" s="890">
        <v>0</v>
      </c>
      <c r="I22" s="890">
        <v>0</v>
      </c>
      <c r="J22" s="890">
        <v>4</v>
      </c>
      <c r="K22" s="890">
        <v>0</v>
      </c>
      <c r="L22" s="558">
        <f t="shared" si="4"/>
        <v>4</v>
      </c>
      <c r="M22" s="1227"/>
      <c r="N22" s="891">
        <v>12</v>
      </c>
      <c r="O22" s="891">
        <v>14</v>
      </c>
      <c r="P22" s="891">
        <v>10</v>
      </c>
      <c r="Q22" s="1229">
        <v>9</v>
      </c>
      <c r="R22" s="1229">
        <v>1</v>
      </c>
    </row>
    <row r="23" spans="1:18" ht="16.5" customHeight="1" x14ac:dyDescent="0.3">
      <c r="A23" s="553" t="s">
        <v>48</v>
      </c>
      <c r="B23" s="554" t="s">
        <v>257</v>
      </c>
      <c r="C23" s="494" t="s">
        <v>254</v>
      </c>
      <c r="D23" s="555">
        <f t="shared" si="3"/>
        <v>2</v>
      </c>
      <c r="E23" s="564">
        <v>0</v>
      </c>
      <c r="F23" s="563">
        <v>1</v>
      </c>
      <c r="G23" s="563">
        <v>0</v>
      </c>
      <c r="H23" s="563">
        <v>0</v>
      </c>
      <c r="I23" s="563">
        <v>0</v>
      </c>
      <c r="J23" s="2203">
        <v>1</v>
      </c>
      <c r="K23" s="563">
        <v>0</v>
      </c>
      <c r="L23" s="558">
        <f t="shared" si="4"/>
        <v>1</v>
      </c>
      <c r="M23" s="568"/>
      <c r="N23" s="891">
        <v>0</v>
      </c>
      <c r="O23" s="891">
        <v>0</v>
      </c>
      <c r="P23" s="891">
        <v>2</v>
      </c>
      <c r="Q23" s="1229">
        <v>0</v>
      </c>
      <c r="R23" s="1229">
        <v>0</v>
      </c>
    </row>
    <row r="24" spans="1:18" ht="16.5" customHeight="1" x14ac:dyDescent="0.3">
      <c r="A24" s="553" t="s">
        <v>50</v>
      </c>
      <c r="B24" s="554" t="s">
        <v>51</v>
      </c>
      <c r="C24" s="494" t="s">
        <v>253</v>
      </c>
      <c r="D24" s="555">
        <f t="shared" si="3"/>
        <v>26</v>
      </c>
      <c r="E24" s="556">
        <v>10</v>
      </c>
      <c r="F24" s="557">
        <v>6</v>
      </c>
      <c r="G24" s="557">
        <v>0</v>
      </c>
      <c r="H24" s="557">
        <v>0</v>
      </c>
      <c r="I24" s="557">
        <v>0</v>
      </c>
      <c r="J24" s="557">
        <v>10</v>
      </c>
      <c r="K24" s="557">
        <v>0</v>
      </c>
      <c r="L24" s="558">
        <f t="shared" si="4"/>
        <v>10</v>
      </c>
      <c r="M24" s="1227"/>
      <c r="N24" s="891">
        <v>3</v>
      </c>
      <c r="O24" s="891">
        <v>7</v>
      </c>
      <c r="P24" s="891">
        <v>8</v>
      </c>
      <c r="Q24" s="1229">
        <v>4</v>
      </c>
      <c r="R24" s="1229">
        <v>4</v>
      </c>
    </row>
    <row r="25" spans="1:18" ht="16.5" customHeight="1" x14ac:dyDescent="0.3">
      <c r="A25" s="553" t="s">
        <v>56</v>
      </c>
      <c r="B25" s="554" t="s">
        <v>283</v>
      </c>
      <c r="C25" s="494" t="s">
        <v>254</v>
      </c>
      <c r="D25" s="555">
        <f t="shared" si="3"/>
        <v>196</v>
      </c>
      <c r="E25" s="556">
        <v>122</v>
      </c>
      <c r="F25" s="557">
        <v>39</v>
      </c>
      <c r="G25" s="557">
        <v>1</v>
      </c>
      <c r="H25" s="557">
        <v>0</v>
      </c>
      <c r="I25" s="557">
        <v>2</v>
      </c>
      <c r="J25" s="557">
        <v>24</v>
      </c>
      <c r="K25" s="557">
        <v>8</v>
      </c>
      <c r="L25" s="558">
        <f t="shared" si="4"/>
        <v>27</v>
      </c>
      <c r="M25" s="1228"/>
      <c r="N25" s="891">
        <v>9</v>
      </c>
      <c r="O25" s="891">
        <v>28</v>
      </c>
      <c r="P25" s="891">
        <v>80</v>
      </c>
      <c r="Q25" s="1229">
        <v>52</v>
      </c>
      <c r="R25" s="1229">
        <v>27</v>
      </c>
    </row>
    <row r="26" spans="1:18" ht="16.5" customHeight="1" x14ac:dyDescent="0.3">
      <c r="A26" s="553" t="s">
        <v>58</v>
      </c>
      <c r="B26" s="554" t="s">
        <v>59</v>
      </c>
      <c r="C26" s="494" t="s">
        <v>255</v>
      </c>
      <c r="D26" s="555">
        <f t="shared" si="3"/>
        <v>6</v>
      </c>
      <c r="E26" s="567">
        <v>3</v>
      </c>
      <c r="F26" s="563">
        <v>2</v>
      </c>
      <c r="G26" s="563">
        <v>0</v>
      </c>
      <c r="H26" s="563">
        <v>0</v>
      </c>
      <c r="I26" s="563">
        <v>0</v>
      </c>
      <c r="J26" s="2203">
        <v>1</v>
      </c>
      <c r="K26" s="563">
        <v>0</v>
      </c>
      <c r="L26" s="558">
        <f t="shared" si="4"/>
        <v>1</v>
      </c>
      <c r="M26" s="561"/>
      <c r="N26" s="891">
        <v>0</v>
      </c>
      <c r="O26" s="891">
        <v>1</v>
      </c>
      <c r="P26" s="891">
        <v>5</v>
      </c>
      <c r="Q26" s="1229">
        <v>0</v>
      </c>
      <c r="R26" s="1229">
        <v>0</v>
      </c>
    </row>
    <row r="27" spans="1:18" ht="16.5" customHeight="1" x14ac:dyDescent="0.3">
      <c r="A27" s="553" t="s">
        <v>60</v>
      </c>
      <c r="B27" s="554" t="s">
        <v>61</v>
      </c>
      <c r="C27" s="494" t="s">
        <v>253</v>
      </c>
      <c r="D27" s="555">
        <f t="shared" si="3"/>
        <v>13</v>
      </c>
      <c r="E27" s="567">
        <v>13</v>
      </c>
      <c r="F27" s="563">
        <v>0</v>
      </c>
      <c r="G27" s="563">
        <v>0</v>
      </c>
      <c r="H27" s="563">
        <v>0</v>
      </c>
      <c r="I27" s="563">
        <v>0</v>
      </c>
      <c r="J27" s="2203">
        <v>0</v>
      </c>
      <c r="K27" s="563">
        <v>0</v>
      </c>
      <c r="L27" s="558">
        <f t="shared" si="4"/>
        <v>0</v>
      </c>
      <c r="M27" s="568"/>
      <c r="N27" s="891">
        <v>0</v>
      </c>
      <c r="O27" s="891">
        <v>2</v>
      </c>
      <c r="P27" s="891">
        <v>5</v>
      </c>
      <c r="Q27" s="1229">
        <v>3</v>
      </c>
      <c r="R27" s="1229">
        <v>3</v>
      </c>
    </row>
    <row r="28" spans="1:18" ht="16.5" customHeight="1" x14ac:dyDescent="0.3">
      <c r="A28" s="553" t="s">
        <v>62</v>
      </c>
      <c r="B28" s="554" t="s">
        <v>63</v>
      </c>
      <c r="C28" s="494" t="s">
        <v>255</v>
      </c>
      <c r="D28" s="555">
        <f t="shared" si="3"/>
        <v>61</v>
      </c>
      <c r="E28" s="556">
        <v>35</v>
      </c>
      <c r="F28" s="557">
        <v>7</v>
      </c>
      <c r="G28" s="557">
        <v>0</v>
      </c>
      <c r="H28" s="557">
        <v>0</v>
      </c>
      <c r="I28" s="557">
        <v>0</v>
      </c>
      <c r="J28" s="557">
        <v>19</v>
      </c>
      <c r="K28" s="557">
        <v>0</v>
      </c>
      <c r="L28" s="558">
        <f t="shared" si="4"/>
        <v>19</v>
      </c>
      <c r="M28" s="1227"/>
      <c r="N28" s="891">
        <v>8</v>
      </c>
      <c r="O28" s="891">
        <v>14</v>
      </c>
      <c r="P28" s="891">
        <v>28</v>
      </c>
      <c r="Q28" s="1229">
        <v>9</v>
      </c>
      <c r="R28" s="1229">
        <v>2</v>
      </c>
    </row>
    <row r="29" spans="1:18" ht="16.5" customHeight="1" x14ac:dyDescent="0.3">
      <c r="A29" s="553" t="s">
        <v>64</v>
      </c>
      <c r="B29" s="554" t="s">
        <v>65</v>
      </c>
      <c r="C29" s="494" t="s">
        <v>254</v>
      </c>
      <c r="D29" s="555">
        <f t="shared" si="3"/>
        <v>9</v>
      </c>
      <c r="E29" s="556">
        <v>5</v>
      </c>
      <c r="F29" s="557">
        <v>4</v>
      </c>
      <c r="G29" s="557">
        <v>0</v>
      </c>
      <c r="H29" s="557">
        <v>0</v>
      </c>
      <c r="I29" s="557">
        <v>0</v>
      </c>
      <c r="J29" s="557">
        <v>0</v>
      </c>
      <c r="K29" s="557">
        <v>0</v>
      </c>
      <c r="L29" s="558">
        <f t="shared" si="4"/>
        <v>0</v>
      </c>
      <c r="M29" s="568"/>
      <c r="N29" s="891">
        <v>0</v>
      </c>
      <c r="O29" s="568">
        <v>1</v>
      </c>
      <c r="P29" s="891">
        <v>3</v>
      </c>
      <c r="Q29" s="1229">
        <v>4</v>
      </c>
      <c r="R29" s="1229">
        <v>1</v>
      </c>
    </row>
    <row r="30" spans="1:18" ht="16.5" customHeight="1" x14ac:dyDescent="0.3">
      <c r="A30" s="553" t="s">
        <v>68</v>
      </c>
      <c r="B30" s="554" t="s">
        <v>69</v>
      </c>
      <c r="C30" s="494" t="s">
        <v>256</v>
      </c>
      <c r="D30" s="555">
        <f t="shared" si="3"/>
        <v>118</v>
      </c>
      <c r="E30" s="556">
        <v>117</v>
      </c>
      <c r="F30" s="557">
        <v>0</v>
      </c>
      <c r="G30" s="557">
        <v>0</v>
      </c>
      <c r="H30" s="557">
        <v>0</v>
      </c>
      <c r="I30" s="557">
        <v>0</v>
      </c>
      <c r="J30" s="557">
        <v>1</v>
      </c>
      <c r="K30" s="557">
        <v>0</v>
      </c>
      <c r="L30" s="558">
        <f t="shared" si="4"/>
        <v>1</v>
      </c>
      <c r="M30" s="558"/>
      <c r="N30" s="891">
        <v>16</v>
      </c>
      <c r="O30" s="891">
        <v>39</v>
      </c>
      <c r="P30" s="891">
        <v>47</v>
      </c>
      <c r="Q30" s="1229">
        <v>13</v>
      </c>
      <c r="R30" s="1229">
        <v>3</v>
      </c>
    </row>
    <row r="31" spans="1:18" ht="16.5" customHeight="1" x14ac:dyDescent="0.3">
      <c r="A31" s="553" t="s">
        <v>70</v>
      </c>
      <c r="B31" s="554" t="s">
        <v>71</v>
      </c>
      <c r="C31" s="494" t="s">
        <v>252</v>
      </c>
      <c r="D31" s="555">
        <f t="shared" si="3"/>
        <v>27</v>
      </c>
      <c r="E31" s="556">
        <v>7</v>
      </c>
      <c r="F31" s="557">
        <v>10</v>
      </c>
      <c r="G31" s="557">
        <v>0</v>
      </c>
      <c r="H31" s="557">
        <v>0</v>
      </c>
      <c r="I31" s="557">
        <v>2</v>
      </c>
      <c r="J31" s="557">
        <v>8</v>
      </c>
      <c r="K31" s="557">
        <v>0</v>
      </c>
      <c r="L31" s="558">
        <f t="shared" si="4"/>
        <v>10</v>
      </c>
      <c r="M31" s="1228"/>
      <c r="N31" s="891">
        <v>3</v>
      </c>
      <c r="O31" s="891">
        <v>10</v>
      </c>
      <c r="P31" s="891">
        <v>9</v>
      </c>
      <c r="Q31" s="1229">
        <v>5</v>
      </c>
      <c r="R31" s="1229">
        <v>0</v>
      </c>
    </row>
    <row r="32" spans="1:18" ht="16.5" customHeight="1" x14ac:dyDescent="0.3">
      <c r="A32" s="553" t="s">
        <v>72</v>
      </c>
      <c r="B32" s="554" t="s">
        <v>73</v>
      </c>
      <c r="C32" s="494" t="s">
        <v>254</v>
      </c>
      <c r="D32" s="555">
        <f t="shared" si="3"/>
        <v>8</v>
      </c>
      <c r="E32" s="564">
        <v>1</v>
      </c>
      <c r="F32" s="563">
        <v>4</v>
      </c>
      <c r="G32" s="563">
        <v>0</v>
      </c>
      <c r="H32" s="563">
        <v>0</v>
      </c>
      <c r="I32" s="563">
        <v>0</v>
      </c>
      <c r="J32" s="2203">
        <v>0</v>
      </c>
      <c r="K32" s="563">
        <v>3</v>
      </c>
      <c r="L32" s="558">
        <f t="shared" si="4"/>
        <v>0</v>
      </c>
      <c r="M32" s="568"/>
      <c r="N32" s="891">
        <v>2</v>
      </c>
      <c r="O32" s="891">
        <v>0</v>
      </c>
      <c r="P32" s="891">
        <v>0</v>
      </c>
      <c r="Q32" s="1229">
        <v>5</v>
      </c>
      <c r="R32" s="1229">
        <v>1</v>
      </c>
    </row>
    <row r="33" spans="1:18" ht="16.5" customHeight="1" x14ac:dyDescent="0.3">
      <c r="A33" s="553" t="s">
        <v>74</v>
      </c>
      <c r="B33" s="554" t="s">
        <v>290</v>
      </c>
      <c r="C33" s="494" t="s">
        <v>255</v>
      </c>
      <c r="D33" s="555">
        <f t="shared" si="3"/>
        <v>410</v>
      </c>
      <c r="E33" s="556">
        <v>182</v>
      </c>
      <c r="F33" s="557">
        <v>143</v>
      </c>
      <c r="G33" s="557">
        <v>10</v>
      </c>
      <c r="H33" s="557">
        <v>4</v>
      </c>
      <c r="I33" s="557">
        <v>1</v>
      </c>
      <c r="J33" s="557">
        <v>63</v>
      </c>
      <c r="K33" s="557">
        <v>7</v>
      </c>
      <c r="L33" s="558">
        <f t="shared" si="4"/>
        <v>78</v>
      </c>
      <c r="M33" s="1228"/>
      <c r="N33" s="891">
        <v>41</v>
      </c>
      <c r="O33" s="891">
        <v>80</v>
      </c>
      <c r="P33" s="891">
        <v>151</v>
      </c>
      <c r="Q33" s="1229">
        <v>72</v>
      </c>
      <c r="R33" s="1229">
        <v>66</v>
      </c>
    </row>
    <row r="34" spans="1:18" ht="16.5" customHeight="1" x14ac:dyDescent="0.3">
      <c r="A34" s="553" t="s">
        <v>76</v>
      </c>
      <c r="B34" s="554" t="s">
        <v>77</v>
      </c>
      <c r="C34" s="494" t="s">
        <v>255</v>
      </c>
      <c r="D34" s="555">
        <f t="shared" si="3"/>
        <v>89</v>
      </c>
      <c r="E34" s="556">
        <v>47</v>
      </c>
      <c r="F34" s="557">
        <v>24</v>
      </c>
      <c r="G34" s="557">
        <v>0</v>
      </c>
      <c r="H34" s="557">
        <v>0</v>
      </c>
      <c r="I34" s="557">
        <v>0</v>
      </c>
      <c r="J34" s="557">
        <v>18</v>
      </c>
      <c r="K34" s="557">
        <v>0</v>
      </c>
      <c r="L34" s="558">
        <f t="shared" si="4"/>
        <v>18</v>
      </c>
      <c r="M34" s="1227"/>
      <c r="N34" s="891">
        <v>18</v>
      </c>
      <c r="O34" s="891">
        <v>26</v>
      </c>
      <c r="P34" s="891">
        <v>24</v>
      </c>
      <c r="Q34" s="1229">
        <v>19</v>
      </c>
      <c r="R34" s="1229">
        <v>2</v>
      </c>
    </row>
    <row r="35" spans="1:18" ht="16.5" customHeight="1" x14ac:dyDescent="0.3">
      <c r="A35" s="553" t="s">
        <v>78</v>
      </c>
      <c r="B35" s="554" t="s">
        <v>79</v>
      </c>
      <c r="C35" s="494" t="s">
        <v>256</v>
      </c>
      <c r="D35" s="555">
        <f t="shared" si="3"/>
        <v>16</v>
      </c>
      <c r="E35" s="556">
        <v>12</v>
      </c>
      <c r="F35" s="557">
        <v>1</v>
      </c>
      <c r="G35" s="890">
        <v>0</v>
      </c>
      <c r="H35" s="890">
        <v>0</v>
      </c>
      <c r="I35" s="890">
        <v>0</v>
      </c>
      <c r="J35" s="890">
        <v>2</v>
      </c>
      <c r="K35" s="890">
        <v>1</v>
      </c>
      <c r="L35" s="558">
        <f t="shared" si="4"/>
        <v>2</v>
      </c>
      <c r="M35" s="891"/>
      <c r="N35" s="891">
        <v>4</v>
      </c>
      <c r="O35" s="891">
        <v>7</v>
      </c>
      <c r="P35" s="891">
        <v>2</v>
      </c>
      <c r="Q35" s="1229">
        <v>3</v>
      </c>
      <c r="R35" s="1229">
        <v>0</v>
      </c>
    </row>
    <row r="36" spans="1:18" ht="16.5" customHeight="1" x14ac:dyDescent="0.3">
      <c r="A36" s="553" t="s">
        <v>80</v>
      </c>
      <c r="B36" s="554" t="s">
        <v>81</v>
      </c>
      <c r="C36" s="494" t="s">
        <v>254</v>
      </c>
      <c r="D36" s="555">
        <f t="shared" si="3"/>
        <v>20</v>
      </c>
      <c r="E36" s="556">
        <v>15</v>
      </c>
      <c r="F36" s="557">
        <v>3</v>
      </c>
      <c r="G36" s="557">
        <v>0</v>
      </c>
      <c r="H36" s="557">
        <v>0</v>
      </c>
      <c r="I36" s="557">
        <v>0</v>
      </c>
      <c r="J36" s="557">
        <v>2</v>
      </c>
      <c r="K36" s="557">
        <v>0</v>
      </c>
      <c r="L36" s="558">
        <f t="shared" si="4"/>
        <v>2</v>
      </c>
      <c r="M36" s="561"/>
      <c r="N36" s="891">
        <v>2</v>
      </c>
      <c r="O36" s="891">
        <v>5</v>
      </c>
      <c r="P36" s="891">
        <v>3</v>
      </c>
      <c r="Q36" s="1229">
        <v>7</v>
      </c>
      <c r="R36" s="1229">
        <v>3</v>
      </c>
    </row>
    <row r="37" spans="1:18" ht="16.5" customHeight="1" x14ac:dyDescent="0.3">
      <c r="A37" s="553" t="s">
        <v>84</v>
      </c>
      <c r="B37" s="554" t="s">
        <v>296</v>
      </c>
      <c r="C37" s="494" t="s">
        <v>253</v>
      </c>
      <c r="D37" s="555">
        <f t="shared" ref="D37:D68" si="5">SUM(E37:K37)</f>
        <v>107</v>
      </c>
      <c r="E37" s="556">
        <v>92</v>
      </c>
      <c r="F37" s="557">
        <v>7</v>
      </c>
      <c r="G37" s="557">
        <v>0</v>
      </c>
      <c r="H37" s="557">
        <v>0</v>
      </c>
      <c r="I37" s="557">
        <v>0</v>
      </c>
      <c r="J37" s="557">
        <v>8</v>
      </c>
      <c r="K37" s="557">
        <v>0</v>
      </c>
      <c r="L37" s="558">
        <f t="shared" ref="L37:L68" si="6">G37+H37+I37+J37</f>
        <v>8</v>
      </c>
      <c r="M37" s="1228"/>
      <c r="N37" s="891">
        <v>9</v>
      </c>
      <c r="O37" s="568">
        <v>29</v>
      </c>
      <c r="P37" s="891">
        <v>46</v>
      </c>
      <c r="Q37" s="1229">
        <v>14</v>
      </c>
      <c r="R37" s="1229">
        <v>9</v>
      </c>
    </row>
    <row r="38" spans="1:18" ht="16.5" customHeight="1" x14ac:dyDescent="0.3">
      <c r="A38" s="553" t="s">
        <v>86</v>
      </c>
      <c r="B38" s="554" t="s">
        <v>87</v>
      </c>
      <c r="C38" s="494" t="s">
        <v>255</v>
      </c>
      <c r="D38" s="555">
        <f t="shared" si="5"/>
        <v>51</v>
      </c>
      <c r="E38" s="556">
        <v>40</v>
      </c>
      <c r="F38" s="557">
        <v>2</v>
      </c>
      <c r="G38" s="557">
        <v>0</v>
      </c>
      <c r="H38" s="557">
        <v>0</v>
      </c>
      <c r="I38" s="557">
        <v>0</v>
      </c>
      <c r="J38" s="557">
        <v>9</v>
      </c>
      <c r="K38" s="557">
        <v>0</v>
      </c>
      <c r="L38" s="558">
        <f t="shared" si="6"/>
        <v>9</v>
      </c>
      <c r="M38" s="1227"/>
      <c r="N38" s="568">
        <v>7</v>
      </c>
      <c r="O38" s="568">
        <v>22</v>
      </c>
      <c r="P38" s="891">
        <v>14</v>
      </c>
      <c r="Q38" s="1229">
        <v>6</v>
      </c>
      <c r="R38" s="1229">
        <v>2</v>
      </c>
    </row>
    <row r="39" spans="1:18" ht="16.5" customHeight="1" x14ac:dyDescent="0.3">
      <c r="A39" s="553" t="s">
        <v>92</v>
      </c>
      <c r="B39" s="554" t="s">
        <v>93</v>
      </c>
      <c r="C39" s="494" t="s">
        <v>256</v>
      </c>
      <c r="D39" s="555">
        <f t="shared" si="5"/>
        <v>79</v>
      </c>
      <c r="E39" s="556">
        <v>76</v>
      </c>
      <c r="F39" s="557">
        <v>0</v>
      </c>
      <c r="G39" s="890">
        <v>0</v>
      </c>
      <c r="H39" s="890">
        <v>0</v>
      </c>
      <c r="I39" s="890">
        <v>0</v>
      </c>
      <c r="J39" s="890">
        <v>3</v>
      </c>
      <c r="K39" s="890">
        <v>0</v>
      </c>
      <c r="L39" s="558">
        <f t="shared" si="6"/>
        <v>3</v>
      </c>
      <c r="M39" s="568"/>
      <c r="N39" s="891">
        <v>11</v>
      </c>
      <c r="O39" s="891">
        <v>28</v>
      </c>
      <c r="P39" s="891">
        <v>26</v>
      </c>
      <c r="Q39" s="1229">
        <v>13</v>
      </c>
      <c r="R39" s="1229">
        <v>1</v>
      </c>
    </row>
    <row r="40" spans="1:18" ht="16.5" customHeight="1" x14ac:dyDescent="0.3">
      <c r="A40" s="553" t="s">
        <v>94</v>
      </c>
      <c r="B40" s="554" t="s">
        <v>95</v>
      </c>
      <c r="C40" s="494" t="s">
        <v>252</v>
      </c>
      <c r="D40" s="555">
        <f t="shared" si="5"/>
        <v>50</v>
      </c>
      <c r="E40" s="556">
        <v>40</v>
      </c>
      <c r="F40" s="557">
        <v>5</v>
      </c>
      <c r="G40" s="557">
        <v>0</v>
      </c>
      <c r="H40" s="557">
        <v>0</v>
      </c>
      <c r="I40" s="557">
        <v>0</v>
      </c>
      <c r="J40" s="557">
        <v>5</v>
      </c>
      <c r="K40" s="557">
        <v>0</v>
      </c>
      <c r="L40" s="558">
        <f t="shared" si="6"/>
        <v>5</v>
      </c>
      <c r="M40" s="1228"/>
      <c r="N40" s="891">
        <v>7</v>
      </c>
      <c r="O40" s="891">
        <v>17</v>
      </c>
      <c r="P40" s="891">
        <v>12</v>
      </c>
      <c r="Q40" s="1229">
        <v>12</v>
      </c>
      <c r="R40" s="1229">
        <v>2</v>
      </c>
    </row>
    <row r="41" spans="1:18" ht="16.5" customHeight="1" x14ac:dyDescent="0.3">
      <c r="A41" s="553" t="s">
        <v>96</v>
      </c>
      <c r="B41" s="554" t="s">
        <v>97</v>
      </c>
      <c r="C41" s="494" t="s">
        <v>254</v>
      </c>
      <c r="D41" s="555">
        <f t="shared" si="5"/>
        <v>17</v>
      </c>
      <c r="E41" s="556">
        <v>9</v>
      </c>
      <c r="F41" s="557">
        <v>4</v>
      </c>
      <c r="G41" s="557">
        <v>0</v>
      </c>
      <c r="H41" s="557">
        <v>0</v>
      </c>
      <c r="I41" s="557">
        <v>0</v>
      </c>
      <c r="J41" s="557">
        <v>4</v>
      </c>
      <c r="K41" s="557">
        <v>0</v>
      </c>
      <c r="L41" s="558">
        <f t="shared" si="6"/>
        <v>4</v>
      </c>
      <c r="M41" s="558"/>
      <c r="N41" s="891">
        <v>2</v>
      </c>
      <c r="O41" s="891">
        <v>3</v>
      </c>
      <c r="P41" s="891">
        <v>8</v>
      </c>
      <c r="Q41" s="1229">
        <v>4</v>
      </c>
      <c r="R41" s="1229">
        <v>0</v>
      </c>
    </row>
    <row r="42" spans="1:18" ht="16.5" customHeight="1" x14ac:dyDescent="0.3">
      <c r="A42" s="553" t="s">
        <v>98</v>
      </c>
      <c r="B42" s="554" t="s">
        <v>99</v>
      </c>
      <c r="C42" s="494" t="s">
        <v>256</v>
      </c>
      <c r="D42" s="555">
        <f t="shared" si="5"/>
        <v>31</v>
      </c>
      <c r="E42" s="556">
        <v>25</v>
      </c>
      <c r="F42" s="557">
        <v>0</v>
      </c>
      <c r="G42" s="890">
        <v>0</v>
      </c>
      <c r="H42" s="890">
        <v>0</v>
      </c>
      <c r="I42" s="890">
        <v>0</v>
      </c>
      <c r="J42" s="890">
        <v>5</v>
      </c>
      <c r="K42" s="890">
        <v>1</v>
      </c>
      <c r="L42" s="558">
        <f t="shared" si="6"/>
        <v>5</v>
      </c>
      <c r="M42" s="1228"/>
      <c r="N42" s="891">
        <v>6</v>
      </c>
      <c r="O42" s="891">
        <v>5</v>
      </c>
      <c r="P42" s="891">
        <v>18</v>
      </c>
      <c r="Q42" s="1229">
        <v>1</v>
      </c>
      <c r="R42" s="1229">
        <v>1</v>
      </c>
    </row>
    <row r="43" spans="1:18" ht="16.5" customHeight="1" x14ac:dyDescent="0.3">
      <c r="A43" s="553" t="s">
        <v>100</v>
      </c>
      <c r="B43" s="554" t="s">
        <v>101</v>
      </c>
      <c r="C43" s="494" t="s">
        <v>255</v>
      </c>
      <c r="D43" s="555">
        <f t="shared" si="5"/>
        <v>10</v>
      </c>
      <c r="E43" s="556">
        <v>6</v>
      </c>
      <c r="F43" s="557">
        <v>0</v>
      </c>
      <c r="G43" s="557">
        <v>0</v>
      </c>
      <c r="H43" s="557">
        <v>0</v>
      </c>
      <c r="I43" s="557">
        <v>0</v>
      </c>
      <c r="J43" s="557">
        <v>4</v>
      </c>
      <c r="K43" s="557">
        <v>0</v>
      </c>
      <c r="L43" s="558">
        <f t="shared" si="6"/>
        <v>4</v>
      </c>
      <c r="M43" s="1227"/>
      <c r="N43" s="891">
        <v>2</v>
      </c>
      <c r="O43" s="891">
        <v>6</v>
      </c>
      <c r="P43" s="891">
        <v>2</v>
      </c>
      <c r="Q43" s="1229">
        <v>0</v>
      </c>
      <c r="R43" s="1229">
        <v>0</v>
      </c>
    </row>
    <row r="44" spans="1:18" ht="16.5" customHeight="1" x14ac:dyDescent="0.3">
      <c r="A44" s="553" t="s">
        <v>102</v>
      </c>
      <c r="B44" s="554" t="s">
        <v>103</v>
      </c>
      <c r="C44" s="494" t="s">
        <v>252</v>
      </c>
      <c r="D44" s="555">
        <f t="shared" si="5"/>
        <v>12</v>
      </c>
      <c r="E44" s="564">
        <v>0</v>
      </c>
      <c r="F44" s="563">
        <v>11</v>
      </c>
      <c r="G44" s="563">
        <v>0</v>
      </c>
      <c r="H44" s="563">
        <v>0</v>
      </c>
      <c r="I44" s="563">
        <v>0</v>
      </c>
      <c r="J44" s="2203">
        <v>1</v>
      </c>
      <c r="K44" s="563">
        <v>0</v>
      </c>
      <c r="L44" s="558">
        <f t="shared" si="6"/>
        <v>1</v>
      </c>
      <c r="M44" s="561"/>
      <c r="N44" s="891">
        <v>4</v>
      </c>
      <c r="O44" s="568">
        <v>5</v>
      </c>
      <c r="P44" s="891">
        <v>1</v>
      </c>
      <c r="Q44" s="1229">
        <v>2</v>
      </c>
      <c r="R44" s="1229">
        <v>0</v>
      </c>
    </row>
    <row r="45" spans="1:18" ht="16.5" customHeight="1" x14ac:dyDescent="0.3">
      <c r="A45" s="553" t="s">
        <v>104</v>
      </c>
      <c r="B45" s="554" t="s">
        <v>297</v>
      </c>
      <c r="C45" s="494" t="s">
        <v>253</v>
      </c>
      <c r="D45" s="555">
        <f t="shared" si="5"/>
        <v>22</v>
      </c>
      <c r="E45" s="556">
        <v>12</v>
      </c>
      <c r="F45" s="557">
        <v>9</v>
      </c>
      <c r="G45" s="557">
        <v>0</v>
      </c>
      <c r="H45" s="557">
        <v>0</v>
      </c>
      <c r="I45" s="557">
        <v>0</v>
      </c>
      <c r="J45" s="557">
        <v>1</v>
      </c>
      <c r="K45" s="557">
        <v>0</v>
      </c>
      <c r="L45" s="558">
        <f t="shared" si="6"/>
        <v>1</v>
      </c>
      <c r="M45" s="1227"/>
      <c r="N45" s="891">
        <v>3</v>
      </c>
      <c r="O45" s="568">
        <v>5</v>
      </c>
      <c r="P45" s="891">
        <v>7</v>
      </c>
      <c r="Q45" s="1229">
        <v>4</v>
      </c>
      <c r="R45" s="1229">
        <v>3</v>
      </c>
    </row>
    <row r="46" spans="1:18" ht="16.5" customHeight="1" x14ac:dyDescent="0.3">
      <c r="A46" s="553" t="s">
        <v>108</v>
      </c>
      <c r="B46" s="554" t="s">
        <v>109</v>
      </c>
      <c r="C46" s="494" t="s">
        <v>254</v>
      </c>
      <c r="D46" s="555">
        <f t="shared" si="5"/>
        <v>38</v>
      </c>
      <c r="E46" s="556">
        <v>25</v>
      </c>
      <c r="F46" s="557">
        <v>6</v>
      </c>
      <c r="G46" s="557">
        <v>0</v>
      </c>
      <c r="H46" s="557">
        <v>0</v>
      </c>
      <c r="I46" s="557">
        <v>0</v>
      </c>
      <c r="J46" s="557">
        <v>7</v>
      </c>
      <c r="K46" s="557">
        <v>0</v>
      </c>
      <c r="L46" s="558">
        <f t="shared" si="6"/>
        <v>7</v>
      </c>
      <c r="M46" s="1228"/>
      <c r="N46" s="891">
        <v>3</v>
      </c>
      <c r="O46" s="891">
        <v>8</v>
      </c>
      <c r="P46" s="891">
        <v>13</v>
      </c>
      <c r="Q46" s="1229">
        <v>13</v>
      </c>
      <c r="R46" s="1229">
        <v>1</v>
      </c>
    </row>
    <row r="47" spans="1:18" ht="16.5" customHeight="1" x14ac:dyDescent="0.3">
      <c r="A47" s="553" t="s">
        <v>110</v>
      </c>
      <c r="B47" s="554" t="s">
        <v>111</v>
      </c>
      <c r="C47" s="494" t="s">
        <v>254</v>
      </c>
      <c r="D47" s="555">
        <f t="shared" si="5"/>
        <v>126</v>
      </c>
      <c r="E47" s="556">
        <v>67</v>
      </c>
      <c r="F47" s="557">
        <v>33</v>
      </c>
      <c r="G47" s="557">
        <v>3</v>
      </c>
      <c r="H47" s="557">
        <v>0</v>
      </c>
      <c r="I47" s="557">
        <v>0</v>
      </c>
      <c r="J47" s="557">
        <v>23</v>
      </c>
      <c r="K47" s="557">
        <v>0</v>
      </c>
      <c r="L47" s="558">
        <f t="shared" si="6"/>
        <v>26</v>
      </c>
      <c r="M47" s="1228"/>
      <c r="N47" s="891">
        <v>15</v>
      </c>
      <c r="O47" s="891">
        <v>27</v>
      </c>
      <c r="P47" s="891">
        <v>42</v>
      </c>
      <c r="Q47" s="1229">
        <v>35</v>
      </c>
      <c r="R47" s="1229">
        <v>7</v>
      </c>
    </row>
    <row r="48" spans="1:18" ht="16.5" customHeight="1" x14ac:dyDescent="0.3">
      <c r="A48" s="553" t="s">
        <v>112</v>
      </c>
      <c r="B48" s="554" t="s">
        <v>288</v>
      </c>
      <c r="C48" s="494" t="s">
        <v>253</v>
      </c>
      <c r="D48" s="555">
        <f t="shared" si="5"/>
        <v>62</v>
      </c>
      <c r="E48" s="556">
        <v>45</v>
      </c>
      <c r="F48" s="557">
        <v>10</v>
      </c>
      <c r="G48" s="557">
        <v>0</v>
      </c>
      <c r="H48" s="557">
        <v>0</v>
      </c>
      <c r="I48" s="557">
        <v>0</v>
      </c>
      <c r="J48" s="557">
        <v>7</v>
      </c>
      <c r="K48" s="557">
        <v>0</v>
      </c>
      <c r="L48" s="558">
        <f t="shared" si="6"/>
        <v>7</v>
      </c>
      <c r="M48" s="1227"/>
      <c r="N48" s="891">
        <v>11</v>
      </c>
      <c r="O48" s="891">
        <v>11</v>
      </c>
      <c r="P48" s="891">
        <v>20</v>
      </c>
      <c r="Q48" s="1229">
        <v>14</v>
      </c>
      <c r="R48" s="1229">
        <v>6</v>
      </c>
    </row>
    <row r="49" spans="1:18" ht="16.5" customHeight="1" x14ac:dyDescent="0.3">
      <c r="A49" s="553" t="s">
        <v>114</v>
      </c>
      <c r="B49" s="554" t="s">
        <v>115</v>
      </c>
      <c r="C49" s="494" t="s">
        <v>253</v>
      </c>
      <c r="D49" s="555">
        <f t="shared" si="5"/>
        <v>7</v>
      </c>
      <c r="E49" s="567">
        <v>7</v>
      </c>
      <c r="F49" s="563">
        <v>0</v>
      </c>
      <c r="G49" s="563">
        <v>0</v>
      </c>
      <c r="H49" s="563">
        <v>0</v>
      </c>
      <c r="I49" s="563">
        <v>0</v>
      </c>
      <c r="J49" s="2203">
        <v>0</v>
      </c>
      <c r="K49" s="563">
        <v>0</v>
      </c>
      <c r="L49" s="558">
        <f t="shared" si="6"/>
        <v>0</v>
      </c>
      <c r="M49" s="891"/>
      <c r="N49" s="891">
        <v>1</v>
      </c>
      <c r="O49" s="891">
        <v>5</v>
      </c>
      <c r="P49" s="891">
        <v>1</v>
      </c>
      <c r="Q49" s="1229">
        <v>0</v>
      </c>
      <c r="R49" s="1229">
        <v>0</v>
      </c>
    </row>
    <row r="50" spans="1:18" ht="16.5" customHeight="1" x14ac:dyDescent="0.3">
      <c r="A50" s="553" t="s">
        <v>118</v>
      </c>
      <c r="B50" s="554" t="s">
        <v>119</v>
      </c>
      <c r="C50" s="494" t="s">
        <v>252</v>
      </c>
      <c r="D50" s="555">
        <f t="shared" si="5"/>
        <v>12</v>
      </c>
      <c r="E50" s="556">
        <v>7</v>
      </c>
      <c r="F50" s="557">
        <v>4</v>
      </c>
      <c r="G50" s="557">
        <v>0</v>
      </c>
      <c r="H50" s="557">
        <v>0</v>
      </c>
      <c r="I50" s="557">
        <v>0</v>
      </c>
      <c r="J50" s="557">
        <v>1</v>
      </c>
      <c r="K50" s="557">
        <v>0</v>
      </c>
      <c r="L50" s="558">
        <f t="shared" si="6"/>
        <v>1</v>
      </c>
      <c r="M50" s="561"/>
      <c r="N50" s="891">
        <v>0</v>
      </c>
      <c r="O50" s="568">
        <v>5</v>
      </c>
      <c r="P50" s="891">
        <v>5</v>
      </c>
      <c r="Q50" s="1229">
        <v>1</v>
      </c>
      <c r="R50" s="1229">
        <v>1</v>
      </c>
    </row>
    <row r="51" spans="1:18" ht="16.5" customHeight="1" x14ac:dyDescent="0.3">
      <c r="A51" s="553" t="s">
        <v>120</v>
      </c>
      <c r="B51" s="554" t="s">
        <v>121</v>
      </c>
      <c r="C51" s="494" t="s">
        <v>252</v>
      </c>
      <c r="D51" s="555">
        <f t="shared" si="5"/>
        <v>37</v>
      </c>
      <c r="E51" s="556">
        <v>16</v>
      </c>
      <c r="F51" s="557">
        <v>15</v>
      </c>
      <c r="G51" s="557">
        <v>1</v>
      </c>
      <c r="H51" s="557">
        <v>0</v>
      </c>
      <c r="I51" s="557">
        <v>0</v>
      </c>
      <c r="J51" s="557">
        <v>5</v>
      </c>
      <c r="K51" s="557">
        <v>0</v>
      </c>
      <c r="L51" s="558">
        <f t="shared" si="6"/>
        <v>6</v>
      </c>
      <c r="M51" s="1227"/>
      <c r="N51" s="891">
        <v>5</v>
      </c>
      <c r="O51" s="891">
        <v>8</v>
      </c>
      <c r="P51" s="891">
        <v>12</v>
      </c>
      <c r="Q51" s="1229">
        <v>10</v>
      </c>
      <c r="R51" s="1229">
        <v>2</v>
      </c>
    </row>
    <row r="52" spans="1:18" ht="16.5" customHeight="1" x14ac:dyDescent="0.3">
      <c r="A52" s="553" t="s">
        <v>122</v>
      </c>
      <c r="B52" s="554" t="s">
        <v>259</v>
      </c>
      <c r="C52" s="494" t="s">
        <v>254</v>
      </c>
      <c r="D52" s="555">
        <f t="shared" si="5"/>
        <v>8</v>
      </c>
      <c r="E52" s="556">
        <v>4</v>
      </c>
      <c r="F52" s="557">
        <v>3</v>
      </c>
      <c r="G52" s="557">
        <v>0</v>
      </c>
      <c r="H52" s="557">
        <v>0</v>
      </c>
      <c r="I52" s="557">
        <v>0</v>
      </c>
      <c r="J52" s="557">
        <v>1</v>
      </c>
      <c r="K52" s="557">
        <v>0</v>
      </c>
      <c r="L52" s="558">
        <f t="shared" si="6"/>
        <v>1</v>
      </c>
      <c r="M52" s="891"/>
      <c r="N52" s="891">
        <v>0</v>
      </c>
      <c r="O52" s="891">
        <v>1</v>
      </c>
      <c r="P52" s="891">
        <v>2</v>
      </c>
      <c r="Q52" s="1229">
        <v>5</v>
      </c>
      <c r="R52" s="1229">
        <v>0</v>
      </c>
    </row>
    <row r="53" spans="1:18" ht="16.5" customHeight="1" x14ac:dyDescent="0.3">
      <c r="A53" s="553" t="s">
        <v>124</v>
      </c>
      <c r="B53" s="554" t="s">
        <v>125</v>
      </c>
      <c r="C53" s="494" t="s">
        <v>255</v>
      </c>
      <c r="D53" s="555">
        <f t="shared" si="5"/>
        <v>24</v>
      </c>
      <c r="E53" s="556">
        <v>19</v>
      </c>
      <c r="F53" s="557">
        <v>3</v>
      </c>
      <c r="G53" s="557">
        <v>0</v>
      </c>
      <c r="H53" s="557">
        <v>0</v>
      </c>
      <c r="I53" s="557">
        <v>0</v>
      </c>
      <c r="J53" s="557">
        <v>2</v>
      </c>
      <c r="K53" s="557">
        <v>0</v>
      </c>
      <c r="L53" s="558">
        <f t="shared" si="6"/>
        <v>2</v>
      </c>
      <c r="M53" s="568"/>
      <c r="N53" s="891">
        <v>1</v>
      </c>
      <c r="O53" s="891">
        <v>7</v>
      </c>
      <c r="P53" s="891">
        <v>12</v>
      </c>
      <c r="Q53" s="1229">
        <v>4</v>
      </c>
      <c r="R53" s="1229">
        <v>0</v>
      </c>
    </row>
    <row r="54" spans="1:18" ht="16.5" customHeight="1" x14ac:dyDescent="0.3">
      <c r="A54" s="553" t="s">
        <v>126</v>
      </c>
      <c r="B54" s="554" t="s">
        <v>127</v>
      </c>
      <c r="C54" s="494" t="s">
        <v>254</v>
      </c>
      <c r="D54" s="555">
        <f t="shared" si="5"/>
        <v>8</v>
      </c>
      <c r="E54" s="556">
        <v>4</v>
      </c>
      <c r="F54" s="557">
        <v>4</v>
      </c>
      <c r="G54" s="557">
        <v>0</v>
      </c>
      <c r="H54" s="557">
        <v>0</v>
      </c>
      <c r="I54" s="557">
        <v>0</v>
      </c>
      <c r="J54" s="557">
        <v>0</v>
      </c>
      <c r="K54" s="557">
        <v>0</v>
      </c>
      <c r="L54" s="558">
        <f t="shared" si="6"/>
        <v>0</v>
      </c>
      <c r="M54" s="561"/>
      <c r="N54" s="891">
        <v>0</v>
      </c>
      <c r="O54" s="891">
        <v>0</v>
      </c>
      <c r="P54" s="891">
        <v>1</v>
      </c>
      <c r="Q54" s="1229">
        <v>4</v>
      </c>
      <c r="R54" s="1229">
        <v>3</v>
      </c>
    </row>
    <row r="55" spans="1:18" ht="16.5" customHeight="1" x14ac:dyDescent="0.3">
      <c r="A55" s="553" t="s">
        <v>128</v>
      </c>
      <c r="B55" s="554" t="s">
        <v>129</v>
      </c>
      <c r="C55" s="494" t="s">
        <v>254</v>
      </c>
      <c r="D55" s="555">
        <f t="shared" si="5"/>
        <v>4</v>
      </c>
      <c r="E55" s="556">
        <v>2</v>
      </c>
      <c r="F55" s="557">
        <v>2</v>
      </c>
      <c r="G55" s="557">
        <v>0</v>
      </c>
      <c r="H55" s="557">
        <v>0</v>
      </c>
      <c r="I55" s="557">
        <v>0</v>
      </c>
      <c r="J55" s="557">
        <v>0</v>
      </c>
      <c r="K55" s="557">
        <v>0</v>
      </c>
      <c r="L55" s="558">
        <f t="shared" si="6"/>
        <v>0</v>
      </c>
      <c r="M55" s="561"/>
      <c r="N55" s="891">
        <v>0</v>
      </c>
      <c r="O55" s="891">
        <v>0</v>
      </c>
      <c r="P55" s="891">
        <v>2</v>
      </c>
      <c r="Q55" s="1229">
        <v>2</v>
      </c>
      <c r="R55" s="1229">
        <v>0</v>
      </c>
    </row>
    <row r="56" spans="1:18" ht="16.5" customHeight="1" x14ac:dyDescent="0.3">
      <c r="A56" s="553" t="s">
        <v>130</v>
      </c>
      <c r="B56" s="554" t="s">
        <v>131</v>
      </c>
      <c r="C56" s="494" t="s">
        <v>256</v>
      </c>
      <c r="D56" s="555">
        <f t="shared" si="5"/>
        <v>91</v>
      </c>
      <c r="E56" s="556">
        <v>88</v>
      </c>
      <c r="F56" s="557">
        <v>0</v>
      </c>
      <c r="G56" s="557">
        <v>0</v>
      </c>
      <c r="H56" s="557">
        <v>0</v>
      </c>
      <c r="I56" s="557">
        <v>0</v>
      </c>
      <c r="J56" s="557">
        <v>3</v>
      </c>
      <c r="K56" s="557">
        <v>0</v>
      </c>
      <c r="L56" s="558">
        <f t="shared" si="6"/>
        <v>3</v>
      </c>
      <c r="M56" s="1227"/>
      <c r="N56" s="891">
        <v>9</v>
      </c>
      <c r="O56" s="891">
        <v>21</v>
      </c>
      <c r="P56" s="891">
        <v>31</v>
      </c>
      <c r="Q56" s="1229">
        <v>18</v>
      </c>
      <c r="R56" s="1229">
        <v>12</v>
      </c>
    </row>
    <row r="57" spans="1:18" ht="16.5" customHeight="1" x14ac:dyDescent="0.3">
      <c r="A57" s="553" t="s">
        <v>132</v>
      </c>
      <c r="B57" s="554" t="s">
        <v>133</v>
      </c>
      <c r="C57" s="494" t="s">
        <v>255</v>
      </c>
      <c r="D57" s="555">
        <f t="shared" si="5"/>
        <v>83</v>
      </c>
      <c r="E57" s="556">
        <v>53</v>
      </c>
      <c r="F57" s="557">
        <v>22</v>
      </c>
      <c r="G57" s="557">
        <v>1</v>
      </c>
      <c r="H57" s="557">
        <v>1</v>
      </c>
      <c r="I57" s="557">
        <v>1</v>
      </c>
      <c r="J57" s="557">
        <v>5</v>
      </c>
      <c r="K57" s="557">
        <v>0</v>
      </c>
      <c r="L57" s="558">
        <f t="shared" si="6"/>
        <v>8</v>
      </c>
      <c r="M57" s="1227"/>
      <c r="N57" s="891">
        <v>7</v>
      </c>
      <c r="O57" s="891">
        <v>19</v>
      </c>
      <c r="P57" s="891">
        <v>27</v>
      </c>
      <c r="Q57" s="1229">
        <v>20</v>
      </c>
      <c r="R57" s="1229">
        <v>10</v>
      </c>
    </row>
    <row r="58" spans="1:18" ht="16.5" customHeight="1" x14ac:dyDescent="0.3">
      <c r="A58" s="553" t="s">
        <v>134</v>
      </c>
      <c r="B58" s="554" t="s">
        <v>135</v>
      </c>
      <c r="C58" s="494" t="s">
        <v>255</v>
      </c>
      <c r="D58" s="555">
        <f t="shared" si="5"/>
        <v>72</v>
      </c>
      <c r="E58" s="556">
        <v>51</v>
      </c>
      <c r="F58" s="557">
        <v>13</v>
      </c>
      <c r="G58" s="557">
        <v>0</v>
      </c>
      <c r="H58" s="557">
        <v>0</v>
      </c>
      <c r="I58" s="557">
        <v>0</v>
      </c>
      <c r="J58" s="557">
        <v>8</v>
      </c>
      <c r="K58" s="557">
        <v>0</v>
      </c>
      <c r="L58" s="558">
        <f t="shared" si="6"/>
        <v>8</v>
      </c>
      <c r="M58" s="1228"/>
      <c r="N58" s="891">
        <v>2</v>
      </c>
      <c r="O58" s="891">
        <v>13</v>
      </c>
      <c r="P58" s="891">
        <v>38</v>
      </c>
      <c r="Q58" s="1229">
        <v>17</v>
      </c>
      <c r="R58" s="1229">
        <v>2</v>
      </c>
    </row>
    <row r="59" spans="1:18" ht="16.5" customHeight="1" x14ac:dyDescent="0.3">
      <c r="A59" s="553" t="s">
        <v>136</v>
      </c>
      <c r="B59" s="554" t="s">
        <v>137</v>
      </c>
      <c r="C59" s="494" t="s">
        <v>254</v>
      </c>
      <c r="D59" s="555">
        <f t="shared" si="5"/>
        <v>15</v>
      </c>
      <c r="E59" s="564">
        <v>0</v>
      </c>
      <c r="F59" s="563">
        <v>12</v>
      </c>
      <c r="G59" s="563">
        <v>0</v>
      </c>
      <c r="H59" s="563">
        <v>1</v>
      </c>
      <c r="I59" s="563">
        <v>0</v>
      </c>
      <c r="J59" s="2203">
        <v>2</v>
      </c>
      <c r="K59" s="563">
        <v>0</v>
      </c>
      <c r="L59" s="558">
        <f t="shared" si="6"/>
        <v>3</v>
      </c>
      <c r="M59" s="1228"/>
      <c r="N59" s="891">
        <v>0</v>
      </c>
      <c r="O59" s="891">
        <v>4</v>
      </c>
      <c r="P59" s="891">
        <v>10</v>
      </c>
      <c r="Q59" s="1229">
        <v>1</v>
      </c>
      <c r="R59" s="1229">
        <v>0</v>
      </c>
    </row>
    <row r="60" spans="1:18" ht="16.5" customHeight="1" x14ac:dyDescent="0.3">
      <c r="A60" s="553" t="s">
        <v>140</v>
      </c>
      <c r="B60" s="554" t="s">
        <v>141</v>
      </c>
      <c r="C60" s="494" t="s">
        <v>255</v>
      </c>
      <c r="D60" s="555">
        <f t="shared" si="5"/>
        <v>34</v>
      </c>
      <c r="E60" s="556">
        <v>30</v>
      </c>
      <c r="F60" s="557">
        <v>2</v>
      </c>
      <c r="G60" s="557">
        <v>1</v>
      </c>
      <c r="H60" s="557">
        <v>0</v>
      </c>
      <c r="I60" s="557">
        <v>0</v>
      </c>
      <c r="J60" s="557">
        <v>1</v>
      </c>
      <c r="K60" s="557">
        <v>0</v>
      </c>
      <c r="L60" s="558">
        <f t="shared" si="6"/>
        <v>2</v>
      </c>
      <c r="M60" s="558"/>
      <c r="N60" s="891">
        <v>5</v>
      </c>
      <c r="O60" s="891">
        <v>16</v>
      </c>
      <c r="P60" s="891">
        <v>11</v>
      </c>
      <c r="Q60" s="1229">
        <v>2</v>
      </c>
      <c r="R60" s="1229">
        <v>0</v>
      </c>
    </row>
    <row r="61" spans="1:18" ht="16.5" customHeight="1" x14ac:dyDescent="0.3">
      <c r="A61" s="553" t="s">
        <v>146</v>
      </c>
      <c r="B61" s="554" t="s">
        <v>147</v>
      </c>
      <c r="C61" s="494" t="s">
        <v>252</v>
      </c>
      <c r="D61" s="555">
        <f t="shared" si="5"/>
        <v>17</v>
      </c>
      <c r="E61" s="556">
        <v>17</v>
      </c>
      <c r="F61" s="557">
        <v>0</v>
      </c>
      <c r="G61" s="557">
        <v>0</v>
      </c>
      <c r="H61" s="557">
        <v>0</v>
      </c>
      <c r="I61" s="557">
        <v>0</v>
      </c>
      <c r="J61" s="557">
        <v>0</v>
      </c>
      <c r="K61" s="557">
        <v>0</v>
      </c>
      <c r="L61" s="558">
        <f t="shared" si="6"/>
        <v>0</v>
      </c>
      <c r="M61" s="568"/>
      <c r="N61" s="891">
        <v>2</v>
      </c>
      <c r="O61" s="891">
        <v>7</v>
      </c>
      <c r="P61" s="891">
        <v>7</v>
      </c>
      <c r="Q61" s="1229">
        <v>1</v>
      </c>
      <c r="R61" s="1229">
        <v>0</v>
      </c>
    </row>
    <row r="62" spans="1:18" ht="16.5" customHeight="1" x14ac:dyDescent="0.3">
      <c r="A62" s="553" t="s">
        <v>148</v>
      </c>
      <c r="B62" s="554" t="s">
        <v>149</v>
      </c>
      <c r="C62" s="494" t="s">
        <v>253</v>
      </c>
      <c r="D62" s="555">
        <f t="shared" si="5"/>
        <v>28</v>
      </c>
      <c r="E62" s="556">
        <v>15</v>
      </c>
      <c r="F62" s="557">
        <v>11</v>
      </c>
      <c r="G62" s="557">
        <v>0</v>
      </c>
      <c r="H62" s="557">
        <v>0</v>
      </c>
      <c r="I62" s="557">
        <v>0</v>
      </c>
      <c r="J62" s="557">
        <v>2</v>
      </c>
      <c r="K62" s="557">
        <v>0</v>
      </c>
      <c r="L62" s="558">
        <f t="shared" si="6"/>
        <v>2</v>
      </c>
      <c r="M62" s="1228"/>
      <c r="N62" s="891">
        <v>5</v>
      </c>
      <c r="O62" s="891">
        <v>8</v>
      </c>
      <c r="P62" s="891">
        <v>9</v>
      </c>
      <c r="Q62" s="1229">
        <v>5</v>
      </c>
      <c r="R62" s="1229">
        <v>1</v>
      </c>
    </row>
    <row r="63" spans="1:18" ht="16.5" customHeight="1" x14ac:dyDescent="0.3">
      <c r="A63" s="553" t="s">
        <v>150</v>
      </c>
      <c r="B63" s="554" t="s">
        <v>151</v>
      </c>
      <c r="C63" s="494" t="s">
        <v>254</v>
      </c>
      <c r="D63" s="555">
        <f t="shared" si="5"/>
        <v>19</v>
      </c>
      <c r="E63" s="564">
        <v>6</v>
      </c>
      <c r="F63" s="563">
        <v>5</v>
      </c>
      <c r="G63" s="563">
        <v>0</v>
      </c>
      <c r="H63" s="563">
        <v>0</v>
      </c>
      <c r="I63" s="563">
        <v>0</v>
      </c>
      <c r="J63" s="2203">
        <v>8</v>
      </c>
      <c r="K63" s="563">
        <v>0</v>
      </c>
      <c r="L63" s="558">
        <f t="shared" si="6"/>
        <v>8</v>
      </c>
      <c r="M63" s="1228"/>
      <c r="N63" s="891">
        <v>0</v>
      </c>
      <c r="O63" s="891">
        <v>3</v>
      </c>
      <c r="P63" s="891">
        <v>11</v>
      </c>
      <c r="Q63" s="1229">
        <v>5</v>
      </c>
      <c r="R63" s="1229">
        <v>0</v>
      </c>
    </row>
    <row r="64" spans="1:18" ht="16.5" customHeight="1" x14ac:dyDescent="0.3">
      <c r="A64" s="553" t="s">
        <v>152</v>
      </c>
      <c r="B64" s="554" t="s">
        <v>153</v>
      </c>
      <c r="C64" s="494" t="s">
        <v>256</v>
      </c>
      <c r="D64" s="555">
        <f t="shared" si="5"/>
        <v>86</v>
      </c>
      <c r="E64" s="556">
        <v>65</v>
      </c>
      <c r="F64" s="557">
        <v>6</v>
      </c>
      <c r="G64" s="557">
        <v>0</v>
      </c>
      <c r="H64" s="557">
        <v>0</v>
      </c>
      <c r="I64" s="557">
        <v>0</v>
      </c>
      <c r="J64" s="557">
        <v>13</v>
      </c>
      <c r="K64" s="557">
        <v>2</v>
      </c>
      <c r="L64" s="558">
        <f t="shared" si="6"/>
        <v>13</v>
      </c>
      <c r="M64" s="891"/>
      <c r="N64" s="891">
        <v>12</v>
      </c>
      <c r="O64" s="891">
        <v>19</v>
      </c>
      <c r="P64" s="891">
        <v>35</v>
      </c>
      <c r="Q64" s="1229">
        <v>15</v>
      </c>
      <c r="R64" s="1229">
        <v>5</v>
      </c>
    </row>
    <row r="65" spans="1:18" ht="16.5" customHeight="1" x14ac:dyDescent="0.3">
      <c r="A65" s="553" t="s">
        <v>154</v>
      </c>
      <c r="B65" s="554" t="s">
        <v>155</v>
      </c>
      <c r="C65" s="494" t="s">
        <v>253</v>
      </c>
      <c r="D65" s="555">
        <f t="shared" si="5"/>
        <v>12</v>
      </c>
      <c r="E65" s="567">
        <v>12</v>
      </c>
      <c r="F65" s="563">
        <v>0</v>
      </c>
      <c r="G65" s="563">
        <v>0</v>
      </c>
      <c r="H65" s="563">
        <v>0</v>
      </c>
      <c r="I65" s="563">
        <v>0</v>
      </c>
      <c r="J65" s="2203">
        <v>0</v>
      </c>
      <c r="K65" s="563">
        <v>0</v>
      </c>
      <c r="L65" s="558">
        <f t="shared" si="6"/>
        <v>0</v>
      </c>
      <c r="M65" s="891"/>
      <c r="N65" s="891">
        <v>1</v>
      </c>
      <c r="O65" s="891">
        <v>5</v>
      </c>
      <c r="P65" s="891">
        <v>3</v>
      </c>
      <c r="Q65" s="1229">
        <v>3</v>
      </c>
      <c r="R65" s="1229">
        <v>0</v>
      </c>
    </row>
    <row r="66" spans="1:18" ht="16.5" customHeight="1" x14ac:dyDescent="0.3">
      <c r="A66" s="553" t="s">
        <v>156</v>
      </c>
      <c r="B66" s="554" t="s">
        <v>157</v>
      </c>
      <c r="C66" s="494" t="s">
        <v>254</v>
      </c>
      <c r="D66" s="555">
        <f t="shared" si="5"/>
        <v>13</v>
      </c>
      <c r="E66" s="556">
        <v>12</v>
      </c>
      <c r="F66" s="557">
        <v>1</v>
      </c>
      <c r="G66" s="890">
        <v>0</v>
      </c>
      <c r="H66" s="890">
        <v>0</v>
      </c>
      <c r="I66" s="890">
        <v>0</v>
      </c>
      <c r="J66" s="890">
        <v>0</v>
      </c>
      <c r="K66" s="890">
        <v>0</v>
      </c>
      <c r="L66" s="558">
        <f t="shared" si="6"/>
        <v>0</v>
      </c>
      <c r="M66" s="561"/>
      <c r="N66" s="891">
        <v>3</v>
      </c>
      <c r="O66" s="891">
        <v>1</v>
      </c>
      <c r="P66" s="891">
        <v>6</v>
      </c>
      <c r="Q66" s="1229">
        <v>3</v>
      </c>
      <c r="R66" s="1229">
        <v>0</v>
      </c>
    </row>
    <row r="67" spans="1:18" ht="16.5" customHeight="1" x14ac:dyDescent="0.3">
      <c r="A67" s="553" t="s">
        <v>162</v>
      </c>
      <c r="B67" s="554" t="s">
        <v>163</v>
      </c>
      <c r="C67" s="494" t="s">
        <v>252</v>
      </c>
      <c r="D67" s="555">
        <f t="shared" si="5"/>
        <v>0</v>
      </c>
      <c r="E67" s="556">
        <v>0</v>
      </c>
      <c r="F67" s="557">
        <v>0</v>
      </c>
      <c r="G67" s="557">
        <v>0</v>
      </c>
      <c r="H67" s="557">
        <v>0</v>
      </c>
      <c r="I67" s="557">
        <v>0</v>
      </c>
      <c r="J67" s="557">
        <v>0</v>
      </c>
      <c r="K67" s="557">
        <v>0</v>
      </c>
      <c r="L67" s="558">
        <f t="shared" si="6"/>
        <v>0</v>
      </c>
      <c r="M67" s="568"/>
      <c r="N67" s="891">
        <v>0</v>
      </c>
      <c r="O67" s="891">
        <v>0</v>
      </c>
      <c r="P67" s="891">
        <v>0</v>
      </c>
      <c r="Q67" s="1229">
        <v>0</v>
      </c>
      <c r="R67" s="1229">
        <v>0</v>
      </c>
    </row>
    <row r="68" spans="1:18" ht="16.5" customHeight="1" x14ac:dyDescent="0.3">
      <c r="A68" s="553" t="s">
        <v>164</v>
      </c>
      <c r="B68" s="554" t="s">
        <v>165</v>
      </c>
      <c r="C68" s="494" t="s">
        <v>254</v>
      </c>
      <c r="D68" s="555">
        <f t="shared" si="5"/>
        <v>15</v>
      </c>
      <c r="E68" s="556">
        <v>13</v>
      </c>
      <c r="F68" s="557">
        <v>2</v>
      </c>
      <c r="G68" s="557">
        <v>0</v>
      </c>
      <c r="H68" s="557">
        <v>0</v>
      </c>
      <c r="I68" s="557">
        <v>0</v>
      </c>
      <c r="J68" s="557">
        <v>0</v>
      </c>
      <c r="K68" s="557">
        <v>0</v>
      </c>
      <c r="L68" s="558">
        <f t="shared" si="6"/>
        <v>0</v>
      </c>
      <c r="M68" s="568"/>
      <c r="N68" s="891">
        <v>0</v>
      </c>
      <c r="O68" s="891">
        <v>5</v>
      </c>
      <c r="P68" s="891">
        <v>4</v>
      </c>
      <c r="Q68" s="1229">
        <v>4</v>
      </c>
      <c r="R68" s="1229">
        <v>2</v>
      </c>
    </row>
    <row r="69" spans="1:18" ht="16.5" customHeight="1" x14ac:dyDescent="0.3">
      <c r="A69" s="553" t="s">
        <v>168</v>
      </c>
      <c r="B69" s="554" t="s">
        <v>169</v>
      </c>
      <c r="C69" s="494" t="s">
        <v>254</v>
      </c>
      <c r="D69" s="555">
        <f t="shared" ref="D69:D100" si="7">SUM(E69:K69)</f>
        <v>7</v>
      </c>
      <c r="E69" s="556">
        <v>4</v>
      </c>
      <c r="F69" s="557">
        <v>3</v>
      </c>
      <c r="G69" s="557">
        <v>0</v>
      </c>
      <c r="H69" s="557">
        <v>0</v>
      </c>
      <c r="I69" s="557">
        <v>0</v>
      </c>
      <c r="J69" s="557">
        <v>0</v>
      </c>
      <c r="K69" s="557">
        <v>0</v>
      </c>
      <c r="L69" s="558">
        <f t="shared" ref="L69:L100" si="8">G69+H69+I69+J69</f>
        <v>0</v>
      </c>
      <c r="M69" s="1227"/>
      <c r="N69" s="891">
        <v>1</v>
      </c>
      <c r="O69" s="891">
        <v>0</v>
      </c>
      <c r="P69" s="891">
        <v>4</v>
      </c>
      <c r="Q69" s="1229">
        <v>2</v>
      </c>
      <c r="R69" s="1229">
        <v>0</v>
      </c>
    </row>
    <row r="70" spans="1:18" ht="16.5" customHeight="1" x14ac:dyDescent="0.3">
      <c r="A70" s="553" t="s">
        <v>170</v>
      </c>
      <c r="B70" s="554" t="s">
        <v>171</v>
      </c>
      <c r="C70" s="494" t="s">
        <v>255</v>
      </c>
      <c r="D70" s="555">
        <f t="shared" si="7"/>
        <v>29</v>
      </c>
      <c r="E70" s="556">
        <v>21</v>
      </c>
      <c r="F70" s="557">
        <v>0</v>
      </c>
      <c r="G70" s="557">
        <v>0</v>
      </c>
      <c r="H70" s="557">
        <v>1</v>
      </c>
      <c r="I70" s="557">
        <v>0</v>
      </c>
      <c r="J70" s="557">
        <v>7</v>
      </c>
      <c r="K70" s="557">
        <v>0</v>
      </c>
      <c r="L70" s="558">
        <f t="shared" si="8"/>
        <v>8</v>
      </c>
      <c r="M70" s="1227"/>
      <c r="N70" s="891">
        <v>1</v>
      </c>
      <c r="O70" s="568">
        <v>6</v>
      </c>
      <c r="P70" s="891">
        <v>8</v>
      </c>
      <c r="Q70" s="1229">
        <v>8</v>
      </c>
      <c r="R70" s="1229">
        <v>6</v>
      </c>
    </row>
    <row r="71" spans="1:18" ht="16.5" customHeight="1" x14ac:dyDescent="0.3">
      <c r="A71" s="553" t="s">
        <v>172</v>
      </c>
      <c r="B71" s="554" t="s">
        <v>173</v>
      </c>
      <c r="C71" s="494" t="s">
        <v>255</v>
      </c>
      <c r="D71" s="555">
        <f t="shared" si="7"/>
        <v>20</v>
      </c>
      <c r="E71" s="556">
        <v>20</v>
      </c>
      <c r="F71" s="557">
        <v>0</v>
      </c>
      <c r="G71" s="890">
        <v>0</v>
      </c>
      <c r="H71" s="890">
        <v>0</v>
      </c>
      <c r="I71" s="890">
        <v>0</v>
      </c>
      <c r="J71" s="890">
        <v>0</v>
      </c>
      <c r="K71" s="890">
        <v>0</v>
      </c>
      <c r="L71" s="558">
        <f t="shared" si="8"/>
        <v>0</v>
      </c>
      <c r="M71" s="891"/>
      <c r="N71" s="891">
        <v>2</v>
      </c>
      <c r="O71" s="891">
        <v>11</v>
      </c>
      <c r="P71" s="891">
        <v>5</v>
      </c>
      <c r="Q71" s="1229">
        <v>2</v>
      </c>
      <c r="R71" s="1229">
        <v>0</v>
      </c>
    </row>
    <row r="72" spans="1:18" ht="16.5" customHeight="1" x14ac:dyDescent="0.3">
      <c r="A72" s="553" t="s">
        <v>174</v>
      </c>
      <c r="B72" s="554" t="s">
        <v>175</v>
      </c>
      <c r="C72" s="494" t="s">
        <v>256</v>
      </c>
      <c r="D72" s="555">
        <f t="shared" si="7"/>
        <v>8</v>
      </c>
      <c r="E72" s="556">
        <v>7</v>
      </c>
      <c r="F72" s="557">
        <v>0</v>
      </c>
      <c r="G72" s="890">
        <v>0</v>
      </c>
      <c r="H72" s="890">
        <v>0</v>
      </c>
      <c r="I72" s="890">
        <v>0</v>
      </c>
      <c r="J72" s="890">
        <v>1</v>
      </c>
      <c r="K72" s="890">
        <v>0</v>
      </c>
      <c r="L72" s="558">
        <f t="shared" si="8"/>
        <v>1</v>
      </c>
      <c r="M72" s="558"/>
      <c r="N72" s="891">
        <v>3</v>
      </c>
      <c r="O72" s="891">
        <v>4</v>
      </c>
      <c r="P72" s="891">
        <v>1</v>
      </c>
      <c r="Q72" s="1229">
        <v>0</v>
      </c>
      <c r="R72" s="1229">
        <v>0</v>
      </c>
    </row>
    <row r="73" spans="1:18" ht="16.5" customHeight="1" x14ac:dyDescent="0.3">
      <c r="A73" s="553" t="s">
        <v>178</v>
      </c>
      <c r="B73" s="554" t="s">
        <v>179</v>
      </c>
      <c r="C73" s="494" t="s">
        <v>253</v>
      </c>
      <c r="D73" s="555">
        <f t="shared" si="7"/>
        <v>20</v>
      </c>
      <c r="E73" s="556">
        <v>16</v>
      </c>
      <c r="F73" s="557">
        <v>1</v>
      </c>
      <c r="G73" s="557">
        <v>0</v>
      </c>
      <c r="H73" s="557">
        <v>0</v>
      </c>
      <c r="I73" s="557">
        <v>0</v>
      </c>
      <c r="J73" s="557">
        <v>2</v>
      </c>
      <c r="K73" s="557">
        <v>1</v>
      </c>
      <c r="L73" s="558">
        <f t="shared" si="8"/>
        <v>2</v>
      </c>
      <c r="M73" s="1228"/>
      <c r="N73" s="891">
        <v>2</v>
      </c>
      <c r="O73" s="891">
        <v>6</v>
      </c>
      <c r="P73" s="891">
        <v>7</v>
      </c>
      <c r="Q73" s="1229">
        <v>5</v>
      </c>
      <c r="R73" s="1229">
        <v>0</v>
      </c>
    </row>
    <row r="74" spans="1:18" ht="16.5" customHeight="1" x14ac:dyDescent="0.3">
      <c r="A74" s="553" t="s">
        <v>182</v>
      </c>
      <c r="B74" s="554" t="s">
        <v>183</v>
      </c>
      <c r="C74" s="494" t="s">
        <v>254</v>
      </c>
      <c r="D74" s="555">
        <f t="shared" si="7"/>
        <v>7</v>
      </c>
      <c r="E74" s="556">
        <v>7</v>
      </c>
      <c r="F74" s="557">
        <v>0</v>
      </c>
      <c r="G74" s="890">
        <v>0</v>
      </c>
      <c r="H74" s="890">
        <v>0</v>
      </c>
      <c r="I74" s="890">
        <v>0</v>
      </c>
      <c r="J74" s="890">
        <v>0</v>
      </c>
      <c r="K74" s="890">
        <v>0</v>
      </c>
      <c r="L74" s="558">
        <f t="shared" si="8"/>
        <v>0</v>
      </c>
      <c r="M74" s="1228"/>
      <c r="N74" s="891">
        <v>0</v>
      </c>
      <c r="O74" s="891">
        <v>3</v>
      </c>
      <c r="P74" s="891">
        <v>2</v>
      </c>
      <c r="Q74" s="1229">
        <v>0</v>
      </c>
      <c r="R74" s="1229">
        <v>2</v>
      </c>
    </row>
    <row r="75" spans="1:18" ht="16.5" customHeight="1" x14ac:dyDescent="0.3">
      <c r="A75" s="553" t="s">
        <v>184</v>
      </c>
      <c r="B75" s="554" t="s">
        <v>185</v>
      </c>
      <c r="C75" s="494" t="s">
        <v>254</v>
      </c>
      <c r="D75" s="555">
        <f t="shared" si="7"/>
        <v>46</v>
      </c>
      <c r="E75" s="556">
        <v>23</v>
      </c>
      <c r="F75" s="557">
        <v>18</v>
      </c>
      <c r="G75" s="557">
        <v>0</v>
      </c>
      <c r="H75" s="557">
        <v>0</v>
      </c>
      <c r="I75" s="557">
        <v>0</v>
      </c>
      <c r="J75" s="557">
        <v>4</v>
      </c>
      <c r="K75" s="557">
        <v>1</v>
      </c>
      <c r="L75" s="558">
        <f t="shared" si="8"/>
        <v>4</v>
      </c>
      <c r="M75" s="1227"/>
      <c r="N75" s="891">
        <v>2</v>
      </c>
      <c r="O75" s="891">
        <v>7</v>
      </c>
      <c r="P75" s="891">
        <v>18</v>
      </c>
      <c r="Q75" s="1229">
        <v>16</v>
      </c>
      <c r="R75" s="1229">
        <v>3</v>
      </c>
    </row>
    <row r="76" spans="1:18" ht="16.5" customHeight="1" x14ac:dyDescent="0.3">
      <c r="A76" s="553" t="s">
        <v>186</v>
      </c>
      <c r="B76" s="554" t="s">
        <v>187</v>
      </c>
      <c r="C76" s="494" t="s">
        <v>252</v>
      </c>
      <c r="D76" s="555">
        <f t="shared" si="7"/>
        <v>30</v>
      </c>
      <c r="E76" s="556">
        <v>24</v>
      </c>
      <c r="F76" s="557">
        <v>3</v>
      </c>
      <c r="G76" s="557">
        <v>0</v>
      </c>
      <c r="H76" s="557">
        <v>0</v>
      </c>
      <c r="I76" s="557">
        <v>0</v>
      </c>
      <c r="J76" s="557">
        <v>3</v>
      </c>
      <c r="K76" s="557">
        <v>0</v>
      </c>
      <c r="L76" s="558">
        <f t="shared" si="8"/>
        <v>3</v>
      </c>
      <c r="M76" s="568"/>
      <c r="N76" s="891">
        <v>9</v>
      </c>
      <c r="O76" s="891">
        <v>10</v>
      </c>
      <c r="P76" s="891">
        <v>7</v>
      </c>
      <c r="Q76" s="1229">
        <v>4</v>
      </c>
      <c r="R76" s="1229">
        <v>0</v>
      </c>
    </row>
    <row r="77" spans="1:18" ht="16.5" customHeight="1" x14ac:dyDescent="0.3">
      <c r="A77" s="553" t="s">
        <v>188</v>
      </c>
      <c r="B77" s="554" t="s">
        <v>189</v>
      </c>
      <c r="C77" s="494" t="s">
        <v>255</v>
      </c>
      <c r="D77" s="555">
        <f t="shared" si="7"/>
        <v>118</v>
      </c>
      <c r="E77" s="556">
        <v>55</v>
      </c>
      <c r="F77" s="557">
        <v>50</v>
      </c>
      <c r="G77" s="557">
        <v>2</v>
      </c>
      <c r="H77" s="557">
        <v>0</v>
      </c>
      <c r="I77" s="557">
        <v>0</v>
      </c>
      <c r="J77" s="557">
        <v>9</v>
      </c>
      <c r="K77" s="557">
        <v>2</v>
      </c>
      <c r="L77" s="558">
        <f t="shared" si="8"/>
        <v>11</v>
      </c>
      <c r="M77" s="1228"/>
      <c r="N77" s="891">
        <v>13</v>
      </c>
      <c r="O77" s="568">
        <v>28</v>
      </c>
      <c r="P77" s="891">
        <v>38</v>
      </c>
      <c r="Q77" s="1229">
        <v>29</v>
      </c>
      <c r="R77" s="1229">
        <v>10</v>
      </c>
    </row>
    <row r="78" spans="1:18" ht="16.5" customHeight="1" x14ac:dyDescent="0.3">
      <c r="A78" s="553" t="s">
        <v>190</v>
      </c>
      <c r="B78" s="554" t="s">
        <v>191</v>
      </c>
      <c r="C78" s="494" t="s">
        <v>256</v>
      </c>
      <c r="D78" s="555">
        <f t="shared" si="7"/>
        <v>81</v>
      </c>
      <c r="E78" s="556">
        <v>54</v>
      </c>
      <c r="F78" s="557">
        <v>11</v>
      </c>
      <c r="G78" s="557">
        <v>0</v>
      </c>
      <c r="H78" s="557">
        <v>0</v>
      </c>
      <c r="I78" s="557">
        <v>0</v>
      </c>
      <c r="J78" s="557">
        <v>16</v>
      </c>
      <c r="K78" s="557">
        <v>0</v>
      </c>
      <c r="L78" s="558">
        <f t="shared" si="8"/>
        <v>16</v>
      </c>
      <c r="M78" s="1228"/>
      <c r="N78" s="891">
        <v>10</v>
      </c>
      <c r="O78" s="891">
        <v>22</v>
      </c>
      <c r="P78" s="891">
        <v>26</v>
      </c>
      <c r="Q78" s="1229">
        <v>16</v>
      </c>
      <c r="R78" s="1229">
        <v>7</v>
      </c>
    </row>
    <row r="79" spans="1:18" ht="16.5" customHeight="1" x14ac:dyDescent="0.3">
      <c r="A79" s="553" t="s">
        <v>194</v>
      </c>
      <c r="B79" s="554" t="s">
        <v>195</v>
      </c>
      <c r="C79" s="494" t="s">
        <v>255</v>
      </c>
      <c r="D79" s="555">
        <f t="shared" si="7"/>
        <v>16</v>
      </c>
      <c r="E79" s="556">
        <v>10</v>
      </c>
      <c r="F79" s="557">
        <v>1</v>
      </c>
      <c r="G79" s="890">
        <v>0</v>
      </c>
      <c r="H79" s="890">
        <v>0</v>
      </c>
      <c r="I79" s="890">
        <v>0</v>
      </c>
      <c r="J79" s="890">
        <v>5</v>
      </c>
      <c r="K79" s="890">
        <v>0</v>
      </c>
      <c r="L79" s="558">
        <f t="shared" si="8"/>
        <v>5</v>
      </c>
      <c r="M79" s="558"/>
      <c r="N79" s="891">
        <v>2</v>
      </c>
      <c r="O79" s="891">
        <v>3</v>
      </c>
      <c r="P79" s="891">
        <v>6</v>
      </c>
      <c r="Q79" s="1229">
        <v>4</v>
      </c>
      <c r="R79" s="1229">
        <v>1</v>
      </c>
    </row>
    <row r="80" spans="1:18" ht="16.5" customHeight="1" x14ac:dyDescent="0.3">
      <c r="A80" s="553" t="s">
        <v>198</v>
      </c>
      <c r="B80" s="554" t="s">
        <v>199</v>
      </c>
      <c r="C80" s="494" t="s">
        <v>254</v>
      </c>
      <c r="D80" s="555">
        <f t="shared" si="7"/>
        <v>8</v>
      </c>
      <c r="E80" s="556">
        <v>5</v>
      </c>
      <c r="F80" s="557">
        <v>0</v>
      </c>
      <c r="G80" s="557">
        <v>0</v>
      </c>
      <c r="H80" s="557">
        <v>0</v>
      </c>
      <c r="I80" s="557">
        <v>0</v>
      </c>
      <c r="J80" s="557">
        <v>3</v>
      </c>
      <c r="K80" s="557">
        <v>0</v>
      </c>
      <c r="L80" s="558">
        <f t="shared" si="8"/>
        <v>3</v>
      </c>
      <c r="M80" s="568"/>
      <c r="N80" s="891">
        <v>2</v>
      </c>
      <c r="O80" s="891">
        <v>3</v>
      </c>
      <c r="P80" s="891">
        <v>2</v>
      </c>
      <c r="Q80" s="1229">
        <v>1</v>
      </c>
      <c r="R80" s="1229">
        <v>0</v>
      </c>
    </row>
    <row r="81" spans="1:18" ht="16.5" customHeight="1" x14ac:dyDescent="0.3">
      <c r="A81" s="553" t="s">
        <v>202</v>
      </c>
      <c r="B81" s="554" t="s">
        <v>203</v>
      </c>
      <c r="C81" s="494" t="s">
        <v>253</v>
      </c>
      <c r="D81" s="555">
        <f t="shared" si="7"/>
        <v>161</v>
      </c>
      <c r="E81" s="556">
        <v>125</v>
      </c>
      <c r="F81" s="557">
        <v>14</v>
      </c>
      <c r="G81" s="557">
        <v>2</v>
      </c>
      <c r="H81" s="557">
        <v>0</v>
      </c>
      <c r="I81" s="557">
        <v>0</v>
      </c>
      <c r="J81" s="557">
        <v>20</v>
      </c>
      <c r="K81" s="557">
        <v>0</v>
      </c>
      <c r="L81" s="558">
        <f t="shared" si="8"/>
        <v>22</v>
      </c>
      <c r="M81" s="1227"/>
      <c r="N81" s="568">
        <v>8</v>
      </c>
      <c r="O81" s="891">
        <v>57</v>
      </c>
      <c r="P81" s="891">
        <v>55</v>
      </c>
      <c r="Q81" s="1229">
        <v>29</v>
      </c>
      <c r="R81" s="1229">
        <v>12</v>
      </c>
    </row>
    <row r="82" spans="1:18" ht="16.5" customHeight="1" x14ac:dyDescent="0.3">
      <c r="A82" s="553" t="s">
        <v>204</v>
      </c>
      <c r="B82" s="554" t="s">
        <v>205</v>
      </c>
      <c r="C82" s="494" t="s">
        <v>253</v>
      </c>
      <c r="D82" s="555">
        <f t="shared" si="7"/>
        <v>17</v>
      </c>
      <c r="E82" s="556">
        <v>14</v>
      </c>
      <c r="F82" s="557">
        <v>0</v>
      </c>
      <c r="G82" s="890">
        <v>0</v>
      </c>
      <c r="H82" s="890">
        <v>0</v>
      </c>
      <c r="I82" s="890">
        <v>0</v>
      </c>
      <c r="J82" s="890">
        <v>3</v>
      </c>
      <c r="K82" s="890">
        <v>0</v>
      </c>
      <c r="L82" s="558">
        <f t="shared" si="8"/>
        <v>3</v>
      </c>
      <c r="M82" s="1228"/>
      <c r="N82" s="891">
        <v>3</v>
      </c>
      <c r="O82" s="891">
        <v>8</v>
      </c>
      <c r="P82" s="891">
        <v>3</v>
      </c>
      <c r="Q82" s="1229">
        <v>2</v>
      </c>
      <c r="R82" s="1229">
        <v>1</v>
      </c>
    </row>
    <row r="83" spans="1:18" ht="16.5" customHeight="1" x14ac:dyDescent="0.3">
      <c r="A83" s="553" t="s">
        <v>206</v>
      </c>
      <c r="B83" s="554" t="s">
        <v>207</v>
      </c>
      <c r="C83" s="494" t="s">
        <v>255</v>
      </c>
      <c r="D83" s="555">
        <f t="shared" si="7"/>
        <v>348</v>
      </c>
      <c r="E83" s="556">
        <v>256</v>
      </c>
      <c r="F83" s="557">
        <v>47</v>
      </c>
      <c r="G83" s="557">
        <v>1</v>
      </c>
      <c r="H83" s="557">
        <v>2</v>
      </c>
      <c r="I83" s="557">
        <v>0</v>
      </c>
      <c r="J83" s="557">
        <v>41</v>
      </c>
      <c r="K83" s="557">
        <v>1</v>
      </c>
      <c r="L83" s="558">
        <f t="shared" si="8"/>
        <v>44</v>
      </c>
      <c r="M83" s="1228"/>
      <c r="N83" s="891">
        <v>57</v>
      </c>
      <c r="O83" s="891">
        <v>91</v>
      </c>
      <c r="P83" s="891">
        <v>116</v>
      </c>
      <c r="Q83" s="1229">
        <v>54</v>
      </c>
      <c r="R83" s="1229">
        <v>30</v>
      </c>
    </row>
    <row r="84" spans="1:18" ht="16.5" customHeight="1" x14ac:dyDescent="0.3">
      <c r="A84" s="553" t="s">
        <v>208</v>
      </c>
      <c r="B84" s="554" t="s">
        <v>209</v>
      </c>
      <c r="C84" s="494" t="s">
        <v>256</v>
      </c>
      <c r="D84" s="555">
        <f t="shared" si="7"/>
        <v>77</v>
      </c>
      <c r="E84" s="556">
        <v>74</v>
      </c>
      <c r="F84" s="557">
        <v>2</v>
      </c>
      <c r="G84" s="890">
        <v>0</v>
      </c>
      <c r="H84" s="890">
        <v>1</v>
      </c>
      <c r="I84" s="890">
        <v>0</v>
      </c>
      <c r="J84" s="890">
        <v>0</v>
      </c>
      <c r="K84" s="890">
        <v>0</v>
      </c>
      <c r="L84" s="558">
        <f t="shared" si="8"/>
        <v>1</v>
      </c>
      <c r="M84" s="561"/>
      <c r="N84" s="891">
        <v>3</v>
      </c>
      <c r="O84" s="891">
        <v>24</v>
      </c>
      <c r="P84" s="891">
        <v>25</v>
      </c>
      <c r="Q84" s="1229">
        <v>22</v>
      </c>
      <c r="R84" s="1229">
        <v>3</v>
      </c>
    </row>
    <row r="85" spans="1:18" ht="16.5" customHeight="1" x14ac:dyDescent="0.3">
      <c r="A85" s="553" t="s">
        <v>210</v>
      </c>
      <c r="B85" s="554" t="s">
        <v>211</v>
      </c>
      <c r="C85" s="494" t="s">
        <v>256</v>
      </c>
      <c r="D85" s="555">
        <f t="shared" si="7"/>
        <v>36</v>
      </c>
      <c r="E85" s="556">
        <v>35</v>
      </c>
      <c r="F85" s="557">
        <v>0</v>
      </c>
      <c r="G85" s="890">
        <v>0</v>
      </c>
      <c r="H85" s="890">
        <v>0</v>
      </c>
      <c r="I85" s="890">
        <v>0</v>
      </c>
      <c r="J85" s="890">
        <v>1</v>
      </c>
      <c r="K85" s="890">
        <v>0</v>
      </c>
      <c r="L85" s="558">
        <f t="shared" si="8"/>
        <v>1</v>
      </c>
      <c r="M85" s="568"/>
      <c r="N85" s="891">
        <v>6</v>
      </c>
      <c r="O85" s="891">
        <v>8</v>
      </c>
      <c r="P85" s="891">
        <v>14</v>
      </c>
      <c r="Q85" s="1229">
        <v>5</v>
      </c>
      <c r="R85" s="1229">
        <v>3</v>
      </c>
    </row>
    <row r="86" spans="1:18" ht="16.5" customHeight="1" x14ac:dyDescent="0.3">
      <c r="A86" s="553" t="s">
        <v>212</v>
      </c>
      <c r="B86" s="554" t="s">
        <v>213</v>
      </c>
      <c r="C86" s="494" t="s">
        <v>255</v>
      </c>
      <c r="D86" s="555">
        <f t="shared" si="7"/>
        <v>34</v>
      </c>
      <c r="E86" s="556">
        <v>26</v>
      </c>
      <c r="F86" s="557">
        <v>0</v>
      </c>
      <c r="G86" s="557">
        <v>0</v>
      </c>
      <c r="H86" s="557">
        <v>0</v>
      </c>
      <c r="I86" s="557">
        <v>0</v>
      </c>
      <c r="J86" s="557">
        <v>7</v>
      </c>
      <c r="K86" s="557">
        <v>1</v>
      </c>
      <c r="L86" s="558">
        <f t="shared" si="8"/>
        <v>7</v>
      </c>
      <c r="M86" s="1227"/>
      <c r="N86" s="891">
        <v>1</v>
      </c>
      <c r="O86" s="891">
        <v>5</v>
      </c>
      <c r="P86" s="891">
        <v>12</v>
      </c>
      <c r="Q86" s="1229">
        <v>11</v>
      </c>
      <c r="R86" s="1229">
        <v>5</v>
      </c>
    </row>
    <row r="87" spans="1:18" ht="16.5" customHeight="1" x14ac:dyDescent="0.3">
      <c r="A87" s="553" t="s">
        <v>214</v>
      </c>
      <c r="B87" s="554" t="s">
        <v>215</v>
      </c>
      <c r="C87" s="494" t="s">
        <v>256</v>
      </c>
      <c r="D87" s="555">
        <f t="shared" si="7"/>
        <v>35</v>
      </c>
      <c r="E87" s="556">
        <v>25</v>
      </c>
      <c r="F87" s="557">
        <v>4</v>
      </c>
      <c r="G87" s="890">
        <v>0</v>
      </c>
      <c r="H87" s="890">
        <v>0</v>
      </c>
      <c r="I87" s="890">
        <v>0</v>
      </c>
      <c r="J87" s="890">
        <v>6</v>
      </c>
      <c r="K87" s="890">
        <v>0</v>
      </c>
      <c r="L87" s="558">
        <f t="shared" si="8"/>
        <v>6</v>
      </c>
      <c r="M87" s="1228"/>
      <c r="N87" s="891">
        <v>2</v>
      </c>
      <c r="O87" s="891">
        <v>12</v>
      </c>
      <c r="P87" s="891">
        <v>14</v>
      </c>
      <c r="Q87" s="1229">
        <v>5</v>
      </c>
      <c r="R87" s="1229">
        <v>2</v>
      </c>
    </row>
    <row r="88" spans="1:18" ht="16.5" customHeight="1" x14ac:dyDescent="0.3">
      <c r="A88" s="553" t="s">
        <v>216</v>
      </c>
      <c r="B88" s="554" t="s">
        <v>217</v>
      </c>
      <c r="C88" s="494" t="s">
        <v>252</v>
      </c>
      <c r="D88" s="555">
        <f t="shared" si="7"/>
        <v>7</v>
      </c>
      <c r="E88" s="556">
        <v>5</v>
      </c>
      <c r="F88" s="557">
        <v>1</v>
      </c>
      <c r="G88" s="557">
        <v>0</v>
      </c>
      <c r="H88" s="557">
        <v>0</v>
      </c>
      <c r="I88" s="557">
        <v>0</v>
      </c>
      <c r="J88" s="557">
        <v>1</v>
      </c>
      <c r="K88" s="557">
        <v>0</v>
      </c>
      <c r="L88" s="558">
        <f t="shared" si="8"/>
        <v>1</v>
      </c>
      <c r="M88" s="558"/>
      <c r="N88" s="891">
        <v>1</v>
      </c>
      <c r="O88" s="891">
        <v>0</v>
      </c>
      <c r="P88" s="891">
        <v>2</v>
      </c>
      <c r="Q88" s="1229">
        <v>1</v>
      </c>
      <c r="R88" s="1229">
        <v>3</v>
      </c>
    </row>
    <row r="89" spans="1:18" ht="16.5" customHeight="1" x14ac:dyDescent="0.3">
      <c r="A89" s="553" t="s">
        <v>218</v>
      </c>
      <c r="B89" s="554" t="s">
        <v>219</v>
      </c>
      <c r="C89" s="494" t="s">
        <v>255</v>
      </c>
      <c r="D89" s="555">
        <f t="shared" si="7"/>
        <v>141</v>
      </c>
      <c r="E89" s="556">
        <v>82</v>
      </c>
      <c r="F89" s="557">
        <v>41</v>
      </c>
      <c r="G89" s="557">
        <v>1</v>
      </c>
      <c r="H89" s="557">
        <v>0</v>
      </c>
      <c r="I89" s="557">
        <v>0</v>
      </c>
      <c r="J89" s="557">
        <v>17</v>
      </c>
      <c r="K89" s="557">
        <v>0</v>
      </c>
      <c r="L89" s="558">
        <f t="shared" si="8"/>
        <v>18</v>
      </c>
      <c r="M89" s="568"/>
      <c r="N89" s="891">
        <v>33</v>
      </c>
      <c r="O89" s="568">
        <v>39</v>
      </c>
      <c r="P89" s="891">
        <v>41</v>
      </c>
      <c r="Q89" s="1229">
        <v>25</v>
      </c>
      <c r="R89" s="1229">
        <v>3</v>
      </c>
    </row>
    <row r="90" spans="1:18" ht="16.5" customHeight="1" x14ac:dyDescent="0.3">
      <c r="A90" s="553" t="s">
        <v>220</v>
      </c>
      <c r="B90" s="554" t="s">
        <v>221</v>
      </c>
      <c r="C90" s="494" t="s">
        <v>255</v>
      </c>
      <c r="D90" s="555">
        <f t="shared" si="7"/>
        <v>115</v>
      </c>
      <c r="E90" s="556">
        <v>52</v>
      </c>
      <c r="F90" s="557">
        <v>41</v>
      </c>
      <c r="G90" s="557">
        <v>1</v>
      </c>
      <c r="H90" s="557">
        <v>0</v>
      </c>
      <c r="I90" s="557">
        <v>0</v>
      </c>
      <c r="J90" s="557">
        <v>12</v>
      </c>
      <c r="K90" s="557">
        <v>9</v>
      </c>
      <c r="L90" s="558">
        <f t="shared" si="8"/>
        <v>13</v>
      </c>
      <c r="M90" s="1227"/>
      <c r="N90" s="891">
        <v>10</v>
      </c>
      <c r="O90" s="568">
        <v>24</v>
      </c>
      <c r="P90" s="891">
        <v>42</v>
      </c>
      <c r="Q90" s="1229">
        <v>27</v>
      </c>
      <c r="R90" s="1229">
        <v>12</v>
      </c>
    </row>
    <row r="91" spans="1:18" ht="16.5" customHeight="1" x14ac:dyDescent="0.3">
      <c r="A91" s="553" t="s">
        <v>224</v>
      </c>
      <c r="B91" s="554" t="s">
        <v>225</v>
      </c>
      <c r="C91" s="494" t="s">
        <v>252</v>
      </c>
      <c r="D91" s="555">
        <f t="shared" si="7"/>
        <v>1</v>
      </c>
      <c r="E91" s="564">
        <v>0</v>
      </c>
      <c r="F91" s="563">
        <v>1</v>
      </c>
      <c r="G91" s="563">
        <v>0</v>
      </c>
      <c r="H91" s="563">
        <v>0</v>
      </c>
      <c r="I91" s="563">
        <v>0</v>
      </c>
      <c r="J91" s="2203">
        <v>0</v>
      </c>
      <c r="K91" s="563">
        <v>0</v>
      </c>
      <c r="L91" s="558">
        <f t="shared" si="8"/>
        <v>0</v>
      </c>
      <c r="M91" s="568"/>
      <c r="N91" s="891">
        <v>0</v>
      </c>
      <c r="O91" s="891">
        <v>0</v>
      </c>
      <c r="P91" s="891">
        <v>0</v>
      </c>
      <c r="Q91" s="1229">
        <v>1</v>
      </c>
      <c r="R91" s="1229">
        <v>0</v>
      </c>
    </row>
    <row r="92" spans="1:18" ht="16.5" customHeight="1" x14ac:dyDescent="0.3">
      <c r="A92" s="553" t="s">
        <v>226</v>
      </c>
      <c r="B92" s="554" t="s">
        <v>227</v>
      </c>
      <c r="C92" s="494" t="s">
        <v>252</v>
      </c>
      <c r="D92" s="555">
        <f t="shared" si="7"/>
        <v>8</v>
      </c>
      <c r="E92" s="556">
        <v>2</v>
      </c>
      <c r="F92" s="557">
        <v>3</v>
      </c>
      <c r="G92" s="557">
        <v>0</v>
      </c>
      <c r="H92" s="557">
        <v>0</v>
      </c>
      <c r="I92" s="557">
        <v>0</v>
      </c>
      <c r="J92" s="557">
        <v>3</v>
      </c>
      <c r="K92" s="557">
        <v>0</v>
      </c>
      <c r="L92" s="558">
        <f t="shared" si="8"/>
        <v>3</v>
      </c>
      <c r="M92" s="568"/>
      <c r="N92" s="891">
        <v>1</v>
      </c>
      <c r="O92" s="891">
        <v>4</v>
      </c>
      <c r="P92" s="891">
        <v>2</v>
      </c>
      <c r="Q92" s="1229">
        <v>1</v>
      </c>
      <c r="R92" s="1229">
        <v>0</v>
      </c>
    </row>
    <row r="93" spans="1:18" ht="16.5" customHeight="1" x14ac:dyDescent="0.3">
      <c r="A93" s="553" t="s">
        <v>228</v>
      </c>
      <c r="B93" s="554" t="s">
        <v>229</v>
      </c>
      <c r="C93" s="494" t="s">
        <v>256</v>
      </c>
      <c r="D93" s="555">
        <f t="shared" si="7"/>
        <v>132</v>
      </c>
      <c r="E93" s="556">
        <v>123</v>
      </c>
      <c r="F93" s="557">
        <v>2</v>
      </c>
      <c r="G93" s="557">
        <v>0</v>
      </c>
      <c r="H93" s="557">
        <v>0</v>
      </c>
      <c r="I93" s="557">
        <v>0</v>
      </c>
      <c r="J93" s="557">
        <v>7</v>
      </c>
      <c r="K93" s="557">
        <v>0</v>
      </c>
      <c r="L93" s="558">
        <f t="shared" si="8"/>
        <v>7</v>
      </c>
      <c r="M93" s="568"/>
      <c r="N93" s="891">
        <v>20</v>
      </c>
      <c r="O93" s="891">
        <v>36</v>
      </c>
      <c r="P93" s="891">
        <v>46</v>
      </c>
      <c r="Q93" s="1229">
        <v>24</v>
      </c>
      <c r="R93" s="1229">
        <v>6</v>
      </c>
    </row>
    <row r="94" spans="1:18" ht="16.5" customHeight="1" x14ac:dyDescent="0.3">
      <c r="A94" s="553" t="s">
        <v>232</v>
      </c>
      <c r="B94" s="554" t="s">
        <v>233</v>
      </c>
      <c r="C94" s="494" t="s">
        <v>255</v>
      </c>
      <c r="D94" s="555">
        <f t="shared" si="7"/>
        <v>43</v>
      </c>
      <c r="E94" s="556">
        <v>34</v>
      </c>
      <c r="F94" s="557">
        <v>4</v>
      </c>
      <c r="G94" s="557">
        <v>0</v>
      </c>
      <c r="H94" s="557">
        <v>0</v>
      </c>
      <c r="I94" s="557">
        <v>0</v>
      </c>
      <c r="J94" s="557">
        <v>5</v>
      </c>
      <c r="K94" s="557">
        <v>0</v>
      </c>
      <c r="L94" s="558">
        <f t="shared" si="8"/>
        <v>5</v>
      </c>
      <c r="M94" s="1228"/>
      <c r="N94" s="891">
        <v>3</v>
      </c>
      <c r="O94" s="891">
        <v>8</v>
      </c>
      <c r="P94" s="891">
        <v>23</v>
      </c>
      <c r="Q94" s="1229">
        <v>7</v>
      </c>
      <c r="R94" s="1229">
        <v>2</v>
      </c>
    </row>
    <row r="95" spans="1:18" ht="16.5" customHeight="1" x14ac:dyDescent="0.3">
      <c r="A95" s="553" t="s">
        <v>234</v>
      </c>
      <c r="B95" s="554" t="s">
        <v>235</v>
      </c>
      <c r="C95" s="494" t="s">
        <v>256</v>
      </c>
      <c r="D95" s="555">
        <f t="shared" si="7"/>
        <v>68</v>
      </c>
      <c r="E95" s="556">
        <v>66</v>
      </c>
      <c r="F95" s="557">
        <v>1</v>
      </c>
      <c r="G95" s="890">
        <v>0</v>
      </c>
      <c r="H95" s="890">
        <v>0</v>
      </c>
      <c r="I95" s="890">
        <v>0</v>
      </c>
      <c r="J95" s="890">
        <v>0</v>
      </c>
      <c r="K95" s="890">
        <v>1</v>
      </c>
      <c r="L95" s="558">
        <f t="shared" si="8"/>
        <v>0</v>
      </c>
      <c r="M95" s="1227"/>
      <c r="N95" s="891">
        <v>2</v>
      </c>
      <c r="O95" s="568">
        <v>17</v>
      </c>
      <c r="P95" s="891">
        <v>32</v>
      </c>
      <c r="Q95" s="1229">
        <v>16</v>
      </c>
      <c r="R95" s="1229">
        <v>1</v>
      </c>
    </row>
    <row r="96" spans="1:18" ht="16.5" customHeight="1" x14ac:dyDescent="0.3">
      <c r="A96" s="553" t="s">
        <v>236</v>
      </c>
      <c r="B96" s="554" t="s">
        <v>237</v>
      </c>
      <c r="C96" s="494" t="s">
        <v>254</v>
      </c>
      <c r="D96" s="555">
        <f t="shared" si="7"/>
        <v>5</v>
      </c>
      <c r="E96" s="556">
        <v>4</v>
      </c>
      <c r="F96" s="557">
        <v>0</v>
      </c>
      <c r="G96" s="557">
        <v>0</v>
      </c>
      <c r="H96" s="557">
        <v>0</v>
      </c>
      <c r="I96" s="557">
        <v>0</v>
      </c>
      <c r="J96" s="557">
        <v>1</v>
      </c>
      <c r="K96" s="557">
        <v>0</v>
      </c>
      <c r="L96" s="558">
        <f t="shared" si="8"/>
        <v>1</v>
      </c>
      <c r="M96" s="1227"/>
      <c r="N96" s="891">
        <v>1</v>
      </c>
      <c r="O96" s="891">
        <v>0</v>
      </c>
      <c r="P96" s="891">
        <v>2</v>
      </c>
      <c r="Q96" s="1229">
        <v>2</v>
      </c>
      <c r="R96" s="1229">
        <v>0</v>
      </c>
    </row>
    <row r="97" spans="1:18" ht="16.5" customHeight="1" x14ac:dyDescent="0.3">
      <c r="A97" s="553" t="s">
        <v>242</v>
      </c>
      <c r="B97" s="554" t="s">
        <v>243</v>
      </c>
      <c r="C97" s="494" t="s">
        <v>256</v>
      </c>
      <c r="D97" s="555">
        <f t="shared" si="7"/>
        <v>202</v>
      </c>
      <c r="E97" s="556">
        <v>183</v>
      </c>
      <c r="F97" s="557">
        <v>12</v>
      </c>
      <c r="G97" s="557">
        <v>0</v>
      </c>
      <c r="H97" s="557">
        <v>0</v>
      </c>
      <c r="I97" s="557">
        <v>0</v>
      </c>
      <c r="J97" s="557">
        <v>7</v>
      </c>
      <c r="K97" s="557">
        <v>0</v>
      </c>
      <c r="L97" s="558">
        <f t="shared" si="8"/>
        <v>7</v>
      </c>
      <c r="M97" s="891"/>
      <c r="N97" s="891">
        <v>30</v>
      </c>
      <c r="O97" s="891">
        <v>50</v>
      </c>
      <c r="P97" s="891">
        <v>71</v>
      </c>
      <c r="Q97" s="1229">
        <v>41</v>
      </c>
      <c r="R97" s="1229">
        <v>10</v>
      </c>
    </row>
    <row r="98" spans="1:18" ht="16.5" customHeight="1" x14ac:dyDescent="0.3">
      <c r="A98" s="553" t="s">
        <v>244</v>
      </c>
      <c r="B98" s="554" t="s">
        <v>245</v>
      </c>
      <c r="C98" s="494" t="s">
        <v>256</v>
      </c>
      <c r="D98" s="555">
        <f t="shared" si="7"/>
        <v>75</v>
      </c>
      <c r="E98" s="556">
        <v>63</v>
      </c>
      <c r="F98" s="557">
        <v>4</v>
      </c>
      <c r="G98" s="890">
        <v>0</v>
      </c>
      <c r="H98" s="890">
        <v>0</v>
      </c>
      <c r="I98" s="890">
        <v>0</v>
      </c>
      <c r="J98" s="890">
        <v>6</v>
      </c>
      <c r="K98" s="890">
        <v>2</v>
      </c>
      <c r="L98" s="558">
        <f t="shared" si="8"/>
        <v>6</v>
      </c>
      <c r="M98" s="558"/>
      <c r="N98" s="891">
        <v>11</v>
      </c>
      <c r="O98" s="891">
        <v>23</v>
      </c>
      <c r="P98" s="891">
        <v>24</v>
      </c>
      <c r="Q98" s="1229">
        <v>15</v>
      </c>
      <c r="R98" s="1229">
        <v>2</v>
      </c>
    </row>
    <row r="99" spans="1:18" ht="16.5" customHeight="1" x14ac:dyDescent="0.3">
      <c r="A99" s="553" t="s">
        <v>246</v>
      </c>
      <c r="B99" s="554" t="s">
        <v>298</v>
      </c>
      <c r="C99" s="494" t="s">
        <v>252</v>
      </c>
      <c r="D99" s="555">
        <f t="shared" si="7"/>
        <v>15</v>
      </c>
      <c r="E99" s="556">
        <v>7</v>
      </c>
      <c r="F99" s="557">
        <v>4</v>
      </c>
      <c r="G99" s="557">
        <v>0</v>
      </c>
      <c r="H99" s="557">
        <v>0</v>
      </c>
      <c r="I99" s="557">
        <v>0</v>
      </c>
      <c r="J99" s="557">
        <v>3</v>
      </c>
      <c r="K99" s="557">
        <v>1</v>
      </c>
      <c r="L99" s="558">
        <f t="shared" si="8"/>
        <v>3</v>
      </c>
      <c r="M99" s="1227"/>
      <c r="N99" s="891">
        <v>1</v>
      </c>
      <c r="O99" s="568">
        <v>4</v>
      </c>
      <c r="P99" s="891">
        <v>7</v>
      </c>
      <c r="Q99" s="1229">
        <v>2</v>
      </c>
      <c r="R99" s="1229">
        <v>1</v>
      </c>
    </row>
    <row r="100" spans="1:18" ht="16.5" customHeight="1" x14ac:dyDescent="0.3">
      <c r="A100" s="553" t="s">
        <v>14</v>
      </c>
      <c r="B100" s="554" t="s">
        <v>15</v>
      </c>
      <c r="C100" s="494" t="s">
        <v>255</v>
      </c>
      <c r="D100" s="555">
        <f t="shared" si="7"/>
        <v>200</v>
      </c>
      <c r="E100" s="556">
        <v>47</v>
      </c>
      <c r="F100" s="557">
        <v>132</v>
      </c>
      <c r="G100" s="557">
        <v>0</v>
      </c>
      <c r="H100" s="557">
        <v>0</v>
      </c>
      <c r="I100" s="557">
        <v>0</v>
      </c>
      <c r="J100" s="557">
        <v>21</v>
      </c>
      <c r="K100" s="557">
        <v>0</v>
      </c>
      <c r="L100" s="558">
        <f t="shared" si="8"/>
        <v>21</v>
      </c>
      <c r="M100" s="1228"/>
      <c r="N100" s="891">
        <v>24</v>
      </c>
      <c r="O100" s="891">
        <v>48</v>
      </c>
      <c r="P100" s="891">
        <v>66</v>
      </c>
      <c r="Q100" s="1229">
        <v>47</v>
      </c>
      <c r="R100" s="1229">
        <v>15</v>
      </c>
    </row>
    <row r="101" spans="1:18" ht="16.5" customHeight="1" x14ac:dyDescent="0.3">
      <c r="A101" s="553" t="s">
        <v>34</v>
      </c>
      <c r="B101" s="554" t="s">
        <v>35</v>
      </c>
      <c r="C101" s="494" t="s">
        <v>256</v>
      </c>
      <c r="D101" s="555">
        <f t="shared" ref="D101:D124" si="9">SUM(E101:K101)</f>
        <v>65</v>
      </c>
      <c r="E101" s="556">
        <v>58</v>
      </c>
      <c r="F101" s="557">
        <v>3</v>
      </c>
      <c r="G101" s="890">
        <v>0</v>
      </c>
      <c r="H101" s="890">
        <v>0</v>
      </c>
      <c r="I101" s="890">
        <v>0</v>
      </c>
      <c r="J101" s="890">
        <v>4</v>
      </c>
      <c r="K101" s="890">
        <v>0</v>
      </c>
      <c r="L101" s="558">
        <f t="shared" ref="L101:L124" si="10">G101+H101+I101+J101</f>
        <v>4</v>
      </c>
      <c r="M101" s="1227"/>
      <c r="N101" s="891">
        <v>7</v>
      </c>
      <c r="O101" s="568">
        <v>16</v>
      </c>
      <c r="P101" s="891">
        <v>31</v>
      </c>
      <c r="Q101" s="1229">
        <v>11</v>
      </c>
      <c r="R101" s="1229">
        <v>0</v>
      </c>
    </row>
    <row r="102" spans="1:18" ht="16.5" customHeight="1" x14ac:dyDescent="0.3">
      <c r="A102" s="553" t="s">
        <v>52</v>
      </c>
      <c r="B102" s="554" t="s">
        <v>53</v>
      </c>
      <c r="C102" s="494" t="s">
        <v>253</v>
      </c>
      <c r="D102" s="555">
        <f t="shared" si="9"/>
        <v>146</v>
      </c>
      <c r="E102" s="556">
        <v>40</v>
      </c>
      <c r="F102" s="557">
        <v>82</v>
      </c>
      <c r="G102" s="557">
        <v>3</v>
      </c>
      <c r="H102" s="557">
        <v>0</v>
      </c>
      <c r="I102" s="557">
        <v>0</v>
      </c>
      <c r="J102" s="557">
        <v>21</v>
      </c>
      <c r="K102" s="557">
        <v>0</v>
      </c>
      <c r="L102" s="558">
        <f t="shared" si="10"/>
        <v>24</v>
      </c>
      <c r="M102" s="1227"/>
      <c r="N102" s="891">
        <v>28</v>
      </c>
      <c r="O102" s="891">
        <v>48</v>
      </c>
      <c r="P102" s="891">
        <v>49</v>
      </c>
      <c r="Q102" s="1229">
        <v>16</v>
      </c>
      <c r="R102" s="1229">
        <v>5</v>
      </c>
    </row>
    <row r="103" spans="1:18" ht="16.5" customHeight="1" x14ac:dyDescent="0.3">
      <c r="A103" s="553" t="s">
        <v>54</v>
      </c>
      <c r="B103" s="554" t="s">
        <v>55</v>
      </c>
      <c r="C103" s="494" t="s">
        <v>252</v>
      </c>
      <c r="D103" s="555">
        <f t="shared" si="9"/>
        <v>111</v>
      </c>
      <c r="E103" s="556">
        <v>49</v>
      </c>
      <c r="F103" s="557">
        <v>47</v>
      </c>
      <c r="G103" s="557">
        <v>0</v>
      </c>
      <c r="H103" s="557">
        <v>0</v>
      </c>
      <c r="I103" s="557">
        <v>0</v>
      </c>
      <c r="J103" s="557">
        <v>15</v>
      </c>
      <c r="K103" s="557">
        <v>0</v>
      </c>
      <c r="L103" s="558">
        <f t="shared" si="10"/>
        <v>15</v>
      </c>
      <c r="M103" s="1227"/>
      <c r="N103" s="891">
        <v>3</v>
      </c>
      <c r="O103" s="891">
        <v>20</v>
      </c>
      <c r="P103" s="891">
        <v>60</v>
      </c>
      <c r="Q103" s="1229">
        <v>24</v>
      </c>
      <c r="R103" s="1229">
        <v>4</v>
      </c>
    </row>
    <row r="104" spans="1:18" ht="16.5" customHeight="1" x14ac:dyDescent="0.3">
      <c r="A104" s="553" t="s">
        <v>66</v>
      </c>
      <c r="B104" s="554" t="s">
        <v>67</v>
      </c>
      <c r="C104" s="494" t="s">
        <v>253</v>
      </c>
      <c r="D104" s="555">
        <f t="shared" si="9"/>
        <v>36</v>
      </c>
      <c r="E104" s="556">
        <v>10</v>
      </c>
      <c r="F104" s="557">
        <v>20</v>
      </c>
      <c r="G104" s="557">
        <v>0</v>
      </c>
      <c r="H104" s="557">
        <v>0</v>
      </c>
      <c r="I104" s="557">
        <v>0</v>
      </c>
      <c r="J104" s="557">
        <v>6</v>
      </c>
      <c r="K104" s="557">
        <v>0</v>
      </c>
      <c r="L104" s="558">
        <f t="shared" si="10"/>
        <v>6</v>
      </c>
      <c r="M104" s="1227"/>
      <c r="N104" s="891">
        <v>1</v>
      </c>
      <c r="O104" s="568">
        <v>13</v>
      </c>
      <c r="P104" s="891">
        <v>13</v>
      </c>
      <c r="Q104" s="1229">
        <v>7</v>
      </c>
      <c r="R104" s="1229">
        <v>2</v>
      </c>
    </row>
    <row r="105" spans="1:18" ht="16.5" customHeight="1" x14ac:dyDescent="0.3">
      <c r="A105" s="553" t="s">
        <v>82</v>
      </c>
      <c r="B105" s="554" t="s">
        <v>299</v>
      </c>
      <c r="C105" s="494" t="s">
        <v>252</v>
      </c>
      <c r="D105" s="555">
        <f t="shared" si="9"/>
        <v>2</v>
      </c>
      <c r="E105" s="556">
        <v>0</v>
      </c>
      <c r="F105" s="557">
        <v>1</v>
      </c>
      <c r="G105" s="557">
        <v>0</v>
      </c>
      <c r="H105" s="557">
        <v>0</v>
      </c>
      <c r="I105" s="557">
        <v>0</v>
      </c>
      <c r="J105" s="557">
        <v>1</v>
      </c>
      <c r="K105" s="557">
        <v>0</v>
      </c>
      <c r="L105" s="558">
        <f t="shared" si="10"/>
        <v>1</v>
      </c>
      <c r="M105" s="891"/>
      <c r="N105" s="891">
        <v>0</v>
      </c>
      <c r="O105" s="891">
        <v>0</v>
      </c>
      <c r="P105" s="891">
        <v>1</v>
      </c>
      <c r="Q105" s="1229">
        <v>1</v>
      </c>
      <c r="R105" s="1229">
        <v>0</v>
      </c>
    </row>
    <row r="106" spans="1:18" ht="16.5" customHeight="1" x14ac:dyDescent="0.3">
      <c r="A106" s="553" t="s">
        <v>88</v>
      </c>
      <c r="B106" s="554" t="s">
        <v>89</v>
      </c>
      <c r="C106" s="494" t="s">
        <v>255</v>
      </c>
      <c r="D106" s="555">
        <f t="shared" si="9"/>
        <v>118</v>
      </c>
      <c r="E106" s="556">
        <v>47</v>
      </c>
      <c r="F106" s="557">
        <v>52</v>
      </c>
      <c r="G106" s="557">
        <v>1</v>
      </c>
      <c r="H106" s="557">
        <v>0</v>
      </c>
      <c r="I106" s="557">
        <v>0</v>
      </c>
      <c r="J106" s="557">
        <v>18</v>
      </c>
      <c r="K106" s="557">
        <v>0</v>
      </c>
      <c r="L106" s="558">
        <f t="shared" si="10"/>
        <v>19</v>
      </c>
      <c r="M106" s="1228"/>
      <c r="N106" s="891">
        <v>24</v>
      </c>
      <c r="O106" s="891">
        <v>37</v>
      </c>
      <c r="P106" s="891">
        <v>38</v>
      </c>
      <c r="Q106" s="1229">
        <v>13</v>
      </c>
      <c r="R106" s="1229">
        <v>6</v>
      </c>
    </row>
    <row r="107" spans="1:18" ht="16.5" customHeight="1" x14ac:dyDescent="0.3">
      <c r="A107" s="553" t="s">
        <v>90</v>
      </c>
      <c r="B107" s="554" t="s">
        <v>91</v>
      </c>
      <c r="C107" s="494" t="s">
        <v>256</v>
      </c>
      <c r="D107" s="555">
        <f t="shared" si="9"/>
        <v>16</v>
      </c>
      <c r="E107" s="556">
        <v>12</v>
      </c>
      <c r="F107" s="557">
        <v>1</v>
      </c>
      <c r="G107" s="557">
        <v>0</v>
      </c>
      <c r="H107" s="557">
        <v>0</v>
      </c>
      <c r="I107" s="557">
        <v>0</v>
      </c>
      <c r="J107" s="557">
        <v>2</v>
      </c>
      <c r="K107" s="557">
        <v>1</v>
      </c>
      <c r="L107" s="558">
        <f t="shared" si="10"/>
        <v>2</v>
      </c>
      <c r="M107" s="568"/>
      <c r="N107" s="891">
        <v>5</v>
      </c>
      <c r="O107" s="891">
        <v>5</v>
      </c>
      <c r="P107" s="891">
        <v>5</v>
      </c>
      <c r="Q107" s="1229">
        <v>1</v>
      </c>
      <c r="R107" s="1229">
        <v>0</v>
      </c>
    </row>
    <row r="108" spans="1:18" ht="16.5" customHeight="1" x14ac:dyDescent="0.3">
      <c r="A108" s="553" t="s">
        <v>106</v>
      </c>
      <c r="B108" s="554" t="s">
        <v>107</v>
      </c>
      <c r="C108" s="494" t="s">
        <v>252</v>
      </c>
      <c r="D108" s="555">
        <f t="shared" si="9"/>
        <v>139</v>
      </c>
      <c r="E108" s="556">
        <v>40</v>
      </c>
      <c r="F108" s="557">
        <v>71</v>
      </c>
      <c r="G108" s="557">
        <v>0</v>
      </c>
      <c r="H108" s="557">
        <v>0</v>
      </c>
      <c r="I108" s="557">
        <v>0</v>
      </c>
      <c r="J108" s="557">
        <v>27</v>
      </c>
      <c r="K108" s="557">
        <v>1</v>
      </c>
      <c r="L108" s="558">
        <f t="shared" si="10"/>
        <v>27</v>
      </c>
      <c r="M108" s="1227"/>
      <c r="N108" s="891">
        <v>26</v>
      </c>
      <c r="O108" s="891">
        <v>14</v>
      </c>
      <c r="P108" s="891">
        <v>45</v>
      </c>
      <c r="Q108" s="1229">
        <v>43</v>
      </c>
      <c r="R108" s="1229">
        <v>11</v>
      </c>
    </row>
    <row r="109" spans="1:18" ht="16.5" customHeight="1" x14ac:dyDescent="0.3">
      <c r="A109" s="553" t="s">
        <v>116</v>
      </c>
      <c r="B109" s="554" t="s">
        <v>117</v>
      </c>
      <c r="C109" s="494" t="s">
        <v>254</v>
      </c>
      <c r="D109" s="555">
        <f t="shared" si="9"/>
        <v>49</v>
      </c>
      <c r="E109" s="556">
        <v>19</v>
      </c>
      <c r="F109" s="557">
        <v>27</v>
      </c>
      <c r="G109" s="557">
        <v>0</v>
      </c>
      <c r="H109" s="557">
        <v>0</v>
      </c>
      <c r="I109" s="557">
        <v>0</v>
      </c>
      <c r="J109" s="557">
        <v>3</v>
      </c>
      <c r="K109" s="557">
        <v>0</v>
      </c>
      <c r="L109" s="558">
        <f t="shared" si="10"/>
        <v>3</v>
      </c>
      <c r="M109" s="891"/>
      <c r="N109" s="891">
        <v>8</v>
      </c>
      <c r="O109" s="568">
        <v>12</v>
      </c>
      <c r="P109" s="891">
        <v>23</v>
      </c>
      <c r="Q109" s="1229">
        <v>6</v>
      </c>
      <c r="R109" s="1229">
        <v>0</v>
      </c>
    </row>
    <row r="110" spans="1:18" ht="16.5" customHeight="1" x14ac:dyDescent="0.3">
      <c r="A110" s="553" t="s">
        <v>138</v>
      </c>
      <c r="B110" s="554" t="s">
        <v>139</v>
      </c>
      <c r="C110" s="494" t="s">
        <v>253</v>
      </c>
      <c r="D110" s="555">
        <f t="shared" si="9"/>
        <v>361</v>
      </c>
      <c r="E110" s="556">
        <v>111</v>
      </c>
      <c r="F110" s="557">
        <v>190</v>
      </c>
      <c r="G110" s="557">
        <v>0</v>
      </c>
      <c r="H110" s="557">
        <v>0</v>
      </c>
      <c r="I110" s="557">
        <v>0</v>
      </c>
      <c r="J110" s="557">
        <v>59</v>
      </c>
      <c r="K110" s="557">
        <v>1</v>
      </c>
      <c r="L110" s="558">
        <f t="shared" si="10"/>
        <v>59</v>
      </c>
      <c r="M110" s="1228"/>
      <c r="N110" s="891">
        <v>41</v>
      </c>
      <c r="O110" s="891">
        <v>83</v>
      </c>
      <c r="P110" s="891">
        <v>149</v>
      </c>
      <c r="Q110" s="1229">
        <v>65</v>
      </c>
      <c r="R110" s="1229">
        <v>23</v>
      </c>
    </row>
    <row r="111" spans="1:18" ht="16.5" customHeight="1" x14ac:dyDescent="0.3">
      <c r="A111" s="553" t="s">
        <v>142</v>
      </c>
      <c r="B111" s="554" t="s">
        <v>143</v>
      </c>
      <c r="C111" s="494" t="s">
        <v>255</v>
      </c>
      <c r="D111" s="555">
        <f t="shared" si="9"/>
        <v>19</v>
      </c>
      <c r="E111" s="556">
        <v>6</v>
      </c>
      <c r="F111" s="557">
        <v>6</v>
      </c>
      <c r="G111" s="557">
        <v>0</v>
      </c>
      <c r="H111" s="557">
        <v>0</v>
      </c>
      <c r="I111" s="557">
        <v>0</v>
      </c>
      <c r="J111" s="557">
        <v>7</v>
      </c>
      <c r="K111" s="557">
        <v>0</v>
      </c>
      <c r="L111" s="558">
        <f t="shared" si="10"/>
        <v>7</v>
      </c>
      <c r="M111" s="561"/>
      <c r="N111" s="891">
        <v>3</v>
      </c>
      <c r="O111" s="568">
        <v>5</v>
      </c>
      <c r="P111" s="891">
        <v>6</v>
      </c>
      <c r="Q111" s="1229">
        <v>2</v>
      </c>
      <c r="R111" s="1229">
        <v>3</v>
      </c>
    </row>
    <row r="112" spans="1:18" ht="16.5" customHeight="1" x14ac:dyDescent="0.3">
      <c r="A112" s="553" t="s">
        <v>144</v>
      </c>
      <c r="B112" s="554" t="s">
        <v>145</v>
      </c>
      <c r="C112" s="494" t="s">
        <v>255</v>
      </c>
      <c r="D112" s="555">
        <f t="shared" si="9"/>
        <v>2</v>
      </c>
      <c r="E112" s="556">
        <v>0</v>
      </c>
      <c r="F112" s="557">
        <v>0</v>
      </c>
      <c r="G112" s="890">
        <v>0</v>
      </c>
      <c r="H112" s="890">
        <v>0</v>
      </c>
      <c r="I112" s="890">
        <v>0</v>
      </c>
      <c r="J112" s="890">
        <v>2</v>
      </c>
      <c r="K112" s="890">
        <v>0</v>
      </c>
      <c r="L112" s="558">
        <f t="shared" si="10"/>
        <v>2</v>
      </c>
      <c r="M112" s="891"/>
      <c r="N112" s="891">
        <v>2</v>
      </c>
      <c r="O112" s="891">
        <v>0</v>
      </c>
      <c r="P112" s="891">
        <v>0</v>
      </c>
      <c r="Q112" s="1229">
        <v>0</v>
      </c>
      <c r="R112" s="1229">
        <v>0</v>
      </c>
    </row>
    <row r="113" spans="1:18" ht="16.5" customHeight="1" x14ac:dyDescent="0.3">
      <c r="A113" s="553" t="s">
        <v>158</v>
      </c>
      <c r="B113" s="554" t="s">
        <v>159</v>
      </c>
      <c r="C113" s="494" t="s">
        <v>252</v>
      </c>
      <c r="D113" s="555">
        <f t="shared" si="9"/>
        <v>282</v>
      </c>
      <c r="E113" s="556">
        <v>61</v>
      </c>
      <c r="F113" s="557">
        <v>187</v>
      </c>
      <c r="G113" s="557">
        <v>3</v>
      </c>
      <c r="H113" s="557">
        <v>0</v>
      </c>
      <c r="I113" s="557">
        <v>0</v>
      </c>
      <c r="J113" s="557">
        <v>31</v>
      </c>
      <c r="K113" s="557">
        <v>0</v>
      </c>
      <c r="L113" s="558">
        <f t="shared" si="10"/>
        <v>34</v>
      </c>
      <c r="M113" s="1228"/>
      <c r="N113" s="891">
        <v>17</v>
      </c>
      <c r="O113" s="891">
        <v>52</v>
      </c>
      <c r="P113" s="891">
        <v>107</v>
      </c>
      <c r="Q113" s="1229">
        <v>65</v>
      </c>
      <c r="R113" s="1229">
        <v>41</v>
      </c>
    </row>
    <row r="114" spans="1:18" ht="16.5" customHeight="1" x14ac:dyDescent="0.3">
      <c r="A114" s="553" t="s">
        <v>160</v>
      </c>
      <c r="B114" s="554" t="s">
        <v>161</v>
      </c>
      <c r="C114" s="494" t="s">
        <v>252</v>
      </c>
      <c r="D114" s="555">
        <f t="shared" si="9"/>
        <v>314</v>
      </c>
      <c r="E114" s="556">
        <v>54</v>
      </c>
      <c r="F114" s="557">
        <v>212</v>
      </c>
      <c r="G114" s="557">
        <v>2</v>
      </c>
      <c r="H114" s="557">
        <v>5</v>
      </c>
      <c r="I114" s="557">
        <v>2</v>
      </c>
      <c r="J114" s="557">
        <v>38</v>
      </c>
      <c r="K114" s="557">
        <v>1</v>
      </c>
      <c r="L114" s="558">
        <f t="shared" si="10"/>
        <v>47</v>
      </c>
      <c r="M114" s="1228"/>
      <c r="N114" s="891">
        <v>22</v>
      </c>
      <c r="O114" s="891">
        <v>94</v>
      </c>
      <c r="P114" s="891">
        <v>118</v>
      </c>
      <c r="Q114" s="1229">
        <v>56</v>
      </c>
      <c r="R114" s="1229">
        <v>24</v>
      </c>
    </row>
    <row r="115" spans="1:18" ht="16.5" customHeight="1" x14ac:dyDescent="0.3">
      <c r="A115" s="553" t="s">
        <v>166</v>
      </c>
      <c r="B115" s="554" t="s">
        <v>167</v>
      </c>
      <c r="C115" s="494" t="s">
        <v>256</v>
      </c>
      <c r="D115" s="555">
        <f t="shared" si="9"/>
        <v>12</v>
      </c>
      <c r="E115" s="556">
        <v>9</v>
      </c>
      <c r="F115" s="557">
        <v>0</v>
      </c>
      <c r="G115" s="890">
        <v>0</v>
      </c>
      <c r="H115" s="890">
        <v>0</v>
      </c>
      <c r="I115" s="890">
        <v>0</v>
      </c>
      <c r="J115" s="890">
        <v>3</v>
      </c>
      <c r="K115" s="890">
        <v>0</v>
      </c>
      <c r="L115" s="558">
        <f t="shared" si="10"/>
        <v>3</v>
      </c>
      <c r="M115" s="1228"/>
      <c r="N115" s="891">
        <v>4</v>
      </c>
      <c r="O115" s="891">
        <v>4</v>
      </c>
      <c r="P115" s="891">
        <v>0</v>
      </c>
      <c r="Q115" s="1229">
        <v>3</v>
      </c>
      <c r="R115" s="1229">
        <v>1</v>
      </c>
    </row>
    <row r="116" spans="1:18" ht="16.5" customHeight="1" x14ac:dyDescent="0.3">
      <c r="A116" s="553" t="s">
        <v>176</v>
      </c>
      <c r="B116" s="554" t="s">
        <v>177</v>
      </c>
      <c r="C116" s="494" t="s">
        <v>254</v>
      </c>
      <c r="D116" s="555">
        <f t="shared" si="9"/>
        <v>126</v>
      </c>
      <c r="E116" s="556">
        <v>25</v>
      </c>
      <c r="F116" s="557">
        <v>78</v>
      </c>
      <c r="G116" s="557">
        <v>0</v>
      </c>
      <c r="H116" s="557">
        <v>0</v>
      </c>
      <c r="I116" s="557">
        <v>0</v>
      </c>
      <c r="J116" s="557">
        <v>20</v>
      </c>
      <c r="K116" s="557">
        <v>3</v>
      </c>
      <c r="L116" s="558">
        <f t="shared" si="10"/>
        <v>20</v>
      </c>
      <c r="M116" s="1227"/>
      <c r="N116" s="891">
        <v>15</v>
      </c>
      <c r="O116" s="568">
        <v>41</v>
      </c>
      <c r="P116" s="891">
        <v>40</v>
      </c>
      <c r="Q116" s="1229">
        <v>17</v>
      </c>
      <c r="R116" s="1229">
        <v>13</v>
      </c>
    </row>
    <row r="117" spans="1:18" ht="16.5" customHeight="1" x14ac:dyDescent="0.3">
      <c r="A117" s="553" t="s">
        <v>180</v>
      </c>
      <c r="B117" s="554" t="s">
        <v>181</v>
      </c>
      <c r="C117" s="494" t="s">
        <v>252</v>
      </c>
      <c r="D117" s="555">
        <f t="shared" si="9"/>
        <v>143</v>
      </c>
      <c r="E117" s="556">
        <v>35</v>
      </c>
      <c r="F117" s="557">
        <v>100</v>
      </c>
      <c r="G117" s="557">
        <v>0</v>
      </c>
      <c r="H117" s="557">
        <v>0</v>
      </c>
      <c r="I117" s="557">
        <v>0</v>
      </c>
      <c r="J117" s="557">
        <v>8</v>
      </c>
      <c r="K117" s="557">
        <v>0</v>
      </c>
      <c r="L117" s="558">
        <f t="shared" si="10"/>
        <v>8</v>
      </c>
      <c r="M117" s="1227"/>
      <c r="N117" s="891">
        <v>12</v>
      </c>
      <c r="O117" s="891">
        <v>36</v>
      </c>
      <c r="P117" s="891">
        <v>45</v>
      </c>
      <c r="Q117" s="1229">
        <v>37</v>
      </c>
      <c r="R117" s="1229">
        <v>13</v>
      </c>
    </row>
    <row r="118" spans="1:18" ht="16.5" customHeight="1" x14ac:dyDescent="0.3">
      <c r="A118" s="553" t="s">
        <v>192</v>
      </c>
      <c r="B118" s="554" t="s">
        <v>193</v>
      </c>
      <c r="C118" s="494" t="s">
        <v>256</v>
      </c>
      <c r="D118" s="555">
        <f t="shared" si="9"/>
        <v>34</v>
      </c>
      <c r="E118" s="556">
        <v>29</v>
      </c>
      <c r="F118" s="557">
        <v>3</v>
      </c>
      <c r="G118" s="557">
        <v>0</v>
      </c>
      <c r="H118" s="557">
        <v>0</v>
      </c>
      <c r="I118" s="557">
        <v>0</v>
      </c>
      <c r="J118" s="557">
        <v>2</v>
      </c>
      <c r="K118" s="557">
        <v>0</v>
      </c>
      <c r="L118" s="558">
        <f t="shared" si="10"/>
        <v>2</v>
      </c>
      <c r="M118" s="561"/>
      <c r="N118" s="891">
        <v>4</v>
      </c>
      <c r="O118" s="891">
        <v>7</v>
      </c>
      <c r="P118" s="891">
        <v>13</v>
      </c>
      <c r="Q118" s="1229">
        <v>6</v>
      </c>
      <c r="R118" s="1229">
        <v>4</v>
      </c>
    </row>
    <row r="119" spans="1:18" ht="16.5" customHeight="1" x14ac:dyDescent="0.3">
      <c r="A119" s="553" t="s">
        <v>196</v>
      </c>
      <c r="B119" s="554" t="s">
        <v>300</v>
      </c>
      <c r="C119" s="494" t="s">
        <v>254</v>
      </c>
      <c r="D119" s="555">
        <f t="shared" si="9"/>
        <v>382</v>
      </c>
      <c r="E119" s="556">
        <v>39</v>
      </c>
      <c r="F119" s="557">
        <v>308</v>
      </c>
      <c r="G119" s="557">
        <v>0</v>
      </c>
      <c r="H119" s="557">
        <v>2</v>
      </c>
      <c r="I119" s="557">
        <v>0</v>
      </c>
      <c r="J119" s="557">
        <v>27</v>
      </c>
      <c r="K119" s="557">
        <v>6</v>
      </c>
      <c r="L119" s="558">
        <f t="shared" si="10"/>
        <v>29</v>
      </c>
      <c r="M119" s="1227"/>
      <c r="N119" s="891">
        <v>41</v>
      </c>
      <c r="O119" s="891">
        <v>68</v>
      </c>
      <c r="P119" s="891">
        <v>133</v>
      </c>
      <c r="Q119" s="1229">
        <v>91</v>
      </c>
      <c r="R119" s="1229">
        <v>49</v>
      </c>
    </row>
    <row r="120" spans="1:18" ht="16.5" customHeight="1" x14ac:dyDescent="0.3">
      <c r="A120" s="553" t="s">
        <v>200</v>
      </c>
      <c r="B120" s="554" t="s">
        <v>301</v>
      </c>
      <c r="C120" s="494" t="s">
        <v>253</v>
      </c>
      <c r="D120" s="555">
        <f t="shared" si="9"/>
        <v>470</v>
      </c>
      <c r="E120" s="556">
        <v>251</v>
      </c>
      <c r="F120" s="557">
        <v>118</v>
      </c>
      <c r="G120" s="557">
        <v>0</v>
      </c>
      <c r="H120" s="557">
        <v>1</v>
      </c>
      <c r="I120" s="557">
        <v>1</v>
      </c>
      <c r="J120" s="557">
        <v>99</v>
      </c>
      <c r="K120" s="557">
        <v>0</v>
      </c>
      <c r="L120" s="558">
        <f t="shared" si="10"/>
        <v>101</v>
      </c>
      <c r="M120" s="1228"/>
      <c r="N120" s="891">
        <v>81</v>
      </c>
      <c r="O120" s="891">
        <v>117</v>
      </c>
      <c r="P120" s="891">
        <v>169</v>
      </c>
      <c r="Q120" s="1229">
        <v>75</v>
      </c>
      <c r="R120" s="1229">
        <v>28</v>
      </c>
    </row>
    <row r="121" spans="1:18" ht="16.5" customHeight="1" x14ac:dyDescent="0.3">
      <c r="A121" s="553" t="s">
        <v>222</v>
      </c>
      <c r="B121" s="554" t="s">
        <v>223</v>
      </c>
      <c r="C121" s="494" t="s">
        <v>252</v>
      </c>
      <c r="D121" s="555">
        <f t="shared" si="9"/>
        <v>22</v>
      </c>
      <c r="E121" s="556">
        <v>4</v>
      </c>
      <c r="F121" s="557">
        <v>17</v>
      </c>
      <c r="G121" s="557">
        <v>1</v>
      </c>
      <c r="H121" s="557">
        <v>0</v>
      </c>
      <c r="I121" s="557">
        <v>0</v>
      </c>
      <c r="J121" s="557">
        <v>0</v>
      </c>
      <c r="K121" s="557">
        <v>0</v>
      </c>
      <c r="L121" s="558">
        <f t="shared" si="10"/>
        <v>1</v>
      </c>
      <c r="M121" s="561"/>
      <c r="N121" s="891">
        <v>0</v>
      </c>
      <c r="O121" s="891">
        <v>0</v>
      </c>
      <c r="P121" s="891">
        <v>7</v>
      </c>
      <c r="Q121" s="1229">
        <v>14</v>
      </c>
      <c r="R121" s="1229">
        <v>1</v>
      </c>
    </row>
    <row r="122" spans="1:18" ht="16.5" customHeight="1" x14ac:dyDescent="0.3">
      <c r="A122" s="553" t="s">
        <v>230</v>
      </c>
      <c r="B122" s="554" t="s">
        <v>231</v>
      </c>
      <c r="C122" s="494" t="s">
        <v>252</v>
      </c>
      <c r="D122" s="555">
        <f t="shared" si="9"/>
        <v>296</v>
      </c>
      <c r="E122" s="556">
        <v>156</v>
      </c>
      <c r="F122" s="557">
        <v>87</v>
      </c>
      <c r="G122" s="557">
        <v>1</v>
      </c>
      <c r="H122" s="557">
        <v>2</v>
      </c>
      <c r="I122" s="557">
        <v>0</v>
      </c>
      <c r="J122" s="557">
        <v>49</v>
      </c>
      <c r="K122" s="557">
        <v>1</v>
      </c>
      <c r="L122" s="558">
        <f t="shared" si="10"/>
        <v>52</v>
      </c>
      <c r="M122" s="1228"/>
      <c r="N122" s="891">
        <v>44</v>
      </c>
      <c r="O122" s="891">
        <v>63</v>
      </c>
      <c r="P122" s="891">
        <v>116</v>
      </c>
      <c r="Q122" s="1229">
        <v>53</v>
      </c>
      <c r="R122" s="1229">
        <v>20</v>
      </c>
    </row>
    <row r="123" spans="1:18" ht="16.5" customHeight="1" x14ac:dyDescent="0.3">
      <c r="A123" s="553" t="s">
        <v>238</v>
      </c>
      <c r="B123" s="554" t="s">
        <v>239</v>
      </c>
      <c r="C123" s="494" t="s">
        <v>252</v>
      </c>
      <c r="D123" s="555">
        <f t="shared" si="9"/>
        <v>12</v>
      </c>
      <c r="E123" s="556">
        <v>3</v>
      </c>
      <c r="F123" s="557">
        <v>9</v>
      </c>
      <c r="G123" s="557">
        <v>0</v>
      </c>
      <c r="H123" s="557">
        <v>0</v>
      </c>
      <c r="I123" s="557">
        <v>0</v>
      </c>
      <c r="J123" s="557">
        <v>0</v>
      </c>
      <c r="K123" s="557">
        <v>0</v>
      </c>
      <c r="L123" s="558">
        <f t="shared" si="10"/>
        <v>0</v>
      </c>
      <c r="M123" s="891"/>
      <c r="N123" s="891">
        <v>2</v>
      </c>
      <c r="O123" s="891">
        <v>3</v>
      </c>
      <c r="P123" s="891">
        <v>6</v>
      </c>
      <c r="Q123" s="1229">
        <v>1</v>
      </c>
      <c r="R123" s="1229">
        <v>0</v>
      </c>
    </row>
    <row r="124" spans="1:18" ht="16.5" customHeight="1" x14ac:dyDescent="0.3">
      <c r="A124" s="553" t="s">
        <v>240</v>
      </c>
      <c r="B124" s="554" t="s">
        <v>241</v>
      </c>
      <c r="C124" s="494" t="s">
        <v>255</v>
      </c>
      <c r="D124" s="555">
        <f t="shared" si="9"/>
        <v>59</v>
      </c>
      <c r="E124" s="556">
        <v>43</v>
      </c>
      <c r="F124" s="557">
        <v>5</v>
      </c>
      <c r="G124" s="557">
        <v>1</v>
      </c>
      <c r="H124" s="557">
        <v>0</v>
      </c>
      <c r="I124" s="557">
        <v>0</v>
      </c>
      <c r="J124" s="557">
        <v>9</v>
      </c>
      <c r="K124" s="557">
        <v>1</v>
      </c>
      <c r="L124" s="558">
        <f t="shared" si="10"/>
        <v>10</v>
      </c>
      <c r="M124" s="1227"/>
      <c r="N124" s="891">
        <v>10</v>
      </c>
      <c r="O124" s="891">
        <v>18</v>
      </c>
      <c r="P124" s="891">
        <v>15</v>
      </c>
      <c r="Q124" s="1229">
        <v>10</v>
      </c>
      <c r="R124" s="1229">
        <v>6</v>
      </c>
    </row>
    <row r="125" spans="1:18" x14ac:dyDescent="0.3">
      <c r="D125" s="558"/>
      <c r="E125" s="558"/>
      <c r="F125" s="558"/>
      <c r="G125" s="558"/>
      <c r="H125" s="558"/>
      <c r="I125" s="558"/>
      <c r="J125" s="558"/>
      <c r="K125" s="558"/>
      <c r="L125" s="558"/>
      <c r="M125" s="558"/>
      <c r="N125" s="558"/>
      <c r="O125" s="558"/>
      <c r="P125" s="558"/>
    </row>
    <row r="126" spans="1:18" ht="32.25" customHeight="1" x14ac:dyDescent="0.3">
      <c r="A126" s="2766" t="s">
        <v>1087</v>
      </c>
      <c r="B126" s="2765"/>
      <c r="C126" s="2765"/>
      <c r="D126" s="2765"/>
      <c r="E126" s="2765"/>
      <c r="F126" s="2765"/>
      <c r="G126" s="2765"/>
      <c r="H126" s="2765"/>
      <c r="I126" s="2765"/>
      <c r="J126" s="2765"/>
      <c r="K126" s="2765"/>
      <c r="L126" s="2765"/>
      <c r="M126" s="2765"/>
      <c r="N126" s="569"/>
      <c r="O126" s="569"/>
      <c r="P126" s="569"/>
      <c r="Q126" s="569"/>
      <c r="R126" s="569"/>
    </row>
    <row r="127" spans="1:18" x14ac:dyDescent="0.3">
      <c r="A127" s="339" t="s">
        <v>974</v>
      </c>
    </row>
    <row r="129" spans="1:3" s="359" customFormat="1" x14ac:dyDescent="0.3">
      <c r="A129" s="359" t="s">
        <v>248</v>
      </c>
    </row>
    <row r="130" spans="1:3" s="359" customFormat="1" x14ac:dyDescent="0.3">
      <c r="A130" s="360" t="s">
        <v>249</v>
      </c>
      <c r="B130" s="361" t="s">
        <v>250</v>
      </c>
      <c r="C130" s="361"/>
    </row>
  </sheetData>
  <autoFilter ref="A3:C3"/>
  <sortState ref="A5:R124">
    <sortCondition ref="A5:A124"/>
  </sortState>
  <mergeCells count="1">
    <mergeCell ref="A126:M126"/>
  </mergeCells>
  <hyperlinks>
    <hyperlink ref="B130"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1" tint="0.499984740745262"/>
  </sheetPr>
  <dimension ref="A1:M135"/>
  <sheetViews>
    <sheetView workbookViewId="0">
      <pane xSplit="2" ySplit="3" topLeftCell="G4" activePane="bottomRight" state="frozen"/>
      <selection pane="topRight" activeCell="C1" sqref="C1"/>
      <selection pane="bottomLeft" activeCell="A4" sqref="A4"/>
      <selection pane="bottomRight" activeCell="G92" sqref="G92"/>
    </sheetView>
  </sheetViews>
  <sheetFormatPr defaultColWidth="9" defaultRowHeight="15.6" x14ac:dyDescent="0.3"/>
  <cols>
    <col min="1" max="1" width="8.69921875" style="427" customWidth="1"/>
    <col min="2" max="2" width="33.796875" style="263" customWidth="1"/>
    <col min="3" max="3" width="11.59765625" style="263" customWidth="1"/>
    <col min="4" max="4" width="12.09765625" style="263" customWidth="1"/>
    <col min="5" max="5" width="16.69921875" style="427" customWidth="1"/>
    <col min="6" max="6" width="24.5" style="263" customWidth="1"/>
    <col min="7" max="7" width="26" style="263" customWidth="1"/>
    <col min="8" max="8" width="9" style="263"/>
    <col min="9" max="9" width="29.796875" style="263" customWidth="1"/>
    <col min="10" max="10" width="25.59765625" style="263" customWidth="1"/>
    <col min="11" max="16384" width="9" style="263"/>
  </cols>
  <sheetData>
    <row r="1" spans="1:10" x14ac:dyDescent="0.3">
      <c r="A1" s="63" t="s">
        <v>888</v>
      </c>
    </row>
    <row r="2" spans="1:10" x14ac:dyDescent="0.3">
      <c r="A2" s="63"/>
    </row>
    <row r="3" spans="1:10" ht="62.4" x14ac:dyDescent="0.3">
      <c r="A3" s="430" t="s">
        <v>4</v>
      </c>
      <c r="B3" s="431" t="s">
        <v>5</v>
      </c>
      <c r="C3" s="424" t="s">
        <v>251</v>
      </c>
      <c r="D3" s="432" t="s">
        <v>293</v>
      </c>
      <c r="E3" s="1238" t="s">
        <v>860</v>
      </c>
      <c r="F3" s="1235" t="s">
        <v>829</v>
      </c>
      <c r="G3" s="1235" t="s">
        <v>889</v>
      </c>
      <c r="H3" s="428" t="s">
        <v>1030</v>
      </c>
      <c r="I3" s="426" t="s">
        <v>887</v>
      </c>
      <c r="J3" s="1235" t="s">
        <v>830</v>
      </c>
    </row>
    <row r="4" spans="1:10" x14ac:dyDescent="0.3">
      <c r="A4" s="433" t="s">
        <v>10</v>
      </c>
      <c r="B4" s="395" t="s">
        <v>11</v>
      </c>
      <c r="C4" s="395" t="s">
        <v>252</v>
      </c>
      <c r="D4" s="434" t="s">
        <v>10</v>
      </c>
      <c r="E4" s="427" t="s">
        <v>573</v>
      </c>
      <c r="F4" s="263" t="s">
        <v>509</v>
      </c>
      <c r="H4" s="429" t="s">
        <v>731</v>
      </c>
      <c r="I4" s="423" t="s">
        <v>571</v>
      </c>
      <c r="J4" s="263" t="s">
        <v>1024</v>
      </c>
    </row>
    <row r="5" spans="1:10" hidden="1" x14ac:dyDescent="0.3">
      <c r="A5" s="433" t="s">
        <v>12</v>
      </c>
      <c r="B5" s="395" t="s">
        <v>13</v>
      </c>
      <c r="C5" s="395" t="s">
        <v>253</v>
      </c>
      <c r="D5" s="434" t="s">
        <v>12</v>
      </c>
      <c r="E5" s="427" t="s">
        <v>575</v>
      </c>
      <c r="F5" s="263" t="s">
        <v>500</v>
      </c>
      <c r="G5" s="263" t="s">
        <v>518</v>
      </c>
      <c r="H5" s="429" t="s">
        <v>731</v>
      </c>
      <c r="I5" s="423" t="s">
        <v>571</v>
      </c>
      <c r="J5" s="263" t="s">
        <v>1025</v>
      </c>
    </row>
    <row r="6" spans="1:10" x14ac:dyDescent="0.3">
      <c r="A6" s="433" t="s">
        <v>16</v>
      </c>
      <c r="B6" s="395" t="s">
        <v>463</v>
      </c>
      <c r="C6" s="395" t="s">
        <v>253</v>
      </c>
      <c r="D6" s="434" t="s">
        <v>16</v>
      </c>
      <c r="E6" s="2294" t="s">
        <v>573</v>
      </c>
      <c r="F6" s="263" t="s">
        <v>509</v>
      </c>
      <c r="H6" s="429" t="s">
        <v>731</v>
      </c>
      <c r="I6" s="423" t="s">
        <v>571</v>
      </c>
      <c r="J6" s="263" t="s">
        <v>833</v>
      </c>
    </row>
    <row r="7" spans="1:10" hidden="1" x14ac:dyDescent="0.3">
      <c r="A7" s="433" t="s">
        <v>18</v>
      </c>
      <c r="B7" s="395" t="s">
        <v>19</v>
      </c>
      <c r="C7" s="395" t="s">
        <v>254</v>
      </c>
      <c r="D7" s="434" t="s">
        <v>18</v>
      </c>
      <c r="E7" s="427" t="s">
        <v>574</v>
      </c>
      <c r="F7" s="263" t="s">
        <v>500</v>
      </c>
      <c r="G7" s="263" t="s">
        <v>519</v>
      </c>
      <c r="H7" s="429" t="s">
        <v>731</v>
      </c>
      <c r="I7" s="423" t="s">
        <v>571</v>
      </c>
      <c r="J7" s="263" t="s">
        <v>834</v>
      </c>
    </row>
    <row r="8" spans="1:10" x14ac:dyDescent="0.3">
      <c r="A8" s="433" t="s">
        <v>20</v>
      </c>
      <c r="B8" s="395" t="s">
        <v>21</v>
      </c>
      <c r="C8" s="395" t="s">
        <v>253</v>
      </c>
      <c r="D8" s="434" t="s">
        <v>20</v>
      </c>
      <c r="E8" s="427" t="s">
        <v>573</v>
      </c>
      <c r="F8" s="263" t="s">
        <v>509</v>
      </c>
      <c r="H8" s="429" t="s">
        <v>470</v>
      </c>
      <c r="I8" s="423" t="s">
        <v>570</v>
      </c>
      <c r="J8" s="263" t="s">
        <v>831</v>
      </c>
    </row>
    <row r="9" spans="1:10" x14ac:dyDescent="0.3">
      <c r="A9" s="433" t="s">
        <v>22</v>
      </c>
      <c r="B9" s="395" t="s">
        <v>23</v>
      </c>
      <c r="C9" s="395" t="s">
        <v>253</v>
      </c>
      <c r="D9" s="434" t="s">
        <v>22</v>
      </c>
      <c r="E9" s="427" t="s">
        <v>574</v>
      </c>
      <c r="F9" s="263" t="s">
        <v>509</v>
      </c>
      <c r="H9" s="429" t="s">
        <v>731</v>
      </c>
      <c r="I9" s="423" t="s">
        <v>571</v>
      </c>
      <c r="J9" s="263" t="s">
        <v>833</v>
      </c>
    </row>
    <row r="10" spans="1:10" hidden="1" x14ac:dyDescent="0.3">
      <c r="A10" s="433" t="s">
        <v>24</v>
      </c>
      <c r="B10" s="395" t="s">
        <v>25</v>
      </c>
      <c r="C10" s="395" t="s">
        <v>255</v>
      </c>
      <c r="D10" s="434" t="s">
        <v>24</v>
      </c>
      <c r="E10" s="435" t="s">
        <v>575</v>
      </c>
      <c r="F10" s="263" t="s">
        <v>500</v>
      </c>
      <c r="G10" s="263" t="s">
        <v>835</v>
      </c>
      <c r="H10" s="429" t="s">
        <v>471</v>
      </c>
      <c r="I10" s="423" t="s">
        <v>572</v>
      </c>
      <c r="J10" s="263" t="s">
        <v>832</v>
      </c>
    </row>
    <row r="11" spans="1:10" x14ac:dyDescent="0.3">
      <c r="A11" s="433" t="s">
        <v>26</v>
      </c>
      <c r="B11" s="395" t="s">
        <v>286</v>
      </c>
      <c r="C11" s="395" t="s">
        <v>253</v>
      </c>
      <c r="D11" s="434" t="s">
        <v>26</v>
      </c>
      <c r="E11" s="2294" t="s">
        <v>575</v>
      </c>
      <c r="F11" s="263" t="s">
        <v>509</v>
      </c>
      <c r="H11" s="429" t="s">
        <v>731</v>
      </c>
      <c r="I11" s="423" t="s">
        <v>571</v>
      </c>
      <c r="J11" s="263" t="s">
        <v>832</v>
      </c>
    </row>
    <row r="12" spans="1:10" x14ac:dyDescent="0.3">
      <c r="A12" s="433" t="s">
        <v>27</v>
      </c>
      <c r="B12" s="395" t="s">
        <v>28</v>
      </c>
      <c r="C12" s="395" t="s">
        <v>253</v>
      </c>
      <c r="D12" s="434" t="s">
        <v>27</v>
      </c>
      <c r="E12" s="427" t="s">
        <v>574</v>
      </c>
      <c r="F12" s="263" t="s">
        <v>509</v>
      </c>
      <c r="H12" s="429" t="s">
        <v>470</v>
      </c>
      <c r="I12" s="423" t="s">
        <v>570</v>
      </c>
      <c r="J12" s="263" t="s">
        <v>831</v>
      </c>
    </row>
    <row r="13" spans="1:10" x14ac:dyDescent="0.3">
      <c r="A13" s="433" t="s">
        <v>29</v>
      </c>
      <c r="B13" s="395" t="s">
        <v>736</v>
      </c>
      <c r="C13" s="395" t="s">
        <v>253</v>
      </c>
      <c r="D13" s="434" t="s">
        <v>29</v>
      </c>
      <c r="E13" s="427" t="s">
        <v>575</v>
      </c>
      <c r="F13" s="263" t="s">
        <v>509</v>
      </c>
      <c r="H13" s="429" t="s">
        <v>731</v>
      </c>
      <c r="I13" s="423" t="s">
        <v>571</v>
      </c>
      <c r="J13" s="263" t="s">
        <v>833</v>
      </c>
    </row>
    <row r="14" spans="1:10" x14ac:dyDescent="0.3">
      <c r="A14" s="433" t="s">
        <v>30</v>
      </c>
      <c r="B14" s="395" t="s">
        <v>31</v>
      </c>
      <c r="C14" s="395" t="s">
        <v>256</v>
      </c>
      <c r="D14" s="434" t="s">
        <v>30</v>
      </c>
      <c r="E14" s="427" t="s">
        <v>574</v>
      </c>
      <c r="F14" s="263" t="s">
        <v>509</v>
      </c>
      <c r="H14" s="429" t="s">
        <v>731</v>
      </c>
      <c r="I14" s="423" t="s">
        <v>571</v>
      </c>
      <c r="J14" s="263" t="s">
        <v>834</v>
      </c>
    </row>
    <row r="15" spans="1:10" x14ac:dyDescent="0.3">
      <c r="A15" s="433" t="s">
        <v>32</v>
      </c>
      <c r="B15" s="395" t="s">
        <v>33</v>
      </c>
      <c r="C15" s="395" t="s">
        <v>253</v>
      </c>
      <c r="D15" s="434" t="s">
        <v>32</v>
      </c>
      <c r="E15" s="427" t="s">
        <v>574</v>
      </c>
      <c r="F15" s="263" t="s">
        <v>509</v>
      </c>
      <c r="H15" s="429" t="s">
        <v>470</v>
      </c>
      <c r="I15" s="423" t="s">
        <v>570</v>
      </c>
      <c r="J15" s="263" t="s">
        <v>831</v>
      </c>
    </row>
    <row r="16" spans="1:10" x14ac:dyDescent="0.3">
      <c r="A16" s="433" t="s">
        <v>36</v>
      </c>
      <c r="B16" s="395" t="s">
        <v>37</v>
      </c>
      <c r="C16" s="395" t="s">
        <v>252</v>
      </c>
      <c r="D16" s="434" t="s">
        <v>36</v>
      </c>
      <c r="E16" s="427" t="s">
        <v>573</v>
      </c>
      <c r="F16" s="263" t="s">
        <v>509</v>
      </c>
      <c r="H16" s="429" t="s">
        <v>470</v>
      </c>
      <c r="I16" s="423" t="s">
        <v>570</v>
      </c>
      <c r="J16" s="263" t="s">
        <v>831</v>
      </c>
    </row>
    <row r="17" spans="1:10" hidden="1" x14ac:dyDescent="0.3">
      <c r="A17" s="433" t="s">
        <v>38</v>
      </c>
      <c r="B17" s="395" t="s">
        <v>39</v>
      </c>
      <c r="C17" s="395" t="s">
        <v>256</v>
      </c>
      <c r="D17" s="434" t="s">
        <v>38</v>
      </c>
      <c r="E17" s="427" t="s">
        <v>573</v>
      </c>
      <c r="F17" s="263" t="s">
        <v>500</v>
      </c>
      <c r="G17" s="263" t="s">
        <v>519</v>
      </c>
      <c r="H17" s="429" t="s">
        <v>731</v>
      </c>
      <c r="I17" s="423" t="s">
        <v>571</v>
      </c>
      <c r="J17" s="263" t="s">
        <v>834</v>
      </c>
    </row>
    <row r="18" spans="1:10" x14ac:dyDescent="0.3">
      <c r="A18" s="433" t="s">
        <v>40</v>
      </c>
      <c r="B18" s="395" t="s">
        <v>41</v>
      </c>
      <c r="C18" s="395" t="s">
        <v>254</v>
      </c>
      <c r="D18" s="434" t="s">
        <v>40</v>
      </c>
      <c r="E18" s="427" t="s">
        <v>573</v>
      </c>
      <c r="F18" s="263" t="s">
        <v>509</v>
      </c>
      <c r="H18" s="429" t="s">
        <v>731</v>
      </c>
      <c r="I18" s="423" t="s">
        <v>571</v>
      </c>
      <c r="J18" s="263" t="s">
        <v>834</v>
      </c>
    </row>
    <row r="19" spans="1:10" x14ac:dyDescent="0.3">
      <c r="A19" s="433" t="s">
        <v>42</v>
      </c>
      <c r="B19" s="395" t="s">
        <v>43</v>
      </c>
      <c r="C19" s="395" t="s">
        <v>253</v>
      </c>
      <c r="D19" s="434" t="s">
        <v>42</v>
      </c>
      <c r="E19" s="427" t="s">
        <v>573</v>
      </c>
      <c r="F19" s="263" t="s">
        <v>509</v>
      </c>
      <c r="H19" s="429" t="s">
        <v>731</v>
      </c>
      <c r="I19" s="423" t="s">
        <v>571</v>
      </c>
      <c r="J19" s="263" t="s">
        <v>836</v>
      </c>
    </row>
    <row r="20" spans="1:10" x14ac:dyDescent="0.3">
      <c r="A20" s="433" t="s">
        <v>44</v>
      </c>
      <c r="B20" s="395" t="s">
        <v>45</v>
      </c>
      <c r="C20" s="395" t="s">
        <v>254</v>
      </c>
      <c r="D20" s="434" t="s">
        <v>44</v>
      </c>
      <c r="E20" s="427" t="s">
        <v>573</v>
      </c>
      <c r="F20" s="263" t="s">
        <v>509</v>
      </c>
      <c r="H20" s="429" t="s">
        <v>731</v>
      </c>
      <c r="I20" s="423" t="s">
        <v>571</v>
      </c>
      <c r="J20" s="263" t="s">
        <v>833</v>
      </c>
    </row>
    <row r="21" spans="1:10" x14ac:dyDescent="0.3">
      <c r="A21" s="433" t="s">
        <v>46</v>
      </c>
      <c r="B21" s="395" t="s">
        <v>47</v>
      </c>
      <c r="C21" s="395" t="s">
        <v>256</v>
      </c>
      <c r="D21" s="434" t="s">
        <v>46</v>
      </c>
      <c r="E21" s="427" t="s">
        <v>573</v>
      </c>
      <c r="F21" s="263" t="s">
        <v>509</v>
      </c>
      <c r="H21" s="429" t="s">
        <v>731</v>
      </c>
      <c r="I21" s="423" t="s">
        <v>571</v>
      </c>
      <c r="J21" s="263" t="s">
        <v>834</v>
      </c>
    </row>
    <row r="22" spans="1:10" x14ac:dyDescent="0.3">
      <c r="A22" s="433" t="s">
        <v>48</v>
      </c>
      <c r="B22" s="395" t="s">
        <v>257</v>
      </c>
      <c r="C22" s="395" t="s">
        <v>254</v>
      </c>
      <c r="D22" s="434" t="s">
        <v>48</v>
      </c>
      <c r="E22" s="427" t="s">
        <v>574</v>
      </c>
      <c r="F22" s="263" t="s">
        <v>509</v>
      </c>
      <c r="H22" s="429" t="s">
        <v>731</v>
      </c>
      <c r="I22" s="423" t="s">
        <v>571</v>
      </c>
      <c r="J22" s="263" t="s">
        <v>843</v>
      </c>
    </row>
    <row r="23" spans="1:10" x14ac:dyDescent="0.3">
      <c r="A23" s="433" t="s">
        <v>50</v>
      </c>
      <c r="B23" s="395" t="s">
        <v>51</v>
      </c>
      <c r="C23" s="395" t="s">
        <v>253</v>
      </c>
      <c r="D23" s="434" t="s">
        <v>50</v>
      </c>
      <c r="E23" s="427" t="s">
        <v>573</v>
      </c>
      <c r="F23" s="263" t="s">
        <v>509</v>
      </c>
      <c r="H23" s="429" t="s">
        <v>731</v>
      </c>
      <c r="I23" s="423" t="s">
        <v>571</v>
      </c>
      <c r="J23" s="263" t="s">
        <v>834</v>
      </c>
    </row>
    <row r="24" spans="1:10" x14ac:dyDescent="0.3">
      <c r="A24" s="433" t="s">
        <v>56</v>
      </c>
      <c r="B24" s="395" t="s">
        <v>283</v>
      </c>
      <c r="C24" s="395" t="s">
        <v>254</v>
      </c>
      <c r="D24" s="434" t="s">
        <v>56</v>
      </c>
      <c r="E24" s="427" t="s">
        <v>575</v>
      </c>
      <c r="F24" s="263" t="s">
        <v>509</v>
      </c>
      <c r="H24" s="429" t="s">
        <v>471</v>
      </c>
      <c r="I24" s="423" t="s">
        <v>572</v>
      </c>
      <c r="J24" s="263" t="s">
        <v>832</v>
      </c>
    </row>
    <row r="25" spans="1:10" x14ac:dyDescent="0.3">
      <c r="A25" s="433" t="s">
        <v>58</v>
      </c>
      <c r="B25" s="395" t="s">
        <v>59</v>
      </c>
      <c r="C25" s="395" t="s">
        <v>255</v>
      </c>
      <c r="D25" s="434" t="s">
        <v>58</v>
      </c>
      <c r="E25" s="427" t="s">
        <v>574</v>
      </c>
      <c r="F25" s="263" t="s">
        <v>509</v>
      </c>
      <c r="H25" s="429" t="s">
        <v>838</v>
      </c>
      <c r="I25" s="423" t="s">
        <v>570</v>
      </c>
      <c r="J25" s="263" t="s">
        <v>831</v>
      </c>
    </row>
    <row r="26" spans="1:10" x14ac:dyDescent="0.3">
      <c r="A26" s="433" t="s">
        <v>60</v>
      </c>
      <c r="B26" s="395" t="s">
        <v>61</v>
      </c>
      <c r="C26" s="395" t="s">
        <v>253</v>
      </c>
      <c r="D26" s="434" t="s">
        <v>60</v>
      </c>
      <c r="E26" s="427" t="s">
        <v>574</v>
      </c>
      <c r="F26" s="263" t="s">
        <v>509</v>
      </c>
      <c r="H26" s="429" t="s">
        <v>470</v>
      </c>
      <c r="I26" s="423" t="s">
        <v>570</v>
      </c>
      <c r="J26" s="263" t="s">
        <v>831</v>
      </c>
    </row>
    <row r="27" spans="1:10" x14ac:dyDescent="0.3">
      <c r="A27" s="433" t="s">
        <v>62</v>
      </c>
      <c r="B27" s="395" t="s">
        <v>63</v>
      </c>
      <c r="C27" s="395" t="s">
        <v>255</v>
      </c>
      <c r="D27" s="434" t="s">
        <v>62</v>
      </c>
      <c r="E27" s="427" t="s">
        <v>573</v>
      </c>
      <c r="F27" s="263" t="s">
        <v>509</v>
      </c>
      <c r="H27" s="429" t="s">
        <v>731</v>
      </c>
      <c r="I27" s="423" t="s">
        <v>571</v>
      </c>
      <c r="J27" s="263" t="s">
        <v>833</v>
      </c>
    </row>
    <row r="28" spans="1:10" x14ac:dyDescent="0.3">
      <c r="A28" s="433" t="s">
        <v>64</v>
      </c>
      <c r="B28" s="395" t="s">
        <v>65</v>
      </c>
      <c r="C28" s="395" t="s">
        <v>254</v>
      </c>
      <c r="D28" s="434" t="s">
        <v>64</v>
      </c>
      <c r="E28" s="427" t="s">
        <v>574</v>
      </c>
      <c r="F28" s="263" t="s">
        <v>509</v>
      </c>
      <c r="H28" s="429" t="s">
        <v>731</v>
      </c>
      <c r="I28" s="423" t="s">
        <v>571</v>
      </c>
      <c r="J28" s="263" t="s">
        <v>837</v>
      </c>
    </row>
    <row r="29" spans="1:10" x14ac:dyDescent="0.3">
      <c r="A29" s="433" t="s">
        <v>68</v>
      </c>
      <c r="B29" s="395" t="s">
        <v>69</v>
      </c>
      <c r="C29" s="395" t="s">
        <v>256</v>
      </c>
      <c r="D29" s="434" t="s">
        <v>68</v>
      </c>
      <c r="E29" s="427" t="s">
        <v>573</v>
      </c>
      <c r="F29" s="263" t="s">
        <v>509</v>
      </c>
      <c r="H29" s="429" t="s">
        <v>470</v>
      </c>
      <c r="I29" s="423" t="s">
        <v>570</v>
      </c>
      <c r="J29" s="263" t="s">
        <v>831</v>
      </c>
    </row>
    <row r="30" spans="1:10" hidden="1" x14ac:dyDescent="0.3">
      <c r="A30" s="433" t="s">
        <v>70</v>
      </c>
      <c r="B30" s="395" t="s">
        <v>71</v>
      </c>
      <c r="C30" s="395" t="s">
        <v>252</v>
      </c>
      <c r="D30" s="434" t="s">
        <v>70</v>
      </c>
      <c r="E30" s="427" t="s">
        <v>573</v>
      </c>
      <c r="F30" s="263" t="s">
        <v>500</v>
      </c>
      <c r="G30" s="263" t="s">
        <v>519</v>
      </c>
      <c r="H30" s="429" t="s">
        <v>731</v>
      </c>
      <c r="I30" s="423" t="s">
        <v>571</v>
      </c>
      <c r="J30" s="263" t="s">
        <v>833</v>
      </c>
    </row>
    <row r="31" spans="1:10" x14ac:dyDescent="0.3">
      <c r="A31" s="433" t="s">
        <v>72</v>
      </c>
      <c r="B31" s="395" t="s">
        <v>73</v>
      </c>
      <c r="C31" s="395" t="s">
        <v>254</v>
      </c>
      <c r="D31" s="434" t="s">
        <v>72</v>
      </c>
      <c r="E31" s="427" t="s">
        <v>574</v>
      </c>
      <c r="F31" s="263" t="s">
        <v>509</v>
      </c>
      <c r="H31" s="429" t="s">
        <v>731</v>
      </c>
      <c r="I31" s="423" t="s">
        <v>571</v>
      </c>
      <c r="J31" s="263" t="s">
        <v>837</v>
      </c>
    </row>
    <row r="32" spans="1:10" hidden="1" x14ac:dyDescent="0.3">
      <c r="A32" s="433" t="s">
        <v>74</v>
      </c>
      <c r="B32" s="395" t="s">
        <v>622</v>
      </c>
      <c r="C32" s="395" t="s">
        <v>255</v>
      </c>
      <c r="D32" s="434" t="s">
        <v>74</v>
      </c>
      <c r="E32" s="427" t="s">
        <v>575</v>
      </c>
      <c r="F32" s="263" t="s">
        <v>500</v>
      </c>
      <c r="G32" s="263" t="s">
        <v>793</v>
      </c>
      <c r="H32" s="429" t="s">
        <v>471</v>
      </c>
      <c r="I32" s="423" t="s">
        <v>572</v>
      </c>
      <c r="J32" s="263" t="s">
        <v>832</v>
      </c>
    </row>
    <row r="33" spans="1:10" hidden="1" x14ac:dyDescent="0.3">
      <c r="A33" s="433" t="s">
        <v>76</v>
      </c>
      <c r="B33" s="395" t="s">
        <v>77</v>
      </c>
      <c r="C33" s="395" t="s">
        <v>255</v>
      </c>
      <c r="D33" s="434" t="s">
        <v>76</v>
      </c>
      <c r="E33" s="427" t="s">
        <v>573</v>
      </c>
      <c r="F33" s="263" t="s">
        <v>500</v>
      </c>
      <c r="G33" s="263" t="s">
        <v>519</v>
      </c>
      <c r="H33" s="429" t="s">
        <v>471</v>
      </c>
      <c r="I33" s="423" t="s">
        <v>572</v>
      </c>
      <c r="J33" s="263" t="s">
        <v>832</v>
      </c>
    </row>
    <row r="34" spans="1:10" x14ac:dyDescent="0.3">
      <c r="A34" s="433" t="s">
        <v>78</v>
      </c>
      <c r="B34" s="395" t="s">
        <v>79</v>
      </c>
      <c r="C34" s="395" t="s">
        <v>256</v>
      </c>
      <c r="D34" s="434" t="s">
        <v>78</v>
      </c>
      <c r="E34" s="427" t="s">
        <v>574</v>
      </c>
      <c r="F34" s="263" t="s">
        <v>509</v>
      </c>
      <c r="H34" s="429" t="s">
        <v>470</v>
      </c>
      <c r="I34" s="423" t="s">
        <v>570</v>
      </c>
      <c r="J34" s="263" t="s">
        <v>831</v>
      </c>
    </row>
    <row r="35" spans="1:10" x14ac:dyDescent="0.3">
      <c r="A35" s="433" t="s">
        <v>80</v>
      </c>
      <c r="B35" s="395" t="s">
        <v>81</v>
      </c>
      <c r="C35" s="395" t="s">
        <v>254</v>
      </c>
      <c r="D35" s="434" t="s">
        <v>80</v>
      </c>
      <c r="E35" s="427" t="s">
        <v>573</v>
      </c>
      <c r="F35" s="263" t="s">
        <v>509</v>
      </c>
      <c r="H35" s="429" t="s">
        <v>731</v>
      </c>
      <c r="I35" s="423" t="s">
        <v>571</v>
      </c>
      <c r="J35" s="263" t="s">
        <v>839</v>
      </c>
    </row>
    <row r="36" spans="1:10" x14ac:dyDescent="0.3">
      <c r="A36" s="433" t="s">
        <v>84</v>
      </c>
      <c r="B36" s="395" t="s">
        <v>296</v>
      </c>
      <c r="C36" s="395" t="s">
        <v>253</v>
      </c>
      <c r="D36" s="434" t="s">
        <v>84</v>
      </c>
      <c r="E36" s="427" t="s">
        <v>573</v>
      </c>
      <c r="F36" s="263" t="s">
        <v>509</v>
      </c>
      <c r="H36" s="429" t="s">
        <v>470</v>
      </c>
      <c r="I36" s="423" t="s">
        <v>570</v>
      </c>
      <c r="J36" s="263" t="s">
        <v>831</v>
      </c>
    </row>
    <row r="37" spans="1:10" x14ac:dyDescent="0.3">
      <c r="A37" s="433" t="s">
        <v>86</v>
      </c>
      <c r="B37" s="395" t="s">
        <v>87</v>
      </c>
      <c r="C37" s="395" t="s">
        <v>255</v>
      </c>
      <c r="D37" s="434" t="s">
        <v>86</v>
      </c>
      <c r="E37" s="427" t="s">
        <v>573</v>
      </c>
      <c r="F37" s="263" t="s">
        <v>509</v>
      </c>
      <c r="H37" s="429" t="s">
        <v>731</v>
      </c>
      <c r="I37" s="423" t="s">
        <v>571</v>
      </c>
      <c r="J37" s="263" t="s">
        <v>837</v>
      </c>
    </row>
    <row r="38" spans="1:10" x14ac:dyDescent="0.3">
      <c r="A38" s="433" t="s">
        <v>92</v>
      </c>
      <c r="B38" s="395" t="s">
        <v>93</v>
      </c>
      <c r="C38" s="395" t="s">
        <v>256</v>
      </c>
      <c r="D38" s="434" t="s">
        <v>92</v>
      </c>
      <c r="E38" s="427" t="s">
        <v>573</v>
      </c>
      <c r="F38" s="263" t="s">
        <v>509</v>
      </c>
      <c r="H38" s="429" t="s">
        <v>731</v>
      </c>
      <c r="I38" s="423" t="s">
        <v>571</v>
      </c>
      <c r="J38" s="263" t="s">
        <v>834</v>
      </c>
    </row>
    <row r="39" spans="1:10" x14ac:dyDescent="0.3">
      <c r="A39" s="433" t="s">
        <v>94</v>
      </c>
      <c r="B39" s="395" t="s">
        <v>95</v>
      </c>
      <c r="C39" s="395" t="s">
        <v>252</v>
      </c>
      <c r="D39" s="434" t="s">
        <v>94</v>
      </c>
      <c r="E39" s="427" t="s">
        <v>573</v>
      </c>
      <c r="F39" s="263" t="s">
        <v>509</v>
      </c>
      <c r="H39" s="429" t="s">
        <v>731</v>
      </c>
      <c r="I39" s="423" t="s">
        <v>571</v>
      </c>
      <c r="J39" s="263" t="s">
        <v>841</v>
      </c>
    </row>
    <row r="40" spans="1:10" x14ac:dyDescent="0.3">
      <c r="A40" s="433" t="s">
        <v>96</v>
      </c>
      <c r="B40" s="395" t="s">
        <v>97</v>
      </c>
      <c r="C40" s="395" t="s">
        <v>254</v>
      </c>
      <c r="D40" s="434" t="s">
        <v>96</v>
      </c>
      <c r="E40" s="427" t="s">
        <v>574</v>
      </c>
      <c r="F40" s="263" t="s">
        <v>509</v>
      </c>
      <c r="H40" s="429" t="s">
        <v>731</v>
      </c>
      <c r="I40" s="423" t="s">
        <v>571</v>
      </c>
      <c r="J40" s="263" t="s">
        <v>833</v>
      </c>
    </row>
    <row r="41" spans="1:10" x14ac:dyDescent="0.3">
      <c r="A41" s="433" t="s">
        <v>98</v>
      </c>
      <c r="B41" s="395" t="s">
        <v>99</v>
      </c>
      <c r="C41" s="395" t="s">
        <v>256</v>
      </c>
      <c r="D41" s="434" t="s">
        <v>98</v>
      </c>
      <c r="E41" s="427" t="s">
        <v>573</v>
      </c>
      <c r="F41" s="263" t="s">
        <v>509</v>
      </c>
      <c r="H41" s="429" t="s">
        <v>731</v>
      </c>
      <c r="I41" s="423" t="s">
        <v>571</v>
      </c>
      <c r="J41" s="263" t="s">
        <v>837</v>
      </c>
    </row>
    <row r="42" spans="1:10" x14ac:dyDescent="0.3">
      <c r="A42" s="433" t="s">
        <v>100</v>
      </c>
      <c r="B42" s="395" t="s">
        <v>101</v>
      </c>
      <c r="C42" s="395" t="s">
        <v>255</v>
      </c>
      <c r="D42" s="434" t="s">
        <v>100</v>
      </c>
      <c r="E42" s="427" t="s">
        <v>574</v>
      </c>
      <c r="F42" s="263" t="s">
        <v>509</v>
      </c>
      <c r="H42" s="429" t="s">
        <v>731</v>
      </c>
      <c r="I42" s="423" t="s">
        <v>571</v>
      </c>
      <c r="J42" s="263" t="s">
        <v>842</v>
      </c>
    </row>
    <row r="43" spans="1:10" x14ac:dyDescent="0.3">
      <c r="A43" s="433" t="s">
        <v>102</v>
      </c>
      <c r="B43" s="395" t="s">
        <v>270</v>
      </c>
      <c r="C43" s="395" t="s">
        <v>252</v>
      </c>
      <c r="D43" s="434" t="s">
        <v>102</v>
      </c>
      <c r="E43" s="427" t="s">
        <v>573</v>
      </c>
      <c r="F43" s="263" t="s">
        <v>509</v>
      </c>
      <c r="H43" s="429" t="s">
        <v>731</v>
      </c>
      <c r="I43" s="423" t="s">
        <v>571</v>
      </c>
      <c r="J43" s="263" t="s">
        <v>834</v>
      </c>
    </row>
    <row r="44" spans="1:10" x14ac:dyDescent="0.3">
      <c r="A44" s="433" t="s">
        <v>104</v>
      </c>
      <c r="B44" s="395" t="s">
        <v>465</v>
      </c>
      <c r="C44" s="395" t="s">
        <v>253</v>
      </c>
      <c r="D44" s="434" t="s">
        <v>104</v>
      </c>
      <c r="E44" s="427" t="s">
        <v>573</v>
      </c>
      <c r="F44" s="263" t="s">
        <v>509</v>
      </c>
      <c r="H44" s="429" t="s">
        <v>470</v>
      </c>
      <c r="I44" s="423" t="s">
        <v>570</v>
      </c>
      <c r="J44" s="263" t="s">
        <v>831</v>
      </c>
    </row>
    <row r="45" spans="1:10" hidden="1" x14ac:dyDescent="0.3">
      <c r="A45" s="433" t="s">
        <v>108</v>
      </c>
      <c r="B45" s="395" t="s">
        <v>109</v>
      </c>
      <c r="C45" s="395" t="s">
        <v>254</v>
      </c>
      <c r="D45" s="434" t="s">
        <v>108</v>
      </c>
      <c r="E45" s="427" t="s">
        <v>573</v>
      </c>
      <c r="F45" s="263" t="s">
        <v>500</v>
      </c>
      <c r="G45" s="263" t="s">
        <v>794</v>
      </c>
      <c r="H45" s="429" t="s">
        <v>471</v>
      </c>
      <c r="I45" s="423" t="s">
        <v>572</v>
      </c>
      <c r="J45" s="263" t="s">
        <v>832</v>
      </c>
    </row>
    <row r="46" spans="1:10" x14ac:dyDescent="0.3">
      <c r="A46" s="433" t="s">
        <v>110</v>
      </c>
      <c r="B46" s="395" t="s">
        <v>111</v>
      </c>
      <c r="C46" s="395" t="s">
        <v>254</v>
      </c>
      <c r="D46" s="434" t="s">
        <v>110</v>
      </c>
      <c r="E46" s="427" t="s">
        <v>575</v>
      </c>
      <c r="F46" s="263" t="s">
        <v>509</v>
      </c>
      <c r="H46" s="429" t="s">
        <v>471</v>
      </c>
      <c r="I46" s="423" t="s">
        <v>572</v>
      </c>
      <c r="J46" s="263" t="s">
        <v>832</v>
      </c>
    </row>
    <row r="47" spans="1:10" x14ac:dyDescent="0.3">
      <c r="A47" s="433" t="s">
        <v>112</v>
      </c>
      <c r="B47" s="395" t="s">
        <v>288</v>
      </c>
      <c r="C47" s="395" t="s">
        <v>253</v>
      </c>
      <c r="D47" s="434" t="s">
        <v>112</v>
      </c>
      <c r="E47" s="427" t="s">
        <v>575</v>
      </c>
      <c r="F47" s="263" t="s">
        <v>509</v>
      </c>
      <c r="H47" s="429" t="s">
        <v>470</v>
      </c>
      <c r="I47" s="423" t="s">
        <v>570</v>
      </c>
      <c r="J47" s="263" t="s">
        <v>831</v>
      </c>
    </row>
    <row r="48" spans="1:10" x14ac:dyDescent="0.3">
      <c r="A48" s="433" t="s">
        <v>114</v>
      </c>
      <c r="B48" s="395" t="s">
        <v>115</v>
      </c>
      <c r="C48" s="395" t="s">
        <v>253</v>
      </c>
      <c r="D48" s="434" t="s">
        <v>114</v>
      </c>
      <c r="E48" s="427" t="s">
        <v>574</v>
      </c>
      <c r="F48" s="263" t="s">
        <v>509</v>
      </c>
      <c r="H48" s="429" t="s">
        <v>470</v>
      </c>
      <c r="I48" s="423" t="s">
        <v>570</v>
      </c>
      <c r="J48" s="263" t="s">
        <v>831</v>
      </c>
    </row>
    <row r="49" spans="1:10" x14ac:dyDescent="0.3">
      <c r="A49" s="433" t="s">
        <v>118</v>
      </c>
      <c r="B49" s="395" t="s">
        <v>119</v>
      </c>
      <c r="C49" s="395" t="s">
        <v>252</v>
      </c>
      <c r="D49" s="434" t="s">
        <v>118</v>
      </c>
      <c r="E49" s="427" t="s">
        <v>573</v>
      </c>
      <c r="F49" s="263" t="s">
        <v>509</v>
      </c>
      <c r="H49" s="429" t="s">
        <v>731</v>
      </c>
      <c r="I49" s="423" t="s">
        <v>571</v>
      </c>
      <c r="J49" s="263" t="s">
        <v>834</v>
      </c>
    </row>
    <row r="50" spans="1:10" hidden="1" x14ac:dyDescent="0.3">
      <c r="A50" s="433" t="s">
        <v>120</v>
      </c>
      <c r="B50" s="395" t="s">
        <v>121</v>
      </c>
      <c r="C50" s="395" t="s">
        <v>252</v>
      </c>
      <c r="D50" s="434" t="s">
        <v>120</v>
      </c>
      <c r="E50" s="427" t="s">
        <v>573</v>
      </c>
      <c r="F50" s="263" t="s">
        <v>500</v>
      </c>
      <c r="G50" s="263" t="s">
        <v>518</v>
      </c>
      <c r="H50" s="429" t="s">
        <v>471</v>
      </c>
      <c r="I50" s="423" t="s">
        <v>572</v>
      </c>
      <c r="J50" s="263" t="s">
        <v>832</v>
      </c>
    </row>
    <row r="51" spans="1:10" hidden="1" x14ac:dyDescent="0.3">
      <c r="A51" s="433" t="s">
        <v>122</v>
      </c>
      <c r="B51" s="395" t="s">
        <v>259</v>
      </c>
      <c r="C51" s="395" t="s">
        <v>254</v>
      </c>
      <c r="D51" s="434" t="s">
        <v>122</v>
      </c>
      <c r="E51" s="427" t="s">
        <v>574</v>
      </c>
      <c r="F51" s="263" t="s">
        <v>500</v>
      </c>
      <c r="G51" s="263" t="s">
        <v>519</v>
      </c>
      <c r="H51" s="429" t="s">
        <v>731</v>
      </c>
      <c r="I51" s="423" t="s">
        <v>571</v>
      </c>
      <c r="J51" s="263" t="s">
        <v>833</v>
      </c>
    </row>
    <row r="52" spans="1:10" x14ac:dyDescent="0.3">
      <c r="A52" s="433" t="s">
        <v>124</v>
      </c>
      <c r="B52" s="395" t="s">
        <v>125</v>
      </c>
      <c r="C52" s="395" t="s">
        <v>255</v>
      </c>
      <c r="D52" s="434" t="s">
        <v>124</v>
      </c>
      <c r="E52" s="427" t="s">
        <v>574</v>
      </c>
      <c r="F52" s="263" t="s">
        <v>509</v>
      </c>
      <c r="H52" s="429" t="s">
        <v>731</v>
      </c>
      <c r="I52" s="423" t="s">
        <v>571</v>
      </c>
      <c r="J52" s="263" t="s">
        <v>837</v>
      </c>
    </row>
    <row r="53" spans="1:10" x14ac:dyDescent="0.3">
      <c r="A53" s="433" t="s">
        <v>126</v>
      </c>
      <c r="B53" s="395" t="s">
        <v>127</v>
      </c>
      <c r="C53" s="395" t="s">
        <v>254</v>
      </c>
      <c r="D53" s="434" t="s">
        <v>126</v>
      </c>
      <c r="E53" s="427" t="s">
        <v>574</v>
      </c>
      <c r="F53" s="263" t="s">
        <v>509</v>
      </c>
      <c r="H53" s="429" t="s">
        <v>731</v>
      </c>
      <c r="I53" s="423" t="s">
        <v>571</v>
      </c>
      <c r="J53" s="263" t="s">
        <v>850</v>
      </c>
    </row>
    <row r="54" spans="1:10" x14ac:dyDescent="0.3">
      <c r="A54" s="433" t="s">
        <v>128</v>
      </c>
      <c r="B54" s="395" t="s">
        <v>129</v>
      </c>
      <c r="C54" s="395" t="s">
        <v>254</v>
      </c>
      <c r="D54" s="434" t="s">
        <v>128</v>
      </c>
      <c r="E54" s="427" t="s">
        <v>574</v>
      </c>
      <c r="F54" s="263" t="s">
        <v>509</v>
      </c>
      <c r="H54" s="429" t="s">
        <v>731</v>
      </c>
      <c r="I54" s="423" t="s">
        <v>571</v>
      </c>
      <c r="J54" s="263" t="s">
        <v>837</v>
      </c>
    </row>
    <row r="55" spans="1:10" x14ac:dyDescent="0.3">
      <c r="A55" s="433" t="s">
        <v>130</v>
      </c>
      <c r="B55" s="395" t="s">
        <v>131</v>
      </c>
      <c r="C55" s="395" t="s">
        <v>256</v>
      </c>
      <c r="D55" s="434" t="s">
        <v>130</v>
      </c>
      <c r="E55" s="427" t="s">
        <v>573</v>
      </c>
      <c r="F55" s="263" t="s">
        <v>509</v>
      </c>
      <c r="H55" s="429" t="s">
        <v>470</v>
      </c>
      <c r="I55" s="423" t="s">
        <v>570</v>
      </c>
      <c r="J55" s="263" t="s">
        <v>831</v>
      </c>
    </row>
    <row r="56" spans="1:10" hidden="1" x14ac:dyDescent="0.3">
      <c r="A56" s="433" t="s">
        <v>132</v>
      </c>
      <c r="B56" s="395" t="s">
        <v>133</v>
      </c>
      <c r="C56" s="395" t="s">
        <v>255</v>
      </c>
      <c r="D56" s="434" t="s">
        <v>132</v>
      </c>
      <c r="E56" s="427" t="s">
        <v>575</v>
      </c>
      <c r="F56" s="263" t="s">
        <v>500</v>
      </c>
      <c r="G56" s="263" t="s">
        <v>519</v>
      </c>
      <c r="H56" s="429" t="s">
        <v>471</v>
      </c>
      <c r="I56" s="423" t="s">
        <v>572</v>
      </c>
      <c r="J56" s="263" t="s">
        <v>832</v>
      </c>
    </row>
    <row r="57" spans="1:10" hidden="1" x14ac:dyDescent="0.3">
      <c r="A57" s="433" t="s">
        <v>134</v>
      </c>
      <c r="B57" s="395" t="s">
        <v>135</v>
      </c>
      <c r="C57" s="395" t="s">
        <v>255</v>
      </c>
      <c r="D57" s="434" t="s">
        <v>134</v>
      </c>
      <c r="E57" s="427" t="s">
        <v>573</v>
      </c>
      <c r="F57" s="263" t="s">
        <v>500</v>
      </c>
      <c r="G57" s="263" t="s">
        <v>519</v>
      </c>
      <c r="H57" s="429" t="s">
        <v>471</v>
      </c>
      <c r="I57" s="423" t="s">
        <v>572</v>
      </c>
      <c r="J57" s="263" t="s">
        <v>832</v>
      </c>
    </row>
    <row r="58" spans="1:10" hidden="1" x14ac:dyDescent="0.3">
      <c r="A58" s="433" t="s">
        <v>136</v>
      </c>
      <c r="B58" s="395" t="s">
        <v>137</v>
      </c>
      <c r="C58" s="395" t="s">
        <v>254</v>
      </c>
      <c r="D58" s="434" t="s">
        <v>136</v>
      </c>
      <c r="E58" s="427" t="s">
        <v>574</v>
      </c>
      <c r="F58" s="263" t="s">
        <v>500</v>
      </c>
      <c r="G58" s="263" t="s">
        <v>519</v>
      </c>
      <c r="H58" s="429" t="s">
        <v>731</v>
      </c>
      <c r="I58" s="423" t="s">
        <v>571</v>
      </c>
      <c r="J58" s="263" t="s">
        <v>834</v>
      </c>
    </row>
    <row r="59" spans="1:10" x14ac:dyDescent="0.3">
      <c r="A59" s="433" t="s">
        <v>140</v>
      </c>
      <c r="B59" s="395" t="s">
        <v>141</v>
      </c>
      <c r="C59" s="395" t="s">
        <v>255</v>
      </c>
      <c r="D59" s="434" t="s">
        <v>140</v>
      </c>
      <c r="E59" s="427" t="s">
        <v>574</v>
      </c>
      <c r="F59" s="263" t="s">
        <v>509</v>
      </c>
      <c r="H59" s="429" t="s">
        <v>470</v>
      </c>
      <c r="I59" s="423" t="s">
        <v>570</v>
      </c>
      <c r="J59" s="263" t="s">
        <v>831</v>
      </c>
    </row>
    <row r="60" spans="1:10" x14ac:dyDescent="0.3">
      <c r="A60" s="433" t="s">
        <v>146</v>
      </c>
      <c r="B60" s="395" t="s">
        <v>147</v>
      </c>
      <c r="C60" s="395" t="s">
        <v>252</v>
      </c>
      <c r="D60" s="434" t="s">
        <v>146</v>
      </c>
      <c r="E60" s="427" t="s">
        <v>574</v>
      </c>
      <c r="F60" s="263" t="s">
        <v>509</v>
      </c>
      <c r="H60" s="429" t="s">
        <v>731</v>
      </c>
      <c r="I60" s="423" t="s">
        <v>571</v>
      </c>
      <c r="J60" s="263" t="s">
        <v>837</v>
      </c>
    </row>
    <row r="61" spans="1:10" x14ac:dyDescent="0.3">
      <c r="A61" s="433" t="s">
        <v>148</v>
      </c>
      <c r="B61" s="395" t="s">
        <v>149</v>
      </c>
      <c r="C61" s="395" t="s">
        <v>253</v>
      </c>
      <c r="D61" s="434" t="s">
        <v>148</v>
      </c>
      <c r="E61" s="427" t="s">
        <v>573</v>
      </c>
      <c r="F61" s="263" t="s">
        <v>509</v>
      </c>
      <c r="H61" s="429" t="s">
        <v>731</v>
      </c>
      <c r="I61" s="423" t="s">
        <v>571</v>
      </c>
      <c r="J61" s="263" t="s">
        <v>839</v>
      </c>
    </row>
    <row r="62" spans="1:10" hidden="1" x14ac:dyDescent="0.3">
      <c r="A62" s="433" t="s">
        <v>150</v>
      </c>
      <c r="B62" s="395" t="s">
        <v>151</v>
      </c>
      <c r="C62" s="395" t="s">
        <v>254</v>
      </c>
      <c r="D62" s="434" t="s">
        <v>150</v>
      </c>
      <c r="E62" s="427" t="s">
        <v>574</v>
      </c>
      <c r="F62" s="263" t="s">
        <v>500</v>
      </c>
      <c r="G62" s="263" t="s">
        <v>519</v>
      </c>
      <c r="H62" s="429" t="s">
        <v>731</v>
      </c>
      <c r="I62" s="423" t="s">
        <v>571</v>
      </c>
      <c r="J62" s="263" t="s">
        <v>837</v>
      </c>
    </row>
    <row r="63" spans="1:10" x14ac:dyDescent="0.3">
      <c r="A63" s="433" t="s">
        <v>152</v>
      </c>
      <c r="B63" s="395" t="s">
        <v>153</v>
      </c>
      <c r="C63" s="395" t="s">
        <v>256</v>
      </c>
      <c r="D63" s="434" t="s">
        <v>152</v>
      </c>
      <c r="E63" s="427" t="s">
        <v>573</v>
      </c>
      <c r="F63" s="263" t="s">
        <v>509</v>
      </c>
      <c r="H63" s="429" t="s">
        <v>471</v>
      </c>
      <c r="I63" s="423" t="s">
        <v>572</v>
      </c>
      <c r="J63" s="263" t="s">
        <v>832</v>
      </c>
    </row>
    <row r="64" spans="1:10" x14ac:dyDescent="0.3">
      <c r="A64" s="433" t="s">
        <v>154</v>
      </c>
      <c r="B64" s="395" t="s">
        <v>155</v>
      </c>
      <c r="C64" s="395" t="s">
        <v>253</v>
      </c>
      <c r="D64" s="434" t="s">
        <v>154</v>
      </c>
      <c r="E64" s="427" t="s">
        <v>574</v>
      </c>
      <c r="F64" s="263" t="s">
        <v>509</v>
      </c>
      <c r="H64" s="429" t="s">
        <v>470</v>
      </c>
      <c r="I64" s="423" t="s">
        <v>570</v>
      </c>
      <c r="J64" s="263" t="s">
        <v>831</v>
      </c>
    </row>
    <row r="65" spans="1:10" hidden="1" x14ac:dyDescent="0.3">
      <c r="A65" s="433" t="s">
        <v>156</v>
      </c>
      <c r="B65" s="395" t="s">
        <v>157</v>
      </c>
      <c r="C65" s="395" t="s">
        <v>254</v>
      </c>
      <c r="D65" s="434" t="s">
        <v>156</v>
      </c>
      <c r="E65" s="427" t="s">
        <v>574</v>
      </c>
      <c r="F65" s="263" t="s">
        <v>500</v>
      </c>
      <c r="G65" s="263" t="s">
        <v>519</v>
      </c>
      <c r="H65" s="429" t="s">
        <v>731</v>
      </c>
      <c r="I65" s="423" t="s">
        <v>571</v>
      </c>
      <c r="J65" s="263" t="s">
        <v>833</v>
      </c>
    </row>
    <row r="66" spans="1:10" x14ac:dyDescent="0.3">
      <c r="A66" s="433" t="s">
        <v>162</v>
      </c>
      <c r="B66" s="395" t="s">
        <v>163</v>
      </c>
      <c r="C66" s="395" t="s">
        <v>252</v>
      </c>
      <c r="D66" s="434" t="s">
        <v>162</v>
      </c>
      <c r="E66" s="427" t="s">
        <v>573</v>
      </c>
      <c r="F66" s="263" t="s">
        <v>509</v>
      </c>
      <c r="H66" s="429" t="s">
        <v>731</v>
      </c>
      <c r="I66" s="423" t="s">
        <v>571</v>
      </c>
      <c r="J66" s="263" t="s">
        <v>839</v>
      </c>
    </row>
    <row r="67" spans="1:10" x14ac:dyDescent="0.3">
      <c r="A67" s="433" t="s">
        <v>164</v>
      </c>
      <c r="B67" s="395" t="s">
        <v>165</v>
      </c>
      <c r="C67" s="395" t="s">
        <v>254</v>
      </c>
      <c r="D67" s="434" t="s">
        <v>164</v>
      </c>
      <c r="E67" s="427" t="s">
        <v>574</v>
      </c>
      <c r="F67" s="263" t="s">
        <v>509</v>
      </c>
      <c r="H67" s="429" t="s">
        <v>470</v>
      </c>
      <c r="I67" s="423" t="s">
        <v>570</v>
      </c>
      <c r="J67" s="263" t="s">
        <v>831</v>
      </c>
    </row>
    <row r="68" spans="1:10" x14ac:dyDescent="0.3">
      <c r="A68" s="433" t="s">
        <v>168</v>
      </c>
      <c r="B68" s="395" t="s">
        <v>169</v>
      </c>
      <c r="C68" s="395" t="s">
        <v>254</v>
      </c>
      <c r="D68" s="434" t="s">
        <v>168</v>
      </c>
      <c r="E68" s="427" t="s">
        <v>574</v>
      </c>
      <c r="F68" s="263" t="s">
        <v>509</v>
      </c>
      <c r="H68" s="429" t="s">
        <v>470</v>
      </c>
      <c r="I68" s="423" t="s">
        <v>570</v>
      </c>
    </row>
    <row r="69" spans="1:10" hidden="1" x14ac:dyDescent="0.3">
      <c r="A69" s="433" t="s">
        <v>170</v>
      </c>
      <c r="B69" s="395" t="s">
        <v>171</v>
      </c>
      <c r="C69" s="395" t="s">
        <v>255</v>
      </c>
      <c r="D69" s="434" t="s">
        <v>170</v>
      </c>
      <c r="E69" s="427" t="s">
        <v>573</v>
      </c>
      <c r="F69" s="263" t="s">
        <v>500</v>
      </c>
      <c r="G69" s="263" t="s">
        <v>519</v>
      </c>
      <c r="H69" s="429" t="s">
        <v>470</v>
      </c>
      <c r="I69" s="423" t="s">
        <v>570</v>
      </c>
      <c r="J69" s="263" t="s">
        <v>831</v>
      </c>
    </row>
    <row r="70" spans="1:10" x14ac:dyDescent="0.3">
      <c r="A70" s="433" t="s">
        <v>172</v>
      </c>
      <c r="B70" s="395" t="s">
        <v>173</v>
      </c>
      <c r="C70" s="395" t="s">
        <v>255</v>
      </c>
      <c r="D70" s="434" t="s">
        <v>172</v>
      </c>
      <c r="E70" s="427" t="s">
        <v>573</v>
      </c>
      <c r="F70" s="263" t="s">
        <v>509</v>
      </c>
      <c r="H70" s="429" t="s">
        <v>470</v>
      </c>
      <c r="I70" s="423" t="s">
        <v>570</v>
      </c>
      <c r="J70" s="263" t="s">
        <v>831</v>
      </c>
    </row>
    <row r="71" spans="1:10" x14ac:dyDescent="0.3">
      <c r="A71" s="433" t="s">
        <v>174</v>
      </c>
      <c r="B71" s="395" t="s">
        <v>175</v>
      </c>
      <c r="C71" s="395" t="s">
        <v>256</v>
      </c>
      <c r="D71" s="434" t="s">
        <v>174</v>
      </c>
      <c r="E71" s="427" t="s">
        <v>573</v>
      </c>
      <c r="F71" s="263" t="s">
        <v>509</v>
      </c>
      <c r="H71" s="429" t="s">
        <v>470</v>
      </c>
      <c r="I71" s="423" t="s">
        <v>570</v>
      </c>
      <c r="J71" s="263" t="s">
        <v>831</v>
      </c>
    </row>
    <row r="72" spans="1:10" x14ac:dyDescent="0.3">
      <c r="A72" s="433" t="s">
        <v>178</v>
      </c>
      <c r="B72" s="395" t="s">
        <v>179</v>
      </c>
      <c r="C72" s="395" t="s">
        <v>253</v>
      </c>
      <c r="D72" s="434" t="s">
        <v>178</v>
      </c>
      <c r="E72" s="427" t="s">
        <v>573</v>
      </c>
      <c r="F72" s="263" t="s">
        <v>509</v>
      </c>
      <c r="H72" s="429" t="s">
        <v>731</v>
      </c>
      <c r="I72" s="423" t="s">
        <v>571</v>
      </c>
      <c r="J72" s="263" t="s">
        <v>1075</v>
      </c>
    </row>
    <row r="73" spans="1:10" x14ac:dyDescent="0.3">
      <c r="A73" s="433" t="s">
        <v>182</v>
      </c>
      <c r="B73" s="395" t="s">
        <v>183</v>
      </c>
      <c r="C73" s="395" t="s">
        <v>254</v>
      </c>
      <c r="D73" s="434" t="s">
        <v>182</v>
      </c>
      <c r="E73" s="427" t="s">
        <v>573</v>
      </c>
      <c r="F73" s="263" t="s">
        <v>509</v>
      </c>
      <c r="H73" s="429" t="s">
        <v>731</v>
      </c>
      <c r="I73" s="423" t="s">
        <v>571</v>
      </c>
      <c r="J73" s="263" t="s">
        <v>846</v>
      </c>
    </row>
    <row r="74" spans="1:10" x14ac:dyDescent="0.3">
      <c r="A74" s="433" t="s">
        <v>184</v>
      </c>
      <c r="B74" s="395" t="s">
        <v>185</v>
      </c>
      <c r="C74" s="395" t="s">
        <v>254</v>
      </c>
      <c r="D74" s="434" t="s">
        <v>184</v>
      </c>
      <c r="E74" s="427" t="s">
        <v>573</v>
      </c>
      <c r="F74" s="263" t="s">
        <v>509</v>
      </c>
      <c r="H74" s="429" t="s">
        <v>731</v>
      </c>
      <c r="I74" s="423" t="s">
        <v>571</v>
      </c>
      <c r="J74" s="263" t="s">
        <v>1028</v>
      </c>
    </row>
    <row r="75" spans="1:10" hidden="1" x14ac:dyDescent="0.3">
      <c r="A75" s="433" t="s">
        <v>186</v>
      </c>
      <c r="B75" s="395" t="s">
        <v>187</v>
      </c>
      <c r="C75" s="395" t="s">
        <v>252</v>
      </c>
      <c r="D75" s="434" t="s">
        <v>186</v>
      </c>
      <c r="E75" s="427" t="s">
        <v>573</v>
      </c>
      <c r="F75" s="263" t="s">
        <v>500</v>
      </c>
      <c r="G75" s="263" t="s">
        <v>519</v>
      </c>
      <c r="H75" s="429" t="s">
        <v>471</v>
      </c>
      <c r="I75" s="423" t="s">
        <v>572</v>
      </c>
      <c r="J75" s="263" t="s">
        <v>832</v>
      </c>
    </row>
    <row r="76" spans="1:10" hidden="1" x14ac:dyDescent="0.3">
      <c r="A76" s="433" t="s">
        <v>188</v>
      </c>
      <c r="B76" s="395" t="s">
        <v>189</v>
      </c>
      <c r="C76" s="395" t="s">
        <v>255</v>
      </c>
      <c r="D76" s="434" t="s">
        <v>188</v>
      </c>
      <c r="E76" s="427" t="s">
        <v>575</v>
      </c>
      <c r="F76" s="263" t="s">
        <v>500</v>
      </c>
      <c r="G76" s="263" t="s">
        <v>847</v>
      </c>
      <c r="H76" s="429" t="s">
        <v>471</v>
      </c>
      <c r="I76" s="423" t="s">
        <v>572</v>
      </c>
      <c r="J76" s="263" t="s">
        <v>832</v>
      </c>
    </row>
    <row r="77" spans="1:10" x14ac:dyDescent="0.3">
      <c r="A77" s="433" t="s">
        <v>190</v>
      </c>
      <c r="B77" s="395" t="s">
        <v>191</v>
      </c>
      <c r="C77" s="395" t="s">
        <v>256</v>
      </c>
      <c r="D77" s="434" t="s">
        <v>190</v>
      </c>
      <c r="E77" s="427" t="s">
        <v>573</v>
      </c>
      <c r="F77" s="263" t="s">
        <v>509</v>
      </c>
      <c r="H77" s="429" t="s">
        <v>731</v>
      </c>
      <c r="I77" s="423" t="s">
        <v>571</v>
      </c>
      <c r="J77" s="263" t="s">
        <v>834</v>
      </c>
    </row>
    <row r="78" spans="1:10" x14ac:dyDescent="0.3">
      <c r="A78" s="433" t="s">
        <v>194</v>
      </c>
      <c r="B78" s="395" t="s">
        <v>195</v>
      </c>
      <c r="C78" s="395" t="s">
        <v>255</v>
      </c>
      <c r="D78" s="434" t="s">
        <v>194</v>
      </c>
      <c r="E78" s="427" t="s">
        <v>574</v>
      </c>
      <c r="F78" s="263" t="s">
        <v>509</v>
      </c>
      <c r="H78" s="429" t="s">
        <v>470</v>
      </c>
      <c r="I78" s="423" t="s">
        <v>570</v>
      </c>
      <c r="J78" s="263" t="s">
        <v>831</v>
      </c>
    </row>
    <row r="79" spans="1:10" x14ac:dyDescent="0.3">
      <c r="A79" s="433" t="s">
        <v>198</v>
      </c>
      <c r="B79" s="395" t="s">
        <v>199</v>
      </c>
      <c r="C79" s="395" t="s">
        <v>254</v>
      </c>
      <c r="D79" s="434" t="s">
        <v>198</v>
      </c>
      <c r="E79" s="427" t="s">
        <v>574</v>
      </c>
      <c r="F79" s="263" t="s">
        <v>509</v>
      </c>
      <c r="H79" s="429" t="s">
        <v>731</v>
      </c>
      <c r="I79" s="423" t="s">
        <v>571</v>
      </c>
      <c r="J79" s="263" t="s">
        <v>833</v>
      </c>
    </row>
    <row r="80" spans="1:10" hidden="1" x14ac:dyDescent="0.3">
      <c r="A80" s="433" t="s">
        <v>202</v>
      </c>
      <c r="B80" s="395" t="s">
        <v>474</v>
      </c>
      <c r="C80" s="395" t="s">
        <v>253</v>
      </c>
      <c r="D80" s="434" t="s">
        <v>202</v>
      </c>
      <c r="E80" s="427" t="s">
        <v>575</v>
      </c>
      <c r="F80" s="263" t="s">
        <v>500</v>
      </c>
      <c r="G80" s="263" t="s">
        <v>518</v>
      </c>
      <c r="H80" s="429" t="s">
        <v>471</v>
      </c>
      <c r="I80" s="423" t="s">
        <v>572</v>
      </c>
      <c r="J80" s="263" t="s">
        <v>832</v>
      </c>
    </row>
    <row r="81" spans="1:13" x14ac:dyDescent="0.3">
      <c r="A81" s="433" t="s">
        <v>204</v>
      </c>
      <c r="B81" s="395" t="s">
        <v>281</v>
      </c>
      <c r="C81" s="395" t="s">
        <v>253</v>
      </c>
      <c r="D81" s="434" t="s">
        <v>204</v>
      </c>
      <c r="E81" s="427" t="s">
        <v>573</v>
      </c>
      <c r="F81" s="263" t="s">
        <v>509</v>
      </c>
      <c r="H81" s="429" t="s">
        <v>470</v>
      </c>
      <c r="I81" s="423" t="s">
        <v>570</v>
      </c>
      <c r="J81" s="263" t="s">
        <v>831</v>
      </c>
    </row>
    <row r="82" spans="1:13" hidden="1" x14ac:dyDescent="0.3">
      <c r="A82" s="433" t="s">
        <v>206</v>
      </c>
      <c r="B82" s="395" t="s">
        <v>282</v>
      </c>
      <c r="C82" s="395" t="s">
        <v>255</v>
      </c>
      <c r="D82" s="434" t="s">
        <v>206</v>
      </c>
      <c r="E82" s="427" t="s">
        <v>575</v>
      </c>
      <c r="F82" s="263" t="s">
        <v>500</v>
      </c>
      <c r="G82" s="263" t="s">
        <v>555</v>
      </c>
      <c r="H82" s="429" t="s">
        <v>731</v>
      </c>
      <c r="I82" s="423" t="s">
        <v>571</v>
      </c>
      <c r="J82" s="263" t="s">
        <v>848</v>
      </c>
      <c r="L82" s="64" t="s">
        <v>861</v>
      </c>
      <c r="M82" s="64" t="s">
        <v>862</v>
      </c>
    </row>
    <row r="83" spans="1:13" x14ac:dyDescent="0.3">
      <c r="A83" s="433" t="s">
        <v>208</v>
      </c>
      <c r="B83" s="395" t="s">
        <v>209</v>
      </c>
      <c r="C83" s="395" t="s">
        <v>256</v>
      </c>
      <c r="D83" s="434" t="s">
        <v>208</v>
      </c>
      <c r="E83" s="427" t="s">
        <v>573</v>
      </c>
      <c r="F83" s="263" t="s">
        <v>509</v>
      </c>
      <c r="H83" s="429" t="s">
        <v>731</v>
      </c>
      <c r="I83" s="423" t="s">
        <v>571</v>
      </c>
      <c r="J83" s="263" t="s">
        <v>834</v>
      </c>
      <c r="L83" s="263" t="s">
        <v>863</v>
      </c>
      <c r="M83" s="263" t="s">
        <v>864</v>
      </c>
    </row>
    <row r="84" spans="1:13" x14ac:dyDescent="0.3">
      <c r="A84" s="433" t="s">
        <v>210</v>
      </c>
      <c r="B84" s="395" t="s">
        <v>211</v>
      </c>
      <c r="C84" s="395" t="s">
        <v>256</v>
      </c>
      <c r="D84" s="434" t="s">
        <v>210</v>
      </c>
      <c r="E84" s="427" t="s">
        <v>573</v>
      </c>
      <c r="F84" s="263" t="s">
        <v>509</v>
      </c>
      <c r="H84" s="429" t="s">
        <v>731</v>
      </c>
      <c r="I84" s="423" t="s">
        <v>571</v>
      </c>
      <c r="J84" s="263" t="s">
        <v>837</v>
      </c>
      <c r="L84" s="263" t="s">
        <v>865</v>
      </c>
      <c r="M84" s="263" t="s">
        <v>866</v>
      </c>
    </row>
    <row r="85" spans="1:13" x14ac:dyDescent="0.3">
      <c r="A85" s="433" t="s">
        <v>212</v>
      </c>
      <c r="B85" s="395" t="s">
        <v>213</v>
      </c>
      <c r="C85" s="395" t="s">
        <v>255</v>
      </c>
      <c r="D85" s="434" t="s">
        <v>212</v>
      </c>
      <c r="E85" s="427" t="s">
        <v>573</v>
      </c>
      <c r="F85" s="263" t="s">
        <v>509</v>
      </c>
      <c r="H85" s="429" t="s">
        <v>470</v>
      </c>
      <c r="I85" s="423" t="s">
        <v>570</v>
      </c>
      <c r="J85" s="263" t="s">
        <v>831</v>
      </c>
      <c r="L85" s="263" t="s">
        <v>867</v>
      </c>
      <c r="M85" s="263" t="s">
        <v>868</v>
      </c>
    </row>
    <row r="86" spans="1:13" x14ac:dyDescent="0.3">
      <c r="A86" s="433" t="s">
        <v>214</v>
      </c>
      <c r="B86" s="395" t="s">
        <v>215</v>
      </c>
      <c r="C86" s="395" t="s">
        <v>256</v>
      </c>
      <c r="D86" s="434" t="s">
        <v>214</v>
      </c>
      <c r="E86" s="427" t="s">
        <v>573</v>
      </c>
      <c r="F86" s="263" t="s">
        <v>509</v>
      </c>
      <c r="H86" s="429" t="s">
        <v>470</v>
      </c>
      <c r="I86" s="423" t="s">
        <v>570</v>
      </c>
      <c r="J86" s="263" t="s">
        <v>831</v>
      </c>
      <c r="L86" s="263" t="s">
        <v>869</v>
      </c>
      <c r="M86" s="263" t="s">
        <v>870</v>
      </c>
    </row>
    <row r="87" spans="1:13" x14ac:dyDescent="0.3">
      <c r="A87" s="433" t="s">
        <v>216</v>
      </c>
      <c r="B87" s="395" t="s">
        <v>217</v>
      </c>
      <c r="C87" s="395" t="s">
        <v>252</v>
      </c>
      <c r="D87" s="434" t="s">
        <v>216</v>
      </c>
      <c r="E87" s="427" t="s">
        <v>573</v>
      </c>
      <c r="F87" s="263" t="s">
        <v>509</v>
      </c>
      <c r="H87" s="429" t="s">
        <v>470</v>
      </c>
      <c r="I87" s="423" t="s">
        <v>570</v>
      </c>
      <c r="J87" s="263" t="s">
        <v>831</v>
      </c>
      <c r="L87" s="263" t="s">
        <v>871</v>
      </c>
      <c r="M87" s="263" t="s">
        <v>872</v>
      </c>
    </row>
    <row r="88" spans="1:13" hidden="1" x14ac:dyDescent="0.3">
      <c r="A88" s="433" t="s">
        <v>218</v>
      </c>
      <c r="B88" s="395" t="s">
        <v>219</v>
      </c>
      <c r="C88" s="395" t="s">
        <v>255</v>
      </c>
      <c r="D88" s="434" t="s">
        <v>218</v>
      </c>
      <c r="E88" s="427" t="s">
        <v>575</v>
      </c>
      <c r="F88" s="263" t="s">
        <v>500</v>
      </c>
      <c r="G88" s="263" t="s">
        <v>519</v>
      </c>
      <c r="H88" s="429" t="s">
        <v>471</v>
      </c>
      <c r="I88" s="423" t="s">
        <v>572</v>
      </c>
      <c r="J88" s="263" t="s">
        <v>832</v>
      </c>
      <c r="L88" s="263" t="s">
        <v>873</v>
      </c>
      <c r="M88" s="263" t="s">
        <v>874</v>
      </c>
    </row>
    <row r="89" spans="1:13" x14ac:dyDescent="0.3">
      <c r="A89" s="433" t="s">
        <v>220</v>
      </c>
      <c r="B89" s="395" t="s">
        <v>221</v>
      </c>
      <c r="C89" s="395" t="s">
        <v>255</v>
      </c>
      <c r="D89" s="434" t="s">
        <v>220</v>
      </c>
      <c r="E89" s="427" t="s">
        <v>573</v>
      </c>
      <c r="F89" s="263" t="s">
        <v>509</v>
      </c>
      <c r="H89" s="429" t="s">
        <v>731</v>
      </c>
      <c r="I89" s="423" t="s">
        <v>571</v>
      </c>
      <c r="J89" s="263" t="s">
        <v>841</v>
      </c>
      <c r="L89" s="263" t="s">
        <v>875</v>
      </c>
      <c r="M89" s="263" t="s">
        <v>876</v>
      </c>
    </row>
    <row r="90" spans="1:13" x14ac:dyDescent="0.3">
      <c r="A90" s="433" t="s">
        <v>224</v>
      </c>
      <c r="B90" s="395" t="s">
        <v>225</v>
      </c>
      <c r="C90" s="395" t="s">
        <v>252</v>
      </c>
      <c r="D90" s="434" t="s">
        <v>224</v>
      </c>
      <c r="E90" s="427" t="s">
        <v>573</v>
      </c>
      <c r="F90" s="263" t="s">
        <v>509</v>
      </c>
      <c r="H90" s="429" t="s">
        <v>470</v>
      </c>
      <c r="I90" s="423" t="s">
        <v>570</v>
      </c>
      <c r="J90" s="263" t="s">
        <v>831</v>
      </c>
      <c r="L90" s="263" t="s">
        <v>879</v>
      </c>
      <c r="M90" s="263" t="s">
        <v>880</v>
      </c>
    </row>
    <row r="91" spans="1:13" x14ac:dyDescent="0.3">
      <c r="A91" s="433" t="s">
        <v>226</v>
      </c>
      <c r="B91" s="395" t="s">
        <v>227</v>
      </c>
      <c r="C91" s="395" t="s">
        <v>252</v>
      </c>
      <c r="D91" s="434" t="s">
        <v>226</v>
      </c>
      <c r="E91" s="427" t="s">
        <v>573</v>
      </c>
      <c r="F91" s="263" t="s">
        <v>509</v>
      </c>
      <c r="H91" s="429" t="s">
        <v>470</v>
      </c>
      <c r="I91" s="423" t="s">
        <v>570</v>
      </c>
      <c r="J91" s="263" t="s">
        <v>831</v>
      </c>
      <c r="L91" s="263" t="s">
        <v>881</v>
      </c>
      <c r="M91" s="263" t="s">
        <v>882</v>
      </c>
    </row>
    <row r="92" spans="1:13" x14ac:dyDescent="0.3">
      <c r="A92" s="433" t="s">
        <v>228</v>
      </c>
      <c r="B92" s="395" t="s">
        <v>229</v>
      </c>
      <c r="C92" s="395" t="s">
        <v>256</v>
      </c>
      <c r="D92" s="434" t="s">
        <v>228</v>
      </c>
      <c r="E92" s="427" t="s">
        <v>573</v>
      </c>
      <c r="F92" s="263" t="s">
        <v>509</v>
      </c>
      <c r="H92" s="429" t="s">
        <v>470</v>
      </c>
      <c r="I92" s="423" t="s">
        <v>570</v>
      </c>
      <c r="J92" s="263" t="s">
        <v>831</v>
      </c>
      <c r="L92" s="263" t="s">
        <v>883</v>
      </c>
      <c r="M92" s="263" t="s">
        <v>884</v>
      </c>
    </row>
    <row r="93" spans="1:13" hidden="1" x14ac:dyDescent="0.3">
      <c r="A93" s="433" t="s">
        <v>232</v>
      </c>
      <c r="B93" s="395" t="s">
        <v>233</v>
      </c>
      <c r="C93" s="395" t="s">
        <v>255</v>
      </c>
      <c r="D93" s="434" t="s">
        <v>232</v>
      </c>
      <c r="E93" s="427" t="s">
        <v>573</v>
      </c>
      <c r="F93" s="263" t="s">
        <v>500</v>
      </c>
      <c r="G93" s="263" t="s">
        <v>519</v>
      </c>
      <c r="H93" s="429" t="s">
        <v>731</v>
      </c>
      <c r="I93" s="423" t="s">
        <v>571</v>
      </c>
      <c r="J93" s="263" t="s">
        <v>850</v>
      </c>
    </row>
    <row r="94" spans="1:13" x14ac:dyDescent="0.3">
      <c r="A94" s="433" t="s">
        <v>234</v>
      </c>
      <c r="B94" s="395" t="s">
        <v>235</v>
      </c>
      <c r="C94" s="395" t="s">
        <v>256</v>
      </c>
      <c r="D94" s="434" t="s">
        <v>234</v>
      </c>
      <c r="E94" s="427" t="s">
        <v>573</v>
      </c>
      <c r="F94" s="263" t="s">
        <v>509</v>
      </c>
      <c r="H94" s="429" t="s">
        <v>470</v>
      </c>
      <c r="I94" s="423" t="s">
        <v>570</v>
      </c>
      <c r="J94" s="263" t="s">
        <v>831</v>
      </c>
    </row>
    <row r="95" spans="1:13" x14ac:dyDescent="0.3">
      <c r="A95" s="433" t="s">
        <v>236</v>
      </c>
      <c r="B95" s="395" t="s">
        <v>237</v>
      </c>
      <c r="C95" s="395" t="s">
        <v>254</v>
      </c>
      <c r="D95" s="434" t="s">
        <v>236</v>
      </c>
      <c r="E95" s="427" t="s">
        <v>573</v>
      </c>
      <c r="F95" s="263" t="s">
        <v>509</v>
      </c>
      <c r="H95" s="429" t="s">
        <v>470</v>
      </c>
      <c r="I95" s="423" t="s">
        <v>570</v>
      </c>
      <c r="J95" s="263" t="s">
        <v>831</v>
      </c>
    </row>
    <row r="96" spans="1:13" x14ac:dyDescent="0.3">
      <c r="A96" s="433" t="s">
        <v>242</v>
      </c>
      <c r="B96" s="395" t="s">
        <v>243</v>
      </c>
      <c r="C96" s="395" t="s">
        <v>256</v>
      </c>
      <c r="D96" s="434" t="s">
        <v>242</v>
      </c>
      <c r="E96" s="427" t="s">
        <v>575</v>
      </c>
      <c r="F96" s="263" t="s">
        <v>509</v>
      </c>
      <c r="H96" s="429" t="s">
        <v>470</v>
      </c>
      <c r="I96" s="423" t="s">
        <v>570</v>
      </c>
      <c r="J96" s="263" t="s">
        <v>831</v>
      </c>
    </row>
    <row r="97" spans="1:10" x14ac:dyDescent="0.3">
      <c r="A97" s="433" t="s">
        <v>244</v>
      </c>
      <c r="B97" s="395" t="s">
        <v>245</v>
      </c>
      <c r="C97" s="395" t="s">
        <v>256</v>
      </c>
      <c r="D97" s="434" t="s">
        <v>244</v>
      </c>
      <c r="E97" s="427" t="s">
        <v>573</v>
      </c>
      <c r="F97" s="263" t="s">
        <v>509</v>
      </c>
      <c r="H97" s="429" t="s">
        <v>731</v>
      </c>
      <c r="I97" s="423" t="s">
        <v>571</v>
      </c>
      <c r="J97" s="263" t="s">
        <v>834</v>
      </c>
    </row>
    <row r="98" spans="1:10" hidden="1" x14ac:dyDescent="0.3">
      <c r="A98" s="433" t="s">
        <v>246</v>
      </c>
      <c r="B98" s="395" t="s">
        <v>247</v>
      </c>
      <c r="C98" s="395" t="s">
        <v>252</v>
      </c>
      <c r="D98" s="434" t="s">
        <v>246</v>
      </c>
      <c r="E98" s="427" t="s">
        <v>573</v>
      </c>
      <c r="F98" s="263" t="s">
        <v>500</v>
      </c>
      <c r="G98" s="263" t="s">
        <v>1076</v>
      </c>
      <c r="H98" s="429" t="s">
        <v>731</v>
      </c>
      <c r="I98" s="423" t="s">
        <v>571</v>
      </c>
      <c r="J98" s="263" t="s">
        <v>836</v>
      </c>
    </row>
    <row r="99" spans="1:10" hidden="1" x14ac:dyDescent="0.3">
      <c r="A99" s="433" t="s">
        <v>14</v>
      </c>
      <c r="B99" s="395" t="s">
        <v>15</v>
      </c>
      <c r="C99" s="395" t="s">
        <v>255</v>
      </c>
      <c r="D99" s="434" t="s">
        <v>14</v>
      </c>
      <c r="E99" s="435" t="s">
        <v>575</v>
      </c>
      <c r="F99" s="263" t="s">
        <v>500</v>
      </c>
      <c r="G99" s="263" t="s">
        <v>795</v>
      </c>
      <c r="H99" s="429" t="s">
        <v>731</v>
      </c>
      <c r="I99" s="423" t="s">
        <v>571</v>
      </c>
      <c r="J99" s="263" t="s">
        <v>832</v>
      </c>
    </row>
    <row r="100" spans="1:10" x14ac:dyDescent="0.3">
      <c r="A100" s="433" t="s">
        <v>34</v>
      </c>
      <c r="B100" s="395" t="s">
        <v>35</v>
      </c>
      <c r="C100" s="395" t="s">
        <v>256</v>
      </c>
      <c r="D100" s="434" t="s">
        <v>34</v>
      </c>
      <c r="E100" s="427" t="s">
        <v>573</v>
      </c>
      <c r="F100" s="263" t="s">
        <v>509</v>
      </c>
      <c r="H100" s="429" t="s">
        <v>470</v>
      </c>
      <c r="I100" s="423" t="s">
        <v>570</v>
      </c>
      <c r="J100" s="263" t="s">
        <v>831</v>
      </c>
    </row>
    <row r="101" spans="1:10" hidden="1" x14ac:dyDescent="0.3">
      <c r="A101" s="433" t="s">
        <v>52</v>
      </c>
      <c r="B101" s="395" t="s">
        <v>53</v>
      </c>
      <c r="C101" s="395" t="s">
        <v>253</v>
      </c>
      <c r="D101" s="434" t="s">
        <v>52</v>
      </c>
      <c r="E101" s="427" t="s">
        <v>575</v>
      </c>
      <c r="F101" s="263" t="s">
        <v>500</v>
      </c>
      <c r="G101" s="263" t="s">
        <v>518</v>
      </c>
      <c r="H101" s="429" t="s">
        <v>471</v>
      </c>
      <c r="I101" s="423" t="s">
        <v>572</v>
      </c>
      <c r="J101" s="263" t="s">
        <v>832</v>
      </c>
    </row>
    <row r="102" spans="1:10" hidden="1" x14ac:dyDescent="0.3">
      <c r="A102" s="433" t="s">
        <v>54</v>
      </c>
      <c r="B102" s="395" t="s">
        <v>55</v>
      </c>
      <c r="C102" s="395" t="s">
        <v>252</v>
      </c>
      <c r="D102" s="434" t="s">
        <v>54</v>
      </c>
      <c r="E102" s="427" t="s">
        <v>575</v>
      </c>
      <c r="F102" s="263" t="s">
        <v>500</v>
      </c>
      <c r="G102" s="263" t="s">
        <v>795</v>
      </c>
      <c r="H102" s="429" t="s">
        <v>471</v>
      </c>
      <c r="I102" s="423" t="s">
        <v>572</v>
      </c>
      <c r="J102" s="263" t="s">
        <v>832</v>
      </c>
    </row>
    <row r="103" spans="1:10" hidden="1" x14ac:dyDescent="0.3">
      <c r="A103" s="433" t="s">
        <v>66</v>
      </c>
      <c r="B103" s="395" t="s">
        <v>67</v>
      </c>
      <c r="C103" s="395" t="s">
        <v>253</v>
      </c>
      <c r="D103" s="434" t="s">
        <v>66</v>
      </c>
      <c r="E103" s="427" t="s">
        <v>575</v>
      </c>
      <c r="F103" s="263" t="s">
        <v>500</v>
      </c>
      <c r="G103" s="263" t="s">
        <v>518</v>
      </c>
      <c r="H103" s="429" t="s">
        <v>471</v>
      </c>
      <c r="I103" s="423" t="s">
        <v>572</v>
      </c>
      <c r="J103" s="263" t="s">
        <v>832</v>
      </c>
    </row>
    <row r="104" spans="1:10" hidden="1" x14ac:dyDescent="0.3">
      <c r="A104" s="433" t="s">
        <v>82</v>
      </c>
      <c r="B104" s="395" t="s">
        <v>299</v>
      </c>
      <c r="C104" s="395" t="s">
        <v>252</v>
      </c>
      <c r="D104" s="434" t="s">
        <v>82</v>
      </c>
      <c r="E104" s="427" t="s">
        <v>573</v>
      </c>
      <c r="F104" s="263" t="s">
        <v>500</v>
      </c>
      <c r="G104" s="263" t="s">
        <v>795</v>
      </c>
      <c r="H104" s="429" t="s">
        <v>470</v>
      </c>
      <c r="I104" s="423" t="s">
        <v>570</v>
      </c>
      <c r="J104" s="263" t="s">
        <v>831</v>
      </c>
    </row>
    <row r="105" spans="1:10" x14ac:dyDescent="0.3">
      <c r="A105" s="433" t="s">
        <v>88</v>
      </c>
      <c r="B105" s="395" t="s">
        <v>89</v>
      </c>
      <c r="C105" s="395" t="s">
        <v>255</v>
      </c>
      <c r="D105" s="434" t="s">
        <v>88</v>
      </c>
      <c r="E105" s="427" t="s">
        <v>573</v>
      </c>
      <c r="F105" s="263" t="s">
        <v>509</v>
      </c>
      <c r="H105" s="429" t="s">
        <v>731</v>
      </c>
      <c r="I105" s="423" t="s">
        <v>571</v>
      </c>
      <c r="J105" s="263" t="s">
        <v>1026</v>
      </c>
    </row>
    <row r="106" spans="1:10" hidden="1" x14ac:dyDescent="0.3">
      <c r="A106" s="433" t="s">
        <v>90</v>
      </c>
      <c r="B106" s="395" t="s">
        <v>91</v>
      </c>
      <c r="C106" s="395" t="s">
        <v>256</v>
      </c>
      <c r="D106" s="434" t="s">
        <v>90</v>
      </c>
      <c r="E106" s="427" t="s">
        <v>574</v>
      </c>
      <c r="F106" s="263" t="s">
        <v>500</v>
      </c>
      <c r="G106" s="263" t="s">
        <v>795</v>
      </c>
      <c r="H106" s="429" t="s">
        <v>731</v>
      </c>
      <c r="I106" s="423" t="s">
        <v>571</v>
      </c>
      <c r="J106" s="263" t="s">
        <v>840</v>
      </c>
    </row>
    <row r="107" spans="1:10" hidden="1" x14ac:dyDescent="0.3">
      <c r="A107" s="433" t="s">
        <v>106</v>
      </c>
      <c r="B107" s="395" t="s">
        <v>107</v>
      </c>
      <c r="C107" s="395" t="s">
        <v>252</v>
      </c>
      <c r="D107" s="434" t="s">
        <v>106</v>
      </c>
      <c r="E107" s="427" t="s">
        <v>575</v>
      </c>
      <c r="F107" s="263" t="s">
        <v>500</v>
      </c>
      <c r="G107" s="263" t="s">
        <v>518</v>
      </c>
      <c r="H107" s="429" t="s">
        <v>471</v>
      </c>
      <c r="I107" s="423" t="s">
        <v>572</v>
      </c>
      <c r="J107" s="263" t="s">
        <v>832</v>
      </c>
    </row>
    <row r="108" spans="1:10" hidden="1" x14ac:dyDescent="0.3">
      <c r="A108" s="433" t="s">
        <v>116</v>
      </c>
      <c r="B108" s="395" t="s">
        <v>117</v>
      </c>
      <c r="C108" s="395" t="s">
        <v>254</v>
      </c>
      <c r="D108" s="434" t="s">
        <v>116</v>
      </c>
      <c r="E108" s="427" t="s">
        <v>573</v>
      </c>
      <c r="F108" s="263" t="s">
        <v>500</v>
      </c>
      <c r="G108" s="263" t="s">
        <v>795</v>
      </c>
      <c r="H108" s="429" t="s">
        <v>731</v>
      </c>
      <c r="I108" s="423" t="s">
        <v>571</v>
      </c>
      <c r="J108" s="263" t="s">
        <v>843</v>
      </c>
    </row>
    <row r="109" spans="1:10" hidden="1" x14ac:dyDescent="0.3">
      <c r="A109" s="433" t="s">
        <v>138</v>
      </c>
      <c r="B109" s="395" t="s">
        <v>139</v>
      </c>
      <c r="C109" s="395" t="s">
        <v>253</v>
      </c>
      <c r="D109" s="434" t="s">
        <v>138</v>
      </c>
      <c r="E109" s="427" t="s">
        <v>575</v>
      </c>
      <c r="F109" s="263" t="s">
        <v>500</v>
      </c>
      <c r="G109" s="263" t="s">
        <v>518</v>
      </c>
      <c r="H109" s="429" t="s">
        <v>471</v>
      </c>
      <c r="I109" s="423" t="s">
        <v>572</v>
      </c>
      <c r="J109" s="263" t="s">
        <v>832</v>
      </c>
    </row>
    <row r="110" spans="1:10" hidden="1" x14ac:dyDescent="0.3">
      <c r="A110" s="433" t="s">
        <v>142</v>
      </c>
      <c r="B110" s="395" t="s">
        <v>143</v>
      </c>
      <c r="C110" s="395" t="s">
        <v>255</v>
      </c>
      <c r="D110" s="434" t="s">
        <v>142</v>
      </c>
      <c r="E110" s="427" t="s">
        <v>573</v>
      </c>
      <c r="F110" s="263" t="s">
        <v>500</v>
      </c>
      <c r="G110" s="263" t="s">
        <v>844</v>
      </c>
      <c r="H110" s="429" t="s">
        <v>731</v>
      </c>
      <c r="I110" s="423" t="s">
        <v>571</v>
      </c>
      <c r="J110" s="263" t="s">
        <v>832</v>
      </c>
    </row>
    <row r="111" spans="1:10" hidden="1" x14ac:dyDescent="0.3">
      <c r="A111" s="433" t="s">
        <v>144</v>
      </c>
      <c r="B111" s="395" t="s">
        <v>145</v>
      </c>
      <c r="C111" s="395" t="s">
        <v>255</v>
      </c>
      <c r="D111" s="434" t="s">
        <v>144</v>
      </c>
      <c r="E111" s="427" t="s">
        <v>574</v>
      </c>
      <c r="F111" s="263" t="s">
        <v>500</v>
      </c>
      <c r="G111" s="263" t="s">
        <v>844</v>
      </c>
      <c r="H111" s="429" t="s">
        <v>731</v>
      </c>
      <c r="I111" s="423" t="s">
        <v>571</v>
      </c>
      <c r="J111" s="263" t="s">
        <v>845</v>
      </c>
    </row>
    <row r="112" spans="1:10" hidden="1" x14ac:dyDescent="0.3">
      <c r="A112" s="433" t="s">
        <v>158</v>
      </c>
      <c r="B112" s="395" t="s">
        <v>159</v>
      </c>
      <c r="C112" s="395" t="s">
        <v>252</v>
      </c>
      <c r="D112" s="434" t="s">
        <v>158</v>
      </c>
      <c r="E112" s="427" t="s">
        <v>575</v>
      </c>
      <c r="F112" s="263" t="s">
        <v>500</v>
      </c>
      <c r="G112" s="263" t="s">
        <v>518</v>
      </c>
      <c r="H112" s="429" t="s">
        <v>471</v>
      </c>
      <c r="I112" s="423" t="s">
        <v>572</v>
      </c>
      <c r="J112" s="263" t="s">
        <v>832</v>
      </c>
    </row>
    <row r="113" spans="1:13" hidden="1" x14ac:dyDescent="0.3">
      <c r="A113" s="433" t="s">
        <v>160</v>
      </c>
      <c r="B113" s="395" t="s">
        <v>161</v>
      </c>
      <c r="C113" s="395" t="s">
        <v>252</v>
      </c>
      <c r="D113" s="434" t="s">
        <v>160</v>
      </c>
      <c r="E113" s="427" t="s">
        <v>575</v>
      </c>
      <c r="F113" s="263" t="s">
        <v>500</v>
      </c>
      <c r="G113" s="263" t="s">
        <v>518</v>
      </c>
      <c r="H113" s="429" t="s">
        <v>471</v>
      </c>
      <c r="I113" s="423" t="s">
        <v>572</v>
      </c>
      <c r="J113" s="263" t="s">
        <v>832</v>
      </c>
    </row>
    <row r="114" spans="1:13" hidden="1" x14ac:dyDescent="0.3">
      <c r="A114" s="433" t="s">
        <v>166</v>
      </c>
      <c r="B114" s="395" t="s">
        <v>167</v>
      </c>
      <c r="C114" s="395" t="s">
        <v>256</v>
      </c>
      <c r="D114" s="434" t="s">
        <v>166</v>
      </c>
      <c r="E114" s="427" t="s">
        <v>574</v>
      </c>
      <c r="F114" s="263" t="s">
        <v>500</v>
      </c>
      <c r="G114" s="263" t="s">
        <v>795</v>
      </c>
      <c r="H114" s="429" t="s">
        <v>731</v>
      </c>
      <c r="I114" s="423" t="s">
        <v>571</v>
      </c>
      <c r="J114" s="263" t="s">
        <v>837</v>
      </c>
    </row>
    <row r="115" spans="1:13" hidden="1" x14ac:dyDescent="0.3">
      <c r="A115" s="433" t="s">
        <v>176</v>
      </c>
      <c r="B115" s="395" t="s">
        <v>177</v>
      </c>
      <c r="C115" s="395" t="s">
        <v>254</v>
      </c>
      <c r="D115" s="434" t="s">
        <v>176</v>
      </c>
      <c r="E115" s="427" t="s">
        <v>575</v>
      </c>
      <c r="F115" s="263" t="s">
        <v>500</v>
      </c>
      <c r="G115" s="263" t="s">
        <v>1051</v>
      </c>
      <c r="H115" s="429" t="s">
        <v>731</v>
      </c>
      <c r="I115" s="423" t="s">
        <v>571</v>
      </c>
      <c r="J115" s="263" t="s">
        <v>1027</v>
      </c>
    </row>
    <row r="116" spans="1:13" hidden="1" x14ac:dyDescent="0.3">
      <c r="A116" s="433" t="s">
        <v>180</v>
      </c>
      <c r="B116" s="395" t="s">
        <v>181</v>
      </c>
      <c r="C116" s="395" t="s">
        <v>252</v>
      </c>
      <c r="D116" s="434" t="s">
        <v>180</v>
      </c>
      <c r="E116" s="427" t="s">
        <v>575</v>
      </c>
      <c r="F116" s="263" t="s">
        <v>500</v>
      </c>
      <c r="G116" s="263" t="s">
        <v>518</v>
      </c>
      <c r="H116" s="429" t="s">
        <v>471</v>
      </c>
      <c r="I116" s="423" t="s">
        <v>572</v>
      </c>
      <c r="J116" s="263" t="s">
        <v>832</v>
      </c>
    </row>
    <row r="117" spans="1:13" x14ac:dyDescent="0.3">
      <c r="A117" s="433" t="s">
        <v>192</v>
      </c>
      <c r="B117" s="395" t="s">
        <v>193</v>
      </c>
      <c r="C117" s="395" t="s">
        <v>256</v>
      </c>
      <c r="D117" s="434" t="s">
        <v>192</v>
      </c>
      <c r="E117" s="427" t="s">
        <v>574</v>
      </c>
      <c r="F117" s="263" t="s">
        <v>509</v>
      </c>
      <c r="H117" s="429" t="s">
        <v>470</v>
      </c>
      <c r="I117" s="423" t="s">
        <v>570</v>
      </c>
      <c r="J117" s="263" t="s">
        <v>831</v>
      </c>
    </row>
    <row r="118" spans="1:13" hidden="1" x14ac:dyDescent="0.3">
      <c r="A118" s="433" t="s">
        <v>196</v>
      </c>
      <c r="B118" s="395" t="s">
        <v>300</v>
      </c>
      <c r="C118" s="395" t="s">
        <v>254</v>
      </c>
      <c r="D118" s="434" t="s">
        <v>196</v>
      </c>
      <c r="E118" s="427" t="s">
        <v>575</v>
      </c>
      <c r="F118" s="263" t="s">
        <v>500</v>
      </c>
      <c r="G118" s="263" t="s">
        <v>518</v>
      </c>
      <c r="H118" s="429" t="s">
        <v>471</v>
      </c>
      <c r="I118" s="423" t="s">
        <v>572</v>
      </c>
      <c r="J118" s="263" t="s">
        <v>832</v>
      </c>
    </row>
    <row r="119" spans="1:13" hidden="1" x14ac:dyDescent="0.3">
      <c r="A119" s="433" t="s">
        <v>200</v>
      </c>
      <c r="B119" s="395" t="s">
        <v>301</v>
      </c>
      <c r="C119" s="395" t="s">
        <v>253</v>
      </c>
      <c r="D119" s="434" t="s">
        <v>200</v>
      </c>
      <c r="E119" s="427" t="s">
        <v>575</v>
      </c>
      <c r="F119" s="263" t="s">
        <v>500</v>
      </c>
      <c r="G119" s="263" t="s">
        <v>518</v>
      </c>
      <c r="H119" s="429" t="s">
        <v>471</v>
      </c>
      <c r="I119" s="423" t="s">
        <v>572</v>
      </c>
      <c r="J119" s="263" t="s">
        <v>832</v>
      </c>
    </row>
    <row r="120" spans="1:13" hidden="1" x14ac:dyDescent="0.3">
      <c r="A120" s="433" t="s">
        <v>222</v>
      </c>
      <c r="B120" s="395" t="s">
        <v>223</v>
      </c>
      <c r="C120" s="395" t="s">
        <v>252</v>
      </c>
      <c r="D120" s="434" t="s">
        <v>222</v>
      </c>
      <c r="E120" s="427" t="s">
        <v>575</v>
      </c>
      <c r="F120" s="263" t="s">
        <v>500</v>
      </c>
      <c r="G120" s="263" t="s">
        <v>518</v>
      </c>
      <c r="H120" s="429" t="s">
        <v>731</v>
      </c>
      <c r="I120" s="423" t="s">
        <v>571</v>
      </c>
      <c r="J120" s="263" t="s">
        <v>1029</v>
      </c>
      <c r="L120" s="263" t="s">
        <v>877</v>
      </c>
      <c r="M120" s="263" t="s">
        <v>878</v>
      </c>
    </row>
    <row r="121" spans="1:13" hidden="1" x14ac:dyDescent="0.3">
      <c r="A121" s="433" t="s">
        <v>230</v>
      </c>
      <c r="B121" s="395" t="s">
        <v>231</v>
      </c>
      <c r="C121" s="395" t="s">
        <v>252</v>
      </c>
      <c r="D121" s="434" t="s">
        <v>230</v>
      </c>
      <c r="E121" s="427" t="s">
        <v>575</v>
      </c>
      <c r="F121" s="263" t="s">
        <v>500</v>
      </c>
      <c r="G121" s="263" t="s">
        <v>849</v>
      </c>
      <c r="H121" s="429" t="s">
        <v>471</v>
      </c>
      <c r="I121" s="423" t="s">
        <v>572</v>
      </c>
      <c r="J121" s="263" t="s">
        <v>832</v>
      </c>
      <c r="L121" s="263" t="s">
        <v>885</v>
      </c>
      <c r="M121" s="263" t="s">
        <v>886</v>
      </c>
    </row>
    <row r="122" spans="1:13" hidden="1" x14ac:dyDescent="0.3">
      <c r="A122" s="433" t="s">
        <v>238</v>
      </c>
      <c r="B122" s="395" t="s">
        <v>239</v>
      </c>
      <c r="C122" s="395" t="s">
        <v>252</v>
      </c>
      <c r="D122" s="434" t="s">
        <v>238</v>
      </c>
      <c r="E122" s="427" t="s">
        <v>574</v>
      </c>
      <c r="F122" s="263" t="s">
        <v>500</v>
      </c>
      <c r="G122" s="263" t="s">
        <v>518</v>
      </c>
      <c r="H122" s="429" t="s">
        <v>731</v>
      </c>
      <c r="I122" s="423" t="s">
        <v>571</v>
      </c>
      <c r="J122" s="263" t="s">
        <v>832</v>
      </c>
    </row>
    <row r="123" spans="1:13" hidden="1" x14ac:dyDescent="0.3">
      <c r="A123" s="433" t="s">
        <v>240</v>
      </c>
      <c r="B123" s="395" t="s">
        <v>241</v>
      </c>
      <c r="C123" s="395" t="s">
        <v>255</v>
      </c>
      <c r="D123" s="434" t="s">
        <v>240</v>
      </c>
      <c r="E123" s="427" t="s">
        <v>573</v>
      </c>
      <c r="F123" s="263" t="s">
        <v>500</v>
      </c>
      <c r="G123" s="263" t="s">
        <v>795</v>
      </c>
      <c r="H123" s="429" t="s">
        <v>471</v>
      </c>
      <c r="I123" s="423" t="s">
        <v>572</v>
      </c>
      <c r="J123" s="263" t="s">
        <v>832</v>
      </c>
    </row>
    <row r="124" spans="1:13" x14ac:dyDescent="0.3">
      <c r="A124" s="433"/>
      <c r="B124" s="395"/>
      <c r="C124" s="395"/>
      <c r="D124" s="434"/>
    </row>
    <row r="125" spans="1:13" x14ac:dyDescent="0.3">
      <c r="A125" s="433"/>
      <c r="B125" s="395"/>
      <c r="C125" s="395"/>
      <c r="D125" s="304"/>
      <c r="E125" s="427" t="s">
        <v>851</v>
      </c>
      <c r="F125" s="263" t="s">
        <v>855</v>
      </c>
      <c r="I125" s="263" t="s">
        <v>856</v>
      </c>
    </row>
    <row r="126" spans="1:13" x14ac:dyDescent="0.3">
      <c r="A126" s="433"/>
      <c r="B126" s="395"/>
      <c r="C126" s="395"/>
      <c r="D126" s="304"/>
      <c r="E126" s="427" t="s">
        <v>852</v>
      </c>
      <c r="F126" s="263" t="s">
        <v>1078</v>
      </c>
      <c r="I126" s="263" t="s">
        <v>857</v>
      </c>
    </row>
    <row r="127" spans="1:13" x14ac:dyDescent="0.3">
      <c r="A127" s="433"/>
      <c r="B127" s="395"/>
      <c r="C127" s="395"/>
      <c r="D127" s="304"/>
      <c r="E127" s="427" t="s">
        <v>853</v>
      </c>
      <c r="F127" s="263" t="s">
        <v>1077</v>
      </c>
      <c r="I127" s="263" t="s">
        <v>858</v>
      </c>
    </row>
    <row r="128" spans="1:13" x14ac:dyDescent="0.3">
      <c r="E128" s="427" t="s">
        <v>854</v>
      </c>
      <c r="I128" s="263" t="s">
        <v>859</v>
      </c>
    </row>
    <row r="130" spans="1:2" x14ac:dyDescent="0.3">
      <c r="A130" s="436" t="s">
        <v>1079</v>
      </c>
    </row>
    <row r="131" spans="1:2" x14ac:dyDescent="0.3">
      <c r="A131" s="425" t="s">
        <v>522</v>
      </c>
    </row>
    <row r="132" spans="1:2" x14ac:dyDescent="0.3">
      <c r="A132" s="425" t="s">
        <v>826</v>
      </c>
    </row>
    <row r="133" spans="1:2" x14ac:dyDescent="0.3">
      <c r="A133" s="425"/>
    </row>
    <row r="134" spans="1:2" s="359" customFormat="1" x14ac:dyDescent="0.3">
      <c r="A134" s="359" t="s">
        <v>248</v>
      </c>
    </row>
    <row r="135" spans="1:2" s="359" customFormat="1" x14ac:dyDescent="0.3">
      <c r="A135" s="360" t="s">
        <v>249</v>
      </c>
      <c r="B135" s="361" t="s">
        <v>250</v>
      </c>
    </row>
  </sheetData>
  <autoFilter ref="A3:I123">
    <filterColumn colId="5">
      <filters>
        <filter val="Administrative"/>
      </filters>
    </filterColumn>
  </autoFilter>
  <sortState ref="A4:M123">
    <sortCondition ref="A4:A123"/>
  </sortState>
  <dataValidations count="1">
    <dataValidation type="list" allowBlank="1" showInputMessage="1" showErrorMessage="1" sqref="G4:G123">
      <formula1>$H$204:$H$208</formula1>
    </dataValidation>
  </dataValidations>
  <hyperlinks>
    <hyperlink ref="B135" r:id="rId1"/>
  </hyperlinks>
  <pageMargins left="0.7" right="0.7" top="0.75" bottom="0.75" header="0.3" footer="0.3"/>
  <pageSetup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P136"/>
  <sheetViews>
    <sheetView workbookViewId="0">
      <pane xSplit="3" ySplit="5" topLeftCell="D6" activePane="bottomRight" state="frozen"/>
      <selection pane="topRight" activeCell="D1" sqref="D1"/>
      <selection pane="bottomLeft" activeCell="A6" sqref="A6"/>
      <selection pane="bottomRight" activeCell="A6" sqref="A6:XFD125"/>
    </sheetView>
  </sheetViews>
  <sheetFormatPr defaultColWidth="9" defaultRowHeight="15.6" x14ac:dyDescent="0.3"/>
  <cols>
    <col min="1" max="1" width="9.09765625" style="580" customWidth="1"/>
    <col min="2" max="2" width="34.296875" style="580" customWidth="1"/>
    <col min="3" max="3" width="11.19921875" style="580" customWidth="1"/>
    <col min="4" max="4" width="8.796875" style="621" customWidth="1"/>
    <col min="5" max="5" width="8.09765625" style="621" customWidth="1"/>
    <col min="6" max="7" width="8.796875" style="621" customWidth="1"/>
    <col min="8" max="8" width="9.09765625" style="621" customWidth="1"/>
    <col min="9" max="9" width="8.296875" style="621" customWidth="1"/>
    <col min="10" max="11" width="12.69921875" style="621" customWidth="1"/>
    <col min="12" max="14" width="9" style="621" customWidth="1"/>
    <col min="15" max="15" width="4.796875" style="621" customWidth="1"/>
    <col min="16" max="16384" width="9" style="621"/>
  </cols>
  <sheetData>
    <row r="1" spans="1:16" x14ac:dyDescent="0.3">
      <c r="A1" s="64" t="s">
        <v>1043</v>
      </c>
      <c r="B1" s="621"/>
      <c r="C1" s="621"/>
    </row>
    <row r="2" spans="1:16" x14ac:dyDescent="0.3">
      <c r="A2" s="621"/>
      <c r="B2" s="621"/>
      <c r="C2" s="621"/>
    </row>
    <row r="3" spans="1:16" x14ac:dyDescent="0.3">
      <c r="A3" s="621"/>
      <c r="B3" s="621"/>
      <c r="C3" s="621"/>
      <c r="D3" s="64"/>
      <c r="E3" s="2773" t="s">
        <v>626</v>
      </c>
      <c r="F3" s="2771"/>
      <c r="G3" s="2771"/>
      <c r="H3" s="2772"/>
      <c r="I3" s="2770" t="s">
        <v>627</v>
      </c>
      <c r="J3" s="2771"/>
      <c r="K3" s="2772"/>
      <c r="L3" s="2770" t="s">
        <v>706</v>
      </c>
      <c r="M3" s="2771"/>
      <c r="N3" s="2771"/>
    </row>
    <row r="4" spans="1:16" ht="31.2" x14ac:dyDescent="0.3">
      <c r="A4" s="581" t="s">
        <v>4</v>
      </c>
      <c r="B4" s="593" t="s">
        <v>5</v>
      </c>
      <c r="C4" s="581" t="s">
        <v>251</v>
      </c>
      <c r="D4" s="1338" t="s">
        <v>828</v>
      </c>
      <c r="E4" s="1756" t="s">
        <v>2</v>
      </c>
      <c r="F4" s="1757" t="s">
        <v>314</v>
      </c>
      <c r="G4" s="1757" t="s">
        <v>315</v>
      </c>
      <c r="H4" s="1758" t="s">
        <v>621</v>
      </c>
      <c r="I4" s="1767" t="s">
        <v>1044</v>
      </c>
      <c r="J4" s="1768" t="s">
        <v>1045</v>
      </c>
      <c r="K4" s="1769" t="s">
        <v>621</v>
      </c>
      <c r="L4" s="1771" t="s">
        <v>418</v>
      </c>
      <c r="M4" s="1336" t="s">
        <v>417</v>
      </c>
      <c r="N4" s="2179" t="s">
        <v>315</v>
      </c>
    </row>
    <row r="5" spans="1:16" x14ac:dyDescent="0.3">
      <c r="A5" s="718">
        <v>999</v>
      </c>
      <c r="B5" s="719" t="s">
        <v>9</v>
      </c>
      <c r="C5" s="718"/>
      <c r="D5" s="1087">
        <f>SUM(D6:D125)</f>
        <v>31436</v>
      </c>
      <c r="E5" s="1759">
        <f t="shared" ref="E5:N5" si="0">SUM(E6:E125)</f>
        <v>20002</v>
      </c>
      <c r="F5" s="1754">
        <f t="shared" si="0"/>
        <v>6796</v>
      </c>
      <c r="G5" s="1754">
        <f t="shared" si="0"/>
        <v>4323</v>
      </c>
      <c r="H5" s="1760">
        <f t="shared" ref="H5:H36" si="1">D5-(E5+F5+G5)</f>
        <v>315</v>
      </c>
      <c r="I5" s="1759">
        <f t="shared" si="0"/>
        <v>8120</v>
      </c>
      <c r="J5" s="1754">
        <f t="shared" si="0"/>
        <v>23158</v>
      </c>
      <c r="K5" s="1770">
        <f t="shared" ref="K5" si="2">D5-(I5+J5)</f>
        <v>158</v>
      </c>
      <c r="L5" s="1759">
        <f t="shared" si="0"/>
        <v>12572</v>
      </c>
      <c r="M5" s="1754">
        <f t="shared" si="0"/>
        <v>18755</v>
      </c>
      <c r="N5" s="1754">
        <f t="shared" si="0"/>
        <v>114</v>
      </c>
    </row>
    <row r="6" spans="1:16" x14ac:dyDescent="0.3">
      <c r="A6" s="572" t="s">
        <v>10</v>
      </c>
      <c r="B6" s="573" t="s">
        <v>11</v>
      </c>
      <c r="C6" s="574" t="s">
        <v>252</v>
      </c>
      <c r="D6" s="263">
        <v>166</v>
      </c>
      <c r="E6" s="1761">
        <v>99</v>
      </c>
      <c r="F6" s="395">
        <v>55</v>
      </c>
      <c r="G6" s="395">
        <v>10</v>
      </c>
      <c r="H6" s="2180">
        <f t="shared" si="1"/>
        <v>2</v>
      </c>
      <c r="I6" s="1761">
        <v>38</v>
      </c>
      <c r="J6" s="395">
        <v>127</v>
      </c>
      <c r="K6" s="1414">
        <f t="shared" ref="K6:K37" si="3">D6-(I6+J6)</f>
        <v>1</v>
      </c>
      <c r="L6" s="1761">
        <v>79</v>
      </c>
      <c r="M6" s="395">
        <v>86</v>
      </c>
      <c r="N6" s="395">
        <v>1</v>
      </c>
    </row>
    <row r="7" spans="1:16" x14ac:dyDescent="0.3">
      <c r="A7" s="572" t="s">
        <v>12</v>
      </c>
      <c r="B7" s="573" t="s">
        <v>13</v>
      </c>
      <c r="C7" s="574" t="s">
        <v>253</v>
      </c>
      <c r="D7" s="263">
        <v>565</v>
      </c>
      <c r="E7" s="1761">
        <v>436</v>
      </c>
      <c r="F7" s="395">
        <v>74</v>
      </c>
      <c r="G7" s="395">
        <v>52</v>
      </c>
      <c r="H7" s="2180">
        <f t="shared" si="1"/>
        <v>3</v>
      </c>
      <c r="I7" s="1761">
        <v>134</v>
      </c>
      <c r="J7" s="395">
        <v>428</v>
      </c>
      <c r="K7" s="1414">
        <f t="shared" si="3"/>
        <v>3</v>
      </c>
      <c r="L7" s="1761">
        <v>226</v>
      </c>
      <c r="M7" s="395">
        <v>338</v>
      </c>
      <c r="N7" s="395">
        <v>1</v>
      </c>
    </row>
    <row r="8" spans="1:16" x14ac:dyDescent="0.3">
      <c r="A8" s="572" t="s">
        <v>16</v>
      </c>
      <c r="B8" s="573" t="s">
        <v>285</v>
      </c>
      <c r="C8" s="574" t="s">
        <v>253</v>
      </c>
      <c r="D8" s="263">
        <v>85</v>
      </c>
      <c r="E8" s="1761">
        <v>69</v>
      </c>
      <c r="F8" s="395">
        <v>5</v>
      </c>
      <c r="G8" s="395">
        <v>11</v>
      </c>
      <c r="H8" s="2180">
        <f t="shared" si="1"/>
        <v>0</v>
      </c>
      <c r="I8" s="1761">
        <v>43</v>
      </c>
      <c r="J8" s="395">
        <v>42</v>
      </c>
      <c r="K8" s="1414">
        <f t="shared" si="3"/>
        <v>0</v>
      </c>
      <c r="L8" s="1761">
        <v>33</v>
      </c>
      <c r="M8" s="395">
        <v>52</v>
      </c>
      <c r="N8" s="395">
        <v>0</v>
      </c>
    </row>
    <row r="9" spans="1:16" x14ac:dyDescent="0.3">
      <c r="A9" s="572" t="s">
        <v>18</v>
      </c>
      <c r="B9" s="573" t="s">
        <v>19</v>
      </c>
      <c r="C9" s="574" t="s">
        <v>254</v>
      </c>
      <c r="D9" s="263">
        <v>47</v>
      </c>
      <c r="E9" s="1761">
        <v>32</v>
      </c>
      <c r="F9" s="395">
        <v>10</v>
      </c>
      <c r="G9" s="395">
        <v>5</v>
      </c>
      <c r="H9" s="2180">
        <f t="shared" si="1"/>
        <v>0</v>
      </c>
      <c r="I9" s="1761">
        <v>8</v>
      </c>
      <c r="J9" s="395">
        <v>39</v>
      </c>
      <c r="K9" s="1414">
        <f t="shared" si="3"/>
        <v>0</v>
      </c>
      <c r="L9" s="1761">
        <v>14</v>
      </c>
      <c r="M9" s="395">
        <v>33</v>
      </c>
      <c r="N9" s="395">
        <v>0</v>
      </c>
    </row>
    <row r="10" spans="1:16" x14ac:dyDescent="0.3">
      <c r="A10" s="572" t="s">
        <v>20</v>
      </c>
      <c r="B10" s="573" t="s">
        <v>21</v>
      </c>
      <c r="C10" s="574" t="s">
        <v>253</v>
      </c>
      <c r="D10" s="263">
        <v>194</v>
      </c>
      <c r="E10" s="1761">
        <v>136</v>
      </c>
      <c r="F10" s="395">
        <v>29</v>
      </c>
      <c r="G10" s="395">
        <v>30</v>
      </c>
      <c r="H10" s="2180">
        <f t="shared" si="1"/>
        <v>-1</v>
      </c>
      <c r="I10" s="1761">
        <v>54</v>
      </c>
      <c r="J10" s="395">
        <v>141</v>
      </c>
      <c r="K10" s="1414">
        <f t="shared" si="3"/>
        <v>-1</v>
      </c>
      <c r="L10" s="1761">
        <v>80</v>
      </c>
      <c r="M10" s="395">
        <v>112</v>
      </c>
      <c r="N10" s="395">
        <v>3</v>
      </c>
    </row>
    <row r="11" spans="1:16" ht="15.75" customHeight="1" x14ac:dyDescent="0.3">
      <c r="A11" s="572" t="s">
        <v>22</v>
      </c>
      <c r="B11" s="573" t="s">
        <v>23</v>
      </c>
      <c r="C11" s="574" t="s">
        <v>253</v>
      </c>
      <c r="D11" s="263">
        <v>11</v>
      </c>
      <c r="E11" s="1761">
        <v>6</v>
      </c>
      <c r="F11" s="395">
        <v>4</v>
      </c>
      <c r="G11" s="395">
        <v>0</v>
      </c>
      <c r="H11" s="2180">
        <f t="shared" si="1"/>
        <v>1</v>
      </c>
      <c r="I11" s="1761">
        <v>3</v>
      </c>
      <c r="J11" s="395">
        <v>8</v>
      </c>
      <c r="K11" s="1414">
        <f t="shared" si="3"/>
        <v>0</v>
      </c>
      <c r="L11" s="1761">
        <v>5</v>
      </c>
      <c r="M11" s="395">
        <v>6</v>
      </c>
      <c r="N11" s="395">
        <v>0</v>
      </c>
    </row>
    <row r="12" spans="1:16" ht="15.75" customHeight="1" x14ac:dyDescent="0.3">
      <c r="A12" s="572" t="s">
        <v>24</v>
      </c>
      <c r="B12" s="573" t="s">
        <v>25</v>
      </c>
      <c r="C12" s="574" t="s">
        <v>255</v>
      </c>
      <c r="D12" s="1023">
        <v>250</v>
      </c>
      <c r="E12" s="1762">
        <v>139</v>
      </c>
      <c r="F12" s="689">
        <v>34</v>
      </c>
      <c r="G12" s="689">
        <v>64</v>
      </c>
      <c r="H12" s="1763">
        <f t="shared" si="1"/>
        <v>13</v>
      </c>
      <c r="I12" s="1762">
        <v>49</v>
      </c>
      <c r="J12" s="689">
        <v>200</v>
      </c>
      <c r="K12" s="1414">
        <f t="shared" si="3"/>
        <v>1</v>
      </c>
      <c r="L12" s="1762">
        <v>90</v>
      </c>
      <c r="M12" s="689">
        <v>158</v>
      </c>
      <c r="N12" s="689">
        <v>2</v>
      </c>
      <c r="O12" s="1751"/>
      <c r="P12" s="1751"/>
    </row>
    <row r="13" spans="1:16" ht="15.75" customHeight="1" x14ac:dyDescent="0.3">
      <c r="A13" s="572" t="s">
        <v>26</v>
      </c>
      <c r="B13" s="573" t="s">
        <v>286</v>
      </c>
      <c r="C13" s="574" t="s">
        <v>253</v>
      </c>
      <c r="D13" s="263">
        <v>1844</v>
      </c>
      <c r="E13" s="1761">
        <v>1413</v>
      </c>
      <c r="F13" s="395">
        <v>199</v>
      </c>
      <c r="G13" s="395">
        <v>205</v>
      </c>
      <c r="H13" s="2183">
        <f t="shared" si="1"/>
        <v>27</v>
      </c>
      <c r="I13" s="1761">
        <v>724</v>
      </c>
      <c r="J13" s="395">
        <v>1120</v>
      </c>
      <c r="K13" s="1414">
        <f t="shared" si="3"/>
        <v>0</v>
      </c>
      <c r="L13" s="1761">
        <v>828</v>
      </c>
      <c r="M13" s="395">
        <v>1015</v>
      </c>
      <c r="N13" s="395">
        <v>1</v>
      </c>
    </row>
    <row r="14" spans="1:16" ht="15.75" customHeight="1" x14ac:dyDescent="0.3">
      <c r="A14" s="572" t="s">
        <v>27</v>
      </c>
      <c r="B14" s="573" t="s">
        <v>28</v>
      </c>
      <c r="C14" s="574" t="s">
        <v>253</v>
      </c>
      <c r="D14" s="263">
        <v>67</v>
      </c>
      <c r="E14" s="1761">
        <v>58</v>
      </c>
      <c r="F14" s="395">
        <v>7</v>
      </c>
      <c r="G14" s="395">
        <v>2</v>
      </c>
      <c r="H14" s="2180">
        <f t="shared" si="1"/>
        <v>0</v>
      </c>
      <c r="I14" s="1761">
        <v>13</v>
      </c>
      <c r="J14" s="395">
        <v>54</v>
      </c>
      <c r="K14" s="1414">
        <f t="shared" si="3"/>
        <v>0</v>
      </c>
      <c r="L14" s="1761">
        <v>23</v>
      </c>
      <c r="M14" s="395">
        <v>43</v>
      </c>
      <c r="N14" s="395">
        <v>1</v>
      </c>
    </row>
    <row r="15" spans="1:16" ht="15.75" customHeight="1" x14ac:dyDescent="0.3">
      <c r="A15" s="572" t="s">
        <v>29</v>
      </c>
      <c r="B15" s="573" t="s">
        <v>736</v>
      </c>
      <c r="C15" s="574" t="s">
        <v>253</v>
      </c>
      <c r="D15" s="263">
        <v>635</v>
      </c>
      <c r="E15" s="1761">
        <v>518</v>
      </c>
      <c r="F15" s="395">
        <v>73</v>
      </c>
      <c r="G15" s="395">
        <v>42</v>
      </c>
      <c r="H15" s="2180">
        <f t="shared" si="1"/>
        <v>2</v>
      </c>
      <c r="I15" s="1761">
        <v>193</v>
      </c>
      <c r="J15" s="395">
        <v>441</v>
      </c>
      <c r="K15" s="1414">
        <f t="shared" si="3"/>
        <v>1</v>
      </c>
      <c r="L15" s="1761">
        <v>237</v>
      </c>
      <c r="M15" s="395">
        <v>398</v>
      </c>
      <c r="N15" s="395">
        <v>0</v>
      </c>
    </row>
    <row r="16" spans="1:16" ht="15.75" customHeight="1" x14ac:dyDescent="0.3">
      <c r="A16" s="572" t="s">
        <v>30</v>
      </c>
      <c r="B16" s="573" t="s">
        <v>31</v>
      </c>
      <c r="C16" s="574" t="s">
        <v>256</v>
      </c>
      <c r="D16" s="263">
        <v>3</v>
      </c>
      <c r="E16" s="1761">
        <v>3</v>
      </c>
      <c r="F16" s="395">
        <v>0</v>
      </c>
      <c r="G16" s="395">
        <v>0</v>
      </c>
      <c r="H16" s="2180">
        <f t="shared" si="1"/>
        <v>0</v>
      </c>
      <c r="I16" s="1761">
        <v>0</v>
      </c>
      <c r="J16" s="395">
        <v>3</v>
      </c>
      <c r="K16" s="1414">
        <f t="shared" si="3"/>
        <v>0</v>
      </c>
      <c r="L16" s="1761">
        <v>1</v>
      </c>
      <c r="M16" s="395">
        <v>2</v>
      </c>
      <c r="N16" s="395">
        <v>0</v>
      </c>
    </row>
    <row r="17" spans="1:16" ht="15.75" customHeight="1" x14ac:dyDescent="0.3">
      <c r="A17" s="572" t="s">
        <v>32</v>
      </c>
      <c r="B17" s="573" t="s">
        <v>33</v>
      </c>
      <c r="C17" s="574" t="s">
        <v>253</v>
      </c>
      <c r="D17" s="263">
        <v>186</v>
      </c>
      <c r="E17" s="1761">
        <v>136</v>
      </c>
      <c r="F17" s="395">
        <v>17</v>
      </c>
      <c r="G17" s="395">
        <v>32</v>
      </c>
      <c r="H17" s="2180">
        <f t="shared" si="1"/>
        <v>1</v>
      </c>
      <c r="I17" s="1761">
        <v>54</v>
      </c>
      <c r="J17" s="395">
        <v>131</v>
      </c>
      <c r="K17" s="1763">
        <f t="shared" si="3"/>
        <v>1</v>
      </c>
      <c r="L17" s="1761">
        <v>70</v>
      </c>
      <c r="M17" s="395">
        <v>116</v>
      </c>
      <c r="N17" s="395">
        <v>0</v>
      </c>
    </row>
    <row r="18" spans="1:16" ht="15.75" customHeight="1" x14ac:dyDescent="0.3">
      <c r="A18" s="572" t="s">
        <v>36</v>
      </c>
      <c r="B18" s="573" t="s">
        <v>37</v>
      </c>
      <c r="C18" s="574" t="s">
        <v>252</v>
      </c>
      <c r="D18" s="263">
        <v>30</v>
      </c>
      <c r="E18" s="1761">
        <v>9</v>
      </c>
      <c r="F18" s="395">
        <v>21</v>
      </c>
      <c r="G18" s="395">
        <v>0</v>
      </c>
      <c r="H18" s="2180">
        <f t="shared" si="1"/>
        <v>0</v>
      </c>
      <c r="I18" s="1761">
        <v>9</v>
      </c>
      <c r="J18" s="395">
        <v>21</v>
      </c>
      <c r="K18" s="1414">
        <f t="shared" si="3"/>
        <v>0</v>
      </c>
      <c r="L18" s="1761">
        <v>13</v>
      </c>
      <c r="M18" s="395">
        <v>17</v>
      </c>
      <c r="N18" s="395">
        <v>0</v>
      </c>
    </row>
    <row r="19" spans="1:16" ht="15.75" customHeight="1" x14ac:dyDescent="0.3">
      <c r="A19" s="572" t="s">
        <v>38</v>
      </c>
      <c r="B19" s="573" t="s">
        <v>39</v>
      </c>
      <c r="C19" s="574" t="s">
        <v>256</v>
      </c>
      <c r="D19" s="263">
        <v>83</v>
      </c>
      <c r="E19" s="1761">
        <v>83</v>
      </c>
      <c r="F19" s="395">
        <v>0</v>
      </c>
      <c r="G19" s="395">
        <v>0</v>
      </c>
      <c r="H19" s="2180">
        <f t="shared" si="1"/>
        <v>0</v>
      </c>
      <c r="I19" s="1761">
        <v>18</v>
      </c>
      <c r="J19" s="395">
        <v>65</v>
      </c>
      <c r="K19" s="1414">
        <f t="shared" si="3"/>
        <v>0</v>
      </c>
      <c r="L19" s="1761">
        <v>36</v>
      </c>
      <c r="M19" s="395">
        <v>47</v>
      </c>
      <c r="N19" s="395">
        <v>0</v>
      </c>
    </row>
    <row r="20" spans="1:16" ht="15.75" customHeight="1" x14ac:dyDescent="0.3">
      <c r="A20" s="572" t="s">
        <v>40</v>
      </c>
      <c r="B20" s="573" t="s">
        <v>41</v>
      </c>
      <c r="C20" s="574" t="s">
        <v>254</v>
      </c>
      <c r="D20" s="263">
        <v>52</v>
      </c>
      <c r="E20" s="1761">
        <v>31</v>
      </c>
      <c r="F20" s="395">
        <v>20</v>
      </c>
      <c r="G20" s="395">
        <v>1</v>
      </c>
      <c r="H20" s="2180">
        <f t="shared" si="1"/>
        <v>0</v>
      </c>
      <c r="I20" s="1761">
        <v>9</v>
      </c>
      <c r="J20" s="395">
        <v>43</v>
      </c>
      <c r="K20" s="1414">
        <f t="shared" si="3"/>
        <v>0</v>
      </c>
      <c r="L20" s="1761">
        <v>15</v>
      </c>
      <c r="M20" s="395">
        <v>37</v>
      </c>
      <c r="N20" s="395">
        <v>0</v>
      </c>
    </row>
    <row r="21" spans="1:16" ht="15.75" customHeight="1" x14ac:dyDescent="0.3">
      <c r="A21" s="572" t="s">
        <v>42</v>
      </c>
      <c r="B21" s="573" t="s">
        <v>43</v>
      </c>
      <c r="C21" s="574" t="s">
        <v>253</v>
      </c>
      <c r="D21" s="263">
        <v>236</v>
      </c>
      <c r="E21" s="1761">
        <v>190</v>
      </c>
      <c r="F21" s="395">
        <v>29</v>
      </c>
      <c r="G21" s="395">
        <v>17</v>
      </c>
      <c r="H21" s="2180">
        <f t="shared" si="1"/>
        <v>0</v>
      </c>
      <c r="I21" s="1761">
        <v>48</v>
      </c>
      <c r="J21" s="395">
        <v>190</v>
      </c>
      <c r="K21" s="1414">
        <f t="shared" si="3"/>
        <v>-2</v>
      </c>
      <c r="L21" s="1761">
        <v>94</v>
      </c>
      <c r="M21" s="395">
        <v>142</v>
      </c>
      <c r="N21" s="395">
        <v>0</v>
      </c>
    </row>
    <row r="22" spans="1:16" x14ac:dyDescent="0.3">
      <c r="A22" s="572" t="s">
        <v>44</v>
      </c>
      <c r="B22" s="573" t="s">
        <v>45</v>
      </c>
      <c r="C22" s="574" t="s">
        <v>254</v>
      </c>
      <c r="D22" s="263">
        <v>112</v>
      </c>
      <c r="E22" s="1761">
        <v>54</v>
      </c>
      <c r="F22" s="395">
        <v>29</v>
      </c>
      <c r="G22" s="395">
        <v>28</v>
      </c>
      <c r="H22" s="2180">
        <f t="shared" si="1"/>
        <v>1</v>
      </c>
      <c r="I22" s="1761">
        <v>47</v>
      </c>
      <c r="J22" s="395">
        <v>64</v>
      </c>
      <c r="K22" s="1414">
        <f t="shared" si="3"/>
        <v>1</v>
      </c>
      <c r="L22" s="1761">
        <v>43</v>
      </c>
      <c r="M22" s="395">
        <v>69</v>
      </c>
      <c r="N22" s="395">
        <v>0</v>
      </c>
    </row>
    <row r="23" spans="1:16" ht="15.75" customHeight="1" x14ac:dyDescent="0.3">
      <c r="A23" s="572" t="s">
        <v>46</v>
      </c>
      <c r="B23" s="573" t="s">
        <v>47</v>
      </c>
      <c r="C23" s="574" t="s">
        <v>256</v>
      </c>
      <c r="D23" s="263">
        <v>170</v>
      </c>
      <c r="E23" s="1761">
        <v>167</v>
      </c>
      <c r="F23" s="395">
        <v>3</v>
      </c>
      <c r="G23" s="395">
        <v>0</v>
      </c>
      <c r="H23" s="2180">
        <f t="shared" si="1"/>
        <v>0</v>
      </c>
      <c r="I23" s="1761">
        <v>47</v>
      </c>
      <c r="J23" s="395">
        <v>123</v>
      </c>
      <c r="K23" s="1414">
        <f t="shared" si="3"/>
        <v>0</v>
      </c>
      <c r="L23" s="1761">
        <v>79</v>
      </c>
      <c r="M23" s="395">
        <v>91</v>
      </c>
      <c r="N23" s="395">
        <v>0</v>
      </c>
    </row>
    <row r="24" spans="1:16" x14ac:dyDescent="0.3">
      <c r="A24" s="572" t="s">
        <v>48</v>
      </c>
      <c r="B24" s="573" t="s">
        <v>257</v>
      </c>
      <c r="C24" s="574" t="s">
        <v>254</v>
      </c>
      <c r="D24" s="263">
        <v>9</v>
      </c>
      <c r="E24" s="1761">
        <v>1</v>
      </c>
      <c r="F24" s="395">
        <v>8</v>
      </c>
      <c r="G24" s="395">
        <v>0</v>
      </c>
      <c r="H24" s="2180">
        <f t="shared" si="1"/>
        <v>0</v>
      </c>
      <c r="I24" s="1761">
        <v>2</v>
      </c>
      <c r="J24" s="395">
        <v>7</v>
      </c>
      <c r="K24" s="1414">
        <f t="shared" si="3"/>
        <v>0</v>
      </c>
      <c r="L24" s="1761">
        <v>4</v>
      </c>
      <c r="M24" s="395">
        <v>5</v>
      </c>
      <c r="N24" s="395">
        <v>0</v>
      </c>
    </row>
    <row r="25" spans="1:16" ht="15.75" customHeight="1" x14ac:dyDescent="0.3">
      <c r="A25" s="572" t="s">
        <v>50</v>
      </c>
      <c r="B25" s="573" t="s">
        <v>51</v>
      </c>
      <c r="C25" s="574" t="s">
        <v>253</v>
      </c>
      <c r="D25" s="263">
        <v>26</v>
      </c>
      <c r="E25" s="1761">
        <v>19</v>
      </c>
      <c r="F25" s="395">
        <v>7</v>
      </c>
      <c r="G25" s="395">
        <v>0</v>
      </c>
      <c r="H25" s="2180">
        <f t="shared" si="1"/>
        <v>0</v>
      </c>
      <c r="I25" s="1761">
        <v>8</v>
      </c>
      <c r="J25" s="395">
        <v>18</v>
      </c>
      <c r="K25" s="1414">
        <f t="shared" si="3"/>
        <v>0</v>
      </c>
      <c r="L25" s="1761">
        <v>14</v>
      </c>
      <c r="M25" s="395">
        <v>12</v>
      </c>
      <c r="N25" s="395">
        <v>0</v>
      </c>
    </row>
    <row r="26" spans="1:16" x14ac:dyDescent="0.3">
      <c r="A26" s="572" t="s">
        <v>56</v>
      </c>
      <c r="B26" s="573" t="s">
        <v>283</v>
      </c>
      <c r="C26" s="574" t="s">
        <v>254</v>
      </c>
      <c r="D26" s="263">
        <v>772</v>
      </c>
      <c r="E26" s="1761">
        <v>431</v>
      </c>
      <c r="F26" s="395">
        <v>150</v>
      </c>
      <c r="G26" s="395">
        <v>184</v>
      </c>
      <c r="H26" s="2180">
        <f t="shared" si="1"/>
        <v>7</v>
      </c>
      <c r="I26" s="1761">
        <v>243</v>
      </c>
      <c r="J26" s="395">
        <v>530</v>
      </c>
      <c r="K26" s="1414">
        <f t="shared" si="3"/>
        <v>-1</v>
      </c>
      <c r="L26" s="1761">
        <v>271</v>
      </c>
      <c r="M26" s="395">
        <v>498</v>
      </c>
      <c r="N26" s="395">
        <v>3</v>
      </c>
    </row>
    <row r="27" spans="1:16" ht="15.75" customHeight="1" x14ac:dyDescent="0.3">
      <c r="A27" s="572" t="s">
        <v>58</v>
      </c>
      <c r="B27" s="573" t="s">
        <v>59</v>
      </c>
      <c r="C27" s="574" t="s">
        <v>255</v>
      </c>
      <c r="D27" s="1023">
        <v>90</v>
      </c>
      <c r="E27" s="1762">
        <v>42</v>
      </c>
      <c r="F27" s="689">
        <v>7</v>
      </c>
      <c r="G27" s="689">
        <v>41</v>
      </c>
      <c r="H27" s="2180">
        <f t="shared" si="1"/>
        <v>0</v>
      </c>
      <c r="I27" s="1762">
        <v>13</v>
      </c>
      <c r="J27" s="689">
        <v>77</v>
      </c>
      <c r="K27" s="1414">
        <f t="shared" si="3"/>
        <v>0</v>
      </c>
      <c r="L27" s="1762">
        <v>45</v>
      </c>
      <c r="M27" s="689">
        <v>45</v>
      </c>
      <c r="N27" s="689">
        <v>0</v>
      </c>
      <c r="O27" s="1751"/>
      <c r="P27" s="1751"/>
    </row>
    <row r="28" spans="1:16" ht="15.75" customHeight="1" x14ac:dyDescent="0.3">
      <c r="A28" s="572" t="s">
        <v>60</v>
      </c>
      <c r="B28" s="573" t="s">
        <v>61</v>
      </c>
      <c r="C28" s="574" t="s">
        <v>253</v>
      </c>
      <c r="D28" s="263">
        <v>11</v>
      </c>
      <c r="E28" s="1761">
        <v>11</v>
      </c>
      <c r="F28" s="395">
        <v>0</v>
      </c>
      <c r="G28" s="395">
        <v>0</v>
      </c>
      <c r="H28" s="2180">
        <f t="shared" si="1"/>
        <v>0</v>
      </c>
      <c r="I28" s="1761">
        <v>6</v>
      </c>
      <c r="J28" s="395">
        <v>5</v>
      </c>
      <c r="K28" s="1414">
        <f t="shared" si="3"/>
        <v>0</v>
      </c>
      <c r="L28" s="1761">
        <v>2</v>
      </c>
      <c r="M28" s="395">
        <v>9</v>
      </c>
      <c r="N28" s="395">
        <v>0</v>
      </c>
    </row>
    <row r="29" spans="1:16" ht="15.75" customHeight="1" x14ac:dyDescent="0.3">
      <c r="A29" s="572" t="s">
        <v>62</v>
      </c>
      <c r="B29" s="573" t="s">
        <v>63</v>
      </c>
      <c r="C29" s="574" t="s">
        <v>255</v>
      </c>
      <c r="D29" s="1023">
        <v>105</v>
      </c>
      <c r="E29" s="1762">
        <v>65</v>
      </c>
      <c r="F29" s="689">
        <v>14</v>
      </c>
      <c r="G29" s="689">
        <v>26</v>
      </c>
      <c r="H29" s="2180">
        <f t="shared" si="1"/>
        <v>0</v>
      </c>
      <c r="I29" s="1762">
        <v>18</v>
      </c>
      <c r="J29" s="689">
        <v>86</v>
      </c>
      <c r="K29" s="1414">
        <f t="shared" si="3"/>
        <v>1</v>
      </c>
      <c r="L29" s="1762">
        <v>33</v>
      </c>
      <c r="M29" s="689">
        <v>72</v>
      </c>
      <c r="N29" s="689">
        <v>0</v>
      </c>
      <c r="O29" s="1751"/>
      <c r="P29" s="1751"/>
    </row>
    <row r="30" spans="1:16" x14ac:dyDescent="0.3">
      <c r="A30" s="572" t="s">
        <v>64</v>
      </c>
      <c r="B30" s="573" t="s">
        <v>65</v>
      </c>
      <c r="C30" s="574" t="s">
        <v>254</v>
      </c>
      <c r="D30" s="263">
        <v>37</v>
      </c>
      <c r="E30" s="1761">
        <v>20</v>
      </c>
      <c r="F30" s="395">
        <v>17</v>
      </c>
      <c r="G30" s="395">
        <v>0</v>
      </c>
      <c r="H30" s="2180">
        <f t="shared" si="1"/>
        <v>0</v>
      </c>
      <c r="I30" s="1761">
        <v>9</v>
      </c>
      <c r="J30" s="395">
        <v>28</v>
      </c>
      <c r="K30" s="1414">
        <f t="shared" si="3"/>
        <v>0</v>
      </c>
      <c r="L30" s="1761">
        <v>16</v>
      </c>
      <c r="M30" s="395">
        <v>21</v>
      </c>
      <c r="N30" s="395">
        <v>0</v>
      </c>
    </row>
    <row r="31" spans="1:16" ht="15.75" customHeight="1" x14ac:dyDescent="0.3">
      <c r="A31" s="572" t="s">
        <v>68</v>
      </c>
      <c r="B31" s="573" t="s">
        <v>69</v>
      </c>
      <c r="C31" s="574" t="s">
        <v>256</v>
      </c>
      <c r="D31" s="263">
        <v>70</v>
      </c>
      <c r="E31" s="1761">
        <v>70</v>
      </c>
      <c r="F31" s="395">
        <v>0</v>
      </c>
      <c r="G31" s="395">
        <v>0</v>
      </c>
      <c r="H31" s="2180">
        <f t="shared" si="1"/>
        <v>0</v>
      </c>
      <c r="I31" s="1761">
        <v>18</v>
      </c>
      <c r="J31" s="395">
        <v>52</v>
      </c>
      <c r="K31" s="1414">
        <f t="shared" si="3"/>
        <v>0</v>
      </c>
      <c r="L31" s="1761">
        <v>31</v>
      </c>
      <c r="M31" s="395">
        <v>39</v>
      </c>
      <c r="N31" s="395">
        <v>0</v>
      </c>
    </row>
    <row r="32" spans="1:16" ht="15.75" customHeight="1" x14ac:dyDescent="0.3">
      <c r="A32" s="572" t="s">
        <v>70</v>
      </c>
      <c r="B32" s="573" t="s">
        <v>71</v>
      </c>
      <c r="C32" s="574" t="s">
        <v>252</v>
      </c>
      <c r="D32" s="263">
        <v>24</v>
      </c>
      <c r="E32" s="1761">
        <v>16</v>
      </c>
      <c r="F32" s="395">
        <v>6</v>
      </c>
      <c r="G32" s="395">
        <v>1</v>
      </c>
      <c r="H32" s="2180">
        <f t="shared" si="1"/>
        <v>1</v>
      </c>
      <c r="I32" s="1761">
        <v>6</v>
      </c>
      <c r="J32" s="395">
        <v>18</v>
      </c>
      <c r="K32" s="1414">
        <f t="shared" si="3"/>
        <v>0</v>
      </c>
      <c r="L32" s="1761">
        <v>11</v>
      </c>
      <c r="M32" s="395">
        <v>13</v>
      </c>
      <c r="N32" s="395">
        <v>0</v>
      </c>
    </row>
    <row r="33" spans="1:16" ht="15.75" customHeight="1" x14ac:dyDescent="0.3">
      <c r="A33" s="572" t="s">
        <v>72</v>
      </c>
      <c r="B33" s="573" t="s">
        <v>73</v>
      </c>
      <c r="C33" s="574" t="s">
        <v>254</v>
      </c>
      <c r="D33" s="263">
        <v>8</v>
      </c>
      <c r="E33" s="1761">
        <v>6</v>
      </c>
      <c r="F33" s="395">
        <v>2</v>
      </c>
      <c r="G33" s="395">
        <v>0</v>
      </c>
      <c r="H33" s="2180">
        <f t="shared" si="1"/>
        <v>0</v>
      </c>
      <c r="I33" s="1761">
        <v>2</v>
      </c>
      <c r="J33" s="395">
        <v>6</v>
      </c>
      <c r="K33" s="1414">
        <f t="shared" si="3"/>
        <v>0</v>
      </c>
      <c r="L33" s="1761">
        <v>2</v>
      </c>
      <c r="M33" s="395">
        <v>6</v>
      </c>
      <c r="N33" s="395">
        <v>0</v>
      </c>
    </row>
    <row r="34" spans="1:16" ht="31.2" x14ac:dyDescent="0.3">
      <c r="A34" s="572" t="s">
        <v>74</v>
      </c>
      <c r="B34" s="573" t="s">
        <v>501</v>
      </c>
      <c r="C34" s="574" t="s">
        <v>255</v>
      </c>
      <c r="D34" s="1023">
        <v>1876</v>
      </c>
      <c r="E34" s="1762">
        <v>1099</v>
      </c>
      <c r="F34" s="689">
        <v>194</v>
      </c>
      <c r="G34" s="689">
        <v>572</v>
      </c>
      <c r="H34" s="2183">
        <f t="shared" si="1"/>
        <v>11</v>
      </c>
      <c r="I34" s="1762">
        <v>410</v>
      </c>
      <c r="J34" s="689">
        <v>1457</v>
      </c>
      <c r="K34" s="1414">
        <f t="shared" si="3"/>
        <v>9</v>
      </c>
      <c r="L34" s="1762">
        <v>748</v>
      </c>
      <c r="M34" s="689">
        <v>1111</v>
      </c>
      <c r="N34" s="689">
        <v>17</v>
      </c>
      <c r="O34" s="1751"/>
      <c r="P34" s="1751"/>
    </row>
    <row r="35" spans="1:16" ht="15.75" customHeight="1" x14ac:dyDescent="0.3">
      <c r="A35" s="572" t="s">
        <v>76</v>
      </c>
      <c r="B35" s="573" t="s">
        <v>77</v>
      </c>
      <c r="C35" s="574" t="s">
        <v>255</v>
      </c>
      <c r="D35" s="1023">
        <v>389</v>
      </c>
      <c r="E35" s="1762">
        <v>280</v>
      </c>
      <c r="F35" s="689">
        <v>53</v>
      </c>
      <c r="G35" s="689">
        <v>52</v>
      </c>
      <c r="H35" s="2180">
        <f t="shared" si="1"/>
        <v>4</v>
      </c>
      <c r="I35" s="1762">
        <v>77</v>
      </c>
      <c r="J35" s="689">
        <v>312</v>
      </c>
      <c r="K35" s="1414">
        <f t="shared" si="3"/>
        <v>0</v>
      </c>
      <c r="L35" s="1762">
        <v>162</v>
      </c>
      <c r="M35" s="689">
        <v>226</v>
      </c>
      <c r="N35" s="689">
        <v>1</v>
      </c>
      <c r="O35" s="1751"/>
      <c r="P35" s="1751"/>
    </row>
    <row r="36" spans="1:16" x14ac:dyDescent="0.3">
      <c r="A36" s="572" t="s">
        <v>78</v>
      </c>
      <c r="B36" s="573" t="s">
        <v>79</v>
      </c>
      <c r="C36" s="574" t="s">
        <v>256</v>
      </c>
      <c r="D36" s="263">
        <v>85</v>
      </c>
      <c r="E36" s="1761">
        <v>81</v>
      </c>
      <c r="F36" s="395">
        <v>3</v>
      </c>
      <c r="G36" s="395">
        <v>1</v>
      </c>
      <c r="H36" s="2180">
        <f t="shared" si="1"/>
        <v>0</v>
      </c>
      <c r="I36" s="1761">
        <v>25</v>
      </c>
      <c r="J36" s="395">
        <v>60</v>
      </c>
      <c r="K36" s="1414">
        <f t="shared" si="3"/>
        <v>0</v>
      </c>
      <c r="L36" s="1761">
        <v>29</v>
      </c>
      <c r="M36" s="395">
        <v>55</v>
      </c>
      <c r="N36" s="395">
        <v>1</v>
      </c>
    </row>
    <row r="37" spans="1:16" x14ac:dyDescent="0.3">
      <c r="A37" s="572" t="s">
        <v>80</v>
      </c>
      <c r="B37" s="573" t="s">
        <v>81</v>
      </c>
      <c r="C37" s="574" t="s">
        <v>254</v>
      </c>
      <c r="D37" s="263">
        <v>54</v>
      </c>
      <c r="E37" s="1761">
        <v>28</v>
      </c>
      <c r="F37" s="395">
        <v>17</v>
      </c>
      <c r="G37" s="395">
        <v>9</v>
      </c>
      <c r="H37" s="2180">
        <f t="shared" ref="H37:H68" si="4">D37-(E37+F37+G37)</f>
        <v>0</v>
      </c>
      <c r="I37" s="1761">
        <v>8</v>
      </c>
      <c r="J37" s="395">
        <v>46</v>
      </c>
      <c r="K37" s="1414">
        <f t="shared" si="3"/>
        <v>0</v>
      </c>
      <c r="L37" s="1761">
        <v>19</v>
      </c>
      <c r="M37" s="395">
        <v>35</v>
      </c>
      <c r="N37" s="395">
        <v>0</v>
      </c>
    </row>
    <row r="38" spans="1:16" x14ac:dyDescent="0.3">
      <c r="A38" s="572" t="s">
        <v>84</v>
      </c>
      <c r="B38" s="573" t="s">
        <v>85</v>
      </c>
      <c r="C38" s="574" t="s">
        <v>253</v>
      </c>
      <c r="D38" s="263">
        <v>257</v>
      </c>
      <c r="E38" s="1761">
        <v>159</v>
      </c>
      <c r="F38" s="395">
        <v>20</v>
      </c>
      <c r="G38" s="395">
        <v>77</v>
      </c>
      <c r="H38" s="2180">
        <f t="shared" si="4"/>
        <v>1</v>
      </c>
      <c r="I38" s="1761">
        <v>86</v>
      </c>
      <c r="J38" s="395">
        <v>171</v>
      </c>
      <c r="K38" s="1414">
        <f t="shared" ref="K38:K69" si="5">D38-(I38+J38)</f>
        <v>0</v>
      </c>
      <c r="L38" s="1761">
        <v>111</v>
      </c>
      <c r="M38" s="395">
        <v>146</v>
      </c>
      <c r="N38" s="395">
        <v>0</v>
      </c>
    </row>
    <row r="39" spans="1:16" x14ac:dyDescent="0.3">
      <c r="A39" s="572" t="s">
        <v>86</v>
      </c>
      <c r="B39" s="573" t="s">
        <v>87</v>
      </c>
      <c r="C39" s="574" t="s">
        <v>255</v>
      </c>
      <c r="D39" s="1023">
        <v>409</v>
      </c>
      <c r="E39" s="1762">
        <v>358</v>
      </c>
      <c r="F39" s="689">
        <v>19</v>
      </c>
      <c r="G39" s="689">
        <v>27</v>
      </c>
      <c r="H39" s="2180">
        <f t="shared" si="4"/>
        <v>5</v>
      </c>
      <c r="I39" s="1762">
        <v>80</v>
      </c>
      <c r="J39" s="689">
        <v>329</v>
      </c>
      <c r="K39" s="1414">
        <f t="shared" si="5"/>
        <v>0</v>
      </c>
      <c r="L39" s="1762">
        <v>148</v>
      </c>
      <c r="M39" s="689">
        <v>260</v>
      </c>
      <c r="N39" s="689">
        <v>1</v>
      </c>
      <c r="O39" s="1751"/>
      <c r="P39" s="1751"/>
    </row>
    <row r="40" spans="1:16" x14ac:dyDescent="0.3">
      <c r="A40" s="572" t="s">
        <v>92</v>
      </c>
      <c r="B40" s="573" t="s">
        <v>93</v>
      </c>
      <c r="C40" s="574" t="s">
        <v>256</v>
      </c>
      <c r="D40" s="1023">
        <v>47</v>
      </c>
      <c r="E40" s="1762">
        <v>43</v>
      </c>
      <c r="F40" s="689">
        <v>1</v>
      </c>
      <c r="G40" s="689">
        <v>3</v>
      </c>
      <c r="H40" s="2180">
        <f t="shared" si="4"/>
        <v>0</v>
      </c>
      <c r="I40" s="1762">
        <v>9</v>
      </c>
      <c r="J40" s="689">
        <v>38</v>
      </c>
      <c r="K40" s="1414">
        <f t="shared" si="5"/>
        <v>0</v>
      </c>
      <c r="L40" s="1762">
        <v>22</v>
      </c>
      <c r="M40" s="689">
        <v>25</v>
      </c>
      <c r="N40" s="689">
        <v>0</v>
      </c>
    </row>
    <row r="41" spans="1:16" x14ac:dyDescent="0.3">
      <c r="A41" s="572" t="s">
        <v>94</v>
      </c>
      <c r="B41" s="573" t="s">
        <v>95</v>
      </c>
      <c r="C41" s="574" t="s">
        <v>252</v>
      </c>
      <c r="D41" s="263">
        <v>215</v>
      </c>
      <c r="E41" s="1761">
        <v>154</v>
      </c>
      <c r="F41" s="395">
        <v>13</v>
      </c>
      <c r="G41" s="395">
        <v>47</v>
      </c>
      <c r="H41" s="2180">
        <f t="shared" si="4"/>
        <v>1</v>
      </c>
      <c r="I41" s="1761">
        <v>43</v>
      </c>
      <c r="J41" s="395">
        <v>169</v>
      </c>
      <c r="K41" s="1414">
        <f t="shared" si="5"/>
        <v>3</v>
      </c>
      <c r="L41" s="1761">
        <v>92</v>
      </c>
      <c r="M41" s="395">
        <v>121</v>
      </c>
      <c r="N41" s="395">
        <v>2</v>
      </c>
    </row>
    <row r="42" spans="1:16" x14ac:dyDescent="0.3">
      <c r="A42" s="572" t="s">
        <v>96</v>
      </c>
      <c r="B42" s="573" t="s">
        <v>97</v>
      </c>
      <c r="C42" s="574" t="s">
        <v>254</v>
      </c>
      <c r="D42" s="263">
        <v>74</v>
      </c>
      <c r="E42" s="1761">
        <v>40</v>
      </c>
      <c r="F42" s="395">
        <v>17</v>
      </c>
      <c r="G42" s="395">
        <v>17</v>
      </c>
      <c r="H42" s="2180">
        <f t="shared" si="4"/>
        <v>0</v>
      </c>
      <c r="I42" s="1761">
        <v>23</v>
      </c>
      <c r="J42" s="395">
        <v>51</v>
      </c>
      <c r="K42" s="1414">
        <f t="shared" si="5"/>
        <v>0</v>
      </c>
      <c r="L42" s="1761">
        <v>41</v>
      </c>
      <c r="M42" s="395">
        <v>32</v>
      </c>
      <c r="N42" s="395">
        <v>1</v>
      </c>
    </row>
    <row r="43" spans="1:16" x14ac:dyDescent="0.3">
      <c r="A43" s="572" t="s">
        <v>98</v>
      </c>
      <c r="B43" s="573" t="s">
        <v>99</v>
      </c>
      <c r="C43" s="574" t="s">
        <v>256</v>
      </c>
      <c r="D43" s="263">
        <v>91</v>
      </c>
      <c r="E43" s="1761">
        <v>86</v>
      </c>
      <c r="F43" s="395">
        <v>4</v>
      </c>
      <c r="G43" s="395">
        <v>1</v>
      </c>
      <c r="H43" s="2180">
        <f t="shared" si="4"/>
        <v>0</v>
      </c>
      <c r="I43" s="1761">
        <v>23</v>
      </c>
      <c r="J43" s="395">
        <v>68</v>
      </c>
      <c r="K43" s="1414">
        <f t="shared" si="5"/>
        <v>0</v>
      </c>
      <c r="L43" s="1761">
        <v>43</v>
      </c>
      <c r="M43" s="395">
        <v>48</v>
      </c>
      <c r="N43" s="395">
        <v>0</v>
      </c>
    </row>
    <row r="44" spans="1:16" x14ac:dyDescent="0.3">
      <c r="A44" s="572" t="s">
        <v>100</v>
      </c>
      <c r="B44" s="573" t="s">
        <v>101</v>
      </c>
      <c r="C44" s="574" t="s">
        <v>255</v>
      </c>
      <c r="D44" s="1023">
        <v>71</v>
      </c>
      <c r="E44" s="1762">
        <v>48</v>
      </c>
      <c r="F44" s="689">
        <v>23</v>
      </c>
      <c r="G44" s="689">
        <v>0</v>
      </c>
      <c r="H44" s="2180">
        <f t="shared" si="4"/>
        <v>0</v>
      </c>
      <c r="I44" s="1762">
        <v>16</v>
      </c>
      <c r="J44" s="689">
        <v>54</v>
      </c>
      <c r="K44" s="1414">
        <f t="shared" si="5"/>
        <v>1</v>
      </c>
      <c r="L44" s="1762">
        <v>33</v>
      </c>
      <c r="M44" s="689">
        <v>38</v>
      </c>
      <c r="N44" s="689">
        <v>0</v>
      </c>
      <c r="O44" s="1751"/>
      <c r="P44" s="1751"/>
    </row>
    <row r="45" spans="1:16" x14ac:dyDescent="0.3">
      <c r="A45" s="572" t="s">
        <v>102</v>
      </c>
      <c r="B45" s="573" t="s">
        <v>270</v>
      </c>
      <c r="C45" s="574" t="s">
        <v>252</v>
      </c>
      <c r="D45" s="263">
        <v>15</v>
      </c>
      <c r="E45" s="1761">
        <v>7</v>
      </c>
      <c r="F45" s="395">
        <v>7</v>
      </c>
      <c r="G45" s="395">
        <v>1</v>
      </c>
      <c r="H45" s="2180">
        <f t="shared" si="4"/>
        <v>0</v>
      </c>
      <c r="I45" s="1761">
        <v>7</v>
      </c>
      <c r="J45" s="395">
        <v>8</v>
      </c>
      <c r="K45" s="1414">
        <f t="shared" si="5"/>
        <v>0</v>
      </c>
      <c r="L45" s="1761">
        <v>9</v>
      </c>
      <c r="M45" s="395">
        <v>6</v>
      </c>
      <c r="N45" s="395">
        <v>0</v>
      </c>
    </row>
    <row r="46" spans="1:16" x14ac:dyDescent="0.3">
      <c r="A46" s="572" t="s">
        <v>104</v>
      </c>
      <c r="B46" s="573" t="s">
        <v>105</v>
      </c>
      <c r="C46" s="574" t="s">
        <v>253</v>
      </c>
      <c r="D46" s="263">
        <v>58</v>
      </c>
      <c r="E46" s="1761">
        <v>35</v>
      </c>
      <c r="F46" s="395">
        <v>22</v>
      </c>
      <c r="G46" s="395">
        <v>1</v>
      </c>
      <c r="H46" s="2180">
        <f t="shared" si="4"/>
        <v>0</v>
      </c>
      <c r="I46" s="1761">
        <v>7</v>
      </c>
      <c r="J46" s="395">
        <v>51</v>
      </c>
      <c r="K46" s="1414">
        <f t="shared" si="5"/>
        <v>0</v>
      </c>
      <c r="L46" s="1761">
        <v>29</v>
      </c>
      <c r="M46" s="395">
        <v>29</v>
      </c>
      <c r="N46" s="395">
        <v>0</v>
      </c>
    </row>
    <row r="47" spans="1:16" x14ac:dyDescent="0.3">
      <c r="A47" s="572" t="s">
        <v>108</v>
      </c>
      <c r="B47" s="573" t="s">
        <v>109</v>
      </c>
      <c r="C47" s="574" t="s">
        <v>254</v>
      </c>
      <c r="D47" s="263">
        <v>311</v>
      </c>
      <c r="E47" s="1761">
        <v>194</v>
      </c>
      <c r="F47" s="395">
        <v>43</v>
      </c>
      <c r="G47" s="395">
        <v>71</v>
      </c>
      <c r="H47" s="2180">
        <f t="shared" si="4"/>
        <v>3</v>
      </c>
      <c r="I47" s="1761">
        <v>56</v>
      </c>
      <c r="J47" s="395">
        <v>247</v>
      </c>
      <c r="K47" s="1414">
        <f t="shared" si="5"/>
        <v>8</v>
      </c>
      <c r="L47" s="1761">
        <v>133</v>
      </c>
      <c r="M47" s="395">
        <v>175</v>
      </c>
      <c r="N47" s="395">
        <v>3</v>
      </c>
    </row>
    <row r="48" spans="1:16" x14ac:dyDescent="0.3">
      <c r="A48" s="572" t="s">
        <v>110</v>
      </c>
      <c r="B48" s="573" t="s">
        <v>111</v>
      </c>
      <c r="C48" s="574" t="s">
        <v>254</v>
      </c>
      <c r="D48" s="263">
        <v>1514</v>
      </c>
      <c r="E48" s="1761">
        <v>794</v>
      </c>
      <c r="F48" s="395">
        <v>437</v>
      </c>
      <c r="G48" s="395">
        <v>273</v>
      </c>
      <c r="H48" s="2183">
        <f t="shared" si="4"/>
        <v>10</v>
      </c>
      <c r="I48" s="1761">
        <v>384</v>
      </c>
      <c r="J48" s="395">
        <v>1126</v>
      </c>
      <c r="K48" s="1414">
        <f t="shared" si="5"/>
        <v>4</v>
      </c>
      <c r="L48" s="1761">
        <v>595</v>
      </c>
      <c r="M48" s="395">
        <v>916</v>
      </c>
      <c r="N48" s="395">
        <v>3</v>
      </c>
    </row>
    <row r="49" spans="1:16" x14ac:dyDescent="0.3">
      <c r="A49" s="572" t="s">
        <v>112</v>
      </c>
      <c r="B49" s="573" t="s">
        <v>288</v>
      </c>
      <c r="C49" s="574" t="s">
        <v>253</v>
      </c>
      <c r="D49" s="263">
        <v>577</v>
      </c>
      <c r="E49" s="1761">
        <v>322</v>
      </c>
      <c r="F49" s="395">
        <v>149</v>
      </c>
      <c r="G49" s="395">
        <v>104</v>
      </c>
      <c r="H49" s="2180">
        <f t="shared" si="4"/>
        <v>2</v>
      </c>
      <c r="I49" s="1761">
        <v>106</v>
      </c>
      <c r="J49" s="395">
        <v>403</v>
      </c>
      <c r="K49" s="1763">
        <f t="shared" si="5"/>
        <v>68</v>
      </c>
      <c r="L49" s="1761">
        <v>213</v>
      </c>
      <c r="M49" s="395">
        <v>364</v>
      </c>
      <c r="N49" s="395">
        <v>0</v>
      </c>
    </row>
    <row r="50" spans="1:16" x14ac:dyDescent="0.3">
      <c r="A50" s="572" t="s">
        <v>114</v>
      </c>
      <c r="B50" s="573" t="s">
        <v>115</v>
      </c>
      <c r="C50" s="574" t="s">
        <v>253</v>
      </c>
      <c r="D50" s="263">
        <v>16</v>
      </c>
      <c r="E50" s="1761">
        <v>16</v>
      </c>
      <c r="F50" s="395">
        <v>0</v>
      </c>
      <c r="G50" s="395">
        <v>0</v>
      </c>
      <c r="H50" s="2180">
        <f t="shared" si="4"/>
        <v>0</v>
      </c>
      <c r="I50" s="1761">
        <v>4</v>
      </c>
      <c r="J50" s="395">
        <v>12</v>
      </c>
      <c r="K50" s="1414">
        <f t="shared" si="5"/>
        <v>0</v>
      </c>
      <c r="L50" s="1761">
        <v>4</v>
      </c>
      <c r="M50" s="395">
        <v>12</v>
      </c>
      <c r="N50" s="395">
        <v>0</v>
      </c>
    </row>
    <row r="51" spans="1:16" x14ac:dyDescent="0.3">
      <c r="A51" s="572" t="s">
        <v>118</v>
      </c>
      <c r="B51" s="573" t="s">
        <v>258</v>
      </c>
      <c r="C51" s="574" t="s">
        <v>252</v>
      </c>
      <c r="D51" s="263">
        <v>125</v>
      </c>
      <c r="E51" s="1761">
        <v>87</v>
      </c>
      <c r="F51" s="395">
        <v>36</v>
      </c>
      <c r="G51" s="395">
        <v>1</v>
      </c>
      <c r="H51" s="2180">
        <f t="shared" si="4"/>
        <v>1</v>
      </c>
      <c r="I51" s="1761">
        <v>17</v>
      </c>
      <c r="J51" s="395">
        <v>107</v>
      </c>
      <c r="K51" s="1414">
        <f t="shared" si="5"/>
        <v>1</v>
      </c>
      <c r="L51" s="1761">
        <v>54</v>
      </c>
      <c r="M51" s="395">
        <v>71</v>
      </c>
      <c r="N51" s="395">
        <v>0</v>
      </c>
    </row>
    <row r="52" spans="1:16" x14ac:dyDescent="0.3">
      <c r="A52" s="572" t="s">
        <v>120</v>
      </c>
      <c r="B52" s="573" t="s">
        <v>121</v>
      </c>
      <c r="C52" s="574" t="s">
        <v>252</v>
      </c>
      <c r="D52" s="263">
        <v>367</v>
      </c>
      <c r="E52" s="1761">
        <v>199</v>
      </c>
      <c r="F52" s="395">
        <v>71</v>
      </c>
      <c r="G52" s="395">
        <v>94</v>
      </c>
      <c r="H52" s="2180">
        <f t="shared" si="4"/>
        <v>3</v>
      </c>
      <c r="I52" s="1761">
        <v>83</v>
      </c>
      <c r="J52" s="395">
        <v>283</v>
      </c>
      <c r="K52" s="1414">
        <f t="shared" si="5"/>
        <v>1</v>
      </c>
      <c r="L52" s="1761">
        <v>149</v>
      </c>
      <c r="M52" s="395">
        <v>217</v>
      </c>
      <c r="N52" s="395">
        <v>1</v>
      </c>
    </row>
    <row r="53" spans="1:16" x14ac:dyDescent="0.3">
      <c r="A53" s="572" t="s">
        <v>122</v>
      </c>
      <c r="B53" s="573" t="s">
        <v>275</v>
      </c>
      <c r="C53" s="574" t="s">
        <v>254</v>
      </c>
      <c r="D53" s="263">
        <v>21</v>
      </c>
      <c r="E53" s="1761">
        <v>11</v>
      </c>
      <c r="F53" s="395">
        <v>9</v>
      </c>
      <c r="G53" s="395">
        <v>1</v>
      </c>
      <c r="H53" s="2180">
        <f t="shared" si="4"/>
        <v>0</v>
      </c>
      <c r="I53" s="1761">
        <v>7</v>
      </c>
      <c r="J53" s="395">
        <v>14</v>
      </c>
      <c r="K53" s="1414">
        <f t="shared" si="5"/>
        <v>0</v>
      </c>
      <c r="L53" s="1761">
        <v>6</v>
      </c>
      <c r="M53" s="395">
        <v>15</v>
      </c>
      <c r="N53" s="395">
        <v>0</v>
      </c>
    </row>
    <row r="54" spans="1:16" x14ac:dyDescent="0.3">
      <c r="A54" s="572" t="s">
        <v>124</v>
      </c>
      <c r="B54" s="573" t="s">
        <v>125</v>
      </c>
      <c r="C54" s="574" t="s">
        <v>255</v>
      </c>
      <c r="D54" s="1023">
        <v>8</v>
      </c>
      <c r="E54" s="1762">
        <v>0</v>
      </c>
      <c r="F54" s="689">
        <v>6</v>
      </c>
      <c r="G54" s="689">
        <v>2</v>
      </c>
      <c r="H54" s="2180">
        <f t="shared" si="4"/>
        <v>0</v>
      </c>
      <c r="I54" s="1762">
        <v>2</v>
      </c>
      <c r="J54" s="689">
        <v>6</v>
      </c>
      <c r="K54" s="1414">
        <f t="shared" si="5"/>
        <v>0</v>
      </c>
      <c r="L54" s="1762">
        <v>0</v>
      </c>
      <c r="M54" s="689">
        <v>7</v>
      </c>
      <c r="N54" s="689">
        <v>1</v>
      </c>
      <c r="O54" s="1751"/>
      <c r="P54" s="1751"/>
    </row>
    <row r="55" spans="1:16" x14ac:dyDescent="0.3">
      <c r="A55" s="572" t="s">
        <v>126</v>
      </c>
      <c r="B55" s="573" t="s">
        <v>127</v>
      </c>
      <c r="C55" s="574" t="s">
        <v>254</v>
      </c>
      <c r="D55" s="263">
        <v>27</v>
      </c>
      <c r="E55" s="1761">
        <v>14</v>
      </c>
      <c r="F55" s="395">
        <v>9</v>
      </c>
      <c r="G55" s="395">
        <v>4</v>
      </c>
      <c r="H55" s="2180">
        <f t="shared" si="4"/>
        <v>0</v>
      </c>
      <c r="I55" s="1761">
        <v>4</v>
      </c>
      <c r="J55" s="395">
        <v>23</v>
      </c>
      <c r="K55" s="1414">
        <f t="shared" si="5"/>
        <v>0</v>
      </c>
      <c r="L55" s="1761">
        <v>8</v>
      </c>
      <c r="M55" s="395">
        <v>19</v>
      </c>
      <c r="N55" s="395">
        <v>0</v>
      </c>
    </row>
    <row r="56" spans="1:16" x14ac:dyDescent="0.3">
      <c r="A56" s="572" t="s">
        <v>128</v>
      </c>
      <c r="B56" s="573" t="s">
        <v>129</v>
      </c>
      <c r="C56" s="574" t="s">
        <v>254</v>
      </c>
      <c r="D56" s="263">
        <v>48</v>
      </c>
      <c r="E56" s="1761">
        <v>26</v>
      </c>
      <c r="F56" s="395">
        <v>15</v>
      </c>
      <c r="G56" s="395">
        <v>7</v>
      </c>
      <c r="H56" s="2180">
        <f t="shared" si="4"/>
        <v>0</v>
      </c>
      <c r="I56" s="1761">
        <v>6</v>
      </c>
      <c r="J56" s="395">
        <v>42</v>
      </c>
      <c r="K56" s="1414">
        <f t="shared" si="5"/>
        <v>0</v>
      </c>
      <c r="L56" s="1761">
        <v>20</v>
      </c>
      <c r="M56" s="395">
        <v>28</v>
      </c>
      <c r="N56" s="395">
        <v>0</v>
      </c>
    </row>
    <row r="57" spans="1:16" x14ac:dyDescent="0.3">
      <c r="A57" s="572" t="s">
        <v>130</v>
      </c>
      <c r="B57" s="573" t="s">
        <v>131</v>
      </c>
      <c r="C57" s="574" t="s">
        <v>256</v>
      </c>
      <c r="D57" s="263">
        <v>53</v>
      </c>
      <c r="E57" s="1761">
        <v>53</v>
      </c>
      <c r="F57" s="395">
        <v>0</v>
      </c>
      <c r="G57" s="395">
        <v>0</v>
      </c>
      <c r="H57" s="2180">
        <f t="shared" si="4"/>
        <v>0</v>
      </c>
      <c r="I57" s="1761">
        <v>8</v>
      </c>
      <c r="J57" s="395">
        <v>45</v>
      </c>
      <c r="K57" s="1414">
        <f t="shared" si="5"/>
        <v>0</v>
      </c>
      <c r="L57" s="1761">
        <v>17</v>
      </c>
      <c r="M57" s="395">
        <v>36</v>
      </c>
      <c r="N57" s="395">
        <v>0</v>
      </c>
    </row>
    <row r="58" spans="1:16" x14ac:dyDescent="0.3">
      <c r="A58" s="572" t="s">
        <v>132</v>
      </c>
      <c r="B58" s="573" t="s">
        <v>133</v>
      </c>
      <c r="C58" s="574" t="s">
        <v>255</v>
      </c>
      <c r="D58" s="1023">
        <v>669</v>
      </c>
      <c r="E58" s="1762">
        <v>504</v>
      </c>
      <c r="F58" s="689">
        <v>77</v>
      </c>
      <c r="G58" s="689">
        <v>64</v>
      </c>
      <c r="H58" s="2183">
        <f t="shared" si="4"/>
        <v>24</v>
      </c>
      <c r="I58" s="1762">
        <v>165</v>
      </c>
      <c r="J58" s="689">
        <v>506</v>
      </c>
      <c r="K58" s="1414">
        <f t="shared" si="5"/>
        <v>-2</v>
      </c>
      <c r="L58" s="1762">
        <v>280</v>
      </c>
      <c r="M58" s="689">
        <v>389</v>
      </c>
      <c r="N58" s="689">
        <v>0</v>
      </c>
      <c r="O58" s="1751"/>
      <c r="P58" s="1751"/>
    </row>
    <row r="59" spans="1:16" x14ac:dyDescent="0.3">
      <c r="A59" s="572" t="s">
        <v>134</v>
      </c>
      <c r="B59" s="573" t="s">
        <v>135</v>
      </c>
      <c r="C59" s="574" t="s">
        <v>255</v>
      </c>
      <c r="D59" s="1023">
        <v>132</v>
      </c>
      <c r="E59" s="1762">
        <v>75</v>
      </c>
      <c r="F59" s="689">
        <v>48</v>
      </c>
      <c r="G59" s="689">
        <v>8</v>
      </c>
      <c r="H59" s="2180">
        <f t="shared" si="4"/>
        <v>1</v>
      </c>
      <c r="I59" s="1762">
        <v>25</v>
      </c>
      <c r="J59" s="689">
        <v>107</v>
      </c>
      <c r="K59" s="1414">
        <f t="shared" si="5"/>
        <v>0</v>
      </c>
      <c r="L59" s="1762">
        <v>57</v>
      </c>
      <c r="M59" s="689">
        <v>75</v>
      </c>
      <c r="N59" s="689">
        <v>0</v>
      </c>
      <c r="O59" s="1751"/>
      <c r="P59" s="1751"/>
    </row>
    <row r="60" spans="1:16" x14ac:dyDescent="0.3">
      <c r="A60" s="572" t="s">
        <v>136</v>
      </c>
      <c r="B60" s="573" t="s">
        <v>137</v>
      </c>
      <c r="C60" s="574" t="s">
        <v>254</v>
      </c>
      <c r="D60" s="1023">
        <v>18</v>
      </c>
      <c r="E60" s="1761">
        <v>10</v>
      </c>
      <c r="F60" s="395">
        <v>8</v>
      </c>
      <c r="G60" s="395">
        <v>0</v>
      </c>
      <c r="H60" s="2180">
        <f t="shared" si="4"/>
        <v>0</v>
      </c>
      <c r="I60" s="1761">
        <v>5</v>
      </c>
      <c r="J60" s="395">
        <v>13</v>
      </c>
      <c r="K60" s="1414">
        <f t="shared" si="5"/>
        <v>0</v>
      </c>
      <c r="L60" s="1761">
        <v>5</v>
      </c>
      <c r="M60" s="395">
        <v>13</v>
      </c>
      <c r="N60" s="395">
        <v>0</v>
      </c>
    </row>
    <row r="61" spans="1:16" x14ac:dyDescent="0.3">
      <c r="A61" s="572" t="s">
        <v>140</v>
      </c>
      <c r="B61" s="573" t="s">
        <v>141</v>
      </c>
      <c r="C61" s="574" t="s">
        <v>255</v>
      </c>
      <c r="D61" s="1023">
        <v>33</v>
      </c>
      <c r="E61" s="1762">
        <v>29</v>
      </c>
      <c r="F61" s="689">
        <v>3</v>
      </c>
      <c r="G61" s="689">
        <v>1</v>
      </c>
      <c r="H61" s="2180">
        <f t="shared" si="4"/>
        <v>0</v>
      </c>
      <c r="I61" s="1762">
        <v>7</v>
      </c>
      <c r="J61" s="689">
        <v>26</v>
      </c>
      <c r="K61" s="1414">
        <f t="shared" si="5"/>
        <v>0</v>
      </c>
      <c r="L61" s="1762">
        <v>11</v>
      </c>
      <c r="M61" s="689">
        <v>22</v>
      </c>
      <c r="N61" s="689">
        <v>0</v>
      </c>
      <c r="O61" s="1751"/>
      <c r="P61" s="1751"/>
    </row>
    <row r="62" spans="1:16" x14ac:dyDescent="0.3">
      <c r="A62" s="572" t="s">
        <v>146</v>
      </c>
      <c r="B62" s="573" t="s">
        <v>147</v>
      </c>
      <c r="C62" s="574" t="s">
        <v>252</v>
      </c>
      <c r="D62" s="263">
        <v>72</v>
      </c>
      <c r="E62" s="1761">
        <v>62</v>
      </c>
      <c r="F62" s="395">
        <v>5</v>
      </c>
      <c r="G62" s="395">
        <v>5</v>
      </c>
      <c r="H62" s="2180">
        <f t="shared" si="4"/>
        <v>0</v>
      </c>
      <c r="I62" s="1761">
        <v>19</v>
      </c>
      <c r="J62" s="395">
        <v>53</v>
      </c>
      <c r="K62" s="1414">
        <f t="shared" si="5"/>
        <v>0</v>
      </c>
      <c r="L62" s="1761">
        <v>29</v>
      </c>
      <c r="M62" s="395">
        <v>42</v>
      </c>
      <c r="N62" s="395">
        <v>1</v>
      </c>
    </row>
    <row r="63" spans="1:16" x14ac:dyDescent="0.3">
      <c r="A63" s="572" t="s">
        <v>148</v>
      </c>
      <c r="B63" s="573" t="s">
        <v>149</v>
      </c>
      <c r="C63" s="574" t="s">
        <v>253</v>
      </c>
      <c r="D63" s="263">
        <v>148</v>
      </c>
      <c r="E63" s="1761">
        <v>58</v>
      </c>
      <c r="F63" s="395">
        <v>78</v>
      </c>
      <c r="G63" s="395">
        <v>11</v>
      </c>
      <c r="H63" s="2180">
        <f t="shared" si="4"/>
        <v>1</v>
      </c>
      <c r="I63" s="1761">
        <v>32</v>
      </c>
      <c r="J63" s="395">
        <v>116</v>
      </c>
      <c r="K63" s="1414">
        <f t="shared" si="5"/>
        <v>0</v>
      </c>
      <c r="L63" s="1761">
        <v>60</v>
      </c>
      <c r="M63" s="395">
        <v>88</v>
      </c>
      <c r="N63" s="395">
        <v>0</v>
      </c>
    </row>
    <row r="64" spans="1:16" x14ac:dyDescent="0.3">
      <c r="A64" s="572" t="s">
        <v>150</v>
      </c>
      <c r="B64" s="573" t="s">
        <v>151</v>
      </c>
      <c r="C64" s="574" t="s">
        <v>254</v>
      </c>
      <c r="D64" s="263">
        <v>104</v>
      </c>
      <c r="E64" s="1761">
        <v>70</v>
      </c>
      <c r="F64" s="395">
        <v>16</v>
      </c>
      <c r="G64" s="395">
        <v>18</v>
      </c>
      <c r="H64" s="2180">
        <f t="shared" si="4"/>
        <v>0</v>
      </c>
      <c r="I64" s="1761">
        <v>16</v>
      </c>
      <c r="J64" s="395">
        <v>89</v>
      </c>
      <c r="K64" s="1414">
        <f t="shared" si="5"/>
        <v>-1</v>
      </c>
      <c r="L64" s="1761">
        <v>40</v>
      </c>
      <c r="M64" s="395">
        <v>63</v>
      </c>
      <c r="N64" s="395">
        <v>1</v>
      </c>
    </row>
    <row r="65" spans="1:16" x14ac:dyDescent="0.3">
      <c r="A65" s="572" t="s">
        <v>152</v>
      </c>
      <c r="B65" s="573" t="s">
        <v>153</v>
      </c>
      <c r="C65" s="574" t="s">
        <v>256</v>
      </c>
      <c r="D65" s="263">
        <v>395</v>
      </c>
      <c r="E65" s="1761">
        <v>324</v>
      </c>
      <c r="F65" s="395">
        <v>19</v>
      </c>
      <c r="G65" s="395">
        <v>50</v>
      </c>
      <c r="H65" s="2180">
        <f t="shared" si="4"/>
        <v>2</v>
      </c>
      <c r="I65" s="1761">
        <v>79</v>
      </c>
      <c r="J65" s="395">
        <v>310</v>
      </c>
      <c r="K65" s="1414">
        <f t="shared" si="5"/>
        <v>6</v>
      </c>
      <c r="L65" s="1761">
        <v>141</v>
      </c>
      <c r="M65" s="395">
        <v>250</v>
      </c>
      <c r="N65" s="395">
        <v>4</v>
      </c>
    </row>
    <row r="66" spans="1:16" x14ac:dyDescent="0.3">
      <c r="A66" s="572" t="s">
        <v>154</v>
      </c>
      <c r="B66" s="573" t="s">
        <v>155</v>
      </c>
      <c r="C66" s="574" t="s">
        <v>253</v>
      </c>
      <c r="D66" s="263">
        <v>50</v>
      </c>
      <c r="E66" s="1761">
        <v>45</v>
      </c>
      <c r="F66" s="395">
        <v>5</v>
      </c>
      <c r="G66" s="395">
        <v>0</v>
      </c>
      <c r="H66" s="2180">
        <f t="shared" si="4"/>
        <v>0</v>
      </c>
      <c r="I66" s="1761">
        <v>11</v>
      </c>
      <c r="J66" s="395">
        <v>39</v>
      </c>
      <c r="K66" s="1414">
        <f t="shared" si="5"/>
        <v>0</v>
      </c>
      <c r="L66" s="1761">
        <v>20</v>
      </c>
      <c r="M66" s="395">
        <v>30</v>
      </c>
      <c r="N66" s="395">
        <v>0</v>
      </c>
    </row>
    <row r="67" spans="1:16" x14ac:dyDescent="0.3">
      <c r="A67" s="572" t="s">
        <v>156</v>
      </c>
      <c r="B67" s="573" t="s">
        <v>157</v>
      </c>
      <c r="C67" s="574" t="s">
        <v>254</v>
      </c>
      <c r="D67" s="263">
        <v>41</v>
      </c>
      <c r="E67" s="1761">
        <v>28</v>
      </c>
      <c r="F67" s="395">
        <v>6</v>
      </c>
      <c r="G67" s="395">
        <v>7</v>
      </c>
      <c r="H67" s="2180">
        <f t="shared" si="4"/>
        <v>0</v>
      </c>
      <c r="I67" s="1761">
        <v>9</v>
      </c>
      <c r="J67" s="395">
        <v>32</v>
      </c>
      <c r="K67" s="1414">
        <f t="shared" si="5"/>
        <v>0</v>
      </c>
      <c r="L67" s="1761">
        <v>20</v>
      </c>
      <c r="M67" s="395">
        <v>21</v>
      </c>
      <c r="N67" s="395">
        <v>0</v>
      </c>
    </row>
    <row r="68" spans="1:16" x14ac:dyDescent="0.3">
      <c r="A68" s="572" t="s">
        <v>162</v>
      </c>
      <c r="B68" s="573" t="s">
        <v>163</v>
      </c>
      <c r="C68" s="574" t="s">
        <v>252</v>
      </c>
      <c r="D68" s="263">
        <v>27</v>
      </c>
      <c r="E68" s="1761">
        <v>16</v>
      </c>
      <c r="F68" s="395">
        <v>11</v>
      </c>
      <c r="G68" s="395">
        <v>0</v>
      </c>
      <c r="H68" s="2180">
        <f t="shared" si="4"/>
        <v>0</v>
      </c>
      <c r="I68" s="1761">
        <v>7</v>
      </c>
      <c r="J68" s="395">
        <v>19</v>
      </c>
      <c r="K68" s="1414">
        <f t="shared" si="5"/>
        <v>1</v>
      </c>
      <c r="L68" s="1761">
        <v>6</v>
      </c>
      <c r="M68" s="395">
        <v>21</v>
      </c>
      <c r="N68" s="395">
        <v>0</v>
      </c>
    </row>
    <row r="69" spans="1:16" x14ac:dyDescent="0.3">
      <c r="A69" s="572" t="s">
        <v>164</v>
      </c>
      <c r="B69" s="573" t="s">
        <v>165</v>
      </c>
      <c r="C69" s="574" t="s">
        <v>254</v>
      </c>
      <c r="D69" s="263">
        <v>12</v>
      </c>
      <c r="E69" s="1761">
        <v>8</v>
      </c>
      <c r="F69" s="395">
        <v>4</v>
      </c>
      <c r="G69" s="395">
        <v>0</v>
      </c>
      <c r="H69" s="2180">
        <f t="shared" ref="H69:H100" si="6">D69-(E69+F69+G69)</f>
        <v>0</v>
      </c>
      <c r="I69" s="1761">
        <v>1</v>
      </c>
      <c r="J69" s="395">
        <v>11</v>
      </c>
      <c r="K69" s="1414">
        <f t="shared" si="5"/>
        <v>0</v>
      </c>
      <c r="L69" s="1761">
        <v>5</v>
      </c>
      <c r="M69" s="395">
        <v>7</v>
      </c>
      <c r="N69" s="395">
        <v>0</v>
      </c>
    </row>
    <row r="70" spans="1:16" x14ac:dyDescent="0.3">
      <c r="A70" s="572" t="s">
        <v>168</v>
      </c>
      <c r="B70" s="573" t="s">
        <v>169</v>
      </c>
      <c r="C70" s="574" t="s">
        <v>254</v>
      </c>
      <c r="D70" s="263">
        <v>26</v>
      </c>
      <c r="E70" s="1761">
        <v>15</v>
      </c>
      <c r="F70" s="395">
        <v>8</v>
      </c>
      <c r="G70" s="395">
        <v>2</v>
      </c>
      <c r="H70" s="2180">
        <f t="shared" si="6"/>
        <v>1</v>
      </c>
      <c r="I70" s="1761">
        <v>4</v>
      </c>
      <c r="J70" s="395">
        <v>22</v>
      </c>
      <c r="K70" s="1414">
        <f t="shared" ref="K70:K101" si="7">D70-(I70+J70)</f>
        <v>0</v>
      </c>
      <c r="L70" s="1761">
        <v>12</v>
      </c>
      <c r="M70" s="395">
        <v>14</v>
      </c>
      <c r="N70" s="395">
        <v>0</v>
      </c>
    </row>
    <row r="71" spans="1:16" x14ac:dyDescent="0.3">
      <c r="A71" s="572" t="s">
        <v>170</v>
      </c>
      <c r="B71" s="573" t="s">
        <v>171</v>
      </c>
      <c r="C71" s="574" t="s">
        <v>255</v>
      </c>
      <c r="D71" s="1023">
        <v>253</v>
      </c>
      <c r="E71" s="1762">
        <v>206</v>
      </c>
      <c r="F71" s="689">
        <v>26</v>
      </c>
      <c r="G71" s="689">
        <v>21</v>
      </c>
      <c r="H71" s="2180">
        <f t="shared" si="6"/>
        <v>0</v>
      </c>
      <c r="I71" s="1762">
        <v>37</v>
      </c>
      <c r="J71" s="689">
        <v>215</v>
      </c>
      <c r="K71" s="1414">
        <f t="shared" si="7"/>
        <v>1</v>
      </c>
      <c r="L71" s="1762">
        <v>91</v>
      </c>
      <c r="M71" s="689">
        <v>156</v>
      </c>
      <c r="N71" s="689">
        <v>6</v>
      </c>
      <c r="O71" s="1751"/>
      <c r="P71" s="1023"/>
    </row>
    <row r="72" spans="1:16" x14ac:dyDescent="0.3">
      <c r="A72" s="572" t="s">
        <v>172</v>
      </c>
      <c r="B72" s="573" t="s">
        <v>173</v>
      </c>
      <c r="C72" s="574" t="s">
        <v>255</v>
      </c>
      <c r="D72" s="1023">
        <v>61</v>
      </c>
      <c r="E72" s="1762">
        <v>61</v>
      </c>
      <c r="F72" s="689">
        <v>0</v>
      </c>
      <c r="G72" s="689">
        <v>0</v>
      </c>
      <c r="H72" s="2180">
        <f t="shared" si="6"/>
        <v>0</v>
      </c>
      <c r="I72" s="1762">
        <v>14</v>
      </c>
      <c r="J72" s="689">
        <v>47</v>
      </c>
      <c r="K72" s="1414">
        <f t="shared" si="7"/>
        <v>0</v>
      </c>
      <c r="L72" s="1762">
        <v>30</v>
      </c>
      <c r="M72" s="689">
        <v>31</v>
      </c>
      <c r="N72" s="689">
        <v>0</v>
      </c>
      <c r="O72" s="1751"/>
      <c r="P72" s="1751"/>
    </row>
    <row r="73" spans="1:16" x14ac:dyDescent="0.3">
      <c r="A73" s="572" t="s">
        <v>174</v>
      </c>
      <c r="B73" s="573" t="s">
        <v>175</v>
      </c>
      <c r="C73" s="574" t="s">
        <v>256</v>
      </c>
      <c r="D73" s="263">
        <v>169</v>
      </c>
      <c r="E73" s="1761">
        <v>155</v>
      </c>
      <c r="F73" s="395">
        <v>11</v>
      </c>
      <c r="G73" s="395">
        <v>3</v>
      </c>
      <c r="H73" s="2180">
        <f t="shared" si="6"/>
        <v>0</v>
      </c>
      <c r="I73" s="1761">
        <v>73</v>
      </c>
      <c r="J73" s="395">
        <v>96</v>
      </c>
      <c r="K73" s="1414">
        <f t="shared" si="7"/>
        <v>0</v>
      </c>
      <c r="L73" s="1761">
        <v>66</v>
      </c>
      <c r="M73" s="395">
        <v>106</v>
      </c>
      <c r="N73" s="395">
        <v>0</v>
      </c>
    </row>
    <row r="74" spans="1:16" x14ac:dyDescent="0.3">
      <c r="A74" s="572" t="s">
        <v>178</v>
      </c>
      <c r="B74" s="573" t="s">
        <v>179</v>
      </c>
      <c r="C74" s="574" t="s">
        <v>253</v>
      </c>
      <c r="D74" s="263">
        <v>218</v>
      </c>
      <c r="E74" s="1761">
        <v>136</v>
      </c>
      <c r="F74" s="395">
        <v>73</v>
      </c>
      <c r="G74" s="395">
        <v>9</v>
      </c>
      <c r="H74" s="2180">
        <f t="shared" si="6"/>
        <v>0</v>
      </c>
      <c r="I74" s="1761">
        <v>46</v>
      </c>
      <c r="J74" s="395">
        <v>172</v>
      </c>
      <c r="K74" s="1414">
        <f t="shared" si="7"/>
        <v>0</v>
      </c>
      <c r="L74" s="1761">
        <v>98</v>
      </c>
      <c r="M74" s="395">
        <v>120</v>
      </c>
      <c r="N74" s="395">
        <v>0</v>
      </c>
    </row>
    <row r="75" spans="1:16" x14ac:dyDescent="0.3">
      <c r="A75" s="572" t="s">
        <v>182</v>
      </c>
      <c r="B75" s="573" t="s">
        <v>183</v>
      </c>
      <c r="C75" s="574" t="s">
        <v>254</v>
      </c>
      <c r="D75" s="263">
        <v>14</v>
      </c>
      <c r="E75" s="1761">
        <v>9</v>
      </c>
      <c r="F75" s="395">
        <v>2</v>
      </c>
      <c r="G75" s="395">
        <v>3</v>
      </c>
      <c r="H75" s="2180">
        <f t="shared" si="6"/>
        <v>0</v>
      </c>
      <c r="I75" s="1761">
        <v>3</v>
      </c>
      <c r="J75" s="395">
        <v>11</v>
      </c>
      <c r="K75" s="1414">
        <f t="shared" si="7"/>
        <v>0</v>
      </c>
      <c r="L75" s="1761">
        <v>6</v>
      </c>
      <c r="M75" s="395">
        <v>8</v>
      </c>
      <c r="N75" s="395">
        <v>0</v>
      </c>
    </row>
    <row r="76" spans="1:16" x14ac:dyDescent="0.3">
      <c r="A76" s="572" t="s">
        <v>184</v>
      </c>
      <c r="B76" s="573" t="s">
        <v>185</v>
      </c>
      <c r="C76" s="574" t="s">
        <v>254</v>
      </c>
      <c r="D76" s="263">
        <v>83</v>
      </c>
      <c r="E76" s="1761">
        <v>39</v>
      </c>
      <c r="F76" s="395">
        <v>21</v>
      </c>
      <c r="G76" s="395">
        <v>23</v>
      </c>
      <c r="H76" s="2180">
        <f t="shared" si="6"/>
        <v>0</v>
      </c>
      <c r="I76" s="1761">
        <v>28</v>
      </c>
      <c r="J76" s="395">
        <v>55</v>
      </c>
      <c r="K76" s="1414">
        <f t="shared" si="7"/>
        <v>0</v>
      </c>
      <c r="L76" s="1761">
        <v>31</v>
      </c>
      <c r="M76" s="395">
        <v>52</v>
      </c>
      <c r="N76" s="395">
        <v>0</v>
      </c>
    </row>
    <row r="77" spans="1:16" x14ac:dyDescent="0.3">
      <c r="A77" s="572" t="s">
        <v>186</v>
      </c>
      <c r="B77" s="573" t="s">
        <v>187</v>
      </c>
      <c r="C77" s="574" t="s">
        <v>252</v>
      </c>
      <c r="D77" s="263">
        <v>78</v>
      </c>
      <c r="E77" s="1761">
        <v>57</v>
      </c>
      <c r="F77" s="395">
        <v>20</v>
      </c>
      <c r="G77" s="395">
        <v>1</v>
      </c>
      <c r="H77" s="2180">
        <f t="shared" si="6"/>
        <v>0</v>
      </c>
      <c r="I77" s="1761">
        <v>20</v>
      </c>
      <c r="J77" s="395">
        <v>58</v>
      </c>
      <c r="K77" s="1414">
        <f t="shared" si="7"/>
        <v>0</v>
      </c>
      <c r="L77" s="1761">
        <v>40</v>
      </c>
      <c r="M77" s="395">
        <v>38</v>
      </c>
      <c r="N77" s="395">
        <v>0</v>
      </c>
    </row>
    <row r="78" spans="1:16" x14ac:dyDescent="0.3">
      <c r="A78" s="572" t="s">
        <v>188</v>
      </c>
      <c r="B78" s="573" t="s">
        <v>189</v>
      </c>
      <c r="C78" s="574" t="s">
        <v>255</v>
      </c>
      <c r="D78" s="1023">
        <v>1043</v>
      </c>
      <c r="E78" s="1762">
        <v>549</v>
      </c>
      <c r="F78" s="689">
        <v>231</v>
      </c>
      <c r="G78" s="689">
        <v>203</v>
      </c>
      <c r="H78" s="1763">
        <f t="shared" si="6"/>
        <v>60</v>
      </c>
      <c r="I78" s="1762">
        <v>314</v>
      </c>
      <c r="J78" s="689">
        <v>711</v>
      </c>
      <c r="K78" s="1763">
        <f t="shared" si="7"/>
        <v>18</v>
      </c>
      <c r="L78" s="1762">
        <v>417</v>
      </c>
      <c r="M78" s="689">
        <v>616</v>
      </c>
      <c r="N78" s="689">
        <v>10</v>
      </c>
      <c r="O78" s="1751"/>
      <c r="P78" s="1751"/>
    </row>
    <row r="79" spans="1:16" x14ac:dyDescent="0.3">
      <c r="A79" s="572" t="s">
        <v>190</v>
      </c>
      <c r="B79" s="573" t="s">
        <v>191</v>
      </c>
      <c r="C79" s="574" t="s">
        <v>256</v>
      </c>
      <c r="D79" s="263">
        <v>100</v>
      </c>
      <c r="E79" s="1761">
        <v>85</v>
      </c>
      <c r="F79" s="395">
        <v>4</v>
      </c>
      <c r="G79" s="395">
        <v>11</v>
      </c>
      <c r="H79" s="2180">
        <f t="shared" si="6"/>
        <v>0</v>
      </c>
      <c r="I79" s="1761">
        <v>16</v>
      </c>
      <c r="J79" s="395">
        <v>82</v>
      </c>
      <c r="K79" s="1414">
        <f t="shared" si="7"/>
        <v>2</v>
      </c>
      <c r="L79" s="1761">
        <v>57</v>
      </c>
      <c r="M79" s="395">
        <v>43</v>
      </c>
      <c r="N79" s="395">
        <v>0</v>
      </c>
    </row>
    <row r="80" spans="1:16" x14ac:dyDescent="0.3">
      <c r="A80" s="572" t="s">
        <v>194</v>
      </c>
      <c r="B80" s="573" t="s">
        <v>195</v>
      </c>
      <c r="C80" s="574" t="s">
        <v>255</v>
      </c>
      <c r="D80" s="1023">
        <v>46</v>
      </c>
      <c r="E80" s="1762">
        <v>33</v>
      </c>
      <c r="F80" s="689">
        <v>6</v>
      </c>
      <c r="G80" s="689">
        <v>7</v>
      </c>
      <c r="H80" s="2180">
        <f t="shared" si="6"/>
        <v>0</v>
      </c>
      <c r="I80" s="1762">
        <v>8</v>
      </c>
      <c r="J80" s="689">
        <v>38</v>
      </c>
      <c r="K80" s="1414">
        <f t="shared" si="7"/>
        <v>0</v>
      </c>
      <c r="L80" s="1762">
        <v>17</v>
      </c>
      <c r="M80" s="689">
        <v>29</v>
      </c>
      <c r="N80" s="689">
        <v>0</v>
      </c>
      <c r="O80" s="1751"/>
      <c r="P80" s="1751"/>
    </row>
    <row r="81" spans="1:16" x14ac:dyDescent="0.3">
      <c r="A81" s="572" t="s">
        <v>198</v>
      </c>
      <c r="B81" s="573" t="s">
        <v>260</v>
      </c>
      <c r="C81" s="574" t="s">
        <v>254</v>
      </c>
      <c r="D81" s="263">
        <v>22</v>
      </c>
      <c r="E81" s="1761">
        <v>18</v>
      </c>
      <c r="F81" s="395">
        <v>3</v>
      </c>
      <c r="G81" s="395">
        <v>0</v>
      </c>
      <c r="H81" s="2180">
        <f t="shared" si="6"/>
        <v>1</v>
      </c>
      <c r="I81" s="1761">
        <v>2</v>
      </c>
      <c r="J81" s="395">
        <v>20</v>
      </c>
      <c r="K81" s="1414">
        <f t="shared" si="7"/>
        <v>0</v>
      </c>
      <c r="L81" s="1761">
        <v>7</v>
      </c>
      <c r="M81" s="395">
        <v>15</v>
      </c>
      <c r="N81" s="395">
        <v>0</v>
      </c>
    </row>
    <row r="82" spans="1:16" x14ac:dyDescent="0.3">
      <c r="A82" s="572" t="s">
        <v>202</v>
      </c>
      <c r="B82" s="573" t="s">
        <v>289</v>
      </c>
      <c r="C82" s="574" t="s">
        <v>253</v>
      </c>
      <c r="D82" s="263">
        <v>896</v>
      </c>
      <c r="E82" s="1761">
        <v>703</v>
      </c>
      <c r="F82" s="395">
        <v>69</v>
      </c>
      <c r="G82" s="395">
        <v>122</v>
      </c>
      <c r="H82" s="2180">
        <f t="shared" si="6"/>
        <v>2</v>
      </c>
      <c r="I82" s="1761">
        <v>203</v>
      </c>
      <c r="J82" s="395">
        <v>691</v>
      </c>
      <c r="K82" s="1414">
        <f t="shared" si="7"/>
        <v>2</v>
      </c>
      <c r="L82" s="1761">
        <v>336</v>
      </c>
      <c r="M82" s="395">
        <v>556</v>
      </c>
      <c r="N82" s="395">
        <v>4</v>
      </c>
    </row>
    <row r="83" spans="1:16" x14ac:dyDescent="0.3">
      <c r="A83" s="572" t="s">
        <v>204</v>
      </c>
      <c r="B83" s="573" t="s">
        <v>281</v>
      </c>
      <c r="C83" s="574" t="s">
        <v>253</v>
      </c>
      <c r="D83" s="263">
        <v>111</v>
      </c>
      <c r="E83" s="1761">
        <v>90</v>
      </c>
      <c r="F83" s="395">
        <v>8</v>
      </c>
      <c r="G83" s="395">
        <v>13</v>
      </c>
      <c r="H83" s="2180">
        <f t="shared" si="6"/>
        <v>0</v>
      </c>
      <c r="I83" s="1761">
        <v>34</v>
      </c>
      <c r="J83" s="395">
        <v>76</v>
      </c>
      <c r="K83" s="1414">
        <f t="shared" si="7"/>
        <v>1</v>
      </c>
      <c r="L83" s="1761">
        <v>47</v>
      </c>
      <c r="M83" s="395">
        <v>63</v>
      </c>
      <c r="N83" s="395">
        <v>1</v>
      </c>
    </row>
    <row r="84" spans="1:16" x14ac:dyDescent="0.3">
      <c r="A84" s="572" t="s">
        <v>206</v>
      </c>
      <c r="B84" s="573" t="s">
        <v>282</v>
      </c>
      <c r="C84" s="574" t="s">
        <v>255</v>
      </c>
      <c r="D84" s="1023">
        <v>436</v>
      </c>
      <c r="E84" s="1762">
        <v>247</v>
      </c>
      <c r="F84" s="689">
        <v>6</v>
      </c>
      <c r="G84" s="689">
        <v>173</v>
      </c>
      <c r="H84" s="2183">
        <f t="shared" si="6"/>
        <v>10</v>
      </c>
      <c r="I84" s="1762">
        <v>84</v>
      </c>
      <c r="J84" s="689">
        <v>352</v>
      </c>
      <c r="K84" s="1414">
        <f t="shared" si="7"/>
        <v>0</v>
      </c>
      <c r="L84" s="1762">
        <v>171</v>
      </c>
      <c r="M84" s="689">
        <v>260</v>
      </c>
      <c r="N84" s="689">
        <v>5</v>
      </c>
      <c r="O84" s="1751"/>
      <c r="P84" s="1751"/>
    </row>
    <row r="85" spans="1:16" x14ac:dyDescent="0.3">
      <c r="A85" s="572" t="s">
        <v>208</v>
      </c>
      <c r="B85" s="573" t="s">
        <v>209</v>
      </c>
      <c r="C85" s="574" t="s">
        <v>256</v>
      </c>
      <c r="D85" s="263">
        <v>243</v>
      </c>
      <c r="E85" s="1761">
        <v>241</v>
      </c>
      <c r="F85" s="395">
        <v>2</v>
      </c>
      <c r="G85" s="395">
        <v>0</v>
      </c>
      <c r="H85" s="2180">
        <f t="shared" si="6"/>
        <v>0</v>
      </c>
      <c r="I85" s="1761">
        <v>88</v>
      </c>
      <c r="J85" s="395">
        <v>154</v>
      </c>
      <c r="K85" s="1414">
        <f t="shared" si="7"/>
        <v>1</v>
      </c>
      <c r="L85" s="1761">
        <v>101</v>
      </c>
      <c r="M85" s="395">
        <v>142</v>
      </c>
      <c r="N85" s="395">
        <v>0</v>
      </c>
    </row>
    <row r="86" spans="1:16" x14ac:dyDescent="0.3">
      <c r="A86" s="572" t="s">
        <v>210</v>
      </c>
      <c r="B86" s="573" t="s">
        <v>211</v>
      </c>
      <c r="C86" s="574" t="s">
        <v>256</v>
      </c>
      <c r="D86" s="263">
        <v>203</v>
      </c>
      <c r="E86" s="1761">
        <v>197</v>
      </c>
      <c r="F86" s="395">
        <v>2</v>
      </c>
      <c r="G86" s="395">
        <v>4</v>
      </c>
      <c r="H86" s="2180">
        <f t="shared" si="6"/>
        <v>0</v>
      </c>
      <c r="I86" s="1761">
        <v>63</v>
      </c>
      <c r="J86" s="395">
        <v>136</v>
      </c>
      <c r="K86" s="1414">
        <f t="shared" si="7"/>
        <v>4</v>
      </c>
      <c r="L86" s="1761">
        <v>82</v>
      </c>
      <c r="M86" s="395">
        <v>121</v>
      </c>
      <c r="N86" s="395">
        <v>0</v>
      </c>
    </row>
    <row r="87" spans="1:16" x14ac:dyDescent="0.3">
      <c r="A87" s="572" t="s">
        <v>212</v>
      </c>
      <c r="B87" s="573" t="s">
        <v>213</v>
      </c>
      <c r="C87" s="574" t="s">
        <v>255</v>
      </c>
      <c r="D87" s="1023">
        <v>190</v>
      </c>
      <c r="E87" s="1762">
        <v>142</v>
      </c>
      <c r="F87" s="689">
        <v>13</v>
      </c>
      <c r="G87" s="689">
        <v>34</v>
      </c>
      <c r="H87" s="2180">
        <f t="shared" si="6"/>
        <v>1</v>
      </c>
      <c r="I87" s="1762">
        <v>40</v>
      </c>
      <c r="J87" s="689">
        <v>149</v>
      </c>
      <c r="K87" s="1414">
        <f t="shared" si="7"/>
        <v>1</v>
      </c>
      <c r="L87" s="1762">
        <v>69</v>
      </c>
      <c r="M87" s="689">
        <v>120</v>
      </c>
      <c r="N87" s="689">
        <v>1</v>
      </c>
      <c r="O87" s="1751"/>
      <c r="P87" s="1751"/>
    </row>
    <row r="88" spans="1:16" x14ac:dyDescent="0.3">
      <c r="A88" s="572" t="s">
        <v>214</v>
      </c>
      <c r="B88" s="573" t="s">
        <v>215</v>
      </c>
      <c r="C88" s="574" t="s">
        <v>256</v>
      </c>
      <c r="D88" s="263">
        <v>281</v>
      </c>
      <c r="E88" s="1761">
        <v>268</v>
      </c>
      <c r="F88" s="395">
        <v>5</v>
      </c>
      <c r="G88" s="395">
        <v>8</v>
      </c>
      <c r="H88" s="2180">
        <f t="shared" si="6"/>
        <v>0</v>
      </c>
      <c r="I88" s="1761">
        <v>88</v>
      </c>
      <c r="J88" s="395">
        <v>189</v>
      </c>
      <c r="K88" s="1414">
        <f t="shared" si="7"/>
        <v>4</v>
      </c>
      <c r="L88" s="1761">
        <v>88</v>
      </c>
      <c r="M88" s="395">
        <v>193</v>
      </c>
      <c r="N88" s="395">
        <v>0</v>
      </c>
    </row>
    <row r="89" spans="1:16" x14ac:dyDescent="0.3">
      <c r="A89" s="572" t="s">
        <v>216</v>
      </c>
      <c r="B89" s="573" t="s">
        <v>217</v>
      </c>
      <c r="C89" s="574" t="s">
        <v>252</v>
      </c>
      <c r="D89" s="263">
        <v>51</v>
      </c>
      <c r="E89" s="1761">
        <v>18</v>
      </c>
      <c r="F89" s="395">
        <v>30</v>
      </c>
      <c r="G89" s="395">
        <v>3</v>
      </c>
      <c r="H89" s="2180">
        <f t="shared" si="6"/>
        <v>0</v>
      </c>
      <c r="I89" s="1761">
        <v>12</v>
      </c>
      <c r="J89" s="395">
        <v>38</v>
      </c>
      <c r="K89" s="1414">
        <f t="shared" si="7"/>
        <v>1</v>
      </c>
      <c r="L89" s="1761">
        <v>16</v>
      </c>
      <c r="M89" s="395">
        <v>35</v>
      </c>
      <c r="N89" s="395">
        <v>0</v>
      </c>
    </row>
    <row r="90" spans="1:16" x14ac:dyDescent="0.3">
      <c r="A90" s="572" t="s">
        <v>218</v>
      </c>
      <c r="B90" s="573" t="s">
        <v>219</v>
      </c>
      <c r="C90" s="574" t="s">
        <v>255</v>
      </c>
      <c r="D90" s="1023">
        <v>299</v>
      </c>
      <c r="E90" s="1762">
        <v>211</v>
      </c>
      <c r="F90" s="689">
        <v>59</v>
      </c>
      <c r="G90" s="689">
        <v>27</v>
      </c>
      <c r="H90" s="2180">
        <f t="shared" si="6"/>
        <v>2</v>
      </c>
      <c r="I90" s="1762">
        <v>71</v>
      </c>
      <c r="J90" s="689">
        <v>228</v>
      </c>
      <c r="K90" s="1414">
        <f t="shared" si="7"/>
        <v>0</v>
      </c>
      <c r="L90" s="1762">
        <v>135</v>
      </c>
      <c r="M90" s="689">
        <v>164</v>
      </c>
      <c r="N90" s="689">
        <v>0</v>
      </c>
      <c r="O90" s="1751"/>
      <c r="P90" s="1751"/>
    </row>
    <row r="91" spans="1:16" x14ac:dyDescent="0.3">
      <c r="A91" s="572" t="s">
        <v>220</v>
      </c>
      <c r="B91" s="573" t="s">
        <v>221</v>
      </c>
      <c r="C91" s="574" t="s">
        <v>255</v>
      </c>
      <c r="D91" s="1023">
        <v>202</v>
      </c>
      <c r="E91" s="1762">
        <v>93</v>
      </c>
      <c r="F91" s="689">
        <v>21</v>
      </c>
      <c r="G91" s="689">
        <v>84</v>
      </c>
      <c r="H91" s="2180">
        <f t="shared" si="6"/>
        <v>4</v>
      </c>
      <c r="I91" s="1762">
        <v>58</v>
      </c>
      <c r="J91" s="689">
        <v>144</v>
      </c>
      <c r="K91" s="1414">
        <f t="shared" si="7"/>
        <v>0</v>
      </c>
      <c r="L91" s="1762">
        <v>73</v>
      </c>
      <c r="M91" s="689">
        <v>128</v>
      </c>
      <c r="N91" s="689">
        <v>1</v>
      </c>
      <c r="O91" s="1751"/>
      <c r="P91" s="1751"/>
    </row>
    <row r="92" spans="1:16" x14ac:dyDescent="0.3">
      <c r="A92" s="572" t="s">
        <v>224</v>
      </c>
      <c r="B92" s="573" t="s">
        <v>225</v>
      </c>
      <c r="C92" s="574" t="s">
        <v>252</v>
      </c>
      <c r="D92" s="263">
        <v>13</v>
      </c>
      <c r="E92" s="1761">
        <v>5</v>
      </c>
      <c r="F92" s="395">
        <v>8</v>
      </c>
      <c r="G92" s="395">
        <v>0</v>
      </c>
      <c r="H92" s="2180">
        <f t="shared" si="6"/>
        <v>0</v>
      </c>
      <c r="I92" s="1761">
        <v>2</v>
      </c>
      <c r="J92" s="395">
        <v>11</v>
      </c>
      <c r="K92" s="1414">
        <f t="shared" si="7"/>
        <v>0</v>
      </c>
      <c r="L92" s="1761">
        <v>8</v>
      </c>
      <c r="M92" s="395">
        <v>5</v>
      </c>
      <c r="N92" s="395">
        <v>0</v>
      </c>
    </row>
    <row r="93" spans="1:16" x14ac:dyDescent="0.3">
      <c r="A93" s="572" t="s">
        <v>226</v>
      </c>
      <c r="B93" s="573" t="s">
        <v>227</v>
      </c>
      <c r="C93" s="574" t="s">
        <v>252</v>
      </c>
      <c r="D93" s="263">
        <v>59</v>
      </c>
      <c r="E93" s="1761">
        <v>21</v>
      </c>
      <c r="F93" s="395">
        <v>38</v>
      </c>
      <c r="G93" s="395">
        <v>0</v>
      </c>
      <c r="H93" s="2180">
        <f t="shared" si="6"/>
        <v>0</v>
      </c>
      <c r="I93" s="1761">
        <v>16</v>
      </c>
      <c r="J93" s="395">
        <v>43</v>
      </c>
      <c r="K93" s="1414">
        <f t="shared" si="7"/>
        <v>0</v>
      </c>
      <c r="L93" s="1761">
        <v>29</v>
      </c>
      <c r="M93" s="395">
        <v>30</v>
      </c>
      <c r="N93" s="395">
        <v>0</v>
      </c>
    </row>
    <row r="94" spans="1:16" x14ac:dyDescent="0.3">
      <c r="A94" s="572" t="s">
        <v>228</v>
      </c>
      <c r="B94" s="573" t="s">
        <v>229</v>
      </c>
      <c r="C94" s="574" t="s">
        <v>256</v>
      </c>
      <c r="D94" s="263">
        <v>349</v>
      </c>
      <c r="E94" s="1761">
        <v>298</v>
      </c>
      <c r="F94" s="395">
        <v>1</v>
      </c>
      <c r="G94" s="395">
        <v>49</v>
      </c>
      <c r="H94" s="2180">
        <f t="shared" si="6"/>
        <v>1</v>
      </c>
      <c r="I94" s="1761">
        <v>86</v>
      </c>
      <c r="J94" s="395">
        <v>263</v>
      </c>
      <c r="K94" s="1414">
        <f t="shared" si="7"/>
        <v>0</v>
      </c>
      <c r="L94" s="1761">
        <v>149</v>
      </c>
      <c r="M94" s="395">
        <v>200</v>
      </c>
      <c r="N94" s="395">
        <v>0</v>
      </c>
    </row>
    <row r="95" spans="1:16" x14ac:dyDescent="0.3">
      <c r="A95" s="572" t="s">
        <v>232</v>
      </c>
      <c r="B95" s="573" t="s">
        <v>233</v>
      </c>
      <c r="C95" s="574" t="s">
        <v>255</v>
      </c>
      <c r="D95" s="1023">
        <v>182</v>
      </c>
      <c r="E95" s="1762">
        <v>133</v>
      </c>
      <c r="F95" s="689">
        <v>14</v>
      </c>
      <c r="G95" s="689">
        <v>32</v>
      </c>
      <c r="H95" s="2180">
        <f t="shared" si="6"/>
        <v>3</v>
      </c>
      <c r="I95" s="1762">
        <v>56</v>
      </c>
      <c r="J95" s="689">
        <v>126</v>
      </c>
      <c r="K95" s="1414">
        <f t="shared" si="7"/>
        <v>0</v>
      </c>
      <c r="L95" s="1762">
        <v>73</v>
      </c>
      <c r="M95" s="689">
        <v>105</v>
      </c>
      <c r="N95" s="689">
        <v>4</v>
      </c>
      <c r="O95" s="1751"/>
      <c r="P95" s="1751"/>
    </row>
    <row r="96" spans="1:16" x14ac:dyDescent="0.3">
      <c r="A96" s="572" t="s">
        <v>234</v>
      </c>
      <c r="B96" s="573" t="s">
        <v>235</v>
      </c>
      <c r="C96" s="574" t="s">
        <v>256</v>
      </c>
      <c r="D96" s="263">
        <v>122</v>
      </c>
      <c r="E96" s="1761">
        <v>122</v>
      </c>
      <c r="F96" s="395">
        <v>0</v>
      </c>
      <c r="G96" s="395">
        <v>0</v>
      </c>
      <c r="H96" s="2180">
        <f t="shared" si="6"/>
        <v>0</v>
      </c>
      <c r="I96" s="1761">
        <v>26</v>
      </c>
      <c r="J96" s="395">
        <v>96</v>
      </c>
      <c r="K96" s="1414">
        <f t="shared" si="7"/>
        <v>0</v>
      </c>
      <c r="L96" s="1761">
        <v>52</v>
      </c>
      <c r="M96" s="395">
        <v>70</v>
      </c>
      <c r="N96" s="395">
        <v>0</v>
      </c>
    </row>
    <row r="97" spans="1:16" x14ac:dyDescent="0.3">
      <c r="A97" s="572" t="s">
        <v>236</v>
      </c>
      <c r="B97" s="573" t="s">
        <v>237</v>
      </c>
      <c r="C97" s="574" t="s">
        <v>254</v>
      </c>
      <c r="D97" s="263">
        <v>74</v>
      </c>
      <c r="E97" s="1761">
        <v>39</v>
      </c>
      <c r="F97" s="395">
        <v>16</v>
      </c>
      <c r="G97" s="395">
        <v>19</v>
      </c>
      <c r="H97" s="2180">
        <f t="shared" si="6"/>
        <v>0</v>
      </c>
      <c r="I97" s="1761">
        <v>14</v>
      </c>
      <c r="J97" s="395">
        <v>60</v>
      </c>
      <c r="K97" s="1414">
        <f t="shared" si="7"/>
        <v>0</v>
      </c>
      <c r="L97" s="1761">
        <v>25</v>
      </c>
      <c r="M97" s="395">
        <v>49</v>
      </c>
      <c r="N97" s="395">
        <v>0</v>
      </c>
    </row>
    <row r="98" spans="1:16" x14ac:dyDescent="0.3">
      <c r="A98" s="572" t="s">
        <v>242</v>
      </c>
      <c r="B98" s="573" t="s">
        <v>243</v>
      </c>
      <c r="C98" s="574" t="s">
        <v>256</v>
      </c>
      <c r="D98" s="263">
        <v>414</v>
      </c>
      <c r="E98" s="1761">
        <v>403</v>
      </c>
      <c r="F98" s="395">
        <v>11</v>
      </c>
      <c r="G98" s="395">
        <v>0</v>
      </c>
      <c r="H98" s="2180">
        <f t="shared" si="6"/>
        <v>0</v>
      </c>
      <c r="I98" s="1761">
        <v>138</v>
      </c>
      <c r="J98" s="395">
        <v>277</v>
      </c>
      <c r="K98" s="1414">
        <f t="shared" si="7"/>
        <v>-1</v>
      </c>
      <c r="L98" s="1761">
        <v>183</v>
      </c>
      <c r="M98" s="395">
        <v>231</v>
      </c>
      <c r="N98" s="395">
        <v>0</v>
      </c>
    </row>
    <row r="99" spans="1:16" x14ac:dyDescent="0.3">
      <c r="A99" s="572" t="s">
        <v>244</v>
      </c>
      <c r="B99" s="573" t="s">
        <v>245</v>
      </c>
      <c r="C99" s="574" t="s">
        <v>256</v>
      </c>
      <c r="D99" s="395">
        <v>117</v>
      </c>
      <c r="E99" s="1761">
        <v>104</v>
      </c>
      <c r="F99" s="395">
        <v>4</v>
      </c>
      <c r="G99" s="395">
        <v>9</v>
      </c>
      <c r="H99" s="2180">
        <f t="shared" si="6"/>
        <v>0</v>
      </c>
      <c r="I99" s="1761">
        <v>32</v>
      </c>
      <c r="J99" s="395">
        <v>85</v>
      </c>
      <c r="K99" s="1414">
        <f t="shared" si="7"/>
        <v>0</v>
      </c>
      <c r="L99" s="1761">
        <v>45</v>
      </c>
      <c r="M99" s="395">
        <v>72</v>
      </c>
      <c r="N99" s="395">
        <v>0</v>
      </c>
    </row>
    <row r="100" spans="1:16" x14ac:dyDescent="0.3">
      <c r="A100" s="572" t="s">
        <v>246</v>
      </c>
      <c r="B100" s="573" t="s">
        <v>247</v>
      </c>
      <c r="C100" s="574" t="s">
        <v>252</v>
      </c>
      <c r="D100" s="395">
        <v>292</v>
      </c>
      <c r="E100" s="1761">
        <v>204</v>
      </c>
      <c r="F100" s="395">
        <v>54</v>
      </c>
      <c r="G100" s="395">
        <v>33</v>
      </c>
      <c r="H100" s="2180">
        <f t="shared" si="6"/>
        <v>1</v>
      </c>
      <c r="I100" s="1761">
        <v>55</v>
      </c>
      <c r="J100" s="395">
        <v>250</v>
      </c>
      <c r="K100" s="1414">
        <f t="shared" si="7"/>
        <v>-13</v>
      </c>
      <c r="L100" s="1761">
        <v>117</v>
      </c>
      <c r="M100" s="395">
        <v>175</v>
      </c>
      <c r="N100" s="395">
        <v>0</v>
      </c>
    </row>
    <row r="101" spans="1:16" x14ac:dyDescent="0.3">
      <c r="A101" s="572" t="s">
        <v>14</v>
      </c>
      <c r="B101" s="573" t="s">
        <v>15</v>
      </c>
      <c r="C101" s="574" t="s">
        <v>255</v>
      </c>
      <c r="D101" s="1023">
        <v>200</v>
      </c>
      <c r="E101" s="1762">
        <v>103</v>
      </c>
      <c r="F101" s="689">
        <v>64</v>
      </c>
      <c r="G101" s="689">
        <v>28</v>
      </c>
      <c r="H101" s="2180">
        <f t="shared" ref="H101:H125" si="8">D101-(E101+F101+G101)</f>
        <v>5</v>
      </c>
      <c r="I101" s="1762">
        <v>38</v>
      </c>
      <c r="J101" s="689">
        <v>162</v>
      </c>
      <c r="K101" s="1414">
        <f t="shared" si="7"/>
        <v>0</v>
      </c>
      <c r="L101" s="1762">
        <v>74</v>
      </c>
      <c r="M101" s="689">
        <v>126</v>
      </c>
      <c r="N101" s="689">
        <v>0</v>
      </c>
      <c r="O101" s="1751"/>
      <c r="P101" s="1023"/>
    </row>
    <row r="102" spans="1:16" x14ac:dyDescent="0.3">
      <c r="A102" s="572" t="s">
        <v>34</v>
      </c>
      <c r="B102" s="573" t="s">
        <v>35</v>
      </c>
      <c r="C102" s="574" t="s">
        <v>256</v>
      </c>
      <c r="D102" s="263">
        <v>41</v>
      </c>
      <c r="E102" s="1761">
        <v>35</v>
      </c>
      <c r="F102" s="395">
        <v>4</v>
      </c>
      <c r="G102" s="395">
        <v>1</v>
      </c>
      <c r="H102" s="2180">
        <f t="shared" si="8"/>
        <v>1</v>
      </c>
      <c r="I102" s="1761">
        <v>10</v>
      </c>
      <c r="J102" s="395">
        <v>31</v>
      </c>
      <c r="K102" s="1414">
        <f t="shared" ref="K102:K125" si="9">D102-(I102+J102)</f>
        <v>0</v>
      </c>
      <c r="L102" s="1761">
        <v>15</v>
      </c>
      <c r="M102" s="395">
        <v>26</v>
      </c>
      <c r="N102" s="395">
        <v>0</v>
      </c>
    </row>
    <row r="103" spans="1:16" x14ac:dyDescent="0.3">
      <c r="A103" s="572" t="s">
        <v>52</v>
      </c>
      <c r="B103" s="573" t="s">
        <v>53</v>
      </c>
      <c r="C103" s="574" t="s">
        <v>253</v>
      </c>
      <c r="D103" s="263">
        <v>317</v>
      </c>
      <c r="E103" s="1761">
        <v>181</v>
      </c>
      <c r="F103" s="395">
        <v>106</v>
      </c>
      <c r="G103" s="395">
        <v>29</v>
      </c>
      <c r="H103" s="2180">
        <f t="shared" si="8"/>
        <v>1</v>
      </c>
      <c r="I103" s="1761">
        <v>120</v>
      </c>
      <c r="J103" s="395">
        <v>196</v>
      </c>
      <c r="K103" s="1414">
        <f t="shared" si="9"/>
        <v>1</v>
      </c>
      <c r="L103" s="1761">
        <v>149</v>
      </c>
      <c r="M103" s="395">
        <v>168</v>
      </c>
      <c r="N103" s="395">
        <v>0</v>
      </c>
    </row>
    <row r="104" spans="1:16" x14ac:dyDescent="0.3">
      <c r="A104" s="572" t="s">
        <v>54</v>
      </c>
      <c r="B104" s="573" t="s">
        <v>55</v>
      </c>
      <c r="C104" s="574" t="s">
        <v>252</v>
      </c>
      <c r="D104" s="263">
        <v>1387</v>
      </c>
      <c r="E104" s="1761">
        <v>748</v>
      </c>
      <c r="F104" s="395">
        <v>480</v>
      </c>
      <c r="G104" s="395">
        <v>143</v>
      </c>
      <c r="H104" s="2183">
        <f t="shared" si="8"/>
        <v>16</v>
      </c>
      <c r="I104" s="1761">
        <v>330</v>
      </c>
      <c r="J104" s="395">
        <v>1050</v>
      </c>
      <c r="K104" s="1414">
        <f t="shared" si="9"/>
        <v>7</v>
      </c>
      <c r="L104" s="1761">
        <v>519</v>
      </c>
      <c r="M104" s="395">
        <v>859</v>
      </c>
      <c r="N104" s="395">
        <v>9</v>
      </c>
    </row>
    <row r="105" spans="1:16" x14ac:dyDescent="0.3">
      <c r="A105" s="572" t="s">
        <v>66</v>
      </c>
      <c r="B105" s="573" t="s">
        <v>67</v>
      </c>
      <c r="C105" s="574" t="s">
        <v>253</v>
      </c>
      <c r="D105" s="263">
        <v>139</v>
      </c>
      <c r="E105" s="1761">
        <v>73</v>
      </c>
      <c r="F105" s="395">
        <v>65</v>
      </c>
      <c r="G105" s="395">
        <v>2</v>
      </c>
      <c r="H105" s="2180">
        <f t="shared" si="8"/>
        <v>-1</v>
      </c>
      <c r="I105" s="1761">
        <v>35</v>
      </c>
      <c r="J105" s="395">
        <v>105</v>
      </c>
      <c r="K105" s="1414">
        <f t="shared" si="9"/>
        <v>-1</v>
      </c>
      <c r="L105" s="1761">
        <v>53</v>
      </c>
      <c r="M105" s="395">
        <v>87</v>
      </c>
      <c r="N105" s="395">
        <v>0</v>
      </c>
    </row>
    <row r="106" spans="1:16" x14ac:dyDescent="0.3">
      <c r="A106" s="572" t="s">
        <v>82</v>
      </c>
      <c r="B106" s="573" t="s">
        <v>83</v>
      </c>
      <c r="C106" s="574" t="s">
        <v>252</v>
      </c>
      <c r="D106" s="263">
        <v>9</v>
      </c>
      <c r="E106" s="1761">
        <v>3</v>
      </c>
      <c r="F106" s="395">
        <v>4</v>
      </c>
      <c r="G106" s="395">
        <v>2</v>
      </c>
      <c r="H106" s="2180">
        <f t="shared" si="8"/>
        <v>0</v>
      </c>
      <c r="I106" s="1761">
        <v>0</v>
      </c>
      <c r="J106" s="395">
        <v>9</v>
      </c>
      <c r="K106" s="1414">
        <f t="shared" si="9"/>
        <v>0</v>
      </c>
      <c r="L106" s="1761">
        <v>4</v>
      </c>
      <c r="M106" s="395">
        <v>5</v>
      </c>
      <c r="N106" s="395">
        <v>0</v>
      </c>
    </row>
    <row r="107" spans="1:16" x14ac:dyDescent="0.3">
      <c r="A107" s="572" t="s">
        <v>88</v>
      </c>
      <c r="B107" s="573" t="s">
        <v>89</v>
      </c>
      <c r="C107" s="574" t="s">
        <v>255</v>
      </c>
      <c r="D107" s="1023">
        <v>137</v>
      </c>
      <c r="E107" s="1762">
        <v>70</v>
      </c>
      <c r="F107" s="689">
        <v>47</v>
      </c>
      <c r="G107" s="689">
        <v>19</v>
      </c>
      <c r="H107" s="2180">
        <f t="shared" si="8"/>
        <v>1</v>
      </c>
      <c r="I107" s="1762">
        <v>31</v>
      </c>
      <c r="J107" s="689">
        <v>106</v>
      </c>
      <c r="K107" s="1414">
        <f t="shared" si="9"/>
        <v>0</v>
      </c>
      <c r="L107" s="1762">
        <v>61</v>
      </c>
      <c r="M107" s="689">
        <v>76</v>
      </c>
      <c r="N107" s="689">
        <v>0</v>
      </c>
      <c r="O107" s="1751"/>
      <c r="P107" s="1751"/>
    </row>
    <row r="108" spans="1:16" x14ac:dyDescent="0.3">
      <c r="A108" s="572" t="s">
        <v>90</v>
      </c>
      <c r="B108" s="573" t="s">
        <v>91</v>
      </c>
      <c r="C108" s="574" t="s">
        <v>256</v>
      </c>
      <c r="D108" s="263">
        <v>81</v>
      </c>
      <c r="E108" s="1761">
        <v>64</v>
      </c>
      <c r="F108" s="395">
        <v>3</v>
      </c>
      <c r="G108" s="395">
        <v>14</v>
      </c>
      <c r="H108" s="2180">
        <f t="shared" si="8"/>
        <v>0</v>
      </c>
      <c r="I108" s="1761">
        <v>20</v>
      </c>
      <c r="J108" s="395">
        <v>61</v>
      </c>
      <c r="K108" s="1414">
        <f t="shared" si="9"/>
        <v>0</v>
      </c>
      <c r="L108" s="1761">
        <v>26</v>
      </c>
      <c r="M108" s="395">
        <v>55</v>
      </c>
      <c r="N108" s="395">
        <v>0</v>
      </c>
    </row>
    <row r="109" spans="1:16" x14ac:dyDescent="0.3">
      <c r="A109" s="572" t="s">
        <v>106</v>
      </c>
      <c r="B109" s="573" t="s">
        <v>107</v>
      </c>
      <c r="C109" s="574" t="s">
        <v>252</v>
      </c>
      <c r="D109" s="1023">
        <v>302</v>
      </c>
      <c r="E109" s="1761">
        <v>110</v>
      </c>
      <c r="F109" s="395">
        <v>163</v>
      </c>
      <c r="G109" s="395">
        <v>27</v>
      </c>
      <c r="H109" s="2180">
        <f t="shared" si="8"/>
        <v>2</v>
      </c>
      <c r="I109" s="1761">
        <v>83</v>
      </c>
      <c r="J109" s="395">
        <v>219</v>
      </c>
      <c r="K109" s="1414">
        <f t="shared" si="9"/>
        <v>0</v>
      </c>
      <c r="L109" s="1761">
        <v>127</v>
      </c>
      <c r="M109" s="395">
        <v>175</v>
      </c>
      <c r="N109" s="395">
        <v>0</v>
      </c>
      <c r="P109" s="263"/>
    </row>
    <row r="110" spans="1:16" x14ac:dyDescent="0.3">
      <c r="A110" s="572" t="s">
        <v>116</v>
      </c>
      <c r="B110" s="573" t="s">
        <v>117</v>
      </c>
      <c r="C110" s="574" t="s">
        <v>254</v>
      </c>
      <c r="D110" s="263">
        <v>185</v>
      </c>
      <c r="E110" s="1761">
        <v>121</v>
      </c>
      <c r="F110" s="395">
        <v>49</v>
      </c>
      <c r="G110" s="395">
        <v>13</v>
      </c>
      <c r="H110" s="2180">
        <f t="shared" si="8"/>
        <v>2</v>
      </c>
      <c r="I110" s="1761">
        <v>39</v>
      </c>
      <c r="J110" s="395">
        <v>146</v>
      </c>
      <c r="K110" s="1414">
        <f t="shared" si="9"/>
        <v>0</v>
      </c>
      <c r="L110" s="1761">
        <v>69</v>
      </c>
      <c r="M110" s="395">
        <v>116</v>
      </c>
      <c r="N110" s="395">
        <v>0</v>
      </c>
    </row>
    <row r="111" spans="1:16" x14ac:dyDescent="0.3">
      <c r="A111" s="572" t="s">
        <v>138</v>
      </c>
      <c r="B111" s="573" t="s">
        <v>139</v>
      </c>
      <c r="C111" s="574" t="s">
        <v>253</v>
      </c>
      <c r="D111" s="263">
        <v>603</v>
      </c>
      <c r="E111" s="1761">
        <v>354</v>
      </c>
      <c r="F111" s="395">
        <v>206</v>
      </c>
      <c r="G111" s="395">
        <v>43</v>
      </c>
      <c r="H111" s="2180">
        <f t="shared" si="8"/>
        <v>0</v>
      </c>
      <c r="I111" s="1761">
        <v>141</v>
      </c>
      <c r="J111" s="395">
        <v>461</v>
      </c>
      <c r="K111" s="1414">
        <f t="shared" si="9"/>
        <v>1</v>
      </c>
      <c r="L111" s="1761">
        <v>257</v>
      </c>
      <c r="M111" s="395">
        <v>346</v>
      </c>
      <c r="N111" s="395">
        <v>0</v>
      </c>
    </row>
    <row r="112" spans="1:16" x14ac:dyDescent="0.3">
      <c r="A112" s="572" t="s">
        <v>142</v>
      </c>
      <c r="B112" s="573" t="s">
        <v>143</v>
      </c>
      <c r="C112" s="574" t="s">
        <v>255</v>
      </c>
      <c r="D112" s="1023">
        <v>77</v>
      </c>
      <c r="E112" s="1762">
        <v>50</v>
      </c>
      <c r="F112" s="689">
        <v>19</v>
      </c>
      <c r="G112" s="689">
        <v>7</v>
      </c>
      <c r="H112" s="2180">
        <f t="shared" si="8"/>
        <v>1</v>
      </c>
      <c r="I112" s="1762">
        <v>20</v>
      </c>
      <c r="J112" s="689">
        <v>57</v>
      </c>
      <c r="K112" s="1414">
        <f t="shared" si="9"/>
        <v>0</v>
      </c>
      <c r="L112" s="1762">
        <v>29</v>
      </c>
      <c r="M112" s="689">
        <v>47</v>
      </c>
      <c r="N112" s="689">
        <v>1</v>
      </c>
      <c r="O112" s="1751"/>
      <c r="P112" s="1751"/>
    </row>
    <row r="113" spans="1:16" x14ac:dyDescent="0.3">
      <c r="A113" s="572" t="s">
        <v>144</v>
      </c>
      <c r="B113" s="573" t="s">
        <v>145</v>
      </c>
      <c r="C113" s="574" t="s">
        <v>255</v>
      </c>
      <c r="D113" s="1023">
        <v>48</v>
      </c>
      <c r="E113" s="1762">
        <v>29</v>
      </c>
      <c r="F113" s="689">
        <v>6</v>
      </c>
      <c r="G113" s="689">
        <v>13</v>
      </c>
      <c r="H113" s="2180">
        <f t="shared" si="8"/>
        <v>0</v>
      </c>
      <c r="I113" s="1762">
        <v>11</v>
      </c>
      <c r="J113" s="689">
        <v>36</v>
      </c>
      <c r="K113" s="1414">
        <f t="shared" si="9"/>
        <v>1</v>
      </c>
      <c r="L113" s="1762">
        <v>17</v>
      </c>
      <c r="M113" s="689">
        <v>31</v>
      </c>
      <c r="N113" s="689">
        <v>0</v>
      </c>
      <c r="O113" s="1751"/>
      <c r="P113" s="1751"/>
    </row>
    <row r="114" spans="1:16" x14ac:dyDescent="0.3">
      <c r="A114" s="572" t="s">
        <v>158</v>
      </c>
      <c r="B114" s="573" t="s">
        <v>159</v>
      </c>
      <c r="C114" s="574" t="s">
        <v>252</v>
      </c>
      <c r="D114" s="263">
        <v>758</v>
      </c>
      <c r="E114" s="1761">
        <v>336</v>
      </c>
      <c r="F114" s="395">
        <v>322</v>
      </c>
      <c r="G114" s="395">
        <v>92</v>
      </c>
      <c r="H114" s="2181">
        <f t="shared" si="8"/>
        <v>8</v>
      </c>
      <c r="I114" s="1761">
        <v>181</v>
      </c>
      <c r="J114" s="395">
        <v>571</v>
      </c>
      <c r="K114" s="1414">
        <f t="shared" si="9"/>
        <v>6</v>
      </c>
      <c r="L114" s="1761">
        <v>258</v>
      </c>
      <c r="M114" s="395">
        <v>500</v>
      </c>
      <c r="N114" s="395">
        <v>0</v>
      </c>
    </row>
    <row r="115" spans="1:16" x14ac:dyDescent="0.3">
      <c r="A115" s="572" t="s">
        <v>160</v>
      </c>
      <c r="B115" s="573" t="s">
        <v>161</v>
      </c>
      <c r="C115" s="574" t="s">
        <v>252</v>
      </c>
      <c r="D115" s="263">
        <v>1338</v>
      </c>
      <c r="E115" s="1761">
        <v>539</v>
      </c>
      <c r="F115" s="395">
        <v>642</v>
      </c>
      <c r="G115" s="395">
        <v>141</v>
      </c>
      <c r="H115" s="2183">
        <f t="shared" si="8"/>
        <v>16</v>
      </c>
      <c r="I115" s="1761">
        <v>367</v>
      </c>
      <c r="J115" s="395">
        <v>966</v>
      </c>
      <c r="K115" s="1414">
        <f t="shared" si="9"/>
        <v>5</v>
      </c>
      <c r="L115" s="1761">
        <v>558</v>
      </c>
      <c r="M115" s="395">
        <v>776</v>
      </c>
      <c r="N115" s="395">
        <v>4</v>
      </c>
    </row>
    <row r="116" spans="1:16" x14ac:dyDescent="0.3">
      <c r="A116" s="572" t="s">
        <v>166</v>
      </c>
      <c r="B116" s="573" t="s">
        <v>167</v>
      </c>
      <c r="C116" s="574" t="s">
        <v>256</v>
      </c>
      <c r="D116" s="717">
        <v>43</v>
      </c>
      <c r="E116" s="1764">
        <v>42</v>
      </c>
      <c r="F116" s="1765">
        <v>1</v>
      </c>
      <c r="G116" s="1765">
        <v>0</v>
      </c>
      <c r="H116" s="2180">
        <f t="shared" si="8"/>
        <v>0</v>
      </c>
      <c r="I116" s="1764">
        <v>15</v>
      </c>
      <c r="J116" s="1765">
        <v>28</v>
      </c>
      <c r="K116" s="1414">
        <f t="shared" si="9"/>
        <v>0</v>
      </c>
      <c r="L116" s="1764">
        <v>15</v>
      </c>
      <c r="M116" s="1765">
        <v>28</v>
      </c>
      <c r="N116" s="1765">
        <v>0</v>
      </c>
    </row>
    <row r="117" spans="1:16" x14ac:dyDescent="0.3">
      <c r="A117" s="572" t="s">
        <v>176</v>
      </c>
      <c r="B117" s="573" t="s">
        <v>177</v>
      </c>
      <c r="C117" s="574" t="s">
        <v>254</v>
      </c>
      <c r="D117" s="263">
        <v>167</v>
      </c>
      <c r="E117" s="1761">
        <v>46</v>
      </c>
      <c r="F117" s="395">
        <v>86</v>
      </c>
      <c r="G117" s="395">
        <v>35</v>
      </c>
      <c r="H117" s="2180">
        <f t="shared" si="8"/>
        <v>0</v>
      </c>
      <c r="I117" s="1761">
        <v>53</v>
      </c>
      <c r="J117" s="395">
        <v>113</v>
      </c>
      <c r="K117" s="1414">
        <f t="shared" si="9"/>
        <v>1</v>
      </c>
      <c r="L117" s="1761">
        <v>63</v>
      </c>
      <c r="M117" s="395">
        <v>101</v>
      </c>
      <c r="N117" s="395">
        <v>3</v>
      </c>
    </row>
    <row r="118" spans="1:16" x14ac:dyDescent="0.3">
      <c r="A118" s="572" t="s">
        <v>180</v>
      </c>
      <c r="B118" s="573" t="s">
        <v>181</v>
      </c>
      <c r="C118" s="574" t="s">
        <v>252</v>
      </c>
      <c r="D118" s="263">
        <v>219</v>
      </c>
      <c r="E118" s="1761">
        <v>84</v>
      </c>
      <c r="F118" s="395">
        <v>124</v>
      </c>
      <c r="G118" s="395">
        <v>10</v>
      </c>
      <c r="H118" s="2180">
        <f t="shared" si="8"/>
        <v>1</v>
      </c>
      <c r="I118" s="1761">
        <v>53</v>
      </c>
      <c r="J118" s="395">
        <v>164</v>
      </c>
      <c r="K118" s="1414">
        <f t="shared" si="9"/>
        <v>2</v>
      </c>
      <c r="L118" s="1761">
        <v>92</v>
      </c>
      <c r="M118" s="395">
        <v>127</v>
      </c>
      <c r="N118" s="395">
        <v>0</v>
      </c>
    </row>
    <row r="119" spans="1:16" x14ac:dyDescent="0.3">
      <c r="A119" s="572" t="s">
        <v>192</v>
      </c>
      <c r="B119" s="573" t="s">
        <v>193</v>
      </c>
      <c r="C119" s="574" t="s">
        <v>256</v>
      </c>
      <c r="D119" s="395">
        <v>43</v>
      </c>
      <c r="E119" s="1761">
        <v>31</v>
      </c>
      <c r="F119" s="395">
        <v>12</v>
      </c>
      <c r="G119" s="395">
        <v>0</v>
      </c>
      <c r="H119" s="2180">
        <f t="shared" si="8"/>
        <v>0</v>
      </c>
      <c r="I119" s="1761">
        <v>12</v>
      </c>
      <c r="J119" s="395">
        <v>31</v>
      </c>
      <c r="K119" s="1414">
        <f t="shared" si="9"/>
        <v>0</v>
      </c>
      <c r="L119" s="1761">
        <v>17</v>
      </c>
      <c r="M119" s="395">
        <v>26</v>
      </c>
      <c r="N119" s="395">
        <v>0</v>
      </c>
    </row>
    <row r="120" spans="1:16" x14ac:dyDescent="0.3">
      <c r="A120" s="572" t="s">
        <v>196</v>
      </c>
      <c r="B120" s="573" t="s">
        <v>197</v>
      </c>
      <c r="C120" s="574" t="s">
        <v>254</v>
      </c>
      <c r="D120" s="263">
        <v>968</v>
      </c>
      <c r="E120" s="1761">
        <v>340</v>
      </c>
      <c r="F120" s="395">
        <v>558</v>
      </c>
      <c r="G120" s="395">
        <v>68</v>
      </c>
      <c r="H120" s="2180">
        <f t="shared" si="8"/>
        <v>2</v>
      </c>
      <c r="I120" s="1761">
        <v>256</v>
      </c>
      <c r="J120" s="395">
        <v>709</v>
      </c>
      <c r="K120" s="1414">
        <f t="shared" si="9"/>
        <v>3</v>
      </c>
      <c r="L120" s="1761">
        <v>445</v>
      </c>
      <c r="M120" s="395">
        <v>518</v>
      </c>
      <c r="N120" s="395">
        <v>5</v>
      </c>
    </row>
    <row r="121" spans="1:16" x14ac:dyDescent="0.3">
      <c r="A121" s="572" t="s">
        <v>200</v>
      </c>
      <c r="B121" s="573" t="s">
        <v>201</v>
      </c>
      <c r="C121" s="574" t="s">
        <v>253</v>
      </c>
      <c r="D121" s="263">
        <v>935</v>
      </c>
      <c r="E121" s="1761">
        <v>618</v>
      </c>
      <c r="F121" s="395">
        <v>195</v>
      </c>
      <c r="G121" s="395">
        <v>118</v>
      </c>
      <c r="H121" s="2180">
        <f t="shared" si="8"/>
        <v>4</v>
      </c>
      <c r="I121" s="1761">
        <v>283</v>
      </c>
      <c r="J121" s="395">
        <v>652</v>
      </c>
      <c r="K121" s="1414">
        <f t="shared" si="9"/>
        <v>0</v>
      </c>
      <c r="L121" s="1761">
        <v>343</v>
      </c>
      <c r="M121" s="395">
        <v>587</v>
      </c>
      <c r="N121" s="395">
        <v>5</v>
      </c>
    </row>
    <row r="122" spans="1:16" x14ac:dyDescent="0.3">
      <c r="A122" s="572" t="s">
        <v>222</v>
      </c>
      <c r="B122" s="573" t="s">
        <v>223</v>
      </c>
      <c r="C122" s="574" t="s">
        <v>252</v>
      </c>
      <c r="D122" s="263">
        <v>446</v>
      </c>
      <c r="E122" s="1761">
        <v>180</v>
      </c>
      <c r="F122" s="395">
        <v>226</v>
      </c>
      <c r="G122" s="395">
        <v>37</v>
      </c>
      <c r="H122" s="2180">
        <f t="shared" si="8"/>
        <v>3</v>
      </c>
      <c r="I122" s="1761">
        <v>122</v>
      </c>
      <c r="J122" s="395">
        <v>318</v>
      </c>
      <c r="K122" s="1414">
        <f t="shared" si="9"/>
        <v>6</v>
      </c>
      <c r="L122" s="1761">
        <v>187</v>
      </c>
      <c r="M122" s="395">
        <v>259</v>
      </c>
      <c r="N122" s="395">
        <v>0</v>
      </c>
    </row>
    <row r="123" spans="1:16" x14ac:dyDescent="0.3">
      <c r="A123" s="572" t="s">
        <v>230</v>
      </c>
      <c r="B123" s="573" t="s">
        <v>231</v>
      </c>
      <c r="C123" s="574" t="s">
        <v>252</v>
      </c>
      <c r="D123" s="263">
        <v>1790</v>
      </c>
      <c r="E123" s="1761">
        <v>1155</v>
      </c>
      <c r="F123" s="395">
        <v>356</v>
      </c>
      <c r="G123" s="395">
        <v>243</v>
      </c>
      <c r="H123" s="1763">
        <f t="shared" si="8"/>
        <v>36</v>
      </c>
      <c r="I123" s="1761">
        <v>411</v>
      </c>
      <c r="J123" s="395">
        <v>1378</v>
      </c>
      <c r="K123" s="1414">
        <f t="shared" si="9"/>
        <v>1</v>
      </c>
      <c r="L123" s="1761">
        <v>661</v>
      </c>
      <c r="M123" s="395">
        <v>1123</v>
      </c>
      <c r="N123" s="395">
        <v>6</v>
      </c>
    </row>
    <row r="124" spans="1:16" x14ac:dyDescent="0.3">
      <c r="A124" s="572" t="s">
        <v>238</v>
      </c>
      <c r="B124" s="573" t="s">
        <v>239</v>
      </c>
      <c r="C124" s="574" t="s">
        <v>252</v>
      </c>
      <c r="D124" s="263">
        <v>83</v>
      </c>
      <c r="E124" s="1761">
        <v>56</v>
      </c>
      <c r="F124" s="395">
        <v>13</v>
      </c>
      <c r="G124" s="395">
        <v>11</v>
      </c>
      <c r="H124" s="2180">
        <f t="shared" si="8"/>
        <v>3</v>
      </c>
      <c r="I124" s="1761">
        <v>15</v>
      </c>
      <c r="J124" s="395">
        <v>68</v>
      </c>
      <c r="K124" s="1414">
        <f t="shared" si="9"/>
        <v>0</v>
      </c>
      <c r="L124" s="1761">
        <v>35</v>
      </c>
      <c r="M124" s="395">
        <v>48</v>
      </c>
      <c r="N124" s="395">
        <v>0</v>
      </c>
    </row>
    <row r="125" spans="1:16" x14ac:dyDescent="0.3">
      <c r="A125" s="575" t="s">
        <v>240</v>
      </c>
      <c r="B125" s="576" t="s">
        <v>241</v>
      </c>
      <c r="C125" s="577" t="s">
        <v>255</v>
      </c>
      <c r="D125" s="2356">
        <v>176</v>
      </c>
      <c r="E125" s="2357">
        <v>109</v>
      </c>
      <c r="F125" s="2358">
        <v>11</v>
      </c>
      <c r="G125" s="2358">
        <v>54</v>
      </c>
      <c r="H125" s="2182">
        <f t="shared" si="8"/>
        <v>2</v>
      </c>
      <c r="I125" s="2357">
        <v>60</v>
      </c>
      <c r="J125" s="2358">
        <v>116</v>
      </c>
      <c r="K125" s="1766">
        <f t="shared" si="9"/>
        <v>0</v>
      </c>
      <c r="L125" s="2357">
        <v>73</v>
      </c>
      <c r="M125" s="2358">
        <v>103</v>
      </c>
      <c r="N125" s="2358">
        <v>0</v>
      </c>
      <c r="O125" s="1751"/>
      <c r="P125" s="1751"/>
    </row>
    <row r="126" spans="1:16" x14ac:dyDescent="0.3">
      <c r="A126" s="572"/>
      <c r="B126" s="573"/>
      <c r="C126" s="574"/>
    </row>
    <row r="127" spans="1:16" ht="45" customHeight="1" x14ac:dyDescent="0.3">
      <c r="A127" s="2769" t="s">
        <v>1127</v>
      </c>
      <c r="B127" s="2769"/>
      <c r="C127" s="2769"/>
      <c r="D127" s="2769"/>
      <c r="E127" s="2769"/>
      <c r="F127" s="2769"/>
      <c r="G127" s="2769"/>
      <c r="H127" s="2769"/>
      <c r="I127" s="2769"/>
      <c r="J127" s="2769"/>
      <c r="K127" s="1753"/>
      <c r="L127" s="1318"/>
      <c r="M127" s="1318"/>
      <c r="N127" s="1318"/>
    </row>
    <row r="128" spans="1:16" x14ac:dyDescent="0.3">
      <c r="A128" s="710"/>
      <c r="B128" s="710"/>
      <c r="C128" s="710"/>
      <c r="D128" s="710"/>
      <c r="E128" s="710"/>
      <c r="F128" s="710"/>
      <c r="G128" s="705"/>
      <c r="H128" s="705"/>
      <c r="I128" s="705"/>
      <c r="J128" s="705"/>
      <c r="K128" s="705"/>
      <c r="L128" s="705"/>
      <c r="M128" s="705"/>
      <c r="N128" s="705"/>
    </row>
    <row r="129" spans="1:14" s="359" customFormat="1" x14ac:dyDescent="0.3">
      <c r="A129" s="2768" t="s">
        <v>248</v>
      </c>
      <c r="B129" s="2768"/>
      <c r="C129" s="2768"/>
      <c r="D129" s="2768"/>
      <c r="E129" s="2768"/>
      <c r="F129" s="2768"/>
      <c r="G129" s="2768"/>
      <c r="H129" s="2768"/>
      <c r="I129" s="2768"/>
      <c r="J129" s="2768"/>
      <c r="K129" s="1752"/>
      <c r="L129" s="1317"/>
      <c r="M129" s="1317"/>
      <c r="N129" s="1317"/>
    </row>
    <row r="130" spans="1:14" s="263" customFormat="1" x14ac:dyDescent="0.3">
      <c r="A130" s="360" t="s">
        <v>249</v>
      </c>
      <c r="B130" s="361" t="s">
        <v>250</v>
      </c>
      <c r="C130" s="714"/>
    </row>
    <row r="136" spans="1:14" ht="15.75" customHeight="1" x14ac:dyDescent="0.3">
      <c r="A136" s="2767" t="s">
        <v>625</v>
      </c>
      <c r="B136" s="2767"/>
      <c r="C136" s="2767"/>
      <c r="D136" s="2767"/>
      <c r="E136" s="2767"/>
      <c r="F136" s="2767"/>
    </row>
  </sheetData>
  <autoFilter ref="A4:C125"/>
  <sortState ref="A6:P125">
    <sortCondition ref="A6:A125"/>
  </sortState>
  <mergeCells count="6">
    <mergeCell ref="A136:F136"/>
    <mergeCell ref="A129:J129"/>
    <mergeCell ref="A127:J127"/>
    <mergeCell ref="L3:N3"/>
    <mergeCell ref="I3:K3"/>
    <mergeCell ref="E3:H3"/>
  </mergeCells>
  <hyperlinks>
    <hyperlink ref="B130" r:id="rId1"/>
  </hyperlinks>
  <pageMargins left="0.7" right="0.7" top="0.75" bottom="0.75" header="0.3" footer="0.3"/>
  <pageSetup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E129"/>
  <sheetViews>
    <sheetView workbookViewId="0">
      <pane xSplit="3" ySplit="4" topLeftCell="D5" activePane="bottomRight" state="frozen"/>
      <selection pane="topRight" activeCell="D1" sqref="D1"/>
      <selection pane="bottomLeft" activeCell="A5" sqref="A5"/>
      <selection pane="bottomRight" activeCell="I6" sqref="I6:N6"/>
    </sheetView>
  </sheetViews>
  <sheetFormatPr defaultColWidth="9" defaultRowHeight="15.6" x14ac:dyDescent="0.3"/>
  <cols>
    <col min="1" max="1" width="9.09765625" style="580" customWidth="1"/>
    <col min="2" max="2" width="30.59765625" style="580" customWidth="1"/>
    <col min="3" max="3" width="11.19921875" style="598" customWidth="1"/>
    <col min="4" max="4" width="9" style="570"/>
    <col min="5" max="7" width="9" style="621"/>
    <col min="8" max="8" width="2.5" style="621" customWidth="1"/>
    <col min="9" max="10" width="9" style="621"/>
    <col min="11" max="14" width="9" style="570"/>
    <col min="15" max="15" width="9" style="621"/>
    <col min="16" max="16" width="4.19921875" style="570" customWidth="1"/>
    <col min="17" max="19" width="9" style="570"/>
    <col min="20" max="20" width="2.59765625" style="570" customWidth="1"/>
    <col min="21" max="27" width="9" style="570"/>
    <col min="28" max="28" width="3.09765625" style="570" customWidth="1"/>
    <col min="29" max="16384" width="9" style="570"/>
  </cols>
  <sheetData>
    <row r="1" spans="1:31" ht="15.75" customHeight="1" x14ac:dyDescent="0.3">
      <c r="A1" s="2774" t="s">
        <v>1088</v>
      </c>
      <c r="B1" s="2774"/>
      <c r="C1" s="2774"/>
      <c r="D1" s="2774"/>
      <c r="E1" s="2774"/>
      <c r="F1" s="2774"/>
      <c r="G1" s="2774"/>
      <c r="H1" s="2774"/>
      <c r="I1" s="2774"/>
      <c r="J1" s="2774"/>
      <c r="K1" s="2774"/>
      <c r="L1" s="2774"/>
      <c r="M1" s="2774"/>
      <c r="O1" s="880"/>
    </row>
    <row r="2" spans="1:31" x14ac:dyDescent="0.3">
      <c r="A2" s="570"/>
      <c r="B2" s="570"/>
      <c r="C2" s="592"/>
    </row>
    <row r="3" spans="1:31" ht="46.8" x14ac:dyDescent="0.3">
      <c r="A3" s="581" t="s">
        <v>4</v>
      </c>
      <c r="B3" s="581" t="s">
        <v>274</v>
      </c>
      <c r="C3" s="593" t="s">
        <v>251</v>
      </c>
      <c r="D3" s="586" t="s">
        <v>269</v>
      </c>
      <c r="E3" s="1337" t="s">
        <v>417</v>
      </c>
      <c r="F3" s="1337" t="s">
        <v>418</v>
      </c>
      <c r="G3" s="1712" t="s">
        <v>419</v>
      </c>
      <c r="H3" s="1712"/>
      <c r="I3" s="888" t="s">
        <v>2</v>
      </c>
      <c r="J3" s="888" t="s">
        <v>314</v>
      </c>
      <c r="K3" s="582" t="s">
        <v>411</v>
      </c>
      <c r="L3" s="582" t="s">
        <v>620</v>
      </c>
      <c r="M3" s="582" t="s">
        <v>582</v>
      </c>
      <c r="N3" s="1713" t="s">
        <v>423</v>
      </c>
      <c r="O3" s="888" t="s">
        <v>815</v>
      </c>
      <c r="P3" s="263"/>
      <c r="Q3" s="586" t="s">
        <v>2</v>
      </c>
      <c r="R3" s="582" t="s">
        <v>314</v>
      </c>
      <c r="S3" s="888" t="s">
        <v>816</v>
      </c>
      <c r="U3" s="1074" t="s">
        <v>819</v>
      </c>
      <c r="V3" s="1074" t="s">
        <v>820</v>
      </c>
      <c r="W3" s="1074" t="s">
        <v>821</v>
      </c>
      <c r="X3" s="1074" t="s">
        <v>822</v>
      </c>
      <c r="Y3" s="1074" t="s">
        <v>823</v>
      </c>
      <c r="Z3" s="1074" t="s">
        <v>824</v>
      </c>
      <c r="AA3" s="1074" t="s">
        <v>621</v>
      </c>
      <c r="AC3" s="1074" t="s">
        <v>818</v>
      </c>
      <c r="AD3" s="1074" t="s">
        <v>900</v>
      </c>
      <c r="AE3" s="1074" t="s">
        <v>899</v>
      </c>
    </row>
    <row r="4" spans="1:31" x14ac:dyDescent="0.3">
      <c r="A4" s="583">
        <v>999</v>
      </c>
      <c r="B4" s="571" t="s">
        <v>9</v>
      </c>
      <c r="C4" s="571"/>
      <c r="D4" s="518">
        <f>SUM(D5:D124)</f>
        <v>120240</v>
      </c>
      <c r="E4" s="519">
        <f t="shared" ref="E4:G4" si="0">SUM(E5:E124)</f>
        <v>58937</v>
      </c>
      <c r="F4" s="519">
        <f t="shared" si="0"/>
        <v>59442</v>
      </c>
      <c r="G4" s="519">
        <f t="shared" si="0"/>
        <v>1861</v>
      </c>
      <c r="H4" s="519"/>
      <c r="I4" s="519">
        <f t="shared" ref="I4:N4" si="1">SUM(I5:I124)</f>
        <v>75505</v>
      </c>
      <c r="J4" s="519">
        <f t="shared" si="1"/>
        <v>37378</v>
      </c>
      <c r="K4" s="519">
        <f t="shared" si="1"/>
        <v>2009</v>
      </c>
      <c r="L4" s="519">
        <f t="shared" si="1"/>
        <v>480</v>
      </c>
      <c r="M4" s="519">
        <f t="shared" si="1"/>
        <v>227</v>
      </c>
      <c r="N4" s="519">
        <f t="shared" si="1"/>
        <v>12335</v>
      </c>
      <c r="O4" s="519">
        <f>SUM(O5:O124)</f>
        <v>13622</v>
      </c>
      <c r="P4" s="263"/>
      <c r="Q4" s="590">
        <f>SUM(Q5:Q124)</f>
        <v>75505</v>
      </c>
      <c r="R4" s="591">
        <f>SUM(R5:R124)</f>
        <v>37378</v>
      </c>
      <c r="S4" s="591">
        <f>SUM(S5:S124)</f>
        <v>2716</v>
      </c>
      <c r="U4" s="591">
        <f t="shared" ref="U4:AE4" si="2">SUM(U5:U124)</f>
        <v>8662</v>
      </c>
      <c r="V4" s="591">
        <f t="shared" si="2"/>
        <v>16458</v>
      </c>
      <c r="W4" s="591">
        <f t="shared" si="2"/>
        <v>25483</v>
      </c>
      <c r="X4" s="591">
        <f t="shared" si="2"/>
        <v>25339</v>
      </c>
      <c r="Y4" s="591">
        <f t="shared" si="2"/>
        <v>22622</v>
      </c>
      <c r="Z4" s="591">
        <f t="shared" si="2"/>
        <v>9170</v>
      </c>
      <c r="AA4" s="591">
        <f t="shared" si="2"/>
        <v>12506</v>
      </c>
      <c r="AC4" s="591">
        <f t="shared" si="2"/>
        <v>25120</v>
      </c>
      <c r="AD4" s="591">
        <f t="shared" si="2"/>
        <v>50822</v>
      </c>
      <c r="AE4" s="591">
        <f t="shared" si="2"/>
        <v>31792</v>
      </c>
    </row>
    <row r="5" spans="1:31" x14ac:dyDescent="0.3">
      <c r="A5" s="584" t="s">
        <v>10</v>
      </c>
      <c r="B5" s="186" t="s">
        <v>11</v>
      </c>
      <c r="C5" s="594" t="s">
        <v>252</v>
      </c>
      <c r="D5" s="520">
        <v>363</v>
      </c>
      <c r="E5" s="521">
        <v>177</v>
      </c>
      <c r="F5" s="521">
        <v>186</v>
      </c>
      <c r="G5" s="521">
        <v>0</v>
      </c>
      <c r="H5" s="521"/>
      <c r="I5" s="521">
        <v>187</v>
      </c>
      <c r="J5" s="521">
        <v>175</v>
      </c>
      <c r="K5" s="521">
        <v>0</v>
      </c>
      <c r="L5" s="521">
        <v>0</v>
      </c>
      <c r="M5" s="521">
        <v>0</v>
      </c>
      <c r="N5" s="521">
        <v>4</v>
      </c>
      <c r="O5" s="521">
        <v>29</v>
      </c>
      <c r="P5" s="263"/>
      <c r="Q5" s="588">
        <f t="shared" ref="Q5:Q36" si="3">I5</f>
        <v>187</v>
      </c>
      <c r="R5" s="589">
        <f t="shared" ref="R5:R36" si="4">J5</f>
        <v>175</v>
      </c>
      <c r="S5" s="589">
        <f t="shared" ref="S5:S36" si="5">SUM(K5:M5)</f>
        <v>0</v>
      </c>
      <c r="U5" s="263">
        <v>22</v>
      </c>
      <c r="V5" s="263">
        <v>65</v>
      </c>
      <c r="W5" s="263">
        <v>95</v>
      </c>
      <c r="X5" s="263">
        <v>96</v>
      </c>
      <c r="Y5" s="263">
        <v>45</v>
      </c>
      <c r="Z5" s="263">
        <v>23</v>
      </c>
      <c r="AA5" s="263">
        <v>17</v>
      </c>
      <c r="AC5" s="570">
        <f t="shared" ref="AC5:AC36" si="6">U5+V5</f>
        <v>87</v>
      </c>
      <c r="AD5" s="570">
        <f t="shared" ref="AD5:AD36" si="7">W5+X5</f>
        <v>191</v>
      </c>
      <c r="AE5" s="570">
        <f t="shared" ref="AE5:AE36" si="8">Y5+Z5</f>
        <v>68</v>
      </c>
    </row>
    <row r="6" spans="1:31" x14ac:dyDescent="0.3">
      <c r="A6" s="584" t="s">
        <v>12</v>
      </c>
      <c r="B6" s="186" t="s">
        <v>13</v>
      </c>
      <c r="C6" s="594" t="s">
        <v>253</v>
      </c>
      <c r="D6" s="520">
        <v>1304</v>
      </c>
      <c r="E6" s="521">
        <v>634</v>
      </c>
      <c r="F6" s="521">
        <v>649</v>
      </c>
      <c r="G6" s="521">
        <v>21</v>
      </c>
      <c r="H6" s="521"/>
      <c r="I6" s="521">
        <v>872</v>
      </c>
      <c r="J6" s="521">
        <v>337</v>
      </c>
      <c r="K6" s="521">
        <v>27</v>
      </c>
      <c r="L6" s="521">
        <v>13</v>
      </c>
      <c r="M6" s="521">
        <v>0</v>
      </c>
      <c r="N6" s="521">
        <v>136</v>
      </c>
      <c r="O6" s="521">
        <v>194</v>
      </c>
      <c r="P6" s="263"/>
      <c r="Q6" s="588">
        <f t="shared" si="3"/>
        <v>872</v>
      </c>
      <c r="R6" s="589">
        <f t="shared" si="4"/>
        <v>337</v>
      </c>
      <c r="S6" s="589">
        <f t="shared" si="5"/>
        <v>40</v>
      </c>
      <c r="U6" s="263">
        <v>82</v>
      </c>
      <c r="V6" s="263">
        <v>190</v>
      </c>
      <c r="W6" s="263">
        <v>310</v>
      </c>
      <c r="X6" s="263">
        <v>254</v>
      </c>
      <c r="Y6" s="263">
        <v>228</v>
      </c>
      <c r="Z6" s="263">
        <v>116</v>
      </c>
      <c r="AA6" s="263">
        <v>124</v>
      </c>
      <c r="AC6" s="621">
        <f t="shared" si="6"/>
        <v>272</v>
      </c>
      <c r="AD6" s="621">
        <f t="shared" si="7"/>
        <v>564</v>
      </c>
      <c r="AE6" s="621">
        <f t="shared" si="8"/>
        <v>344</v>
      </c>
    </row>
    <row r="7" spans="1:31" x14ac:dyDescent="0.3">
      <c r="A7" s="584" t="s">
        <v>16</v>
      </c>
      <c r="B7" s="186" t="s">
        <v>285</v>
      </c>
      <c r="C7" s="594" t="s">
        <v>253</v>
      </c>
      <c r="D7" s="520">
        <v>592</v>
      </c>
      <c r="E7" s="521">
        <v>267</v>
      </c>
      <c r="F7" s="521">
        <v>315</v>
      </c>
      <c r="G7" s="521">
        <v>10</v>
      </c>
      <c r="H7" s="521"/>
      <c r="I7" s="521">
        <v>502</v>
      </c>
      <c r="J7" s="521">
        <v>66</v>
      </c>
      <c r="K7" s="521">
        <v>2</v>
      </c>
      <c r="L7" s="521">
        <v>3</v>
      </c>
      <c r="M7" s="521">
        <v>0</v>
      </c>
      <c r="N7" s="521">
        <v>59</v>
      </c>
      <c r="O7" s="521">
        <v>14</v>
      </c>
      <c r="P7" s="263"/>
      <c r="Q7" s="588">
        <f t="shared" si="3"/>
        <v>502</v>
      </c>
      <c r="R7" s="589">
        <f t="shared" si="4"/>
        <v>66</v>
      </c>
      <c r="S7" s="589">
        <f t="shared" si="5"/>
        <v>5</v>
      </c>
      <c r="U7" s="263">
        <v>52</v>
      </c>
      <c r="V7" s="263">
        <v>95</v>
      </c>
      <c r="W7" s="263">
        <v>142</v>
      </c>
      <c r="X7" s="263">
        <v>109</v>
      </c>
      <c r="Y7" s="263">
        <v>107</v>
      </c>
      <c r="Z7" s="263">
        <v>26</v>
      </c>
      <c r="AA7" s="263">
        <v>61</v>
      </c>
      <c r="AC7" s="621">
        <f t="shared" si="6"/>
        <v>147</v>
      </c>
      <c r="AD7" s="621">
        <f t="shared" si="7"/>
        <v>251</v>
      </c>
      <c r="AE7" s="621">
        <f t="shared" si="8"/>
        <v>133</v>
      </c>
    </row>
    <row r="8" spans="1:31" x14ac:dyDescent="0.3">
      <c r="A8" s="584" t="s">
        <v>18</v>
      </c>
      <c r="B8" s="186" t="s">
        <v>19</v>
      </c>
      <c r="C8" s="594" t="s">
        <v>254</v>
      </c>
      <c r="D8" s="520">
        <v>222</v>
      </c>
      <c r="E8" s="521">
        <v>121</v>
      </c>
      <c r="F8" s="521">
        <v>99</v>
      </c>
      <c r="G8" s="521">
        <v>2</v>
      </c>
      <c r="H8" s="521"/>
      <c r="I8" s="521">
        <v>177</v>
      </c>
      <c r="J8" s="521">
        <v>48</v>
      </c>
      <c r="K8" s="521">
        <v>0</v>
      </c>
      <c r="L8" s="521">
        <v>0</v>
      </c>
      <c r="M8" s="521">
        <v>0</v>
      </c>
      <c r="N8" s="521">
        <v>9</v>
      </c>
      <c r="O8" s="521">
        <v>0</v>
      </c>
      <c r="P8" s="263"/>
      <c r="Q8" s="588">
        <f t="shared" si="3"/>
        <v>177</v>
      </c>
      <c r="R8" s="589">
        <f t="shared" si="4"/>
        <v>48</v>
      </c>
      <c r="S8" s="589">
        <f t="shared" si="5"/>
        <v>0</v>
      </c>
      <c r="U8" s="263">
        <v>9</v>
      </c>
      <c r="V8" s="263">
        <v>43</v>
      </c>
      <c r="W8" s="263">
        <v>45</v>
      </c>
      <c r="X8" s="263">
        <v>54</v>
      </c>
      <c r="Y8" s="263">
        <v>38</v>
      </c>
      <c r="Z8" s="263">
        <v>22</v>
      </c>
      <c r="AA8" s="263">
        <v>11</v>
      </c>
      <c r="AC8" s="621">
        <f t="shared" si="6"/>
        <v>52</v>
      </c>
      <c r="AD8" s="621">
        <f t="shared" si="7"/>
        <v>99</v>
      </c>
      <c r="AE8" s="621">
        <f t="shared" si="8"/>
        <v>60</v>
      </c>
    </row>
    <row r="9" spans="1:31" x14ac:dyDescent="0.3">
      <c r="A9" s="584" t="s">
        <v>20</v>
      </c>
      <c r="B9" s="186" t="s">
        <v>21</v>
      </c>
      <c r="C9" s="594" t="s">
        <v>253</v>
      </c>
      <c r="D9" s="520">
        <v>508</v>
      </c>
      <c r="E9" s="521">
        <v>258</v>
      </c>
      <c r="F9" s="521">
        <v>241</v>
      </c>
      <c r="G9" s="521">
        <v>9</v>
      </c>
      <c r="H9" s="521"/>
      <c r="I9" s="521">
        <v>396</v>
      </c>
      <c r="J9" s="521">
        <v>101</v>
      </c>
      <c r="K9" s="521">
        <v>3</v>
      </c>
      <c r="L9" s="521">
        <v>1</v>
      </c>
      <c r="M9" s="521">
        <v>1</v>
      </c>
      <c r="N9" s="521">
        <v>38</v>
      </c>
      <c r="O9" s="521">
        <v>17</v>
      </c>
      <c r="P9" s="263"/>
      <c r="Q9" s="588">
        <f t="shared" si="3"/>
        <v>396</v>
      </c>
      <c r="R9" s="589">
        <f t="shared" si="4"/>
        <v>101</v>
      </c>
      <c r="S9" s="589">
        <f t="shared" si="5"/>
        <v>5</v>
      </c>
      <c r="U9" s="263">
        <v>39</v>
      </c>
      <c r="V9" s="263">
        <v>86</v>
      </c>
      <c r="W9" s="263">
        <v>97</v>
      </c>
      <c r="X9" s="263">
        <v>120</v>
      </c>
      <c r="Y9" s="263">
        <v>96</v>
      </c>
      <c r="Z9" s="263">
        <v>29</v>
      </c>
      <c r="AA9" s="263">
        <v>41</v>
      </c>
      <c r="AC9" s="621">
        <f t="shared" si="6"/>
        <v>125</v>
      </c>
      <c r="AD9" s="621">
        <f t="shared" si="7"/>
        <v>217</v>
      </c>
      <c r="AE9" s="621">
        <f t="shared" si="8"/>
        <v>125</v>
      </c>
    </row>
    <row r="10" spans="1:31" x14ac:dyDescent="0.3">
      <c r="A10" s="584" t="s">
        <v>22</v>
      </c>
      <c r="B10" s="186" t="s">
        <v>23</v>
      </c>
      <c r="C10" s="594" t="s">
        <v>253</v>
      </c>
      <c r="D10" s="520">
        <v>263</v>
      </c>
      <c r="E10" s="521">
        <v>147</v>
      </c>
      <c r="F10" s="521">
        <v>115</v>
      </c>
      <c r="G10" s="521">
        <v>1</v>
      </c>
      <c r="H10" s="521"/>
      <c r="I10" s="521">
        <v>165</v>
      </c>
      <c r="J10" s="521">
        <v>103</v>
      </c>
      <c r="K10" s="521">
        <v>0</v>
      </c>
      <c r="L10" s="521">
        <v>0</v>
      </c>
      <c r="M10" s="521">
        <v>0</v>
      </c>
      <c r="N10" s="521">
        <v>17</v>
      </c>
      <c r="O10" s="521">
        <v>5</v>
      </c>
      <c r="P10" s="263"/>
      <c r="Q10" s="588">
        <f t="shared" si="3"/>
        <v>165</v>
      </c>
      <c r="R10" s="589">
        <f t="shared" si="4"/>
        <v>103</v>
      </c>
      <c r="S10" s="589">
        <f t="shared" si="5"/>
        <v>0</v>
      </c>
      <c r="U10" s="263">
        <v>27</v>
      </c>
      <c r="V10" s="263">
        <v>29</v>
      </c>
      <c r="W10" s="263">
        <v>68</v>
      </c>
      <c r="X10" s="263">
        <v>45</v>
      </c>
      <c r="Y10" s="263">
        <v>44</v>
      </c>
      <c r="Z10" s="263">
        <v>12</v>
      </c>
      <c r="AA10" s="263">
        <v>38</v>
      </c>
      <c r="AC10" s="621">
        <f t="shared" si="6"/>
        <v>56</v>
      </c>
      <c r="AD10" s="621">
        <f t="shared" si="7"/>
        <v>113</v>
      </c>
      <c r="AE10" s="621">
        <f t="shared" si="8"/>
        <v>56</v>
      </c>
    </row>
    <row r="11" spans="1:31" x14ac:dyDescent="0.3">
      <c r="A11" s="584" t="s">
        <v>24</v>
      </c>
      <c r="B11" s="186" t="s">
        <v>25</v>
      </c>
      <c r="C11" s="594" t="s">
        <v>255</v>
      </c>
      <c r="D11" s="520">
        <v>1655</v>
      </c>
      <c r="E11" s="521">
        <v>779</v>
      </c>
      <c r="F11" s="521">
        <v>846</v>
      </c>
      <c r="G11" s="521">
        <v>30</v>
      </c>
      <c r="H11" s="521"/>
      <c r="I11" s="521">
        <v>1001</v>
      </c>
      <c r="J11" s="521">
        <v>483</v>
      </c>
      <c r="K11" s="521">
        <v>137</v>
      </c>
      <c r="L11" s="521">
        <v>6</v>
      </c>
      <c r="M11" s="521">
        <v>2</v>
      </c>
      <c r="N11" s="521">
        <v>128</v>
      </c>
      <c r="O11" s="521">
        <v>666</v>
      </c>
      <c r="P11" s="263"/>
      <c r="Q11" s="588">
        <f t="shared" si="3"/>
        <v>1001</v>
      </c>
      <c r="R11" s="589">
        <f t="shared" si="4"/>
        <v>483</v>
      </c>
      <c r="S11" s="589">
        <f t="shared" si="5"/>
        <v>145</v>
      </c>
      <c r="U11" s="263">
        <v>71</v>
      </c>
      <c r="V11" s="263">
        <v>195</v>
      </c>
      <c r="W11" s="263">
        <v>357</v>
      </c>
      <c r="X11" s="263">
        <v>381</v>
      </c>
      <c r="Y11" s="263">
        <v>353</v>
      </c>
      <c r="Z11" s="263">
        <v>155</v>
      </c>
      <c r="AA11" s="263">
        <v>143</v>
      </c>
      <c r="AC11" s="621">
        <f t="shared" si="6"/>
        <v>266</v>
      </c>
      <c r="AD11" s="621">
        <f t="shared" si="7"/>
        <v>738</v>
      </c>
      <c r="AE11" s="621">
        <f t="shared" si="8"/>
        <v>508</v>
      </c>
    </row>
    <row r="12" spans="1:31" x14ac:dyDescent="0.3">
      <c r="A12" s="584" t="s">
        <v>26</v>
      </c>
      <c r="B12" s="186" t="s">
        <v>286</v>
      </c>
      <c r="C12" s="594" t="s">
        <v>253</v>
      </c>
      <c r="D12" s="520">
        <v>4035</v>
      </c>
      <c r="E12" s="521">
        <v>1922</v>
      </c>
      <c r="F12" s="521">
        <v>2058</v>
      </c>
      <c r="G12" s="521">
        <v>55</v>
      </c>
      <c r="H12" s="521"/>
      <c r="I12" s="521">
        <v>3501</v>
      </c>
      <c r="J12" s="521">
        <v>629</v>
      </c>
      <c r="K12" s="521">
        <v>5</v>
      </c>
      <c r="L12" s="521">
        <v>10</v>
      </c>
      <c r="M12" s="521">
        <v>10</v>
      </c>
      <c r="N12" s="521">
        <v>179</v>
      </c>
      <c r="O12" s="521">
        <v>222</v>
      </c>
      <c r="P12" s="263"/>
      <c r="Q12" s="588">
        <f t="shared" si="3"/>
        <v>3501</v>
      </c>
      <c r="R12" s="589">
        <f t="shared" si="4"/>
        <v>629</v>
      </c>
      <c r="S12" s="589">
        <f t="shared" si="5"/>
        <v>25</v>
      </c>
      <c r="U12" s="263">
        <v>265</v>
      </c>
      <c r="V12" s="263">
        <v>580</v>
      </c>
      <c r="W12" s="263">
        <v>830</v>
      </c>
      <c r="X12" s="263">
        <v>810</v>
      </c>
      <c r="Y12" s="263">
        <v>774</v>
      </c>
      <c r="Z12" s="263">
        <v>289</v>
      </c>
      <c r="AA12" s="263">
        <v>487</v>
      </c>
      <c r="AC12" s="621">
        <f t="shared" si="6"/>
        <v>845</v>
      </c>
      <c r="AD12" s="621">
        <f t="shared" si="7"/>
        <v>1640</v>
      </c>
      <c r="AE12" s="621">
        <f t="shared" si="8"/>
        <v>1063</v>
      </c>
    </row>
    <row r="13" spans="1:31" x14ac:dyDescent="0.3">
      <c r="A13" s="584" t="s">
        <v>27</v>
      </c>
      <c r="B13" s="186" t="s">
        <v>28</v>
      </c>
      <c r="C13" s="594" t="s">
        <v>253</v>
      </c>
      <c r="D13" s="520">
        <v>88</v>
      </c>
      <c r="E13" s="521">
        <v>32</v>
      </c>
      <c r="F13" s="521">
        <v>56</v>
      </c>
      <c r="G13" s="521">
        <v>0</v>
      </c>
      <c r="H13" s="521"/>
      <c r="I13" s="521">
        <v>87</v>
      </c>
      <c r="J13" s="521">
        <v>4</v>
      </c>
      <c r="K13" s="521">
        <v>0</v>
      </c>
      <c r="L13" s="521">
        <v>0</v>
      </c>
      <c r="M13" s="521">
        <v>0</v>
      </c>
      <c r="N13" s="521">
        <v>1</v>
      </c>
      <c r="O13" s="521">
        <v>0</v>
      </c>
      <c r="P13" s="263"/>
      <c r="Q13" s="588">
        <f t="shared" si="3"/>
        <v>87</v>
      </c>
      <c r="R13" s="589">
        <f t="shared" si="4"/>
        <v>4</v>
      </c>
      <c r="S13" s="589">
        <f t="shared" si="5"/>
        <v>0</v>
      </c>
      <c r="U13" s="263">
        <v>6</v>
      </c>
      <c r="V13" s="263">
        <v>9</v>
      </c>
      <c r="W13" s="263">
        <v>24</v>
      </c>
      <c r="X13" s="263">
        <v>18</v>
      </c>
      <c r="Y13" s="263">
        <v>21</v>
      </c>
      <c r="Z13" s="263">
        <v>10</v>
      </c>
      <c r="AA13" s="263">
        <v>0</v>
      </c>
      <c r="AC13" s="621">
        <f t="shared" si="6"/>
        <v>15</v>
      </c>
      <c r="AD13" s="621">
        <f t="shared" si="7"/>
        <v>42</v>
      </c>
      <c r="AE13" s="621">
        <f t="shared" si="8"/>
        <v>31</v>
      </c>
    </row>
    <row r="14" spans="1:31" x14ac:dyDescent="0.3">
      <c r="A14" s="584" t="s">
        <v>29</v>
      </c>
      <c r="B14" s="186" t="s">
        <v>736</v>
      </c>
      <c r="C14" s="594" t="s">
        <v>253</v>
      </c>
      <c r="D14" s="520">
        <v>1512</v>
      </c>
      <c r="E14" s="521">
        <v>780</v>
      </c>
      <c r="F14" s="521">
        <v>714</v>
      </c>
      <c r="G14" s="521">
        <v>18</v>
      </c>
      <c r="H14" s="521"/>
      <c r="I14" s="521">
        <v>1314</v>
      </c>
      <c r="J14" s="521">
        <v>157</v>
      </c>
      <c r="K14" s="521">
        <v>7</v>
      </c>
      <c r="L14" s="521">
        <v>1</v>
      </c>
      <c r="M14" s="521">
        <v>0</v>
      </c>
      <c r="N14" s="521">
        <v>93</v>
      </c>
      <c r="O14" s="521">
        <v>31</v>
      </c>
      <c r="P14" s="263"/>
      <c r="Q14" s="588">
        <f t="shared" si="3"/>
        <v>1314</v>
      </c>
      <c r="R14" s="589">
        <f t="shared" si="4"/>
        <v>157</v>
      </c>
      <c r="S14" s="589">
        <f t="shared" si="5"/>
        <v>8</v>
      </c>
      <c r="U14" s="263">
        <v>132</v>
      </c>
      <c r="V14" s="263">
        <v>217</v>
      </c>
      <c r="W14" s="263">
        <v>364</v>
      </c>
      <c r="X14" s="263">
        <v>303</v>
      </c>
      <c r="Y14" s="263">
        <v>289</v>
      </c>
      <c r="Z14" s="263">
        <v>120</v>
      </c>
      <c r="AA14" s="263">
        <v>87</v>
      </c>
      <c r="AC14" s="621">
        <f t="shared" si="6"/>
        <v>349</v>
      </c>
      <c r="AD14" s="621">
        <f t="shared" si="7"/>
        <v>667</v>
      </c>
      <c r="AE14" s="621">
        <f t="shared" si="8"/>
        <v>409</v>
      </c>
    </row>
    <row r="15" spans="1:31" x14ac:dyDescent="0.3">
      <c r="A15" s="584" t="s">
        <v>30</v>
      </c>
      <c r="B15" s="186" t="s">
        <v>31</v>
      </c>
      <c r="C15" s="594" t="s">
        <v>256</v>
      </c>
      <c r="D15" s="520">
        <v>75</v>
      </c>
      <c r="E15" s="521">
        <v>38</v>
      </c>
      <c r="F15" s="521">
        <v>37</v>
      </c>
      <c r="G15" s="521">
        <v>0</v>
      </c>
      <c r="H15" s="521"/>
      <c r="I15" s="521">
        <v>71</v>
      </c>
      <c r="J15" s="521">
        <v>3</v>
      </c>
      <c r="K15" s="521">
        <v>0</v>
      </c>
      <c r="L15" s="521">
        <v>0</v>
      </c>
      <c r="M15" s="521">
        <v>0</v>
      </c>
      <c r="N15" s="521">
        <v>2</v>
      </c>
      <c r="O15" s="521">
        <v>1</v>
      </c>
      <c r="P15" s="263"/>
      <c r="Q15" s="588">
        <f t="shared" si="3"/>
        <v>71</v>
      </c>
      <c r="R15" s="589">
        <f t="shared" si="4"/>
        <v>3</v>
      </c>
      <c r="S15" s="589">
        <f t="shared" si="5"/>
        <v>0</v>
      </c>
      <c r="U15" s="263">
        <v>2</v>
      </c>
      <c r="V15" s="263">
        <v>7</v>
      </c>
      <c r="W15" s="263">
        <v>11</v>
      </c>
      <c r="X15" s="263">
        <v>13</v>
      </c>
      <c r="Y15" s="263">
        <v>19</v>
      </c>
      <c r="Z15" s="263">
        <v>13</v>
      </c>
      <c r="AA15" s="263">
        <v>10</v>
      </c>
      <c r="AC15" s="621">
        <f t="shared" si="6"/>
        <v>9</v>
      </c>
      <c r="AD15" s="621">
        <f t="shared" si="7"/>
        <v>24</v>
      </c>
      <c r="AE15" s="621">
        <f t="shared" si="8"/>
        <v>32</v>
      </c>
    </row>
    <row r="16" spans="1:31" x14ac:dyDescent="0.3">
      <c r="A16" s="584" t="s">
        <v>32</v>
      </c>
      <c r="B16" s="186" t="s">
        <v>33</v>
      </c>
      <c r="C16" s="594" t="s">
        <v>253</v>
      </c>
      <c r="D16" s="520">
        <v>492</v>
      </c>
      <c r="E16" s="521">
        <v>250</v>
      </c>
      <c r="F16" s="521">
        <v>239</v>
      </c>
      <c r="G16" s="521">
        <v>3</v>
      </c>
      <c r="H16" s="521"/>
      <c r="I16" s="521">
        <v>468</v>
      </c>
      <c r="J16" s="521">
        <v>24</v>
      </c>
      <c r="K16" s="521">
        <v>0</v>
      </c>
      <c r="L16" s="521">
        <v>0</v>
      </c>
      <c r="M16" s="521">
        <v>0</v>
      </c>
      <c r="N16" s="521">
        <v>16</v>
      </c>
      <c r="O16" s="521">
        <v>12</v>
      </c>
      <c r="P16" s="263"/>
      <c r="Q16" s="588">
        <f t="shared" si="3"/>
        <v>468</v>
      </c>
      <c r="R16" s="589">
        <f t="shared" si="4"/>
        <v>24</v>
      </c>
      <c r="S16" s="589">
        <f t="shared" si="5"/>
        <v>0</v>
      </c>
      <c r="U16" s="263">
        <v>40</v>
      </c>
      <c r="V16" s="263">
        <v>61</v>
      </c>
      <c r="W16" s="263">
        <v>128</v>
      </c>
      <c r="X16" s="263">
        <v>93</v>
      </c>
      <c r="Y16" s="263">
        <v>104</v>
      </c>
      <c r="Z16" s="263">
        <v>44</v>
      </c>
      <c r="AA16" s="263">
        <v>22</v>
      </c>
      <c r="AC16" s="621">
        <f t="shared" si="6"/>
        <v>101</v>
      </c>
      <c r="AD16" s="621">
        <f t="shared" si="7"/>
        <v>221</v>
      </c>
      <c r="AE16" s="621">
        <f t="shared" si="8"/>
        <v>148</v>
      </c>
    </row>
    <row r="17" spans="1:31" x14ac:dyDescent="0.3">
      <c r="A17" s="584" t="s">
        <v>36</v>
      </c>
      <c r="B17" s="186" t="s">
        <v>37</v>
      </c>
      <c r="C17" s="594" t="s">
        <v>252</v>
      </c>
      <c r="D17" s="520">
        <v>123</v>
      </c>
      <c r="E17" s="521">
        <v>57</v>
      </c>
      <c r="F17" s="521">
        <v>64</v>
      </c>
      <c r="G17" s="521">
        <v>2</v>
      </c>
      <c r="H17" s="521"/>
      <c r="I17" s="521">
        <v>46</v>
      </c>
      <c r="J17" s="521">
        <v>73</v>
      </c>
      <c r="K17" s="521">
        <v>0</v>
      </c>
      <c r="L17" s="521">
        <v>0</v>
      </c>
      <c r="M17" s="521">
        <v>0</v>
      </c>
      <c r="N17" s="521">
        <v>17</v>
      </c>
      <c r="O17" s="521">
        <v>4</v>
      </c>
      <c r="P17" s="263"/>
      <c r="Q17" s="588">
        <f t="shared" si="3"/>
        <v>46</v>
      </c>
      <c r="R17" s="589">
        <f t="shared" si="4"/>
        <v>73</v>
      </c>
      <c r="S17" s="589">
        <f t="shared" si="5"/>
        <v>0</v>
      </c>
      <c r="U17" s="263">
        <v>9</v>
      </c>
      <c r="V17" s="263">
        <v>22</v>
      </c>
      <c r="W17" s="263">
        <v>30</v>
      </c>
      <c r="X17" s="263">
        <v>19</v>
      </c>
      <c r="Y17" s="263">
        <v>22</v>
      </c>
      <c r="Z17" s="263">
        <v>12</v>
      </c>
      <c r="AA17" s="263">
        <v>9</v>
      </c>
      <c r="AC17" s="621">
        <f t="shared" si="6"/>
        <v>31</v>
      </c>
      <c r="AD17" s="621">
        <f t="shared" si="7"/>
        <v>49</v>
      </c>
      <c r="AE17" s="621">
        <f t="shared" si="8"/>
        <v>34</v>
      </c>
    </row>
    <row r="18" spans="1:31" x14ac:dyDescent="0.3">
      <c r="A18" s="584" t="s">
        <v>38</v>
      </c>
      <c r="B18" s="186" t="s">
        <v>39</v>
      </c>
      <c r="C18" s="594" t="s">
        <v>256</v>
      </c>
      <c r="D18" s="520">
        <v>411</v>
      </c>
      <c r="E18" s="521">
        <v>185</v>
      </c>
      <c r="F18" s="521">
        <v>226</v>
      </c>
      <c r="G18" s="521">
        <v>0</v>
      </c>
      <c r="H18" s="521"/>
      <c r="I18" s="521">
        <v>403</v>
      </c>
      <c r="J18" s="521">
        <v>4</v>
      </c>
      <c r="K18" s="521">
        <v>0</v>
      </c>
      <c r="L18" s="521">
        <v>0</v>
      </c>
      <c r="M18" s="521">
        <v>0</v>
      </c>
      <c r="N18" s="521">
        <v>5</v>
      </c>
      <c r="O18" s="521">
        <v>6</v>
      </c>
      <c r="P18" s="263"/>
      <c r="Q18" s="588">
        <f t="shared" si="3"/>
        <v>403</v>
      </c>
      <c r="R18" s="589">
        <f t="shared" si="4"/>
        <v>4</v>
      </c>
      <c r="S18" s="589">
        <f t="shared" si="5"/>
        <v>0</v>
      </c>
      <c r="U18" s="263">
        <v>45</v>
      </c>
      <c r="V18" s="263">
        <v>72</v>
      </c>
      <c r="W18" s="263">
        <v>93</v>
      </c>
      <c r="X18" s="263">
        <v>92</v>
      </c>
      <c r="Y18" s="263">
        <v>73</v>
      </c>
      <c r="Z18" s="263">
        <v>28</v>
      </c>
      <c r="AA18" s="263">
        <v>8</v>
      </c>
      <c r="AC18" s="621">
        <f t="shared" si="6"/>
        <v>117</v>
      </c>
      <c r="AD18" s="621">
        <f t="shared" si="7"/>
        <v>185</v>
      </c>
      <c r="AE18" s="621">
        <f t="shared" si="8"/>
        <v>101</v>
      </c>
    </row>
    <row r="19" spans="1:31" x14ac:dyDescent="0.3">
      <c r="A19" s="584" t="s">
        <v>40</v>
      </c>
      <c r="B19" s="186" t="s">
        <v>41</v>
      </c>
      <c r="C19" s="594" t="s">
        <v>254</v>
      </c>
      <c r="D19" s="520">
        <v>285</v>
      </c>
      <c r="E19" s="521">
        <v>133</v>
      </c>
      <c r="F19" s="521">
        <v>152</v>
      </c>
      <c r="G19" s="521">
        <v>0</v>
      </c>
      <c r="H19" s="521"/>
      <c r="I19" s="521">
        <v>170</v>
      </c>
      <c r="J19" s="521">
        <v>111</v>
      </c>
      <c r="K19" s="521">
        <v>0</v>
      </c>
      <c r="L19" s="521">
        <v>1</v>
      </c>
      <c r="M19" s="521">
        <v>0</v>
      </c>
      <c r="N19" s="521">
        <v>22</v>
      </c>
      <c r="O19" s="521">
        <v>4</v>
      </c>
      <c r="P19" s="263"/>
      <c r="Q19" s="588">
        <f t="shared" si="3"/>
        <v>170</v>
      </c>
      <c r="R19" s="589">
        <f t="shared" si="4"/>
        <v>111</v>
      </c>
      <c r="S19" s="589">
        <f t="shared" si="5"/>
        <v>1</v>
      </c>
      <c r="U19" s="263">
        <v>13</v>
      </c>
      <c r="V19" s="263">
        <v>55</v>
      </c>
      <c r="W19" s="263">
        <v>72</v>
      </c>
      <c r="X19" s="263">
        <v>70</v>
      </c>
      <c r="Y19" s="263">
        <v>38</v>
      </c>
      <c r="Z19" s="263">
        <v>27</v>
      </c>
      <c r="AA19" s="263">
        <v>10</v>
      </c>
      <c r="AC19" s="621">
        <f t="shared" si="6"/>
        <v>68</v>
      </c>
      <c r="AD19" s="621">
        <f t="shared" si="7"/>
        <v>142</v>
      </c>
      <c r="AE19" s="621">
        <f t="shared" si="8"/>
        <v>65</v>
      </c>
    </row>
    <row r="20" spans="1:31" x14ac:dyDescent="0.3">
      <c r="A20" s="584" t="s">
        <v>42</v>
      </c>
      <c r="B20" s="186" t="s">
        <v>43</v>
      </c>
      <c r="C20" s="594" t="s">
        <v>253</v>
      </c>
      <c r="D20" s="520">
        <v>1556</v>
      </c>
      <c r="E20" s="521">
        <v>757</v>
      </c>
      <c r="F20" s="521">
        <v>770</v>
      </c>
      <c r="G20" s="521">
        <v>29</v>
      </c>
      <c r="H20" s="521"/>
      <c r="I20" s="521">
        <v>1221</v>
      </c>
      <c r="J20" s="521">
        <v>295</v>
      </c>
      <c r="K20" s="521">
        <v>2</v>
      </c>
      <c r="L20" s="521">
        <v>6</v>
      </c>
      <c r="M20" s="521">
        <v>2</v>
      </c>
      <c r="N20" s="521">
        <v>121</v>
      </c>
      <c r="O20" s="521">
        <v>74</v>
      </c>
      <c r="P20" s="263"/>
      <c r="Q20" s="588">
        <f t="shared" si="3"/>
        <v>1221</v>
      </c>
      <c r="R20" s="589">
        <f t="shared" si="4"/>
        <v>295</v>
      </c>
      <c r="S20" s="589">
        <f t="shared" si="5"/>
        <v>10</v>
      </c>
      <c r="U20" s="263">
        <v>110</v>
      </c>
      <c r="V20" s="263">
        <v>226</v>
      </c>
      <c r="W20" s="263">
        <v>319</v>
      </c>
      <c r="X20" s="263">
        <v>342</v>
      </c>
      <c r="Y20" s="263">
        <v>291</v>
      </c>
      <c r="Z20" s="263">
        <v>121</v>
      </c>
      <c r="AA20" s="263">
        <v>147</v>
      </c>
      <c r="AC20" s="621">
        <f t="shared" si="6"/>
        <v>336</v>
      </c>
      <c r="AD20" s="621">
        <f t="shared" si="7"/>
        <v>661</v>
      </c>
      <c r="AE20" s="621">
        <f t="shared" si="8"/>
        <v>412</v>
      </c>
    </row>
    <row r="21" spans="1:31" x14ac:dyDescent="0.3">
      <c r="A21" s="584" t="s">
        <v>44</v>
      </c>
      <c r="B21" s="186" t="s">
        <v>45</v>
      </c>
      <c r="C21" s="594" t="s">
        <v>254</v>
      </c>
      <c r="D21" s="520">
        <v>475</v>
      </c>
      <c r="E21" s="521">
        <v>207</v>
      </c>
      <c r="F21" s="521">
        <v>254</v>
      </c>
      <c r="G21" s="521">
        <v>14</v>
      </c>
      <c r="H21" s="521"/>
      <c r="I21" s="521">
        <v>326</v>
      </c>
      <c r="J21" s="521">
        <v>131</v>
      </c>
      <c r="K21" s="521">
        <v>2</v>
      </c>
      <c r="L21" s="521">
        <v>0</v>
      </c>
      <c r="M21" s="521">
        <v>9</v>
      </c>
      <c r="N21" s="521">
        <v>45</v>
      </c>
      <c r="O21" s="521">
        <v>45</v>
      </c>
      <c r="P21" s="263"/>
      <c r="Q21" s="588">
        <f t="shared" si="3"/>
        <v>326</v>
      </c>
      <c r="R21" s="589">
        <f t="shared" si="4"/>
        <v>131</v>
      </c>
      <c r="S21" s="589">
        <f t="shared" si="5"/>
        <v>11</v>
      </c>
      <c r="U21" s="263">
        <v>40</v>
      </c>
      <c r="V21" s="263">
        <v>75</v>
      </c>
      <c r="W21" s="263">
        <v>78</v>
      </c>
      <c r="X21" s="263">
        <v>92</v>
      </c>
      <c r="Y21" s="263">
        <v>89</v>
      </c>
      <c r="Z21" s="263">
        <v>29</v>
      </c>
      <c r="AA21" s="263">
        <v>72</v>
      </c>
      <c r="AC21" s="621">
        <f t="shared" si="6"/>
        <v>115</v>
      </c>
      <c r="AD21" s="621">
        <f t="shared" si="7"/>
        <v>170</v>
      </c>
      <c r="AE21" s="621">
        <f t="shared" si="8"/>
        <v>118</v>
      </c>
    </row>
    <row r="22" spans="1:31" x14ac:dyDescent="0.3">
      <c r="A22" s="584" t="s">
        <v>46</v>
      </c>
      <c r="B22" s="186" t="s">
        <v>47</v>
      </c>
      <c r="C22" s="594" t="s">
        <v>256</v>
      </c>
      <c r="D22" s="520">
        <v>489</v>
      </c>
      <c r="E22" s="521">
        <v>241</v>
      </c>
      <c r="F22" s="521">
        <v>247</v>
      </c>
      <c r="G22" s="521">
        <v>1</v>
      </c>
      <c r="H22" s="521"/>
      <c r="I22" s="521">
        <v>475</v>
      </c>
      <c r="J22" s="521">
        <v>11</v>
      </c>
      <c r="K22" s="521">
        <v>0</v>
      </c>
      <c r="L22" s="521">
        <v>1</v>
      </c>
      <c r="M22" s="521">
        <v>0</v>
      </c>
      <c r="N22" s="521">
        <v>9</v>
      </c>
      <c r="O22" s="521">
        <v>21</v>
      </c>
      <c r="P22" s="263"/>
      <c r="Q22" s="588">
        <f t="shared" si="3"/>
        <v>475</v>
      </c>
      <c r="R22" s="589">
        <f t="shared" si="4"/>
        <v>11</v>
      </c>
      <c r="S22" s="589">
        <f t="shared" si="5"/>
        <v>1</v>
      </c>
      <c r="U22" s="263">
        <v>53</v>
      </c>
      <c r="V22" s="263">
        <v>84</v>
      </c>
      <c r="W22" s="263">
        <v>110</v>
      </c>
      <c r="X22" s="263">
        <v>86</v>
      </c>
      <c r="Y22" s="263">
        <v>93</v>
      </c>
      <c r="Z22" s="263">
        <v>44</v>
      </c>
      <c r="AA22" s="263">
        <v>19</v>
      </c>
      <c r="AC22" s="621">
        <f t="shared" si="6"/>
        <v>137</v>
      </c>
      <c r="AD22" s="621">
        <f t="shared" si="7"/>
        <v>196</v>
      </c>
      <c r="AE22" s="621">
        <f t="shared" si="8"/>
        <v>137</v>
      </c>
    </row>
    <row r="23" spans="1:31" x14ac:dyDescent="0.3">
      <c r="A23" s="584" t="s">
        <v>48</v>
      </c>
      <c r="B23" s="186" t="s">
        <v>257</v>
      </c>
      <c r="C23" s="594" t="s">
        <v>254</v>
      </c>
      <c r="D23" s="520">
        <v>66</v>
      </c>
      <c r="E23" s="521">
        <v>29</v>
      </c>
      <c r="F23" s="521">
        <v>37</v>
      </c>
      <c r="G23" s="521">
        <v>0</v>
      </c>
      <c r="H23" s="521"/>
      <c r="I23" s="521">
        <v>36</v>
      </c>
      <c r="J23" s="521">
        <v>28</v>
      </c>
      <c r="K23" s="521">
        <v>0</v>
      </c>
      <c r="L23" s="521">
        <v>0</v>
      </c>
      <c r="M23" s="521">
        <v>0</v>
      </c>
      <c r="N23" s="521">
        <v>2</v>
      </c>
      <c r="O23" s="521">
        <v>0</v>
      </c>
      <c r="P23" s="263"/>
      <c r="Q23" s="588">
        <f t="shared" si="3"/>
        <v>36</v>
      </c>
      <c r="R23" s="589">
        <f t="shared" si="4"/>
        <v>28</v>
      </c>
      <c r="S23" s="589">
        <f t="shared" si="5"/>
        <v>0</v>
      </c>
      <c r="U23" s="263">
        <v>1</v>
      </c>
      <c r="V23" s="263">
        <v>12</v>
      </c>
      <c r="W23" s="263">
        <v>16</v>
      </c>
      <c r="X23" s="263">
        <v>19</v>
      </c>
      <c r="Y23" s="263">
        <v>11</v>
      </c>
      <c r="Z23" s="263">
        <v>0</v>
      </c>
      <c r="AA23" s="263">
        <v>7</v>
      </c>
      <c r="AC23" s="621">
        <f t="shared" si="6"/>
        <v>13</v>
      </c>
      <c r="AD23" s="621">
        <f t="shared" si="7"/>
        <v>35</v>
      </c>
      <c r="AE23" s="621">
        <f t="shared" si="8"/>
        <v>11</v>
      </c>
    </row>
    <row r="24" spans="1:31" x14ac:dyDescent="0.3">
      <c r="A24" s="584" t="s">
        <v>50</v>
      </c>
      <c r="B24" s="186" t="s">
        <v>51</v>
      </c>
      <c r="C24" s="594" t="s">
        <v>253</v>
      </c>
      <c r="D24" s="520">
        <v>145</v>
      </c>
      <c r="E24" s="521">
        <v>62</v>
      </c>
      <c r="F24" s="521">
        <v>83</v>
      </c>
      <c r="G24" s="521">
        <v>0</v>
      </c>
      <c r="H24" s="521"/>
      <c r="I24" s="521">
        <v>105</v>
      </c>
      <c r="J24" s="521">
        <v>47</v>
      </c>
      <c r="K24" s="521">
        <v>0</v>
      </c>
      <c r="L24" s="521">
        <v>0</v>
      </c>
      <c r="M24" s="521">
        <v>0</v>
      </c>
      <c r="N24" s="521">
        <v>4</v>
      </c>
      <c r="O24" s="521">
        <v>6</v>
      </c>
      <c r="P24" s="263"/>
      <c r="Q24" s="588">
        <f t="shared" si="3"/>
        <v>105</v>
      </c>
      <c r="R24" s="589">
        <f t="shared" si="4"/>
        <v>47</v>
      </c>
      <c r="S24" s="589">
        <f t="shared" si="5"/>
        <v>0</v>
      </c>
      <c r="U24" s="263">
        <v>12</v>
      </c>
      <c r="V24" s="263">
        <v>32</v>
      </c>
      <c r="W24" s="263">
        <v>36</v>
      </c>
      <c r="X24" s="263">
        <v>22</v>
      </c>
      <c r="Y24" s="263">
        <v>24</v>
      </c>
      <c r="Z24" s="263">
        <v>14</v>
      </c>
      <c r="AA24" s="263">
        <v>5</v>
      </c>
      <c r="AC24" s="621">
        <f t="shared" si="6"/>
        <v>44</v>
      </c>
      <c r="AD24" s="621">
        <f t="shared" si="7"/>
        <v>58</v>
      </c>
      <c r="AE24" s="621">
        <f t="shared" si="8"/>
        <v>38</v>
      </c>
    </row>
    <row r="25" spans="1:31" x14ac:dyDescent="0.3">
      <c r="A25" s="584" t="s">
        <v>56</v>
      </c>
      <c r="B25" s="186" t="s">
        <v>283</v>
      </c>
      <c r="C25" s="594" t="s">
        <v>254</v>
      </c>
      <c r="D25" s="520">
        <v>2961</v>
      </c>
      <c r="E25" s="521">
        <v>1413</v>
      </c>
      <c r="F25" s="521">
        <v>1501</v>
      </c>
      <c r="G25" s="521">
        <v>47</v>
      </c>
      <c r="H25" s="521"/>
      <c r="I25" s="521">
        <v>1760</v>
      </c>
      <c r="J25" s="521">
        <v>1055</v>
      </c>
      <c r="K25" s="521">
        <v>44</v>
      </c>
      <c r="L25" s="521">
        <v>16</v>
      </c>
      <c r="M25" s="521">
        <v>4</v>
      </c>
      <c r="N25" s="521">
        <v>289</v>
      </c>
      <c r="O25" s="521">
        <v>324</v>
      </c>
      <c r="P25" s="263"/>
      <c r="Q25" s="588">
        <f t="shared" si="3"/>
        <v>1760</v>
      </c>
      <c r="R25" s="589">
        <f t="shared" si="4"/>
        <v>1055</v>
      </c>
      <c r="S25" s="589">
        <f t="shared" si="5"/>
        <v>64</v>
      </c>
      <c r="U25" s="263">
        <v>193</v>
      </c>
      <c r="V25" s="263">
        <v>286</v>
      </c>
      <c r="W25" s="263">
        <v>475</v>
      </c>
      <c r="X25" s="263">
        <v>588</v>
      </c>
      <c r="Y25" s="263">
        <v>617</v>
      </c>
      <c r="Z25" s="263">
        <v>263</v>
      </c>
      <c r="AA25" s="263">
        <v>539</v>
      </c>
      <c r="AC25" s="621">
        <f t="shared" si="6"/>
        <v>479</v>
      </c>
      <c r="AD25" s="621">
        <f t="shared" si="7"/>
        <v>1063</v>
      </c>
      <c r="AE25" s="621">
        <f t="shared" si="8"/>
        <v>880</v>
      </c>
    </row>
    <row r="26" spans="1:31" x14ac:dyDescent="0.3">
      <c r="A26" s="584" t="s">
        <v>58</v>
      </c>
      <c r="B26" s="186" t="s">
        <v>59</v>
      </c>
      <c r="C26" s="594" t="s">
        <v>255</v>
      </c>
      <c r="D26" s="520">
        <v>266</v>
      </c>
      <c r="E26" s="521">
        <v>136</v>
      </c>
      <c r="F26" s="521">
        <v>127</v>
      </c>
      <c r="G26" s="521">
        <v>3</v>
      </c>
      <c r="H26" s="521"/>
      <c r="I26" s="521">
        <v>216</v>
      </c>
      <c r="J26" s="521">
        <v>31</v>
      </c>
      <c r="K26" s="521">
        <v>1</v>
      </c>
      <c r="L26" s="521">
        <v>1</v>
      </c>
      <c r="M26" s="521">
        <v>2</v>
      </c>
      <c r="N26" s="521">
        <v>45</v>
      </c>
      <c r="O26" s="521">
        <v>37</v>
      </c>
      <c r="P26" s="263"/>
      <c r="Q26" s="588">
        <f t="shared" si="3"/>
        <v>216</v>
      </c>
      <c r="R26" s="589">
        <f t="shared" si="4"/>
        <v>31</v>
      </c>
      <c r="S26" s="589">
        <f t="shared" si="5"/>
        <v>4</v>
      </c>
      <c r="U26" s="263">
        <v>13</v>
      </c>
      <c r="V26" s="263">
        <v>27</v>
      </c>
      <c r="W26" s="263">
        <v>42</v>
      </c>
      <c r="X26" s="263">
        <v>68</v>
      </c>
      <c r="Y26" s="263">
        <v>59</v>
      </c>
      <c r="Z26" s="263">
        <v>28</v>
      </c>
      <c r="AA26" s="263">
        <v>29</v>
      </c>
      <c r="AC26" s="621">
        <f t="shared" si="6"/>
        <v>40</v>
      </c>
      <c r="AD26" s="621">
        <f t="shared" si="7"/>
        <v>110</v>
      </c>
      <c r="AE26" s="621">
        <f t="shared" si="8"/>
        <v>87</v>
      </c>
    </row>
    <row r="27" spans="1:31" x14ac:dyDescent="0.3">
      <c r="A27" s="584" t="s">
        <v>60</v>
      </c>
      <c r="B27" s="186" t="s">
        <v>61</v>
      </c>
      <c r="C27" s="594" t="s">
        <v>253</v>
      </c>
      <c r="D27" s="520">
        <v>113</v>
      </c>
      <c r="E27" s="521">
        <v>51</v>
      </c>
      <c r="F27" s="521">
        <v>62</v>
      </c>
      <c r="G27" s="521">
        <v>0</v>
      </c>
      <c r="H27" s="521"/>
      <c r="I27" s="521">
        <v>105</v>
      </c>
      <c r="J27" s="521">
        <v>10</v>
      </c>
      <c r="K27" s="521">
        <v>1</v>
      </c>
      <c r="L27" s="521">
        <v>0</v>
      </c>
      <c r="M27" s="521">
        <v>0</v>
      </c>
      <c r="N27" s="521">
        <v>0</v>
      </c>
      <c r="O27" s="521">
        <v>0</v>
      </c>
      <c r="P27" s="263"/>
      <c r="Q27" s="588">
        <f t="shared" si="3"/>
        <v>105</v>
      </c>
      <c r="R27" s="589">
        <f t="shared" si="4"/>
        <v>10</v>
      </c>
      <c r="S27" s="589">
        <f t="shared" si="5"/>
        <v>1</v>
      </c>
      <c r="U27" s="263">
        <v>8</v>
      </c>
      <c r="V27" s="263">
        <v>13</v>
      </c>
      <c r="W27" s="263">
        <v>33</v>
      </c>
      <c r="X27" s="263">
        <v>29</v>
      </c>
      <c r="Y27" s="263">
        <v>13</v>
      </c>
      <c r="Z27" s="263">
        <v>6</v>
      </c>
      <c r="AA27" s="263">
        <v>11</v>
      </c>
      <c r="AC27" s="621">
        <f t="shared" si="6"/>
        <v>21</v>
      </c>
      <c r="AD27" s="621">
        <f t="shared" si="7"/>
        <v>62</v>
      </c>
      <c r="AE27" s="621">
        <f t="shared" si="8"/>
        <v>19</v>
      </c>
    </row>
    <row r="28" spans="1:31" x14ac:dyDescent="0.3">
      <c r="A28" s="584" t="s">
        <v>62</v>
      </c>
      <c r="B28" s="186" t="s">
        <v>63</v>
      </c>
      <c r="C28" s="594" t="s">
        <v>255</v>
      </c>
      <c r="D28" s="520">
        <v>831</v>
      </c>
      <c r="E28" s="521">
        <v>423</v>
      </c>
      <c r="F28" s="521">
        <v>398</v>
      </c>
      <c r="G28" s="521">
        <v>10</v>
      </c>
      <c r="H28" s="521"/>
      <c r="I28" s="521">
        <v>537</v>
      </c>
      <c r="J28" s="521">
        <v>234</v>
      </c>
      <c r="K28" s="521">
        <v>8</v>
      </c>
      <c r="L28" s="521">
        <v>0</v>
      </c>
      <c r="M28" s="521">
        <v>0</v>
      </c>
      <c r="N28" s="521">
        <v>120</v>
      </c>
      <c r="O28" s="521">
        <v>117</v>
      </c>
      <c r="P28" s="263"/>
      <c r="Q28" s="588">
        <f t="shared" si="3"/>
        <v>537</v>
      </c>
      <c r="R28" s="589">
        <f t="shared" si="4"/>
        <v>234</v>
      </c>
      <c r="S28" s="589">
        <f t="shared" si="5"/>
        <v>8</v>
      </c>
      <c r="U28" s="263">
        <v>56</v>
      </c>
      <c r="V28" s="263">
        <v>119</v>
      </c>
      <c r="W28" s="263">
        <v>198</v>
      </c>
      <c r="X28" s="263">
        <v>158</v>
      </c>
      <c r="Y28" s="263">
        <v>159</v>
      </c>
      <c r="Z28" s="263">
        <v>73</v>
      </c>
      <c r="AA28" s="263">
        <v>68</v>
      </c>
      <c r="AC28" s="621">
        <f t="shared" si="6"/>
        <v>175</v>
      </c>
      <c r="AD28" s="621">
        <f t="shared" si="7"/>
        <v>356</v>
      </c>
      <c r="AE28" s="621">
        <f t="shared" si="8"/>
        <v>232</v>
      </c>
    </row>
    <row r="29" spans="1:31" x14ac:dyDescent="0.3">
      <c r="A29" s="584" t="s">
        <v>64</v>
      </c>
      <c r="B29" s="186" t="s">
        <v>65</v>
      </c>
      <c r="C29" s="594" t="s">
        <v>254</v>
      </c>
      <c r="D29" s="520">
        <v>128</v>
      </c>
      <c r="E29" s="521">
        <v>66</v>
      </c>
      <c r="F29" s="521">
        <v>62</v>
      </c>
      <c r="G29" s="521">
        <v>0</v>
      </c>
      <c r="H29" s="521"/>
      <c r="I29" s="521">
        <v>64</v>
      </c>
      <c r="J29" s="521">
        <v>49</v>
      </c>
      <c r="K29" s="521">
        <v>0</v>
      </c>
      <c r="L29" s="521">
        <v>0</v>
      </c>
      <c r="M29" s="521">
        <v>2</v>
      </c>
      <c r="N29" s="521">
        <v>18</v>
      </c>
      <c r="O29" s="521">
        <v>3</v>
      </c>
      <c r="P29" s="263"/>
      <c r="Q29" s="588">
        <f t="shared" si="3"/>
        <v>64</v>
      </c>
      <c r="R29" s="589">
        <f t="shared" si="4"/>
        <v>49</v>
      </c>
      <c r="S29" s="589">
        <f t="shared" si="5"/>
        <v>2</v>
      </c>
      <c r="U29" s="263">
        <v>7</v>
      </c>
      <c r="V29" s="263">
        <v>21</v>
      </c>
      <c r="W29" s="263">
        <v>29</v>
      </c>
      <c r="X29" s="263">
        <v>26</v>
      </c>
      <c r="Y29" s="263">
        <v>25</v>
      </c>
      <c r="Z29" s="263">
        <v>12</v>
      </c>
      <c r="AA29" s="263">
        <v>8</v>
      </c>
      <c r="AC29" s="621">
        <f t="shared" si="6"/>
        <v>28</v>
      </c>
      <c r="AD29" s="621">
        <f t="shared" si="7"/>
        <v>55</v>
      </c>
      <c r="AE29" s="621">
        <f t="shared" si="8"/>
        <v>37</v>
      </c>
    </row>
    <row r="30" spans="1:31" x14ac:dyDescent="0.3">
      <c r="A30" s="584" t="s">
        <v>68</v>
      </c>
      <c r="B30" s="186" t="s">
        <v>69</v>
      </c>
      <c r="C30" s="594" t="s">
        <v>256</v>
      </c>
      <c r="D30" s="520">
        <v>321</v>
      </c>
      <c r="E30" s="521">
        <v>172</v>
      </c>
      <c r="F30" s="521">
        <v>144</v>
      </c>
      <c r="G30" s="521">
        <v>5</v>
      </c>
      <c r="H30" s="521"/>
      <c r="I30" s="521">
        <v>313</v>
      </c>
      <c r="J30" s="521">
        <v>5</v>
      </c>
      <c r="K30" s="521">
        <v>0</v>
      </c>
      <c r="L30" s="521">
        <v>0</v>
      </c>
      <c r="M30" s="521">
        <v>0</v>
      </c>
      <c r="N30" s="521">
        <v>7</v>
      </c>
      <c r="O30" s="521">
        <v>1</v>
      </c>
      <c r="P30" s="263"/>
      <c r="Q30" s="588">
        <f t="shared" si="3"/>
        <v>313</v>
      </c>
      <c r="R30" s="589">
        <f t="shared" si="4"/>
        <v>5</v>
      </c>
      <c r="S30" s="589">
        <f t="shared" si="5"/>
        <v>0</v>
      </c>
      <c r="U30" s="263">
        <v>34</v>
      </c>
      <c r="V30" s="263">
        <v>57</v>
      </c>
      <c r="W30" s="263">
        <v>90</v>
      </c>
      <c r="X30" s="263">
        <v>51</v>
      </c>
      <c r="Y30" s="263">
        <v>60</v>
      </c>
      <c r="Z30" s="263">
        <v>16</v>
      </c>
      <c r="AA30" s="263">
        <v>13</v>
      </c>
      <c r="AC30" s="621">
        <f t="shared" si="6"/>
        <v>91</v>
      </c>
      <c r="AD30" s="621">
        <f t="shared" si="7"/>
        <v>141</v>
      </c>
      <c r="AE30" s="621">
        <f t="shared" si="8"/>
        <v>76</v>
      </c>
    </row>
    <row r="31" spans="1:31" x14ac:dyDescent="0.3">
      <c r="A31" s="584" t="s">
        <v>70</v>
      </c>
      <c r="B31" s="186" t="s">
        <v>71</v>
      </c>
      <c r="C31" s="594" t="s">
        <v>252</v>
      </c>
      <c r="D31" s="520">
        <v>342</v>
      </c>
      <c r="E31" s="521">
        <v>173</v>
      </c>
      <c r="F31" s="521">
        <v>166</v>
      </c>
      <c r="G31" s="521">
        <v>3</v>
      </c>
      <c r="H31" s="521"/>
      <c r="I31" s="521">
        <v>251</v>
      </c>
      <c r="J31" s="521">
        <v>75</v>
      </c>
      <c r="K31" s="521">
        <v>1</v>
      </c>
      <c r="L31" s="521">
        <v>5</v>
      </c>
      <c r="M31" s="521">
        <v>0</v>
      </c>
      <c r="N31" s="521">
        <v>35</v>
      </c>
      <c r="O31" s="521">
        <v>13</v>
      </c>
      <c r="P31" s="263"/>
      <c r="Q31" s="588">
        <f t="shared" si="3"/>
        <v>251</v>
      </c>
      <c r="R31" s="589">
        <f t="shared" si="4"/>
        <v>75</v>
      </c>
      <c r="S31" s="589">
        <f t="shared" si="5"/>
        <v>6</v>
      </c>
      <c r="U31" s="263">
        <v>16</v>
      </c>
      <c r="V31" s="263">
        <v>43</v>
      </c>
      <c r="W31" s="263">
        <v>75</v>
      </c>
      <c r="X31" s="263">
        <v>68</v>
      </c>
      <c r="Y31" s="263">
        <v>54</v>
      </c>
      <c r="Z31" s="263">
        <v>25</v>
      </c>
      <c r="AA31" s="263">
        <v>61</v>
      </c>
      <c r="AC31" s="621">
        <f t="shared" si="6"/>
        <v>59</v>
      </c>
      <c r="AD31" s="621">
        <f t="shared" si="7"/>
        <v>143</v>
      </c>
      <c r="AE31" s="621">
        <f t="shared" si="8"/>
        <v>79</v>
      </c>
    </row>
    <row r="32" spans="1:31" x14ac:dyDescent="0.3">
      <c r="A32" s="584" t="s">
        <v>72</v>
      </c>
      <c r="B32" s="186" t="s">
        <v>73</v>
      </c>
      <c r="C32" s="594" t="s">
        <v>254</v>
      </c>
      <c r="D32" s="520">
        <v>174</v>
      </c>
      <c r="E32" s="521">
        <v>80</v>
      </c>
      <c r="F32" s="521">
        <v>89</v>
      </c>
      <c r="G32" s="521">
        <v>5</v>
      </c>
      <c r="H32" s="521"/>
      <c r="I32" s="521">
        <v>75</v>
      </c>
      <c r="J32" s="521">
        <v>70</v>
      </c>
      <c r="K32" s="521">
        <v>0</v>
      </c>
      <c r="L32" s="521">
        <v>0</v>
      </c>
      <c r="M32" s="521">
        <v>0</v>
      </c>
      <c r="N32" s="521">
        <v>38</v>
      </c>
      <c r="O32" s="521">
        <v>4</v>
      </c>
      <c r="P32" s="263"/>
      <c r="Q32" s="588">
        <f t="shared" si="3"/>
        <v>75</v>
      </c>
      <c r="R32" s="589">
        <f t="shared" si="4"/>
        <v>70</v>
      </c>
      <c r="S32" s="589">
        <f t="shared" si="5"/>
        <v>0</v>
      </c>
      <c r="U32" s="263">
        <v>14</v>
      </c>
      <c r="V32" s="263">
        <v>24</v>
      </c>
      <c r="W32" s="263">
        <v>34</v>
      </c>
      <c r="X32" s="263">
        <v>43</v>
      </c>
      <c r="Y32" s="263">
        <v>24</v>
      </c>
      <c r="Z32" s="263">
        <v>6</v>
      </c>
      <c r="AA32" s="263">
        <v>29</v>
      </c>
      <c r="AC32" s="621">
        <f t="shared" si="6"/>
        <v>38</v>
      </c>
      <c r="AD32" s="621">
        <f t="shared" si="7"/>
        <v>77</v>
      </c>
      <c r="AE32" s="621">
        <f t="shared" si="8"/>
        <v>30</v>
      </c>
    </row>
    <row r="33" spans="1:31" x14ac:dyDescent="0.3">
      <c r="A33" s="584" t="s">
        <v>74</v>
      </c>
      <c r="B33" s="186" t="s">
        <v>284</v>
      </c>
      <c r="C33" s="594" t="s">
        <v>255</v>
      </c>
      <c r="D33" s="520">
        <v>7346</v>
      </c>
      <c r="E33" s="521">
        <v>3543</v>
      </c>
      <c r="F33" s="521">
        <v>3715</v>
      </c>
      <c r="G33" s="521">
        <v>88</v>
      </c>
      <c r="H33" s="521"/>
      <c r="I33" s="521">
        <v>4495</v>
      </c>
      <c r="J33" s="521">
        <v>1842</v>
      </c>
      <c r="K33" s="521">
        <v>671</v>
      </c>
      <c r="L33" s="521">
        <v>35</v>
      </c>
      <c r="M33" s="521">
        <v>33</v>
      </c>
      <c r="N33" s="521">
        <v>709</v>
      </c>
      <c r="O33" s="521">
        <v>2666</v>
      </c>
      <c r="P33" s="263"/>
      <c r="Q33" s="588">
        <f t="shared" si="3"/>
        <v>4495</v>
      </c>
      <c r="R33" s="589">
        <f t="shared" si="4"/>
        <v>1842</v>
      </c>
      <c r="S33" s="589">
        <f t="shared" si="5"/>
        <v>739</v>
      </c>
      <c r="U33" s="263">
        <v>320</v>
      </c>
      <c r="V33" s="263">
        <v>807</v>
      </c>
      <c r="W33" s="263">
        <v>1614</v>
      </c>
      <c r="X33" s="263">
        <v>1696</v>
      </c>
      <c r="Y33" s="263">
        <v>1634</v>
      </c>
      <c r="Z33" s="263">
        <v>637</v>
      </c>
      <c r="AA33" s="263">
        <v>638</v>
      </c>
      <c r="AC33" s="621">
        <f t="shared" si="6"/>
        <v>1127</v>
      </c>
      <c r="AD33" s="621">
        <f t="shared" si="7"/>
        <v>3310</v>
      </c>
      <c r="AE33" s="621">
        <f t="shared" si="8"/>
        <v>2271</v>
      </c>
    </row>
    <row r="34" spans="1:31" x14ac:dyDescent="0.3">
      <c r="A34" s="584" t="s">
        <v>76</v>
      </c>
      <c r="B34" s="186" t="s">
        <v>77</v>
      </c>
      <c r="C34" s="594" t="s">
        <v>255</v>
      </c>
      <c r="D34" s="520">
        <v>678</v>
      </c>
      <c r="E34" s="521">
        <v>355</v>
      </c>
      <c r="F34" s="521">
        <v>319</v>
      </c>
      <c r="G34" s="521">
        <v>4</v>
      </c>
      <c r="H34" s="521"/>
      <c r="I34" s="521">
        <v>548</v>
      </c>
      <c r="J34" s="521">
        <v>136</v>
      </c>
      <c r="K34" s="521">
        <v>9</v>
      </c>
      <c r="L34" s="521">
        <v>5</v>
      </c>
      <c r="M34" s="521">
        <v>3</v>
      </c>
      <c r="N34" s="521">
        <v>37</v>
      </c>
      <c r="O34" s="521">
        <v>58</v>
      </c>
      <c r="P34" s="263"/>
      <c r="Q34" s="588">
        <f t="shared" si="3"/>
        <v>548</v>
      </c>
      <c r="R34" s="589">
        <f t="shared" si="4"/>
        <v>136</v>
      </c>
      <c r="S34" s="589">
        <f t="shared" si="5"/>
        <v>17</v>
      </c>
      <c r="U34" s="263">
        <v>54</v>
      </c>
      <c r="V34" s="263">
        <v>85</v>
      </c>
      <c r="W34" s="263">
        <v>144</v>
      </c>
      <c r="X34" s="263">
        <v>131</v>
      </c>
      <c r="Y34" s="263">
        <v>112</v>
      </c>
      <c r="Z34" s="263">
        <v>61</v>
      </c>
      <c r="AA34" s="263">
        <v>91</v>
      </c>
      <c r="AC34" s="621">
        <f t="shared" si="6"/>
        <v>139</v>
      </c>
      <c r="AD34" s="621">
        <f t="shared" si="7"/>
        <v>275</v>
      </c>
      <c r="AE34" s="621">
        <f t="shared" si="8"/>
        <v>173</v>
      </c>
    </row>
    <row r="35" spans="1:31" x14ac:dyDescent="0.3">
      <c r="A35" s="584" t="s">
        <v>78</v>
      </c>
      <c r="B35" s="186" t="s">
        <v>79</v>
      </c>
      <c r="C35" s="594" t="s">
        <v>256</v>
      </c>
      <c r="D35" s="520">
        <v>279</v>
      </c>
      <c r="E35" s="521">
        <v>154</v>
      </c>
      <c r="F35" s="521">
        <v>124</v>
      </c>
      <c r="G35" s="521">
        <v>1</v>
      </c>
      <c r="H35" s="521"/>
      <c r="I35" s="521">
        <v>259</v>
      </c>
      <c r="J35" s="521">
        <v>11</v>
      </c>
      <c r="K35" s="521">
        <v>1</v>
      </c>
      <c r="L35" s="521">
        <v>1</v>
      </c>
      <c r="M35" s="521">
        <v>0</v>
      </c>
      <c r="N35" s="521">
        <v>8</v>
      </c>
      <c r="O35" s="521">
        <v>5</v>
      </c>
      <c r="P35" s="263"/>
      <c r="Q35" s="588">
        <f t="shared" si="3"/>
        <v>259</v>
      </c>
      <c r="R35" s="589">
        <f t="shared" si="4"/>
        <v>11</v>
      </c>
      <c r="S35" s="589">
        <f t="shared" si="5"/>
        <v>2</v>
      </c>
      <c r="U35" s="263">
        <v>15</v>
      </c>
      <c r="V35" s="263">
        <v>38</v>
      </c>
      <c r="W35" s="263">
        <v>58</v>
      </c>
      <c r="X35" s="263">
        <v>71</v>
      </c>
      <c r="Y35" s="263">
        <v>55</v>
      </c>
      <c r="Z35" s="263">
        <v>15</v>
      </c>
      <c r="AA35" s="263">
        <v>27</v>
      </c>
      <c r="AC35" s="621">
        <f t="shared" si="6"/>
        <v>53</v>
      </c>
      <c r="AD35" s="621">
        <f t="shared" si="7"/>
        <v>129</v>
      </c>
      <c r="AE35" s="621">
        <f t="shared" si="8"/>
        <v>70</v>
      </c>
    </row>
    <row r="36" spans="1:31" x14ac:dyDescent="0.3">
      <c r="A36" s="584" t="s">
        <v>80</v>
      </c>
      <c r="B36" s="186" t="s">
        <v>81</v>
      </c>
      <c r="C36" s="594" t="s">
        <v>254</v>
      </c>
      <c r="D36" s="520">
        <v>401</v>
      </c>
      <c r="E36" s="521">
        <v>175</v>
      </c>
      <c r="F36" s="521">
        <v>219</v>
      </c>
      <c r="G36" s="521">
        <v>7</v>
      </c>
      <c r="H36" s="521"/>
      <c r="I36" s="521">
        <v>320</v>
      </c>
      <c r="J36" s="521">
        <v>57</v>
      </c>
      <c r="K36" s="521">
        <v>0</v>
      </c>
      <c r="L36" s="521">
        <v>0</v>
      </c>
      <c r="M36" s="521">
        <v>0</v>
      </c>
      <c r="N36" s="521">
        <v>34</v>
      </c>
      <c r="O36" s="521">
        <v>8</v>
      </c>
      <c r="P36" s="263"/>
      <c r="Q36" s="588">
        <f t="shared" si="3"/>
        <v>320</v>
      </c>
      <c r="R36" s="589">
        <f t="shared" si="4"/>
        <v>57</v>
      </c>
      <c r="S36" s="589">
        <f t="shared" si="5"/>
        <v>0</v>
      </c>
      <c r="U36" s="263">
        <v>22</v>
      </c>
      <c r="V36" s="263">
        <v>55</v>
      </c>
      <c r="W36" s="263">
        <v>70</v>
      </c>
      <c r="X36" s="263">
        <v>113</v>
      </c>
      <c r="Y36" s="263">
        <v>58</v>
      </c>
      <c r="Z36" s="263">
        <v>31</v>
      </c>
      <c r="AA36" s="263">
        <v>52</v>
      </c>
      <c r="AC36" s="621">
        <f t="shared" si="6"/>
        <v>77</v>
      </c>
      <c r="AD36" s="621">
        <f t="shared" si="7"/>
        <v>183</v>
      </c>
      <c r="AE36" s="621">
        <f t="shared" si="8"/>
        <v>89</v>
      </c>
    </row>
    <row r="37" spans="1:31" x14ac:dyDescent="0.3">
      <c r="A37" s="584" t="s">
        <v>84</v>
      </c>
      <c r="B37" s="186" t="s">
        <v>85</v>
      </c>
      <c r="C37" s="594" t="s">
        <v>253</v>
      </c>
      <c r="D37" s="520">
        <v>1588</v>
      </c>
      <c r="E37" s="521">
        <v>759</v>
      </c>
      <c r="F37" s="521">
        <v>784</v>
      </c>
      <c r="G37" s="521">
        <v>45</v>
      </c>
      <c r="H37" s="521"/>
      <c r="I37" s="521">
        <v>1337</v>
      </c>
      <c r="J37" s="521">
        <v>184</v>
      </c>
      <c r="K37" s="521">
        <v>0</v>
      </c>
      <c r="L37" s="521">
        <v>5</v>
      </c>
      <c r="M37" s="521">
        <v>0</v>
      </c>
      <c r="N37" s="521">
        <v>139</v>
      </c>
      <c r="O37" s="521">
        <v>73</v>
      </c>
      <c r="P37" s="263"/>
      <c r="Q37" s="588">
        <f t="shared" ref="Q37:Q68" si="9">I37</f>
        <v>1337</v>
      </c>
      <c r="R37" s="589">
        <f t="shared" ref="R37:R68" si="10">J37</f>
        <v>184</v>
      </c>
      <c r="S37" s="589">
        <f t="shared" ref="S37:S68" si="11">SUM(K37:M37)</f>
        <v>5</v>
      </c>
      <c r="U37" s="263">
        <v>101</v>
      </c>
      <c r="V37" s="263">
        <v>201</v>
      </c>
      <c r="W37" s="263">
        <v>365</v>
      </c>
      <c r="X37" s="263">
        <v>380</v>
      </c>
      <c r="Y37" s="263">
        <v>259</v>
      </c>
      <c r="Z37" s="263">
        <v>86</v>
      </c>
      <c r="AA37" s="263">
        <v>196</v>
      </c>
      <c r="AC37" s="621">
        <f t="shared" ref="AC37:AC68" si="12">U37+V37</f>
        <v>302</v>
      </c>
      <c r="AD37" s="621">
        <f t="shared" ref="AD37:AD68" si="13">W37+X37</f>
        <v>745</v>
      </c>
      <c r="AE37" s="621">
        <f t="shared" ref="AE37:AE68" si="14">Y37+Z37</f>
        <v>345</v>
      </c>
    </row>
    <row r="38" spans="1:31" x14ac:dyDescent="0.3">
      <c r="A38" s="584" t="s">
        <v>86</v>
      </c>
      <c r="B38" s="186" t="s">
        <v>87</v>
      </c>
      <c r="C38" s="594" t="s">
        <v>255</v>
      </c>
      <c r="D38" s="520">
        <v>1802</v>
      </c>
      <c r="E38" s="521">
        <v>933</v>
      </c>
      <c r="F38" s="521">
        <v>832</v>
      </c>
      <c r="G38" s="521">
        <v>37</v>
      </c>
      <c r="H38" s="521"/>
      <c r="I38" s="521">
        <v>1024</v>
      </c>
      <c r="J38" s="521">
        <v>163</v>
      </c>
      <c r="K38" s="521">
        <v>8</v>
      </c>
      <c r="L38" s="521">
        <v>5</v>
      </c>
      <c r="M38" s="521">
        <v>3</v>
      </c>
      <c r="N38" s="521">
        <v>561</v>
      </c>
      <c r="O38" s="521">
        <v>211</v>
      </c>
      <c r="P38" s="263"/>
      <c r="Q38" s="588">
        <f t="shared" si="9"/>
        <v>1024</v>
      </c>
      <c r="R38" s="589">
        <f t="shared" si="10"/>
        <v>163</v>
      </c>
      <c r="S38" s="589">
        <f t="shared" si="11"/>
        <v>16</v>
      </c>
      <c r="U38" s="263">
        <v>157</v>
      </c>
      <c r="V38" s="263">
        <v>267</v>
      </c>
      <c r="W38" s="263">
        <v>357</v>
      </c>
      <c r="X38" s="263">
        <v>403</v>
      </c>
      <c r="Y38" s="263">
        <v>311</v>
      </c>
      <c r="Z38" s="263">
        <v>135</v>
      </c>
      <c r="AA38" s="263">
        <v>172</v>
      </c>
      <c r="AC38" s="621">
        <f t="shared" si="12"/>
        <v>424</v>
      </c>
      <c r="AD38" s="621">
        <f t="shared" si="13"/>
        <v>760</v>
      </c>
      <c r="AE38" s="621">
        <f t="shared" si="14"/>
        <v>446</v>
      </c>
    </row>
    <row r="39" spans="1:31" x14ac:dyDescent="0.3">
      <c r="A39" s="584" t="s">
        <v>92</v>
      </c>
      <c r="B39" s="186" t="s">
        <v>93</v>
      </c>
      <c r="C39" s="594" t="s">
        <v>256</v>
      </c>
      <c r="D39" s="520">
        <v>424</v>
      </c>
      <c r="E39" s="521">
        <v>212</v>
      </c>
      <c r="F39" s="521">
        <v>210</v>
      </c>
      <c r="G39" s="521">
        <v>2</v>
      </c>
      <c r="H39" s="521"/>
      <c r="I39" s="521">
        <v>405</v>
      </c>
      <c r="J39" s="521">
        <v>16</v>
      </c>
      <c r="K39" s="521">
        <v>0</v>
      </c>
      <c r="L39" s="521">
        <v>1</v>
      </c>
      <c r="M39" s="521">
        <v>0</v>
      </c>
      <c r="N39" s="521">
        <v>11</v>
      </c>
      <c r="O39" s="521">
        <v>4</v>
      </c>
      <c r="P39" s="263"/>
      <c r="Q39" s="588">
        <f t="shared" si="9"/>
        <v>405</v>
      </c>
      <c r="R39" s="589">
        <f t="shared" si="10"/>
        <v>16</v>
      </c>
      <c r="S39" s="589">
        <f t="shared" si="11"/>
        <v>1</v>
      </c>
      <c r="U39" s="263">
        <v>35</v>
      </c>
      <c r="V39" s="263">
        <v>67</v>
      </c>
      <c r="W39" s="263">
        <v>106</v>
      </c>
      <c r="X39" s="263">
        <v>92</v>
      </c>
      <c r="Y39" s="263">
        <v>80</v>
      </c>
      <c r="Z39" s="263">
        <v>22</v>
      </c>
      <c r="AA39" s="263">
        <v>22</v>
      </c>
      <c r="AC39" s="621">
        <f t="shared" si="12"/>
        <v>102</v>
      </c>
      <c r="AD39" s="621">
        <f t="shared" si="13"/>
        <v>198</v>
      </c>
      <c r="AE39" s="621">
        <f t="shared" si="14"/>
        <v>102</v>
      </c>
    </row>
    <row r="40" spans="1:31" x14ac:dyDescent="0.3">
      <c r="A40" s="584" t="s">
        <v>94</v>
      </c>
      <c r="B40" s="186" t="s">
        <v>95</v>
      </c>
      <c r="C40" s="594" t="s">
        <v>252</v>
      </c>
      <c r="D40" s="520">
        <v>713</v>
      </c>
      <c r="E40" s="521">
        <v>366</v>
      </c>
      <c r="F40" s="521">
        <v>337</v>
      </c>
      <c r="G40" s="521">
        <v>10</v>
      </c>
      <c r="H40" s="521"/>
      <c r="I40" s="521">
        <v>606</v>
      </c>
      <c r="J40" s="521">
        <v>107</v>
      </c>
      <c r="K40" s="521">
        <v>1</v>
      </c>
      <c r="L40" s="521">
        <v>3</v>
      </c>
      <c r="M40" s="521">
        <v>0</v>
      </c>
      <c r="N40" s="521">
        <v>60</v>
      </c>
      <c r="O40" s="521">
        <v>25</v>
      </c>
      <c r="P40" s="263"/>
      <c r="Q40" s="588">
        <f t="shared" si="9"/>
        <v>606</v>
      </c>
      <c r="R40" s="589">
        <f t="shared" si="10"/>
        <v>107</v>
      </c>
      <c r="S40" s="589">
        <f t="shared" si="11"/>
        <v>4</v>
      </c>
      <c r="U40" s="263">
        <v>47</v>
      </c>
      <c r="V40" s="263">
        <v>99</v>
      </c>
      <c r="W40" s="263">
        <v>160</v>
      </c>
      <c r="X40" s="263">
        <v>169</v>
      </c>
      <c r="Y40" s="263">
        <v>119</v>
      </c>
      <c r="Z40" s="263">
        <v>38</v>
      </c>
      <c r="AA40" s="263">
        <v>81</v>
      </c>
      <c r="AC40" s="621">
        <f t="shared" si="12"/>
        <v>146</v>
      </c>
      <c r="AD40" s="621">
        <f t="shared" si="13"/>
        <v>329</v>
      </c>
      <c r="AE40" s="621">
        <f t="shared" si="14"/>
        <v>157</v>
      </c>
    </row>
    <row r="41" spans="1:31" x14ac:dyDescent="0.3">
      <c r="A41" s="584" t="s">
        <v>96</v>
      </c>
      <c r="B41" s="186" t="s">
        <v>97</v>
      </c>
      <c r="C41" s="594" t="s">
        <v>254</v>
      </c>
      <c r="D41" s="520">
        <v>183</v>
      </c>
      <c r="E41" s="521">
        <v>78</v>
      </c>
      <c r="F41" s="521">
        <v>104</v>
      </c>
      <c r="G41" s="521">
        <v>1</v>
      </c>
      <c r="H41" s="521"/>
      <c r="I41" s="521">
        <v>126</v>
      </c>
      <c r="J41" s="521">
        <v>43</v>
      </c>
      <c r="K41" s="521">
        <v>1</v>
      </c>
      <c r="L41" s="521">
        <v>0</v>
      </c>
      <c r="M41" s="521">
        <v>0</v>
      </c>
      <c r="N41" s="521">
        <v>23</v>
      </c>
      <c r="O41" s="521">
        <v>4</v>
      </c>
      <c r="P41" s="263"/>
      <c r="Q41" s="588">
        <f t="shared" si="9"/>
        <v>126</v>
      </c>
      <c r="R41" s="589">
        <f t="shared" si="10"/>
        <v>43</v>
      </c>
      <c r="S41" s="589">
        <f t="shared" si="11"/>
        <v>1</v>
      </c>
      <c r="U41" s="263">
        <v>5</v>
      </c>
      <c r="V41" s="263">
        <v>14</v>
      </c>
      <c r="W41" s="263">
        <v>32</v>
      </c>
      <c r="X41" s="263">
        <v>41</v>
      </c>
      <c r="Y41" s="263">
        <v>57</v>
      </c>
      <c r="Z41" s="263">
        <v>20</v>
      </c>
      <c r="AA41" s="263">
        <v>14</v>
      </c>
      <c r="AC41" s="621">
        <f t="shared" si="12"/>
        <v>19</v>
      </c>
      <c r="AD41" s="621">
        <f t="shared" si="13"/>
        <v>73</v>
      </c>
      <c r="AE41" s="621">
        <f t="shared" si="14"/>
        <v>77</v>
      </c>
    </row>
    <row r="42" spans="1:31" x14ac:dyDescent="0.3">
      <c r="A42" s="584" t="s">
        <v>98</v>
      </c>
      <c r="B42" s="186" t="s">
        <v>99</v>
      </c>
      <c r="C42" s="594" t="s">
        <v>256</v>
      </c>
      <c r="D42" s="520">
        <v>246</v>
      </c>
      <c r="E42" s="521">
        <v>132</v>
      </c>
      <c r="F42" s="521">
        <v>113</v>
      </c>
      <c r="G42" s="521">
        <v>1</v>
      </c>
      <c r="H42" s="521"/>
      <c r="I42" s="521">
        <v>230</v>
      </c>
      <c r="J42" s="521">
        <v>9</v>
      </c>
      <c r="K42" s="521">
        <v>0</v>
      </c>
      <c r="L42" s="521">
        <v>0</v>
      </c>
      <c r="M42" s="521">
        <v>0</v>
      </c>
      <c r="N42" s="521">
        <v>11</v>
      </c>
      <c r="O42" s="521">
        <v>11</v>
      </c>
      <c r="P42" s="263"/>
      <c r="Q42" s="588">
        <f t="shared" si="9"/>
        <v>230</v>
      </c>
      <c r="R42" s="589">
        <f t="shared" si="10"/>
        <v>9</v>
      </c>
      <c r="S42" s="589">
        <f t="shared" si="11"/>
        <v>0</v>
      </c>
      <c r="U42" s="263">
        <v>15</v>
      </c>
      <c r="V42" s="263">
        <v>51</v>
      </c>
      <c r="W42" s="263">
        <v>65</v>
      </c>
      <c r="X42" s="263">
        <v>42</v>
      </c>
      <c r="Y42" s="263">
        <v>47</v>
      </c>
      <c r="Z42" s="263">
        <v>16</v>
      </c>
      <c r="AA42" s="263">
        <v>10</v>
      </c>
      <c r="AC42" s="621">
        <f t="shared" si="12"/>
        <v>66</v>
      </c>
      <c r="AD42" s="621">
        <f t="shared" si="13"/>
        <v>107</v>
      </c>
      <c r="AE42" s="621">
        <f t="shared" si="14"/>
        <v>63</v>
      </c>
    </row>
    <row r="43" spans="1:31" x14ac:dyDescent="0.3">
      <c r="A43" s="584" t="s">
        <v>100</v>
      </c>
      <c r="B43" s="186" t="s">
        <v>101</v>
      </c>
      <c r="C43" s="594" t="s">
        <v>255</v>
      </c>
      <c r="D43" s="520">
        <v>294</v>
      </c>
      <c r="E43" s="521">
        <v>153</v>
      </c>
      <c r="F43" s="521">
        <v>133</v>
      </c>
      <c r="G43" s="521">
        <v>8</v>
      </c>
      <c r="H43" s="521"/>
      <c r="I43" s="521">
        <v>232</v>
      </c>
      <c r="J43" s="521">
        <v>28</v>
      </c>
      <c r="K43" s="521">
        <v>6</v>
      </c>
      <c r="L43" s="521">
        <v>0</v>
      </c>
      <c r="M43" s="521">
        <v>3</v>
      </c>
      <c r="N43" s="521">
        <v>37</v>
      </c>
      <c r="O43" s="521">
        <v>3</v>
      </c>
      <c r="P43" s="263"/>
      <c r="Q43" s="588">
        <f t="shared" si="9"/>
        <v>232</v>
      </c>
      <c r="R43" s="589">
        <f t="shared" si="10"/>
        <v>28</v>
      </c>
      <c r="S43" s="589">
        <f t="shared" si="11"/>
        <v>9</v>
      </c>
      <c r="U43" s="263">
        <v>12</v>
      </c>
      <c r="V43" s="263">
        <v>31</v>
      </c>
      <c r="W43" s="263">
        <v>40</v>
      </c>
      <c r="X43" s="263">
        <v>75</v>
      </c>
      <c r="Y43" s="263">
        <v>72</v>
      </c>
      <c r="Z43" s="263">
        <v>28</v>
      </c>
      <c r="AA43" s="263">
        <v>36</v>
      </c>
      <c r="AC43" s="621">
        <f t="shared" si="12"/>
        <v>43</v>
      </c>
      <c r="AD43" s="621">
        <f t="shared" si="13"/>
        <v>115</v>
      </c>
      <c r="AE43" s="621">
        <f t="shared" si="14"/>
        <v>100</v>
      </c>
    </row>
    <row r="44" spans="1:31" x14ac:dyDescent="0.3">
      <c r="A44" s="584" t="s">
        <v>102</v>
      </c>
      <c r="B44" s="186" t="s">
        <v>270</v>
      </c>
      <c r="C44" s="594" t="s">
        <v>252</v>
      </c>
      <c r="D44" s="520">
        <v>204</v>
      </c>
      <c r="E44" s="521">
        <v>95</v>
      </c>
      <c r="F44" s="521">
        <v>106</v>
      </c>
      <c r="G44" s="521">
        <v>3</v>
      </c>
      <c r="H44" s="521"/>
      <c r="I44" s="521">
        <v>57</v>
      </c>
      <c r="J44" s="521">
        <v>139</v>
      </c>
      <c r="K44" s="521">
        <v>2</v>
      </c>
      <c r="L44" s="521">
        <v>0</v>
      </c>
      <c r="M44" s="521">
        <v>0</v>
      </c>
      <c r="N44" s="521">
        <v>19</v>
      </c>
      <c r="O44" s="521">
        <v>13</v>
      </c>
      <c r="P44" s="263"/>
      <c r="Q44" s="588">
        <f t="shared" si="9"/>
        <v>57</v>
      </c>
      <c r="R44" s="589">
        <f t="shared" si="10"/>
        <v>139</v>
      </c>
      <c r="S44" s="589">
        <f t="shared" si="11"/>
        <v>2</v>
      </c>
      <c r="U44" s="263">
        <v>18</v>
      </c>
      <c r="V44" s="263">
        <v>20</v>
      </c>
      <c r="W44" s="263">
        <v>40</v>
      </c>
      <c r="X44" s="263">
        <v>37</v>
      </c>
      <c r="Y44" s="263">
        <v>37</v>
      </c>
      <c r="Z44" s="263">
        <v>28</v>
      </c>
      <c r="AA44" s="263">
        <v>24</v>
      </c>
      <c r="AC44" s="621">
        <f t="shared" si="12"/>
        <v>38</v>
      </c>
      <c r="AD44" s="621">
        <f t="shared" si="13"/>
        <v>77</v>
      </c>
      <c r="AE44" s="621">
        <f t="shared" si="14"/>
        <v>65</v>
      </c>
    </row>
    <row r="45" spans="1:31" x14ac:dyDescent="0.3">
      <c r="A45" s="584" t="s">
        <v>104</v>
      </c>
      <c r="B45" s="186" t="s">
        <v>105</v>
      </c>
      <c r="C45" s="594" t="s">
        <v>253</v>
      </c>
      <c r="D45" s="520">
        <v>432</v>
      </c>
      <c r="E45" s="521">
        <v>212</v>
      </c>
      <c r="F45" s="521">
        <v>192</v>
      </c>
      <c r="G45" s="521">
        <v>28</v>
      </c>
      <c r="H45" s="521"/>
      <c r="I45" s="521">
        <v>270</v>
      </c>
      <c r="J45" s="521">
        <v>167</v>
      </c>
      <c r="K45" s="521">
        <v>0</v>
      </c>
      <c r="L45" s="521">
        <v>1</v>
      </c>
      <c r="M45" s="521">
        <v>0</v>
      </c>
      <c r="N45" s="521">
        <v>19</v>
      </c>
      <c r="O45" s="521">
        <v>7</v>
      </c>
      <c r="P45" s="263"/>
      <c r="Q45" s="588">
        <f t="shared" si="9"/>
        <v>270</v>
      </c>
      <c r="R45" s="589">
        <f t="shared" si="10"/>
        <v>167</v>
      </c>
      <c r="S45" s="589">
        <f t="shared" si="11"/>
        <v>1</v>
      </c>
      <c r="U45" s="263">
        <v>51</v>
      </c>
      <c r="V45" s="263">
        <v>65</v>
      </c>
      <c r="W45" s="263">
        <v>81</v>
      </c>
      <c r="X45" s="263">
        <v>74</v>
      </c>
      <c r="Y45" s="263">
        <v>65</v>
      </c>
      <c r="Z45" s="263">
        <v>28</v>
      </c>
      <c r="AA45" s="263">
        <v>68</v>
      </c>
      <c r="AC45" s="621">
        <f t="shared" si="12"/>
        <v>116</v>
      </c>
      <c r="AD45" s="621">
        <f t="shared" si="13"/>
        <v>155</v>
      </c>
      <c r="AE45" s="621">
        <f t="shared" si="14"/>
        <v>93</v>
      </c>
    </row>
    <row r="46" spans="1:31" x14ac:dyDescent="0.3">
      <c r="A46" s="584" t="s">
        <v>108</v>
      </c>
      <c r="B46" s="186" t="s">
        <v>109</v>
      </c>
      <c r="C46" s="594" t="s">
        <v>254</v>
      </c>
      <c r="D46" s="520">
        <v>849</v>
      </c>
      <c r="E46" s="521">
        <v>421</v>
      </c>
      <c r="F46" s="521">
        <v>415</v>
      </c>
      <c r="G46" s="521">
        <v>13</v>
      </c>
      <c r="H46" s="521"/>
      <c r="I46" s="521">
        <v>663</v>
      </c>
      <c r="J46" s="521">
        <v>174</v>
      </c>
      <c r="K46" s="521">
        <v>7</v>
      </c>
      <c r="L46" s="521">
        <v>4</v>
      </c>
      <c r="M46" s="521">
        <v>0</v>
      </c>
      <c r="N46" s="521">
        <v>56</v>
      </c>
      <c r="O46" s="521">
        <v>45</v>
      </c>
      <c r="P46" s="263"/>
      <c r="Q46" s="588">
        <f t="shared" si="9"/>
        <v>663</v>
      </c>
      <c r="R46" s="589">
        <f t="shared" si="10"/>
        <v>174</v>
      </c>
      <c r="S46" s="589">
        <f t="shared" si="11"/>
        <v>11</v>
      </c>
      <c r="U46" s="263">
        <v>50</v>
      </c>
      <c r="V46" s="263">
        <v>88</v>
      </c>
      <c r="W46" s="263">
        <v>154</v>
      </c>
      <c r="X46" s="263">
        <v>195</v>
      </c>
      <c r="Y46" s="263">
        <v>168</v>
      </c>
      <c r="Z46" s="263">
        <v>87</v>
      </c>
      <c r="AA46" s="263">
        <v>107</v>
      </c>
      <c r="AC46" s="621">
        <f t="shared" si="12"/>
        <v>138</v>
      </c>
      <c r="AD46" s="621">
        <f t="shared" si="13"/>
        <v>349</v>
      </c>
      <c r="AE46" s="621">
        <f t="shared" si="14"/>
        <v>255</v>
      </c>
    </row>
    <row r="47" spans="1:31" x14ac:dyDescent="0.3">
      <c r="A47" s="584" t="s">
        <v>110</v>
      </c>
      <c r="B47" s="186" t="s">
        <v>111</v>
      </c>
      <c r="C47" s="594" t="s">
        <v>254</v>
      </c>
      <c r="D47" s="520">
        <v>3542</v>
      </c>
      <c r="E47" s="521">
        <v>1736</v>
      </c>
      <c r="F47" s="521">
        <v>1755</v>
      </c>
      <c r="G47" s="521">
        <v>51</v>
      </c>
      <c r="H47" s="521"/>
      <c r="I47" s="521">
        <v>1416</v>
      </c>
      <c r="J47" s="521">
        <v>2032</v>
      </c>
      <c r="K47" s="521">
        <v>111</v>
      </c>
      <c r="L47" s="521">
        <v>12</v>
      </c>
      <c r="M47" s="521">
        <v>11</v>
      </c>
      <c r="N47" s="521">
        <v>267</v>
      </c>
      <c r="O47" s="521">
        <v>316</v>
      </c>
      <c r="P47" s="263"/>
      <c r="Q47" s="588">
        <f t="shared" si="9"/>
        <v>1416</v>
      </c>
      <c r="R47" s="589">
        <f t="shared" si="10"/>
        <v>2032</v>
      </c>
      <c r="S47" s="589">
        <f t="shared" si="11"/>
        <v>134</v>
      </c>
      <c r="U47" s="263">
        <v>244</v>
      </c>
      <c r="V47" s="263">
        <v>505</v>
      </c>
      <c r="W47" s="263">
        <v>697</v>
      </c>
      <c r="X47" s="263">
        <v>743</v>
      </c>
      <c r="Y47" s="263">
        <v>653</v>
      </c>
      <c r="Z47" s="263">
        <v>311</v>
      </c>
      <c r="AA47" s="263">
        <v>389</v>
      </c>
      <c r="AC47" s="621">
        <f t="shared" si="12"/>
        <v>749</v>
      </c>
      <c r="AD47" s="621">
        <f t="shared" si="13"/>
        <v>1440</v>
      </c>
      <c r="AE47" s="621">
        <f t="shared" si="14"/>
        <v>964</v>
      </c>
    </row>
    <row r="48" spans="1:31" x14ac:dyDescent="0.3">
      <c r="A48" s="584" t="s">
        <v>112</v>
      </c>
      <c r="B48" s="186" t="s">
        <v>288</v>
      </c>
      <c r="C48" s="594" t="s">
        <v>253</v>
      </c>
      <c r="D48" s="520">
        <v>1569</v>
      </c>
      <c r="E48" s="521">
        <v>731</v>
      </c>
      <c r="F48" s="521">
        <v>783</v>
      </c>
      <c r="G48" s="521">
        <v>55</v>
      </c>
      <c r="H48" s="521"/>
      <c r="I48" s="521">
        <v>1024</v>
      </c>
      <c r="J48" s="521">
        <v>514</v>
      </c>
      <c r="K48" s="521">
        <v>10</v>
      </c>
      <c r="L48" s="521">
        <v>1</v>
      </c>
      <c r="M48" s="521">
        <v>0</v>
      </c>
      <c r="N48" s="521">
        <v>148</v>
      </c>
      <c r="O48" s="521">
        <v>105</v>
      </c>
      <c r="P48" s="263"/>
      <c r="Q48" s="588">
        <f t="shared" si="9"/>
        <v>1024</v>
      </c>
      <c r="R48" s="589">
        <f t="shared" si="10"/>
        <v>514</v>
      </c>
      <c r="S48" s="589">
        <f t="shared" si="11"/>
        <v>11</v>
      </c>
      <c r="U48" s="263">
        <v>113</v>
      </c>
      <c r="V48" s="263">
        <v>232</v>
      </c>
      <c r="W48" s="263">
        <v>302</v>
      </c>
      <c r="X48" s="263">
        <v>285</v>
      </c>
      <c r="Y48" s="263">
        <v>261</v>
      </c>
      <c r="Z48" s="263">
        <v>84</v>
      </c>
      <c r="AA48" s="263">
        <v>292</v>
      </c>
      <c r="AC48" s="621">
        <f t="shared" si="12"/>
        <v>345</v>
      </c>
      <c r="AD48" s="621">
        <f t="shared" si="13"/>
        <v>587</v>
      </c>
      <c r="AE48" s="621">
        <f t="shared" si="14"/>
        <v>345</v>
      </c>
    </row>
    <row r="49" spans="1:31" x14ac:dyDescent="0.3">
      <c r="A49" s="584" t="s">
        <v>114</v>
      </c>
      <c r="B49" s="186" t="s">
        <v>115</v>
      </c>
      <c r="C49" s="594" t="s">
        <v>253</v>
      </c>
      <c r="D49" s="520">
        <v>36</v>
      </c>
      <c r="E49" s="521">
        <v>8</v>
      </c>
      <c r="F49" s="521">
        <v>28</v>
      </c>
      <c r="G49" s="521">
        <v>0</v>
      </c>
      <c r="H49" s="521"/>
      <c r="I49" s="521">
        <v>32</v>
      </c>
      <c r="J49" s="521">
        <v>3</v>
      </c>
      <c r="K49" s="521">
        <v>0</v>
      </c>
      <c r="L49" s="521">
        <v>0</v>
      </c>
      <c r="M49" s="521">
        <v>0</v>
      </c>
      <c r="N49" s="521">
        <v>3</v>
      </c>
      <c r="O49" s="521">
        <v>1</v>
      </c>
      <c r="P49" s="263"/>
      <c r="Q49" s="588">
        <f t="shared" si="9"/>
        <v>32</v>
      </c>
      <c r="R49" s="589">
        <f t="shared" si="10"/>
        <v>3</v>
      </c>
      <c r="S49" s="589">
        <f t="shared" si="11"/>
        <v>0</v>
      </c>
      <c r="U49" s="263">
        <v>2</v>
      </c>
      <c r="V49" s="263">
        <v>5</v>
      </c>
      <c r="W49" s="263">
        <v>19</v>
      </c>
      <c r="X49" s="263">
        <v>0</v>
      </c>
      <c r="Y49" s="263">
        <v>4</v>
      </c>
      <c r="Z49" s="263">
        <v>5</v>
      </c>
      <c r="AA49" s="263">
        <v>1</v>
      </c>
      <c r="AC49" s="621">
        <f t="shared" si="12"/>
        <v>7</v>
      </c>
      <c r="AD49" s="621">
        <f t="shared" si="13"/>
        <v>19</v>
      </c>
      <c r="AE49" s="621">
        <f t="shared" si="14"/>
        <v>9</v>
      </c>
    </row>
    <row r="50" spans="1:31" x14ac:dyDescent="0.3">
      <c r="A50" s="584" t="s">
        <v>118</v>
      </c>
      <c r="B50" s="186" t="s">
        <v>258</v>
      </c>
      <c r="C50" s="594" t="s">
        <v>252</v>
      </c>
      <c r="D50" s="520">
        <v>445</v>
      </c>
      <c r="E50" s="521">
        <v>224</v>
      </c>
      <c r="F50" s="521">
        <v>221</v>
      </c>
      <c r="G50" s="521">
        <v>0</v>
      </c>
      <c r="H50" s="521"/>
      <c r="I50" s="521">
        <v>302</v>
      </c>
      <c r="J50" s="521">
        <v>132</v>
      </c>
      <c r="K50" s="521">
        <v>1</v>
      </c>
      <c r="L50" s="521">
        <v>4</v>
      </c>
      <c r="M50" s="521">
        <v>3</v>
      </c>
      <c r="N50" s="521">
        <v>25</v>
      </c>
      <c r="O50" s="521">
        <v>7</v>
      </c>
      <c r="P50" s="263"/>
      <c r="Q50" s="588">
        <f t="shared" si="9"/>
        <v>302</v>
      </c>
      <c r="R50" s="589">
        <f t="shared" si="10"/>
        <v>132</v>
      </c>
      <c r="S50" s="589">
        <f t="shared" si="11"/>
        <v>8</v>
      </c>
      <c r="U50" s="263">
        <v>38</v>
      </c>
      <c r="V50" s="263">
        <v>60</v>
      </c>
      <c r="W50" s="263">
        <v>89</v>
      </c>
      <c r="X50" s="263">
        <v>100</v>
      </c>
      <c r="Y50" s="263">
        <v>97</v>
      </c>
      <c r="Z50" s="263">
        <v>39</v>
      </c>
      <c r="AA50" s="263">
        <v>22</v>
      </c>
      <c r="AC50" s="621">
        <f t="shared" si="12"/>
        <v>98</v>
      </c>
      <c r="AD50" s="621">
        <f t="shared" si="13"/>
        <v>189</v>
      </c>
      <c r="AE50" s="621">
        <f t="shared" si="14"/>
        <v>136</v>
      </c>
    </row>
    <row r="51" spans="1:31" x14ac:dyDescent="0.3">
      <c r="A51" s="584" t="s">
        <v>120</v>
      </c>
      <c r="B51" s="186" t="s">
        <v>121</v>
      </c>
      <c r="C51" s="594" t="s">
        <v>252</v>
      </c>
      <c r="D51" s="520">
        <v>912</v>
      </c>
      <c r="E51" s="521">
        <v>463</v>
      </c>
      <c r="F51" s="521">
        <v>439</v>
      </c>
      <c r="G51" s="521">
        <v>10</v>
      </c>
      <c r="H51" s="521"/>
      <c r="I51" s="521">
        <v>563</v>
      </c>
      <c r="J51" s="521">
        <v>345</v>
      </c>
      <c r="K51" s="521">
        <v>5</v>
      </c>
      <c r="L51" s="521">
        <v>0</v>
      </c>
      <c r="M51" s="521">
        <v>1</v>
      </c>
      <c r="N51" s="521">
        <v>42</v>
      </c>
      <c r="O51" s="521">
        <v>62</v>
      </c>
      <c r="P51" s="263"/>
      <c r="Q51" s="588">
        <f t="shared" si="9"/>
        <v>563</v>
      </c>
      <c r="R51" s="589">
        <f t="shared" si="10"/>
        <v>345</v>
      </c>
      <c r="S51" s="589">
        <f t="shared" si="11"/>
        <v>6</v>
      </c>
      <c r="U51" s="263">
        <v>57</v>
      </c>
      <c r="V51" s="263">
        <v>134</v>
      </c>
      <c r="W51" s="263">
        <v>213</v>
      </c>
      <c r="X51" s="263">
        <v>184</v>
      </c>
      <c r="Y51" s="263">
        <v>172</v>
      </c>
      <c r="Z51" s="263">
        <v>85</v>
      </c>
      <c r="AA51" s="263">
        <v>67</v>
      </c>
      <c r="AC51" s="621">
        <f t="shared" si="12"/>
        <v>191</v>
      </c>
      <c r="AD51" s="621">
        <f t="shared" si="13"/>
        <v>397</v>
      </c>
      <c r="AE51" s="621">
        <f t="shared" si="14"/>
        <v>257</v>
      </c>
    </row>
    <row r="52" spans="1:31" x14ac:dyDescent="0.3">
      <c r="A52" s="584" t="s">
        <v>122</v>
      </c>
      <c r="B52" s="186" t="s">
        <v>275</v>
      </c>
      <c r="C52" s="594" t="s">
        <v>254</v>
      </c>
      <c r="D52" s="520">
        <v>110</v>
      </c>
      <c r="E52" s="521">
        <v>59</v>
      </c>
      <c r="F52" s="521">
        <v>49</v>
      </c>
      <c r="G52" s="521">
        <v>2</v>
      </c>
      <c r="H52" s="521"/>
      <c r="I52" s="521">
        <v>49</v>
      </c>
      <c r="J52" s="521">
        <v>64</v>
      </c>
      <c r="K52" s="521">
        <v>0</v>
      </c>
      <c r="L52" s="521">
        <v>0</v>
      </c>
      <c r="M52" s="521">
        <v>0</v>
      </c>
      <c r="N52" s="521">
        <v>8</v>
      </c>
      <c r="O52" s="521">
        <v>4</v>
      </c>
      <c r="P52" s="263"/>
      <c r="Q52" s="588">
        <f t="shared" si="9"/>
        <v>49</v>
      </c>
      <c r="R52" s="589">
        <f t="shared" si="10"/>
        <v>64</v>
      </c>
      <c r="S52" s="589">
        <f t="shared" si="11"/>
        <v>0</v>
      </c>
      <c r="U52" s="263">
        <v>9</v>
      </c>
      <c r="V52" s="263">
        <v>18</v>
      </c>
      <c r="W52" s="263">
        <v>27</v>
      </c>
      <c r="X52" s="263">
        <v>22</v>
      </c>
      <c r="Y52" s="263">
        <v>9</v>
      </c>
      <c r="Z52" s="263">
        <v>8</v>
      </c>
      <c r="AA52" s="263">
        <v>17</v>
      </c>
      <c r="AC52" s="621">
        <f t="shared" si="12"/>
        <v>27</v>
      </c>
      <c r="AD52" s="621">
        <f t="shared" si="13"/>
        <v>49</v>
      </c>
      <c r="AE52" s="621">
        <f t="shared" si="14"/>
        <v>17</v>
      </c>
    </row>
    <row r="53" spans="1:31" x14ac:dyDescent="0.3">
      <c r="A53" s="584" t="s">
        <v>124</v>
      </c>
      <c r="B53" s="186" t="s">
        <v>125</v>
      </c>
      <c r="C53" s="594" t="s">
        <v>255</v>
      </c>
      <c r="D53" s="520">
        <v>299</v>
      </c>
      <c r="E53" s="521">
        <v>147</v>
      </c>
      <c r="F53" s="521">
        <v>149</v>
      </c>
      <c r="G53" s="521">
        <v>3</v>
      </c>
      <c r="H53" s="521"/>
      <c r="I53" s="521">
        <v>203</v>
      </c>
      <c r="J53" s="521">
        <v>84</v>
      </c>
      <c r="K53" s="521">
        <v>1</v>
      </c>
      <c r="L53" s="521">
        <v>3</v>
      </c>
      <c r="M53" s="521">
        <v>1</v>
      </c>
      <c r="N53" s="521">
        <v>26</v>
      </c>
      <c r="O53" s="521">
        <v>17</v>
      </c>
      <c r="P53" s="263"/>
      <c r="Q53" s="588">
        <f t="shared" si="9"/>
        <v>203</v>
      </c>
      <c r="R53" s="589">
        <f t="shared" si="10"/>
        <v>84</v>
      </c>
      <c r="S53" s="589">
        <f t="shared" si="11"/>
        <v>5</v>
      </c>
      <c r="U53" s="263">
        <v>30</v>
      </c>
      <c r="V53" s="263">
        <v>40</v>
      </c>
      <c r="W53" s="263">
        <v>68</v>
      </c>
      <c r="X53" s="263">
        <v>67</v>
      </c>
      <c r="Y53" s="263">
        <v>62</v>
      </c>
      <c r="Z53" s="263">
        <v>16</v>
      </c>
      <c r="AA53" s="263">
        <v>16</v>
      </c>
      <c r="AC53" s="621">
        <f t="shared" si="12"/>
        <v>70</v>
      </c>
      <c r="AD53" s="621">
        <f t="shared" si="13"/>
        <v>135</v>
      </c>
      <c r="AE53" s="621">
        <f t="shared" si="14"/>
        <v>78</v>
      </c>
    </row>
    <row r="54" spans="1:31" x14ac:dyDescent="0.3">
      <c r="A54" s="584" t="s">
        <v>126</v>
      </c>
      <c r="B54" s="186" t="s">
        <v>127</v>
      </c>
      <c r="C54" s="594" t="s">
        <v>254</v>
      </c>
      <c r="D54" s="520">
        <v>201</v>
      </c>
      <c r="E54" s="521">
        <v>84</v>
      </c>
      <c r="F54" s="521">
        <v>114</v>
      </c>
      <c r="G54" s="521">
        <v>3</v>
      </c>
      <c r="H54" s="521"/>
      <c r="I54" s="521">
        <v>156</v>
      </c>
      <c r="J54" s="521">
        <v>52</v>
      </c>
      <c r="K54" s="521">
        <v>1</v>
      </c>
      <c r="L54" s="521">
        <v>1</v>
      </c>
      <c r="M54" s="521">
        <v>0</v>
      </c>
      <c r="N54" s="521">
        <v>13</v>
      </c>
      <c r="O54" s="521">
        <v>6</v>
      </c>
      <c r="P54" s="263"/>
      <c r="Q54" s="588">
        <f t="shared" si="9"/>
        <v>156</v>
      </c>
      <c r="R54" s="589">
        <f t="shared" si="10"/>
        <v>52</v>
      </c>
      <c r="S54" s="589">
        <f t="shared" si="11"/>
        <v>2</v>
      </c>
      <c r="U54" s="263">
        <v>17</v>
      </c>
      <c r="V54" s="263">
        <v>17</v>
      </c>
      <c r="W54" s="263">
        <v>38</v>
      </c>
      <c r="X54" s="263">
        <v>44</v>
      </c>
      <c r="Y54" s="263">
        <v>38</v>
      </c>
      <c r="Z54" s="263">
        <v>17</v>
      </c>
      <c r="AA54" s="263">
        <v>30</v>
      </c>
      <c r="AC54" s="621">
        <f t="shared" si="12"/>
        <v>34</v>
      </c>
      <c r="AD54" s="621">
        <f t="shared" si="13"/>
        <v>82</v>
      </c>
      <c r="AE54" s="621">
        <f t="shared" si="14"/>
        <v>55</v>
      </c>
    </row>
    <row r="55" spans="1:31" x14ac:dyDescent="0.3">
      <c r="A55" s="584" t="s">
        <v>128</v>
      </c>
      <c r="B55" s="186" t="s">
        <v>129</v>
      </c>
      <c r="C55" s="594" t="s">
        <v>254</v>
      </c>
      <c r="D55" s="520">
        <v>110</v>
      </c>
      <c r="E55" s="521">
        <v>53</v>
      </c>
      <c r="F55" s="521">
        <v>55</v>
      </c>
      <c r="G55" s="521">
        <v>2</v>
      </c>
      <c r="H55" s="521"/>
      <c r="I55" s="521">
        <v>66</v>
      </c>
      <c r="J55" s="521">
        <v>47</v>
      </c>
      <c r="K55" s="521">
        <v>0</v>
      </c>
      <c r="L55" s="521">
        <v>0</v>
      </c>
      <c r="M55" s="521">
        <v>1</v>
      </c>
      <c r="N55" s="521">
        <v>11</v>
      </c>
      <c r="O55" s="521">
        <v>0</v>
      </c>
      <c r="P55" s="263"/>
      <c r="Q55" s="588">
        <f t="shared" si="9"/>
        <v>66</v>
      </c>
      <c r="R55" s="589">
        <f t="shared" si="10"/>
        <v>47</v>
      </c>
      <c r="S55" s="589">
        <f t="shared" si="11"/>
        <v>1</v>
      </c>
      <c r="U55" s="263">
        <v>10</v>
      </c>
      <c r="V55" s="263">
        <v>20</v>
      </c>
      <c r="W55" s="263">
        <v>22</v>
      </c>
      <c r="X55" s="263">
        <v>23</v>
      </c>
      <c r="Y55" s="263">
        <v>12</v>
      </c>
      <c r="Z55" s="263">
        <v>5</v>
      </c>
      <c r="AA55" s="263">
        <v>18</v>
      </c>
      <c r="AC55" s="621">
        <f t="shared" si="12"/>
        <v>30</v>
      </c>
      <c r="AD55" s="621">
        <f t="shared" si="13"/>
        <v>45</v>
      </c>
      <c r="AE55" s="621">
        <f t="shared" si="14"/>
        <v>17</v>
      </c>
    </row>
    <row r="56" spans="1:31" x14ac:dyDescent="0.3">
      <c r="A56" s="584" t="s">
        <v>130</v>
      </c>
      <c r="B56" s="186" t="s">
        <v>131</v>
      </c>
      <c r="C56" s="594" t="s">
        <v>256</v>
      </c>
      <c r="D56" s="520">
        <v>897</v>
      </c>
      <c r="E56" s="521">
        <v>453</v>
      </c>
      <c r="F56" s="521">
        <v>433</v>
      </c>
      <c r="G56" s="521">
        <v>11</v>
      </c>
      <c r="H56" s="521"/>
      <c r="I56" s="521">
        <v>854</v>
      </c>
      <c r="J56" s="521">
        <v>5</v>
      </c>
      <c r="K56" s="521">
        <v>0</v>
      </c>
      <c r="L56" s="521">
        <v>0</v>
      </c>
      <c r="M56" s="521">
        <v>1</v>
      </c>
      <c r="N56" s="521">
        <v>48</v>
      </c>
      <c r="O56" s="521">
        <v>19</v>
      </c>
      <c r="P56" s="263"/>
      <c r="Q56" s="588">
        <f t="shared" si="9"/>
        <v>854</v>
      </c>
      <c r="R56" s="589">
        <f t="shared" si="10"/>
        <v>5</v>
      </c>
      <c r="S56" s="589">
        <f t="shared" si="11"/>
        <v>1</v>
      </c>
      <c r="U56" s="263">
        <v>81</v>
      </c>
      <c r="V56" s="263">
        <v>126</v>
      </c>
      <c r="W56" s="263">
        <v>214</v>
      </c>
      <c r="X56" s="263">
        <v>203</v>
      </c>
      <c r="Y56" s="263">
        <v>162</v>
      </c>
      <c r="Z56" s="263">
        <v>59</v>
      </c>
      <c r="AA56" s="263">
        <v>52</v>
      </c>
      <c r="AC56" s="621">
        <f t="shared" si="12"/>
        <v>207</v>
      </c>
      <c r="AD56" s="621">
        <f t="shared" si="13"/>
        <v>417</v>
      </c>
      <c r="AE56" s="621">
        <f t="shared" si="14"/>
        <v>221</v>
      </c>
    </row>
    <row r="57" spans="1:31" x14ac:dyDescent="0.3">
      <c r="A57" s="584" t="s">
        <v>132</v>
      </c>
      <c r="B57" s="186" t="s">
        <v>133</v>
      </c>
      <c r="C57" s="594" t="s">
        <v>255</v>
      </c>
      <c r="D57" s="520">
        <v>3619</v>
      </c>
      <c r="E57" s="521">
        <v>1718</v>
      </c>
      <c r="F57" s="521">
        <v>1818</v>
      </c>
      <c r="G57" s="521">
        <v>83</v>
      </c>
      <c r="H57" s="521"/>
      <c r="I57" s="521">
        <v>686</v>
      </c>
      <c r="J57" s="521">
        <v>143</v>
      </c>
      <c r="K57" s="521">
        <v>104</v>
      </c>
      <c r="L57" s="521">
        <v>1</v>
      </c>
      <c r="M57" s="521">
        <v>3</v>
      </c>
      <c r="N57" s="521">
        <v>2753</v>
      </c>
      <c r="O57" s="521">
        <v>770</v>
      </c>
      <c r="P57" s="263"/>
      <c r="Q57" s="588">
        <f t="shared" si="9"/>
        <v>686</v>
      </c>
      <c r="R57" s="589">
        <f t="shared" si="10"/>
        <v>143</v>
      </c>
      <c r="S57" s="589">
        <f t="shared" si="11"/>
        <v>108</v>
      </c>
      <c r="U57" s="263">
        <v>137</v>
      </c>
      <c r="V57" s="263">
        <v>293</v>
      </c>
      <c r="W57" s="263">
        <v>700</v>
      </c>
      <c r="X57" s="263">
        <v>813</v>
      </c>
      <c r="Y57" s="263">
        <v>828</v>
      </c>
      <c r="Z57" s="263">
        <v>351</v>
      </c>
      <c r="AA57" s="263">
        <v>497</v>
      </c>
      <c r="AC57" s="621">
        <f t="shared" si="12"/>
        <v>430</v>
      </c>
      <c r="AD57" s="621">
        <f t="shared" si="13"/>
        <v>1513</v>
      </c>
      <c r="AE57" s="621">
        <f t="shared" si="14"/>
        <v>1179</v>
      </c>
    </row>
    <row r="58" spans="1:31" x14ac:dyDescent="0.3">
      <c r="A58" s="584" t="s">
        <v>134</v>
      </c>
      <c r="B58" s="186" t="s">
        <v>135</v>
      </c>
      <c r="C58" s="594" t="s">
        <v>255</v>
      </c>
      <c r="D58" s="520">
        <v>706</v>
      </c>
      <c r="E58" s="521">
        <v>364</v>
      </c>
      <c r="F58" s="521">
        <v>339</v>
      </c>
      <c r="G58" s="521">
        <v>3</v>
      </c>
      <c r="H58" s="521"/>
      <c r="I58" s="521">
        <v>606</v>
      </c>
      <c r="J58" s="521">
        <v>133</v>
      </c>
      <c r="K58" s="521">
        <v>0</v>
      </c>
      <c r="L58" s="521">
        <v>0</v>
      </c>
      <c r="M58" s="521">
        <v>0</v>
      </c>
      <c r="N58" s="521">
        <v>40</v>
      </c>
      <c r="O58" s="521">
        <v>29</v>
      </c>
      <c r="P58" s="263"/>
      <c r="Q58" s="588">
        <f t="shared" si="9"/>
        <v>606</v>
      </c>
      <c r="R58" s="589">
        <f t="shared" si="10"/>
        <v>133</v>
      </c>
      <c r="S58" s="589">
        <f t="shared" si="11"/>
        <v>0</v>
      </c>
      <c r="U58" s="263">
        <v>55</v>
      </c>
      <c r="V58" s="263">
        <v>106</v>
      </c>
      <c r="W58" s="263">
        <v>158</v>
      </c>
      <c r="X58" s="263">
        <v>160</v>
      </c>
      <c r="Y58" s="263">
        <v>143</v>
      </c>
      <c r="Z58" s="263">
        <v>41</v>
      </c>
      <c r="AA58" s="263">
        <v>43</v>
      </c>
      <c r="AC58" s="621">
        <f t="shared" si="12"/>
        <v>161</v>
      </c>
      <c r="AD58" s="621">
        <f t="shared" si="13"/>
        <v>318</v>
      </c>
      <c r="AE58" s="621">
        <f t="shared" si="14"/>
        <v>184</v>
      </c>
    </row>
    <row r="59" spans="1:31" x14ac:dyDescent="0.3">
      <c r="A59" s="584" t="s">
        <v>136</v>
      </c>
      <c r="B59" s="186" t="s">
        <v>137</v>
      </c>
      <c r="C59" s="594" t="s">
        <v>254</v>
      </c>
      <c r="D59" s="520">
        <v>115</v>
      </c>
      <c r="E59" s="521">
        <v>61</v>
      </c>
      <c r="F59" s="521">
        <v>53</v>
      </c>
      <c r="G59" s="521">
        <v>1</v>
      </c>
      <c r="H59" s="521"/>
      <c r="I59" s="521">
        <v>56</v>
      </c>
      <c r="J59" s="521">
        <v>56</v>
      </c>
      <c r="K59" s="521">
        <v>0</v>
      </c>
      <c r="L59" s="521">
        <v>0</v>
      </c>
      <c r="M59" s="521">
        <v>1</v>
      </c>
      <c r="N59" s="521">
        <v>10</v>
      </c>
      <c r="O59" s="521">
        <v>4</v>
      </c>
      <c r="P59" s="263"/>
      <c r="Q59" s="588">
        <f t="shared" si="9"/>
        <v>56</v>
      </c>
      <c r="R59" s="589">
        <f t="shared" si="10"/>
        <v>56</v>
      </c>
      <c r="S59" s="589">
        <f t="shared" si="11"/>
        <v>1</v>
      </c>
      <c r="U59" s="263">
        <v>13</v>
      </c>
      <c r="V59" s="263">
        <v>13</v>
      </c>
      <c r="W59" s="263">
        <v>30</v>
      </c>
      <c r="X59" s="263">
        <v>27</v>
      </c>
      <c r="Y59" s="263">
        <v>21</v>
      </c>
      <c r="Z59" s="263">
        <v>4</v>
      </c>
      <c r="AA59" s="263">
        <v>7</v>
      </c>
      <c r="AC59" s="621">
        <f t="shared" si="12"/>
        <v>26</v>
      </c>
      <c r="AD59" s="621">
        <f t="shared" si="13"/>
        <v>57</v>
      </c>
      <c r="AE59" s="621">
        <f t="shared" si="14"/>
        <v>25</v>
      </c>
    </row>
    <row r="60" spans="1:31" x14ac:dyDescent="0.3">
      <c r="A60" s="584" t="s">
        <v>140</v>
      </c>
      <c r="B60" s="186" t="s">
        <v>141</v>
      </c>
      <c r="C60" s="594" t="s">
        <v>255</v>
      </c>
      <c r="D60" s="520">
        <v>273</v>
      </c>
      <c r="E60" s="521">
        <v>135</v>
      </c>
      <c r="F60" s="521">
        <v>137</v>
      </c>
      <c r="G60" s="521">
        <v>1</v>
      </c>
      <c r="H60" s="521"/>
      <c r="I60" s="521">
        <v>225</v>
      </c>
      <c r="J60" s="521">
        <v>41</v>
      </c>
      <c r="K60" s="521">
        <v>0</v>
      </c>
      <c r="L60" s="521">
        <v>0</v>
      </c>
      <c r="M60" s="521">
        <v>0</v>
      </c>
      <c r="N60" s="521">
        <v>27</v>
      </c>
      <c r="O60" s="521">
        <v>6</v>
      </c>
      <c r="P60" s="263"/>
      <c r="Q60" s="588">
        <f t="shared" si="9"/>
        <v>225</v>
      </c>
      <c r="R60" s="589">
        <f t="shared" si="10"/>
        <v>41</v>
      </c>
      <c r="S60" s="589">
        <f t="shared" si="11"/>
        <v>0</v>
      </c>
      <c r="U60" s="263">
        <v>30</v>
      </c>
      <c r="V60" s="263">
        <v>31</v>
      </c>
      <c r="W60" s="263">
        <v>61</v>
      </c>
      <c r="X60" s="263">
        <v>49</v>
      </c>
      <c r="Y60" s="263">
        <v>52</v>
      </c>
      <c r="Z60" s="263">
        <v>14</v>
      </c>
      <c r="AA60" s="263">
        <v>36</v>
      </c>
      <c r="AC60" s="621">
        <f t="shared" si="12"/>
        <v>61</v>
      </c>
      <c r="AD60" s="621">
        <f t="shared" si="13"/>
        <v>110</v>
      </c>
      <c r="AE60" s="621">
        <f t="shared" si="14"/>
        <v>66</v>
      </c>
    </row>
    <row r="61" spans="1:31" x14ac:dyDescent="0.3">
      <c r="A61" s="584" t="s">
        <v>146</v>
      </c>
      <c r="B61" s="186" t="s">
        <v>147</v>
      </c>
      <c r="C61" s="594" t="s">
        <v>252</v>
      </c>
      <c r="D61" s="520">
        <v>135</v>
      </c>
      <c r="E61" s="521">
        <v>61</v>
      </c>
      <c r="F61" s="521">
        <v>72</v>
      </c>
      <c r="G61" s="521">
        <v>2</v>
      </c>
      <c r="H61" s="521"/>
      <c r="I61" s="521">
        <v>100</v>
      </c>
      <c r="J61" s="521">
        <v>19</v>
      </c>
      <c r="K61" s="521">
        <v>0</v>
      </c>
      <c r="L61" s="521">
        <v>0</v>
      </c>
      <c r="M61" s="521">
        <v>1</v>
      </c>
      <c r="N61" s="521">
        <v>21</v>
      </c>
      <c r="O61" s="521">
        <v>1</v>
      </c>
      <c r="P61" s="263"/>
      <c r="Q61" s="588">
        <f t="shared" si="9"/>
        <v>100</v>
      </c>
      <c r="R61" s="589">
        <f t="shared" si="10"/>
        <v>19</v>
      </c>
      <c r="S61" s="589">
        <f t="shared" si="11"/>
        <v>1</v>
      </c>
      <c r="U61" s="263">
        <v>12</v>
      </c>
      <c r="V61" s="263">
        <v>16</v>
      </c>
      <c r="W61" s="263">
        <v>27</v>
      </c>
      <c r="X61" s="263">
        <v>27</v>
      </c>
      <c r="Y61" s="263">
        <v>25</v>
      </c>
      <c r="Z61" s="263">
        <v>8</v>
      </c>
      <c r="AA61" s="263">
        <v>20</v>
      </c>
      <c r="AC61" s="621">
        <f t="shared" si="12"/>
        <v>28</v>
      </c>
      <c r="AD61" s="621">
        <f t="shared" si="13"/>
        <v>54</v>
      </c>
      <c r="AE61" s="621">
        <f t="shared" si="14"/>
        <v>33</v>
      </c>
    </row>
    <row r="62" spans="1:31" x14ac:dyDescent="0.3">
      <c r="A62" s="584" t="s">
        <v>148</v>
      </c>
      <c r="B62" s="186" t="s">
        <v>149</v>
      </c>
      <c r="C62" s="594" t="s">
        <v>253</v>
      </c>
      <c r="D62" s="520">
        <v>402</v>
      </c>
      <c r="E62" s="521">
        <v>205</v>
      </c>
      <c r="F62" s="521">
        <v>195</v>
      </c>
      <c r="G62" s="521">
        <v>2</v>
      </c>
      <c r="H62" s="521"/>
      <c r="I62" s="521">
        <v>251</v>
      </c>
      <c r="J62" s="521">
        <v>180</v>
      </c>
      <c r="K62" s="521">
        <v>1</v>
      </c>
      <c r="L62" s="521">
        <v>0</v>
      </c>
      <c r="M62" s="521">
        <v>1</v>
      </c>
      <c r="N62" s="521">
        <v>7</v>
      </c>
      <c r="O62" s="521">
        <v>2</v>
      </c>
      <c r="P62" s="263"/>
      <c r="Q62" s="588">
        <f t="shared" si="9"/>
        <v>251</v>
      </c>
      <c r="R62" s="589">
        <f t="shared" si="10"/>
        <v>180</v>
      </c>
      <c r="S62" s="589">
        <f t="shared" si="11"/>
        <v>2</v>
      </c>
      <c r="U62" s="263">
        <v>41</v>
      </c>
      <c r="V62" s="263">
        <v>55</v>
      </c>
      <c r="W62" s="263">
        <v>93</v>
      </c>
      <c r="X62" s="263">
        <v>94</v>
      </c>
      <c r="Y62" s="263">
        <v>76</v>
      </c>
      <c r="Z62" s="263">
        <v>27</v>
      </c>
      <c r="AA62" s="263">
        <v>16</v>
      </c>
      <c r="AC62" s="621">
        <f t="shared" si="12"/>
        <v>96</v>
      </c>
      <c r="AD62" s="621">
        <f t="shared" si="13"/>
        <v>187</v>
      </c>
      <c r="AE62" s="621">
        <f t="shared" si="14"/>
        <v>103</v>
      </c>
    </row>
    <row r="63" spans="1:31" x14ac:dyDescent="0.3">
      <c r="A63" s="584" t="s">
        <v>150</v>
      </c>
      <c r="B63" s="186" t="s">
        <v>151</v>
      </c>
      <c r="C63" s="594" t="s">
        <v>254</v>
      </c>
      <c r="D63" s="520">
        <v>270</v>
      </c>
      <c r="E63" s="521">
        <v>112</v>
      </c>
      <c r="F63" s="521">
        <v>153</v>
      </c>
      <c r="G63" s="521">
        <v>5</v>
      </c>
      <c r="H63" s="521"/>
      <c r="I63" s="521">
        <v>186</v>
      </c>
      <c r="J63" s="521">
        <v>71</v>
      </c>
      <c r="K63" s="521">
        <v>0</v>
      </c>
      <c r="L63" s="521">
        <v>3</v>
      </c>
      <c r="M63" s="521">
        <v>0</v>
      </c>
      <c r="N63" s="521">
        <v>37</v>
      </c>
      <c r="O63" s="521">
        <v>4</v>
      </c>
      <c r="P63" s="263"/>
      <c r="Q63" s="588">
        <f t="shared" si="9"/>
        <v>186</v>
      </c>
      <c r="R63" s="589">
        <f t="shared" si="10"/>
        <v>71</v>
      </c>
      <c r="S63" s="589">
        <f t="shared" si="11"/>
        <v>3</v>
      </c>
      <c r="U63" s="263">
        <v>9</v>
      </c>
      <c r="V63" s="263">
        <v>35</v>
      </c>
      <c r="W63" s="263">
        <v>66</v>
      </c>
      <c r="X63" s="263">
        <v>74</v>
      </c>
      <c r="Y63" s="263">
        <v>44</v>
      </c>
      <c r="Z63" s="263">
        <v>22</v>
      </c>
      <c r="AA63" s="263">
        <v>20</v>
      </c>
      <c r="AC63" s="621">
        <f t="shared" si="12"/>
        <v>44</v>
      </c>
      <c r="AD63" s="621">
        <f t="shared" si="13"/>
        <v>140</v>
      </c>
      <c r="AE63" s="621">
        <f t="shared" si="14"/>
        <v>66</v>
      </c>
    </row>
    <row r="64" spans="1:31" x14ac:dyDescent="0.3">
      <c r="A64" s="584" t="s">
        <v>152</v>
      </c>
      <c r="B64" s="186" t="s">
        <v>153</v>
      </c>
      <c r="C64" s="594" t="s">
        <v>256</v>
      </c>
      <c r="D64" s="520">
        <v>1421</v>
      </c>
      <c r="E64" s="521">
        <v>729</v>
      </c>
      <c r="F64" s="521">
        <v>665</v>
      </c>
      <c r="G64" s="521">
        <v>27</v>
      </c>
      <c r="H64" s="521"/>
      <c r="I64" s="521">
        <v>1182</v>
      </c>
      <c r="J64" s="521">
        <v>145</v>
      </c>
      <c r="K64" s="521">
        <v>15</v>
      </c>
      <c r="L64" s="521">
        <v>5</v>
      </c>
      <c r="M64" s="521">
        <v>1</v>
      </c>
      <c r="N64" s="521">
        <v>155</v>
      </c>
      <c r="O64" s="521">
        <v>51</v>
      </c>
      <c r="P64" s="263"/>
      <c r="Q64" s="588">
        <f t="shared" si="9"/>
        <v>1182</v>
      </c>
      <c r="R64" s="589">
        <f t="shared" si="10"/>
        <v>145</v>
      </c>
      <c r="S64" s="589">
        <f t="shared" si="11"/>
        <v>21</v>
      </c>
      <c r="U64" s="263">
        <v>104</v>
      </c>
      <c r="V64" s="263">
        <v>186</v>
      </c>
      <c r="W64" s="263">
        <v>350</v>
      </c>
      <c r="X64" s="263">
        <v>310</v>
      </c>
      <c r="Y64" s="263">
        <v>230</v>
      </c>
      <c r="Z64" s="263">
        <v>93</v>
      </c>
      <c r="AA64" s="263">
        <v>148</v>
      </c>
      <c r="AC64" s="621">
        <f t="shared" si="12"/>
        <v>290</v>
      </c>
      <c r="AD64" s="621">
        <f t="shared" si="13"/>
        <v>660</v>
      </c>
      <c r="AE64" s="621">
        <f t="shared" si="14"/>
        <v>323</v>
      </c>
    </row>
    <row r="65" spans="1:31" x14ac:dyDescent="0.3">
      <c r="A65" s="584" t="s">
        <v>154</v>
      </c>
      <c r="B65" s="186" t="s">
        <v>155</v>
      </c>
      <c r="C65" s="594" t="s">
        <v>253</v>
      </c>
      <c r="D65" s="520">
        <v>210</v>
      </c>
      <c r="E65" s="521">
        <v>103</v>
      </c>
      <c r="F65" s="521">
        <v>107</v>
      </c>
      <c r="G65" s="521">
        <v>0</v>
      </c>
      <c r="H65" s="521"/>
      <c r="I65" s="521">
        <v>176</v>
      </c>
      <c r="J65" s="521">
        <v>44</v>
      </c>
      <c r="K65" s="521">
        <v>0</v>
      </c>
      <c r="L65" s="521">
        <v>0</v>
      </c>
      <c r="M65" s="521">
        <v>1</v>
      </c>
      <c r="N65" s="521">
        <v>3</v>
      </c>
      <c r="O65" s="521">
        <v>10</v>
      </c>
      <c r="P65" s="263"/>
      <c r="Q65" s="588">
        <f t="shared" si="9"/>
        <v>176</v>
      </c>
      <c r="R65" s="589">
        <f t="shared" si="10"/>
        <v>44</v>
      </c>
      <c r="S65" s="589">
        <f t="shared" si="11"/>
        <v>1</v>
      </c>
      <c r="U65" s="263">
        <v>10</v>
      </c>
      <c r="V65" s="263">
        <v>23</v>
      </c>
      <c r="W65" s="263">
        <v>51</v>
      </c>
      <c r="X65" s="263">
        <v>48</v>
      </c>
      <c r="Y65" s="263">
        <v>40</v>
      </c>
      <c r="Z65" s="263">
        <v>26</v>
      </c>
      <c r="AA65" s="263">
        <v>12</v>
      </c>
      <c r="AC65" s="621">
        <f t="shared" si="12"/>
        <v>33</v>
      </c>
      <c r="AD65" s="621">
        <f t="shared" si="13"/>
        <v>99</v>
      </c>
      <c r="AE65" s="621">
        <f t="shared" si="14"/>
        <v>66</v>
      </c>
    </row>
    <row r="66" spans="1:31" x14ac:dyDescent="0.3">
      <c r="A66" s="584" t="s">
        <v>156</v>
      </c>
      <c r="B66" s="186" t="s">
        <v>157</v>
      </c>
      <c r="C66" s="594" t="s">
        <v>254</v>
      </c>
      <c r="D66" s="520">
        <v>274</v>
      </c>
      <c r="E66" s="521">
        <v>118</v>
      </c>
      <c r="F66" s="521">
        <v>154</v>
      </c>
      <c r="G66" s="521">
        <v>2</v>
      </c>
      <c r="H66" s="521"/>
      <c r="I66" s="521">
        <v>189</v>
      </c>
      <c r="J66" s="521">
        <v>50</v>
      </c>
      <c r="K66" s="521">
        <v>0</v>
      </c>
      <c r="L66" s="521">
        <v>13</v>
      </c>
      <c r="M66" s="521">
        <v>3</v>
      </c>
      <c r="N66" s="521">
        <v>28</v>
      </c>
      <c r="O66" s="521">
        <v>11</v>
      </c>
      <c r="P66" s="263"/>
      <c r="Q66" s="588">
        <f t="shared" si="9"/>
        <v>189</v>
      </c>
      <c r="R66" s="589">
        <f t="shared" si="10"/>
        <v>50</v>
      </c>
      <c r="S66" s="589">
        <f t="shared" si="11"/>
        <v>16</v>
      </c>
      <c r="U66" s="263">
        <v>10</v>
      </c>
      <c r="V66" s="263">
        <v>23</v>
      </c>
      <c r="W66" s="263">
        <v>44</v>
      </c>
      <c r="X66" s="263">
        <v>53</v>
      </c>
      <c r="Y66" s="263">
        <v>72</v>
      </c>
      <c r="Z66" s="263">
        <v>39</v>
      </c>
      <c r="AA66" s="263">
        <v>33</v>
      </c>
      <c r="AC66" s="621">
        <f t="shared" si="12"/>
        <v>33</v>
      </c>
      <c r="AD66" s="621">
        <f t="shared" si="13"/>
        <v>97</v>
      </c>
      <c r="AE66" s="621">
        <f t="shared" si="14"/>
        <v>111</v>
      </c>
    </row>
    <row r="67" spans="1:31" x14ac:dyDescent="0.3">
      <c r="A67" s="584" t="s">
        <v>162</v>
      </c>
      <c r="B67" s="186" t="s">
        <v>163</v>
      </c>
      <c r="C67" s="594" t="s">
        <v>252</v>
      </c>
      <c r="D67" s="520">
        <v>122</v>
      </c>
      <c r="E67" s="521">
        <v>67</v>
      </c>
      <c r="F67" s="521">
        <v>55</v>
      </c>
      <c r="G67" s="521">
        <v>0</v>
      </c>
      <c r="H67" s="521"/>
      <c r="I67" s="521">
        <v>59</v>
      </c>
      <c r="J67" s="521">
        <v>61</v>
      </c>
      <c r="K67" s="521">
        <v>0</v>
      </c>
      <c r="L67" s="521">
        <v>0</v>
      </c>
      <c r="M67" s="521">
        <v>0</v>
      </c>
      <c r="N67" s="521">
        <v>4</v>
      </c>
      <c r="O67" s="521">
        <v>5</v>
      </c>
      <c r="P67" s="263"/>
      <c r="Q67" s="588">
        <f t="shared" si="9"/>
        <v>59</v>
      </c>
      <c r="R67" s="589">
        <f t="shared" si="10"/>
        <v>61</v>
      </c>
      <c r="S67" s="589">
        <f t="shared" si="11"/>
        <v>0</v>
      </c>
      <c r="U67" s="263">
        <v>8</v>
      </c>
      <c r="V67" s="263">
        <v>21</v>
      </c>
      <c r="W67" s="263">
        <v>22</v>
      </c>
      <c r="X67" s="263">
        <v>30</v>
      </c>
      <c r="Y67" s="263">
        <v>23</v>
      </c>
      <c r="Z67" s="263">
        <v>7</v>
      </c>
      <c r="AA67" s="263">
        <v>11</v>
      </c>
      <c r="AC67" s="621">
        <f t="shared" si="12"/>
        <v>29</v>
      </c>
      <c r="AD67" s="621">
        <f t="shared" si="13"/>
        <v>52</v>
      </c>
      <c r="AE67" s="621">
        <f t="shared" si="14"/>
        <v>30</v>
      </c>
    </row>
    <row r="68" spans="1:31" x14ac:dyDescent="0.3">
      <c r="A68" s="584" t="s">
        <v>164</v>
      </c>
      <c r="B68" s="186" t="s">
        <v>165</v>
      </c>
      <c r="C68" s="594" t="s">
        <v>254</v>
      </c>
      <c r="D68" s="520">
        <v>159</v>
      </c>
      <c r="E68" s="521">
        <v>96</v>
      </c>
      <c r="F68" s="521">
        <v>62</v>
      </c>
      <c r="G68" s="521">
        <v>1</v>
      </c>
      <c r="H68" s="521"/>
      <c r="I68" s="521">
        <v>106</v>
      </c>
      <c r="J68" s="521">
        <v>44</v>
      </c>
      <c r="K68" s="521">
        <v>0</v>
      </c>
      <c r="L68" s="521">
        <v>0</v>
      </c>
      <c r="M68" s="521">
        <v>0</v>
      </c>
      <c r="N68" s="521">
        <v>19</v>
      </c>
      <c r="O68" s="521">
        <v>10</v>
      </c>
      <c r="P68" s="263"/>
      <c r="Q68" s="588">
        <f t="shared" si="9"/>
        <v>106</v>
      </c>
      <c r="R68" s="589">
        <f t="shared" si="10"/>
        <v>44</v>
      </c>
      <c r="S68" s="589">
        <f t="shared" si="11"/>
        <v>0</v>
      </c>
      <c r="U68" s="263">
        <v>6</v>
      </c>
      <c r="V68" s="263">
        <v>31</v>
      </c>
      <c r="W68" s="263">
        <v>36</v>
      </c>
      <c r="X68" s="263">
        <v>18</v>
      </c>
      <c r="Y68" s="263">
        <v>39</v>
      </c>
      <c r="Z68" s="263">
        <v>7</v>
      </c>
      <c r="AA68" s="263">
        <v>22</v>
      </c>
      <c r="AC68" s="621">
        <f t="shared" si="12"/>
        <v>37</v>
      </c>
      <c r="AD68" s="621">
        <f t="shared" si="13"/>
        <v>54</v>
      </c>
      <c r="AE68" s="621">
        <f t="shared" si="14"/>
        <v>46</v>
      </c>
    </row>
    <row r="69" spans="1:31" x14ac:dyDescent="0.3">
      <c r="A69" s="584" t="s">
        <v>168</v>
      </c>
      <c r="B69" s="186" t="s">
        <v>169</v>
      </c>
      <c r="C69" s="594" t="s">
        <v>254</v>
      </c>
      <c r="D69" s="520">
        <v>201</v>
      </c>
      <c r="E69" s="521">
        <v>92</v>
      </c>
      <c r="F69" s="521">
        <v>104</v>
      </c>
      <c r="G69" s="521">
        <v>5</v>
      </c>
      <c r="H69" s="521"/>
      <c r="I69" s="521">
        <v>110</v>
      </c>
      <c r="J69" s="521">
        <v>87</v>
      </c>
      <c r="K69" s="521">
        <v>0</v>
      </c>
      <c r="L69" s="521">
        <v>2</v>
      </c>
      <c r="M69" s="521">
        <v>3</v>
      </c>
      <c r="N69" s="521">
        <v>8</v>
      </c>
      <c r="O69" s="521">
        <v>14</v>
      </c>
      <c r="P69" s="263"/>
      <c r="Q69" s="588">
        <f t="shared" ref="Q69:Q100" si="15">I69</f>
        <v>110</v>
      </c>
      <c r="R69" s="589">
        <f t="shared" ref="R69:R100" si="16">J69</f>
        <v>87</v>
      </c>
      <c r="S69" s="589">
        <f t="shared" ref="S69:S100" si="17">SUM(K69:M69)</f>
        <v>5</v>
      </c>
      <c r="U69" s="263">
        <v>12</v>
      </c>
      <c r="V69" s="263">
        <v>43</v>
      </c>
      <c r="W69" s="263">
        <v>55</v>
      </c>
      <c r="X69" s="263">
        <v>19</v>
      </c>
      <c r="Y69" s="263">
        <v>31</v>
      </c>
      <c r="Z69" s="263">
        <v>14</v>
      </c>
      <c r="AA69" s="263">
        <v>27</v>
      </c>
      <c r="AC69" s="621">
        <f t="shared" ref="AC69:AC100" si="18">U69+V69</f>
        <v>55</v>
      </c>
      <c r="AD69" s="621">
        <f t="shared" ref="AD69:AD100" si="19">W69+X69</f>
        <v>74</v>
      </c>
      <c r="AE69" s="621">
        <f t="shared" ref="AE69:AE100" si="20">Y69+Z69</f>
        <v>45</v>
      </c>
    </row>
    <row r="70" spans="1:31" x14ac:dyDescent="0.3">
      <c r="A70" s="584" t="s">
        <v>170</v>
      </c>
      <c r="B70" s="186" t="s">
        <v>171</v>
      </c>
      <c r="C70" s="594" t="s">
        <v>255</v>
      </c>
      <c r="D70" s="520">
        <v>655</v>
      </c>
      <c r="E70" s="521">
        <v>308</v>
      </c>
      <c r="F70" s="521">
        <v>339</v>
      </c>
      <c r="G70" s="521">
        <v>8</v>
      </c>
      <c r="H70" s="521"/>
      <c r="I70" s="521">
        <v>521</v>
      </c>
      <c r="J70" s="521">
        <v>142</v>
      </c>
      <c r="K70" s="521">
        <v>5</v>
      </c>
      <c r="L70" s="521">
        <v>14</v>
      </c>
      <c r="M70" s="521">
        <v>2</v>
      </c>
      <c r="N70" s="521">
        <v>25</v>
      </c>
      <c r="O70" s="521">
        <v>25</v>
      </c>
      <c r="P70" s="263"/>
      <c r="Q70" s="588">
        <f t="shared" si="15"/>
        <v>521</v>
      </c>
      <c r="R70" s="589">
        <f t="shared" si="16"/>
        <v>142</v>
      </c>
      <c r="S70" s="589">
        <f t="shared" si="17"/>
        <v>21</v>
      </c>
      <c r="U70" s="263">
        <v>28</v>
      </c>
      <c r="V70" s="263">
        <v>78</v>
      </c>
      <c r="W70" s="263">
        <v>150</v>
      </c>
      <c r="X70" s="263">
        <v>161</v>
      </c>
      <c r="Y70" s="263">
        <v>122</v>
      </c>
      <c r="Z70" s="263">
        <v>46</v>
      </c>
      <c r="AA70" s="263">
        <v>70</v>
      </c>
      <c r="AC70" s="621">
        <f t="shared" si="18"/>
        <v>106</v>
      </c>
      <c r="AD70" s="621">
        <f t="shared" si="19"/>
        <v>311</v>
      </c>
      <c r="AE70" s="621">
        <f t="shared" si="20"/>
        <v>168</v>
      </c>
    </row>
    <row r="71" spans="1:31" x14ac:dyDescent="0.3">
      <c r="A71" s="584" t="s">
        <v>172</v>
      </c>
      <c r="B71" s="186" t="s">
        <v>173</v>
      </c>
      <c r="C71" s="594" t="s">
        <v>255</v>
      </c>
      <c r="D71" s="520">
        <v>316</v>
      </c>
      <c r="E71" s="521">
        <v>156</v>
      </c>
      <c r="F71" s="521">
        <v>153</v>
      </c>
      <c r="G71" s="521">
        <v>7</v>
      </c>
      <c r="H71" s="521"/>
      <c r="I71" s="521">
        <v>303</v>
      </c>
      <c r="J71" s="521">
        <v>11</v>
      </c>
      <c r="K71" s="521">
        <v>0</v>
      </c>
      <c r="L71" s="521">
        <v>0</v>
      </c>
      <c r="M71" s="521">
        <v>0</v>
      </c>
      <c r="N71" s="521">
        <v>8</v>
      </c>
      <c r="O71" s="521">
        <v>11</v>
      </c>
      <c r="P71" s="263"/>
      <c r="Q71" s="588">
        <f t="shared" si="15"/>
        <v>303</v>
      </c>
      <c r="R71" s="589">
        <f t="shared" si="16"/>
        <v>11</v>
      </c>
      <c r="S71" s="589">
        <f t="shared" si="17"/>
        <v>0</v>
      </c>
      <c r="U71" s="263">
        <v>44</v>
      </c>
      <c r="V71" s="263">
        <v>39</v>
      </c>
      <c r="W71" s="263">
        <v>47</v>
      </c>
      <c r="X71" s="263">
        <v>58</v>
      </c>
      <c r="Y71" s="263">
        <v>68</v>
      </c>
      <c r="Z71" s="263">
        <v>17</v>
      </c>
      <c r="AA71" s="263">
        <v>43</v>
      </c>
      <c r="AC71" s="621">
        <f t="shared" si="18"/>
        <v>83</v>
      </c>
      <c r="AD71" s="621">
        <f t="shared" si="19"/>
        <v>105</v>
      </c>
      <c r="AE71" s="621">
        <f t="shared" si="20"/>
        <v>85</v>
      </c>
    </row>
    <row r="72" spans="1:31" x14ac:dyDescent="0.3">
      <c r="A72" s="584" t="s">
        <v>174</v>
      </c>
      <c r="B72" s="186" t="s">
        <v>175</v>
      </c>
      <c r="C72" s="594" t="s">
        <v>256</v>
      </c>
      <c r="D72" s="520">
        <v>216</v>
      </c>
      <c r="E72" s="521">
        <v>121</v>
      </c>
      <c r="F72" s="521">
        <v>95</v>
      </c>
      <c r="G72" s="521">
        <v>0</v>
      </c>
      <c r="H72" s="521"/>
      <c r="I72" s="521">
        <v>208</v>
      </c>
      <c r="J72" s="521">
        <v>13</v>
      </c>
      <c r="K72" s="521">
        <v>0</v>
      </c>
      <c r="L72" s="521">
        <v>0</v>
      </c>
      <c r="M72" s="521">
        <v>0</v>
      </c>
      <c r="N72" s="521">
        <v>5</v>
      </c>
      <c r="O72" s="521">
        <v>14</v>
      </c>
      <c r="P72" s="263"/>
      <c r="Q72" s="588">
        <f t="shared" si="15"/>
        <v>208</v>
      </c>
      <c r="R72" s="589">
        <f t="shared" si="16"/>
        <v>13</v>
      </c>
      <c r="S72" s="589">
        <f t="shared" si="17"/>
        <v>0</v>
      </c>
      <c r="U72" s="263">
        <v>15</v>
      </c>
      <c r="V72" s="263">
        <v>23</v>
      </c>
      <c r="W72" s="263">
        <v>50</v>
      </c>
      <c r="X72" s="263">
        <v>53</v>
      </c>
      <c r="Y72" s="263">
        <v>50</v>
      </c>
      <c r="Z72" s="263">
        <v>12</v>
      </c>
      <c r="AA72" s="263">
        <v>13</v>
      </c>
      <c r="AC72" s="621">
        <f t="shared" si="18"/>
        <v>38</v>
      </c>
      <c r="AD72" s="621">
        <f t="shared" si="19"/>
        <v>103</v>
      </c>
      <c r="AE72" s="621">
        <f t="shared" si="20"/>
        <v>62</v>
      </c>
    </row>
    <row r="73" spans="1:31" x14ac:dyDescent="0.3">
      <c r="A73" s="584" t="s">
        <v>178</v>
      </c>
      <c r="B73" s="186" t="s">
        <v>179</v>
      </c>
      <c r="C73" s="594" t="s">
        <v>253</v>
      </c>
      <c r="D73" s="520">
        <v>945</v>
      </c>
      <c r="E73" s="521">
        <v>449</v>
      </c>
      <c r="F73" s="521">
        <v>484</v>
      </c>
      <c r="G73" s="521">
        <v>12</v>
      </c>
      <c r="H73" s="521"/>
      <c r="I73" s="521">
        <v>722</v>
      </c>
      <c r="J73" s="521">
        <v>197</v>
      </c>
      <c r="K73" s="521">
        <v>0</v>
      </c>
      <c r="L73" s="521">
        <v>4</v>
      </c>
      <c r="M73" s="521">
        <v>0</v>
      </c>
      <c r="N73" s="521">
        <v>71</v>
      </c>
      <c r="O73" s="521">
        <v>33</v>
      </c>
      <c r="P73" s="263"/>
      <c r="Q73" s="588">
        <f t="shared" si="15"/>
        <v>722</v>
      </c>
      <c r="R73" s="589">
        <f t="shared" si="16"/>
        <v>197</v>
      </c>
      <c r="S73" s="589">
        <f t="shared" si="17"/>
        <v>4</v>
      </c>
      <c r="U73" s="263">
        <v>59</v>
      </c>
      <c r="V73" s="263">
        <v>121</v>
      </c>
      <c r="W73" s="263">
        <v>174</v>
      </c>
      <c r="X73" s="263">
        <v>203</v>
      </c>
      <c r="Y73" s="263">
        <v>230</v>
      </c>
      <c r="Z73" s="263">
        <v>88</v>
      </c>
      <c r="AA73" s="263">
        <v>70</v>
      </c>
      <c r="AC73" s="621">
        <f t="shared" si="18"/>
        <v>180</v>
      </c>
      <c r="AD73" s="621">
        <f t="shared" si="19"/>
        <v>377</v>
      </c>
      <c r="AE73" s="621">
        <f t="shared" si="20"/>
        <v>318</v>
      </c>
    </row>
    <row r="74" spans="1:31" x14ac:dyDescent="0.3">
      <c r="A74" s="584" t="s">
        <v>182</v>
      </c>
      <c r="B74" s="186" t="s">
        <v>183</v>
      </c>
      <c r="C74" s="594" t="s">
        <v>254</v>
      </c>
      <c r="D74" s="520">
        <v>184</v>
      </c>
      <c r="E74" s="521">
        <v>90</v>
      </c>
      <c r="F74" s="521">
        <v>90</v>
      </c>
      <c r="G74" s="521">
        <v>4</v>
      </c>
      <c r="H74" s="521"/>
      <c r="I74" s="521">
        <v>149</v>
      </c>
      <c r="J74" s="521">
        <v>13</v>
      </c>
      <c r="K74" s="521">
        <v>1</v>
      </c>
      <c r="L74" s="521">
        <v>0</v>
      </c>
      <c r="M74" s="521">
        <v>0</v>
      </c>
      <c r="N74" s="521">
        <v>30</v>
      </c>
      <c r="O74" s="521">
        <v>8</v>
      </c>
      <c r="P74" s="263"/>
      <c r="Q74" s="588">
        <f t="shared" si="15"/>
        <v>149</v>
      </c>
      <c r="R74" s="589">
        <f t="shared" si="16"/>
        <v>13</v>
      </c>
      <c r="S74" s="589">
        <f t="shared" si="17"/>
        <v>1</v>
      </c>
      <c r="U74" s="263">
        <v>8</v>
      </c>
      <c r="V74" s="263">
        <v>15</v>
      </c>
      <c r="W74" s="263">
        <v>25</v>
      </c>
      <c r="X74" s="263">
        <v>35</v>
      </c>
      <c r="Y74" s="263">
        <v>40</v>
      </c>
      <c r="Z74" s="263">
        <v>12</v>
      </c>
      <c r="AA74" s="263">
        <v>49</v>
      </c>
      <c r="AC74" s="621">
        <f t="shared" si="18"/>
        <v>23</v>
      </c>
      <c r="AD74" s="621">
        <f t="shared" si="19"/>
        <v>60</v>
      </c>
      <c r="AE74" s="621">
        <f t="shared" si="20"/>
        <v>52</v>
      </c>
    </row>
    <row r="75" spans="1:31" x14ac:dyDescent="0.3">
      <c r="A75" s="584" t="s">
        <v>184</v>
      </c>
      <c r="B75" s="186" t="s">
        <v>185</v>
      </c>
      <c r="C75" s="594" t="s">
        <v>254</v>
      </c>
      <c r="D75" s="520">
        <v>192</v>
      </c>
      <c r="E75" s="521">
        <v>90</v>
      </c>
      <c r="F75" s="521">
        <v>100</v>
      </c>
      <c r="G75" s="521">
        <v>2</v>
      </c>
      <c r="H75" s="521"/>
      <c r="I75" s="521">
        <v>79</v>
      </c>
      <c r="J75" s="521">
        <v>86</v>
      </c>
      <c r="K75" s="521">
        <v>0</v>
      </c>
      <c r="L75" s="521">
        <v>2</v>
      </c>
      <c r="M75" s="521">
        <v>0</v>
      </c>
      <c r="N75" s="521">
        <v>35</v>
      </c>
      <c r="O75" s="521">
        <v>5</v>
      </c>
      <c r="P75" s="263"/>
      <c r="Q75" s="588">
        <f t="shared" si="15"/>
        <v>79</v>
      </c>
      <c r="R75" s="589">
        <f t="shared" si="16"/>
        <v>86</v>
      </c>
      <c r="S75" s="589">
        <f t="shared" si="17"/>
        <v>2</v>
      </c>
      <c r="U75" s="263">
        <v>21</v>
      </c>
      <c r="V75" s="263">
        <v>36</v>
      </c>
      <c r="W75" s="263">
        <v>32</v>
      </c>
      <c r="X75" s="263">
        <v>36</v>
      </c>
      <c r="Y75" s="263">
        <v>24</v>
      </c>
      <c r="Z75" s="263">
        <v>12</v>
      </c>
      <c r="AA75" s="263">
        <v>31</v>
      </c>
      <c r="AC75" s="621">
        <f t="shared" si="18"/>
        <v>57</v>
      </c>
      <c r="AD75" s="621">
        <f t="shared" si="19"/>
        <v>68</v>
      </c>
      <c r="AE75" s="621">
        <f t="shared" si="20"/>
        <v>36</v>
      </c>
    </row>
    <row r="76" spans="1:31" x14ac:dyDescent="0.3">
      <c r="A76" s="584" t="s">
        <v>186</v>
      </c>
      <c r="B76" s="186" t="s">
        <v>187</v>
      </c>
      <c r="C76" s="594" t="s">
        <v>252</v>
      </c>
      <c r="D76" s="520">
        <v>497</v>
      </c>
      <c r="E76" s="521">
        <v>238</v>
      </c>
      <c r="F76" s="521">
        <v>250</v>
      </c>
      <c r="G76" s="521">
        <v>9</v>
      </c>
      <c r="H76" s="521"/>
      <c r="I76" s="521">
        <v>318</v>
      </c>
      <c r="J76" s="521">
        <v>136</v>
      </c>
      <c r="K76" s="521">
        <v>9</v>
      </c>
      <c r="L76" s="521">
        <v>5</v>
      </c>
      <c r="M76" s="521">
        <v>1</v>
      </c>
      <c r="N76" s="521">
        <v>63</v>
      </c>
      <c r="O76" s="521">
        <v>35</v>
      </c>
      <c r="P76" s="263"/>
      <c r="Q76" s="588">
        <f t="shared" si="15"/>
        <v>318</v>
      </c>
      <c r="R76" s="589">
        <f t="shared" si="16"/>
        <v>136</v>
      </c>
      <c r="S76" s="589">
        <f t="shared" si="17"/>
        <v>15</v>
      </c>
      <c r="U76" s="263">
        <v>31</v>
      </c>
      <c r="V76" s="263">
        <v>70</v>
      </c>
      <c r="W76" s="263">
        <v>111</v>
      </c>
      <c r="X76" s="263">
        <v>91</v>
      </c>
      <c r="Y76" s="263">
        <v>82</v>
      </c>
      <c r="Z76" s="263">
        <v>45</v>
      </c>
      <c r="AA76" s="263">
        <v>67</v>
      </c>
      <c r="AC76" s="621">
        <f t="shared" si="18"/>
        <v>101</v>
      </c>
      <c r="AD76" s="621">
        <f t="shared" si="19"/>
        <v>202</v>
      </c>
      <c r="AE76" s="621">
        <f t="shared" si="20"/>
        <v>127</v>
      </c>
    </row>
    <row r="77" spans="1:31" x14ac:dyDescent="0.3">
      <c r="A77" s="584" t="s">
        <v>188</v>
      </c>
      <c r="B77" s="186" t="s">
        <v>189</v>
      </c>
      <c r="C77" s="594" t="s">
        <v>255</v>
      </c>
      <c r="D77" s="520">
        <v>6065</v>
      </c>
      <c r="E77" s="521">
        <v>2957</v>
      </c>
      <c r="F77" s="521">
        <v>3018</v>
      </c>
      <c r="G77" s="521">
        <v>90</v>
      </c>
      <c r="H77" s="521"/>
      <c r="I77" s="521">
        <v>3579</v>
      </c>
      <c r="J77" s="521">
        <v>2114</v>
      </c>
      <c r="K77" s="521">
        <v>199</v>
      </c>
      <c r="L77" s="521">
        <v>20</v>
      </c>
      <c r="M77" s="521">
        <v>13</v>
      </c>
      <c r="N77" s="521">
        <v>561</v>
      </c>
      <c r="O77" s="521">
        <v>1895</v>
      </c>
      <c r="P77" s="263"/>
      <c r="Q77" s="588">
        <f t="shared" si="15"/>
        <v>3579</v>
      </c>
      <c r="R77" s="589">
        <f t="shared" si="16"/>
        <v>2114</v>
      </c>
      <c r="S77" s="589">
        <f t="shared" si="17"/>
        <v>232</v>
      </c>
      <c r="U77" s="263">
        <v>287</v>
      </c>
      <c r="V77" s="263">
        <v>663</v>
      </c>
      <c r="W77" s="263">
        <v>1282</v>
      </c>
      <c r="X77" s="263">
        <v>1397</v>
      </c>
      <c r="Y77" s="263">
        <v>1234</v>
      </c>
      <c r="Z77" s="263">
        <v>588</v>
      </c>
      <c r="AA77" s="263">
        <v>614</v>
      </c>
      <c r="AC77" s="621">
        <f t="shared" si="18"/>
        <v>950</v>
      </c>
      <c r="AD77" s="621">
        <f t="shared" si="19"/>
        <v>2679</v>
      </c>
      <c r="AE77" s="621">
        <f t="shared" si="20"/>
        <v>1822</v>
      </c>
    </row>
    <row r="78" spans="1:31" x14ac:dyDescent="0.3">
      <c r="A78" s="584" t="s">
        <v>190</v>
      </c>
      <c r="B78" s="186" t="s">
        <v>191</v>
      </c>
      <c r="C78" s="594" t="s">
        <v>256</v>
      </c>
      <c r="D78" s="520">
        <v>1358</v>
      </c>
      <c r="E78" s="521">
        <v>701</v>
      </c>
      <c r="F78" s="521">
        <v>646</v>
      </c>
      <c r="G78" s="521">
        <v>11</v>
      </c>
      <c r="H78" s="521"/>
      <c r="I78" s="521">
        <v>1212</v>
      </c>
      <c r="J78" s="521">
        <v>196</v>
      </c>
      <c r="K78" s="521">
        <v>0</v>
      </c>
      <c r="L78" s="521">
        <v>10</v>
      </c>
      <c r="M78" s="521">
        <v>4</v>
      </c>
      <c r="N78" s="521">
        <v>72</v>
      </c>
      <c r="O78" s="521">
        <v>54</v>
      </c>
      <c r="P78" s="263"/>
      <c r="Q78" s="588">
        <f t="shared" si="15"/>
        <v>1212</v>
      </c>
      <c r="R78" s="589">
        <f t="shared" si="16"/>
        <v>196</v>
      </c>
      <c r="S78" s="589">
        <f t="shared" si="17"/>
        <v>14</v>
      </c>
      <c r="U78" s="263">
        <v>104</v>
      </c>
      <c r="V78" s="263">
        <v>241</v>
      </c>
      <c r="W78" s="263">
        <v>282</v>
      </c>
      <c r="X78" s="263">
        <v>302</v>
      </c>
      <c r="Y78" s="263">
        <v>263</v>
      </c>
      <c r="Z78" s="263">
        <v>94</v>
      </c>
      <c r="AA78" s="263">
        <v>72</v>
      </c>
      <c r="AC78" s="621">
        <f t="shared" si="18"/>
        <v>345</v>
      </c>
      <c r="AD78" s="621">
        <f t="shared" si="19"/>
        <v>584</v>
      </c>
      <c r="AE78" s="621">
        <f t="shared" si="20"/>
        <v>357</v>
      </c>
    </row>
    <row r="79" spans="1:31" x14ac:dyDescent="0.3">
      <c r="A79" s="584" t="s">
        <v>194</v>
      </c>
      <c r="B79" s="186" t="s">
        <v>195</v>
      </c>
      <c r="C79" s="594" t="s">
        <v>255</v>
      </c>
      <c r="D79" s="520">
        <v>101</v>
      </c>
      <c r="E79" s="521">
        <v>70</v>
      </c>
      <c r="F79" s="521">
        <v>27</v>
      </c>
      <c r="G79" s="521">
        <v>4</v>
      </c>
      <c r="H79" s="521"/>
      <c r="I79" s="521">
        <v>87</v>
      </c>
      <c r="J79" s="521">
        <v>32</v>
      </c>
      <c r="K79" s="521">
        <v>0</v>
      </c>
      <c r="L79" s="521">
        <v>0</v>
      </c>
      <c r="M79" s="521">
        <v>0</v>
      </c>
      <c r="N79" s="521">
        <v>3</v>
      </c>
      <c r="O79" s="521">
        <v>4</v>
      </c>
      <c r="P79" s="263"/>
      <c r="Q79" s="588">
        <f t="shared" si="15"/>
        <v>87</v>
      </c>
      <c r="R79" s="589">
        <f t="shared" si="16"/>
        <v>32</v>
      </c>
      <c r="S79" s="589">
        <f t="shared" si="17"/>
        <v>0</v>
      </c>
      <c r="U79" s="263">
        <v>10</v>
      </c>
      <c r="V79" s="263">
        <v>7</v>
      </c>
      <c r="W79" s="263">
        <v>25</v>
      </c>
      <c r="X79" s="263">
        <v>27</v>
      </c>
      <c r="Y79" s="263">
        <v>10</v>
      </c>
      <c r="Z79" s="263">
        <v>9</v>
      </c>
      <c r="AA79" s="263">
        <v>13</v>
      </c>
      <c r="AC79" s="621">
        <f t="shared" si="18"/>
        <v>17</v>
      </c>
      <c r="AD79" s="621">
        <f t="shared" si="19"/>
        <v>52</v>
      </c>
      <c r="AE79" s="621">
        <f t="shared" si="20"/>
        <v>19</v>
      </c>
    </row>
    <row r="80" spans="1:31" x14ac:dyDescent="0.3">
      <c r="A80" s="584" t="s">
        <v>198</v>
      </c>
      <c r="B80" s="186" t="s">
        <v>260</v>
      </c>
      <c r="C80" s="594" t="s">
        <v>254</v>
      </c>
      <c r="D80" s="520">
        <v>75</v>
      </c>
      <c r="E80" s="521">
        <v>39</v>
      </c>
      <c r="F80" s="521">
        <v>36</v>
      </c>
      <c r="G80" s="521">
        <v>0</v>
      </c>
      <c r="H80" s="521"/>
      <c r="I80" s="521">
        <v>47</v>
      </c>
      <c r="J80" s="521">
        <v>29</v>
      </c>
      <c r="K80" s="521">
        <v>0</v>
      </c>
      <c r="L80" s="521">
        <v>0</v>
      </c>
      <c r="M80" s="521">
        <v>0</v>
      </c>
      <c r="N80" s="521">
        <v>6</v>
      </c>
      <c r="O80" s="521">
        <v>1</v>
      </c>
      <c r="P80" s="263"/>
      <c r="Q80" s="588">
        <f t="shared" si="15"/>
        <v>47</v>
      </c>
      <c r="R80" s="589">
        <f t="shared" si="16"/>
        <v>29</v>
      </c>
      <c r="S80" s="589">
        <f t="shared" si="17"/>
        <v>0</v>
      </c>
      <c r="U80" s="263">
        <v>6</v>
      </c>
      <c r="V80" s="263">
        <v>11</v>
      </c>
      <c r="W80" s="263">
        <v>19</v>
      </c>
      <c r="X80" s="263">
        <v>16</v>
      </c>
      <c r="Y80" s="263">
        <v>6</v>
      </c>
      <c r="Z80" s="263">
        <v>4</v>
      </c>
      <c r="AA80" s="263">
        <v>13</v>
      </c>
      <c r="AC80" s="621">
        <f t="shared" si="18"/>
        <v>17</v>
      </c>
      <c r="AD80" s="621">
        <f t="shared" si="19"/>
        <v>35</v>
      </c>
      <c r="AE80" s="621">
        <f t="shared" si="20"/>
        <v>10</v>
      </c>
    </row>
    <row r="81" spans="1:31" x14ac:dyDescent="0.3">
      <c r="A81" s="584" t="s">
        <v>202</v>
      </c>
      <c r="B81" s="186" t="s">
        <v>289</v>
      </c>
      <c r="C81" s="594" t="s">
        <v>253</v>
      </c>
      <c r="D81" s="520">
        <v>2065</v>
      </c>
      <c r="E81" s="521">
        <v>1009</v>
      </c>
      <c r="F81" s="521">
        <v>1025</v>
      </c>
      <c r="G81" s="521">
        <v>31</v>
      </c>
      <c r="H81" s="521"/>
      <c r="I81" s="521">
        <v>1736</v>
      </c>
      <c r="J81" s="521">
        <v>314</v>
      </c>
      <c r="K81" s="521">
        <v>27</v>
      </c>
      <c r="L81" s="521">
        <v>13</v>
      </c>
      <c r="M81" s="521">
        <v>1</v>
      </c>
      <c r="N81" s="521">
        <v>131</v>
      </c>
      <c r="O81" s="521">
        <v>75</v>
      </c>
      <c r="P81" s="263"/>
      <c r="Q81" s="588">
        <f t="shared" si="15"/>
        <v>1736</v>
      </c>
      <c r="R81" s="589">
        <f t="shared" si="16"/>
        <v>314</v>
      </c>
      <c r="S81" s="589">
        <f t="shared" si="17"/>
        <v>41</v>
      </c>
      <c r="U81" s="263">
        <v>159</v>
      </c>
      <c r="V81" s="263">
        <v>246</v>
      </c>
      <c r="W81" s="263">
        <v>383</v>
      </c>
      <c r="X81" s="263">
        <v>510</v>
      </c>
      <c r="Y81" s="263">
        <v>462</v>
      </c>
      <c r="Z81" s="263">
        <v>176</v>
      </c>
      <c r="AA81" s="263">
        <v>129</v>
      </c>
      <c r="AC81" s="621">
        <f t="shared" si="18"/>
        <v>405</v>
      </c>
      <c r="AD81" s="621">
        <f t="shared" si="19"/>
        <v>893</v>
      </c>
      <c r="AE81" s="621">
        <f t="shared" si="20"/>
        <v>638</v>
      </c>
    </row>
    <row r="82" spans="1:31" x14ac:dyDescent="0.3">
      <c r="A82" s="584" t="s">
        <v>204</v>
      </c>
      <c r="B82" s="186" t="s">
        <v>281</v>
      </c>
      <c r="C82" s="594" t="s">
        <v>253</v>
      </c>
      <c r="D82" s="520">
        <v>890</v>
      </c>
      <c r="E82" s="521">
        <v>440</v>
      </c>
      <c r="F82" s="521">
        <v>417</v>
      </c>
      <c r="G82" s="521">
        <v>33</v>
      </c>
      <c r="H82" s="521"/>
      <c r="I82" s="521">
        <v>805</v>
      </c>
      <c r="J82" s="521">
        <v>73</v>
      </c>
      <c r="K82" s="521">
        <v>0</v>
      </c>
      <c r="L82" s="521">
        <v>3</v>
      </c>
      <c r="M82" s="521">
        <v>0</v>
      </c>
      <c r="N82" s="521">
        <v>52</v>
      </c>
      <c r="O82" s="521">
        <v>27</v>
      </c>
      <c r="P82" s="263"/>
      <c r="Q82" s="588">
        <f t="shared" si="15"/>
        <v>805</v>
      </c>
      <c r="R82" s="589">
        <f t="shared" si="16"/>
        <v>73</v>
      </c>
      <c r="S82" s="589">
        <f t="shared" si="17"/>
        <v>3</v>
      </c>
      <c r="U82" s="263">
        <v>62</v>
      </c>
      <c r="V82" s="263">
        <v>126</v>
      </c>
      <c r="W82" s="263">
        <v>191</v>
      </c>
      <c r="X82" s="263">
        <v>148</v>
      </c>
      <c r="Y82" s="263">
        <v>176</v>
      </c>
      <c r="Z82" s="263">
        <v>49</v>
      </c>
      <c r="AA82" s="263">
        <v>138</v>
      </c>
      <c r="AC82" s="621">
        <f t="shared" si="18"/>
        <v>188</v>
      </c>
      <c r="AD82" s="621">
        <f t="shared" si="19"/>
        <v>339</v>
      </c>
      <c r="AE82" s="621">
        <f t="shared" si="20"/>
        <v>225</v>
      </c>
    </row>
    <row r="83" spans="1:31" x14ac:dyDescent="0.3">
      <c r="A83" s="584" t="s">
        <v>206</v>
      </c>
      <c r="B83" s="186" t="s">
        <v>282</v>
      </c>
      <c r="C83" s="594" t="s">
        <v>255</v>
      </c>
      <c r="D83" s="520">
        <v>3349</v>
      </c>
      <c r="E83" s="521">
        <v>1702</v>
      </c>
      <c r="F83" s="521">
        <v>1609</v>
      </c>
      <c r="G83" s="521">
        <v>38</v>
      </c>
      <c r="H83" s="521"/>
      <c r="I83" s="521">
        <v>3062</v>
      </c>
      <c r="J83" s="521">
        <v>309</v>
      </c>
      <c r="K83" s="521">
        <v>3</v>
      </c>
      <c r="L83" s="521">
        <v>19</v>
      </c>
      <c r="M83" s="521">
        <v>4</v>
      </c>
      <c r="N83" s="521">
        <v>92</v>
      </c>
      <c r="O83" s="521">
        <v>606</v>
      </c>
      <c r="P83" s="263"/>
      <c r="Q83" s="588">
        <f t="shared" si="15"/>
        <v>3062</v>
      </c>
      <c r="R83" s="589">
        <f t="shared" si="16"/>
        <v>309</v>
      </c>
      <c r="S83" s="589">
        <f t="shared" si="17"/>
        <v>26</v>
      </c>
      <c r="U83" s="263">
        <v>226</v>
      </c>
      <c r="V83" s="263">
        <v>448</v>
      </c>
      <c r="W83" s="263">
        <v>809</v>
      </c>
      <c r="X83" s="263">
        <v>744</v>
      </c>
      <c r="Y83" s="263">
        <v>675</v>
      </c>
      <c r="Z83" s="263">
        <v>234</v>
      </c>
      <c r="AA83" s="263">
        <v>213</v>
      </c>
      <c r="AC83" s="621">
        <f t="shared" si="18"/>
        <v>674</v>
      </c>
      <c r="AD83" s="621">
        <f t="shared" si="19"/>
        <v>1553</v>
      </c>
      <c r="AE83" s="621">
        <f t="shared" si="20"/>
        <v>909</v>
      </c>
    </row>
    <row r="84" spans="1:31" x14ac:dyDescent="0.3">
      <c r="A84" s="584" t="s">
        <v>208</v>
      </c>
      <c r="B84" s="186" t="s">
        <v>209</v>
      </c>
      <c r="C84" s="594" t="s">
        <v>256</v>
      </c>
      <c r="D84" s="520">
        <v>1116</v>
      </c>
      <c r="E84" s="521">
        <v>520</v>
      </c>
      <c r="F84" s="521">
        <v>585</v>
      </c>
      <c r="G84" s="521">
        <v>11</v>
      </c>
      <c r="H84" s="521"/>
      <c r="I84" s="521">
        <v>1098</v>
      </c>
      <c r="J84" s="521">
        <v>13</v>
      </c>
      <c r="K84" s="521">
        <v>0</v>
      </c>
      <c r="L84" s="521">
        <v>0</v>
      </c>
      <c r="M84" s="521">
        <v>0</v>
      </c>
      <c r="N84" s="521">
        <v>13</v>
      </c>
      <c r="O84" s="521">
        <v>11</v>
      </c>
      <c r="P84" s="263"/>
      <c r="Q84" s="588">
        <f t="shared" si="15"/>
        <v>1098</v>
      </c>
      <c r="R84" s="589">
        <f t="shared" si="16"/>
        <v>13</v>
      </c>
      <c r="S84" s="589">
        <f t="shared" si="17"/>
        <v>0</v>
      </c>
      <c r="U84" s="263">
        <v>113</v>
      </c>
      <c r="V84" s="263">
        <v>192</v>
      </c>
      <c r="W84" s="263">
        <v>246</v>
      </c>
      <c r="X84" s="263">
        <v>232</v>
      </c>
      <c r="Y84" s="263">
        <v>206</v>
      </c>
      <c r="Z84" s="263">
        <v>79</v>
      </c>
      <c r="AA84" s="263">
        <v>48</v>
      </c>
      <c r="AC84" s="621">
        <f t="shared" si="18"/>
        <v>305</v>
      </c>
      <c r="AD84" s="621">
        <f t="shared" si="19"/>
        <v>478</v>
      </c>
      <c r="AE84" s="621">
        <f t="shared" si="20"/>
        <v>285</v>
      </c>
    </row>
    <row r="85" spans="1:31" x14ac:dyDescent="0.3">
      <c r="A85" s="584" t="s">
        <v>210</v>
      </c>
      <c r="B85" s="186" t="s">
        <v>211</v>
      </c>
      <c r="C85" s="594" t="s">
        <v>256</v>
      </c>
      <c r="D85" s="520">
        <v>736</v>
      </c>
      <c r="E85" s="521">
        <v>403</v>
      </c>
      <c r="F85" s="521">
        <v>332</v>
      </c>
      <c r="G85" s="521">
        <v>1</v>
      </c>
      <c r="H85" s="521"/>
      <c r="I85" s="521">
        <v>711</v>
      </c>
      <c r="J85" s="521">
        <v>17</v>
      </c>
      <c r="K85" s="521">
        <v>0</v>
      </c>
      <c r="L85" s="521">
        <v>10</v>
      </c>
      <c r="M85" s="521">
        <v>0</v>
      </c>
      <c r="N85" s="521">
        <v>35</v>
      </c>
      <c r="O85" s="521">
        <v>14</v>
      </c>
      <c r="P85" s="263"/>
      <c r="Q85" s="588">
        <f t="shared" si="15"/>
        <v>711</v>
      </c>
      <c r="R85" s="589">
        <f t="shared" si="16"/>
        <v>17</v>
      </c>
      <c r="S85" s="589">
        <f t="shared" si="17"/>
        <v>10</v>
      </c>
      <c r="U85" s="263">
        <v>42</v>
      </c>
      <c r="V85" s="263">
        <v>125</v>
      </c>
      <c r="W85" s="263">
        <v>180</v>
      </c>
      <c r="X85" s="263">
        <v>161</v>
      </c>
      <c r="Y85" s="263">
        <v>153</v>
      </c>
      <c r="Z85" s="263">
        <v>43</v>
      </c>
      <c r="AA85" s="263">
        <v>32</v>
      </c>
      <c r="AC85" s="621">
        <f t="shared" si="18"/>
        <v>167</v>
      </c>
      <c r="AD85" s="621">
        <f t="shared" si="19"/>
        <v>341</v>
      </c>
      <c r="AE85" s="621">
        <f t="shared" si="20"/>
        <v>196</v>
      </c>
    </row>
    <row r="86" spans="1:31" x14ac:dyDescent="0.3">
      <c r="A86" s="584" t="s">
        <v>212</v>
      </c>
      <c r="B86" s="186" t="s">
        <v>213</v>
      </c>
      <c r="C86" s="594" t="s">
        <v>255</v>
      </c>
      <c r="D86" s="520">
        <v>1027</v>
      </c>
      <c r="E86" s="521">
        <v>539</v>
      </c>
      <c r="F86" s="521">
        <v>474</v>
      </c>
      <c r="G86" s="521">
        <v>14</v>
      </c>
      <c r="H86" s="521"/>
      <c r="I86" s="521">
        <v>906</v>
      </c>
      <c r="J86" s="521">
        <v>60</v>
      </c>
      <c r="K86" s="521">
        <v>6</v>
      </c>
      <c r="L86" s="521">
        <v>1</v>
      </c>
      <c r="M86" s="521">
        <v>0</v>
      </c>
      <c r="N86" s="521">
        <v>99</v>
      </c>
      <c r="O86" s="521">
        <v>101</v>
      </c>
      <c r="P86" s="263"/>
      <c r="Q86" s="588">
        <f t="shared" si="15"/>
        <v>906</v>
      </c>
      <c r="R86" s="589">
        <f t="shared" si="16"/>
        <v>60</v>
      </c>
      <c r="S86" s="589">
        <f t="shared" si="17"/>
        <v>7</v>
      </c>
      <c r="U86" s="263">
        <v>84</v>
      </c>
      <c r="V86" s="263">
        <v>122</v>
      </c>
      <c r="W86" s="263">
        <v>241</v>
      </c>
      <c r="X86" s="263">
        <v>218</v>
      </c>
      <c r="Y86" s="263">
        <v>222</v>
      </c>
      <c r="Z86" s="263">
        <v>80</v>
      </c>
      <c r="AA86" s="263">
        <v>60</v>
      </c>
      <c r="AC86" s="621">
        <f t="shared" si="18"/>
        <v>206</v>
      </c>
      <c r="AD86" s="621">
        <f t="shared" si="19"/>
        <v>459</v>
      </c>
      <c r="AE86" s="621">
        <f t="shared" si="20"/>
        <v>302</v>
      </c>
    </row>
    <row r="87" spans="1:31" x14ac:dyDescent="0.3">
      <c r="A87" s="584" t="s">
        <v>214</v>
      </c>
      <c r="B87" s="186" t="s">
        <v>215</v>
      </c>
      <c r="C87" s="594" t="s">
        <v>256</v>
      </c>
      <c r="D87" s="520">
        <v>1025</v>
      </c>
      <c r="E87" s="521">
        <v>487</v>
      </c>
      <c r="F87" s="521">
        <v>524</v>
      </c>
      <c r="G87" s="521">
        <v>14</v>
      </c>
      <c r="H87" s="521"/>
      <c r="I87" s="521">
        <v>977</v>
      </c>
      <c r="J87" s="521">
        <v>26</v>
      </c>
      <c r="K87" s="521">
        <v>1</v>
      </c>
      <c r="L87" s="521">
        <v>2</v>
      </c>
      <c r="M87" s="521">
        <v>0</v>
      </c>
      <c r="N87" s="521">
        <v>37</v>
      </c>
      <c r="O87" s="521">
        <v>43</v>
      </c>
      <c r="P87" s="263"/>
      <c r="Q87" s="588">
        <f t="shared" si="15"/>
        <v>977</v>
      </c>
      <c r="R87" s="589">
        <f t="shared" si="16"/>
        <v>26</v>
      </c>
      <c r="S87" s="589">
        <f t="shared" si="17"/>
        <v>3</v>
      </c>
      <c r="U87" s="263">
        <v>98</v>
      </c>
      <c r="V87" s="263">
        <v>192</v>
      </c>
      <c r="W87" s="263">
        <v>212</v>
      </c>
      <c r="X87" s="263">
        <v>176</v>
      </c>
      <c r="Y87" s="263">
        <v>203</v>
      </c>
      <c r="Z87" s="263">
        <v>68</v>
      </c>
      <c r="AA87" s="263">
        <v>76</v>
      </c>
      <c r="AC87" s="621">
        <f t="shared" si="18"/>
        <v>290</v>
      </c>
      <c r="AD87" s="621">
        <f t="shared" si="19"/>
        <v>388</v>
      </c>
      <c r="AE87" s="621">
        <f t="shared" si="20"/>
        <v>271</v>
      </c>
    </row>
    <row r="88" spans="1:31" x14ac:dyDescent="0.3">
      <c r="A88" s="584" t="s">
        <v>216</v>
      </c>
      <c r="B88" s="186" t="s">
        <v>217</v>
      </c>
      <c r="C88" s="594" t="s">
        <v>252</v>
      </c>
      <c r="D88" s="520">
        <v>148</v>
      </c>
      <c r="E88" s="521">
        <v>75</v>
      </c>
      <c r="F88" s="521">
        <v>71</v>
      </c>
      <c r="G88" s="521">
        <v>2</v>
      </c>
      <c r="H88" s="521"/>
      <c r="I88" s="521">
        <v>96</v>
      </c>
      <c r="J88" s="521">
        <v>43</v>
      </c>
      <c r="K88" s="521">
        <v>0</v>
      </c>
      <c r="L88" s="521">
        <v>1</v>
      </c>
      <c r="M88" s="521">
        <v>0</v>
      </c>
      <c r="N88" s="521">
        <v>11</v>
      </c>
      <c r="O88" s="521">
        <v>1</v>
      </c>
      <c r="P88" s="263"/>
      <c r="Q88" s="588">
        <f t="shared" si="15"/>
        <v>96</v>
      </c>
      <c r="R88" s="589">
        <f t="shared" si="16"/>
        <v>43</v>
      </c>
      <c r="S88" s="589">
        <f t="shared" si="17"/>
        <v>1</v>
      </c>
      <c r="U88" s="263">
        <v>16</v>
      </c>
      <c r="V88" s="263">
        <v>16</v>
      </c>
      <c r="W88" s="263">
        <v>31</v>
      </c>
      <c r="X88" s="263">
        <v>33</v>
      </c>
      <c r="Y88" s="263">
        <v>15</v>
      </c>
      <c r="Z88" s="263">
        <v>12</v>
      </c>
      <c r="AA88" s="263">
        <v>25</v>
      </c>
      <c r="AC88" s="621">
        <f t="shared" si="18"/>
        <v>32</v>
      </c>
      <c r="AD88" s="621">
        <f t="shared" si="19"/>
        <v>64</v>
      </c>
      <c r="AE88" s="621">
        <f t="shared" si="20"/>
        <v>27</v>
      </c>
    </row>
    <row r="89" spans="1:31" x14ac:dyDescent="0.3">
      <c r="A89" s="584" t="s">
        <v>218</v>
      </c>
      <c r="B89" s="186" t="s">
        <v>219</v>
      </c>
      <c r="C89" s="594" t="s">
        <v>255</v>
      </c>
      <c r="D89" s="520">
        <v>1781</v>
      </c>
      <c r="E89" s="521">
        <v>842</v>
      </c>
      <c r="F89" s="521">
        <v>908</v>
      </c>
      <c r="G89" s="521">
        <v>31</v>
      </c>
      <c r="H89" s="521"/>
      <c r="I89" s="521">
        <v>1177</v>
      </c>
      <c r="J89" s="521">
        <v>512</v>
      </c>
      <c r="K89" s="521">
        <v>21</v>
      </c>
      <c r="L89" s="521">
        <v>5</v>
      </c>
      <c r="M89" s="521">
        <v>5</v>
      </c>
      <c r="N89" s="521">
        <v>224</v>
      </c>
      <c r="O89" s="521">
        <v>149</v>
      </c>
      <c r="P89" s="263"/>
      <c r="Q89" s="588">
        <f t="shared" si="15"/>
        <v>1177</v>
      </c>
      <c r="R89" s="589">
        <f t="shared" si="16"/>
        <v>512</v>
      </c>
      <c r="S89" s="589">
        <f t="shared" si="17"/>
        <v>31</v>
      </c>
      <c r="U89" s="263">
        <v>173</v>
      </c>
      <c r="V89" s="263">
        <v>229</v>
      </c>
      <c r="W89" s="263">
        <v>341</v>
      </c>
      <c r="X89" s="263">
        <v>342</v>
      </c>
      <c r="Y89" s="263">
        <v>330</v>
      </c>
      <c r="Z89" s="263">
        <v>137</v>
      </c>
      <c r="AA89" s="263">
        <v>229</v>
      </c>
      <c r="AC89" s="621">
        <f t="shared" si="18"/>
        <v>402</v>
      </c>
      <c r="AD89" s="621">
        <f t="shared" si="19"/>
        <v>683</v>
      </c>
      <c r="AE89" s="621">
        <f t="shared" si="20"/>
        <v>467</v>
      </c>
    </row>
    <row r="90" spans="1:31" x14ac:dyDescent="0.3">
      <c r="A90" s="584" t="s">
        <v>220</v>
      </c>
      <c r="B90" s="186" t="s">
        <v>221</v>
      </c>
      <c r="C90" s="594" t="s">
        <v>255</v>
      </c>
      <c r="D90" s="520">
        <v>1653</v>
      </c>
      <c r="E90" s="521">
        <v>783</v>
      </c>
      <c r="F90" s="521">
        <v>838</v>
      </c>
      <c r="G90" s="521">
        <v>32</v>
      </c>
      <c r="H90" s="521"/>
      <c r="I90" s="521">
        <v>1109</v>
      </c>
      <c r="J90" s="521">
        <v>466</v>
      </c>
      <c r="K90" s="521">
        <v>35</v>
      </c>
      <c r="L90" s="521">
        <v>5</v>
      </c>
      <c r="M90" s="521">
        <v>5</v>
      </c>
      <c r="N90" s="521">
        <v>135</v>
      </c>
      <c r="O90" s="521">
        <v>175</v>
      </c>
      <c r="P90" s="263"/>
      <c r="Q90" s="588">
        <f t="shared" si="15"/>
        <v>1109</v>
      </c>
      <c r="R90" s="589">
        <f t="shared" si="16"/>
        <v>466</v>
      </c>
      <c r="S90" s="589">
        <f t="shared" si="17"/>
        <v>45</v>
      </c>
      <c r="U90" s="263">
        <v>140</v>
      </c>
      <c r="V90" s="263">
        <v>253</v>
      </c>
      <c r="W90" s="263">
        <v>340</v>
      </c>
      <c r="X90" s="263">
        <v>315</v>
      </c>
      <c r="Y90" s="263">
        <v>282</v>
      </c>
      <c r="Z90" s="263">
        <v>118</v>
      </c>
      <c r="AA90" s="263">
        <v>205</v>
      </c>
      <c r="AC90" s="621">
        <f t="shared" si="18"/>
        <v>393</v>
      </c>
      <c r="AD90" s="621">
        <f t="shared" si="19"/>
        <v>655</v>
      </c>
      <c r="AE90" s="621">
        <f t="shared" si="20"/>
        <v>400</v>
      </c>
    </row>
    <row r="91" spans="1:31" x14ac:dyDescent="0.3">
      <c r="A91" s="584" t="s">
        <v>224</v>
      </c>
      <c r="B91" s="186" t="s">
        <v>225</v>
      </c>
      <c r="C91" s="594" t="s">
        <v>252</v>
      </c>
      <c r="D91" s="520">
        <v>43</v>
      </c>
      <c r="E91" s="521">
        <v>25</v>
      </c>
      <c r="F91" s="521">
        <v>18</v>
      </c>
      <c r="G91" s="521">
        <v>0</v>
      </c>
      <c r="H91" s="521"/>
      <c r="I91" s="521">
        <v>25</v>
      </c>
      <c r="J91" s="521">
        <v>19</v>
      </c>
      <c r="K91" s="521">
        <v>0</v>
      </c>
      <c r="L91" s="521">
        <v>1</v>
      </c>
      <c r="M91" s="521">
        <v>0</v>
      </c>
      <c r="N91" s="521">
        <v>1</v>
      </c>
      <c r="O91" s="521">
        <v>0</v>
      </c>
      <c r="P91" s="263"/>
      <c r="Q91" s="588">
        <f t="shared" si="15"/>
        <v>25</v>
      </c>
      <c r="R91" s="589">
        <f t="shared" si="16"/>
        <v>19</v>
      </c>
      <c r="S91" s="589">
        <f t="shared" si="17"/>
        <v>1</v>
      </c>
      <c r="U91" s="263">
        <v>3</v>
      </c>
      <c r="V91" s="263">
        <v>9</v>
      </c>
      <c r="W91" s="263">
        <v>7</v>
      </c>
      <c r="X91" s="263">
        <v>10</v>
      </c>
      <c r="Y91" s="263">
        <v>10</v>
      </c>
      <c r="Z91" s="263">
        <v>2</v>
      </c>
      <c r="AA91" s="263">
        <v>2</v>
      </c>
      <c r="AC91" s="621">
        <f t="shared" si="18"/>
        <v>12</v>
      </c>
      <c r="AD91" s="621">
        <f t="shared" si="19"/>
        <v>17</v>
      </c>
      <c r="AE91" s="621">
        <f t="shared" si="20"/>
        <v>12</v>
      </c>
    </row>
    <row r="92" spans="1:31" x14ac:dyDescent="0.3">
      <c r="A92" s="584" t="s">
        <v>226</v>
      </c>
      <c r="B92" s="186" t="s">
        <v>227</v>
      </c>
      <c r="C92" s="594" t="s">
        <v>252</v>
      </c>
      <c r="D92" s="520">
        <v>145</v>
      </c>
      <c r="E92" s="521">
        <v>70</v>
      </c>
      <c r="F92" s="521">
        <v>73</v>
      </c>
      <c r="G92" s="521">
        <v>2</v>
      </c>
      <c r="H92" s="521"/>
      <c r="I92" s="521">
        <v>66</v>
      </c>
      <c r="J92" s="521">
        <v>96</v>
      </c>
      <c r="K92" s="521">
        <v>0</v>
      </c>
      <c r="L92" s="521">
        <v>0</v>
      </c>
      <c r="M92" s="521">
        <v>0</v>
      </c>
      <c r="N92" s="521">
        <v>4</v>
      </c>
      <c r="O92" s="521">
        <v>7</v>
      </c>
      <c r="P92" s="263"/>
      <c r="Q92" s="588">
        <f t="shared" si="15"/>
        <v>66</v>
      </c>
      <c r="R92" s="589">
        <f t="shared" si="16"/>
        <v>96</v>
      </c>
      <c r="S92" s="589">
        <f t="shared" si="17"/>
        <v>0</v>
      </c>
      <c r="U92" s="263">
        <v>12</v>
      </c>
      <c r="V92" s="263">
        <v>17</v>
      </c>
      <c r="W92" s="263">
        <v>41</v>
      </c>
      <c r="X92" s="263">
        <v>28</v>
      </c>
      <c r="Y92" s="263">
        <v>34</v>
      </c>
      <c r="Z92" s="263">
        <v>6</v>
      </c>
      <c r="AA92" s="263">
        <v>7</v>
      </c>
      <c r="AC92" s="621">
        <f t="shared" si="18"/>
        <v>29</v>
      </c>
      <c r="AD92" s="621">
        <f t="shared" si="19"/>
        <v>69</v>
      </c>
      <c r="AE92" s="621">
        <f t="shared" si="20"/>
        <v>40</v>
      </c>
    </row>
    <row r="93" spans="1:31" x14ac:dyDescent="0.3">
      <c r="A93" s="584" t="s">
        <v>228</v>
      </c>
      <c r="B93" s="186" t="s">
        <v>229</v>
      </c>
      <c r="C93" s="594" t="s">
        <v>256</v>
      </c>
      <c r="D93" s="520">
        <v>1012</v>
      </c>
      <c r="E93" s="521">
        <v>452</v>
      </c>
      <c r="F93" s="521">
        <v>555</v>
      </c>
      <c r="G93" s="521">
        <v>5</v>
      </c>
      <c r="H93" s="521"/>
      <c r="I93" s="521">
        <v>963</v>
      </c>
      <c r="J93" s="521">
        <v>62</v>
      </c>
      <c r="K93" s="521">
        <v>0</v>
      </c>
      <c r="L93" s="521">
        <v>2</v>
      </c>
      <c r="M93" s="521">
        <v>0</v>
      </c>
      <c r="N93" s="521">
        <v>21</v>
      </c>
      <c r="O93" s="521">
        <v>18</v>
      </c>
      <c r="P93" s="263"/>
      <c r="Q93" s="588">
        <f t="shared" si="15"/>
        <v>963</v>
      </c>
      <c r="R93" s="589">
        <f t="shared" si="16"/>
        <v>62</v>
      </c>
      <c r="S93" s="589">
        <f t="shared" si="17"/>
        <v>2</v>
      </c>
      <c r="U93" s="263">
        <v>104</v>
      </c>
      <c r="V93" s="263">
        <v>183</v>
      </c>
      <c r="W93" s="263">
        <v>219</v>
      </c>
      <c r="X93" s="263">
        <v>178</v>
      </c>
      <c r="Y93" s="263">
        <v>167</v>
      </c>
      <c r="Z93" s="263">
        <v>64</v>
      </c>
      <c r="AA93" s="263">
        <v>97</v>
      </c>
      <c r="AC93" s="621">
        <f t="shared" si="18"/>
        <v>287</v>
      </c>
      <c r="AD93" s="621">
        <f t="shared" si="19"/>
        <v>397</v>
      </c>
      <c r="AE93" s="621">
        <f t="shared" si="20"/>
        <v>231</v>
      </c>
    </row>
    <row r="94" spans="1:31" x14ac:dyDescent="0.3">
      <c r="A94" s="584" t="s">
        <v>232</v>
      </c>
      <c r="B94" s="186" t="s">
        <v>233</v>
      </c>
      <c r="C94" s="594" t="s">
        <v>255</v>
      </c>
      <c r="D94" s="520">
        <v>835</v>
      </c>
      <c r="E94" s="521">
        <v>431</v>
      </c>
      <c r="F94" s="521">
        <v>394</v>
      </c>
      <c r="G94" s="521">
        <v>10</v>
      </c>
      <c r="H94" s="521"/>
      <c r="I94" s="521">
        <v>612</v>
      </c>
      <c r="J94" s="521">
        <v>114</v>
      </c>
      <c r="K94" s="521">
        <v>1</v>
      </c>
      <c r="L94" s="521">
        <v>2</v>
      </c>
      <c r="M94" s="521">
        <v>1</v>
      </c>
      <c r="N94" s="521">
        <v>150</v>
      </c>
      <c r="O94" s="521">
        <v>33</v>
      </c>
      <c r="P94" s="263"/>
      <c r="Q94" s="588">
        <f t="shared" si="15"/>
        <v>612</v>
      </c>
      <c r="R94" s="589">
        <f t="shared" si="16"/>
        <v>114</v>
      </c>
      <c r="S94" s="589">
        <f t="shared" si="17"/>
        <v>4</v>
      </c>
      <c r="U94" s="263">
        <v>97</v>
      </c>
      <c r="V94" s="263">
        <v>105</v>
      </c>
      <c r="W94" s="263">
        <v>203</v>
      </c>
      <c r="X94" s="263">
        <v>186</v>
      </c>
      <c r="Y94" s="263">
        <v>131</v>
      </c>
      <c r="Z94" s="263">
        <v>30</v>
      </c>
      <c r="AA94" s="263">
        <v>83</v>
      </c>
      <c r="AC94" s="621">
        <f t="shared" si="18"/>
        <v>202</v>
      </c>
      <c r="AD94" s="621">
        <f t="shared" si="19"/>
        <v>389</v>
      </c>
      <c r="AE94" s="621">
        <f t="shared" si="20"/>
        <v>161</v>
      </c>
    </row>
    <row r="95" spans="1:31" x14ac:dyDescent="0.3">
      <c r="A95" s="584" t="s">
        <v>234</v>
      </c>
      <c r="B95" s="186" t="s">
        <v>235</v>
      </c>
      <c r="C95" s="594" t="s">
        <v>256</v>
      </c>
      <c r="D95" s="520">
        <v>1273</v>
      </c>
      <c r="E95" s="521">
        <v>645</v>
      </c>
      <c r="F95" s="521">
        <v>605</v>
      </c>
      <c r="G95" s="521">
        <v>23</v>
      </c>
      <c r="H95" s="521"/>
      <c r="I95" s="521">
        <v>1145</v>
      </c>
      <c r="J95" s="521">
        <v>62</v>
      </c>
      <c r="K95" s="521">
        <v>0</v>
      </c>
      <c r="L95" s="521">
        <v>2</v>
      </c>
      <c r="M95" s="521">
        <v>1</v>
      </c>
      <c r="N95" s="521">
        <v>91</v>
      </c>
      <c r="O95" s="521">
        <v>17</v>
      </c>
      <c r="P95" s="263"/>
      <c r="Q95" s="588">
        <f t="shared" si="15"/>
        <v>1145</v>
      </c>
      <c r="R95" s="589">
        <f t="shared" si="16"/>
        <v>62</v>
      </c>
      <c r="S95" s="589">
        <f t="shared" si="17"/>
        <v>3</v>
      </c>
      <c r="U95" s="263">
        <v>144</v>
      </c>
      <c r="V95" s="263">
        <v>156</v>
      </c>
      <c r="W95" s="263">
        <v>239</v>
      </c>
      <c r="X95" s="263">
        <v>205</v>
      </c>
      <c r="Y95" s="263">
        <v>212</v>
      </c>
      <c r="Z95" s="263">
        <v>72</v>
      </c>
      <c r="AA95" s="263">
        <v>245</v>
      </c>
      <c r="AC95" s="621">
        <f t="shared" si="18"/>
        <v>300</v>
      </c>
      <c r="AD95" s="621">
        <f t="shared" si="19"/>
        <v>444</v>
      </c>
      <c r="AE95" s="621">
        <f t="shared" si="20"/>
        <v>284</v>
      </c>
    </row>
    <row r="96" spans="1:31" x14ac:dyDescent="0.3">
      <c r="A96" s="584" t="s">
        <v>236</v>
      </c>
      <c r="B96" s="186" t="s">
        <v>237</v>
      </c>
      <c r="C96" s="594" t="s">
        <v>254</v>
      </c>
      <c r="D96" s="520">
        <v>373</v>
      </c>
      <c r="E96" s="521">
        <v>174</v>
      </c>
      <c r="F96" s="521">
        <v>195</v>
      </c>
      <c r="G96" s="521">
        <v>4</v>
      </c>
      <c r="H96" s="521"/>
      <c r="I96" s="521">
        <v>203</v>
      </c>
      <c r="J96" s="521">
        <v>170</v>
      </c>
      <c r="K96" s="521">
        <v>0</v>
      </c>
      <c r="L96" s="521">
        <v>0</v>
      </c>
      <c r="M96" s="521">
        <v>1</v>
      </c>
      <c r="N96" s="521">
        <v>30</v>
      </c>
      <c r="O96" s="521">
        <v>19</v>
      </c>
      <c r="P96" s="263"/>
      <c r="Q96" s="588">
        <f t="shared" si="15"/>
        <v>203</v>
      </c>
      <c r="R96" s="589">
        <f t="shared" si="16"/>
        <v>170</v>
      </c>
      <c r="S96" s="589">
        <f t="shared" si="17"/>
        <v>1</v>
      </c>
      <c r="U96" s="263">
        <v>29</v>
      </c>
      <c r="V96" s="263">
        <v>65</v>
      </c>
      <c r="W96" s="263">
        <v>71</v>
      </c>
      <c r="X96" s="263">
        <v>83</v>
      </c>
      <c r="Y96" s="263">
        <v>62</v>
      </c>
      <c r="Z96" s="263">
        <v>31</v>
      </c>
      <c r="AA96" s="263">
        <v>32</v>
      </c>
      <c r="AC96" s="621">
        <f t="shared" si="18"/>
        <v>94</v>
      </c>
      <c r="AD96" s="621">
        <f t="shared" si="19"/>
        <v>154</v>
      </c>
      <c r="AE96" s="621">
        <f t="shared" si="20"/>
        <v>93</v>
      </c>
    </row>
    <row r="97" spans="1:31" x14ac:dyDescent="0.3">
      <c r="A97" s="584" t="s">
        <v>242</v>
      </c>
      <c r="B97" s="186" t="s">
        <v>243</v>
      </c>
      <c r="C97" s="594" t="s">
        <v>256</v>
      </c>
      <c r="D97" s="520">
        <v>1191</v>
      </c>
      <c r="E97" s="521">
        <v>585</v>
      </c>
      <c r="F97" s="521">
        <v>604</v>
      </c>
      <c r="G97" s="521">
        <v>2</v>
      </c>
      <c r="H97" s="521"/>
      <c r="I97" s="521">
        <v>1152</v>
      </c>
      <c r="J97" s="521">
        <v>34</v>
      </c>
      <c r="K97" s="521">
        <v>0</v>
      </c>
      <c r="L97" s="521">
        <v>12</v>
      </c>
      <c r="M97" s="521">
        <v>1</v>
      </c>
      <c r="N97" s="521">
        <v>18</v>
      </c>
      <c r="O97" s="521">
        <v>22</v>
      </c>
      <c r="P97" s="263"/>
      <c r="Q97" s="588">
        <f t="shared" si="15"/>
        <v>1152</v>
      </c>
      <c r="R97" s="589">
        <f t="shared" si="16"/>
        <v>34</v>
      </c>
      <c r="S97" s="589">
        <f t="shared" si="17"/>
        <v>13</v>
      </c>
      <c r="U97" s="263">
        <v>130</v>
      </c>
      <c r="V97" s="263">
        <v>214</v>
      </c>
      <c r="W97" s="263">
        <v>237</v>
      </c>
      <c r="X97" s="263">
        <v>253</v>
      </c>
      <c r="Y97" s="263">
        <v>212</v>
      </c>
      <c r="Z97" s="263">
        <v>89</v>
      </c>
      <c r="AA97" s="263">
        <v>56</v>
      </c>
      <c r="AC97" s="621">
        <f t="shared" si="18"/>
        <v>344</v>
      </c>
      <c r="AD97" s="621">
        <f t="shared" si="19"/>
        <v>490</v>
      </c>
      <c r="AE97" s="621">
        <f t="shared" si="20"/>
        <v>301</v>
      </c>
    </row>
    <row r="98" spans="1:31" x14ac:dyDescent="0.3">
      <c r="A98" s="584" t="s">
        <v>244</v>
      </c>
      <c r="B98" s="186" t="s">
        <v>245</v>
      </c>
      <c r="C98" s="594" t="s">
        <v>256</v>
      </c>
      <c r="D98" s="520">
        <v>643</v>
      </c>
      <c r="E98" s="521">
        <v>309</v>
      </c>
      <c r="F98" s="521">
        <v>327</v>
      </c>
      <c r="G98" s="521">
        <v>7</v>
      </c>
      <c r="H98" s="521"/>
      <c r="I98" s="521">
        <v>582</v>
      </c>
      <c r="J98" s="521">
        <v>76</v>
      </c>
      <c r="K98" s="521">
        <v>0</v>
      </c>
      <c r="L98" s="521">
        <v>0</v>
      </c>
      <c r="M98" s="521">
        <v>1</v>
      </c>
      <c r="N98" s="521">
        <v>37</v>
      </c>
      <c r="O98" s="521">
        <v>18</v>
      </c>
      <c r="P98" s="263"/>
      <c r="Q98" s="588">
        <f t="shared" si="15"/>
        <v>582</v>
      </c>
      <c r="R98" s="589">
        <f t="shared" si="16"/>
        <v>76</v>
      </c>
      <c r="S98" s="589">
        <f t="shared" si="17"/>
        <v>1</v>
      </c>
      <c r="U98" s="263">
        <v>57</v>
      </c>
      <c r="V98" s="263">
        <v>108</v>
      </c>
      <c r="W98" s="263">
        <v>150</v>
      </c>
      <c r="X98" s="263">
        <v>119</v>
      </c>
      <c r="Y98" s="263">
        <v>101</v>
      </c>
      <c r="Z98" s="263">
        <v>49</v>
      </c>
      <c r="AA98" s="263">
        <v>59</v>
      </c>
      <c r="AC98" s="621">
        <f t="shared" si="18"/>
        <v>165</v>
      </c>
      <c r="AD98" s="621">
        <f t="shared" si="19"/>
        <v>269</v>
      </c>
      <c r="AE98" s="621">
        <f t="shared" si="20"/>
        <v>150</v>
      </c>
    </row>
    <row r="99" spans="1:31" x14ac:dyDescent="0.3">
      <c r="A99" s="584" t="s">
        <v>246</v>
      </c>
      <c r="B99" s="186" t="s">
        <v>247</v>
      </c>
      <c r="C99" s="594" t="s">
        <v>252</v>
      </c>
      <c r="D99" s="520">
        <v>752</v>
      </c>
      <c r="E99" s="521">
        <v>349</v>
      </c>
      <c r="F99" s="521">
        <v>386</v>
      </c>
      <c r="G99" s="521">
        <v>17</v>
      </c>
      <c r="H99" s="521"/>
      <c r="I99" s="521">
        <v>469</v>
      </c>
      <c r="J99" s="521">
        <v>188</v>
      </c>
      <c r="K99" s="521">
        <v>14</v>
      </c>
      <c r="L99" s="521">
        <v>3</v>
      </c>
      <c r="M99" s="521">
        <v>3</v>
      </c>
      <c r="N99" s="521">
        <v>124</v>
      </c>
      <c r="O99" s="521">
        <v>41</v>
      </c>
      <c r="P99" s="263"/>
      <c r="Q99" s="588">
        <f t="shared" si="15"/>
        <v>469</v>
      </c>
      <c r="R99" s="589">
        <f t="shared" si="16"/>
        <v>188</v>
      </c>
      <c r="S99" s="589">
        <f t="shared" si="17"/>
        <v>20</v>
      </c>
      <c r="U99" s="263">
        <v>40</v>
      </c>
      <c r="V99" s="263">
        <v>99</v>
      </c>
      <c r="W99" s="263">
        <v>167</v>
      </c>
      <c r="X99" s="263">
        <v>154</v>
      </c>
      <c r="Y99" s="263">
        <v>153</v>
      </c>
      <c r="Z99" s="263">
        <v>63</v>
      </c>
      <c r="AA99" s="263">
        <v>76</v>
      </c>
      <c r="AC99" s="621">
        <f t="shared" si="18"/>
        <v>139</v>
      </c>
      <c r="AD99" s="621">
        <f t="shared" si="19"/>
        <v>321</v>
      </c>
      <c r="AE99" s="621">
        <f t="shared" si="20"/>
        <v>216</v>
      </c>
    </row>
    <row r="100" spans="1:31" x14ac:dyDescent="0.3">
      <c r="A100" s="584" t="s">
        <v>14</v>
      </c>
      <c r="B100" s="186" t="s">
        <v>15</v>
      </c>
      <c r="C100" s="594" t="s">
        <v>255</v>
      </c>
      <c r="D100" s="520">
        <v>1926</v>
      </c>
      <c r="E100" s="521">
        <v>1000</v>
      </c>
      <c r="F100" s="521">
        <v>905</v>
      </c>
      <c r="G100" s="521">
        <v>21</v>
      </c>
      <c r="H100" s="521"/>
      <c r="I100" s="521">
        <v>900</v>
      </c>
      <c r="J100" s="521">
        <v>851</v>
      </c>
      <c r="K100" s="521">
        <v>47</v>
      </c>
      <c r="L100" s="521">
        <v>7</v>
      </c>
      <c r="M100" s="521">
        <v>4</v>
      </c>
      <c r="N100" s="521">
        <v>198</v>
      </c>
      <c r="O100" s="521">
        <v>685</v>
      </c>
      <c r="P100" s="263"/>
      <c r="Q100" s="588">
        <f t="shared" si="15"/>
        <v>900</v>
      </c>
      <c r="R100" s="589">
        <f t="shared" si="16"/>
        <v>851</v>
      </c>
      <c r="S100" s="589">
        <f t="shared" si="17"/>
        <v>58</v>
      </c>
      <c r="U100" s="263">
        <v>143</v>
      </c>
      <c r="V100" s="263">
        <v>285</v>
      </c>
      <c r="W100" s="263">
        <v>424</v>
      </c>
      <c r="X100" s="263">
        <v>397</v>
      </c>
      <c r="Y100" s="263">
        <v>363</v>
      </c>
      <c r="Z100" s="263">
        <v>208</v>
      </c>
      <c r="AA100" s="263">
        <v>106</v>
      </c>
      <c r="AC100" s="621">
        <f t="shared" si="18"/>
        <v>428</v>
      </c>
      <c r="AD100" s="621">
        <f t="shared" si="19"/>
        <v>821</v>
      </c>
      <c r="AE100" s="621">
        <f t="shared" si="20"/>
        <v>571</v>
      </c>
    </row>
    <row r="101" spans="1:31" x14ac:dyDescent="0.3">
      <c r="A101" s="584" t="s">
        <v>34</v>
      </c>
      <c r="B101" s="186" t="s">
        <v>35</v>
      </c>
      <c r="C101" s="594" t="s">
        <v>256</v>
      </c>
      <c r="D101" s="520">
        <v>978</v>
      </c>
      <c r="E101" s="521">
        <v>421</v>
      </c>
      <c r="F101" s="521">
        <v>522</v>
      </c>
      <c r="G101" s="521">
        <v>35</v>
      </c>
      <c r="H101" s="521"/>
      <c r="I101" s="521">
        <v>757</v>
      </c>
      <c r="J101" s="521">
        <v>114</v>
      </c>
      <c r="K101" s="521">
        <v>2</v>
      </c>
      <c r="L101" s="521">
        <v>1</v>
      </c>
      <c r="M101" s="521">
        <v>1</v>
      </c>
      <c r="N101" s="521">
        <v>138</v>
      </c>
      <c r="O101" s="521">
        <v>11</v>
      </c>
      <c r="P101" s="263"/>
      <c r="Q101" s="588">
        <f t="shared" ref="Q101:Q124" si="21">I101</f>
        <v>757</v>
      </c>
      <c r="R101" s="589">
        <f t="shared" ref="R101:R124" si="22">J101</f>
        <v>114</v>
      </c>
      <c r="S101" s="589">
        <f t="shared" ref="S101:S124" si="23">SUM(K101:M101)</f>
        <v>4</v>
      </c>
      <c r="U101" s="263">
        <v>86</v>
      </c>
      <c r="V101" s="263">
        <v>165</v>
      </c>
      <c r="W101" s="263">
        <v>231</v>
      </c>
      <c r="X101" s="263">
        <v>173</v>
      </c>
      <c r="Y101" s="263">
        <v>112</v>
      </c>
      <c r="Z101" s="263">
        <v>33</v>
      </c>
      <c r="AA101" s="263">
        <v>178</v>
      </c>
      <c r="AC101" s="621">
        <f t="shared" ref="AC101:AC124" si="24">U101+V101</f>
        <v>251</v>
      </c>
      <c r="AD101" s="621">
        <f t="shared" ref="AD101:AD124" si="25">W101+X101</f>
        <v>404</v>
      </c>
      <c r="AE101" s="621">
        <f t="shared" ref="AE101:AE124" si="26">Y101+Z101</f>
        <v>145</v>
      </c>
    </row>
    <row r="102" spans="1:31" x14ac:dyDescent="0.3">
      <c r="A102" s="584" t="s">
        <v>52</v>
      </c>
      <c r="B102" s="186" t="s">
        <v>53</v>
      </c>
      <c r="C102" s="594" t="s">
        <v>253</v>
      </c>
      <c r="D102" s="520">
        <v>1134</v>
      </c>
      <c r="E102" s="521">
        <v>580</v>
      </c>
      <c r="F102" s="521">
        <v>526</v>
      </c>
      <c r="G102" s="521">
        <v>28</v>
      </c>
      <c r="H102" s="521"/>
      <c r="I102" s="521">
        <v>439</v>
      </c>
      <c r="J102" s="521">
        <v>662</v>
      </c>
      <c r="K102" s="521">
        <v>25</v>
      </c>
      <c r="L102" s="521">
        <v>0</v>
      </c>
      <c r="M102" s="521">
        <v>0</v>
      </c>
      <c r="N102" s="521">
        <v>122</v>
      </c>
      <c r="O102" s="521">
        <v>117</v>
      </c>
      <c r="P102" s="263"/>
      <c r="Q102" s="588">
        <f t="shared" si="21"/>
        <v>439</v>
      </c>
      <c r="R102" s="589">
        <f t="shared" si="22"/>
        <v>662</v>
      </c>
      <c r="S102" s="589">
        <f t="shared" si="23"/>
        <v>25</v>
      </c>
      <c r="U102" s="263">
        <v>84</v>
      </c>
      <c r="V102" s="263">
        <v>130</v>
      </c>
      <c r="W102" s="263">
        <v>243</v>
      </c>
      <c r="X102" s="263">
        <v>246</v>
      </c>
      <c r="Y102" s="263">
        <v>219</v>
      </c>
      <c r="Z102" s="263">
        <v>105</v>
      </c>
      <c r="AA102" s="263">
        <v>107</v>
      </c>
      <c r="AC102" s="621">
        <f t="shared" si="24"/>
        <v>214</v>
      </c>
      <c r="AD102" s="621">
        <f t="shared" si="25"/>
        <v>489</v>
      </c>
      <c r="AE102" s="621">
        <f t="shared" si="26"/>
        <v>324</v>
      </c>
    </row>
    <row r="103" spans="1:31" x14ac:dyDescent="0.3">
      <c r="A103" s="584" t="s">
        <v>54</v>
      </c>
      <c r="B103" s="186" t="s">
        <v>55</v>
      </c>
      <c r="C103" s="594" t="s">
        <v>252</v>
      </c>
      <c r="D103" s="520">
        <v>3211</v>
      </c>
      <c r="E103" s="521">
        <v>1589</v>
      </c>
      <c r="F103" s="521">
        <v>1582</v>
      </c>
      <c r="G103" s="521">
        <v>40</v>
      </c>
      <c r="H103" s="521"/>
      <c r="I103" s="521">
        <v>1557</v>
      </c>
      <c r="J103" s="521">
        <v>1531</v>
      </c>
      <c r="K103" s="521">
        <v>40</v>
      </c>
      <c r="L103" s="521">
        <v>45</v>
      </c>
      <c r="M103" s="521">
        <v>10</v>
      </c>
      <c r="N103" s="521">
        <v>201</v>
      </c>
      <c r="O103" s="521">
        <v>213</v>
      </c>
      <c r="P103" s="263"/>
      <c r="Q103" s="588">
        <f t="shared" si="21"/>
        <v>1557</v>
      </c>
      <c r="R103" s="589">
        <f t="shared" si="22"/>
        <v>1531</v>
      </c>
      <c r="S103" s="589">
        <f t="shared" si="23"/>
        <v>95</v>
      </c>
      <c r="U103" s="263">
        <v>185</v>
      </c>
      <c r="V103" s="263">
        <v>449</v>
      </c>
      <c r="W103" s="263">
        <v>612</v>
      </c>
      <c r="X103" s="263">
        <v>705</v>
      </c>
      <c r="Y103" s="263">
        <v>619</v>
      </c>
      <c r="Z103" s="263">
        <v>292</v>
      </c>
      <c r="AA103" s="263">
        <v>349</v>
      </c>
      <c r="AC103" s="621">
        <f t="shared" si="24"/>
        <v>634</v>
      </c>
      <c r="AD103" s="621">
        <f t="shared" si="25"/>
        <v>1317</v>
      </c>
      <c r="AE103" s="621">
        <f t="shared" si="26"/>
        <v>911</v>
      </c>
    </row>
    <row r="104" spans="1:31" x14ac:dyDescent="0.3">
      <c r="A104" s="584" t="s">
        <v>66</v>
      </c>
      <c r="B104" s="186" t="s">
        <v>67</v>
      </c>
      <c r="C104" s="594" t="s">
        <v>253</v>
      </c>
      <c r="D104" s="520">
        <v>785</v>
      </c>
      <c r="E104" s="521">
        <v>395</v>
      </c>
      <c r="F104" s="521">
        <v>374</v>
      </c>
      <c r="G104" s="521">
        <v>16</v>
      </c>
      <c r="H104" s="521"/>
      <c r="I104" s="521">
        <v>322</v>
      </c>
      <c r="J104" s="521">
        <v>420</v>
      </c>
      <c r="K104" s="521">
        <v>5</v>
      </c>
      <c r="L104" s="521">
        <v>1</v>
      </c>
      <c r="M104" s="521">
        <v>0</v>
      </c>
      <c r="N104" s="521">
        <v>74</v>
      </c>
      <c r="O104" s="521">
        <v>18</v>
      </c>
      <c r="P104" s="263"/>
      <c r="Q104" s="588">
        <f t="shared" si="21"/>
        <v>322</v>
      </c>
      <c r="R104" s="589">
        <f t="shared" si="22"/>
        <v>420</v>
      </c>
      <c r="S104" s="589">
        <f t="shared" si="23"/>
        <v>6</v>
      </c>
      <c r="U104" s="263">
        <v>67</v>
      </c>
      <c r="V104" s="263">
        <v>125</v>
      </c>
      <c r="W104" s="263">
        <v>166</v>
      </c>
      <c r="X104" s="263">
        <v>184</v>
      </c>
      <c r="Y104" s="263">
        <v>124</v>
      </c>
      <c r="Z104" s="263">
        <v>37</v>
      </c>
      <c r="AA104" s="263">
        <v>82</v>
      </c>
      <c r="AC104" s="621">
        <f t="shared" si="24"/>
        <v>192</v>
      </c>
      <c r="AD104" s="621">
        <f t="shared" si="25"/>
        <v>350</v>
      </c>
      <c r="AE104" s="621">
        <f t="shared" si="26"/>
        <v>161</v>
      </c>
    </row>
    <row r="105" spans="1:31" x14ac:dyDescent="0.3">
      <c r="A105" s="584" t="s">
        <v>82</v>
      </c>
      <c r="B105" s="186" t="s">
        <v>83</v>
      </c>
      <c r="C105" s="594" t="s">
        <v>252</v>
      </c>
      <c r="D105" s="520">
        <v>157</v>
      </c>
      <c r="E105" s="521">
        <v>87</v>
      </c>
      <c r="F105" s="521">
        <v>70</v>
      </c>
      <c r="G105" s="521">
        <v>0</v>
      </c>
      <c r="H105" s="521"/>
      <c r="I105" s="521">
        <v>38</v>
      </c>
      <c r="J105" s="521">
        <v>116</v>
      </c>
      <c r="K105" s="521">
        <v>0</v>
      </c>
      <c r="L105" s="521">
        <v>0</v>
      </c>
      <c r="M105" s="521">
        <v>0</v>
      </c>
      <c r="N105" s="521">
        <v>10</v>
      </c>
      <c r="O105" s="521">
        <v>1</v>
      </c>
      <c r="P105" s="263"/>
      <c r="Q105" s="588">
        <f t="shared" si="21"/>
        <v>38</v>
      </c>
      <c r="R105" s="589">
        <f t="shared" si="22"/>
        <v>116</v>
      </c>
      <c r="S105" s="589">
        <f t="shared" si="23"/>
        <v>0</v>
      </c>
      <c r="U105" s="263">
        <v>14</v>
      </c>
      <c r="V105" s="263">
        <v>25</v>
      </c>
      <c r="W105" s="263">
        <v>33</v>
      </c>
      <c r="X105" s="263">
        <v>38</v>
      </c>
      <c r="Y105" s="263">
        <v>20</v>
      </c>
      <c r="Z105" s="263">
        <v>9</v>
      </c>
      <c r="AA105" s="263">
        <v>18</v>
      </c>
      <c r="AC105" s="621">
        <f t="shared" si="24"/>
        <v>39</v>
      </c>
      <c r="AD105" s="621">
        <f t="shared" si="25"/>
        <v>71</v>
      </c>
      <c r="AE105" s="621">
        <f t="shared" si="26"/>
        <v>29</v>
      </c>
    </row>
    <row r="106" spans="1:31" x14ac:dyDescent="0.3">
      <c r="A106" s="584" t="s">
        <v>88</v>
      </c>
      <c r="B106" s="186" t="s">
        <v>89</v>
      </c>
      <c r="C106" s="594" t="s">
        <v>255</v>
      </c>
      <c r="D106" s="520">
        <v>656</v>
      </c>
      <c r="E106" s="521">
        <v>319</v>
      </c>
      <c r="F106" s="521">
        <v>331</v>
      </c>
      <c r="G106" s="521">
        <v>6</v>
      </c>
      <c r="H106" s="521"/>
      <c r="I106" s="521">
        <v>319</v>
      </c>
      <c r="J106" s="521">
        <v>358</v>
      </c>
      <c r="K106" s="521">
        <v>12</v>
      </c>
      <c r="L106" s="521">
        <v>0</v>
      </c>
      <c r="M106" s="521">
        <v>0</v>
      </c>
      <c r="N106" s="521">
        <v>26</v>
      </c>
      <c r="O106" s="521">
        <v>85</v>
      </c>
      <c r="P106" s="263"/>
      <c r="Q106" s="588">
        <f t="shared" si="21"/>
        <v>319</v>
      </c>
      <c r="R106" s="589">
        <f t="shared" si="22"/>
        <v>358</v>
      </c>
      <c r="S106" s="589">
        <f t="shared" si="23"/>
        <v>12</v>
      </c>
      <c r="U106" s="263">
        <v>70</v>
      </c>
      <c r="V106" s="263">
        <v>126</v>
      </c>
      <c r="W106" s="263">
        <v>131</v>
      </c>
      <c r="X106" s="263">
        <v>126</v>
      </c>
      <c r="Y106" s="263">
        <v>119</v>
      </c>
      <c r="Z106" s="263">
        <v>50</v>
      </c>
      <c r="AA106" s="263">
        <v>34</v>
      </c>
      <c r="AC106" s="621">
        <f t="shared" si="24"/>
        <v>196</v>
      </c>
      <c r="AD106" s="621">
        <f t="shared" si="25"/>
        <v>257</v>
      </c>
      <c r="AE106" s="621">
        <f t="shared" si="26"/>
        <v>169</v>
      </c>
    </row>
    <row r="107" spans="1:31" x14ac:dyDescent="0.3">
      <c r="A107" s="584" t="s">
        <v>90</v>
      </c>
      <c r="B107" s="186" t="s">
        <v>91</v>
      </c>
      <c r="C107" s="594" t="s">
        <v>256</v>
      </c>
      <c r="D107" s="520">
        <v>236</v>
      </c>
      <c r="E107" s="521">
        <v>108</v>
      </c>
      <c r="F107" s="521">
        <v>127</v>
      </c>
      <c r="G107" s="521">
        <v>1</v>
      </c>
      <c r="H107" s="521"/>
      <c r="I107" s="521">
        <v>206</v>
      </c>
      <c r="J107" s="521">
        <v>29</v>
      </c>
      <c r="K107" s="521">
        <v>0</v>
      </c>
      <c r="L107" s="521">
        <v>0</v>
      </c>
      <c r="M107" s="521">
        <v>0</v>
      </c>
      <c r="N107" s="521">
        <v>6</v>
      </c>
      <c r="O107" s="521">
        <v>46</v>
      </c>
      <c r="P107" s="263"/>
      <c r="Q107" s="588">
        <f t="shared" si="21"/>
        <v>206</v>
      </c>
      <c r="R107" s="589">
        <f t="shared" si="22"/>
        <v>29</v>
      </c>
      <c r="S107" s="589">
        <f t="shared" si="23"/>
        <v>0</v>
      </c>
      <c r="U107" s="263">
        <v>26</v>
      </c>
      <c r="V107" s="263">
        <v>28</v>
      </c>
      <c r="W107" s="263">
        <v>48</v>
      </c>
      <c r="X107" s="263">
        <v>51</v>
      </c>
      <c r="Y107" s="263">
        <v>50</v>
      </c>
      <c r="Z107" s="263">
        <v>18</v>
      </c>
      <c r="AA107" s="263">
        <v>15</v>
      </c>
      <c r="AC107" s="621">
        <f t="shared" si="24"/>
        <v>54</v>
      </c>
      <c r="AD107" s="621">
        <f t="shared" si="25"/>
        <v>99</v>
      </c>
      <c r="AE107" s="621">
        <f t="shared" si="26"/>
        <v>68</v>
      </c>
    </row>
    <row r="108" spans="1:31" x14ac:dyDescent="0.3">
      <c r="A108" s="584" t="s">
        <v>106</v>
      </c>
      <c r="B108" s="186" t="s">
        <v>107</v>
      </c>
      <c r="C108" s="594" t="s">
        <v>252</v>
      </c>
      <c r="D108" s="520">
        <v>1740</v>
      </c>
      <c r="E108" s="521">
        <v>830</v>
      </c>
      <c r="F108" s="521">
        <v>891</v>
      </c>
      <c r="G108" s="521">
        <v>19</v>
      </c>
      <c r="H108" s="521"/>
      <c r="I108" s="521">
        <v>616</v>
      </c>
      <c r="J108" s="521">
        <v>1106</v>
      </c>
      <c r="K108" s="521">
        <v>16</v>
      </c>
      <c r="L108" s="521">
        <v>9</v>
      </c>
      <c r="M108" s="521">
        <v>13</v>
      </c>
      <c r="N108" s="521">
        <v>155</v>
      </c>
      <c r="O108" s="521">
        <v>100</v>
      </c>
      <c r="P108" s="263"/>
      <c r="Q108" s="588">
        <f t="shared" si="21"/>
        <v>616</v>
      </c>
      <c r="R108" s="589">
        <f t="shared" si="22"/>
        <v>1106</v>
      </c>
      <c r="S108" s="589">
        <f t="shared" si="23"/>
        <v>38</v>
      </c>
      <c r="U108" s="263">
        <v>143</v>
      </c>
      <c r="V108" s="263">
        <v>245</v>
      </c>
      <c r="W108" s="263">
        <v>393</v>
      </c>
      <c r="X108" s="263">
        <v>303</v>
      </c>
      <c r="Y108" s="263">
        <v>303</v>
      </c>
      <c r="Z108" s="263">
        <v>116</v>
      </c>
      <c r="AA108" s="263">
        <v>237</v>
      </c>
      <c r="AC108" s="621">
        <f t="shared" si="24"/>
        <v>388</v>
      </c>
      <c r="AD108" s="621">
        <f t="shared" si="25"/>
        <v>696</v>
      </c>
      <c r="AE108" s="621">
        <f t="shared" si="26"/>
        <v>419</v>
      </c>
    </row>
    <row r="109" spans="1:31" x14ac:dyDescent="0.3">
      <c r="A109" s="584" t="s">
        <v>116</v>
      </c>
      <c r="B109" s="186" t="s">
        <v>117</v>
      </c>
      <c r="C109" s="594" t="s">
        <v>254</v>
      </c>
      <c r="D109" s="520">
        <v>602</v>
      </c>
      <c r="E109" s="521">
        <v>302</v>
      </c>
      <c r="F109" s="521">
        <v>279</v>
      </c>
      <c r="G109" s="521">
        <v>21</v>
      </c>
      <c r="H109" s="521"/>
      <c r="I109" s="521">
        <v>290</v>
      </c>
      <c r="J109" s="521">
        <v>331</v>
      </c>
      <c r="K109" s="521">
        <v>2</v>
      </c>
      <c r="L109" s="521">
        <v>5</v>
      </c>
      <c r="M109" s="521">
        <v>1</v>
      </c>
      <c r="N109" s="521">
        <v>39</v>
      </c>
      <c r="O109" s="521">
        <v>21</v>
      </c>
      <c r="P109" s="263"/>
      <c r="Q109" s="588">
        <f t="shared" si="21"/>
        <v>290</v>
      </c>
      <c r="R109" s="589">
        <f t="shared" si="22"/>
        <v>331</v>
      </c>
      <c r="S109" s="589">
        <f t="shared" si="23"/>
        <v>8</v>
      </c>
      <c r="U109" s="263">
        <v>53</v>
      </c>
      <c r="V109" s="263">
        <v>96</v>
      </c>
      <c r="W109" s="263">
        <v>113</v>
      </c>
      <c r="X109" s="263">
        <v>116</v>
      </c>
      <c r="Y109" s="263">
        <v>97</v>
      </c>
      <c r="Z109" s="263">
        <v>34</v>
      </c>
      <c r="AA109" s="263">
        <v>93</v>
      </c>
      <c r="AC109" s="621">
        <f t="shared" si="24"/>
        <v>149</v>
      </c>
      <c r="AD109" s="621">
        <f t="shared" si="25"/>
        <v>229</v>
      </c>
      <c r="AE109" s="621">
        <f t="shared" si="26"/>
        <v>131</v>
      </c>
    </row>
    <row r="110" spans="1:31" x14ac:dyDescent="0.3">
      <c r="A110" s="584" t="s">
        <v>138</v>
      </c>
      <c r="B110" s="186" t="s">
        <v>139</v>
      </c>
      <c r="C110" s="594" t="s">
        <v>253</v>
      </c>
      <c r="D110" s="520">
        <v>1790</v>
      </c>
      <c r="E110" s="521">
        <v>931</v>
      </c>
      <c r="F110" s="521">
        <v>831</v>
      </c>
      <c r="G110" s="521">
        <v>28</v>
      </c>
      <c r="H110" s="521"/>
      <c r="I110" s="521">
        <v>809</v>
      </c>
      <c r="J110" s="521">
        <v>1044</v>
      </c>
      <c r="K110" s="521">
        <v>9</v>
      </c>
      <c r="L110" s="521">
        <v>2</v>
      </c>
      <c r="M110" s="521">
        <v>0</v>
      </c>
      <c r="N110" s="521">
        <v>85</v>
      </c>
      <c r="O110" s="521">
        <v>71</v>
      </c>
      <c r="P110" s="263"/>
      <c r="Q110" s="588">
        <f t="shared" si="21"/>
        <v>809</v>
      </c>
      <c r="R110" s="589">
        <f t="shared" si="22"/>
        <v>1044</v>
      </c>
      <c r="S110" s="589">
        <f t="shared" si="23"/>
        <v>11</v>
      </c>
      <c r="U110" s="263">
        <v>145</v>
      </c>
      <c r="V110" s="263">
        <v>343</v>
      </c>
      <c r="W110" s="263">
        <v>375</v>
      </c>
      <c r="X110" s="263">
        <v>360</v>
      </c>
      <c r="Y110" s="263">
        <v>284</v>
      </c>
      <c r="Z110" s="263">
        <v>105</v>
      </c>
      <c r="AA110" s="263">
        <v>178</v>
      </c>
      <c r="AC110" s="621">
        <f t="shared" si="24"/>
        <v>488</v>
      </c>
      <c r="AD110" s="621">
        <f t="shared" si="25"/>
        <v>735</v>
      </c>
      <c r="AE110" s="621">
        <f t="shared" si="26"/>
        <v>389</v>
      </c>
    </row>
    <row r="111" spans="1:31" x14ac:dyDescent="0.3">
      <c r="A111" s="584" t="s">
        <v>142</v>
      </c>
      <c r="B111" s="186" t="s">
        <v>143</v>
      </c>
      <c r="C111" s="594" t="s">
        <v>255</v>
      </c>
      <c r="D111" s="520">
        <v>725</v>
      </c>
      <c r="E111" s="521">
        <v>330</v>
      </c>
      <c r="F111" s="521">
        <v>387</v>
      </c>
      <c r="G111" s="521">
        <v>8</v>
      </c>
      <c r="H111" s="521"/>
      <c r="I111" s="521">
        <v>483</v>
      </c>
      <c r="J111" s="521">
        <v>209</v>
      </c>
      <c r="K111" s="521">
        <v>26</v>
      </c>
      <c r="L111" s="521">
        <v>3</v>
      </c>
      <c r="M111" s="521">
        <v>3</v>
      </c>
      <c r="N111" s="521">
        <v>46</v>
      </c>
      <c r="O111" s="521">
        <v>355</v>
      </c>
      <c r="P111" s="263"/>
      <c r="Q111" s="588">
        <f t="shared" si="21"/>
        <v>483</v>
      </c>
      <c r="R111" s="589">
        <f t="shared" si="22"/>
        <v>209</v>
      </c>
      <c r="S111" s="589">
        <f t="shared" si="23"/>
        <v>32</v>
      </c>
      <c r="U111" s="263">
        <v>25</v>
      </c>
      <c r="V111" s="263">
        <v>80</v>
      </c>
      <c r="W111" s="263">
        <v>168</v>
      </c>
      <c r="X111" s="263">
        <v>208</v>
      </c>
      <c r="Y111" s="263">
        <v>93</v>
      </c>
      <c r="Z111" s="263">
        <v>69</v>
      </c>
      <c r="AA111" s="263">
        <v>82</v>
      </c>
      <c r="AC111" s="621">
        <f t="shared" si="24"/>
        <v>105</v>
      </c>
      <c r="AD111" s="621">
        <f t="shared" si="25"/>
        <v>376</v>
      </c>
      <c r="AE111" s="621">
        <f t="shared" si="26"/>
        <v>162</v>
      </c>
    </row>
    <row r="112" spans="1:31" x14ac:dyDescent="0.3">
      <c r="A112" s="584" t="s">
        <v>144</v>
      </c>
      <c r="B112" s="186" t="s">
        <v>145</v>
      </c>
      <c r="C112" s="594" t="s">
        <v>255</v>
      </c>
      <c r="D112" s="520">
        <v>202</v>
      </c>
      <c r="E112" s="521">
        <v>101</v>
      </c>
      <c r="F112" s="521">
        <v>91</v>
      </c>
      <c r="G112" s="521">
        <v>10</v>
      </c>
      <c r="H112" s="521"/>
      <c r="I112" s="521">
        <v>157</v>
      </c>
      <c r="J112" s="521">
        <v>25</v>
      </c>
      <c r="K112" s="521">
        <v>5</v>
      </c>
      <c r="L112" s="521">
        <v>0</v>
      </c>
      <c r="M112" s="521">
        <v>0</v>
      </c>
      <c r="N112" s="521">
        <v>22</v>
      </c>
      <c r="O112" s="521">
        <v>90</v>
      </c>
      <c r="P112" s="263"/>
      <c r="Q112" s="588">
        <f t="shared" si="21"/>
        <v>157</v>
      </c>
      <c r="R112" s="589">
        <f t="shared" si="22"/>
        <v>25</v>
      </c>
      <c r="S112" s="589">
        <f t="shared" si="23"/>
        <v>5</v>
      </c>
      <c r="U112" s="263">
        <v>10</v>
      </c>
      <c r="V112" s="263">
        <v>18</v>
      </c>
      <c r="W112" s="263">
        <v>42</v>
      </c>
      <c r="X112" s="263">
        <v>49</v>
      </c>
      <c r="Y112" s="263">
        <v>43</v>
      </c>
      <c r="Z112" s="263">
        <v>9</v>
      </c>
      <c r="AA112" s="263">
        <v>31</v>
      </c>
      <c r="AC112" s="621">
        <f t="shared" si="24"/>
        <v>28</v>
      </c>
      <c r="AD112" s="621">
        <f t="shared" si="25"/>
        <v>91</v>
      </c>
      <c r="AE112" s="621">
        <f t="shared" si="26"/>
        <v>52</v>
      </c>
    </row>
    <row r="113" spans="1:31" x14ac:dyDescent="0.3">
      <c r="A113" s="584" t="s">
        <v>158</v>
      </c>
      <c r="B113" s="186" t="s">
        <v>159</v>
      </c>
      <c r="C113" s="594" t="s">
        <v>252</v>
      </c>
      <c r="D113" s="520">
        <v>2985</v>
      </c>
      <c r="E113" s="521">
        <v>1472</v>
      </c>
      <c r="F113" s="521">
        <v>1491</v>
      </c>
      <c r="G113" s="521">
        <v>22</v>
      </c>
      <c r="H113" s="521"/>
      <c r="I113" s="521">
        <v>1039</v>
      </c>
      <c r="J113" s="521">
        <v>1903</v>
      </c>
      <c r="K113" s="521">
        <v>32</v>
      </c>
      <c r="L113" s="521">
        <v>19</v>
      </c>
      <c r="M113" s="521">
        <v>1</v>
      </c>
      <c r="N113" s="521">
        <v>246</v>
      </c>
      <c r="O113" s="521">
        <v>227</v>
      </c>
      <c r="P113" s="263"/>
      <c r="Q113" s="588">
        <f t="shared" si="21"/>
        <v>1039</v>
      </c>
      <c r="R113" s="589">
        <f t="shared" si="22"/>
        <v>1903</v>
      </c>
      <c r="S113" s="589">
        <f t="shared" si="23"/>
        <v>52</v>
      </c>
      <c r="U113" s="263">
        <v>256</v>
      </c>
      <c r="V113" s="263">
        <v>476</v>
      </c>
      <c r="W113" s="263">
        <v>642</v>
      </c>
      <c r="X113" s="263">
        <v>642</v>
      </c>
      <c r="Y113" s="263">
        <v>551</v>
      </c>
      <c r="Z113" s="263">
        <v>202</v>
      </c>
      <c r="AA113" s="263">
        <v>216</v>
      </c>
      <c r="AC113" s="621">
        <f t="shared" si="24"/>
        <v>732</v>
      </c>
      <c r="AD113" s="621">
        <f t="shared" si="25"/>
        <v>1284</v>
      </c>
      <c r="AE113" s="621">
        <f t="shared" si="26"/>
        <v>753</v>
      </c>
    </row>
    <row r="114" spans="1:31" x14ac:dyDescent="0.3">
      <c r="A114" s="584" t="s">
        <v>160</v>
      </c>
      <c r="B114" s="186" t="s">
        <v>161</v>
      </c>
      <c r="C114" s="594" t="s">
        <v>252</v>
      </c>
      <c r="D114" s="520">
        <v>3417</v>
      </c>
      <c r="E114" s="521">
        <v>1680</v>
      </c>
      <c r="F114" s="521">
        <v>1677</v>
      </c>
      <c r="G114" s="521">
        <v>60</v>
      </c>
      <c r="H114" s="521"/>
      <c r="I114" s="521">
        <v>1205</v>
      </c>
      <c r="J114" s="521">
        <v>2268</v>
      </c>
      <c r="K114" s="521">
        <v>42</v>
      </c>
      <c r="L114" s="521">
        <v>11</v>
      </c>
      <c r="M114" s="521">
        <v>8</v>
      </c>
      <c r="N114" s="521">
        <v>183</v>
      </c>
      <c r="O114" s="521">
        <v>225</v>
      </c>
      <c r="P114" s="263"/>
      <c r="Q114" s="588">
        <f t="shared" si="21"/>
        <v>1205</v>
      </c>
      <c r="R114" s="589">
        <f t="shared" si="22"/>
        <v>2268</v>
      </c>
      <c r="S114" s="589">
        <f t="shared" si="23"/>
        <v>61</v>
      </c>
      <c r="U114" s="263">
        <v>275</v>
      </c>
      <c r="V114" s="263">
        <v>499</v>
      </c>
      <c r="W114" s="263">
        <v>727</v>
      </c>
      <c r="X114" s="263">
        <v>704</v>
      </c>
      <c r="Y114" s="263">
        <v>629</v>
      </c>
      <c r="Z114" s="263">
        <v>238</v>
      </c>
      <c r="AA114" s="263">
        <v>345</v>
      </c>
      <c r="AC114" s="621">
        <f t="shared" si="24"/>
        <v>774</v>
      </c>
      <c r="AD114" s="621">
        <f t="shared" si="25"/>
        <v>1431</v>
      </c>
      <c r="AE114" s="621">
        <f t="shared" si="26"/>
        <v>867</v>
      </c>
    </row>
    <row r="115" spans="1:31" x14ac:dyDescent="0.3">
      <c r="A115" s="584" t="s">
        <v>166</v>
      </c>
      <c r="B115" s="186" t="s">
        <v>167</v>
      </c>
      <c r="C115" s="594" t="s">
        <v>256</v>
      </c>
      <c r="D115" s="520">
        <v>192</v>
      </c>
      <c r="E115" s="521">
        <v>115</v>
      </c>
      <c r="F115" s="521">
        <v>76</v>
      </c>
      <c r="G115" s="521">
        <v>1</v>
      </c>
      <c r="H115" s="521"/>
      <c r="I115" s="521">
        <v>182</v>
      </c>
      <c r="J115" s="521">
        <v>22</v>
      </c>
      <c r="K115" s="521">
        <v>0</v>
      </c>
      <c r="L115" s="521">
        <v>0</v>
      </c>
      <c r="M115" s="521">
        <v>0</v>
      </c>
      <c r="N115" s="521">
        <v>10</v>
      </c>
      <c r="O115" s="521">
        <v>5</v>
      </c>
      <c r="P115" s="263"/>
      <c r="Q115" s="588">
        <f t="shared" si="21"/>
        <v>182</v>
      </c>
      <c r="R115" s="589">
        <f t="shared" si="22"/>
        <v>22</v>
      </c>
      <c r="S115" s="589">
        <f t="shared" si="23"/>
        <v>0</v>
      </c>
      <c r="U115" s="263">
        <v>26</v>
      </c>
      <c r="V115" s="263">
        <v>35</v>
      </c>
      <c r="W115" s="263">
        <v>47</v>
      </c>
      <c r="X115" s="263">
        <v>46</v>
      </c>
      <c r="Y115" s="263">
        <v>25</v>
      </c>
      <c r="Z115" s="263">
        <v>8</v>
      </c>
      <c r="AA115" s="263">
        <v>5</v>
      </c>
      <c r="AC115" s="621">
        <f t="shared" si="24"/>
        <v>61</v>
      </c>
      <c r="AD115" s="621">
        <f t="shared" si="25"/>
        <v>93</v>
      </c>
      <c r="AE115" s="621">
        <f t="shared" si="26"/>
        <v>33</v>
      </c>
    </row>
    <row r="116" spans="1:31" x14ac:dyDescent="0.3">
      <c r="A116" s="584" t="s">
        <v>176</v>
      </c>
      <c r="B116" s="186" t="s">
        <v>177</v>
      </c>
      <c r="C116" s="594" t="s">
        <v>254</v>
      </c>
      <c r="D116" s="520">
        <v>593</v>
      </c>
      <c r="E116" s="521">
        <v>277</v>
      </c>
      <c r="F116" s="521">
        <v>295</v>
      </c>
      <c r="G116" s="521">
        <v>21</v>
      </c>
      <c r="H116" s="521"/>
      <c r="I116" s="521">
        <v>132</v>
      </c>
      <c r="J116" s="521">
        <v>430</v>
      </c>
      <c r="K116" s="521">
        <v>3</v>
      </c>
      <c r="L116" s="521">
        <v>0</v>
      </c>
      <c r="M116" s="521">
        <v>0</v>
      </c>
      <c r="N116" s="521">
        <v>52</v>
      </c>
      <c r="O116" s="521">
        <v>25</v>
      </c>
      <c r="P116" s="263"/>
      <c r="Q116" s="588">
        <f t="shared" si="21"/>
        <v>132</v>
      </c>
      <c r="R116" s="589">
        <f t="shared" si="22"/>
        <v>430</v>
      </c>
      <c r="S116" s="589">
        <f t="shared" si="23"/>
        <v>3</v>
      </c>
      <c r="U116" s="263">
        <v>58</v>
      </c>
      <c r="V116" s="263">
        <v>90</v>
      </c>
      <c r="W116" s="263">
        <v>115</v>
      </c>
      <c r="X116" s="263">
        <v>93</v>
      </c>
      <c r="Y116" s="263">
        <v>69</v>
      </c>
      <c r="Z116" s="263">
        <v>31</v>
      </c>
      <c r="AA116" s="263">
        <v>137</v>
      </c>
      <c r="AC116" s="621">
        <f t="shared" si="24"/>
        <v>148</v>
      </c>
      <c r="AD116" s="621">
        <f t="shared" si="25"/>
        <v>208</v>
      </c>
      <c r="AE116" s="621">
        <f t="shared" si="26"/>
        <v>100</v>
      </c>
    </row>
    <row r="117" spans="1:31" x14ac:dyDescent="0.3">
      <c r="A117" s="584" t="s">
        <v>180</v>
      </c>
      <c r="B117" s="186" t="s">
        <v>181</v>
      </c>
      <c r="C117" s="594" t="s">
        <v>252</v>
      </c>
      <c r="D117" s="520">
        <v>1723</v>
      </c>
      <c r="E117" s="521">
        <v>845</v>
      </c>
      <c r="F117" s="521">
        <v>836</v>
      </c>
      <c r="G117" s="521">
        <v>42</v>
      </c>
      <c r="H117" s="521"/>
      <c r="I117" s="521">
        <v>515</v>
      </c>
      <c r="J117" s="521">
        <v>1156</v>
      </c>
      <c r="K117" s="521">
        <v>11</v>
      </c>
      <c r="L117" s="521">
        <v>2</v>
      </c>
      <c r="M117" s="521">
        <v>2</v>
      </c>
      <c r="N117" s="521">
        <v>96</v>
      </c>
      <c r="O117" s="521">
        <v>70</v>
      </c>
      <c r="P117" s="263"/>
      <c r="Q117" s="588">
        <f t="shared" si="21"/>
        <v>515</v>
      </c>
      <c r="R117" s="589">
        <f t="shared" si="22"/>
        <v>1156</v>
      </c>
      <c r="S117" s="589">
        <f t="shared" si="23"/>
        <v>15</v>
      </c>
      <c r="U117" s="263">
        <v>136</v>
      </c>
      <c r="V117" s="263">
        <v>263</v>
      </c>
      <c r="W117" s="263">
        <v>379</v>
      </c>
      <c r="X117" s="263">
        <v>294</v>
      </c>
      <c r="Y117" s="263">
        <v>315</v>
      </c>
      <c r="Z117" s="263">
        <v>106</v>
      </c>
      <c r="AA117" s="263">
        <v>230</v>
      </c>
      <c r="AC117" s="621">
        <f t="shared" si="24"/>
        <v>399</v>
      </c>
      <c r="AD117" s="621">
        <f t="shared" si="25"/>
        <v>673</v>
      </c>
      <c r="AE117" s="621">
        <f t="shared" si="26"/>
        <v>421</v>
      </c>
    </row>
    <row r="118" spans="1:31" x14ac:dyDescent="0.3">
      <c r="A118" s="584" t="s">
        <v>192</v>
      </c>
      <c r="B118" s="186" t="s">
        <v>193</v>
      </c>
      <c r="C118" s="594" t="s">
        <v>256</v>
      </c>
      <c r="D118" s="520">
        <v>334</v>
      </c>
      <c r="E118" s="521">
        <v>172</v>
      </c>
      <c r="F118" s="521">
        <v>161</v>
      </c>
      <c r="G118" s="521">
        <v>1</v>
      </c>
      <c r="H118" s="521"/>
      <c r="I118" s="521">
        <v>263</v>
      </c>
      <c r="J118" s="521">
        <v>84</v>
      </c>
      <c r="K118" s="521">
        <v>0</v>
      </c>
      <c r="L118" s="521">
        <v>1</v>
      </c>
      <c r="M118" s="521">
        <v>0</v>
      </c>
      <c r="N118" s="521">
        <v>9</v>
      </c>
      <c r="O118" s="521">
        <v>13</v>
      </c>
      <c r="P118" s="263"/>
      <c r="Q118" s="588">
        <f t="shared" si="21"/>
        <v>263</v>
      </c>
      <c r="R118" s="589">
        <f t="shared" si="22"/>
        <v>84</v>
      </c>
      <c r="S118" s="589">
        <f t="shared" si="23"/>
        <v>1</v>
      </c>
      <c r="U118" s="263">
        <v>27</v>
      </c>
      <c r="V118" s="263">
        <v>56</v>
      </c>
      <c r="W118" s="263">
        <v>87</v>
      </c>
      <c r="X118" s="263">
        <v>68</v>
      </c>
      <c r="Y118" s="263">
        <v>50</v>
      </c>
      <c r="Z118" s="263">
        <v>26</v>
      </c>
      <c r="AA118" s="263">
        <v>20</v>
      </c>
      <c r="AC118" s="621">
        <f t="shared" si="24"/>
        <v>83</v>
      </c>
      <c r="AD118" s="621">
        <f t="shared" si="25"/>
        <v>155</v>
      </c>
      <c r="AE118" s="621">
        <f t="shared" si="26"/>
        <v>76</v>
      </c>
    </row>
    <row r="119" spans="1:31" x14ac:dyDescent="0.3">
      <c r="A119" s="584" t="s">
        <v>196</v>
      </c>
      <c r="B119" s="186" t="s">
        <v>197</v>
      </c>
      <c r="C119" s="594" t="s">
        <v>254</v>
      </c>
      <c r="D119" s="520">
        <v>2867</v>
      </c>
      <c r="E119" s="521">
        <v>1352</v>
      </c>
      <c r="F119" s="521">
        <v>1443</v>
      </c>
      <c r="G119" s="521">
        <v>72</v>
      </c>
      <c r="H119" s="521"/>
      <c r="I119" s="521">
        <v>437</v>
      </c>
      <c r="J119" s="521">
        <v>2336</v>
      </c>
      <c r="K119" s="521">
        <v>7</v>
      </c>
      <c r="L119" s="521">
        <v>0</v>
      </c>
      <c r="M119" s="521">
        <v>2</v>
      </c>
      <c r="N119" s="521">
        <v>212</v>
      </c>
      <c r="O119" s="521">
        <v>269</v>
      </c>
      <c r="P119" s="263"/>
      <c r="Q119" s="588">
        <f t="shared" si="21"/>
        <v>437</v>
      </c>
      <c r="R119" s="589">
        <f t="shared" si="22"/>
        <v>2336</v>
      </c>
      <c r="S119" s="589">
        <f t="shared" si="23"/>
        <v>9</v>
      </c>
      <c r="U119" s="263">
        <v>280</v>
      </c>
      <c r="V119" s="263">
        <v>368</v>
      </c>
      <c r="W119" s="263">
        <v>538</v>
      </c>
      <c r="X119" s="263">
        <v>528</v>
      </c>
      <c r="Y119" s="263">
        <v>399</v>
      </c>
      <c r="Z119" s="263">
        <v>164</v>
      </c>
      <c r="AA119" s="263">
        <v>590</v>
      </c>
      <c r="AC119" s="621">
        <f t="shared" si="24"/>
        <v>648</v>
      </c>
      <c r="AD119" s="621">
        <f t="shared" si="25"/>
        <v>1066</v>
      </c>
      <c r="AE119" s="621">
        <f t="shared" si="26"/>
        <v>563</v>
      </c>
    </row>
    <row r="120" spans="1:31" x14ac:dyDescent="0.3">
      <c r="A120" s="584" t="s">
        <v>200</v>
      </c>
      <c r="B120" s="186" t="s">
        <v>201</v>
      </c>
      <c r="C120" s="594" t="s">
        <v>253</v>
      </c>
      <c r="D120" s="520">
        <v>3877</v>
      </c>
      <c r="E120" s="521">
        <v>1868</v>
      </c>
      <c r="F120" s="521">
        <v>1916</v>
      </c>
      <c r="G120" s="521">
        <v>93</v>
      </c>
      <c r="H120" s="521"/>
      <c r="I120" s="521">
        <v>2134</v>
      </c>
      <c r="J120" s="521">
        <v>1672</v>
      </c>
      <c r="K120" s="521">
        <v>22</v>
      </c>
      <c r="L120" s="521">
        <v>6</v>
      </c>
      <c r="M120" s="521">
        <v>3</v>
      </c>
      <c r="N120" s="521">
        <v>605</v>
      </c>
      <c r="O120" s="521">
        <v>266</v>
      </c>
      <c r="P120" s="263"/>
      <c r="Q120" s="588">
        <f t="shared" si="21"/>
        <v>2134</v>
      </c>
      <c r="R120" s="589">
        <f t="shared" si="22"/>
        <v>1672</v>
      </c>
      <c r="S120" s="589">
        <f t="shared" si="23"/>
        <v>31</v>
      </c>
      <c r="U120" s="263">
        <v>355</v>
      </c>
      <c r="V120" s="263">
        <v>536</v>
      </c>
      <c r="W120" s="263">
        <v>806</v>
      </c>
      <c r="X120" s="263">
        <v>800</v>
      </c>
      <c r="Y120" s="263">
        <v>660</v>
      </c>
      <c r="Z120" s="263">
        <v>290</v>
      </c>
      <c r="AA120" s="263">
        <v>430</v>
      </c>
      <c r="AC120" s="621">
        <f t="shared" si="24"/>
        <v>891</v>
      </c>
      <c r="AD120" s="621">
        <f t="shared" si="25"/>
        <v>1606</v>
      </c>
      <c r="AE120" s="621">
        <f t="shared" si="26"/>
        <v>950</v>
      </c>
    </row>
    <row r="121" spans="1:31" x14ac:dyDescent="0.3">
      <c r="A121" s="584" t="s">
        <v>222</v>
      </c>
      <c r="B121" s="186" t="s">
        <v>223</v>
      </c>
      <c r="C121" s="594" t="s">
        <v>252</v>
      </c>
      <c r="D121" s="520">
        <v>1179</v>
      </c>
      <c r="E121" s="521">
        <v>573</v>
      </c>
      <c r="F121" s="521">
        <v>573</v>
      </c>
      <c r="G121" s="521">
        <v>33</v>
      </c>
      <c r="H121" s="521"/>
      <c r="I121" s="521">
        <v>459</v>
      </c>
      <c r="J121" s="521">
        <v>684</v>
      </c>
      <c r="K121" s="521">
        <v>4</v>
      </c>
      <c r="L121" s="521">
        <v>1</v>
      </c>
      <c r="M121" s="521">
        <v>1</v>
      </c>
      <c r="N121" s="521">
        <v>87</v>
      </c>
      <c r="O121" s="521">
        <v>42</v>
      </c>
      <c r="P121" s="263"/>
      <c r="Q121" s="588">
        <f t="shared" si="21"/>
        <v>459</v>
      </c>
      <c r="R121" s="589">
        <f t="shared" si="22"/>
        <v>684</v>
      </c>
      <c r="S121" s="589">
        <f t="shared" si="23"/>
        <v>6</v>
      </c>
      <c r="U121" s="263">
        <v>83</v>
      </c>
      <c r="V121" s="263">
        <v>174</v>
      </c>
      <c r="W121" s="263">
        <v>244</v>
      </c>
      <c r="X121" s="263">
        <v>220</v>
      </c>
      <c r="Y121" s="263">
        <v>206</v>
      </c>
      <c r="Z121" s="263">
        <v>84</v>
      </c>
      <c r="AA121" s="263">
        <v>168</v>
      </c>
      <c r="AC121" s="621">
        <f t="shared" si="24"/>
        <v>257</v>
      </c>
      <c r="AD121" s="621">
        <f t="shared" si="25"/>
        <v>464</v>
      </c>
      <c r="AE121" s="621">
        <f t="shared" si="26"/>
        <v>290</v>
      </c>
    </row>
    <row r="122" spans="1:31" x14ac:dyDescent="0.3">
      <c r="A122" s="584" t="s">
        <v>230</v>
      </c>
      <c r="B122" s="186" t="s">
        <v>231</v>
      </c>
      <c r="C122" s="594" t="s">
        <v>252</v>
      </c>
      <c r="D122" s="520">
        <v>5676</v>
      </c>
      <c r="E122" s="521">
        <v>2848</v>
      </c>
      <c r="F122" s="521">
        <v>2764</v>
      </c>
      <c r="G122" s="521">
        <v>64</v>
      </c>
      <c r="H122" s="521"/>
      <c r="I122" s="521">
        <v>3238</v>
      </c>
      <c r="J122" s="521">
        <v>2263</v>
      </c>
      <c r="K122" s="521">
        <v>178</v>
      </c>
      <c r="L122" s="521">
        <v>57</v>
      </c>
      <c r="M122" s="521">
        <v>28</v>
      </c>
      <c r="N122" s="521">
        <v>389</v>
      </c>
      <c r="O122" s="521">
        <v>532</v>
      </c>
      <c r="P122" s="263"/>
      <c r="Q122" s="588">
        <f t="shared" si="21"/>
        <v>3238</v>
      </c>
      <c r="R122" s="589">
        <f t="shared" si="22"/>
        <v>2263</v>
      </c>
      <c r="S122" s="589">
        <f t="shared" si="23"/>
        <v>263</v>
      </c>
      <c r="U122" s="263">
        <v>318</v>
      </c>
      <c r="V122" s="263">
        <v>719</v>
      </c>
      <c r="W122" s="263">
        <v>1236</v>
      </c>
      <c r="X122" s="263">
        <v>1265</v>
      </c>
      <c r="Y122" s="263">
        <v>1175</v>
      </c>
      <c r="Z122" s="263">
        <v>437</v>
      </c>
      <c r="AA122" s="263">
        <v>526</v>
      </c>
      <c r="AC122" s="621">
        <f t="shared" si="24"/>
        <v>1037</v>
      </c>
      <c r="AD122" s="621">
        <f t="shared" si="25"/>
        <v>2501</v>
      </c>
      <c r="AE122" s="621">
        <f t="shared" si="26"/>
        <v>1612</v>
      </c>
    </row>
    <row r="123" spans="1:31" x14ac:dyDescent="0.3">
      <c r="A123" s="584" t="s">
        <v>238</v>
      </c>
      <c r="B123" s="186" t="s">
        <v>239</v>
      </c>
      <c r="C123" s="594" t="s">
        <v>252</v>
      </c>
      <c r="D123" s="520">
        <v>84</v>
      </c>
      <c r="E123" s="521">
        <v>44</v>
      </c>
      <c r="F123" s="521">
        <v>39</v>
      </c>
      <c r="G123" s="521">
        <v>1</v>
      </c>
      <c r="H123" s="521"/>
      <c r="I123" s="521">
        <v>39</v>
      </c>
      <c r="J123" s="521">
        <v>49</v>
      </c>
      <c r="K123" s="521">
        <v>0</v>
      </c>
      <c r="L123" s="521">
        <v>3</v>
      </c>
      <c r="M123" s="521">
        <v>0</v>
      </c>
      <c r="N123" s="521">
        <v>2</v>
      </c>
      <c r="O123" s="521">
        <v>8</v>
      </c>
      <c r="P123" s="263"/>
      <c r="Q123" s="588">
        <f t="shared" si="21"/>
        <v>39</v>
      </c>
      <c r="R123" s="589">
        <f t="shared" si="22"/>
        <v>49</v>
      </c>
      <c r="S123" s="589">
        <f t="shared" si="23"/>
        <v>3</v>
      </c>
      <c r="U123" s="263">
        <v>8</v>
      </c>
      <c r="V123" s="263">
        <v>16</v>
      </c>
      <c r="W123" s="263">
        <v>20</v>
      </c>
      <c r="X123" s="263">
        <v>13</v>
      </c>
      <c r="Y123" s="263">
        <v>10</v>
      </c>
      <c r="Z123" s="263">
        <v>7</v>
      </c>
      <c r="AA123" s="263">
        <v>10</v>
      </c>
      <c r="AC123" s="621">
        <f t="shared" si="24"/>
        <v>24</v>
      </c>
      <c r="AD123" s="621">
        <f t="shared" si="25"/>
        <v>33</v>
      </c>
      <c r="AE123" s="621">
        <f t="shared" si="26"/>
        <v>17</v>
      </c>
    </row>
    <row r="124" spans="1:31" x14ac:dyDescent="0.3">
      <c r="A124" s="585" t="s">
        <v>240</v>
      </c>
      <c r="B124" s="370" t="s">
        <v>241</v>
      </c>
      <c r="C124" s="595" t="s">
        <v>255</v>
      </c>
      <c r="D124" s="587">
        <v>1248</v>
      </c>
      <c r="E124" s="1711">
        <v>642</v>
      </c>
      <c r="F124" s="1711">
        <v>597</v>
      </c>
      <c r="G124" s="1711">
        <v>9</v>
      </c>
      <c r="H124" s="1711"/>
      <c r="I124" s="889">
        <v>837</v>
      </c>
      <c r="J124" s="889">
        <v>305</v>
      </c>
      <c r="K124" s="889">
        <v>4</v>
      </c>
      <c r="L124" s="889">
        <v>2</v>
      </c>
      <c r="M124" s="889">
        <v>1</v>
      </c>
      <c r="N124" s="889">
        <v>252</v>
      </c>
      <c r="O124" s="889">
        <v>228</v>
      </c>
      <c r="P124" s="263"/>
      <c r="Q124" s="588">
        <f t="shared" si="21"/>
        <v>837</v>
      </c>
      <c r="R124" s="589">
        <f t="shared" si="22"/>
        <v>305</v>
      </c>
      <c r="S124" s="589">
        <f t="shared" si="23"/>
        <v>7</v>
      </c>
      <c r="U124" s="263">
        <v>126</v>
      </c>
      <c r="V124" s="263">
        <v>236</v>
      </c>
      <c r="W124" s="263">
        <v>289</v>
      </c>
      <c r="X124" s="263">
        <v>255</v>
      </c>
      <c r="Y124" s="263">
        <v>214</v>
      </c>
      <c r="Z124" s="263">
        <v>86</v>
      </c>
      <c r="AA124" s="263">
        <v>42</v>
      </c>
      <c r="AC124" s="621">
        <f t="shared" si="24"/>
        <v>362</v>
      </c>
      <c r="AD124" s="621">
        <f t="shared" si="25"/>
        <v>544</v>
      </c>
      <c r="AE124" s="621">
        <f t="shared" si="26"/>
        <v>300</v>
      </c>
    </row>
    <row r="125" spans="1:31" x14ac:dyDescent="0.3">
      <c r="A125" s="578"/>
      <c r="B125" s="578"/>
      <c r="C125" s="596"/>
    </row>
    <row r="126" spans="1:31" ht="63.75" customHeight="1" x14ac:dyDescent="0.3">
      <c r="A126" s="2762" t="s">
        <v>1089</v>
      </c>
      <c r="B126" s="2762"/>
      <c r="C126" s="2762"/>
      <c r="D126" s="2762"/>
      <c r="E126" s="2762"/>
      <c r="F126" s="2762"/>
      <c r="G126" s="2762"/>
      <c r="H126" s="2762"/>
      <c r="I126" s="2762"/>
      <c r="J126" s="2762"/>
      <c r="K126" s="2762"/>
      <c r="L126" s="2762"/>
    </row>
    <row r="127" spans="1:31" x14ac:dyDescent="0.3">
      <c r="A127" s="570"/>
      <c r="B127" s="570"/>
      <c r="C127" s="592"/>
    </row>
    <row r="128" spans="1:31" s="473" customFormat="1" x14ac:dyDescent="0.3">
      <c r="A128" s="2759" t="s">
        <v>248</v>
      </c>
      <c r="B128" s="2759"/>
      <c r="C128" s="2759"/>
      <c r="D128" s="2759"/>
      <c r="E128" s="2759"/>
      <c r="F128" s="2759"/>
      <c r="G128" s="2759"/>
      <c r="H128" s="2759"/>
      <c r="I128" s="2759"/>
      <c r="J128" s="2759"/>
      <c r="K128" s="2759"/>
      <c r="L128" s="2759"/>
      <c r="M128" s="579"/>
      <c r="O128" s="579"/>
    </row>
    <row r="129" spans="1:15" s="473" customFormat="1" x14ac:dyDescent="0.3">
      <c r="A129" s="498" t="s">
        <v>249</v>
      </c>
      <c r="B129" s="499" t="s">
        <v>250</v>
      </c>
      <c r="C129" s="597"/>
      <c r="D129" s="500"/>
      <c r="E129" s="500"/>
      <c r="F129" s="500"/>
      <c r="G129" s="500"/>
      <c r="H129" s="500"/>
      <c r="I129" s="500"/>
      <c r="J129" s="500"/>
      <c r="K129" s="500"/>
      <c r="L129" s="500"/>
      <c r="M129" s="500"/>
      <c r="O129" s="500"/>
    </row>
  </sheetData>
  <autoFilter ref="A3:C3"/>
  <sortState ref="A5:AE124">
    <sortCondition ref="A5:A124"/>
  </sortState>
  <mergeCells count="3">
    <mergeCell ref="A1:M1"/>
    <mergeCell ref="A128:L128"/>
    <mergeCell ref="A126:L126"/>
  </mergeCells>
  <hyperlinks>
    <hyperlink ref="B129" r:id="rId1"/>
  </hyperlinks>
  <pageMargins left="0.7" right="0.7" top="0.75" bottom="0.75" header="0.3" footer="0.3"/>
  <pageSetup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K4" activePane="bottomRight" state="frozen"/>
      <selection pane="topRight" activeCell="C1" sqref="C1"/>
      <selection pane="bottomLeft" activeCell="A4" sqref="A4"/>
      <selection pane="bottomRight" activeCell="K6" sqref="K6"/>
    </sheetView>
  </sheetViews>
  <sheetFormatPr defaultColWidth="9" defaultRowHeight="13.2" x14ac:dyDescent="0.25"/>
  <cols>
    <col min="1" max="1" width="12.19921875" style="18" customWidth="1"/>
    <col min="2" max="2" width="21.5" style="28" customWidth="1"/>
    <col min="3" max="3" width="10.09765625" style="18" customWidth="1"/>
    <col min="4" max="4" width="9.796875" style="18" customWidth="1"/>
    <col min="5" max="5" width="9.796875" style="18" bestFit="1" customWidth="1"/>
    <col min="6" max="6" width="2.59765625" style="18" customWidth="1"/>
    <col min="7" max="7" width="10.09765625" style="18" customWidth="1"/>
    <col min="8" max="8" width="9.5" style="18" customWidth="1"/>
    <col min="9" max="9" width="9.69921875" style="18" customWidth="1"/>
    <col min="10" max="10" width="2.59765625" style="18" customWidth="1"/>
    <col min="11" max="11" width="9.59765625" style="18" customWidth="1"/>
    <col min="12" max="12" width="10.5" style="18" customWidth="1"/>
    <col min="13" max="13" width="11.296875" style="18" customWidth="1"/>
    <col min="14" max="14" width="2.59765625" style="18" customWidth="1"/>
    <col min="15" max="15" width="10.09765625" style="18" customWidth="1"/>
    <col min="16" max="16" width="10.19921875" style="18" customWidth="1"/>
    <col min="17" max="17" width="10.296875" style="18" customWidth="1"/>
    <col min="18" max="18" width="2.59765625" style="18" customWidth="1"/>
    <col min="19" max="19" width="11" style="18" customWidth="1"/>
    <col min="20" max="20" width="10.796875" style="18" customWidth="1"/>
    <col min="21" max="21" width="9.796875" style="18" customWidth="1"/>
    <col min="22" max="22" width="2.59765625" style="18" customWidth="1"/>
    <col min="23" max="23" width="9.5" style="18" customWidth="1"/>
    <col min="24" max="24" width="10.296875" style="18" customWidth="1"/>
    <col min="25" max="25" width="10.19921875" style="18" customWidth="1"/>
    <col min="26" max="16384" width="9" style="18"/>
  </cols>
  <sheetData>
    <row r="1" spans="1:25" ht="15.6" x14ac:dyDescent="0.3">
      <c r="C1" s="2779" t="s">
        <v>441</v>
      </c>
      <c r="D1" s="2779"/>
      <c r="E1" s="2779"/>
      <c r="F1" s="2779"/>
      <c r="G1" s="2779"/>
      <c r="H1" s="2779"/>
      <c r="I1" s="2779"/>
      <c r="J1" s="2779"/>
      <c r="K1" s="2779"/>
      <c r="L1" s="2779"/>
      <c r="M1" s="2779"/>
      <c r="O1" s="2776" t="s">
        <v>442</v>
      </c>
      <c r="P1" s="2776"/>
      <c r="Q1" s="2776"/>
      <c r="R1" s="2776"/>
      <c r="S1" s="2776"/>
      <c r="T1" s="2776"/>
      <c r="U1" s="2776"/>
      <c r="V1" s="2776"/>
      <c r="W1" s="2776"/>
      <c r="X1" s="2776"/>
      <c r="Y1" s="2776"/>
    </row>
    <row r="2" spans="1:25" ht="12.75" customHeight="1" x14ac:dyDescent="0.25">
      <c r="C2" s="2775" t="s">
        <v>2</v>
      </c>
      <c r="D2" s="2775"/>
      <c r="E2" s="2775"/>
      <c r="F2" s="37"/>
      <c r="G2" s="2775" t="s">
        <v>314</v>
      </c>
      <c r="H2" s="2775"/>
      <c r="I2" s="2775"/>
      <c r="J2" s="37"/>
      <c r="K2" s="2775" t="s">
        <v>450</v>
      </c>
      <c r="L2" s="2775"/>
      <c r="M2" s="2775"/>
      <c r="N2" s="43"/>
      <c r="O2" s="2775" t="s">
        <v>2</v>
      </c>
      <c r="P2" s="2775"/>
      <c r="Q2" s="2775"/>
      <c r="S2" s="2775" t="s">
        <v>314</v>
      </c>
      <c r="T2" s="2775"/>
      <c r="U2" s="2775"/>
      <c r="X2" s="22"/>
      <c r="Y2" s="30"/>
    </row>
    <row r="3" spans="1:25" s="21" customFormat="1" ht="45" customHeight="1" x14ac:dyDescent="0.3">
      <c r="A3" s="20" t="s">
        <v>293</v>
      </c>
      <c r="B3" s="31" t="s">
        <v>294</v>
      </c>
      <c r="C3" s="23" t="s">
        <v>447</v>
      </c>
      <c r="D3" s="23" t="s">
        <v>448</v>
      </c>
      <c r="E3" s="34" t="s">
        <v>449</v>
      </c>
      <c r="F3" s="38"/>
      <c r="G3" s="35" t="s">
        <v>447</v>
      </c>
      <c r="H3" s="23" t="s">
        <v>448</v>
      </c>
      <c r="I3" s="34" t="s">
        <v>449</v>
      </c>
      <c r="J3" s="38"/>
      <c r="K3" s="23" t="s">
        <v>447</v>
      </c>
      <c r="L3" s="23" t="s">
        <v>448</v>
      </c>
      <c r="M3" s="34" t="s">
        <v>449</v>
      </c>
      <c r="N3" s="38"/>
      <c r="O3" s="23" t="s">
        <v>447</v>
      </c>
      <c r="P3" s="23" t="s">
        <v>448</v>
      </c>
      <c r="Q3" s="34" t="s">
        <v>449</v>
      </c>
      <c r="R3" s="38"/>
      <c r="S3" s="35" t="s">
        <v>447</v>
      </c>
      <c r="T3" s="23" t="s">
        <v>448</v>
      </c>
      <c r="U3" s="34" t="s">
        <v>449</v>
      </c>
      <c r="V3" s="38"/>
      <c r="W3" s="35" t="s">
        <v>447</v>
      </c>
      <c r="X3" s="23" t="s">
        <v>448</v>
      </c>
      <c r="Y3" s="34" t="s">
        <v>449</v>
      </c>
    </row>
    <row r="4" spans="1:25" ht="16.5" customHeight="1" x14ac:dyDescent="0.3">
      <c r="A4" s="16" t="s">
        <v>10</v>
      </c>
      <c r="B4" s="32" t="s">
        <v>11</v>
      </c>
      <c r="C4" s="26" t="e">
        <f t="shared" ref="C4:C35" si="0">VLOOKUP(A4,MedicaidR,7,FALSE)</f>
        <v>#NAME?</v>
      </c>
      <c r="D4" s="26" t="e">
        <f t="shared" ref="D4:D35" si="1">VLOOKUP(A4,Pop,14,FALSE)</f>
        <v>#NAME?</v>
      </c>
      <c r="E4" s="12" t="e">
        <f t="shared" ref="E4:E35" si="2">+C4/D4</f>
        <v>#NAME?</v>
      </c>
      <c r="F4" s="45"/>
      <c r="G4" s="26" t="e">
        <f t="shared" ref="G4:G35" si="3">VLOOKUP(A4,MedicaidR,8,FALSE)</f>
        <v>#NAME?</v>
      </c>
      <c r="H4" s="26" t="e">
        <f t="shared" ref="H4:H35" si="4">VLOOKUP(A4,Pop,15,FALSE)</f>
        <v>#NAME?</v>
      </c>
      <c r="I4" s="12" t="e">
        <f t="shared" ref="I4:I35" si="5">+G4/H4</f>
        <v>#NAME?</v>
      </c>
      <c r="J4" s="45"/>
      <c r="K4" s="26" t="e">
        <f t="shared" ref="K4:K35" si="6">VLOOKUP(A4,MedicaidR,9,FALSE)</f>
        <v>#NAME?</v>
      </c>
      <c r="L4" s="26" t="e">
        <f t="shared" ref="L4:L35" si="7">VLOOKUP(A4,Pop,16,FALSE)</f>
        <v>#NAME?</v>
      </c>
      <c r="M4" s="12" t="e">
        <f t="shared" ref="M4:M35" si="8">+K4/L4</f>
        <v>#NAME?</v>
      </c>
      <c r="N4" s="12"/>
      <c r="O4" s="26" t="e">
        <f t="shared" ref="O4:O35" si="9">VLOOKUP(A4,MedicaidR,3,FALSE)</f>
        <v>#NAME?</v>
      </c>
      <c r="P4" s="26" t="e">
        <f t="shared" ref="P4:P35" si="10">VLOOKUP(A4,Pop,8,FALSE)</f>
        <v>#NAME?</v>
      </c>
      <c r="Q4" s="12" t="e">
        <f t="shared" ref="Q4:Q35" si="11">+O4/P4</f>
        <v>#NAME?</v>
      </c>
      <c r="R4" s="12"/>
      <c r="S4" s="26" t="e">
        <f t="shared" ref="S4:S35" si="12">VLOOKUP(A4,MedicaidR,4,FALSE)</f>
        <v>#NAME?</v>
      </c>
      <c r="T4" s="26" t="e">
        <f t="shared" ref="T4:T35" si="13">VLOOKUP(A4,Pop,9,FALSE)</f>
        <v>#NAME?</v>
      </c>
      <c r="U4" s="12" t="e">
        <f t="shared" ref="U4:U35" si="14">+S4/T4</f>
        <v>#NAME?</v>
      </c>
      <c r="V4" s="12"/>
      <c r="W4" s="44" t="e">
        <f t="shared" ref="W4:W35" si="15">VLOOKUP(A4,MedicaidR,5,FALSE)</f>
        <v>#NAME?</v>
      </c>
      <c r="X4" s="26" t="e">
        <f t="shared" ref="X4:X35" si="16">VLOOKUP(A4,Pop,10,FALSE)</f>
        <v>#NAME?</v>
      </c>
      <c r="Y4" s="12" t="e">
        <f t="shared" ref="Y4:Y35" si="17">+W4/X4</f>
        <v>#NAME?</v>
      </c>
    </row>
    <row r="5" spans="1:25" ht="16.5" customHeight="1" x14ac:dyDescent="0.3">
      <c r="A5" s="16" t="s">
        <v>12</v>
      </c>
      <c r="B5" s="17" t="s">
        <v>13</v>
      </c>
      <c r="C5" s="26" t="e">
        <f t="shared" si="0"/>
        <v>#NAME?</v>
      </c>
      <c r="D5" s="26" t="e">
        <f t="shared" si="1"/>
        <v>#NAME?</v>
      </c>
      <c r="E5" s="12" t="e">
        <f t="shared" si="2"/>
        <v>#NAME?</v>
      </c>
      <c r="F5" s="26"/>
      <c r="G5" s="26" t="e">
        <f t="shared" si="3"/>
        <v>#NAME?</v>
      </c>
      <c r="H5" s="26" t="e">
        <f t="shared" si="4"/>
        <v>#NAME?</v>
      </c>
      <c r="I5" s="12" t="e">
        <f t="shared" si="5"/>
        <v>#NAME?</v>
      </c>
      <c r="J5" s="26"/>
      <c r="K5" s="26" t="e">
        <f t="shared" si="6"/>
        <v>#NAME?</v>
      </c>
      <c r="L5" s="26" t="e">
        <f t="shared" si="7"/>
        <v>#NAME?</v>
      </c>
      <c r="M5" s="12" t="e">
        <f t="shared" si="8"/>
        <v>#NAME?</v>
      </c>
      <c r="N5" s="12"/>
      <c r="O5" s="26" t="e">
        <f t="shared" si="9"/>
        <v>#NAME?</v>
      </c>
      <c r="P5" s="26" t="e">
        <f t="shared" si="10"/>
        <v>#NAME?</v>
      </c>
      <c r="Q5" s="12" t="e">
        <f t="shared" si="11"/>
        <v>#NAME?</v>
      </c>
      <c r="R5" s="12"/>
      <c r="S5" s="26" t="e">
        <f t="shared" si="12"/>
        <v>#NAME?</v>
      </c>
      <c r="T5" s="26" t="e">
        <f t="shared" si="13"/>
        <v>#NAME?</v>
      </c>
      <c r="U5" s="12" t="e">
        <f t="shared" si="14"/>
        <v>#NAME?</v>
      </c>
      <c r="V5" s="12"/>
      <c r="W5" s="44" t="e">
        <f t="shared" si="15"/>
        <v>#NAME?</v>
      </c>
      <c r="X5" s="26" t="e">
        <f t="shared" si="16"/>
        <v>#NAME?</v>
      </c>
      <c r="Y5" s="12" t="e">
        <f t="shared" si="17"/>
        <v>#NAME?</v>
      </c>
    </row>
    <row r="6" spans="1:25" ht="16.5" customHeight="1" x14ac:dyDescent="0.3">
      <c r="A6" s="16" t="s">
        <v>16</v>
      </c>
      <c r="B6" s="32" t="s">
        <v>285</v>
      </c>
      <c r="C6" s="26" t="e">
        <f t="shared" si="0"/>
        <v>#NAME?</v>
      </c>
      <c r="D6" s="26" t="e">
        <f t="shared" si="1"/>
        <v>#NAME?</v>
      </c>
      <c r="E6" s="12" t="e">
        <f t="shared" si="2"/>
        <v>#NAME?</v>
      </c>
      <c r="F6" s="26"/>
      <c r="G6" s="26" t="e">
        <f t="shared" si="3"/>
        <v>#NAME?</v>
      </c>
      <c r="H6" s="26" t="e">
        <f t="shared" si="4"/>
        <v>#NAME?</v>
      </c>
      <c r="I6" s="12" t="e">
        <f t="shared" si="5"/>
        <v>#NAME?</v>
      </c>
      <c r="J6" s="26"/>
      <c r="K6" s="26" t="e">
        <f t="shared" si="6"/>
        <v>#NAME?</v>
      </c>
      <c r="L6" s="26" t="e">
        <f t="shared" si="7"/>
        <v>#NAME?</v>
      </c>
      <c r="M6" s="12" t="e">
        <f t="shared" si="8"/>
        <v>#NAME?</v>
      </c>
      <c r="N6" s="12"/>
      <c r="O6" s="26" t="e">
        <f t="shared" si="9"/>
        <v>#NAME?</v>
      </c>
      <c r="P6" s="26" t="e">
        <f t="shared" si="10"/>
        <v>#NAME?</v>
      </c>
      <c r="Q6" s="12" t="e">
        <f t="shared" si="11"/>
        <v>#NAME?</v>
      </c>
      <c r="R6" s="12"/>
      <c r="S6" s="26" t="e">
        <f t="shared" si="12"/>
        <v>#NAME?</v>
      </c>
      <c r="T6" s="26" t="e">
        <f t="shared" si="13"/>
        <v>#NAME?</v>
      </c>
      <c r="U6" s="12" t="e">
        <f t="shared" si="14"/>
        <v>#NAME?</v>
      </c>
      <c r="V6" s="12"/>
      <c r="W6" s="44" t="e">
        <f t="shared" si="15"/>
        <v>#NAME?</v>
      </c>
      <c r="X6" s="26" t="e">
        <f t="shared" si="16"/>
        <v>#NAME?</v>
      </c>
      <c r="Y6" s="12" t="e">
        <f t="shared" si="17"/>
        <v>#NAME?</v>
      </c>
    </row>
    <row r="7" spans="1:25" ht="16.5" customHeight="1" x14ac:dyDescent="0.3">
      <c r="A7" s="16" t="s">
        <v>18</v>
      </c>
      <c r="B7" s="17" t="s">
        <v>19</v>
      </c>
      <c r="C7" s="26" t="e">
        <f t="shared" si="0"/>
        <v>#NAME?</v>
      </c>
      <c r="D7" s="26" t="e">
        <f t="shared" si="1"/>
        <v>#NAME?</v>
      </c>
      <c r="E7" s="12" t="e">
        <f t="shared" si="2"/>
        <v>#NAME?</v>
      </c>
      <c r="F7" s="26"/>
      <c r="G7" s="26" t="e">
        <f t="shared" si="3"/>
        <v>#NAME?</v>
      </c>
      <c r="H7" s="26" t="e">
        <f t="shared" si="4"/>
        <v>#NAME?</v>
      </c>
      <c r="I7" s="12" t="e">
        <f t="shared" si="5"/>
        <v>#NAME?</v>
      </c>
      <c r="J7" s="26"/>
      <c r="K7" s="26" t="e">
        <f t="shared" si="6"/>
        <v>#NAME?</v>
      </c>
      <c r="L7" s="26" t="e">
        <f t="shared" si="7"/>
        <v>#NAME?</v>
      </c>
      <c r="M7" s="12" t="e">
        <f t="shared" si="8"/>
        <v>#NAME?</v>
      </c>
      <c r="N7" s="12"/>
      <c r="O7" s="26" t="e">
        <f t="shared" si="9"/>
        <v>#NAME?</v>
      </c>
      <c r="P7" s="26" t="e">
        <f t="shared" si="10"/>
        <v>#NAME?</v>
      </c>
      <c r="Q7" s="12" t="e">
        <f t="shared" si="11"/>
        <v>#NAME?</v>
      </c>
      <c r="R7" s="12"/>
      <c r="S7" s="26" t="e">
        <f t="shared" si="12"/>
        <v>#NAME?</v>
      </c>
      <c r="T7" s="26" t="e">
        <f t="shared" si="13"/>
        <v>#NAME?</v>
      </c>
      <c r="U7" s="12" t="e">
        <f t="shared" si="14"/>
        <v>#NAME?</v>
      </c>
      <c r="V7" s="12"/>
      <c r="W7" s="44" t="e">
        <f t="shared" si="15"/>
        <v>#NAME?</v>
      </c>
      <c r="X7" s="26" t="e">
        <f t="shared" si="16"/>
        <v>#NAME?</v>
      </c>
      <c r="Y7" s="12" t="e">
        <f t="shared" si="17"/>
        <v>#NAME?</v>
      </c>
    </row>
    <row r="8" spans="1:25" ht="16.5" customHeight="1" x14ac:dyDescent="0.3">
      <c r="A8" s="16" t="s">
        <v>20</v>
      </c>
      <c r="B8" s="32" t="s">
        <v>21</v>
      </c>
      <c r="C8" s="26" t="e">
        <f t="shared" si="0"/>
        <v>#NAME?</v>
      </c>
      <c r="D8" s="26" t="e">
        <f t="shared" si="1"/>
        <v>#NAME?</v>
      </c>
      <c r="E8" s="12" t="e">
        <f t="shared" si="2"/>
        <v>#NAME?</v>
      </c>
      <c r="F8" s="26"/>
      <c r="G8" s="26" t="e">
        <f t="shared" si="3"/>
        <v>#NAME?</v>
      </c>
      <c r="H8" s="26" t="e">
        <f t="shared" si="4"/>
        <v>#NAME?</v>
      </c>
      <c r="I8" s="12" t="e">
        <f t="shared" si="5"/>
        <v>#NAME?</v>
      </c>
      <c r="J8" s="26"/>
      <c r="K8" s="26" t="e">
        <f t="shared" si="6"/>
        <v>#NAME?</v>
      </c>
      <c r="L8" s="26" t="e">
        <f t="shared" si="7"/>
        <v>#NAME?</v>
      </c>
      <c r="M8" s="12" t="e">
        <f t="shared" si="8"/>
        <v>#NAME?</v>
      </c>
      <c r="N8" s="12"/>
      <c r="O8" s="26" t="e">
        <f t="shared" si="9"/>
        <v>#NAME?</v>
      </c>
      <c r="P8" s="26" t="e">
        <f t="shared" si="10"/>
        <v>#NAME?</v>
      </c>
      <c r="Q8" s="12" t="e">
        <f t="shared" si="11"/>
        <v>#NAME?</v>
      </c>
      <c r="R8" s="12"/>
      <c r="S8" s="26" t="e">
        <f t="shared" si="12"/>
        <v>#NAME?</v>
      </c>
      <c r="T8" s="26" t="e">
        <f t="shared" si="13"/>
        <v>#NAME?</v>
      </c>
      <c r="U8" s="12" t="e">
        <f t="shared" si="14"/>
        <v>#NAME?</v>
      </c>
      <c r="V8" s="12"/>
      <c r="W8" s="44" t="e">
        <f t="shared" si="15"/>
        <v>#NAME?</v>
      </c>
      <c r="X8" s="26" t="e">
        <f t="shared" si="16"/>
        <v>#NAME?</v>
      </c>
      <c r="Y8" s="12" t="e">
        <f t="shared" si="17"/>
        <v>#NAME?</v>
      </c>
    </row>
    <row r="9" spans="1:25" ht="16.5" customHeight="1" x14ac:dyDescent="0.3">
      <c r="A9" s="16" t="s">
        <v>22</v>
      </c>
      <c r="B9" s="17" t="s">
        <v>23</v>
      </c>
      <c r="C9" s="26" t="e">
        <f t="shared" si="0"/>
        <v>#NAME?</v>
      </c>
      <c r="D9" s="26" t="e">
        <f t="shared" si="1"/>
        <v>#NAME?</v>
      </c>
      <c r="E9" s="12" t="e">
        <f t="shared" si="2"/>
        <v>#NAME?</v>
      </c>
      <c r="F9" s="26"/>
      <c r="G9" s="26" t="e">
        <f t="shared" si="3"/>
        <v>#NAME?</v>
      </c>
      <c r="H9" s="26" t="e">
        <f t="shared" si="4"/>
        <v>#NAME?</v>
      </c>
      <c r="I9" s="12" t="e">
        <f t="shared" si="5"/>
        <v>#NAME?</v>
      </c>
      <c r="J9" s="26"/>
      <c r="K9" s="26" t="e">
        <f t="shared" si="6"/>
        <v>#NAME?</v>
      </c>
      <c r="L9" s="26" t="e">
        <f t="shared" si="7"/>
        <v>#NAME?</v>
      </c>
      <c r="M9" s="12" t="e">
        <f t="shared" si="8"/>
        <v>#NAME?</v>
      </c>
      <c r="N9" s="12"/>
      <c r="O9" s="26" t="e">
        <f t="shared" si="9"/>
        <v>#NAME?</v>
      </c>
      <c r="P9" s="26" t="e">
        <f t="shared" si="10"/>
        <v>#NAME?</v>
      </c>
      <c r="Q9" s="12" t="e">
        <f t="shared" si="11"/>
        <v>#NAME?</v>
      </c>
      <c r="R9" s="12"/>
      <c r="S9" s="26" t="e">
        <f t="shared" si="12"/>
        <v>#NAME?</v>
      </c>
      <c r="T9" s="26" t="e">
        <f t="shared" si="13"/>
        <v>#NAME?</v>
      </c>
      <c r="U9" s="12" t="e">
        <f t="shared" si="14"/>
        <v>#NAME?</v>
      </c>
      <c r="V9" s="12"/>
      <c r="W9" s="44" t="e">
        <f t="shared" si="15"/>
        <v>#NAME?</v>
      </c>
      <c r="X9" s="26" t="e">
        <f t="shared" si="16"/>
        <v>#NAME?</v>
      </c>
      <c r="Y9" s="12" t="e">
        <f t="shared" si="17"/>
        <v>#NAME?</v>
      </c>
    </row>
    <row r="10" spans="1:25" ht="16.5" customHeight="1" x14ac:dyDescent="0.3">
      <c r="A10" s="16" t="s">
        <v>24</v>
      </c>
      <c r="B10" s="17" t="s">
        <v>25</v>
      </c>
      <c r="C10" s="26" t="e">
        <f t="shared" si="0"/>
        <v>#NAME?</v>
      </c>
      <c r="D10" s="26" t="e">
        <f t="shared" si="1"/>
        <v>#NAME?</v>
      </c>
      <c r="E10" s="12" t="e">
        <f t="shared" si="2"/>
        <v>#NAME?</v>
      </c>
      <c r="F10" s="26"/>
      <c r="G10" s="26" t="e">
        <f t="shared" si="3"/>
        <v>#NAME?</v>
      </c>
      <c r="H10" s="26" t="e">
        <f t="shared" si="4"/>
        <v>#NAME?</v>
      </c>
      <c r="I10" s="12" t="e">
        <f t="shared" si="5"/>
        <v>#NAME?</v>
      </c>
      <c r="J10" s="26"/>
      <c r="K10" s="26" t="e">
        <f t="shared" si="6"/>
        <v>#NAME?</v>
      </c>
      <c r="L10" s="26" t="e">
        <f t="shared" si="7"/>
        <v>#NAME?</v>
      </c>
      <c r="M10" s="12" t="e">
        <f t="shared" si="8"/>
        <v>#NAME?</v>
      </c>
      <c r="N10" s="12"/>
      <c r="O10" s="26" t="e">
        <f t="shared" si="9"/>
        <v>#NAME?</v>
      </c>
      <c r="P10" s="26" t="e">
        <f t="shared" si="10"/>
        <v>#NAME?</v>
      </c>
      <c r="Q10" s="12" t="e">
        <f t="shared" si="11"/>
        <v>#NAME?</v>
      </c>
      <c r="R10" s="12"/>
      <c r="S10" s="26" t="e">
        <f t="shared" si="12"/>
        <v>#NAME?</v>
      </c>
      <c r="T10" s="26" t="e">
        <f t="shared" si="13"/>
        <v>#NAME?</v>
      </c>
      <c r="U10" s="12" t="e">
        <f t="shared" si="14"/>
        <v>#NAME?</v>
      </c>
      <c r="V10" s="12"/>
      <c r="W10" s="44" t="e">
        <f t="shared" si="15"/>
        <v>#NAME?</v>
      </c>
      <c r="X10" s="26" t="e">
        <f t="shared" si="16"/>
        <v>#NAME?</v>
      </c>
      <c r="Y10" s="12" t="e">
        <f t="shared" si="17"/>
        <v>#NAME?</v>
      </c>
    </row>
    <row r="11" spans="1:25" ht="16.5" customHeight="1" x14ac:dyDescent="0.3">
      <c r="A11" s="16" t="s">
        <v>26</v>
      </c>
      <c r="B11" s="32" t="s">
        <v>286</v>
      </c>
      <c r="C11" s="26" t="e">
        <f t="shared" si="0"/>
        <v>#NAME?</v>
      </c>
      <c r="D11" s="26" t="e">
        <f t="shared" si="1"/>
        <v>#NAME?</v>
      </c>
      <c r="E11" s="12" t="e">
        <f t="shared" si="2"/>
        <v>#NAME?</v>
      </c>
      <c r="F11" s="26"/>
      <c r="G11" s="26" t="e">
        <f t="shared" si="3"/>
        <v>#NAME?</v>
      </c>
      <c r="H11" s="26" t="e">
        <f t="shared" si="4"/>
        <v>#NAME?</v>
      </c>
      <c r="I11" s="12" t="e">
        <f t="shared" si="5"/>
        <v>#NAME?</v>
      </c>
      <c r="J11" s="26"/>
      <c r="K11" s="26" t="e">
        <f t="shared" si="6"/>
        <v>#NAME?</v>
      </c>
      <c r="L11" s="26" t="e">
        <f t="shared" si="7"/>
        <v>#NAME?</v>
      </c>
      <c r="M11" s="12" t="e">
        <f t="shared" si="8"/>
        <v>#NAME?</v>
      </c>
      <c r="N11" s="12"/>
      <c r="O11" s="26" t="e">
        <f t="shared" si="9"/>
        <v>#NAME?</v>
      </c>
      <c r="P11" s="26" t="e">
        <f t="shared" si="10"/>
        <v>#NAME?</v>
      </c>
      <c r="Q11" s="12" t="e">
        <f t="shared" si="11"/>
        <v>#NAME?</v>
      </c>
      <c r="R11" s="12"/>
      <c r="S11" s="26" t="e">
        <f t="shared" si="12"/>
        <v>#NAME?</v>
      </c>
      <c r="T11" s="26" t="e">
        <f t="shared" si="13"/>
        <v>#NAME?</v>
      </c>
      <c r="U11" s="12" t="e">
        <f t="shared" si="14"/>
        <v>#NAME?</v>
      </c>
      <c r="V11" s="12"/>
      <c r="W11" s="44" t="e">
        <f t="shared" si="15"/>
        <v>#NAME?</v>
      </c>
      <c r="X11" s="26" t="e">
        <f t="shared" si="16"/>
        <v>#NAME?</v>
      </c>
      <c r="Y11" s="12" t="e">
        <f t="shared" si="17"/>
        <v>#NAME?</v>
      </c>
    </row>
    <row r="12" spans="1:25" ht="16.5" customHeight="1" x14ac:dyDescent="0.3">
      <c r="A12" s="16" t="s">
        <v>27</v>
      </c>
      <c r="B12" s="32" t="s">
        <v>28</v>
      </c>
      <c r="C12" s="26" t="e">
        <f t="shared" si="0"/>
        <v>#NAME?</v>
      </c>
      <c r="D12" s="26" t="e">
        <f t="shared" si="1"/>
        <v>#NAME?</v>
      </c>
      <c r="E12" s="12" t="e">
        <f t="shared" si="2"/>
        <v>#NAME?</v>
      </c>
      <c r="F12" s="26"/>
      <c r="G12" s="26" t="e">
        <f t="shared" si="3"/>
        <v>#NAME?</v>
      </c>
      <c r="H12" s="26" t="e">
        <f t="shared" si="4"/>
        <v>#NAME?</v>
      </c>
      <c r="I12" s="12" t="e">
        <f t="shared" si="5"/>
        <v>#NAME?</v>
      </c>
      <c r="J12" s="26"/>
      <c r="K12" s="26" t="e">
        <f t="shared" si="6"/>
        <v>#NAME?</v>
      </c>
      <c r="L12" s="26" t="e">
        <f t="shared" si="7"/>
        <v>#NAME?</v>
      </c>
      <c r="M12" s="12" t="e">
        <f t="shared" si="8"/>
        <v>#NAME?</v>
      </c>
      <c r="N12" s="12"/>
      <c r="O12" s="26" t="e">
        <f t="shared" si="9"/>
        <v>#NAME?</v>
      </c>
      <c r="P12" s="26" t="e">
        <f t="shared" si="10"/>
        <v>#NAME?</v>
      </c>
      <c r="Q12" s="12" t="e">
        <f t="shared" si="11"/>
        <v>#NAME?</v>
      </c>
      <c r="R12" s="12"/>
      <c r="S12" s="26" t="e">
        <f t="shared" si="12"/>
        <v>#NAME?</v>
      </c>
      <c r="T12" s="26" t="e">
        <f t="shared" si="13"/>
        <v>#NAME?</v>
      </c>
      <c r="U12" s="12" t="e">
        <f t="shared" si="14"/>
        <v>#NAME?</v>
      </c>
      <c r="V12" s="12"/>
      <c r="W12" s="44" t="e">
        <f t="shared" si="15"/>
        <v>#NAME?</v>
      </c>
      <c r="X12" s="26" t="e">
        <f t="shared" si="16"/>
        <v>#NAME?</v>
      </c>
      <c r="Y12" s="12" t="e">
        <f t="shared" si="17"/>
        <v>#NAME?</v>
      </c>
    </row>
    <row r="13" spans="1:25" ht="16.5" customHeight="1" x14ac:dyDescent="0.3">
      <c r="A13" s="16" t="s">
        <v>29</v>
      </c>
      <c r="B13" s="17" t="s">
        <v>295</v>
      </c>
      <c r="C13" s="26" t="e">
        <f t="shared" si="0"/>
        <v>#NAME?</v>
      </c>
      <c r="D13" s="26" t="e">
        <f t="shared" si="1"/>
        <v>#NAME?</v>
      </c>
      <c r="E13" s="12" t="e">
        <f t="shared" si="2"/>
        <v>#NAME?</v>
      </c>
      <c r="F13" s="26"/>
      <c r="G13" s="26" t="e">
        <f t="shared" si="3"/>
        <v>#NAME?</v>
      </c>
      <c r="H13" s="26" t="e">
        <f t="shared" si="4"/>
        <v>#NAME?</v>
      </c>
      <c r="I13" s="12" t="e">
        <f t="shared" si="5"/>
        <v>#NAME?</v>
      </c>
      <c r="J13" s="26"/>
      <c r="K13" s="26" t="e">
        <f t="shared" si="6"/>
        <v>#NAME?</v>
      </c>
      <c r="L13" s="26" t="e">
        <f t="shared" si="7"/>
        <v>#NAME?</v>
      </c>
      <c r="M13" s="12" t="e">
        <f t="shared" si="8"/>
        <v>#NAME?</v>
      </c>
      <c r="N13" s="12"/>
      <c r="O13" s="26" t="e">
        <f t="shared" si="9"/>
        <v>#NAME?</v>
      </c>
      <c r="P13" s="26" t="e">
        <f t="shared" si="10"/>
        <v>#NAME?</v>
      </c>
      <c r="Q13" s="12" t="e">
        <f t="shared" si="11"/>
        <v>#NAME?</v>
      </c>
      <c r="R13" s="12"/>
      <c r="S13" s="26" t="e">
        <f t="shared" si="12"/>
        <v>#NAME?</v>
      </c>
      <c r="T13" s="26" t="e">
        <f t="shared" si="13"/>
        <v>#NAME?</v>
      </c>
      <c r="U13" s="12" t="e">
        <f t="shared" si="14"/>
        <v>#NAME?</v>
      </c>
      <c r="V13" s="12"/>
      <c r="W13" s="44" t="e">
        <f t="shared" si="15"/>
        <v>#NAME?</v>
      </c>
      <c r="X13" s="26" t="e">
        <f t="shared" si="16"/>
        <v>#NAME?</v>
      </c>
      <c r="Y13" s="12" t="e">
        <f t="shared" si="17"/>
        <v>#NAME?</v>
      </c>
    </row>
    <row r="14" spans="1:25" ht="16.5" customHeight="1" x14ac:dyDescent="0.3">
      <c r="A14" s="16" t="s">
        <v>30</v>
      </c>
      <c r="B14" s="32" t="s">
        <v>31</v>
      </c>
      <c r="C14" s="26" t="e">
        <f t="shared" si="0"/>
        <v>#NAME?</v>
      </c>
      <c r="D14" s="26" t="e">
        <f t="shared" si="1"/>
        <v>#NAME?</v>
      </c>
      <c r="E14" s="12" t="e">
        <f t="shared" si="2"/>
        <v>#NAME?</v>
      </c>
      <c r="F14" s="26"/>
      <c r="G14" s="26" t="e">
        <f t="shared" si="3"/>
        <v>#NAME?</v>
      </c>
      <c r="H14" s="26" t="e">
        <f t="shared" si="4"/>
        <v>#NAME?</v>
      </c>
      <c r="I14" s="12" t="e">
        <f t="shared" si="5"/>
        <v>#NAME?</v>
      </c>
      <c r="J14" s="26"/>
      <c r="K14" s="26" t="e">
        <f t="shared" si="6"/>
        <v>#NAME?</v>
      </c>
      <c r="L14" s="26" t="e">
        <f t="shared" si="7"/>
        <v>#NAME?</v>
      </c>
      <c r="M14" s="12" t="e">
        <f t="shared" si="8"/>
        <v>#NAME?</v>
      </c>
      <c r="N14" s="12"/>
      <c r="O14" s="26" t="e">
        <f t="shared" si="9"/>
        <v>#NAME?</v>
      </c>
      <c r="P14" s="26" t="e">
        <f t="shared" si="10"/>
        <v>#NAME?</v>
      </c>
      <c r="Q14" s="12" t="e">
        <f t="shared" si="11"/>
        <v>#NAME?</v>
      </c>
      <c r="R14" s="12"/>
      <c r="S14" s="26" t="e">
        <f t="shared" si="12"/>
        <v>#NAME?</v>
      </c>
      <c r="T14" s="26" t="e">
        <f t="shared" si="13"/>
        <v>#NAME?</v>
      </c>
      <c r="U14" s="12" t="e">
        <f t="shared" si="14"/>
        <v>#NAME?</v>
      </c>
      <c r="V14" s="12"/>
      <c r="W14" s="44" t="e">
        <f t="shared" si="15"/>
        <v>#NAME?</v>
      </c>
      <c r="X14" s="26" t="e">
        <f t="shared" si="16"/>
        <v>#NAME?</v>
      </c>
      <c r="Y14" s="12" t="e">
        <f t="shared" si="17"/>
        <v>#NAME?</v>
      </c>
    </row>
    <row r="15" spans="1:25" ht="16.5" customHeight="1" x14ac:dyDescent="0.3">
      <c r="A15" s="16" t="s">
        <v>32</v>
      </c>
      <c r="B15" s="17" t="s">
        <v>33</v>
      </c>
      <c r="C15" s="26" t="e">
        <f t="shared" si="0"/>
        <v>#NAME?</v>
      </c>
      <c r="D15" s="26" t="e">
        <f t="shared" si="1"/>
        <v>#NAME?</v>
      </c>
      <c r="E15" s="12" t="e">
        <f t="shared" si="2"/>
        <v>#NAME?</v>
      </c>
      <c r="F15" s="26"/>
      <c r="G15" s="26" t="e">
        <f t="shared" si="3"/>
        <v>#NAME?</v>
      </c>
      <c r="H15" s="26" t="e">
        <f t="shared" si="4"/>
        <v>#NAME?</v>
      </c>
      <c r="I15" s="12" t="e">
        <f t="shared" si="5"/>
        <v>#NAME?</v>
      </c>
      <c r="J15" s="26"/>
      <c r="K15" s="26" t="e">
        <f t="shared" si="6"/>
        <v>#NAME?</v>
      </c>
      <c r="L15" s="26" t="e">
        <f t="shared" si="7"/>
        <v>#NAME?</v>
      </c>
      <c r="M15" s="12" t="e">
        <f t="shared" si="8"/>
        <v>#NAME?</v>
      </c>
      <c r="N15" s="12"/>
      <c r="O15" s="26" t="e">
        <f t="shared" si="9"/>
        <v>#NAME?</v>
      </c>
      <c r="P15" s="26" t="e">
        <f t="shared" si="10"/>
        <v>#NAME?</v>
      </c>
      <c r="Q15" s="12" t="e">
        <f t="shared" si="11"/>
        <v>#NAME?</v>
      </c>
      <c r="R15" s="12"/>
      <c r="S15" s="26" t="e">
        <f t="shared" si="12"/>
        <v>#NAME?</v>
      </c>
      <c r="T15" s="26" t="e">
        <f t="shared" si="13"/>
        <v>#NAME?</v>
      </c>
      <c r="U15" s="12" t="e">
        <f t="shared" si="14"/>
        <v>#NAME?</v>
      </c>
      <c r="V15" s="12"/>
      <c r="W15" s="44" t="e">
        <f t="shared" si="15"/>
        <v>#NAME?</v>
      </c>
      <c r="X15" s="26" t="e">
        <f t="shared" si="16"/>
        <v>#NAME?</v>
      </c>
      <c r="Y15" s="12" t="e">
        <f t="shared" si="17"/>
        <v>#NAME?</v>
      </c>
    </row>
    <row r="16" spans="1:25" ht="16.5" customHeight="1" x14ac:dyDescent="0.3">
      <c r="A16" s="16" t="s">
        <v>36</v>
      </c>
      <c r="B16" s="17" t="s">
        <v>37</v>
      </c>
      <c r="C16" s="26" t="e">
        <f t="shared" si="0"/>
        <v>#NAME?</v>
      </c>
      <c r="D16" s="26" t="e">
        <f t="shared" si="1"/>
        <v>#NAME?</v>
      </c>
      <c r="E16" s="12" t="e">
        <f t="shared" si="2"/>
        <v>#NAME?</v>
      </c>
      <c r="F16" s="26"/>
      <c r="G16" s="26" t="e">
        <f t="shared" si="3"/>
        <v>#NAME?</v>
      </c>
      <c r="H16" s="26" t="e">
        <f t="shared" si="4"/>
        <v>#NAME?</v>
      </c>
      <c r="I16" s="12" t="e">
        <f t="shared" si="5"/>
        <v>#NAME?</v>
      </c>
      <c r="J16" s="26"/>
      <c r="K16" s="26" t="e">
        <f t="shared" si="6"/>
        <v>#NAME?</v>
      </c>
      <c r="L16" s="26" t="e">
        <f t="shared" si="7"/>
        <v>#NAME?</v>
      </c>
      <c r="M16" s="12" t="e">
        <f t="shared" si="8"/>
        <v>#NAME?</v>
      </c>
      <c r="N16" s="12"/>
      <c r="O16" s="26" t="e">
        <f t="shared" si="9"/>
        <v>#NAME?</v>
      </c>
      <c r="P16" s="26" t="e">
        <f t="shared" si="10"/>
        <v>#NAME?</v>
      </c>
      <c r="Q16" s="12" t="e">
        <f t="shared" si="11"/>
        <v>#NAME?</v>
      </c>
      <c r="R16" s="12"/>
      <c r="S16" s="26" t="e">
        <f t="shared" si="12"/>
        <v>#NAME?</v>
      </c>
      <c r="T16" s="26" t="e">
        <f t="shared" si="13"/>
        <v>#NAME?</v>
      </c>
      <c r="U16" s="12" t="e">
        <f t="shared" si="14"/>
        <v>#NAME?</v>
      </c>
      <c r="V16" s="12"/>
      <c r="W16" s="44" t="e">
        <f t="shared" si="15"/>
        <v>#NAME?</v>
      </c>
      <c r="X16" s="26" t="e">
        <f t="shared" si="16"/>
        <v>#NAME?</v>
      </c>
      <c r="Y16" s="12" t="e">
        <f t="shared" si="17"/>
        <v>#NAME?</v>
      </c>
    </row>
    <row r="17" spans="1:25" ht="16.5" customHeight="1" x14ac:dyDescent="0.3">
      <c r="A17" s="16" t="s">
        <v>38</v>
      </c>
      <c r="B17" s="32" t="s">
        <v>39</v>
      </c>
      <c r="C17" s="26" t="e">
        <f t="shared" si="0"/>
        <v>#NAME?</v>
      </c>
      <c r="D17" s="26" t="e">
        <f t="shared" si="1"/>
        <v>#NAME?</v>
      </c>
      <c r="E17" s="12" t="e">
        <f t="shared" si="2"/>
        <v>#NAME?</v>
      </c>
      <c r="F17" s="26"/>
      <c r="G17" s="26" t="e">
        <f t="shared" si="3"/>
        <v>#NAME?</v>
      </c>
      <c r="H17" s="26" t="e">
        <f t="shared" si="4"/>
        <v>#NAME?</v>
      </c>
      <c r="I17" s="12" t="e">
        <f t="shared" si="5"/>
        <v>#NAME?</v>
      </c>
      <c r="J17" s="26"/>
      <c r="K17" s="26" t="e">
        <f t="shared" si="6"/>
        <v>#NAME?</v>
      </c>
      <c r="L17" s="26" t="e">
        <f t="shared" si="7"/>
        <v>#NAME?</v>
      </c>
      <c r="M17" s="12" t="e">
        <f t="shared" si="8"/>
        <v>#NAME?</v>
      </c>
      <c r="N17" s="12"/>
      <c r="O17" s="26" t="e">
        <f t="shared" si="9"/>
        <v>#NAME?</v>
      </c>
      <c r="P17" s="26" t="e">
        <f t="shared" si="10"/>
        <v>#NAME?</v>
      </c>
      <c r="Q17" s="12" t="e">
        <f t="shared" si="11"/>
        <v>#NAME?</v>
      </c>
      <c r="R17" s="12"/>
      <c r="S17" s="26" t="e">
        <f t="shared" si="12"/>
        <v>#NAME?</v>
      </c>
      <c r="T17" s="26" t="e">
        <f t="shared" si="13"/>
        <v>#NAME?</v>
      </c>
      <c r="U17" s="12" t="e">
        <f t="shared" si="14"/>
        <v>#NAME?</v>
      </c>
      <c r="V17" s="12"/>
      <c r="W17" s="44" t="e">
        <f t="shared" si="15"/>
        <v>#NAME?</v>
      </c>
      <c r="X17" s="26" t="e">
        <f t="shared" si="16"/>
        <v>#NAME?</v>
      </c>
      <c r="Y17" s="12" t="e">
        <f t="shared" si="17"/>
        <v>#NAME?</v>
      </c>
    </row>
    <row r="18" spans="1:25" ht="16.5" customHeight="1" x14ac:dyDescent="0.3">
      <c r="A18" s="16" t="s">
        <v>40</v>
      </c>
      <c r="B18" s="32" t="s">
        <v>41</v>
      </c>
      <c r="C18" s="26" t="e">
        <f t="shared" si="0"/>
        <v>#NAME?</v>
      </c>
      <c r="D18" s="26" t="e">
        <f t="shared" si="1"/>
        <v>#NAME?</v>
      </c>
      <c r="E18" s="12" t="e">
        <f t="shared" si="2"/>
        <v>#NAME?</v>
      </c>
      <c r="F18" s="26"/>
      <c r="G18" s="26" t="e">
        <f t="shared" si="3"/>
        <v>#NAME?</v>
      </c>
      <c r="H18" s="26" t="e">
        <f t="shared" si="4"/>
        <v>#NAME?</v>
      </c>
      <c r="I18" s="12" t="e">
        <f t="shared" si="5"/>
        <v>#NAME?</v>
      </c>
      <c r="J18" s="26"/>
      <c r="K18" s="26" t="e">
        <f t="shared" si="6"/>
        <v>#NAME?</v>
      </c>
      <c r="L18" s="26" t="e">
        <f t="shared" si="7"/>
        <v>#NAME?</v>
      </c>
      <c r="M18" s="12" t="e">
        <f t="shared" si="8"/>
        <v>#NAME?</v>
      </c>
      <c r="N18" s="12"/>
      <c r="O18" s="26" t="e">
        <f t="shared" si="9"/>
        <v>#NAME?</v>
      </c>
      <c r="P18" s="26" t="e">
        <f t="shared" si="10"/>
        <v>#NAME?</v>
      </c>
      <c r="Q18" s="12" t="e">
        <f t="shared" si="11"/>
        <v>#NAME?</v>
      </c>
      <c r="R18" s="12"/>
      <c r="S18" s="26" t="e">
        <f t="shared" si="12"/>
        <v>#NAME?</v>
      </c>
      <c r="T18" s="26" t="e">
        <f t="shared" si="13"/>
        <v>#NAME?</v>
      </c>
      <c r="U18" s="12" t="e">
        <f t="shared" si="14"/>
        <v>#NAME?</v>
      </c>
      <c r="V18" s="12"/>
      <c r="W18" s="44" t="e">
        <f t="shared" si="15"/>
        <v>#NAME?</v>
      </c>
      <c r="X18" s="26" t="e">
        <f t="shared" si="16"/>
        <v>#NAME?</v>
      </c>
      <c r="Y18" s="12" t="e">
        <f t="shared" si="17"/>
        <v>#NAME?</v>
      </c>
    </row>
    <row r="19" spans="1:25" ht="16.5" customHeight="1" x14ac:dyDescent="0.3">
      <c r="A19" s="16" t="s">
        <v>42</v>
      </c>
      <c r="B19" s="32" t="s">
        <v>43</v>
      </c>
      <c r="C19" s="26" t="e">
        <f t="shared" si="0"/>
        <v>#NAME?</v>
      </c>
      <c r="D19" s="26" t="e">
        <f t="shared" si="1"/>
        <v>#NAME?</v>
      </c>
      <c r="E19" s="12" t="e">
        <f t="shared" si="2"/>
        <v>#NAME?</v>
      </c>
      <c r="F19" s="26"/>
      <c r="G19" s="26" t="e">
        <f t="shared" si="3"/>
        <v>#NAME?</v>
      </c>
      <c r="H19" s="26" t="e">
        <f t="shared" si="4"/>
        <v>#NAME?</v>
      </c>
      <c r="I19" s="12" t="e">
        <f t="shared" si="5"/>
        <v>#NAME?</v>
      </c>
      <c r="J19" s="26"/>
      <c r="K19" s="26" t="e">
        <f t="shared" si="6"/>
        <v>#NAME?</v>
      </c>
      <c r="L19" s="26" t="e">
        <f t="shared" si="7"/>
        <v>#NAME?</v>
      </c>
      <c r="M19" s="12" t="e">
        <f t="shared" si="8"/>
        <v>#NAME?</v>
      </c>
      <c r="N19" s="12"/>
      <c r="O19" s="26" t="e">
        <f t="shared" si="9"/>
        <v>#NAME?</v>
      </c>
      <c r="P19" s="26" t="e">
        <f t="shared" si="10"/>
        <v>#NAME?</v>
      </c>
      <c r="Q19" s="12" t="e">
        <f t="shared" si="11"/>
        <v>#NAME?</v>
      </c>
      <c r="R19" s="12"/>
      <c r="S19" s="26" t="e">
        <f t="shared" si="12"/>
        <v>#NAME?</v>
      </c>
      <c r="T19" s="26" t="e">
        <f t="shared" si="13"/>
        <v>#NAME?</v>
      </c>
      <c r="U19" s="12" t="e">
        <f t="shared" si="14"/>
        <v>#NAME?</v>
      </c>
      <c r="V19" s="12"/>
      <c r="W19" s="44" t="e">
        <f t="shared" si="15"/>
        <v>#NAME?</v>
      </c>
      <c r="X19" s="26" t="e">
        <f t="shared" si="16"/>
        <v>#NAME?</v>
      </c>
      <c r="Y19" s="12" t="e">
        <f t="shared" si="17"/>
        <v>#NAME?</v>
      </c>
    </row>
    <row r="20" spans="1:25" ht="16.5" customHeight="1" x14ac:dyDescent="0.3">
      <c r="A20" s="16" t="s">
        <v>44</v>
      </c>
      <c r="B20" s="17" t="s">
        <v>45</v>
      </c>
      <c r="C20" s="26" t="e">
        <f t="shared" si="0"/>
        <v>#NAME?</v>
      </c>
      <c r="D20" s="26" t="e">
        <f t="shared" si="1"/>
        <v>#NAME?</v>
      </c>
      <c r="E20" s="12" t="e">
        <f t="shared" si="2"/>
        <v>#NAME?</v>
      </c>
      <c r="F20" s="26"/>
      <c r="G20" s="26" t="e">
        <f t="shared" si="3"/>
        <v>#NAME?</v>
      </c>
      <c r="H20" s="26" t="e">
        <f t="shared" si="4"/>
        <v>#NAME?</v>
      </c>
      <c r="I20" s="12" t="e">
        <f t="shared" si="5"/>
        <v>#NAME?</v>
      </c>
      <c r="J20" s="26"/>
      <c r="K20" s="26" t="e">
        <f t="shared" si="6"/>
        <v>#NAME?</v>
      </c>
      <c r="L20" s="26" t="e">
        <f t="shared" si="7"/>
        <v>#NAME?</v>
      </c>
      <c r="M20" s="12" t="e">
        <f t="shared" si="8"/>
        <v>#NAME?</v>
      </c>
      <c r="N20" s="12"/>
      <c r="O20" s="26" t="e">
        <f t="shared" si="9"/>
        <v>#NAME?</v>
      </c>
      <c r="P20" s="26" t="e">
        <f t="shared" si="10"/>
        <v>#NAME?</v>
      </c>
      <c r="Q20" s="12" t="e">
        <f t="shared" si="11"/>
        <v>#NAME?</v>
      </c>
      <c r="R20" s="12"/>
      <c r="S20" s="26" t="e">
        <f t="shared" si="12"/>
        <v>#NAME?</v>
      </c>
      <c r="T20" s="26" t="e">
        <f t="shared" si="13"/>
        <v>#NAME?</v>
      </c>
      <c r="U20" s="12" t="e">
        <f t="shared" si="14"/>
        <v>#NAME?</v>
      </c>
      <c r="V20" s="12"/>
      <c r="W20" s="44" t="e">
        <f t="shared" si="15"/>
        <v>#NAME?</v>
      </c>
      <c r="X20" s="26" t="e">
        <f t="shared" si="16"/>
        <v>#NAME?</v>
      </c>
      <c r="Y20" s="12" t="e">
        <f t="shared" si="17"/>
        <v>#NAME?</v>
      </c>
    </row>
    <row r="21" spans="1:25" ht="16.5" customHeight="1" x14ac:dyDescent="0.3">
      <c r="A21" s="16" t="s">
        <v>46</v>
      </c>
      <c r="B21" s="32" t="s">
        <v>47</v>
      </c>
      <c r="C21" s="26" t="e">
        <f t="shared" si="0"/>
        <v>#NAME?</v>
      </c>
      <c r="D21" s="26" t="e">
        <f t="shared" si="1"/>
        <v>#NAME?</v>
      </c>
      <c r="E21" s="12" t="e">
        <f t="shared" si="2"/>
        <v>#NAME?</v>
      </c>
      <c r="F21" s="26"/>
      <c r="G21" s="26" t="e">
        <f t="shared" si="3"/>
        <v>#NAME?</v>
      </c>
      <c r="H21" s="26" t="e">
        <f t="shared" si="4"/>
        <v>#NAME?</v>
      </c>
      <c r="I21" s="12" t="e">
        <f t="shared" si="5"/>
        <v>#NAME?</v>
      </c>
      <c r="J21" s="26"/>
      <c r="K21" s="26" t="e">
        <f t="shared" si="6"/>
        <v>#NAME?</v>
      </c>
      <c r="L21" s="26" t="e">
        <f t="shared" si="7"/>
        <v>#NAME?</v>
      </c>
      <c r="M21" s="12" t="e">
        <f t="shared" si="8"/>
        <v>#NAME?</v>
      </c>
      <c r="N21" s="12"/>
      <c r="O21" s="26" t="e">
        <f t="shared" si="9"/>
        <v>#NAME?</v>
      </c>
      <c r="P21" s="26" t="e">
        <f t="shared" si="10"/>
        <v>#NAME?</v>
      </c>
      <c r="Q21" s="12" t="e">
        <f t="shared" si="11"/>
        <v>#NAME?</v>
      </c>
      <c r="R21" s="12"/>
      <c r="S21" s="26" t="e">
        <f t="shared" si="12"/>
        <v>#NAME?</v>
      </c>
      <c r="T21" s="26" t="e">
        <f t="shared" si="13"/>
        <v>#NAME?</v>
      </c>
      <c r="U21" s="12" t="e">
        <f t="shared" si="14"/>
        <v>#NAME?</v>
      </c>
      <c r="V21" s="12"/>
      <c r="W21" s="44" t="e">
        <f t="shared" si="15"/>
        <v>#NAME?</v>
      </c>
      <c r="X21" s="26" t="e">
        <f t="shared" si="16"/>
        <v>#NAME?</v>
      </c>
      <c r="Y21" s="12" t="e">
        <f t="shared" si="17"/>
        <v>#NAME?</v>
      </c>
    </row>
    <row r="22" spans="1:25" ht="16.5" customHeight="1" x14ac:dyDescent="0.3">
      <c r="A22" s="16" t="s">
        <v>48</v>
      </c>
      <c r="B22" s="17" t="s">
        <v>257</v>
      </c>
      <c r="C22" s="26" t="e">
        <f t="shared" si="0"/>
        <v>#NAME?</v>
      </c>
      <c r="D22" s="26" t="e">
        <f t="shared" si="1"/>
        <v>#NAME?</v>
      </c>
      <c r="E22" s="12" t="e">
        <f t="shared" si="2"/>
        <v>#NAME?</v>
      </c>
      <c r="F22" s="26"/>
      <c r="G22" s="26" t="e">
        <f t="shared" si="3"/>
        <v>#NAME?</v>
      </c>
      <c r="H22" s="26" t="e">
        <f t="shared" si="4"/>
        <v>#NAME?</v>
      </c>
      <c r="I22" s="12" t="e">
        <f t="shared" si="5"/>
        <v>#NAME?</v>
      </c>
      <c r="J22" s="26"/>
      <c r="K22" s="26" t="e">
        <f t="shared" si="6"/>
        <v>#NAME?</v>
      </c>
      <c r="L22" s="26" t="e">
        <f t="shared" si="7"/>
        <v>#NAME?</v>
      </c>
      <c r="M22" s="12" t="e">
        <f t="shared" si="8"/>
        <v>#NAME?</v>
      </c>
      <c r="N22" s="12"/>
      <c r="O22" s="26" t="e">
        <f t="shared" si="9"/>
        <v>#NAME?</v>
      </c>
      <c r="P22" s="26" t="e">
        <f t="shared" si="10"/>
        <v>#NAME?</v>
      </c>
      <c r="Q22" s="12" t="e">
        <f t="shared" si="11"/>
        <v>#NAME?</v>
      </c>
      <c r="R22" s="12"/>
      <c r="S22" s="26" t="e">
        <f t="shared" si="12"/>
        <v>#NAME?</v>
      </c>
      <c r="T22" s="26" t="e">
        <f t="shared" si="13"/>
        <v>#NAME?</v>
      </c>
      <c r="U22" s="12" t="e">
        <f t="shared" si="14"/>
        <v>#NAME?</v>
      </c>
      <c r="V22" s="12"/>
      <c r="W22" s="44" t="e">
        <f t="shared" si="15"/>
        <v>#NAME?</v>
      </c>
      <c r="X22" s="26" t="e">
        <f t="shared" si="16"/>
        <v>#NAME?</v>
      </c>
      <c r="Y22" s="12" t="e">
        <f t="shared" si="17"/>
        <v>#NAME?</v>
      </c>
    </row>
    <row r="23" spans="1:25" ht="16.5" customHeight="1" x14ac:dyDescent="0.3">
      <c r="A23" s="16" t="s">
        <v>50</v>
      </c>
      <c r="B23" s="32" t="s">
        <v>51</v>
      </c>
      <c r="C23" s="26" t="e">
        <f t="shared" si="0"/>
        <v>#NAME?</v>
      </c>
      <c r="D23" s="26" t="e">
        <f t="shared" si="1"/>
        <v>#NAME?</v>
      </c>
      <c r="E23" s="12" t="e">
        <f t="shared" si="2"/>
        <v>#NAME?</v>
      </c>
      <c r="F23" s="26"/>
      <c r="G23" s="26" t="e">
        <f t="shared" si="3"/>
        <v>#NAME?</v>
      </c>
      <c r="H23" s="26" t="e">
        <f t="shared" si="4"/>
        <v>#NAME?</v>
      </c>
      <c r="I23" s="12" t="e">
        <f t="shared" si="5"/>
        <v>#NAME?</v>
      </c>
      <c r="J23" s="26"/>
      <c r="K23" s="26" t="e">
        <f t="shared" si="6"/>
        <v>#NAME?</v>
      </c>
      <c r="L23" s="26" t="e">
        <f t="shared" si="7"/>
        <v>#NAME?</v>
      </c>
      <c r="M23" s="12" t="e">
        <f t="shared" si="8"/>
        <v>#NAME?</v>
      </c>
      <c r="N23" s="12"/>
      <c r="O23" s="26" t="e">
        <f t="shared" si="9"/>
        <v>#NAME?</v>
      </c>
      <c r="P23" s="26" t="e">
        <f t="shared" si="10"/>
        <v>#NAME?</v>
      </c>
      <c r="Q23" s="12" t="e">
        <f t="shared" si="11"/>
        <v>#NAME?</v>
      </c>
      <c r="R23" s="12"/>
      <c r="S23" s="26" t="e">
        <f t="shared" si="12"/>
        <v>#NAME?</v>
      </c>
      <c r="T23" s="26" t="e">
        <f t="shared" si="13"/>
        <v>#NAME?</v>
      </c>
      <c r="U23" s="12" t="e">
        <f t="shared" si="14"/>
        <v>#NAME?</v>
      </c>
      <c r="V23" s="12"/>
      <c r="W23" s="44" t="e">
        <f t="shared" si="15"/>
        <v>#NAME?</v>
      </c>
      <c r="X23" s="26" t="e">
        <f t="shared" si="16"/>
        <v>#NAME?</v>
      </c>
      <c r="Y23" s="12" t="e">
        <f t="shared" si="17"/>
        <v>#NAME?</v>
      </c>
    </row>
    <row r="24" spans="1:25" ht="16.5" customHeight="1" x14ac:dyDescent="0.3">
      <c r="A24" s="16" t="s">
        <v>56</v>
      </c>
      <c r="B24" s="17" t="s">
        <v>283</v>
      </c>
      <c r="C24" s="26" t="e">
        <f t="shared" si="0"/>
        <v>#NAME?</v>
      </c>
      <c r="D24" s="26" t="e">
        <f t="shared" si="1"/>
        <v>#NAME?</v>
      </c>
      <c r="E24" s="12" t="e">
        <f t="shared" si="2"/>
        <v>#NAME?</v>
      </c>
      <c r="F24" s="26"/>
      <c r="G24" s="26" t="e">
        <f t="shared" si="3"/>
        <v>#NAME?</v>
      </c>
      <c r="H24" s="26" t="e">
        <f t="shared" si="4"/>
        <v>#NAME?</v>
      </c>
      <c r="I24" s="12" t="e">
        <f t="shared" si="5"/>
        <v>#NAME?</v>
      </c>
      <c r="J24" s="26"/>
      <c r="K24" s="26" t="e">
        <f t="shared" si="6"/>
        <v>#NAME?</v>
      </c>
      <c r="L24" s="26" t="e">
        <f t="shared" si="7"/>
        <v>#NAME?</v>
      </c>
      <c r="M24" s="12" t="e">
        <f t="shared" si="8"/>
        <v>#NAME?</v>
      </c>
      <c r="N24" s="12"/>
      <c r="O24" s="26" t="e">
        <f t="shared" si="9"/>
        <v>#NAME?</v>
      </c>
      <c r="P24" s="26" t="e">
        <f t="shared" si="10"/>
        <v>#NAME?</v>
      </c>
      <c r="Q24" s="12" t="e">
        <f t="shared" si="11"/>
        <v>#NAME?</v>
      </c>
      <c r="R24" s="12"/>
      <c r="S24" s="26" t="e">
        <f t="shared" si="12"/>
        <v>#NAME?</v>
      </c>
      <c r="T24" s="26" t="e">
        <f t="shared" si="13"/>
        <v>#NAME?</v>
      </c>
      <c r="U24" s="12" t="e">
        <f t="shared" si="14"/>
        <v>#NAME?</v>
      </c>
      <c r="V24" s="12"/>
      <c r="W24" s="44" t="e">
        <f t="shared" si="15"/>
        <v>#NAME?</v>
      </c>
      <c r="X24" s="26" t="e">
        <f t="shared" si="16"/>
        <v>#NAME?</v>
      </c>
      <c r="Y24" s="12" t="e">
        <f t="shared" si="17"/>
        <v>#NAME?</v>
      </c>
    </row>
    <row r="25" spans="1:25" ht="16.5" customHeight="1" x14ac:dyDescent="0.3">
      <c r="A25" s="16" t="s">
        <v>58</v>
      </c>
      <c r="B25" s="17" t="s">
        <v>59</v>
      </c>
      <c r="C25" s="26" t="e">
        <f t="shared" si="0"/>
        <v>#NAME?</v>
      </c>
      <c r="D25" s="26" t="e">
        <f t="shared" si="1"/>
        <v>#NAME?</v>
      </c>
      <c r="E25" s="12" t="e">
        <f t="shared" si="2"/>
        <v>#NAME?</v>
      </c>
      <c r="F25" s="26"/>
      <c r="G25" s="26" t="e">
        <f t="shared" si="3"/>
        <v>#NAME?</v>
      </c>
      <c r="H25" s="26" t="e">
        <f t="shared" si="4"/>
        <v>#NAME?</v>
      </c>
      <c r="I25" s="12" t="e">
        <f t="shared" si="5"/>
        <v>#NAME?</v>
      </c>
      <c r="J25" s="26"/>
      <c r="K25" s="26" t="e">
        <f t="shared" si="6"/>
        <v>#NAME?</v>
      </c>
      <c r="L25" s="26" t="e">
        <f t="shared" si="7"/>
        <v>#NAME?</v>
      </c>
      <c r="M25" s="12" t="e">
        <f t="shared" si="8"/>
        <v>#NAME?</v>
      </c>
      <c r="N25" s="12"/>
      <c r="O25" s="26" t="e">
        <f t="shared" si="9"/>
        <v>#NAME?</v>
      </c>
      <c r="P25" s="26" t="e">
        <f t="shared" si="10"/>
        <v>#NAME?</v>
      </c>
      <c r="Q25" s="12" t="e">
        <f t="shared" si="11"/>
        <v>#NAME?</v>
      </c>
      <c r="R25" s="12"/>
      <c r="S25" s="26" t="e">
        <f t="shared" si="12"/>
        <v>#NAME?</v>
      </c>
      <c r="T25" s="26" t="e">
        <f t="shared" si="13"/>
        <v>#NAME?</v>
      </c>
      <c r="U25" s="12" t="e">
        <f t="shared" si="14"/>
        <v>#NAME?</v>
      </c>
      <c r="V25" s="12"/>
      <c r="W25" s="44" t="e">
        <f t="shared" si="15"/>
        <v>#NAME?</v>
      </c>
      <c r="X25" s="26" t="e">
        <f t="shared" si="16"/>
        <v>#NAME?</v>
      </c>
      <c r="Y25" s="12" t="e">
        <f t="shared" si="17"/>
        <v>#NAME?</v>
      </c>
    </row>
    <row r="26" spans="1:25" ht="16.5" customHeight="1" x14ac:dyDescent="0.3">
      <c r="A26" s="16" t="s">
        <v>60</v>
      </c>
      <c r="B26" s="32" t="s">
        <v>61</v>
      </c>
      <c r="C26" s="26" t="e">
        <f t="shared" si="0"/>
        <v>#NAME?</v>
      </c>
      <c r="D26" s="26" t="e">
        <f t="shared" si="1"/>
        <v>#NAME?</v>
      </c>
      <c r="E26" s="12" t="e">
        <f t="shared" si="2"/>
        <v>#NAME?</v>
      </c>
      <c r="F26" s="26"/>
      <c r="G26" s="26" t="e">
        <f t="shared" si="3"/>
        <v>#NAME?</v>
      </c>
      <c r="H26" s="26" t="e">
        <f t="shared" si="4"/>
        <v>#NAME?</v>
      </c>
      <c r="I26" s="12" t="e">
        <f t="shared" si="5"/>
        <v>#NAME?</v>
      </c>
      <c r="J26" s="26"/>
      <c r="K26" s="26" t="e">
        <f t="shared" si="6"/>
        <v>#NAME?</v>
      </c>
      <c r="L26" s="26" t="e">
        <f t="shared" si="7"/>
        <v>#NAME?</v>
      </c>
      <c r="M26" s="12" t="e">
        <f t="shared" si="8"/>
        <v>#NAME?</v>
      </c>
      <c r="N26" s="12"/>
      <c r="O26" s="26" t="e">
        <f t="shared" si="9"/>
        <v>#NAME?</v>
      </c>
      <c r="P26" s="26" t="e">
        <f t="shared" si="10"/>
        <v>#NAME?</v>
      </c>
      <c r="Q26" s="12" t="e">
        <f t="shared" si="11"/>
        <v>#NAME?</v>
      </c>
      <c r="R26" s="12"/>
      <c r="S26" s="26" t="e">
        <f t="shared" si="12"/>
        <v>#NAME?</v>
      </c>
      <c r="T26" s="26" t="e">
        <f t="shared" si="13"/>
        <v>#NAME?</v>
      </c>
      <c r="U26" s="12" t="e">
        <f t="shared" si="14"/>
        <v>#NAME?</v>
      </c>
      <c r="V26" s="12"/>
      <c r="W26" s="44" t="e">
        <f t="shared" si="15"/>
        <v>#NAME?</v>
      </c>
      <c r="X26" s="26" t="e">
        <f t="shared" si="16"/>
        <v>#NAME?</v>
      </c>
      <c r="Y26" s="12" t="e">
        <f t="shared" si="17"/>
        <v>#NAME?</v>
      </c>
    </row>
    <row r="27" spans="1:25" ht="16.5" customHeight="1" x14ac:dyDescent="0.3">
      <c r="A27" s="16" t="s">
        <v>62</v>
      </c>
      <c r="B27" s="17" t="s">
        <v>63</v>
      </c>
      <c r="C27" s="26" t="e">
        <f t="shared" si="0"/>
        <v>#NAME?</v>
      </c>
      <c r="D27" s="26" t="e">
        <f t="shared" si="1"/>
        <v>#NAME?</v>
      </c>
      <c r="E27" s="12" t="e">
        <f t="shared" si="2"/>
        <v>#NAME?</v>
      </c>
      <c r="F27" s="26"/>
      <c r="G27" s="26" t="e">
        <f t="shared" si="3"/>
        <v>#NAME?</v>
      </c>
      <c r="H27" s="26" t="e">
        <f t="shared" si="4"/>
        <v>#NAME?</v>
      </c>
      <c r="I27" s="12" t="e">
        <f t="shared" si="5"/>
        <v>#NAME?</v>
      </c>
      <c r="J27" s="26"/>
      <c r="K27" s="26" t="e">
        <f t="shared" si="6"/>
        <v>#NAME?</v>
      </c>
      <c r="L27" s="26" t="e">
        <f t="shared" si="7"/>
        <v>#NAME?</v>
      </c>
      <c r="M27" s="12" t="e">
        <f t="shared" si="8"/>
        <v>#NAME?</v>
      </c>
      <c r="N27" s="12"/>
      <c r="O27" s="26" t="e">
        <f t="shared" si="9"/>
        <v>#NAME?</v>
      </c>
      <c r="P27" s="26" t="e">
        <f t="shared" si="10"/>
        <v>#NAME?</v>
      </c>
      <c r="Q27" s="12" t="e">
        <f t="shared" si="11"/>
        <v>#NAME?</v>
      </c>
      <c r="R27" s="12"/>
      <c r="S27" s="26" t="e">
        <f t="shared" si="12"/>
        <v>#NAME?</v>
      </c>
      <c r="T27" s="26" t="e">
        <f t="shared" si="13"/>
        <v>#NAME?</v>
      </c>
      <c r="U27" s="12" t="e">
        <f t="shared" si="14"/>
        <v>#NAME?</v>
      </c>
      <c r="V27" s="12"/>
      <c r="W27" s="44" t="e">
        <f t="shared" si="15"/>
        <v>#NAME?</v>
      </c>
      <c r="X27" s="26" t="e">
        <f t="shared" si="16"/>
        <v>#NAME?</v>
      </c>
      <c r="Y27" s="12" t="e">
        <f t="shared" si="17"/>
        <v>#NAME?</v>
      </c>
    </row>
    <row r="28" spans="1:25" ht="16.5" customHeight="1" x14ac:dyDescent="0.3">
      <c r="A28" s="16" t="s">
        <v>64</v>
      </c>
      <c r="B28" s="32" t="s">
        <v>65</v>
      </c>
      <c r="C28" s="26" t="e">
        <f t="shared" si="0"/>
        <v>#NAME?</v>
      </c>
      <c r="D28" s="26" t="e">
        <f t="shared" si="1"/>
        <v>#NAME?</v>
      </c>
      <c r="E28" s="12" t="e">
        <f t="shared" si="2"/>
        <v>#NAME?</v>
      </c>
      <c r="F28" s="26"/>
      <c r="G28" s="26" t="e">
        <f t="shared" si="3"/>
        <v>#NAME?</v>
      </c>
      <c r="H28" s="26" t="e">
        <f t="shared" si="4"/>
        <v>#NAME?</v>
      </c>
      <c r="I28" s="12" t="e">
        <f t="shared" si="5"/>
        <v>#NAME?</v>
      </c>
      <c r="J28" s="26"/>
      <c r="K28" s="26" t="e">
        <f t="shared" si="6"/>
        <v>#NAME?</v>
      </c>
      <c r="L28" s="26" t="e">
        <f t="shared" si="7"/>
        <v>#NAME?</v>
      </c>
      <c r="M28" s="12" t="e">
        <f t="shared" si="8"/>
        <v>#NAME?</v>
      </c>
      <c r="N28" s="12"/>
      <c r="O28" s="26" t="e">
        <f t="shared" si="9"/>
        <v>#NAME?</v>
      </c>
      <c r="P28" s="26" t="e">
        <f t="shared" si="10"/>
        <v>#NAME?</v>
      </c>
      <c r="Q28" s="12" t="e">
        <f t="shared" si="11"/>
        <v>#NAME?</v>
      </c>
      <c r="R28" s="12"/>
      <c r="S28" s="26" t="e">
        <f t="shared" si="12"/>
        <v>#NAME?</v>
      </c>
      <c r="T28" s="26" t="e">
        <f t="shared" si="13"/>
        <v>#NAME?</v>
      </c>
      <c r="U28" s="12" t="e">
        <f t="shared" si="14"/>
        <v>#NAME?</v>
      </c>
      <c r="V28" s="12"/>
      <c r="W28" s="44" t="e">
        <f t="shared" si="15"/>
        <v>#NAME?</v>
      </c>
      <c r="X28" s="26" t="e">
        <f t="shared" si="16"/>
        <v>#NAME?</v>
      </c>
      <c r="Y28" s="12" t="e">
        <f t="shared" si="17"/>
        <v>#NAME?</v>
      </c>
    </row>
    <row r="29" spans="1:25" ht="16.5" customHeight="1" x14ac:dyDescent="0.3">
      <c r="A29" s="16" t="s">
        <v>68</v>
      </c>
      <c r="B29" s="32" t="s">
        <v>69</v>
      </c>
      <c r="C29" s="26" t="e">
        <f t="shared" si="0"/>
        <v>#NAME?</v>
      </c>
      <c r="D29" s="26" t="e">
        <f t="shared" si="1"/>
        <v>#NAME?</v>
      </c>
      <c r="E29" s="12" t="e">
        <f t="shared" si="2"/>
        <v>#NAME?</v>
      </c>
      <c r="F29" s="26"/>
      <c r="G29" s="26" t="e">
        <f t="shared" si="3"/>
        <v>#NAME?</v>
      </c>
      <c r="H29" s="26" t="e">
        <f t="shared" si="4"/>
        <v>#NAME?</v>
      </c>
      <c r="I29" s="12" t="e">
        <f t="shared" si="5"/>
        <v>#NAME?</v>
      </c>
      <c r="J29" s="26"/>
      <c r="K29" s="26" t="e">
        <f t="shared" si="6"/>
        <v>#NAME?</v>
      </c>
      <c r="L29" s="26" t="e">
        <f t="shared" si="7"/>
        <v>#NAME?</v>
      </c>
      <c r="M29" s="12" t="e">
        <f t="shared" si="8"/>
        <v>#NAME?</v>
      </c>
      <c r="N29" s="12"/>
      <c r="O29" s="26" t="e">
        <f t="shared" si="9"/>
        <v>#NAME?</v>
      </c>
      <c r="P29" s="26" t="e">
        <f t="shared" si="10"/>
        <v>#NAME?</v>
      </c>
      <c r="Q29" s="12" t="e">
        <f t="shared" si="11"/>
        <v>#NAME?</v>
      </c>
      <c r="R29" s="12"/>
      <c r="S29" s="26" t="e">
        <f t="shared" si="12"/>
        <v>#NAME?</v>
      </c>
      <c r="T29" s="26" t="e">
        <f t="shared" si="13"/>
        <v>#NAME?</v>
      </c>
      <c r="U29" s="12" t="e">
        <f t="shared" si="14"/>
        <v>#NAME?</v>
      </c>
      <c r="V29" s="12"/>
      <c r="W29" s="44" t="e">
        <f t="shared" si="15"/>
        <v>#NAME?</v>
      </c>
      <c r="X29" s="26" t="e">
        <f t="shared" si="16"/>
        <v>#NAME?</v>
      </c>
      <c r="Y29" s="12" t="e">
        <f t="shared" si="17"/>
        <v>#NAME?</v>
      </c>
    </row>
    <row r="30" spans="1:25" ht="16.5" customHeight="1" x14ac:dyDescent="0.3">
      <c r="A30" s="16" t="s">
        <v>70</v>
      </c>
      <c r="B30" s="32" t="s">
        <v>71</v>
      </c>
      <c r="C30" s="26" t="e">
        <f t="shared" si="0"/>
        <v>#NAME?</v>
      </c>
      <c r="D30" s="26" t="e">
        <f t="shared" si="1"/>
        <v>#NAME?</v>
      </c>
      <c r="E30" s="12" t="e">
        <f t="shared" si="2"/>
        <v>#NAME?</v>
      </c>
      <c r="F30" s="26"/>
      <c r="G30" s="26" t="e">
        <f t="shared" si="3"/>
        <v>#NAME?</v>
      </c>
      <c r="H30" s="26" t="e">
        <f t="shared" si="4"/>
        <v>#NAME?</v>
      </c>
      <c r="I30" s="12" t="e">
        <f t="shared" si="5"/>
        <v>#NAME?</v>
      </c>
      <c r="J30" s="26"/>
      <c r="K30" s="26" t="e">
        <f t="shared" si="6"/>
        <v>#NAME?</v>
      </c>
      <c r="L30" s="26" t="e">
        <f t="shared" si="7"/>
        <v>#NAME?</v>
      </c>
      <c r="M30" s="12" t="e">
        <f t="shared" si="8"/>
        <v>#NAME?</v>
      </c>
      <c r="N30" s="12"/>
      <c r="O30" s="26" t="e">
        <f t="shared" si="9"/>
        <v>#NAME?</v>
      </c>
      <c r="P30" s="26" t="e">
        <f t="shared" si="10"/>
        <v>#NAME?</v>
      </c>
      <c r="Q30" s="12" t="e">
        <f t="shared" si="11"/>
        <v>#NAME?</v>
      </c>
      <c r="R30" s="12"/>
      <c r="S30" s="26" t="e">
        <f t="shared" si="12"/>
        <v>#NAME?</v>
      </c>
      <c r="T30" s="26" t="e">
        <f t="shared" si="13"/>
        <v>#NAME?</v>
      </c>
      <c r="U30" s="12" t="e">
        <f t="shared" si="14"/>
        <v>#NAME?</v>
      </c>
      <c r="V30" s="12"/>
      <c r="W30" s="44" t="e">
        <f t="shared" si="15"/>
        <v>#NAME?</v>
      </c>
      <c r="X30" s="26" t="e">
        <f t="shared" si="16"/>
        <v>#NAME?</v>
      </c>
      <c r="Y30" s="12" t="e">
        <f t="shared" si="17"/>
        <v>#NAME?</v>
      </c>
    </row>
    <row r="31" spans="1:25" ht="16.5" customHeight="1" x14ac:dyDescent="0.3">
      <c r="A31" s="16" t="s">
        <v>72</v>
      </c>
      <c r="B31" s="32" t="s">
        <v>73</v>
      </c>
      <c r="C31" s="26" t="e">
        <f t="shared" si="0"/>
        <v>#NAME?</v>
      </c>
      <c r="D31" s="26" t="e">
        <f t="shared" si="1"/>
        <v>#NAME?</v>
      </c>
      <c r="E31" s="12" t="e">
        <f t="shared" si="2"/>
        <v>#NAME?</v>
      </c>
      <c r="F31" s="26"/>
      <c r="G31" s="26" t="e">
        <f t="shared" si="3"/>
        <v>#NAME?</v>
      </c>
      <c r="H31" s="26" t="e">
        <f t="shared" si="4"/>
        <v>#NAME?</v>
      </c>
      <c r="I31" s="12" t="e">
        <f t="shared" si="5"/>
        <v>#NAME?</v>
      </c>
      <c r="J31" s="26"/>
      <c r="K31" s="26" t="e">
        <f t="shared" si="6"/>
        <v>#NAME?</v>
      </c>
      <c r="L31" s="26" t="e">
        <f t="shared" si="7"/>
        <v>#NAME?</v>
      </c>
      <c r="M31" s="12" t="e">
        <f t="shared" si="8"/>
        <v>#NAME?</v>
      </c>
      <c r="N31" s="12"/>
      <c r="O31" s="26" t="e">
        <f t="shared" si="9"/>
        <v>#NAME?</v>
      </c>
      <c r="P31" s="26" t="e">
        <f t="shared" si="10"/>
        <v>#NAME?</v>
      </c>
      <c r="Q31" s="12" t="e">
        <f t="shared" si="11"/>
        <v>#NAME?</v>
      </c>
      <c r="R31" s="12"/>
      <c r="S31" s="26" t="e">
        <f t="shared" si="12"/>
        <v>#NAME?</v>
      </c>
      <c r="T31" s="26" t="e">
        <f t="shared" si="13"/>
        <v>#NAME?</v>
      </c>
      <c r="U31" s="12" t="e">
        <f t="shared" si="14"/>
        <v>#NAME?</v>
      </c>
      <c r="V31" s="12"/>
      <c r="W31" s="44" t="e">
        <f t="shared" si="15"/>
        <v>#NAME?</v>
      </c>
      <c r="X31" s="26" t="e">
        <f t="shared" si="16"/>
        <v>#NAME?</v>
      </c>
      <c r="Y31" s="12" t="e">
        <f t="shared" si="17"/>
        <v>#NAME?</v>
      </c>
    </row>
    <row r="32" spans="1:25" ht="16.5" customHeight="1" x14ac:dyDescent="0.3">
      <c r="A32" s="16" t="s">
        <v>74</v>
      </c>
      <c r="B32" s="17" t="s">
        <v>290</v>
      </c>
      <c r="C32" s="26" t="e">
        <f t="shared" si="0"/>
        <v>#NAME?</v>
      </c>
      <c r="D32" s="26" t="e">
        <f t="shared" si="1"/>
        <v>#NAME?</v>
      </c>
      <c r="E32" s="12" t="e">
        <f t="shared" si="2"/>
        <v>#NAME?</v>
      </c>
      <c r="F32" s="26"/>
      <c r="G32" s="26" t="e">
        <f t="shared" si="3"/>
        <v>#NAME?</v>
      </c>
      <c r="H32" s="26" t="e">
        <f t="shared" si="4"/>
        <v>#NAME?</v>
      </c>
      <c r="I32" s="12" t="e">
        <f t="shared" si="5"/>
        <v>#NAME?</v>
      </c>
      <c r="J32" s="26"/>
      <c r="K32" s="26" t="e">
        <f t="shared" si="6"/>
        <v>#NAME?</v>
      </c>
      <c r="L32" s="26" t="e">
        <f t="shared" si="7"/>
        <v>#NAME?</v>
      </c>
      <c r="M32" s="12" t="e">
        <f t="shared" si="8"/>
        <v>#NAME?</v>
      </c>
      <c r="N32" s="12"/>
      <c r="O32" s="26" t="e">
        <f t="shared" si="9"/>
        <v>#NAME?</v>
      </c>
      <c r="P32" s="26" t="e">
        <f t="shared" si="10"/>
        <v>#NAME?</v>
      </c>
      <c r="Q32" s="12" t="e">
        <f t="shared" si="11"/>
        <v>#NAME?</v>
      </c>
      <c r="R32" s="12"/>
      <c r="S32" s="26" t="e">
        <f t="shared" si="12"/>
        <v>#NAME?</v>
      </c>
      <c r="T32" s="26" t="e">
        <f t="shared" si="13"/>
        <v>#NAME?</v>
      </c>
      <c r="U32" s="12" t="e">
        <f t="shared" si="14"/>
        <v>#NAME?</v>
      </c>
      <c r="V32" s="12"/>
      <c r="W32" s="44" t="e">
        <f t="shared" si="15"/>
        <v>#NAME?</v>
      </c>
      <c r="X32" s="26" t="e">
        <f t="shared" si="16"/>
        <v>#NAME?</v>
      </c>
      <c r="Y32" s="12" t="e">
        <f t="shared" si="17"/>
        <v>#NAME?</v>
      </c>
    </row>
    <row r="33" spans="1:25" ht="16.5" customHeight="1" x14ac:dyDescent="0.3">
      <c r="A33" s="16" t="s">
        <v>76</v>
      </c>
      <c r="B33" s="17" t="s">
        <v>77</v>
      </c>
      <c r="C33" s="26" t="e">
        <f t="shared" si="0"/>
        <v>#NAME?</v>
      </c>
      <c r="D33" s="26" t="e">
        <f t="shared" si="1"/>
        <v>#NAME?</v>
      </c>
      <c r="E33" s="12" t="e">
        <f t="shared" si="2"/>
        <v>#NAME?</v>
      </c>
      <c r="F33" s="26"/>
      <c r="G33" s="26" t="e">
        <f t="shared" si="3"/>
        <v>#NAME?</v>
      </c>
      <c r="H33" s="26" t="e">
        <f t="shared" si="4"/>
        <v>#NAME?</v>
      </c>
      <c r="I33" s="12" t="e">
        <f t="shared" si="5"/>
        <v>#NAME?</v>
      </c>
      <c r="J33" s="26"/>
      <c r="K33" s="26" t="e">
        <f t="shared" si="6"/>
        <v>#NAME?</v>
      </c>
      <c r="L33" s="26" t="e">
        <f t="shared" si="7"/>
        <v>#NAME?</v>
      </c>
      <c r="M33" s="12" t="e">
        <f t="shared" si="8"/>
        <v>#NAME?</v>
      </c>
      <c r="N33" s="12"/>
      <c r="O33" s="26" t="e">
        <f t="shared" si="9"/>
        <v>#NAME?</v>
      </c>
      <c r="P33" s="26" t="e">
        <f t="shared" si="10"/>
        <v>#NAME?</v>
      </c>
      <c r="Q33" s="12" t="e">
        <f t="shared" si="11"/>
        <v>#NAME?</v>
      </c>
      <c r="R33" s="12"/>
      <c r="S33" s="26" t="e">
        <f t="shared" si="12"/>
        <v>#NAME?</v>
      </c>
      <c r="T33" s="26" t="e">
        <f t="shared" si="13"/>
        <v>#NAME?</v>
      </c>
      <c r="U33" s="12" t="e">
        <f t="shared" si="14"/>
        <v>#NAME?</v>
      </c>
      <c r="V33" s="12"/>
      <c r="W33" s="44" t="e">
        <f t="shared" si="15"/>
        <v>#NAME?</v>
      </c>
      <c r="X33" s="26" t="e">
        <f t="shared" si="16"/>
        <v>#NAME?</v>
      </c>
      <c r="Y33" s="12" t="e">
        <f t="shared" si="17"/>
        <v>#NAME?</v>
      </c>
    </row>
    <row r="34" spans="1:25" ht="16.5" customHeight="1" x14ac:dyDescent="0.3">
      <c r="A34" s="16" t="s">
        <v>78</v>
      </c>
      <c r="B34" s="32" t="s">
        <v>79</v>
      </c>
      <c r="C34" s="26" t="e">
        <f t="shared" si="0"/>
        <v>#NAME?</v>
      </c>
      <c r="D34" s="26" t="e">
        <f t="shared" si="1"/>
        <v>#NAME?</v>
      </c>
      <c r="E34" s="12" t="e">
        <f t="shared" si="2"/>
        <v>#NAME?</v>
      </c>
      <c r="F34" s="26"/>
      <c r="G34" s="26" t="e">
        <f t="shared" si="3"/>
        <v>#NAME?</v>
      </c>
      <c r="H34" s="26" t="e">
        <f t="shared" si="4"/>
        <v>#NAME?</v>
      </c>
      <c r="I34" s="12" t="e">
        <f t="shared" si="5"/>
        <v>#NAME?</v>
      </c>
      <c r="J34" s="26"/>
      <c r="K34" s="26" t="e">
        <f t="shared" si="6"/>
        <v>#NAME?</v>
      </c>
      <c r="L34" s="26" t="e">
        <f t="shared" si="7"/>
        <v>#NAME?</v>
      </c>
      <c r="M34" s="12" t="e">
        <f t="shared" si="8"/>
        <v>#NAME?</v>
      </c>
      <c r="N34" s="12"/>
      <c r="O34" s="26" t="e">
        <f t="shared" si="9"/>
        <v>#NAME?</v>
      </c>
      <c r="P34" s="26" t="e">
        <f t="shared" si="10"/>
        <v>#NAME?</v>
      </c>
      <c r="Q34" s="12" t="e">
        <f t="shared" si="11"/>
        <v>#NAME?</v>
      </c>
      <c r="R34" s="12"/>
      <c r="S34" s="26" t="e">
        <f t="shared" si="12"/>
        <v>#NAME?</v>
      </c>
      <c r="T34" s="26" t="e">
        <f t="shared" si="13"/>
        <v>#NAME?</v>
      </c>
      <c r="U34" s="12" t="e">
        <f t="shared" si="14"/>
        <v>#NAME?</v>
      </c>
      <c r="V34" s="12"/>
      <c r="W34" s="44" t="e">
        <f t="shared" si="15"/>
        <v>#NAME?</v>
      </c>
      <c r="X34" s="26" t="e">
        <f t="shared" si="16"/>
        <v>#NAME?</v>
      </c>
      <c r="Y34" s="12" t="e">
        <f t="shared" si="17"/>
        <v>#NAME?</v>
      </c>
    </row>
    <row r="35" spans="1:25" ht="16.5" customHeight="1" x14ac:dyDescent="0.3">
      <c r="A35" s="16" t="s">
        <v>80</v>
      </c>
      <c r="B35" s="17" t="s">
        <v>81</v>
      </c>
      <c r="C35" s="26" t="e">
        <f t="shared" si="0"/>
        <v>#NAME?</v>
      </c>
      <c r="D35" s="26" t="e">
        <f t="shared" si="1"/>
        <v>#NAME?</v>
      </c>
      <c r="E35" s="12" t="e">
        <f t="shared" si="2"/>
        <v>#NAME?</v>
      </c>
      <c r="F35" s="26"/>
      <c r="G35" s="26" t="e">
        <f t="shared" si="3"/>
        <v>#NAME?</v>
      </c>
      <c r="H35" s="26" t="e">
        <f t="shared" si="4"/>
        <v>#NAME?</v>
      </c>
      <c r="I35" s="12" t="e">
        <f t="shared" si="5"/>
        <v>#NAME?</v>
      </c>
      <c r="J35" s="26"/>
      <c r="K35" s="26" t="e">
        <f t="shared" si="6"/>
        <v>#NAME?</v>
      </c>
      <c r="L35" s="26" t="e">
        <f t="shared" si="7"/>
        <v>#NAME?</v>
      </c>
      <c r="M35" s="12" t="e">
        <f t="shared" si="8"/>
        <v>#NAME?</v>
      </c>
      <c r="N35" s="12"/>
      <c r="O35" s="26" t="e">
        <f t="shared" si="9"/>
        <v>#NAME?</v>
      </c>
      <c r="P35" s="26" t="e">
        <f t="shared" si="10"/>
        <v>#NAME?</v>
      </c>
      <c r="Q35" s="12" t="e">
        <f t="shared" si="11"/>
        <v>#NAME?</v>
      </c>
      <c r="R35" s="12"/>
      <c r="S35" s="26" t="e">
        <f t="shared" si="12"/>
        <v>#NAME?</v>
      </c>
      <c r="T35" s="26" t="e">
        <f t="shared" si="13"/>
        <v>#NAME?</v>
      </c>
      <c r="U35" s="12" t="e">
        <f t="shared" si="14"/>
        <v>#NAME?</v>
      </c>
      <c r="V35" s="12"/>
      <c r="W35" s="44" t="e">
        <f t="shared" si="15"/>
        <v>#NAME?</v>
      </c>
      <c r="X35" s="26" t="e">
        <f t="shared" si="16"/>
        <v>#NAME?</v>
      </c>
      <c r="Y35" s="12" t="e">
        <f t="shared" si="17"/>
        <v>#NAME?</v>
      </c>
    </row>
    <row r="36" spans="1:25" ht="16.5" customHeight="1" x14ac:dyDescent="0.3">
      <c r="A36" s="16" t="s">
        <v>84</v>
      </c>
      <c r="B36" s="32" t="s">
        <v>296</v>
      </c>
      <c r="C36" s="26" t="e">
        <f t="shared" ref="C36:C67" si="18">VLOOKUP(A36,MedicaidR,7,FALSE)</f>
        <v>#NAME?</v>
      </c>
      <c r="D36" s="26" t="e">
        <f t="shared" ref="D36:D67" si="19">VLOOKUP(A36,Pop,14,FALSE)</f>
        <v>#NAME?</v>
      </c>
      <c r="E36" s="12" t="e">
        <f t="shared" ref="E36:E67" si="20">+C36/D36</f>
        <v>#NAME?</v>
      </c>
      <c r="F36" s="26"/>
      <c r="G36" s="26" t="e">
        <f t="shared" ref="G36:G67" si="21">VLOOKUP(A36,MedicaidR,8,FALSE)</f>
        <v>#NAME?</v>
      </c>
      <c r="H36" s="26" t="e">
        <f t="shared" ref="H36:H67" si="22">VLOOKUP(A36,Pop,15,FALSE)</f>
        <v>#NAME?</v>
      </c>
      <c r="I36" s="12" t="e">
        <f t="shared" ref="I36:I67" si="23">+G36/H36</f>
        <v>#NAME?</v>
      </c>
      <c r="J36" s="26"/>
      <c r="K36" s="26" t="e">
        <f t="shared" ref="K36:K67" si="24">VLOOKUP(A36,MedicaidR,9,FALSE)</f>
        <v>#NAME?</v>
      </c>
      <c r="L36" s="26" t="e">
        <f t="shared" ref="L36:L67" si="25">VLOOKUP(A36,Pop,16,FALSE)</f>
        <v>#NAME?</v>
      </c>
      <c r="M36" s="12" t="e">
        <f t="shared" ref="M36:M67" si="26">+K36/L36</f>
        <v>#NAME?</v>
      </c>
      <c r="N36" s="12"/>
      <c r="O36" s="26" t="e">
        <f t="shared" ref="O36:O67" si="27">VLOOKUP(A36,MedicaidR,3,FALSE)</f>
        <v>#NAME?</v>
      </c>
      <c r="P36" s="26" t="e">
        <f t="shared" ref="P36:P67" si="28">VLOOKUP(A36,Pop,8,FALSE)</f>
        <v>#NAME?</v>
      </c>
      <c r="Q36" s="12" t="e">
        <f t="shared" ref="Q36:Q67" si="29">+O36/P36</f>
        <v>#NAME?</v>
      </c>
      <c r="R36" s="12"/>
      <c r="S36" s="26" t="e">
        <f t="shared" ref="S36:S67" si="30">VLOOKUP(A36,MedicaidR,4,FALSE)</f>
        <v>#NAME?</v>
      </c>
      <c r="T36" s="26" t="e">
        <f t="shared" ref="T36:T67" si="31">VLOOKUP(A36,Pop,9,FALSE)</f>
        <v>#NAME?</v>
      </c>
      <c r="U36" s="12" t="e">
        <f t="shared" ref="U36:U67" si="32">+S36/T36</f>
        <v>#NAME?</v>
      </c>
      <c r="V36" s="12"/>
      <c r="W36" s="44" t="e">
        <f t="shared" ref="W36:W67" si="33">VLOOKUP(A36,MedicaidR,5,FALSE)</f>
        <v>#NAME?</v>
      </c>
      <c r="X36" s="26" t="e">
        <f t="shared" ref="X36:X67" si="34">VLOOKUP(A36,Pop,10,FALSE)</f>
        <v>#NAME?</v>
      </c>
      <c r="Y36" s="12" t="e">
        <f t="shared" ref="Y36:Y67" si="35">+W36/X36</f>
        <v>#NAME?</v>
      </c>
    </row>
    <row r="37" spans="1:25" ht="16.5" customHeight="1" x14ac:dyDescent="0.3">
      <c r="A37" s="16" t="s">
        <v>86</v>
      </c>
      <c r="B37" s="17" t="s">
        <v>87</v>
      </c>
      <c r="C37" s="26" t="e">
        <f t="shared" si="18"/>
        <v>#NAME?</v>
      </c>
      <c r="D37" s="26" t="e">
        <f t="shared" si="19"/>
        <v>#NAME?</v>
      </c>
      <c r="E37" s="12" t="e">
        <f t="shared" si="20"/>
        <v>#NAME?</v>
      </c>
      <c r="F37" s="26"/>
      <c r="G37" s="26" t="e">
        <f t="shared" si="21"/>
        <v>#NAME?</v>
      </c>
      <c r="H37" s="26" t="e">
        <f t="shared" si="22"/>
        <v>#NAME?</v>
      </c>
      <c r="I37" s="12" t="e">
        <f t="shared" si="23"/>
        <v>#NAME?</v>
      </c>
      <c r="J37" s="26"/>
      <c r="K37" s="26" t="e">
        <f t="shared" si="24"/>
        <v>#NAME?</v>
      </c>
      <c r="L37" s="26" t="e">
        <f t="shared" si="25"/>
        <v>#NAME?</v>
      </c>
      <c r="M37" s="12" t="e">
        <f t="shared" si="26"/>
        <v>#NAME?</v>
      </c>
      <c r="N37" s="12"/>
      <c r="O37" s="26" t="e">
        <f t="shared" si="27"/>
        <v>#NAME?</v>
      </c>
      <c r="P37" s="26" t="e">
        <f t="shared" si="28"/>
        <v>#NAME?</v>
      </c>
      <c r="Q37" s="12" t="e">
        <f t="shared" si="29"/>
        <v>#NAME?</v>
      </c>
      <c r="R37" s="12"/>
      <c r="S37" s="26" t="e">
        <f t="shared" si="30"/>
        <v>#NAME?</v>
      </c>
      <c r="T37" s="26" t="e">
        <f t="shared" si="31"/>
        <v>#NAME?</v>
      </c>
      <c r="U37" s="12" t="e">
        <f t="shared" si="32"/>
        <v>#NAME?</v>
      </c>
      <c r="V37" s="12"/>
      <c r="W37" s="44" t="e">
        <f t="shared" si="33"/>
        <v>#NAME?</v>
      </c>
      <c r="X37" s="26" t="e">
        <f t="shared" si="34"/>
        <v>#NAME?</v>
      </c>
      <c r="Y37" s="12" t="e">
        <f t="shared" si="35"/>
        <v>#NAME?</v>
      </c>
    </row>
    <row r="38" spans="1:25" ht="16.5" customHeight="1" x14ac:dyDescent="0.3">
      <c r="A38" s="16" t="s">
        <v>92</v>
      </c>
      <c r="B38" s="17" t="s">
        <v>93</v>
      </c>
      <c r="C38" s="26" t="e">
        <f t="shared" si="18"/>
        <v>#NAME?</v>
      </c>
      <c r="D38" s="26" t="e">
        <f t="shared" si="19"/>
        <v>#NAME?</v>
      </c>
      <c r="E38" s="12" t="e">
        <f t="shared" si="20"/>
        <v>#NAME?</v>
      </c>
      <c r="F38" s="26"/>
      <c r="G38" s="26" t="e">
        <f t="shared" si="21"/>
        <v>#NAME?</v>
      </c>
      <c r="H38" s="26" t="e">
        <f t="shared" si="22"/>
        <v>#NAME?</v>
      </c>
      <c r="I38" s="12" t="e">
        <f t="shared" si="23"/>
        <v>#NAME?</v>
      </c>
      <c r="J38" s="26"/>
      <c r="K38" s="26" t="e">
        <f t="shared" si="24"/>
        <v>#NAME?</v>
      </c>
      <c r="L38" s="26" t="e">
        <f t="shared" si="25"/>
        <v>#NAME?</v>
      </c>
      <c r="M38" s="12" t="e">
        <f t="shared" si="26"/>
        <v>#NAME?</v>
      </c>
      <c r="N38" s="12"/>
      <c r="O38" s="26" t="e">
        <f t="shared" si="27"/>
        <v>#NAME?</v>
      </c>
      <c r="P38" s="26" t="e">
        <f t="shared" si="28"/>
        <v>#NAME?</v>
      </c>
      <c r="Q38" s="12" t="e">
        <f t="shared" si="29"/>
        <v>#NAME?</v>
      </c>
      <c r="R38" s="12"/>
      <c r="S38" s="26" t="e">
        <f t="shared" si="30"/>
        <v>#NAME?</v>
      </c>
      <c r="T38" s="26" t="e">
        <f t="shared" si="31"/>
        <v>#NAME?</v>
      </c>
      <c r="U38" s="12" t="e">
        <f t="shared" si="32"/>
        <v>#NAME?</v>
      </c>
      <c r="V38" s="12"/>
      <c r="W38" s="44" t="e">
        <f t="shared" si="33"/>
        <v>#NAME?</v>
      </c>
      <c r="X38" s="26" t="e">
        <f t="shared" si="34"/>
        <v>#NAME?</v>
      </c>
      <c r="Y38" s="12" t="e">
        <f t="shared" si="35"/>
        <v>#NAME?</v>
      </c>
    </row>
    <row r="39" spans="1:25" ht="16.5" customHeight="1" x14ac:dyDescent="0.3">
      <c r="A39" s="16" t="s">
        <v>94</v>
      </c>
      <c r="B39" s="17" t="s">
        <v>95</v>
      </c>
      <c r="C39" s="26" t="e">
        <f t="shared" si="18"/>
        <v>#NAME?</v>
      </c>
      <c r="D39" s="26" t="e">
        <f t="shared" si="19"/>
        <v>#NAME?</v>
      </c>
      <c r="E39" s="12" t="e">
        <f t="shared" si="20"/>
        <v>#NAME?</v>
      </c>
      <c r="F39" s="26"/>
      <c r="G39" s="26" t="e">
        <f t="shared" si="21"/>
        <v>#NAME?</v>
      </c>
      <c r="H39" s="26" t="e">
        <f t="shared" si="22"/>
        <v>#NAME?</v>
      </c>
      <c r="I39" s="12" t="e">
        <f t="shared" si="23"/>
        <v>#NAME?</v>
      </c>
      <c r="J39" s="26"/>
      <c r="K39" s="26" t="e">
        <f t="shared" si="24"/>
        <v>#NAME?</v>
      </c>
      <c r="L39" s="26" t="e">
        <f t="shared" si="25"/>
        <v>#NAME?</v>
      </c>
      <c r="M39" s="12" t="e">
        <f t="shared" si="26"/>
        <v>#NAME?</v>
      </c>
      <c r="N39" s="12"/>
      <c r="O39" s="26" t="e">
        <f t="shared" si="27"/>
        <v>#NAME?</v>
      </c>
      <c r="P39" s="26" t="e">
        <f t="shared" si="28"/>
        <v>#NAME?</v>
      </c>
      <c r="Q39" s="12" t="e">
        <f t="shared" si="29"/>
        <v>#NAME?</v>
      </c>
      <c r="R39" s="12"/>
      <c r="S39" s="26" t="e">
        <f t="shared" si="30"/>
        <v>#NAME?</v>
      </c>
      <c r="T39" s="26" t="e">
        <f t="shared" si="31"/>
        <v>#NAME?</v>
      </c>
      <c r="U39" s="12" t="e">
        <f t="shared" si="32"/>
        <v>#NAME?</v>
      </c>
      <c r="V39" s="12"/>
      <c r="W39" s="44" t="e">
        <f t="shared" si="33"/>
        <v>#NAME?</v>
      </c>
      <c r="X39" s="26" t="e">
        <f t="shared" si="34"/>
        <v>#NAME?</v>
      </c>
      <c r="Y39" s="12" t="e">
        <f t="shared" si="35"/>
        <v>#NAME?</v>
      </c>
    </row>
    <row r="40" spans="1:25" ht="16.5" customHeight="1" x14ac:dyDescent="0.3">
      <c r="A40" s="16" t="s">
        <v>96</v>
      </c>
      <c r="B40" s="17" t="s">
        <v>97</v>
      </c>
      <c r="C40" s="26" t="e">
        <f t="shared" si="18"/>
        <v>#NAME?</v>
      </c>
      <c r="D40" s="26" t="e">
        <f t="shared" si="19"/>
        <v>#NAME?</v>
      </c>
      <c r="E40" s="12" t="e">
        <f t="shared" si="20"/>
        <v>#NAME?</v>
      </c>
      <c r="F40" s="26"/>
      <c r="G40" s="26" t="e">
        <f t="shared" si="21"/>
        <v>#NAME?</v>
      </c>
      <c r="H40" s="26" t="e">
        <f t="shared" si="22"/>
        <v>#NAME?</v>
      </c>
      <c r="I40" s="12" t="e">
        <f t="shared" si="23"/>
        <v>#NAME?</v>
      </c>
      <c r="J40" s="26"/>
      <c r="K40" s="26" t="e">
        <f t="shared" si="24"/>
        <v>#NAME?</v>
      </c>
      <c r="L40" s="26" t="e">
        <f t="shared" si="25"/>
        <v>#NAME?</v>
      </c>
      <c r="M40" s="12" t="e">
        <f t="shared" si="26"/>
        <v>#NAME?</v>
      </c>
      <c r="N40" s="12"/>
      <c r="O40" s="26" t="e">
        <f t="shared" si="27"/>
        <v>#NAME?</v>
      </c>
      <c r="P40" s="26" t="e">
        <f t="shared" si="28"/>
        <v>#NAME?</v>
      </c>
      <c r="Q40" s="12" t="e">
        <f t="shared" si="29"/>
        <v>#NAME?</v>
      </c>
      <c r="R40" s="12"/>
      <c r="S40" s="26" t="e">
        <f t="shared" si="30"/>
        <v>#NAME?</v>
      </c>
      <c r="T40" s="26" t="e">
        <f t="shared" si="31"/>
        <v>#NAME?</v>
      </c>
      <c r="U40" s="12" t="e">
        <f t="shared" si="32"/>
        <v>#NAME?</v>
      </c>
      <c r="V40" s="12"/>
      <c r="W40" s="44" t="e">
        <f t="shared" si="33"/>
        <v>#NAME?</v>
      </c>
      <c r="X40" s="26" t="e">
        <f t="shared" si="34"/>
        <v>#NAME?</v>
      </c>
      <c r="Y40" s="12" t="e">
        <f t="shared" si="35"/>
        <v>#NAME?</v>
      </c>
    </row>
    <row r="41" spans="1:25" ht="16.5" customHeight="1" x14ac:dyDescent="0.3">
      <c r="A41" s="16" t="s">
        <v>98</v>
      </c>
      <c r="B41" s="32" t="s">
        <v>99</v>
      </c>
      <c r="C41" s="26" t="e">
        <f t="shared" si="18"/>
        <v>#NAME?</v>
      </c>
      <c r="D41" s="26" t="e">
        <f t="shared" si="19"/>
        <v>#NAME?</v>
      </c>
      <c r="E41" s="12" t="e">
        <f t="shared" si="20"/>
        <v>#NAME?</v>
      </c>
      <c r="F41" s="26"/>
      <c r="G41" s="26" t="e">
        <f t="shared" si="21"/>
        <v>#NAME?</v>
      </c>
      <c r="H41" s="26" t="e">
        <f t="shared" si="22"/>
        <v>#NAME?</v>
      </c>
      <c r="I41" s="12" t="e">
        <f t="shared" si="23"/>
        <v>#NAME?</v>
      </c>
      <c r="J41" s="26"/>
      <c r="K41" s="26" t="e">
        <f t="shared" si="24"/>
        <v>#NAME?</v>
      </c>
      <c r="L41" s="26" t="e">
        <f t="shared" si="25"/>
        <v>#NAME?</v>
      </c>
      <c r="M41" s="12" t="e">
        <f t="shared" si="26"/>
        <v>#NAME?</v>
      </c>
      <c r="N41" s="12"/>
      <c r="O41" s="26" t="e">
        <f t="shared" si="27"/>
        <v>#NAME?</v>
      </c>
      <c r="P41" s="26" t="e">
        <f t="shared" si="28"/>
        <v>#NAME?</v>
      </c>
      <c r="Q41" s="12" t="e">
        <f t="shared" si="29"/>
        <v>#NAME?</v>
      </c>
      <c r="R41" s="12"/>
      <c r="S41" s="26" t="e">
        <f t="shared" si="30"/>
        <v>#NAME?</v>
      </c>
      <c r="T41" s="26" t="e">
        <f t="shared" si="31"/>
        <v>#NAME?</v>
      </c>
      <c r="U41" s="12" t="e">
        <f t="shared" si="32"/>
        <v>#NAME?</v>
      </c>
      <c r="V41" s="12"/>
      <c r="W41" s="44" t="e">
        <f t="shared" si="33"/>
        <v>#NAME?</v>
      </c>
      <c r="X41" s="26" t="e">
        <f t="shared" si="34"/>
        <v>#NAME?</v>
      </c>
      <c r="Y41" s="12" t="e">
        <f t="shared" si="35"/>
        <v>#NAME?</v>
      </c>
    </row>
    <row r="42" spans="1:25" ht="16.5" customHeight="1" x14ac:dyDescent="0.3">
      <c r="A42" s="16" t="s">
        <v>100</v>
      </c>
      <c r="B42" s="32" t="s">
        <v>101</v>
      </c>
      <c r="C42" s="26" t="e">
        <f t="shared" si="18"/>
        <v>#NAME?</v>
      </c>
      <c r="D42" s="26" t="e">
        <f t="shared" si="19"/>
        <v>#NAME?</v>
      </c>
      <c r="E42" s="12" t="e">
        <f t="shared" si="20"/>
        <v>#NAME?</v>
      </c>
      <c r="F42" s="26"/>
      <c r="G42" s="26" t="e">
        <f t="shared" si="21"/>
        <v>#NAME?</v>
      </c>
      <c r="H42" s="26" t="e">
        <f t="shared" si="22"/>
        <v>#NAME?</v>
      </c>
      <c r="I42" s="12" t="e">
        <f t="shared" si="23"/>
        <v>#NAME?</v>
      </c>
      <c r="J42" s="26"/>
      <c r="K42" s="26" t="e">
        <f t="shared" si="24"/>
        <v>#NAME?</v>
      </c>
      <c r="L42" s="26" t="e">
        <f t="shared" si="25"/>
        <v>#NAME?</v>
      </c>
      <c r="M42" s="12" t="e">
        <f t="shared" si="26"/>
        <v>#NAME?</v>
      </c>
      <c r="N42" s="12"/>
      <c r="O42" s="26" t="e">
        <f t="shared" si="27"/>
        <v>#NAME?</v>
      </c>
      <c r="P42" s="26" t="e">
        <f t="shared" si="28"/>
        <v>#NAME?</v>
      </c>
      <c r="Q42" s="12" t="e">
        <f t="shared" si="29"/>
        <v>#NAME?</v>
      </c>
      <c r="R42" s="12"/>
      <c r="S42" s="26" t="e">
        <f t="shared" si="30"/>
        <v>#NAME?</v>
      </c>
      <c r="T42" s="26" t="e">
        <f t="shared" si="31"/>
        <v>#NAME?</v>
      </c>
      <c r="U42" s="12" t="e">
        <f t="shared" si="32"/>
        <v>#NAME?</v>
      </c>
      <c r="V42" s="12"/>
      <c r="W42" s="44" t="e">
        <f t="shared" si="33"/>
        <v>#NAME?</v>
      </c>
      <c r="X42" s="26" t="e">
        <f t="shared" si="34"/>
        <v>#NAME?</v>
      </c>
      <c r="Y42" s="12" t="e">
        <f t="shared" si="35"/>
        <v>#NAME?</v>
      </c>
    </row>
    <row r="43" spans="1:25" ht="16.5" customHeight="1" x14ac:dyDescent="0.3">
      <c r="A43" s="16" t="s">
        <v>102</v>
      </c>
      <c r="B43" s="32" t="s">
        <v>103</v>
      </c>
      <c r="C43" s="26" t="e">
        <f t="shared" si="18"/>
        <v>#NAME?</v>
      </c>
      <c r="D43" s="26" t="e">
        <f t="shared" si="19"/>
        <v>#NAME?</v>
      </c>
      <c r="E43" s="12" t="e">
        <f t="shared" si="20"/>
        <v>#NAME?</v>
      </c>
      <c r="F43" s="26"/>
      <c r="G43" s="26" t="e">
        <f t="shared" si="21"/>
        <v>#NAME?</v>
      </c>
      <c r="H43" s="26" t="e">
        <f t="shared" si="22"/>
        <v>#NAME?</v>
      </c>
      <c r="I43" s="12" t="e">
        <f t="shared" si="23"/>
        <v>#NAME?</v>
      </c>
      <c r="J43" s="26"/>
      <c r="K43" s="26" t="e">
        <f t="shared" si="24"/>
        <v>#NAME?</v>
      </c>
      <c r="L43" s="26" t="e">
        <f t="shared" si="25"/>
        <v>#NAME?</v>
      </c>
      <c r="M43" s="12" t="e">
        <f t="shared" si="26"/>
        <v>#NAME?</v>
      </c>
      <c r="N43" s="12"/>
      <c r="O43" s="26" t="e">
        <f t="shared" si="27"/>
        <v>#NAME?</v>
      </c>
      <c r="P43" s="26" t="e">
        <f t="shared" si="28"/>
        <v>#NAME?</v>
      </c>
      <c r="Q43" s="12" t="e">
        <f t="shared" si="29"/>
        <v>#NAME?</v>
      </c>
      <c r="R43" s="12"/>
      <c r="S43" s="26" t="e">
        <f t="shared" si="30"/>
        <v>#NAME?</v>
      </c>
      <c r="T43" s="26" t="e">
        <f t="shared" si="31"/>
        <v>#NAME?</v>
      </c>
      <c r="U43" s="12" t="e">
        <f t="shared" si="32"/>
        <v>#NAME?</v>
      </c>
      <c r="V43" s="12"/>
      <c r="W43" s="44" t="e">
        <f t="shared" si="33"/>
        <v>#NAME?</v>
      </c>
      <c r="X43" s="26" t="e">
        <f t="shared" si="34"/>
        <v>#NAME?</v>
      </c>
      <c r="Y43" s="12" t="e">
        <f t="shared" si="35"/>
        <v>#NAME?</v>
      </c>
    </row>
    <row r="44" spans="1:25" ht="16.5" customHeight="1" x14ac:dyDescent="0.3">
      <c r="A44" s="16" t="s">
        <v>104</v>
      </c>
      <c r="B44" s="17" t="s">
        <v>297</v>
      </c>
      <c r="C44" s="26" t="e">
        <f t="shared" si="18"/>
        <v>#NAME?</v>
      </c>
      <c r="D44" s="26" t="e">
        <f t="shared" si="19"/>
        <v>#NAME?</v>
      </c>
      <c r="E44" s="12" t="e">
        <f t="shared" si="20"/>
        <v>#NAME?</v>
      </c>
      <c r="F44" s="26"/>
      <c r="G44" s="26" t="e">
        <f t="shared" si="21"/>
        <v>#NAME?</v>
      </c>
      <c r="H44" s="26" t="e">
        <f t="shared" si="22"/>
        <v>#NAME?</v>
      </c>
      <c r="I44" s="12" t="e">
        <f t="shared" si="23"/>
        <v>#NAME?</v>
      </c>
      <c r="J44" s="26"/>
      <c r="K44" s="26" t="e">
        <f t="shared" si="24"/>
        <v>#NAME?</v>
      </c>
      <c r="L44" s="26" t="e">
        <f t="shared" si="25"/>
        <v>#NAME?</v>
      </c>
      <c r="M44" s="12" t="e">
        <f t="shared" si="26"/>
        <v>#NAME?</v>
      </c>
      <c r="N44" s="12"/>
      <c r="O44" s="26" t="e">
        <f t="shared" si="27"/>
        <v>#NAME?</v>
      </c>
      <c r="P44" s="26" t="e">
        <f t="shared" si="28"/>
        <v>#NAME?</v>
      </c>
      <c r="Q44" s="12" t="e">
        <f t="shared" si="29"/>
        <v>#NAME?</v>
      </c>
      <c r="R44" s="12"/>
      <c r="S44" s="26" t="e">
        <f t="shared" si="30"/>
        <v>#NAME?</v>
      </c>
      <c r="T44" s="26" t="e">
        <f t="shared" si="31"/>
        <v>#NAME?</v>
      </c>
      <c r="U44" s="12" t="e">
        <f t="shared" si="32"/>
        <v>#NAME?</v>
      </c>
      <c r="V44" s="12"/>
      <c r="W44" s="44" t="e">
        <f t="shared" si="33"/>
        <v>#NAME?</v>
      </c>
      <c r="X44" s="26" t="e">
        <f t="shared" si="34"/>
        <v>#NAME?</v>
      </c>
      <c r="Y44" s="12" t="e">
        <f t="shared" si="35"/>
        <v>#NAME?</v>
      </c>
    </row>
    <row r="45" spans="1:25" ht="16.5" customHeight="1" x14ac:dyDescent="0.3">
      <c r="A45" s="16" t="s">
        <v>108</v>
      </c>
      <c r="B45" s="17" t="s">
        <v>109</v>
      </c>
      <c r="C45" s="26" t="e">
        <f t="shared" si="18"/>
        <v>#NAME?</v>
      </c>
      <c r="D45" s="26" t="e">
        <f t="shared" si="19"/>
        <v>#NAME?</v>
      </c>
      <c r="E45" s="12" t="e">
        <f t="shared" si="20"/>
        <v>#NAME?</v>
      </c>
      <c r="F45" s="26"/>
      <c r="G45" s="26" t="e">
        <f t="shared" si="21"/>
        <v>#NAME?</v>
      </c>
      <c r="H45" s="26" t="e">
        <f t="shared" si="22"/>
        <v>#NAME?</v>
      </c>
      <c r="I45" s="12" t="e">
        <f t="shared" si="23"/>
        <v>#NAME?</v>
      </c>
      <c r="J45" s="26"/>
      <c r="K45" s="26" t="e">
        <f t="shared" si="24"/>
        <v>#NAME?</v>
      </c>
      <c r="L45" s="26" t="e">
        <f t="shared" si="25"/>
        <v>#NAME?</v>
      </c>
      <c r="M45" s="12" t="e">
        <f t="shared" si="26"/>
        <v>#NAME?</v>
      </c>
      <c r="N45" s="12"/>
      <c r="O45" s="26" t="e">
        <f t="shared" si="27"/>
        <v>#NAME?</v>
      </c>
      <c r="P45" s="26" t="e">
        <f t="shared" si="28"/>
        <v>#NAME?</v>
      </c>
      <c r="Q45" s="12" t="e">
        <f t="shared" si="29"/>
        <v>#NAME?</v>
      </c>
      <c r="R45" s="12"/>
      <c r="S45" s="26" t="e">
        <f t="shared" si="30"/>
        <v>#NAME?</v>
      </c>
      <c r="T45" s="26" t="e">
        <f t="shared" si="31"/>
        <v>#NAME?</v>
      </c>
      <c r="U45" s="12" t="e">
        <f t="shared" si="32"/>
        <v>#NAME?</v>
      </c>
      <c r="V45" s="12"/>
      <c r="W45" s="44" t="e">
        <f t="shared" si="33"/>
        <v>#NAME?</v>
      </c>
      <c r="X45" s="26" t="e">
        <f t="shared" si="34"/>
        <v>#NAME?</v>
      </c>
      <c r="Y45" s="12" t="e">
        <f t="shared" si="35"/>
        <v>#NAME?</v>
      </c>
    </row>
    <row r="46" spans="1:25" ht="16.5" customHeight="1" x14ac:dyDescent="0.3">
      <c r="A46" s="16" t="s">
        <v>110</v>
      </c>
      <c r="B46" s="17" t="s">
        <v>111</v>
      </c>
      <c r="C46" s="26" t="e">
        <f t="shared" si="18"/>
        <v>#NAME?</v>
      </c>
      <c r="D46" s="26" t="e">
        <f t="shared" si="19"/>
        <v>#NAME?</v>
      </c>
      <c r="E46" s="12" t="e">
        <f t="shared" si="20"/>
        <v>#NAME?</v>
      </c>
      <c r="F46" s="26"/>
      <c r="G46" s="26" t="e">
        <f t="shared" si="21"/>
        <v>#NAME?</v>
      </c>
      <c r="H46" s="26" t="e">
        <f t="shared" si="22"/>
        <v>#NAME?</v>
      </c>
      <c r="I46" s="12" t="e">
        <f t="shared" si="23"/>
        <v>#NAME?</v>
      </c>
      <c r="J46" s="26"/>
      <c r="K46" s="26" t="e">
        <f t="shared" si="24"/>
        <v>#NAME?</v>
      </c>
      <c r="L46" s="26" t="e">
        <f t="shared" si="25"/>
        <v>#NAME?</v>
      </c>
      <c r="M46" s="12" t="e">
        <f t="shared" si="26"/>
        <v>#NAME?</v>
      </c>
      <c r="N46" s="12"/>
      <c r="O46" s="26" t="e">
        <f t="shared" si="27"/>
        <v>#NAME?</v>
      </c>
      <c r="P46" s="26" t="e">
        <f t="shared" si="28"/>
        <v>#NAME?</v>
      </c>
      <c r="Q46" s="12" t="e">
        <f t="shared" si="29"/>
        <v>#NAME?</v>
      </c>
      <c r="R46" s="12"/>
      <c r="S46" s="26" t="e">
        <f t="shared" si="30"/>
        <v>#NAME?</v>
      </c>
      <c r="T46" s="26" t="e">
        <f t="shared" si="31"/>
        <v>#NAME?</v>
      </c>
      <c r="U46" s="12" t="e">
        <f t="shared" si="32"/>
        <v>#NAME?</v>
      </c>
      <c r="V46" s="12"/>
      <c r="W46" s="44" t="e">
        <f t="shared" si="33"/>
        <v>#NAME?</v>
      </c>
      <c r="X46" s="26" t="e">
        <f t="shared" si="34"/>
        <v>#NAME?</v>
      </c>
      <c r="Y46" s="12" t="e">
        <f t="shared" si="35"/>
        <v>#NAME?</v>
      </c>
    </row>
    <row r="47" spans="1:25" ht="16.5" customHeight="1" x14ac:dyDescent="0.3">
      <c r="A47" s="16" t="s">
        <v>112</v>
      </c>
      <c r="B47" s="32" t="s">
        <v>288</v>
      </c>
      <c r="C47" s="26" t="e">
        <f t="shared" si="18"/>
        <v>#NAME?</v>
      </c>
      <c r="D47" s="26" t="e">
        <f t="shared" si="19"/>
        <v>#NAME?</v>
      </c>
      <c r="E47" s="12" t="e">
        <f t="shared" si="20"/>
        <v>#NAME?</v>
      </c>
      <c r="F47" s="26"/>
      <c r="G47" s="26" t="e">
        <f t="shared" si="21"/>
        <v>#NAME?</v>
      </c>
      <c r="H47" s="26" t="e">
        <f t="shared" si="22"/>
        <v>#NAME?</v>
      </c>
      <c r="I47" s="12" t="e">
        <f t="shared" si="23"/>
        <v>#NAME?</v>
      </c>
      <c r="J47" s="26"/>
      <c r="K47" s="26" t="e">
        <f t="shared" si="24"/>
        <v>#NAME?</v>
      </c>
      <c r="L47" s="26" t="e">
        <f t="shared" si="25"/>
        <v>#NAME?</v>
      </c>
      <c r="M47" s="12" t="e">
        <f t="shared" si="26"/>
        <v>#NAME?</v>
      </c>
      <c r="N47" s="12"/>
      <c r="O47" s="26" t="e">
        <f t="shared" si="27"/>
        <v>#NAME?</v>
      </c>
      <c r="P47" s="26" t="e">
        <f t="shared" si="28"/>
        <v>#NAME?</v>
      </c>
      <c r="Q47" s="12" t="e">
        <f t="shared" si="29"/>
        <v>#NAME?</v>
      </c>
      <c r="R47" s="12"/>
      <c r="S47" s="26" t="e">
        <f t="shared" si="30"/>
        <v>#NAME?</v>
      </c>
      <c r="T47" s="26" t="e">
        <f t="shared" si="31"/>
        <v>#NAME?</v>
      </c>
      <c r="U47" s="12" t="e">
        <f t="shared" si="32"/>
        <v>#NAME?</v>
      </c>
      <c r="V47" s="12"/>
      <c r="W47" s="44" t="e">
        <f t="shared" si="33"/>
        <v>#NAME?</v>
      </c>
      <c r="X47" s="26" t="e">
        <f t="shared" si="34"/>
        <v>#NAME?</v>
      </c>
      <c r="Y47" s="12" t="e">
        <f t="shared" si="35"/>
        <v>#NAME?</v>
      </c>
    </row>
    <row r="48" spans="1:25" ht="16.5" customHeight="1" x14ac:dyDescent="0.3">
      <c r="A48" s="16" t="s">
        <v>114</v>
      </c>
      <c r="B48" s="32" t="s">
        <v>115</v>
      </c>
      <c r="C48" s="26" t="e">
        <f t="shared" si="18"/>
        <v>#NAME?</v>
      </c>
      <c r="D48" s="26" t="e">
        <f t="shared" si="19"/>
        <v>#NAME?</v>
      </c>
      <c r="E48" s="12" t="e">
        <f t="shared" si="20"/>
        <v>#NAME?</v>
      </c>
      <c r="F48" s="26"/>
      <c r="G48" s="26" t="e">
        <f t="shared" si="21"/>
        <v>#NAME?</v>
      </c>
      <c r="H48" s="26" t="e">
        <f t="shared" si="22"/>
        <v>#NAME?</v>
      </c>
      <c r="I48" s="12" t="e">
        <f t="shared" si="23"/>
        <v>#NAME?</v>
      </c>
      <c r="J48" s="26"/>
      <c r="K48" s="26" t="e">
        <f t="shared" si="24"/>
        <v>#NAME?</v>
      </c>
      <c r="L48" s="26" t="e">
        <f t="shared" si="25"/>
        <v>#NAME?</v>
      </c>
      <c r="M48" s="12" t="e">
        <f t="shared" si="26"/>
        <v>#NAME?</v>
      </c>
      <c r="N48" s="12"/>
      <c r="O48" s="26" t="e">
        <f t="shared" si="27"/>
        <v>#NAME?</v>
      </c>
      <c r="P48" s="26" t="e">
        <f t="shared" si="28"/>
        <v>#NAME?</v>
      </c>
      <c r="Q48" s="12" t="e">
        <f t="shared" si="29"/>
        <v>#NAME?</v>
      </c>
      <c r="R48" s="12"/>
      <c r="S48" s="26" t="e">
        <f t="shared" si="30"/>
        <v>#NAME?</v>
      </c>
      <c r="T48" s="26" t="e">
        <f t="shared" si="31"/>
        <v>#NAME?</v>
      </c>
      <c r="U48" s="12" t="e">
        <f t="shared" si="32"/>
        <v>#NAME?</v>
      </c>
      <c r="V48" s="12"/>
      <c r="W48" s="44" t="e">
        <f t="shared" si="33"/>
        <v>#NAME?</v>
      </c>
      <c r="X48" s="26" t="e">
        <f t="shared" si="34"/>
        <v>#NAME?</v>
      </c>
      <c r="Y48" s="12" t="e">
        <f t="shared" si="35"/>
        <v>#NAME?</v>
      </c>
    </row>
    <row r="49" spans="1:25" ht="16.5" customHeight="1" x14ac:dyDescent="0.3">
      <c r="A49" s="16" t="s">
        <v>118</v>
      </c>
      <c r="B49" s="17" t="s">
        <v>119</v>
      </c>
      <c r="C49" s="26" t="e">
        <f t="shared" si="18"/>
        <v>#NAME?</v>
      </c>
      <c r="D49" s="26" t="e">
        <f t="shared" si="19"/>
        <v>#NAME?</v>
      </c>
      <c r="E49" s="12" t="e">
        <f t="shared" si="20"/>
        <v>#NAME?</v>
      </c>
      <c r="F49" s="26"/>
      <c r="G49" s="26" t="e">
        <f t="shared" si="21"/>
        <v>#NAME?</v>
      </c>
      <c r="H49" s="26" t="e">
        <f t="shared" si="22"/>
        <v>#NAME?</v>
      </c>
      <c r="I49" s="12" t="e">
        <f t="shared" si="23"/>
        <v>#NAME?</v>
      </c>
      <c r="J49" s="26"/>
      <c r="K49" s="26" t="e">
        <f t="shared" si="24"/>
        <v>#NAME?</v>
      </c>
      <c r="L49" s="26" t="e">
        <f t="shared" si="25"/>
        <v>#NAME?</v>
      </c>
      <c r="M49" s="12" t="e">
        <f t="shared" si="26"/>
        <v>#NAME?</v>
      </c>
      <c r="N49" s="12"/>
      <c r="O49" s="26" t="e">
        <f t="shared" si="27"/>
        <v>#NAME?</v>
      </c>
      <c r="P49" s="26" t="e">
        <f t="shared" si="28"/>
        <v>#NAME?</v>
      </c>
      <c r="Q49" s="12" t="e">
        <f t="shared" si="29"/>
        <v>#NAME?</v>
      </c>
      <c r="R49" s="12"/>
      <c r="S49" s="26" t="e">
        <f t="shared" si="30"/>
        <v>#NAME?</v>
      </c>
      <c r="T49" s="26" t="e">
        <f t="shared" si="31"/>
        <v>#NAME?</v>
      </c>
      <c r="U49" s="12" t="e">
        <f t="shared" si="32"/>
        <v>#NAME?</v>
      </c>
      <c r="V49" s="12"/>
      <c r="W49" s="44" t="e">
        <f t="shared" si="33"/>
        <v>#NAME?</v>
      </c>
      <c r="X49" s="26" t="e">
        <f t="shared" si="34"/>
        <v>#NAME?</v>
      </c>
      <c r="Y49" s="12" t="e">
        <f t="shared" si="35"/>
        <v>#NAME?</v>
      </c>
    </row>
    <row r="50" spans="1:25" ht="16.5" customHeight="1" x14ac:dyDescent="0.3">
      <c r="A50" s="16" t="s">
        <v>120</v>
      </c>
      <c r="B50" s="17" t="s">
        <v>121</v>
      </c>
      <c r="C50" s="26" t="e">
        <f t="shared" si="18"/>
        <v>#NAME?</v>
      </c>
      <c r="D50" s="26" t="e">
        <f t="shared" si="19"/>
        <v>#NAME?</v>
      </c>
      <c r="E50" s="12" t="e">
        <f t="shared" si="20"/>
        <v>#NAME?</v>
      </c>
      <c r="F50" s="26"/>
      <c r="G50" s="26" t="e">
        <f t="shared" si="21"/>
        <v>#NAME?</v>
      </c>
      <c r="H50" s="26" t="e">
        <f t="shared" si="22"/>
        <v>#NAME?</v>
      </c>
      <c r="I50" s="12" t="e">
        <f t="shared" si="23"/>
        <v>#NAME?</v>
      </c>
      <c r="J50" s="26"/>
      <c r="K50" s="26" t="e">
        <f t="shared" si="24"/>
        <v>#NAME?</v>
      </c>
      <c r="L50" s="26" t="e">
        <f t="shared" si="25"/>
        <v>#NAME?</v>
      </c>
      <c r="M50" s="12" t="e">
        <f t="shared" si="26"/>
        <v>#NAME?</v>
      </c>
      <c r="N50" s="12"/>
      <c r="O50" s="26" t="e">
        <f t="shared" si="27"/>
        <v>#NAME?</v>
      </c>
      <c r="P50" s="26" t="e">
        <f t="shared" si="28"/>
        <v>#NAME?</v>
      </c>
      <c r="Q50" s="12" t="e">
        <f t="shared" si="29"/>
        <v>#NAME?</v>
      </c>
      <c r="R50" s="12"/>
      <c r="S50" s="26" t="e">
        <f t="shared" si="30"/>
        <v>#NAME?</v>
      </c>
      <c r="T50" s="26" t="e">
        <f t="shared" si="31"/>
        <v>#NAME?</v>
      </c>
      <c r="U50" s="12" t="e">
        <f t="shared" si="32"/>
        <v>#NAME?</v>
      </c>
      <c r="V50" s="12"/>
      <c r="W50" s="44" t="e">
        <f t="shared" si="33"/>
        <v>#NAME?</v>
      </c>
      <c r="X50" s="26" t="e">
        <f t="shared" si="34"/>
        <v>#NAME?</v>
      </c>
      <c r="Y50" s="12" t="e">
        <f t="shared" si="35"/>
        <v>#NAME?</v>
      </c>
    </row>
    <row r="51" spans="1:25" ht="16.5" customHeight="1" x14ac:dyDescent="0.3">
      <c r="A51" s="16" t="s">
        <v>122</v>
      </c>
      <c r="B51" s="32" t="s">
        <v>259</v>
      </c>
      <c r="C51" s="26" t="e">
        <f t="shared" si="18"/>
        <v>#NAME?</v>
      </c>
      <c r="D51" s="26" t="e">
        <f t="shared" si="19"/>
        <v>#NAME?</v>
      </c>
      <c r="E51" s="12" t="e">
        <f t="shared" si="20"/>
        <v>#NAME?</v>
      </c>
      <c r="F51" s="26"/>
      <c r="G51" s="26" t="e">
        <f t="shared" si="21"/>
        <v>#NAME?</v>
      </c>
      <c r="H51" s="26" t="e">
        <f t="shared" si="22"/>
        <v>#NAME?</v>
      </c>
      <c r="I51" s="12" t="e">
        <f t="shared" si="23"/>
        <v>#NAME?</v>
      </c>
      <c r="J51" s="26"/>
      <c r="K51" s="26" t="e">
        <f t="shared" si="24"/>
        <v>#NAME?</v>
      </c>
      <c r="L51" s="26" t="e">
        <f t="shared" si="25"/>
        <v>#NAME?</v>
      </c>
      <c r="M51" s="12" t="e">
        <f t="shared" si="26"/>
        <v>#NAME?</v>
      </c>
      <c r="N51" s="12"/>
      <c r="O51" s="26" t="e">
        <f t="shared" si="27"/>
        <v>#NAME?</v>
      </c>
      <c r="P51" s="26" t="e">
        <f t="shared" si="28"/>
        <v>#NAME?</v>
      </c>
      <c r="Q51" s="12" t="e">
        <f t="shared" si="29"/>
        <v>#NAME?</v>
      </c>
      <c r="R51" s="12"/>
      <c r="S51" s="26" t="e">
        <f t="shared" si="30"/>
        <v>#NAME?</v>
      </c>
      <c r="T51" s="26" t="e">
        <f t="shared" si="31"/>
        <v>#NAME?</v>
      </c>
      <c r="U51" s="12" t="e">
        <f t="shared" si="32"/>
        <v>#NAME?</v>
      </c>
      <c r="V51" s="12"/>
      <c r="W51" s="44" t="e">
        <f t="shared" si="33"/>
        <v>#NAME?</v>
      </c>
      <c r="X51" s="26" t="e">
        <f t="shared" si="34"/>
        <v>#NAME?</v>
      </c>
      <c r="Y51" s="12" t="e">
        <f t="shared" si="35"/>
        <v>#NAME?</v>
      </c>
    </row>
    <row r="52" spans="1:25" ht="16.5" customHeight="1" x14ac:dyDescent="0.3">
      <c r="A52" s="16" t="s">
        <v>124</v>
      </c>
      <c r="B52" s="17" t="s">
        <v>125</v>
      </c>
      <c r="C52" s="26" t="e">
        <f t="shared" si="18"/>
        <v>#NAME?</v>
      </c>
      <c r="D52" s="26" t="e">
        <f t="shared" si="19"/>
        <v>#NAME?</v>
      </c>
      <c r="E52" s="12" t="e">
        <f t="shared" si="20"/>
        <v>#NAME?</v>
      </c>
      <c r="F52" s="26"/>
      <c r="G52" s="26" t="e">
        <f t="shared" si="21"/>
        <v>#NAME?</v>
      </c>
      <c r="H52" s="26" t="e">
        <f t="shared" si="22"/>
        <v>#NAME?</v>
      </c>
      <c r="I52" s="12" t="e">
        <f t="shared" si="23"/>
        <v>#NAME?</v>
      </c>
      <c r="J52" s="26"/>
      <c r="K52" s="26" t="e">
        <f t="shared" si="24"/>
        <v>#NAME?</v>
      </c>
      <c r="L52" s="26" t="e">
        <f t="shared" si="25"/>
        <v>#NAME?</v>
      </c>
      <c r="M52" s="12" t="e">
        <f t="shared" si="26"/>
        <v>#NAME?</v>
      </c>
      <c r="N52" s="12"/>
      <c r="O52" s="26" t="e">
        <f t="shared" si="27"/>
        <v>#NAME?</v>
      </c>
      <c r="P52" s="26" t="e">
        <f t="shared" si="28"/>
        <v>#NAME?</v>
      </c>
      <c r="Q52" s="12" t="e">
        <f t="shared" si="29"/>
        <v>#NAME?</v>
      </c>
      <c r="R52" s="12"/>
      <c r="S52" s="26" t="e">
        <f t="shared" si="30"/>
        <v>#NAME?</v>
      </c>
      <c r="T52" s="26" t="e">
        <f t="shared" si="31"/>
        <v>#NAME?</v>
      </c>
      <c r="U52" s="12" t="e">
        <f t="shared" si="32"/>
        <v>#NAME?</v>
      </c>
      <c r="V52" s="12"/>
      <c r="W52" s="44" t="e">
        <f t="shared" si="33"/>
        <v>#NAME?</v>
      </c>
      <c r="X52" s="26" t="e">
        <f t="shared" si="34"/>
        <v>#NAME?</v>
      </c>
      <c r="Y52" s="12" t="e">
        <f t="shared" si="35"/>
        <v>#NAME?</v>
      </c>
    </row>
    <row r="53" spans="1:25" ht="16.5" customHeight="1" x14ac:dyDescent="0.3">
      <c r="A53" s="16" t="s">
        <v>126</v>
      </c>
      <c r="B53" s="17" t="s">
        <v>127</v>
      </c>
      <c r="C53" s="26" t="e">
        <f t="shared" si="18"/>
        <v>#NAME?</v>
      </c>
      <c r="D53" s="26" t="e">
        <f t="shared" si="19"/>
        <v>#NAME?</v>
      </c>
      <c r="E53" s="12" t="e">
        <f t="shared" si="20"/>
        <v>#NAME?</v>
      </c>
      <c r="F53" s="26"/>
      <c r="G53" s="26" t="e">
        <f t="shared" si="21"/>
        <v>#NAME?</v>
      </c>
      <c r="H53" s="26" t="e">
        <f t="shared" si="22"/>
        <v>#NAME?</v>
      </c>
      <c r="I53" s="12" t="e">
        <f t="shared" si="23"/>
        <v>#NAME?</v>
      </c>
      <c r="J53" s="26"/>
      <c r="K53" s="26" t="e">
        <f t="shared" si="24"/>
        <v>#NAME?</v>
      </c>
      <c r="L53" s="26" t="e">
        <f t="shared" si="25"/>
        <v>#NAME?</v>
      </c>
      <c r="M53" s="12" t="e">
        <f t="shared" si="26"/>
        <v>#NAME?</v>
      </c>
      <c r="N53" s="12"/>
      <c r="O53" s="26" t="e">
        <f t="shared" si="27"/>
        <v>#NAME?</v>
      </c>
      <c r="P53" s="26" t="e">
        <f t="shared" si="28"/>
        <v>#NAME?</v>
      </c>
      <c r="Q53" s="12" t="e">
        <f t="shared" si="29"/>
        <v>#NAME?</v>
      </c>
      <c r="R53" s="12"/>
      <c r="S53" s="26" t="e">
        <f t="shared" si="30"/>
        <v>#NAME?</v>
      </c>
      <c r="T53" s="26" t="e">
        <f t="shared" si="31"/>
        <v>#NAME?</v>
      </c>
      <c r="U53" s="12" t="e">
        <f t="shared" si="32"/>
        <v>#NAME?</v>
      </c>
      <c r="V53" s="12"/>
      <c r="W53" s="44" t="e">
        <f t="shared" si="33"/>
        <v>#NAME?</v>
      </c>
      <c r="X53" s="26" t="e">
        <f t="shared" si="34"/>
        <v>#NAME?</v>
      </c>
      <c r="Y53" s="12" t="e">
        <f t="shared" si="35"/>
        <v>#NAME?</v>
      </c>
    </row>
    <row r="54" spans="1:25" ht="16.5" customHeight="1" x14ac:dyDescent="0.3">
      <c r="A54" s="16" t="s">
        <v>128</v>
      </c>
      <c r="B54" s="32" t="s">
        <v>129</v>
      </c>
      <c r="C54" s="26" t="e">
        <f t="shared" si="18"/>
        <v>#NAME?</v>
      </c>
      <c r="D54" s="26" t="e">
        <f t="shared" si="19"/>
        <v>#NAME?</v>
      </c>
      <c r="E54" s="12" t="e">
        <f t="shared" si="20"/>
        <v>#NAME?</v>
      </c>
      <c r="F54" s="26"/>
      <c r="G54" s="26" t="e">
        <f t="shared" si="21"/>
        <v>#NAME?</v>
      </c>
      <c r="H54" s="26" t="e">
        <f t="shared" si="22"/>
        <v>#NAME?</v>
      </c>
      <c r="I54" s="12" t="e">
        <f t="shared" si="23"/>
        <v>#NAME?</v>
      </c>
      <c r="J54" s="26"/>
      <c r="K54" s="26" t="e">
        <f t="shared" si="24"/>
        <v>#NAME?</v>
      </c>
      <c r="L54" s="26" t="e">
        <f t="shared" si="25"/>
        <v>#NAME?</v>
      </c>
      <c r="M54" s="12" t="e">
        <f t="shared" si="26"/>
        <v>#NAME?</v>
      </c>
      <c r="N54" s="12"/>
      <c r="O54" s="26" t="e">
        <f t="shared" si="27"/>
        <v>#NAME?</v>
      </c>
      <c r="P54" s="26" t="e">
        <f t="shared" si="28"/>
        <v>#NAME?</v>
      </c>
      <c r="Q54" s="12" t="e">
        <f t="shared" si="29"/>
        <v>#NAME?</v>
      </c>
      <c r="R54" s="12"/>
      <c r="S54" s="26" t="e">
        <f t="shared" si="30"/>
        <v>#NAME?</v>
      </c>
      <c r="T54" s="26" t="e">
        <f t="shared" si="31"/>
        <v>#NAME?</v>
      </c>
      <c r="U54" s="12" t="e">
        <f t="shared" si="32"/>
        <v>#NAME?</v>
      </c>
      <c r="V54" s="12"/>
      <c r="W54" s="44" t="e">
        <f t="shared" si="33"/>
        <v>#NAME?</v>
      </c>
      <c r="X54" s="26" t="e">
        <f t="shared" si="34"/>
        <v>#NAME?</v>
      </c>
      <c r="Y54" s="12" t="e">
        <f t="shared" si="35"/>
        <v>#NAME?</v>
      </c>
    </row>
    <row r="55" spans="1:25" ht="16.5" customHeight="1" x14ac:dyDescent="0.3">
      <c r="A55" s="16" t="s">
        <v>130</v>
      </c>
      <c r="B55" s="32" t="s">
        <v>131</v>
      </c>
      <c r="C55" s="26" t="e">
        <f t="shared" si="18"/>
        <v>#NAME?</v>
      </c>
      <c r="D55" s="26" t="e">
        <f t="shared" si="19"/>
        <v>#NAME?</v>
      </c>
      <c r="E55" s="12" t="e">
        <f t="shared" si="20"/>
        <v>#NAME?</v>
      </c>
      <c r="F55" s="26"/>
      <c r="G55" s="26" t="e">
        <f t="shared" si="21"/>
        <v>#NAME?</v>
      </c>
      <c r="H55" s="26" t="e">
        <f t="shared" si="22"/>
        <v>#NAME?</v>
      </c>
      <c r="I55" s="12" t="e">
        <f t="shared" si="23"/>
        <v>#NAME?</v>
      </c>
      <c r="J55" s="26"/>
      <c r="K55" s="26" t="e">
        <f t="shared" si="24"/>
        <v>#NAME?</v>
      </c>
      <c r="L55" s="26" t="e">
        <f t="shared" si="25"/>
        <v>#NAME?</v>
      </c>
      <c r="M55" s="12" t="e">
        <f t="shared" si="26"/>
        <v>#NAME?</v>
      </c>
      <c r="N55" s="12"/>
      <c r="O55" s="26" t="e">
        <f t="shared" si="27"/>
        <v>#NAME?</v>
      </c>
      <c r="P55" s="26" t="e">
        <f t="shared" si="28"/>
        <v>#NAME?</v>
      </c>
      <c r="Q55" s="12" t="e">
        <f t="shared" si="29"/>
        <v>#NAME?</v>
      </c>
      <c r="R55" s="12"/>
      <c r="S55" s="26" t="e">
        <f t="shared" si="30"/>
        <v>#NAME?</v>
      </c>
      <c r="T55" s="26" t="e">
        <f t="shared" si="31"/>
        <v>#NAME?</v>
      </c>
      <c r="U55" s="12" t="e">
        <f t="shared" si="32"/>
        <v>#NAME?</v>
      </c>
      <c r="V55" s="12"/>
      <c r="W55" s="44" t="e">
        <f t="shared" si="33"/>
        <v>#NAME?</v>
      </c>
      <c r="X55" s="26" t="e">
        <f t="shared" si="34"/>
        <v>#NAME?</v>
      </c>
      <c r="Y55" s="12" t="e">
        <f t="shared" si="35"/>
        <v>#NAME?</v>
      </c>
    </row>
    <row r="56" spans="1:25" ht="16.5" customHeight="1" x14ac:dyDescent="0.3">
      <c r="A56" s="16" t="s">
        <v>132</v>
      </c>
      <c r="B56" s="17" t="s">
        <v>133</v>
      </c>
      <c r="C56" s="26" t="e">
        <f t="shared" si="18"/>
        <v>#NAME?</v>
      </c>
      <c r="D56" s="26" t="e">
        <f t="shared" si="19"/>
        <v>#NAME?</v>
      </c>
      <c r="E56" s="12" t="e">
        <f t="shared" si="20"/>
        <v>#NAME?</v>
      </c>
      <c r="F56" s="26"/>
      <c r="G56" s="26" t="e">
        <f t="shared" si="21"/>
        <v>#NAME?</v>
      </c>
      <c r="H56" s="26" t="e">
        <f t="shared" si="22"/>
        <v>#NAME?</v>
      </c>
      <c r="I56" s="12" t="e">
        <f t="shared" si="23"/>
        <v>#NAME?</v>
      </c>
      <c r="J56" s="26"/>
      <c r="K56" s="26" t="e">
        <f t="shared" si="24"/>
        <v>#NAME?</v>
      </c>
      <c r="L56" s="26" t="e">
        <f t="shared" si="25"/>
        <v>#NAME?</v>
      </c>
      <c r="M56" s="12" t="e">
        <f t="shared" si="26"/>
        <v>#NAME?</v>
      </c>
      <c r="N56" s="12"/>
      <c r="O56" s="26" t="e">
        <f t="shared" si="27"/>
        <v>#NAME?</v>
      </c>
      <c r="P56" s="26" t="e">
        <f t="shared" si="28"/>
        <v>#NAME?</v>
      </c>
      <c r="Q56" s="12" t="e">
        <f t="shared" si="29"/>
        <v>#NAME?</v>
      </c>
      <c r="R56" s="12"/>
      <c r="S56" s="26" t="e">
        <f t="shared" si="30"/>
        <v>#NAME?</v>
      </c>
      <c r="T56" s="26" t="e">
        <f t="shared" si="31"/>
        <v>#NAME?</v>
      </c>
      <c r="U56" s="12" t="e">
        <f t="shared" si="32"/>
        <v>#NAME?</v>
      </c>
      <c r="V56" s="12"/>
      <c r="W56" s="44" t="e">
        <f t="shared" si="33"/>
        <v>#NAME?</v>
      </c>
      <c r="X56" s="26" t="e">
        <f t="shared" si="34"/>
        <v>#NAME?</v>
      </c>
      <c r="Y56" s="12" t="e">
        <f t="shared" si="35"/>
        <v>#NAME?</v>
      </c>
    </row>
    <row r="57" spans="1:25" ht="16.5" customHeight="1" x14ac:dyDescent="0.3">
      <c r="A57" s="16" t="s">
        <v>134</v>
      </c>
      <c r="B57" s="32" t="s">
        <v>135</v>
      </c>
      <c r="C57" s="26" t="e">
        <f t="shared" si="18"/>
        <v>#NAME?</v>
      </c>
      <c r="D57" s="26" t="e">
        <f t="shared" si="19"/>
        <v>#NAME?</v>
      </c>
      <c r="E57" s="12" t="e">
        <f t="shared" si="20"/>
        <v>#NAME?</v>
      </c>
      <c r="F57" s="26"/>
      <c r="G57" s="26" t="e">
        <f t="shared" si="21"/>
        <v>#NAME?</v>
      </c>
      <c r="H57" s="26" t="e">
        <f t="shared" si="22"/>
        <v>#NAME?</v>
      </c>
      <c r="I57" s="12" t="e">
        <f t="shared" si="23"/>
        <v>#NAME?</v>
      </c>
      <c r="J57" s="26"/>
      <c r="K57" s="26" t="e">
        <f t="shared" si="24"/>
        <v>#NAME?</v>
      </c>
      <c r="L57" s="26" t="e">
        <f t="shared" si="25"/>
        <v>#NAME?</v>
      </c>
      <c r="M57" s="12" t="e">
        <f t="shared" si="26"/>
        <v>#NAME?</v>
      </c>
      <c r="N57" s="12"/>
      <c r="O57" s="26" t="e">
        <f t="shared" si="27"/>
        <v>#NAME?</v>
      </c>
      <c r="P57" s="26" t="e">
        <f t="shared" si="28"/>
        <v>#NAME?</v>
      </c>
      <c r="Q57" s="12" t="e">
        <f t="shared" si="29"/>
        <v>#NAME?</v>
      </c>
      <c r="R57" s="12"/>
      <c r="S57" s="26" t="e">
        <f t="shared" si="30"/>
        <v>#NAME?</v>
      </c>
      <c r="T57" s="26" t="e">
        <f t="shared" si="31"/>
        <v>#NAME?</v>
      </c>
      <c r="U57" s="12" t="e">
        <f t="shared" si="32"/>
        <v>#NAME?</v>
      </c>
      <c r="V57" s="12"/>
      <c r="W57" s="44" t="e">
        <f t="shared" si="33"/>
        <v>#NAME?</v>
      </c>
      <c r="X57" s="26" t="e">
        <f t="shared" si="34"/>
        <v>#NAME?</v>
      </c>
      <c r="Y57" s="12" t="e">
        <f t="shared" si="35"/>
        <v>#NAME?</v>
      </c>
    </row>
    <row r="58" spans="1:25" ht="16.5" customHeight="1" x14ac:dyDescent="0.3">
      <c r="A58" s="16" t="s">
        <v>136</v>
      </c>
      <c r="B58" s="17" t="s">
        <v>137</v>
      </c>
      <c r="C58" s="26" t="e">
        <f t="shared" si="18"/>
        <v>#NAME?</v>
      </c>
      <c r="D58" s="26" t="e">
        <f t="shared" si="19"/>
        <v>#NAME?</v>
      </c>
      <c r="E58" s="12" t="e">
        <f t="shared" si="20"/>
        <v>#NAME?</v>
      </c>
      <c r="F58" s="26"/>
      <c r="G58" s="26" t="e">
        <f t="shared" si="21"/>
        <v>#NAME?</v>
      </c>
      <c r="H58" s="26" t="e">
        <f t="shared" si="22"/>
        <v>#NAME?</v>
      </c>
      <c r="I58" s="12" t="e">
        <f t="shared" si="23"/>
        <v>#NAME?</v>
      </c>
      <c r="J58" s="26"/>
      <c r="K58" s="26" t="e">
        <f t="shared" si="24"/>
        <v>#NAME?</v>
      </c>
      <c r="L58" s="26" t="e">
        <f t="shared" si="25"/>
        <v>#NAME?</v>
      </c>
      <c r="M58" s="12" t="e">
        <f t="shared" si="26"/>
        <v>#NAME?</v>
      </c>
      <c r="N58" s="12"/>
      <c r="O58" s="26" t="e">
        <f t="shared" si="27"/>
        <v>#NAME?</v>
      </c>
      <c r="P58" s="26" t="e">
        <f t="shared" si="28"/>
        <v>#NAME?</v>
      </c>
      <c r="Q58" s="12" t="e">
        <f t="shared" si="29"/>
        <v>#NAME?</v>
      </c>
      <c r="R58" s="12"/>
      <c r="S58" s="26" t="e">
        <f t="shared" si="30"/>
        <v>#NAME?</v>
      </c>
      <c r="T58" s="26" t="e">
        <f t="shared" si="31"/>
        <v>#NAME?</v>
      </c>
      <c r="U58" s="12" t="e">
        <f t="shared" si="32"/>
        <v>#NAME?</v>
      </c>
      <c r="V58" s="12"/>
      <c r="W58" s="44" t="e">
        <f t="shared" si="33"/>
        <v>#NAME?</v>
      </c>
      <c r="X58" s="26" t="e">
        <f t="shared" si="34"/>
        <v>#NAME?</v>
      </c>
      <c r="Y58" s="12" t="e">
        <f t="shared" si="35"/>
        <v>#NAME?</v>
      </c>
    </row>
    <row r="59" spans="1:25" ht="16.5" customHeight="1" x14ac:dyDescent="0.3">
      <c r="A59" s="16" t="s">
        <v>140</v>
      </c>
      <c r="B59" s="17" t="s">
        <v>141</v>
      </c>
      <c r="C59" s="26" t="e">
        <f t="shared" si="18"/>
        <v>#NAME?</v>
      </c>
      <c r="D59" s="26" t="e">
        <f t="shared" si="19"/>
        <v>#NAME?</v>
      </c>
      <c r="E59" s="12" t="e">
        <f t="shared" si="20"/>
        <v>#NAME?</v>
      </c>
      <c r="F59" s="26"/>
      <c r="G59" s="26" t="e">
        <f t="shared" si="21"/>
        <v>#NAME?</v>
      </c>
      <c r="H59" s="26" t="e">
        <f t="shared" si="22"/>
        <v>#NAME?</v>
      </c>
      <c r="I59" s="12" t="e">
        <f t="shared" si="23"/>
        <v>#NAME?</v>
      </c>
      <c r="J59" s="26"/>
      <c r="K59" s="26" t="e">
        <f t="shared" si="24"/>
        <v>#NAME?</v>
      </c>
      <c r="L59" s="26" t="e">
        <f t="shared" si="25"/>
        <v>#NAME?</v>
      </c>
      <c r="M59" s="12" t="e">
        <f t="shared" si="26"/>
        <v>#NAME?</v>
      </c>
      <c r="N59" s="12"/>
      <c r="O59" s="26" t="e">
        <f t="shared" si="27"/>
        <v>#NAME?</v>
      </c>
      <c r="P59" s="26" t="e">
        <f t="shared" si="28"/>
        <v>#NAME?</v>
      </c>
      <c r="Q59" s="12" t="e">
        <f t="shared" si="29"/>
        <v>#NAME?</v>
      </c>
      <c r="R59" s="12"/>
      <c r="S59" s="26" t="e">
        <f t="shared" si="30"/>
        <v>#NAME?</v>
      </c>
      <c r="T59" s="26" t="e">
        <f t="shared" si="31"/>
        <v>#NAME?</v>
      </c>
      <c r="U59" s="12" t="e">
        <f t="shared" si="32"/>
        <v>#NAME?</v>
      </c>
      <c r="V59" s="12"/>
      <c r="W59" s="44" t="e">
        <f t="shared" si="33"/>
        <v>#NAME?</v>
      </c>
      <c r="X59" s="26" t="e">
        <f t="shared" si="34"/>
        <v>#NAME?</v>
      </c>
      <c r="Y59" s="12" t="e">
        <f t="shared" si="35"/>
        <v>#NAME?</v>
      </c>
    </row>
    <row r="60" spans="1:25" ht="16.5" customHeight="1" x14ac:dyDescent="0.3">
      <c r="A60" s="16" t="s">
        <v>146</v>
      </c>
      <c r="B60" s="17" t="s">
        <v>147</v>
      </c>
      <c r="C60" s="26" t="e">
        <f t="shared" si="18"/>
        <v>#NAME?</v>
      </c>
      <c r="D60" s="26" t="e">
        <f t="shared" si="19"/>
        <v>#NAME?</v>
      </c>
      <c r="E60" s="12" t="e">
        <f t="shared" si="20"/>
        <v>#NAME?</v>
      </c>
      <c r="F60" s="26"/>
      <c r="G60" s="26" t="e">
        <f t="shared" si="21"/>
        <v>#NAME?</v>
      </c>
      <c r="H60" s="26" t="e">
        <f t="shared" si="22"/>
        <v>#NAME?</v>
      </c>
      <c r="I60" s="12" t="e">
        <f t="shared" si="23"/>
        <v>#NAME?</v>
      </c>
      <c r="J60" s="26"/>
      <c r="K60" s="26" t="e">
        <f t="shared" si="24"/>
        <v>#NAME?</v>
      </c>
      <c r="L60" s="26" t="e">
        <f t="shared" si="25"/>
        <v>#NAME?</v>
      </c>
      <c r="M60" s="12" t="e">
        <f t="shared" si="26"/>
        <v>#NAME?</v>
      </c>
      <c r="N60" s="12"/>
      <c r="O60" s="26" t="e">
        <f t="shared" si="27"/>
        <v>#NAME?</v>
      </c>
      <c r="P60" s="26" t="e">
        <f t="shared" si="28"/>
        <v>#NAME?</v>
      </c>
      <c r="Q60" s="12" t="e">
        <f t="shared" si="29"/>
        <v>#NAME?</v>
      </c>
      <c r="R60" s="12"/>
      <c r="S60" s="26" t="e">
        <f t="shared" si="30"/>
        <v>#NAME?</v>
      </c>
      <c r="T60" s="26" t="e">
        <f t="shared" si="31"/>
        <v>#NAME?</v>
      </c>
      <c r="U60" s="12" t="e">
        <f t="shared" si="32"/>
        <v>#NAME?</v>
      </c>
      <c r="V60" s="12"/>
      <c r="W60" s="44" t="e">
        <f t="shared" si="33"/>
        <v>#NAME?</v>
      </c>
      <c r="X60" s="26" t="e">
        <f t="shared" si="34"/>
        <v>#NAME?</v>
      </c>
      <c r="Y60" s="12" t="e">
        <f t="shared" si="35"/>
        <v>#NAME?</v>
      </c>
    </row>
    <row r="61" spans="1:25" ht="16.5" customHeight="1" x14ac:dyDescent="0.3">
      <c r="A61" s="16" t="s">
        <v>148</v>
      </c>
      <c r="B61" s="32" t="s">
        <v>149</v>
      </c>
      <c r="C61" s="26" t="e">
        <f t="shared" si="18"/>
        <v>#NAME?</v>
      </c>
      <c r="D61" s="26" t="e">
        <f t="shared" si="19"/>
        <v>#NAME?</v>
      </c>
      <c r="E61" s="12" t="e">
        <f t="shared" si="20"/>
        <v>#NAME?</v>
      </c>
      <c r="F61" s="26"/>
      <c r="G61" s="26" t="e">
        <f t="shared" si="21"/>
        <v>#NAME?</v>
      </c>
      <c r="H61" s="26" t="e">
        <f t="shared" si="22"/>
        <v>#NAME?</v>
      </c>
      <c r="I61" s="12" t="e">
        <f t="shared" si="23"/>
        <v>#NAME?</v>
      </c>
      <c r="J61" s="26"/>
      <c r="K61" s="26" t="e">
        <f t="shared" si="24"/>
        <v>#NAME?</v>
      </c>
      <c r="L61" s="26" t="e">
        <f t="shared" si="25"/>
        <v>#NAME?</v>
      </c>
      <c r="M61" s="12" t="e">
        <f t="shared" si="26"/>
        <v>#NAME?</v>
      </c>
      <c r="N61" s="12"/>
      <c r="O61" s="26" t="e">
        <f t="shared" si="27"/>
        <v>#NAME?</v>
      </c>
      <c r="P61" s="26" t="e">
        <f t="shared" si="28"/>
        <v>#NAME?</v>
      </c>
      <c r="Q61" s="12" t="e">
        <f t="shared" si="29"/>
        <v>#NAME?</v>
      </c>
      <c r="R61" s="12"/>
      <c r="S61" s="26" t="e">
        <f t="shared" si="30"/>
        <v>#NAME?</v>
      </c>
      <c r="T61" s="26" t="e">
        <f t="shared" si="31"/>
        <v>#NAME?</v>
      </c>
      <c r="U61" s="12" t="e">
        <f t="shared" si="32"/>
        <v>#NAME?</v>
      </c>
      <c r="V61" s="12"/>
      <c r="W61" s="44" t="e">
        <f t="shared" si="33"/>
        <v>#NAME?</v>
      </c>
      <c r="X61" s="26" t="e">
        <f t="shared" si="34"/>
        <v>#NAME?</v>
      </c>
      <c r="Y61" s="12" t="e">
        <f t="shared" si="35"/>
        <v>#NAME?</v>
      </c>
    </row>
    <row r="62" spans="1:25" ht="16.5" customHeight="1" x14ac:dyDescent="0.3">
      <c r="A62" s="16" t="s">
        <v>150</v>
      </c>
      <c r="B62" s="32" t="s">
        <v>151</v>
      </c>
      <c r="C62" s="26" t="e">
        <f t="shared" si="18"/>
        <v>#NAME?</v>
      </c>
      <c r="D62" s="26" t="e">
        <f t="shared" si="19"/>
        <v>#NAME?</v>
      </c>
      <c r="E62" s="12" t="e">
        <f t="shared" si="20"/>
        <v>#NAME?</v>
      </c>
      <c r="F62" s="26"/>
      <c r="G62" s="26" t="e">
        <f t="shared" si="21"/>
        <v>#NAME?</v>
      </c>
      <c r="H62" s="26" t="e">
        <f t="shared" si="22"/>
        <v>#NAME?</v>
      </c>
      <c r="I62" s="12" t="e">
        <f t="shared" si="23"/>
        <v>#NAME?</v>
      </c>
      <c r="J62" s="26"/>
      <c r="K62" s="26" t="e">
        <f t="shared" si="24"/>
        <v>#NAME?</v>
      </c>
      <c r="L62" s="26" t="e">
        <f t="shared" si="25"/>
        <v>#NAME?</v>
      </c>
      <c r="M62" s="12" t="e">
        <f t="shared" si="26"/>
        <v>#NAME?</v>
      </c>
      <c r="N62" s="12"/>
      <c r="O62" s="26" t="e">
        <f t="shared" si="27"/>
        <v>#NAME?</v>
      </c>
      <c r="P62" s="26" t="e">
        <f t="shared" si="28"/>
        <v>#NAME?</v>
      </c>
      <c r="Q62" s="12" t="e">
        <f t="shared" si="29"/>
        <v>#NAME?</v>
      </c>
      <c r="R62" s="12"/>
      <c r="S62" s="26" t="e">
        <f t="shared" si="30"/>
        <v>#NAME?</v>
      </c>
      <c r="T62" s="26" t="e">
        <f t="shared" si="31"/>
        <v>#NAME?</v>
      </c>
      <c r="U62" s="12" t="e">
        <f t="shared" si="32"/>
        <v>#NAME?</v>
      </c>
      <c r="V62" s="12"/>
      <c r="W62" s="44" t="e">
        <f t="shared" si="33"/>
        <v>#NAME?</v>
      </c>
      <c r="X62" s="26" t="e">
        <f t="shared" si="34"/>
        <v>#NAME?</v>
      </c>
      <c r="Y62" s="12" t="e">
        <f t="shared" si="35"/>
        <v>#NAME?</v>
      </c>
    </row>
    <row r="63" spans="1:25" ht="16.5" customHeight="1" x14ac:dyDescent="0.3">
      <c r="A63" s="16" t="s">
        <v>152</v>
      </c>
      <c r="B63" s="17" t="s">
        <v>153</v>
      </c>
      <c r="C63" s="26" t="e">
        <f t="shared" si="18"/>
        <v>#NAME?</v>
      </c>
      <c r="D63" s="26" t="e">
        <f t="shared" si="19"/>
        <v>#NAME?</v>
      </c>
      <c r="E63" s="12" t="e">
        <f t="shared" si="20"/>
        <v>#NAME?</v>
      </c>
      <c r="F63" s="26"/>
      <c r="G63" s="26" t="e">
        <f t="shared" si="21"/>
        <v>#NAME?</v>
      </c>
      <c r="H63" s="26" t="e">
        <f t="shared" si="22"/>
        <v>#NAME?</v>
      </c>
      <c r="I63" s="12" t="e">
        <f t="shared" si="23"/>
        <v>#NAME?</v>
      </c>
      <c r="J63" s="26"/>
      <c r="K63" s="26" t="e">
        <f t="shared" si="24"/>
        <v>#NAME?</v>
      </c>
      <c r="L63" s="26" t="e">
        <f t="shared" si="25"/>
        <v>#NAME?</v>
      </c>
      <c r="M63" s="12" t="e">
        <f t="shared" si="26"/>
        <v>#NAME?</v>
      </c>
      <c r="N63" s="12"/>
      <c r="O63" s="26" t="e">
        <f t="shared" si="27"/>
        <v>#NAME?</v>
      </c>
      <c r="P63" s="26" t="e">
        <f t="shared" si="28"/>
        <v>#NAME?</v>
      </c>
      <c r="Q63" s="12" t="e">
        <f t="shared" si="29"/>
        <v>#NAME?</v>
      </c>
      <c r="R63" s="12"/>
      <c r="S63" s="26" t="e">
        <f t="shared" si="30"/>
        <v>#NAME?</v>
      </c>
      <c r="T63" s="26" t="e">
        <f t="shared" si="31"/>
        <v>#NAME?</v>
      </c>
      <c r="U63" s="12" t="e">
        <f t="shared" si="32"/>
        <v>#NAME?</v>
      </c>
      <c r="V63" s="12"/>
      <c r="W63" s="44" t="e">
        <f t="shared" si="33"/>
        <v>#NAME?</v>
      </c>
      <c r="X63" s="26" t="e">
        <f t="shared" si="34"/>
        <v>#NAME?</v>
      </c>
      <c r="Y63" s="12" t="e">
        <f t="shared" si="35"/>
        <v>#NAME?</v>
      </c>
    </row>
    <row r="64" spans="1:25" ht="16.5" customHeight="1" x14ac:dyDescent="0.3">
      <c r="A64" s="16" t="s">
        <v>154</v>
      </c>
      <c r="B64" s="32" t="s">
        <v>155</v>
      </c>
      <c r="C64" s="26" t="e">
        <f t="shared" si="18"/>
        <v>#NAME?</v>
      </c>
      <c r="D64" s="26" t="e">
        <f t="shared" si="19"/>
        <v>#NAME?</v>
      </c>
      <c r="E64" s="12" t="e">
        <f t="shared" si="20"/>
        <v>#NAME?</v>
      </c>
      <c r="F64" s="26"/>
      <c r="G64" s="26" t="e">
        <f t="shared" si="21"/>
        <v>#NAME?</v>
      </c>
      <c r="H64" s="26" t="e">
        <f t="shared" si="22"/>
        <v>#NAME?</v>
      </c>
      <c r="I64" s="12" t="e">
        <f t="shared" si="23"/>
        <v>#NAME?</v>
      </c>
      <c r="J64" s="26"/>
      <c r="K64" s="26" t="e">
        <f t="shared" si="24"/>
        <v>#NAME?</v>
      </c>
      <c r="L64" s="26" t="e">
        <f t="shared" si="25"/>
        <v>#NAME?</v>
      </c>
      <c r="M64" s="12" t="e">
        <f t="shared" si="26"/>
        <v>#NAME?</v>
      </c>
      <c r="N64" s="12"/>
      <c r="O64" s="26" t="e">
        <f t="shared" si="27"/>
        <v>#NAME?</v>
      </c>
      <c r="P64" s="26" t="e">
        <f t="shared" si="28"/>
        <v>#NAME?</v>
      </c>
      <c r="Q64" s="12" t="e">
        <f t="shared" si="29"/>
        <v>#NAME?</v>
      </c>
      <c r="R64" s="12"/>
      <c r="S64" s="26" t="e">
        <f t="shared" si="30"/>
        <v>#NAME?</v>
      </c>
      <c r="T64" s="26" t="e">
        <f t="shared" si="31"/>
        <v>#NAME?</v>
      </c>
      <c r="U64" s="12" t="e">
        <f t="shared" si="32"/>
        <v>#NAME?</v>
      </c>
      <c r="V64" s="12"/>
      <c r="W64" s="44" t="e">
        <f t="shared" si="33"/>
        <v>#NAME?</v>
      </c>
      <c r="X64" s="26" t="e">
        <f t="shared" si="34"/>
        <v>#NAME?</v>
      </c>
      <c r="Y64" s="12" t="e">
        <f t="shared" si="35"/>
        <v>#NAME?</v>
      </c>
    </row>
    <row r="65" spans="1:25" ht="16.5" customHeight="1" x14ac:dyDescent="0.3">
      <c r="A65" s="16" t="s">
        <v>156</v>
      </c>
      <c r="B65" s="17" t="s">
        <v>157</v>
      </c>
      <c r="C65" s="26" t="e">
        <f t="shared" si="18"/>
        <v>#NAME?</v>
      </c>
      <c r="D65" s="26" t="e">
        <f t="shared" si="19"/>
        <v>#NAME?</v>
      </c>
      <c r="E65" s="12" t="e">
        <f t="shared" si="20"/>
        <v>#NAME?</v>
      </c>
      <c r="F65" s="26"/>
      <c r="G65" s="26" t="e">
        <f t="shared" si="21"/>
        <v>#NAME?</v>
      </c>
      <c r="H65" s="26" t="e">
        <f t="shared" si="22"/>
        <v>#NAME?</v>
      </c>
      <c r="I65" s="12" t="e">
        <f t="shared" si="23"/>
        <v>#NAME?</v>
      </c>
      <c r="J65" s="26"/>
      <c r="K65" s="26" t="e">
        <f t="shared" si="24"/>
        <v>#NAME?</v>
      </c>
      <c r="L65" s="26" t="e">
        <f t="shared" si="25"/>
        <v>#NAME?</v>
      </c>
      <c r="M65" s="12" t="e">
        <f t="shared" si="26"/>
        <v>#NAME?</v>
      </c>
      <c r="N65" s="12"/>
      <c r="O65" s="26" t="e">
        <f t="shared" si="27"/>
        <v>#NAME?</v>
      </c>
      <c r="P65" s="26" t="e">
        <f t="shared" si="28"/>
        <v>#NAME?</v>
      </c>
      <c r="Q65" s="12" t="e">
        <f t="shared" si="29"/>
        <v>#NAME?</v>
      </c>
      <c r="R65" s="12"/>
      <c r="S65" s="26" t="e">
        <f t="shared" si="30"/>
        <v>#NAME?</v>
      </c>
      <c r="T65" s="26" t="e">
        <f t="shared" si="31"/>
        <v>#NAME?</v>
      </c>
      <c r="U65" s="12" t="e">
        <f t="shared" si="32"/>
        <v>#NAME?</v>
      </c>
      <c r="V65" s="12"/>
      <c r="W65" s="44" t="e">
        <f t="shared" si="33"/>
        <v>#NAME?</v>
      </c>
      <c r="X65" s="26" t="e">
        <f t="shared" si="34"/>
        <v>#NAME?</v>
      </c>
      <c r="Y65" s="12" t="e">
        <f t="shared" si="35"/>
        <v>#NAME?</v>
      </c>
    </row>
    <row r="66" spans="1:25" ht="16.5" customHeight="1" x14ac:dyDescent="0.3">
      <c r="A66" s="16" t="s">
        <v>162</v>
      </c>
      <c r="B66" s="32" t="s">
        <v>163</v>
      </c>
      <c r="C66" s="26" t="e">
        <f t="shared" si="18"/>
        <v>#NAME?</v>
      </c>
      <c r="D66" s="26" t="e">
        <f t="shared" si="19"/>
        <v>#NAME?</v>
      </c>
      <c r="E66" s="12" t="e">
        <f t="shared" si="20"/>
        <v>#NAME?</v>
      </c>
      <c r="F66" s="26"/>
      <c r="G66" s="26" t="e">
        <f t="shared" si="21"/>
        <v>#NAME?</v>
      </c>
      <c r="H66" s="26" t="e">
        <f t="shared" si="22"/>
        <v>#NAME?</v>
      </c>
      <c r="I66" s="12" t="e">
        <f t="shared" si="23"/>
        <v>#NAME?</v>
      </c>
      <c r="J66" s="26"/>
      <c r="K66" s="26" t="e">
        <f t="shared" si="24"/>
        <v>#NAME?</v>
      </c>
      <c r="L66" s="26" t="e">
        <f t="shared" si="25"/>
        <v>#NAME?</v>
      </c>
      <c r="M66" s="12" t="e">
        <f t="shared" si="26"/>
        <v>#NAME?</v>
      </c>
      <c r="N66" s="12"/>
      <c r="O66" s="26" t="e">
        <f t="shared" si="27"/>
        <v>#NAME?</v>
      </c>
      <c r="P66" s="26" t="e">
        <f t="shared" si="28"/>
        <v>#NAME?</v>
      </c>
      <c r="Q66" s="12" t="e">
        <f t="shared" si="29"/>
        <v>#NAME?</v>
      </c>
      <c r="R66" s="12"/>
      <c r="S66" s="26" t="e">
        <f t="shared" si="30"/>
        <v>#NAME?</v>
      </c>
      <c r="T66" s="26" t="e">
        <f t="shared" si="31"/>
        <v>#NAME?</v>
      </c>
      <c r="U66" s="12" t="e">
        <f t="shared" si="32"/>
        <v>#NAME?</v>
      </c>
      <c r="V66" s="12"/>
      <c r="W66" s="44" t="e">
        <f t="shared" si="33"/>
        <v>#NAME?</v>
      </c>
      <c r="X66" s="26" t="e">
        <f t="shared" si="34"/>
        <v>#NAME?</v>
      </c>
      <c r="Y66" s="12" t="e">
        <f t="shared" si="35"/>
        <v>#NAME?</v>
      </c>
    </row>
    <row r="67" spans="1:25" ht="16.5" customHeight="1" x14ac:dyDescent="0.3">
      <c r="A67" s="16" t="s">
        <v>164</v>
      </c>
      <c r="B67" s="32" t="s">
        <v>165</v>
      </c>
      <c r="C67" s="26" t="e">
        <f t="shared" si="18"/>
        <v>#NAME?</v>
      </c>
      <c r="D67" s="26" t="e">
        <f t="shared" si="19"/>
        <v>#NAME?</v>
      </c>
      <c r="E67" s="12" t="e">
        <f t="shared" si="20"/>
        <v>#NAME?</v>
      </c>
      <c r="F67" s="26"/>
      <c r="G67" s="26" t="e">
        <f t="shared" si="21"/>
        <v>#NAME?</v>
      </c>
      <c r="H67" s="26" t="e">
        <f t="shared" si="22"/>
        <v>#NAME?</v>
      </c>
      <c r="I67" s="12" t="e">
        <f t="shared" si="23"/>
        <v>#NAME?</v>
      </c>
      <c r="J67" s="26"/>
      <c r="K67" s="26" t="e">
        <f t="shared" si="24"/>
        <v>#NAME?</v>
      </c>
      <c r="L67" s="26" t="e">
        <f t="shared" si="25"/>
        <v>#NAME?</v>
      </c>
      <c r="M67" s="12" t="e">
        <f t="shared" si="26"/>
        <v>#NAME?</v>
      </c>
      <c r="N67" s="12"/>
      <c r="O67" s="26" t="e">
        <f t="shared" si="27"/>
        <v>#NAME?</v>
      </c>
      <c r="P67" s="26" t="e">
        <f t="shared" si="28"/>
        <v>#NAME?</v>
      </c>
      <c r="Q67" s="12" t="e">
        <f t="shared" si="29"/>
        <v>#NAME?</v>
      </c>
      <c r="R67" s="12"/>
      <c r="S67" s="26" t="e">
        <f t="shared" si="30"/>
        <v>#NAME?</v>
      </c>
      <c r="T67" s="26" t="e">
        <f t="shared" si="31"/>
        <v>#NAME?</v>
      </c>
      <c r="U67" s="12" t="e">
        <f t="shared" si="32"/>
        <v>#NAME?</v>
      </c>
      <c r="V67" s="12"/>
      <c r="W67" s="44" t="e">
        <f t="shared" si="33"/>
        <v>#NAME?</v>
      </c>
      <c r="X67" s="26" t="e">
        <f t="shared" si="34"/>
        <v>#NAME?</v>
      </c>
      <c r="Y67" s="12" t="e">
        <f t="shared" si="35"/>
        <v>#NAME?</v>
      </c>
    </row>
    <row r="68" spans="1:25" ht="16.5" customHeight="1" x14ac:dyDescent="0.3">
      <c r="A68" s="16" t="s">
        <v>168</v>
      </c>
      <c r="B68" s="32" t="s">
        <v>169</v>
      </c>
      <c r="C68" s="26" t="e">
        <f t="shared" ref="C68:C99" si="36">VLOOKUP(A68,MedicaidR,7,FALSE)</f>
        <v>#NAME?</v>
      </c>
      <c r="D68" s="26" t="e">
        <f t="shared" ref="D68:D99" si="37">VLOOKUP(A68,Pop,14,FALSE)</f>
        <v>#NAME?</v>
      </c>
      <c r="E68" s="12" t="e">
        <f t="shared" ref="E68:E99" si="38">+C68/D68</f>
        <v>#NAME?</v>
      </c>
      <c r="F68" s="26"/>
      <c r="G68" s="26" t="e">
        <f t="shared" ref="G68:G99" si="39">VLOOKUP(A68,MedicaidR,8,FALSE)</f>
        <v>#NAME?</v>
      </c>
      <c r="H68" s="26" t="e">
        <f t="shared" ref="H68:H99" si="40">VLOOKUP(A68,Pop,15,FALSE)</f>
        <v>#NAME?</v>
      </c>
      <c r="I68" s="12" t="e">
        <f t="shared" ref="I68:I99" si="41">+G68/H68</f>
        <v>#NAME?</v>
      </c>
      <c r="J68" s="26"/>
      <c r="K68" s="26" t="e">
        <f t="shared" ref="K68:K99" si="42">VLOOKUP(A68,MedicaidR,9,FALSE)</f>
        <v>#NAME?</v>
      </c>
      <c r="L68" s="26" t="e">
        <f t="shared" ref="L68:L99" si="43">VLOOKUP(A68,Pop,16,FALSE)</f>
        <v>#NAME?</v>
      </c>
      <c r="M68" s="12" t="e">
        <f t="shared" ref="M68:M99" si="44">+K68/L68</f>
        <v>#NAME?</v>
      </c>
      <c r="N68" s="12"/>
      <c r="O68" s="26" t="e">
        <f t="shared" ref="O68:O99" si="45">VLOOKUP(A68,MedicaidR,3,FALSE)</f>
        <v>#NAME?</v>
      </c>
      <c r="P68" s="26" t="e">
        <f t="shared" ref="P68:P99" si="46">VLOOKUP(A68,Pop,8,FALSE)</f>
        <v>#NAME?</v>
      </c>
      <c r="Q68" s="12" t="e">
        <f t="shared" ref="Q68:Q99" si="47">+O68/P68</f>
        <v>#NAME?</v>
      </c>
      <c r="R68" s="12"/>
      <c r="S68" s="26" t="e">
        <f t="shared" ref="S68:S99" si="48">VLOOKUP(A68,MedicaidR,4,FALSE)</f>
        <v>#NAME?</v>
      </c>
      <c r="T68" s="26" t="e">
        <f t="shared" ref="T68:T99" si="49">VLOOKUP(A68,Pop,9,FALSE)</f>
        <v>#NAME?</v>
      </c>
      <c r="U68" s="12" t="e">
        <f t="shared" ref="U68:U99" si="50">+S68/T68</f>
        <v>#NAME?</v>
      </c>
      <c r="V68" s="12"/>
      <c r="W68" s="44" t="e">
        <f t="shared" ref="W68:W99" si="51">VLOOKUP(A68,MedicaidR,5,FALSE)</f>
        <v>#NAME?</v>
      </c>
      <c r="X68" s="26" t="e">
        <f t="shared" ref="X68:X99" si="52">VLOOKUP(A68,Pop,10,FALSE)</f>
        <v>#NAME?</v>
      </c>
      <c r="Y68" s="12" t="e">
        <f t="shared" ref="Y68:Y99" si="53">+W68/X68</f>
        <v>#NAME?</v>
      </c>
    </row>
    <row r="69" spans="1:25" ht="16.5" customHeight="1" x14ac:dyDescent="0.3">
      <c r="A69" s="16" t="s">
        <v>170</v>
      </c>
      <c r="B69" s="32" t="s">
        <v>171</v>
      </c>
      <c r="C69" s="26" t="e">
        <f t="shared" si="36"/>
        <v>#NAME?</v>
      </c>
      <c r="D69" s="26" t="e">
        <f t="shared" si="37"/>
        <v>#NAME?</v>
      </c>
      <c r="E69" s="12" t="e">
        <f t="shared" si="38"/>
        <v>#NAME?</v>
      </c>
      <c r="F69" s="26"/>
      <c r="G69" s="26" t="e">
        <f t="shared" si="39"/>
        <v>#NAME?</v>
      </c>
      <c r="H69" s="26" t="e">
        <f t="shared" si="40"/>
        <v>#NAME?</v>
      </c>
      <c r="I69" s="12" t="e">
        <f t="shared" si="41"/>
        <v>#NAME?</v>
      </c>
      <c r="J69" s="26"/>
      <c r="K69" s="26" t="e">
        <f t="shared" si="42"/>
        <v>#NAME?</v>
      </c>
      <c r="L69" s="26" t="e">
        <f t="shared" si="43"/>
        <v>#NAME?</v>
      </c>
      <c r="M69" s="12" t="e">
        <f t="shared" si="44"/>
        <v>#NAME?</v>
      </c>
      <c r="N69" s="12"/>
      <c r="O69" s="26" t="e">
        <f t="shared" si="45"/>
        <v>#NAME?</v>
      </c>
      <c r="P69" s="26" t="e">
        <f t="shared" si="46"/>
        <v>#NAME?</v>
      </c>
      <c r="Q69" s="12" t="e">
        <f t="shared" si="47"/>
        <v>#NAME?</v>
      </c>
      <c r="R69" s="12"/>
      <c r="S69" s="26" t="e">
        <f t="shared" si="48"/>
        <v>#NAME?</v>
      </c>
      <c r="T69" s="26" t="e">
        <f t="shared" si="49"/>
        <v>#NAME?</v>
      </c>
      <c r="U69" s="12" t="e">
        <f t="shared" si="50"/>
        <v>#NAME?</v>
      </c>
      <c r="V69" s="12"/>
      <c r="W69" s="44" t="e">
        <f t="shared" si="51"/>
        <v>#NAME?</v>
      </c>
      <c r="X69" s="26" t="e">
        <f t="shared" si="52"/>
        <v>#NAME?</v>
      </c>
      <c r="Y69" s="12" t="e">
        <f t="shared" si="53"/>
        <v>#NAME?</v>
      </c>
    </row>
    <row r="70" spans="1:25" ht="16.5" customHeight="1" x14ac:dyDescent="0.3">
      <c r="A70" s="16" t="s">
        <v>172</v>
      </c>
      <c r="B70" s="32" t="s">
        <v>173</v>
      </c>
      <c r="C70" s="26" t="e">
        <f t="shared" si="36"/>
        <v>#NAME?</v>
      </c>
      <c r="D70" s="26" t="e">
        <f t="shared" si="37"/>
        <v>#NAME?</v>
      </c>
      <c r="E70" s="12" t="e">
        <f t="shared" si="38"/>
        <v>#NAME?</v>
      </c>
      <c r="F70" s="26"/>
      <c r="G70" s="26" t="e">
        <f t="shared" si="39"/>
        <v>#NAME?</v>
      </c>
      <c r="H70" s="26" t="e">
        <f t="shared" si="40"/>
        <v>#NAME?</v>
      </c>
      <c r="I70" s="12" t="e">
        <f t="shared" si="41"/>
        <v>#NAME?</v>
      </c>
      <c r="J70" s="26"/>
      <c r="K70" s="26" t="e">
        <f t="shared" si="42"/>
        <v>#NAME?</v>
      </c>
      <c r="L70" s="26" t="e">
        <f t="shared" si="43"/>
        <v>#NAME?</v>
      </c>
      <c r="M70" s="12" t="e">
        <f t="shared" si="44"/>
        <v>#NAME?</v>
      </c>
      <c r="N70" s="12"/>
      <c r="O70" s="26" t="e">
        <f t="shared" si="45"/>
        <v>#NAME?</v>
      </c>
      <c r="P70" s="26" t="e">
        <f t="shared" si="46"/>
        <v>#NAME?</v>
      </c>
      <c r="Q70" s="12" t="e">
        <f t="shared" si="47"/>
        <v>#NAME?</v>
      </c>
      <c r="R70" s="12"/>
      <c r="S70" s="26" t="e">
        <f t="shared" si="48"/>
        <v>#NAME?</v>
      </c>
      <c r="T70" s="26" t="e">
        <f t="shared" si="49"/>
        <v>#NAME?</v>
      </c>
      <c r="U70" s="12" t="e">
        <f t="shared" si="50"/>
        <v>#NAME?</v>
      </c>
      <c r="V70" s="12"/>
      <c r="W70" s="44" t="e">
        <f t="shared" si="51"/>
        <v>#NAME?</v>
      </c>
      <c r="X70" s="26" t="e">
        <f t="shared" si="52"/>
        <v>#NAME?</v>
      </c>
      <c r="Y70" s="12" t="e">
        <f t="shared" si="53"/>
        <v>#NAME?</v>
      </c>
    </row>
    <row r="71" spans="1:25" ht="16.5" customHeight="1" x14ac:dyDescent="0.3">
      <c r="A71" s="16" t="s">
        <v>174</v>
      </c>
      <c r="B71" s="17" t="s">
        <v>175</v>
      </c>
      <c r="C71" s="26" t="e">
        <f t="shared" si="36"/>
        <v>#NAME?</v>
      </c>
      <c r="D71" s="26" t="e">
        <f t="shared" si="37"/>
        <v>#NAME?</v>
      </c>
      <c r="E71" s="12" t="e">
        <f t="shared" si="38"/>
        <v>#NAME?</v>
      </c>
      <c r="F71" s="26"/>
      <c r="G71" s="26" t="e">
        <f t="shared" si="39"/>
        <v>#NAME?</v>
      </c>
      <c r="H71" s="26" t="e">
        <f t="shared" si="40"/>
        <v>#NAME?</v>
      </c>
      <c r="I71" s="12" t="e">
        <f t="shared" si="41"/>
        <v>#NAME?</v>
      </c>
      <c r="J71" s="26"/>
      <c r="K71" s="26" t="e">
        <f t="shared" si="42"/>
        <v>#NAME?</v>
      </c>
      <c r="L71" s="26" t="e">
        <f t="shared" si="43"/>
        <v>#NAME?</v>
      </c>
      <c r="M71" s="12" t="e">
        <f t="shared" si="44"/>
        <v>#NAME?</v>
      </c>
      <c r="N71" s="12"/>
      <c r="O71" s="26" t="e">
        <f t="shared" si="45"/>
        <v>#NAME?</v>
      </c>
      <c r="P71" s="26" t="e">
        <f t="shared" si="46"/>
        <v>#NAME?</v>
      </c>
      <c r="Q71" s="12" t="e">
        <f t="shared" si="47"/>
        <v>#NAME?</v>
      </c>
      <c r="R71" s="12"/>
      <c r="S71" s="26" t="e">
        <f t="shared" si="48"/>
        <v>#NAME?</v>
      </c>
      <c r="T71" s="26" t="e">
        <f t="shared" si="49"/>
        <v>#NAME?</v>
      </c>
      <c r="U71" s="12" t="e">
        <f t="shared" si="50"/>
        <v>#NAME?</v>
      </c>
      <c r="V71" s="12"/>
      <c r="W71" s="44" t="e">
        <f t="shared" si="51"/>
        <v>#NAME?</v>
      </c>
      <c r="X71" s="26" t="e">
        <f t="shared" si="52"/>
        <v>#NAME?</v>
      </c>
      <c r="Y71" s="12" t="e">
        <f t="shared" si="53"/>
        <v>#NAME?</v>
      </c>
    </row>
    <row r="72" spans="1:25" ht="16.5" customHeight="1" x14ac:dyDescent="0.3">
      <c r="A72" s="16" t="s">
        <v>178</v>
      </c>
      <c r="B72" s="32" t="s">
        <v>179</v>
      </c>
      <c r="C72" s="26" t="e">
        <f t="shared" si="36"/>
        <v>#NAME?</v>
      </c>
      <c r="D72" s="26" t="e">
        <f t="shared" si="37"/>
        <v>#NAME?</v>
      </c>
      <c r="E72" s="12" t="e">
        <f t="shared" si="38"/>
        <v>#NAME?</v>
      </c>
      <c r="F72" s="26"/>
      <c r="G72" s="26" t="e">
        <f t="shared" si="39"/>
        <v>#NAME?</v>
      </c>
      <c r="H72" s="26" t="e">
        <f t="shared" si="40"/>
        <v>#NAME?</v>
      </c>
      <c r="I72" s="12" t="e">
        <f t="shared" si="41"/>
        <v>#NAME?</v>
      </c>
      <c r="J72" s="26"/>
      <c r="K72" s="26" t="e">
        <f t="shared" si="42"/>
        <v>#NAME?</v>
      </c>
      <c r="L72" s="26" t="e">
        <f t="shared" si="43"/>
        <v>#NAME?</v>
      </c>
      <c r="M72" s="12" t="e">
        <f t="shared" si="44"/>
        <v>#NAME?</v>
      </c>
      <c r="N72" s="12"/>
      <c r="O72" s="26" t="e">
        <f t="shared" si="45"/>
        <v>#NAME?</v>
      </c>
      <c r="P72" s="26" t="e">
        <f t="shared" si="46"/>
        <v>#NAME?</v>
      </c>
      <c r="Q72" s="12" t="e">
        <f t="shared" si="47"/>
        <v>#NAME?</v>
      </c>
      <c r="R72" s="12"/>
      <c r="S72" s="26" t="e">
        <f t="shared" si="48"/>
        <v>#NAME?</v>
      </c>
      <c r="T72" s="26" t="e">
        <f t="shared" si="49"/>
        <v>#NAME?</v>
      </c>
      <c r="U72" s="12" t="e">
        <f t="shared" si="50"/>
        <v>#NAME?</v>
      </c>
      <c r="V72" s="12"/>
      <c r="W72" s="44" t="e">
        <f t="shared" si="51"/>
        <v>#NAME?</v>
      </c>
      <c r="X72" s="26" t="e">
        <f t="shared" si="52"/>
        <v>#NAME?</v>
      </c>
      <c r="Y72" s="12" t="e">
        <f t="shared" si="53"/>
        <v>#NAME?</v>
      </c>
    </row>
    <row r="73" spans="1:25" ht="16.5" customHeight="1" x14ac:dyDescent="0.3">
      <c r="A73" s="16" t="s">
        <v>182</v>
      </c>
      <c r="B73" s="32" t="s">
        <v>183</v>
      </c>
      <c r="C73" s="26" t="e">
        <f t="shared" si="36"/>
        <v>#NAME?</v>
      </c>
      <c r="D73" s="26" t="e">
        <f t="shared" si="37"/>
        <v>#NAME?</v>
      </c>
      <c r="E73" s="12" t="e">
        <f t="shared" si="38"/>
        <v>#NAME?</v>
      </c>
      <c r="F73" s="26"/>
      <c r="G73" s="26" t="e">
        <f t="shared" si="39"/>
        <v>#NAME?</v>
      </c>
      <c r="H73" s="26" t="e">
        <f t="shared" si="40"/>
        <v>#NAME?</v>
      </c>
      <c r="I73" s="12" t="e">
        <f t="shared" si="41"/>
        <v>#NAME?</v>
      </c>
      <c r="J73" s="26"/>
      <c r="K73" s="26" t="e">
        <f t="shared" si="42"/>
        <v>#NAME?</v>
      </c>
      <c r="L73" s="26" t="e">
        <f t="shared" si="43"/>
        <v>#NAME?</v>
      </c>
      <c r="M73" s="12" t="e">
        <f t="shared" si="44"/>
        <v>#NAME?</v>
      </c>
      <c r="N73" s="12"/>
      <c r="O73" s="26" t="e">
        <f t="shared" si="45"/>
        <v>#NAME?</v>
      </c>
      <c r="P73" s="26" t="e">
        <f t="shared" si="46"/>
        <v>#NAME?</v>
      </c>
      <c r="Q73" s="12" t="e">
        <f t="shared" si="47"/>
        <v>#NAME?</v>
      </c>
      <c r="R73" s="12"/>
      <c r="S73" s="26" t="e">
        <f t="shared" si="48"/>
        <v>#NAME?</v>
      </c>
      <c r="T73" s="26" t="e">
        <f t="shared" si="49"/>
        <v>#NAME?</v>
      </c>
      <c r="U73" s="12" t="e">
        <f t="shared" si="50"/>
        <v>#NAME?</v>
      </c>
      <c r="V73" s="12"/>
      <c r="W73" s="44" t="e">
        <f t="shared" si="51"/>
        <v>#NAME?</v>
      </c>
      <c r="X73" s="26" t="e">
        <f t="shared" si="52"/>
        <v>#NAME?</v>
      </c>
      <c r="Y73" s="12" t="e">
        <f t="shared" si="53"/>
        <v>#NAME?</v>
      </c>
    </row>
    <row r="74" spans="1:25" ht="16.5" customHeight="1" x14ac:dyDescent="0.3">
      <c r="A74" s="16" t="s">
        <v>184</v>
      </c>
      <c r="B74" s="32" t="s">
        <v>185</v>
      </c>
      <c r="C74" s="26" t="e">
        <f t="shared" si="36"/>
        <v>#NAME?</v>
      </c>
      <c r="D74" s="26" t="e">
        <f t="shared" si="37"/>
        <v>#NAME?</v>
      </c>
      <c r="E74" s="12" t="e">
        <f t="shared" si="38"/>
        <v>#NAME?</v>
      </c>
      <c r="F74" s="26"/>
      <c r="G74" s="26" t="e">
        <f t="shared" si="39"/>
        <v>#NAME?</v>
      </c>
      <c r="H74" s="26" t="e">
        <f t="shared" si="40"/>
        <v>#NAME?</v>
      </c>
      <c r="I74" s="12" t="e">
        <f t="shared" si="41"/>
        <v>#NAME?</v>
      </c>
      <c r="J74" s="26"/>
      <c r="K74" s="26" t="e">
        <f t="shared" si="42"/>
        <v>#NAME?</v>
      </c>
      <c r="L74" s="26" t="e">
        <f t="shared" si="43"/>
        <v>#NAME?</v>
      </c>
      <c r="M74" s="12" t="e">
        <f t="shared" si="44"/>
        <v>#NAME?</v>
      </c>
      <c r="N74" s="12"/>
      <c r="O74" s="26" t="e">
        <f t="shared" si="45"/>
        <v>#NAME?</v>
      </c>
      <c r="P74" s="26" t="e">
        <f t="shared" si="46"/>
        <v>#NAME?</v>
      </c>
      <c r="Q74" s="12" t="e">
        <f t="shared" si="47"/>
        <v>#NAME?</v>
      </c>
      <c r="R74" s="12"/>
      <c r="S74" s="26" t="e">
        <f t="shared" si="48"/>
        <v>#NAME?</v>
      </c>
      <c r="T74" s="26" t="e">
        <f t="shared" si="49"/>
        <v>#NAME?</v>
      </c>
      <c r="U74" s="12" t="e">
        <f t="shared" si="50"/>
        <v>#NAME?</v>
      </c>
      <c r="V74" s="12"/>
      <c r="W74" s="44" t="e">
        <f t="shared" si="51"/>
        <v>#NAME?</v>
      </c>
      <c r="X74" s="26" t="e">
        <f t="shared" si="52"/>
        <v>#NAME?</v>
      </c>
      <c r="Y74" s="12" t="e">
        <f t="shared" si="53"/>
        <v>#NAME?</v>
      </c>
    </row>
    <row r="75" spans="1:25" ht="16.5" customHeight="1" x14ac:dyDescent="0.3">
      <c r="A75" s="16" t="s">
        <v>186</v>
      </c>
      <c r="B75" s="17" t="s">
        <v>187</v>
      </c>
      <c r="C75" s="26" t="e">
        <f t="shared" si="36"/>
        <v>#NAME?</v>
      </c>
      <c r="D75" s="26" t="e">
        <f t="shared" si="37"/>
        <v>#NAME?</v>
      </c>
      <c r="E75" s="12" t="e">
        <f t="shared" si="38"/>
        <v>#NAME?</v>
      </c>
      <c r="F75" s="26"/>
      <c r="G75" s="26" t="e">
        <f t="shared" si="39"/>
        <v>#NAME?</v>
      </c>
      <c r="H75" s="26" t="e">
        <f t="shared" si="40"/>
        <v>#NAME?</v>
      </c>
      <c r="I75" s="12" t="e">
        <f t="shared" si="41"/>
        <v>#NAME?</v>
      </c>
      <c r="J75" s="26"/>
      <c r="K75" s="26" t="e">
        <f t="shared" si="42"/>
        <v>#NAME?</v>
      </c>
      <c r="L75" s="26" t="e">
        <f t="shared" si="43"/>
        <v>#NAME?</v>
      </c>
      <c r="M75" s="12" t="e">
        <f t="shared" si="44"/>
        <v>#NAME?</v>
      </c>
      <c r="N75" s="12"/>
      <c r="O75" s="26" t="e">
        <f t="shared" si="45"/>
        <v>#NAME?</v>
      </c>
      <c r="P75" s="26" t="e">
        <f t="shared" si="46"/>
        <v>#NAME?</v>
      </c>
      <c r="Q75" s="12" t="e">
        <f t="shared" si="47"/>
        <v>#NAME?</v>
      </c>
      <c r="R75" s="12"/>
      <c r="S75" s="26" t="e">
        <f t="shared" si="48"/>
        <v>#NAME?</v>
      </c>
      <c r="T75" s="26" t="e">
        <f t="shared" si="49"/>
        <v>#NAME?</v>
      </c>
      <c r="U75" s="12" t="e">
        <f t="shared" si="50"/>
        <v>#NAME?</v>
      </c>
      <c r="V75" s="12"/>
      <c r="W75" s="44" t="e">
        <f t="shared" si="51"/>
        <v>#NAME?</v>
      </c>
      <c r="X75" s="26" t="e">
        <f t="shared" si="52"/>
        <v>#NAME?</v>
      </c>
      <c r="Y75" s="12" t="e">
        <f t="shared" si="53"/>
        <v>#NAME?</v>
      </c>
    </row>
    <row r="76" spans="1:25" ht="16.5" customHeight="1" x14ac:dyDescent="0.3">
      <c r="A76" s="16" t="s">
        <v>188</v>
      </c>
      <c r="B76" s="17" t="s">
        <v>189</v>
      </c>
      <c r="C76" s="26" t="e">
        <f t="shared" si="36"/>
        <v>#NAME?</v>
      </c>
      <c r="D76" s="26" t="e">
        <f t="shared" si="37"/>
        <v>#NAME?</v>
      </c>
      <c r="E76" s="12" t="e">
        <f t="shared" si="38"/>
        <v>#NAME?</v>
      </c>
      <c r="F76" s="26"/>
      <c r="G76" s="26" t="e">
        <f t="shared" si="39"/>
        <v>#NAME?</v>
      </c>
      <c r="H76" s="26" t="e">
        <f t="shared" si="40"/>
        <v>#NAME?</v>
      </c>
      <c r="I76" s="12" t="e">
        <f t="shared" si="41"/>
        <v>#NAME?</v>
      </c>
      <c r="J76" s="26"/>
      <c r="K76" s="26" t="e">
        <f t="shared" si="42"/>
        <v>#NAME?</v>
      </c>
      <c r="L76" s="26" t="e">
        <f t="shared" si="43"/>
        <v>#NAME?</v>
      </c>
      <c r="M76" s="12" t="e">
        <f t="shared" si="44"/>
        <v>#NAME?</v>
      </c>
      <c r="N76" s="12"/>
      <c r="O76" s="26" t="e">
        <f t="shared" si="45"/>
        <v>#NAME?</v>
      </c>
      <c r="P76" s="26" t="e">
        <f t="shared" si="46"/>
        <v>#NAME?</v>
      </c>
      <c r="Q76" s="12" t="e">
        <f t="shared" si="47"/>
        <v>#NAME?</v>
      </c>
      <c r="R76" s="12"/>
      <c r="S76" s="26" t="e">
        <f t="shared" si="48"/>
        <v>#NAME?</v>
      </c>
      <c r="T76" s="26" t="e">
        <f t="shared" si="49"/>
        <v>#NAME?</v>
      </c>
      <c r="U76" s="12" t="e">
        <f t="shared" si="50"/>
        <v>#NAME?</v>
      </c>
      <c r="V76" s="12"/>
      <c r="W76" s="44" t="e">
        <f t="shared" si="51"/>
        <v>#NAME?</v>
      </c>
      <c r="X76" s="26" t="e">
        <f t="shared" si="52"/>
        <v>#NAME?</v>
      </c>
      <c r="Y76" s="12" t="e">
        <f t="shared" si="53"/>
        <v>#NAME?</v>
      </c>
    </row>
    <row r="77" spans="1:25" ht="16.5" customHeight="1" x14ac:dyDescent="0.3">
      <c r="A77" s="16" t="s">
        <v>190</v>
      </c>
      <c r="B77" s="32" t="s">
        <v>191</v>
      </c>
      <c r="C77" s="26" t="e">
        <f t="shared" si="36"/>
        <v>#NAME?</v>
      </c>
      <c r="D77" s="26" t="e">
        <f t="shared" si="37"/>
        <v>#NAME?</v>
      </c>
      <c r="E77" s="12" t="e">
        <f t="shared" si="38"/>
        <v>#NAME?</v>
      </c>
      <c r="F77" s="26"/>
      <c r="G77" s="26" t="e">
        <f t="shared" si="39"/>
        <v>#NAME?</v>
      </c>
      <c r="H77" s="26" t="e">
        <f t="shared" si="40"/>
        <v>#NAME?</v>
      </c>
      <c r="I77" s="12" t="e">
        <f t="shared" si="41"/>
        <v>#NAME?</v>
      </c>
      <c r="J77" s="26"/>
      <c r="K77" s="26" t="e">
        <f t="shared" si="42"/>
        <v>#NAME?</v>
      </c>
      <c r="L77" s="26" t="e">
        <f t="shared" si="43"/>
        <v>#NAME?</v>
      </c>
      <c r="M77" s="12" t="e">
        <f t="shared" si="44"/>
        <v>#NAME?</v>
      </c>
      <c r="N77" s="12"/>
      <c r="O77" s="26" t="e">
        <f t="shared" si="45"/>
        <v>#NAME?</v>
      </c>
      <c r="P77" s="26" t="e">
        <f t="shared" si="46"/>
        <v>#NAME?</v>
      </c>
      <c r="Q77" s="12" t="e">
        <f t="shared" si="47"/>
        <v>#NAME?</v>
      </c>
      <c r="R77" s="12"/>
      <c r="S77" s="26" t="e">
        <f t="shared" si="48"/>
        <v>#NAME?</v>
      </c>
      <c r="T77" s="26" t="e">
        <f t="shared" si="49"/>
        <v>#NAME?</v>
      </c>
      <c r="U77" s="12" t="e">
        <f t="shared" si="50"/>
        <v>#NAME?</v>
      </c>
      <c r="V77" s="12"/>
      <c r="W77" s="44" t="e">
        <f t="shared" si="51"/>
        <v>#NAME?</v>
      </c>
      <c r="X77" s="26" t="e">
        <f t="shared" si="52"/>
        <v>#NAME?</v>
      </c>
      <c r="Y77" s="12" t="e">
        <f t="shared" si="53"/>
        <v>#NAME?</v>
      </c>
    </row>
    <row r="78" spans="1:25" ht="16.5" customHeight="1" x14ac:dyDescent="0.3">
      <c r="A78" s="16" t="s">
        <v>194</v>
      </c>
      <c r="B78" s="17" t="s">
        <v>195</v>
      </c>
      <c r="C78" s="26" t="e">
        <f t="shared" si="36"/>
        <v>#NAME?</v>
      </c>
      <c r="D78" s="26" t="e">
        <f t="shared" si="37"/>
        <v>#NAME?</v>
      </c>
      <c r="E78" s="12" t="e">
        <f t="shared" si="38"/>
        <v>#NAME?</v>
      </c>
      <c r="F78" s="26"/>
      <c r="G78" s="26" t="e">
        <f t="shared" si="39"/>
        <v>#NAME?</v>
      </c>
      <c r="H78" s="26" t="e">
        <f t="shared" si="40"/>
        <v>#NAME?</v>
      </c>
      <c r="I78" s="12" t="e">
        <f t="shared" si="41"/>
        <v>#NAME?</v>
      </c>
      <c r="J78" s="26"/>
      <c r="K78" s="26" t="e">
        <f t="shared" si="42"/>
        <v>#NAME?</v>
      </c>
      <c r="L78" s="26" t="e">
        <f t="shared" si="43"/>
        <v>#NAME?</v>
      </c>
      <c r="M78" s="12" t="e">
        <f t="shared" si="44"/>
        <v>#NAME?</v>
      </c>
      <c r="N78" s="12"/>
      <c r="O78" s="26" t="e">
        <f t="shared" si="45"/>
        <v>#NAME?</v>
      </c>
      <c r="P78" s="26" t="e">
        <f t="shared" si="46"/>
        <v>#NAME?</v>
      </c>
      <c r="Q78" s="12" t="e">
        <f t="shared" si="47"/>
        <v>#NAME?</v>
      </c>
      <c r="R78" s="12"/>
      <c r="S78" s="26" t="e">
        <f t="shared" si="48"/>
        <v>#NAME?</v>
      </c>
      <c r="T78" s="26" t="e">
        <f t="shared" si="49"/>
        <v>#NAME?</v>
      </c>
      <c r="U78" s="12" t="e">
        <f t="shared" si="50"/>
        <v>#NAME?</v>
      </c>
      <c r="V78" s="12"/>
      <c r="W78" s="44" t="e">
        <f t="shared" si="51"/>
        <v>#NAME?</v>
      </c>
      <c r="X78" s="26" t="e">
        <f t="shared" si="52"/>
        <v>#NAME?</v>
      </c>
      <c r="Y78" s="12" t="e">
        <f t="shared" si="53"/>
        <v>#NAME?</v>
      </c>
    </row>
    <row r="79" spans="1:25" ht="16.5" customHeight="1" x14ac:dyDescent="0.3">
      <c r="A79" s="16" t="s">
        <v>198</v>
      </c>
      <c r="B79" s="32" t="s">
        <v>199</v>
      </c>
      <c r="C79" s="26" t="e">
        <f t="shared" si="36"/>
        <v>#NAME?</v>
      </c>
      <c r="D79" s="26" t="e">
        <f t="shared" si="37"/>
        <v>#NAME?</v>
      </c>
      <c r="E79" s="12" t="e">
        <f t="shared" si="38"/>
        <v>#NAME?</v>
      </c>
      <c r="F79" s="26"/>
      <c r="G79" s="26" t="e">
        <f t="shared" si="39"/>
        <v>#NAME?</v>
      </c>
      <c r="H79" s="26" t="e">
        <f t="shared" si="40"/>
        <v>#NAME?</v>
      </c>
      <c r="I79" s="12" t="e">
        <f t="shared" si="41"/>
        <v>#NAME?</v>
      </c>
      <c r="J79" s="26"/>
      <c r="K79" s="26" t="e">
        <f t="shared" si="42"/>
        <v>#NAME?</v>
      </c>
      <c r="L79" s="26" t="e">
        <f t="shared" si="43"/>
        <v>#NAME?</v>
      </c>
      <c r="M79" s="12" t="e">
        <f t="shared" si="44"/>
        <v>#NAME?</v>
      </c>
      <c r="N79" s="12"/>
      <c r="O79" s="26" t="e">
        <f t="shared" si="45"/>
        <v>#NAME?</v>
      </c>
      <c r="P79" s="26" t="e">
        <f t="shared" si="46"/>
        <v>#NAME?</v>
      </c>
      <c r="Q79" s="12" t="e">
        <f t="shared" si="47"/>
        <v>#NAME?</v>
      </c>
      <c r="R79" s="12"/>
      <c r="S79" s="26" t="e">
        <f t="shared" si="48"/>
        <v>#NAME?</v>
      </c>
      <c r="T79" s="26" t="e">
        <f t="shared" si="49"/>
        <v>#NAME?</v>
      </c>
      <c r="U79" s="12" t="e">
        <f t="shared" si="50"/>
        <v>#NAME?</v>
      </c>
      <c r="V79" s="12"/>
      <c r="W79" s="44" t="e">
        <f t="shared" si="51"/>
        <v>#NAME?</v>
      </c>
      <c r="X79" s="26" t="e">
        <f t="shared" si="52"/>
        <v>#NAME?</v>
      </c>
      <c r="Y79" s="12" t="e">
        <f t="shared" si="53"/>
        <v>#NAME?</v>
      </c>
    </row>
    <row r="80" spans="1:25" ht="16.5" customHeight="1" x14ac:dyDescent="0.3">
      <c r="A80" s="16" t="s">
        <v>202</v>
      </c>
      <c r="B80" s="17" t="s">
        <v>203</v>
      </c>
      <c r="C80" s="26" t="e">
        <f t="shared" si="36"/>
        <v>#NAME?</v>
      </c>
      <c r="D80" s="26" t="e">
        <f t="shared" si="37"/>
        <v>#NAME?</v>
      </c>
      <c r="E80" s="12" t="e">
        <f t="shared" si="38"/>
        <v>#NAME?</v>
      </c>
      <c r="F80" s="26"/>
      <c r="G80" s="26" t="e">
        <f t="shared" si="39"/>
        <v>#NAME?</v>
      </c>
      <c r="H80" s="26" t="e">
        <f t="shared" si="40"/>
        <v>#NAME?</v>
      </c>
      <c r="I80" s="12" t="e">
        <f t="shared" si="41"/>
        <v>#NAME?</v>
      </c>
      <c r="J80" s="26"/>
      <c r="K80" s="26" t="e">
        <f t="shared" si="42"/>
        <v>#NAME?</v>
      </c>
      <c r="L80" s="26" t="e">
        <f t="shared" si="43"/>
        <v>#NAME?</v>
      </c>
      <c r="M80" s="12" t="e">
        <f t="shared" si="44"/>
        <v>#NAME?</v>
      </c>
      <c r="N80" s="12"/>
      <c r="O80" s="26" t="e">
        <f t="shared" si="45"/>
        <v>#NAME?</v>
      </c>
      <c r="P80" s="26" t="e">
        <f t="shared" si="46"/>
        <v>#NAME?</v>
      </c>
      <c r="Q80" s="12" t="e">
        <f t="shared" si="47"/>
        <v>#NAME?</v>
      </c>
      <c r="R80" s="12"/>
      <c r="S80" s="26" t="e">
        <f t="shared" si="48"/>
        <v>#NAME?</v>
      </c>
      <c r="T80" s="26" t="e">
        <f t="shared" si="49"/>
        <v>#NAME?</v>
      </c>
      <c r="U80" s="12" t="e">
        <f t="shared" si="50"/>
        <v>#NAME?</v>
      </c>
      <c r="V80" s="12"/>
      <c r="W80" s="44" t="e">
        <f t="shared" si="51"/>
        <v>#NAME?</v>
      </c>
      <c r="X80" s="26" t="e">
        <f t="shared" si="52"/>
        <v>#NAME?</v>
      </c>
      <c r="Y80" s="12" t="e">
        <f t="shared" si="53"/>
        <v>#NAME?</v>
      </c>
    </row>
    <row r="81" spans="1:25" ht="16.5" customHeight="1" x14ac:dyDescent="0.3">
      <c r="A81" s="16" t="s">
        <v>204</v>
      </c>
      <c r="B81" s="17" t="s">
        <v>205</v>
      </c>
      <c r="C81" s="26" t="e">
        <f t="shared" si="36"/>
        <v>#NAME?</v>
      </c>
      <c r="D81" s="26" t="e">
        <f t="shared" si="37"/>
        <v>#NAME?</v>
      </c>
      <c r="E81" s="12" t="e">
        <f t="shared" si="38"/>
        <v>#NAME?</v>
      </c>
      <c r="F81" s="26"/>
      <c r="G81" s="26" t="e">
        <f t="shared" si="39"/>
        <v>#NAME?</v>
      </c>
      <c r="H81" s="26" t="e">
        <f t="shared" si="40"/>
        <v>#NAME?</v>
      </c>
      <c r="I81" s="12" t="e">
        <f t="shared" si="41"/>
        <v>#NAME?</v>
      </c>
      <c r="J81" s="26"/>
      <c r="K81" s="26" t="e">
        <f t="shared" si="42"/>
        <v>#NAME?</v>
      </c>
      <c r="L81" s="26" t="e">
        <f t="shared" si="43"/>
        <v>#NAME?</v>
      </c>
      <c r="M81" s="12" t="e">
        <f t="shared" si="44"/>
        <v>#NAME?</v>
      </c>
      <c r="N81" s="12"/>
      <c r="O81" s="26" t="e">
        <f t="shared" si="45"/>
        <v>#NAME?</v>
      </c>
      <c r="P81" s="26" t="e">
        <f t="shared" si="46"/>
        <v>#NAME?</v>
      </c>
      <c r="Q81" s="12" t="e">
        <f t="shared" si="47"/>
        <v>#NAME?</v>
      </c>
      <c r="R81" s="12"/>
      <c r="S81" s="26" t="e">
        <f t="shared" si="48"/>
        <v>#NAME?</v>
      </c>
      <c r="T81" s="26" t="e">
        <f t="shared" si="49"/>
        <v>#NAME?</v>
      </c>
      <c r="U81" s="12" t="e">
        <f t="shared" si="50"/>
        <v>#NAME?</v>
      </c>
      <c r="V81" s="12"/>
      <c r="W81" s="44" t="e">
        <f t="shared" si="51"/>
        <v>#NAME?</v>
      </c>
      <c r="X81" s="26" t="e">
        <f t="shared" si="52"/>
        <v>#NAME?</v>
      </c>
      <c r="Y81" s="12" t="e">
        <f t="shared" si="53"/>
        <v>#NAME?</v>
      </c>
    </row>
    <row r="82" spans="1:25" ht="16.5" customHeight="1" x14ac:dyDescent="0.3">
      <c r="A82" s="16" t="s">
        <v>206</v>
      </c>
      <c r="B82" s="17" t="s">
        <v>207</v>
      </c>
      <c r="C82" s="26" t="e">
        <f t="shared" si="36"/>
        <v>#NAME?</v>
      </c>
      <c r="D82" s="26" t="e">
        <f t="shared" si="37"/>
        <v>#NAME?</v>
      </c>
      <c r="E82" s="12" t="e">
        <f t="shared" si="38"/>
        <v>#NAME?</v>
      </c>
      <c r="F82" s="26"/>
      <c r="G82" s="26" t="e">
        <f t="shared" si="39"/>
        <v>#NAME?</v>
      </c>
      <c r="H82" s="26" t="e">
        <f t="shared" si="40"/>
        <v>#NAME?</v>
      </c>
      <c r="I82" s="12" t="e">
        <f t="shared" si="41"/>
        <v>#NAME?</v>
      </c>
      <c r="J82" s="26"/>
      <c r="K82" s="26" t="e">
        <f t="shared" si="42"/>
        <v>#NAME?</v>
      </c>
      <c r="L82" s="26" t="e">
        <f t="shared" si="43"/>
        <v>#NAME?</v>
      </c>
      <c r="M82" s="12" t="e">
        <f t="shared" si="44"/>
        <v>#NAME?</v>
      </c>
      <c r="N82" s="12"/>
      <c r="O82" s="26" t="e">
        <f t="shared" si="45"/>
        <v>#NAME?</v>
      </c>
      <c r="P82" s="26" t="e">
        <f t="shared" si="46"/>
        <v>#NAME?</v>
      </c>
      <c r="Q82" s="12" t="e">
        <f t="shared" si="47"/>
        <v>#NAME?</v>
      </c>
      <c r="R82" s="12"/>
      <c r="S82" s="26" t="e">
        <f t="shared" si="48"/>
        <v>#NAME?</v>
      </c>
      <c r="T82" s="26" t="e">
        <f t="shared" si="49"/>
        <v>#NAME?</v>
      </c>
      <c r="U82" s="12" t="e">
        <f t="shared" si="50"/>
        <v>#NAME?</v>
      </c>
      <c r="V82" s="12"/>
      <c r="W82" s="44" t="e">
        <f t="shared" si="51"/>
        <v>#NAME?</v>
      </c>
      <c r="X82" s="26" t="e">
        <f t="shared" si="52"/>
        <v>#NAME?</v>
      </c>
      <c r="Y82" s="12" t="e">
        <f t="shared" si="53"/>
        <v>#NAME?</v>
      </c>
    </row>
    <row r="83" spans="1:25" ht="16.5" customHeight="1" x14ac:dyDescent="0.3">
      <c r="A83" s="16" t="s">
        <v>208</v>
      </c>
      <c r="B83" s="32" t="s">
        <v>209</v>
      </c>
      <c r="C83" s="26" t="e">
        <f t="shared" si="36"/>
        <v>#NAME?</v>
      </c>
      <c r="D83" s="26" t="e">
        <f t="shared" si="37"/>
        <v>#NAME?</v>
      </c>
      <c r="E83" s="12" t="e">
        <f t="shared" si="38"/>
        <v>#NAME?</v>
      </c>
      <c r="F83" s="26"/>
      <c r="G83" s="26" t="e">
        <f t="shared" si="39"/>
        <v>#NAME?</v>
      </c>
      <c r="H83" s="26" t="e">
        <f t="shared" si="40"/>
        <v>#NAME?</v>
      </c>
      <c r="I83" s="12" t="e">
        <f t="shared" si="41"/>
        <v>#NAME?</v>
      </c>
      <c r="J83" s="26"/>
      <c r="K83" s="26" t="e">
        <f t="shared" si="42"/>
        <v>#NAME?</v>
      </c>
      <c r="L83" s="26" t="e">
        <f t="shared" si="43"/>
        <v>#NAME?</v>
      </c>
      <c r="M83" s="12" t="e">
        <f t="shared" si="44"/>
        <v>#NAME?</v>
      </c>
      <c r="N83" s="12"/>
      <c r="O83" s="26" t="e">
        <f t="shared" si="45"/>
        <v>#NAME?</v>
      </c>
      <c r="P83" s="26" t="e">
        <f t="shared" si="46"/>
        <v>#NAME?</v>
      </c>
      <c r="Q83" s="12" t="e">
        <f t="shared" si="47"/>
        <v>#NAME?</v>
      </c>
      <c r="R83" s="12"/>
      <c r="S83" s="26" t="e">
        <f t="shared" si="48"/>
        <v>#NAME?</v>
      </c>
      <c r="T83" s="26" t="e">
        <f t="shared" si="49"/>
        <v>#NAME?</v>
      </c>
      <c r="U83" s="12" t="e">
        <f t="shared" si="50"/>
        <v>#NAME?</v>
      </c>
      <c r="V83" s="12"/>
      <c r="W83" s="44" t="e">
        <f t="shared" si="51"/>
        <v>#NAME?</v>
      </c>
      <c r="X83" s="26" t="e">
        <f t="shared" si="52"/>
        <v>#NAME?</v>
      </c>
      <c r="Y83" s="12" t="e">
        <f t="shared" si="53"/>
        <v>#NAME?</v>
      </c>
    </row>
    <row r="84" spans="1:25" ht="16.5" customHeight="1" x14ac:dyDescent="0.3">
      <c r="A84" s="16" t="s">
        <v>210</v>
      </c>
      <c r="B84" s="32" t="s">
        <v>211</v>
      </c>
      <c r="C84" s="26" t="e">
        <f t="shared" si="36"/>
        <v>#NAME?</v>
      </c>
      <c r="D84" s="26" t="e">
        <f t="shared" si="37"/>
        <v>#NAME?</v>
      </c>
      <c r="E84" s="12" t="e">
        <f t="shared" si="38"/>
        <v>#NAME?</v>
      </c>
      <c r="F84" s="26"/>
      <c r="G84" s="26" t="e">
        <f t="shared" si="39"/>
        <v>#NAME?</v>
      </c>
      <c r="H84" s="26" t="e">
        <f t="shared" si="40"/>
        <v>#NAME?</v>
      </c>
      <c r="I84" s="12" t="e">
        <f t="shared" si="41"/>
        <v>#NAME?</v>
      </c>
      <c r="J84" s="26"/>
      <c r="K84" s="26" t="e">
        <f t="shared" si="42"/>
        <v>#NAME?</v>
      </c>
      <c r="L84" s="26" t="e">
        <f t="shared" si="43"/>
        <v>#NAME?</v>
      </c>
      <c r="M84" s="12" t="e">
        <f t="shared" si="44"/>
        <v>#NAME?</v>
      </c>
      <c r="N84" s="12"/>
      <c r="O84" s="26" t="e">
        <f t="shared" si="45"/>
        <v>#NAME?</v>
      </c>
      <c r="P84" s="26" t="e">
        <f t="shared" si="46"/>
        <v>#NAME?</v>
      </c>
      <c r="Q84" s="12" t="e">
        <f t="shared" si="47"/>
        <v>#NAME?</v>
      </c>
      <c r="R84" s="12"/>
      <c r="S84" s="26" t="e">
        <f t="shared" si="48"/>
        <v>#NAME?</v>
      </c>
      <c r="T84" s="26" t="e">
        <f t="shared" si="49"/>
        <v>#NAME?</v>
      </c>
      <c r="U84" s="12" t="e">
        <f t="shared" si="50"/>
        <v>#NAME?</v>
      </c>
      <c r="V84" s="12"/>
      <c r="W84" s="44" t="e">
        <f t="shared" si="51"/>
        <v>#NAME?</v>
      </c>
      <c r="X84" s="26" t="e">
        <f t="shared" si="52"/>
        <v>#NAME?</v>
      </c>
      <c r="Y84" s="12" t="e">
        <f t="shared" si="53"/>
        <v>#NAME?</v>
      </c>
    </row>
    <row r="85" spans="1:25" ht="16.5" customHeight="1" x14ac:dyDescent="0.3">
      <c r="A85" s="16" t="s">
        <v>212</v>
      </c>
      <c r="B85" s="17" t="s">
        <v>213</v>
      </c>
      <c r="C85" s="26" t="e">
        <f t="shared" si="36"/>
        <v>#NAME?</v>
      </c>
      <c r="D85" s="26" t="e">
        <f t="shared" si="37"/>
        <v>#NAME?</v>
      </c>
      <c r="E85" s="12" t="e">
        <f t="shared" si="38"/>
        <v>#NAME?</v>
      </c>
      <c r="F85" s="26"/>
      <c r="G85" s="26" t="e">
        <f t="shared" si="39"/>
        <v>#NAME?</v>
      </c>
      <c r="H85" s="26" t="e">
        <f t="shared" si="40"/>
        <v>#NAME?</v>
      </c>
      <c r="I85" s="12" t="e">
        <f t="shared" si="41"/>
        <v>#NAME?</v>
      </c>
      <c r="J85" s="26"/>
      <c r="K85" s="26" t="e">
        <f t="shared" si="42"/>
        <v>#NAME?</v>
      </c>
      <c r="L85" s="26" t="e">
        <f t="shared" si="43"/>
        <v>#NAME?</v>
      </c>
      <c r="M85" s="12" t="e">
        <f t="shared" si="44"/>
        <v>#NAME?</v>
      </c>
      <c r="N85" s="12"/>
      <c r="O85" s="26" t="e">
        <f t="shared" si="45"/>
        <v>#NAME?</v>
      </c>
      <c r="P85" s="26" t="e">
        <f t="shared" si="46"/>
        <v>#NAME?</v>
      </c>
      <c r="Q85" s="12" t="e">
        <f t="shared" si="47"/>
        <v>#NAME?</v>
      </c>
      <c r="R85" s="12"/>
      <c r="S85" s="26" t="e">
        <f t="shared" si="48"/>
        <v>#NAME?</v>
      </c>
      <c r="T85" s="26" t="e">
        <f t="shared" si="49"/>
        <v>#NAME?</v>
      </c>
      <c r="U85" s="12" t="e">
        <f t="shared" si="50"/>
        <v>#NAME?</v>
      </c>
      <c r="V85" s="12"/>
      <c r="W85" s="44" t="e">
        <f t="shared" si="51"/>
        <v>#NAME?</v>
      </c>
      <c r="X85" s="26" t="e">
        <f t="shared" si="52"/>
        <v>#NAME?</v>
      </c>
      <c r="Y85" s="12" t="e">
        <f t="shared" si="53"/>
        <v>#NAME?</v>
      </c>
    </row>
    <row r="86" spans="1:25" ht="16.5" customHeight="1" x14ac:dyDescent="0.3">
      <c r="A86" s="16" t="s">
        <v>214</v>
      </c>
      <c r="B86" s="32" t="s">
        <v>215</v>
      </c>
      <c r="C86" s="26" t="e">
        <f t="shared" si="36"/>
        <v>#NAME?</v>
      </c>
      <c r="D86" s="26" t="e">
        <f t="shared" si="37"/>
        <v>#NAME?</v>
      </c>
      <c r="E86" s="12" t="e">
        <f t="shared" si="38"/>
        <v>#NAME?</v>
      </c>
      <c r="F86" s="26"/>
      <c r="G86" s="26" t="e">
        <f t="shared" si="39"/>
        <v>#NAME?</v>
      </c>
      <c r="H86" s="26" t="e">
        <f t="shared" si="40"/>
        <v>#NAME?</v>
      </c>
      <c r="I86" s="12" t="e">
        <f t="shared" si="41"/>
        <v>#NAME?</v>
      </c>
      <c r="J86" s="26"/>
      <c r="K86" s="26" t="e">
        <f t="shared" si="42"/>
        <v>#NAME?</v>
      </c>
      <c r="L86" s="26" t="e">
        <f t="shared" si="43"/>
        <v>#NAME?</v>
      </c>
      <c r="M86" s="12" t="e">
        <f t="shared" si="44"/>
        <v>#NAME?</v>
      </c>
      <c r="N86" s="12"/>
      <c r="O86" s="26" t="e">
        <f t="shared" si="45"/>
        <v>#NAME?</v>
      </c>
      <c r="P86" s="26" t="e">
        <f t="shared" si="46"/>
        <v>#NAME?</v>
      </c>
      <c r="Q86" s="12" t="e">
        <f t="shared" si="47"/>
        <v>#NAME?</v>
      </c>
      <c r="R86" s="12"/>
      <c r="S86" s="26" t="e">
        <f t="shared" si="48"/>
        <v>#NAME?</v>
      </c>
      <c r="T86" s="26" t="e">
        <f t="shared" si="49"/>
        <v>#NAME?</v>
      </c>
      <c r="U86" s="12" t="e">
        <f t="shared" si="50"/>
        <v>#NAME?</v>
      </c>
      <c r="V86" s="12"/>
      <c r="W86" s="44" t="e">
        <f t="shared" si="51"/>
        <v>#NAME?</v>
      </c>
      <c r="X86" s="26" t="e">
        <f t="shared" si="52"/>
        <v>#NAME?</v>
      </c>
      <c r="Y86" s="12" t="e">
        <f t="shared" si="53"/>
        <v>#NAME?</v>
      </c>
    </row>
    <row r="87" spans="1:25" ht="16.5" customHeight="1" x14ac:dyDescent="0.3">
      <c r="A87" s="16" t="s">
        <v>216</v>
      </c>
      <c r="B87" s="32" t="s">
        <v>217</v>
      </c>
      <c r="C87" s="26" t="e">
        <f t="shared" si="36"/>
        <v>#NAME?</v>
      </c>
      <c r="D87" s="26" t="e">
        <f t="shared" si="37"/>
        <v>#NAME?</v>
      </c>
      <c r="E87" s="12" t="e">
        <f t="shared" si="38"/>
        <v>#NAME?</v>
      </c>
      <c r="F87" s="26"/>
      <c r="G87" s="26" t="e">
        <f t="shared" si="39"/>
        <v>#NAME?</v>
      </c>
      <c r="H87" s="26" t="e">
        <f t="shared" si="40"/>
        <v>#NAME?</v>
      </c>
      <c r="I87" s="12" t="e">
        <f t="shared" si="41"/>
        <v>#NAME?</v>
      </c>
      <c r="J87" s="26"/>
      <c r="K87" s="26" t="e">
        <f t="shared" si="42"/>
        <v>#NAME?</v>
      </c>
      <c r="L87" s="26" t="e">
        <f t="shared" si="43"/>
        <v>#NAME?</v>
      </c>
      <c r="M87" s="12" t="e">
        <f t="shared" si="44"/>
        <v>#NAME?</v>
      </c>
      <c r="N87" s="12"/>
      <c r="O87" s="26" t="e">
        <f t="shared" si="45"/>
        <v>#NAME?</v>
      </c>
      <c r="P87" s="26" t="e">
        <f t="shared" si="46"/>
        <v>#NAME?</v>
      </c>
      <c r="Q87" s="12" t="e">
        <f t="shared" si="47"/>
        <v>#NAME?</v>
      </c>
      <c r="R87" s="12"/>
      <c r="S87" s="26" t="e">
        <f t="shared" si="48"/>
        <v>#NAME?</v>
      </c>
      <c r="T87" s="26" t="e">
        <f t="shared" si="49"/>
        <v>#NAME?</v>
      </c>
      <c r="U87" s="12" t="e">
        <f t="shared" si="50"/>
        <v>#NAME?</v>
      </c>
      <c r="V87" s="12"/>
      <c r="W87" s="44" t="e">
        <f t="shared" si="51"/>
        <v>#NAME?</v>
      </c>
      <c r="X87" s="26" t="e">
        <f t="shared" si="52"/>
        <v>#NAME?</v>
      </c>
      <c r="Y87" s="12" t="e">
        <f t="shared" si="53"/>
        <v>#NAME?</v>
      </c>
    </row>
    <row r="88" spans="1:25" ht="16.5" customHeight="1" x14ac:dyDescent="0.3">
      <c r="A88" s="16" t="s">
        <v>218</v>
      </c>
      <c r="B88" s="17" t="s">
        <v>219</v>
      </c>
      <c r="C88" s="26" t="e">
        <f t="shared" si="36"/>
        <v>#NAME?</v>
      </c>
      <c r="D88" s="26" t="e">
        <f t="shared" si="37"/>
        <v>#NAME?</v>
      </c>
      <c r="E88" s="12" t="e">
        <f t="shared" si="38"/>
        <v>#NAME?</v>
      </c>
      <c r="F88" s="26"/>
      <c r="G88" s="26" t="e">
        <f t="shared" si="39"/>
        <v>#NAME?</v>
      </c>
      <c r="H88" s="26" t="e">
        <f t="shared" si="40"/>
        <v>#NAME?</v>
      </c>
      <c r="I88" s="12" t="e">
        <f t="shared" si="41"/>
        <v>#NAME?</v>
      </c>
      <c r="J88" s="26"/>
      <c r="K88" s="26" t="e">
        <f t="shared" si="42"/>
        <v>#NAME?</v>
      </c>
      <c r="L88" s="26" t="e">
        <f t="shared" si="43"/>
        <v>#NAME?</v>
      </c>
      <c r="M88" s="12" t="e">
        <f t="shared" si="44"/>
        <v>#NAME?</v>
      </c>
      <c r="N88" s="12"/>
      <c r="O88" s="26" t="e">
        <f t="shared" si="45"/>
        <v>#NAME?</v>
      </c>
      <c r="P88" s="26" t="e">
        <f t="shared" si="46"/>
        <v>#NAME?</v>
      </c>
      <c r="Q88" s="12" t="e">
        <f t="shared" si="47"/>
        <v>#NAME?</v>
      </c>
      <c r="R88" s="12"/>
      <c r="S88" s="26" t="e">
        <f t="shared" si="48"/>
        <v>#NAME?</v>
      </c>
      <c r="T88" s="26" t="e">
        <f t="shared" si="49"/>
        <v>#NAME?</v>
      </c>
      <c r="U88" s="12" t="e">
        <f t="shared" si="50"/>
        <v>#NAME?</v>
      </c>
      <c r="V88" s="12"/>
      <c r="W88" s="44" t="e">
        <f t="shared" si="51"/>
        <v>#NAME?</v>
      </c>
      <c r="X88" s="26" t="e">
        <f t="shared" si="52"/>
        <v>#NAME?</v>
      </c>
      <c r="Y88" s="12" t="e">
        <f t="shared" si="53"/>
        <v>#NAME?</v>
      </c>
    </row>
    <row r="89" spans="1:25" ht="16.5" customHeight="1" x14ac:dyDescent="0.3">
      <c r="A89" s="16" t="s">
        <v>220</v>
      </c>
      <c r="B89" s="17" t="s">
        <v>221</v>
      </c>
      <c r="C89" s="26" t="e">
        <f t="shared" si="36"/>
        <v>#NAME?</v>
      </c>
      <c r="D89" s="26" t="e">
        <f t="shared" si="37"/>
        <v>#NAME?</v>
      </c>
      <c r="E89" s="12" t="e">
        <f t="shared" si="38"/>
        <v>#NAME?</v>
      </c>
      <c r="F89" s="26"/>
      <c r="G89" s="26" t="e">
        <f t="shared" si="39"/>
        <v>#NAME?</v>
      </c>
      <c r="H89" s="26" t="e">
        <f t="shared" si="40"/>
        <v>#NAME?</v>
      </c>
      <c r="I89" s="12" t="e">
        <f t="shared" si="41"/>
        <v>#NAME?</v>
      </c>
      <c r="J89" s="26"/>
      <c r="K89" s="26" t="e">
        <f t="shared" si="42"/>
        <v>#NAME?</v>
      </c>
      <c r="L89" s="26" t="e">
        <f t="shared" si="43"/>
        <v>#NAME?</v>
      </c>
      <c r="M89" s="12" t="e">
        <f t="shared" si="44"/>
        <v>#NAME?</v>
      </c>
      <c r="N89" s="12"/>
      <c r="O89" s="26" t="e">
        <f t="shared" si="45"/>
        <v>#NAME?</v>
      </c>
      <c r="P89" s="26" t="e">
        <f t="shared" si="46"/>
        <v>#NAME?</v>
      </c>
      <c r="Q89" s="12" t="e">
        <f t="shared" si="47"/>
        <v>#NAME?</v>
      </c>
      <c r="R89" s="12"/>
      <c r="S89" s="26" t="e">
        <f t="shared" si="48"/>
        <v>#NAME?</v>
      </c>
      <c r="T89" s="26" t="e">
        <f t="shared" si="49"/>
        <v>#NAME?</v>
      </c>
      <c r="U89" s="12" t="e">
        <f t="shared" si="50"/>
        <v>#NAME?</v>
      </c>
      <c r="V89" s="12"/>
      <c r="W89" s="44" t="e">
        <f t="shared" si="51"/>
        <v>#NAME?</v>
      </c>
      <c r="X89" s="26" t="e">
        <f t="shared" si="52"/>
        <v>#NAME?</v>
      </c>
      <c r="Y89" s="12" t="e">
        <f t="shared" si="53"/>
        <v>#NAME?</v>
      </c>
    </row>
    <row r="90" spans="1:25" ht="16.5" customHeight="1" x14ac:dyDescent="0.3">
      <c r="A90" s="16" t="s">
        <v>224</v>
      </c>
      <c r="B90" s="17" t="s">
        <v>225</v>
      </c>
      <c r="C90" s="26" t="e">
        <f t="shared" si="36"/>
        <v>#NAME?</v>
      </c>
      <c r="D90" s="26" t="e">
        <f t="shared" si="37"/>
        <v>#NAME?</v>
      </c>
      <c r="E90" s="12" t="e">
        <f t="shared" si="38"/>
        <v>#NAME?</v>
      </c>
      <c r="F90" s="26"/>
      <c r="G90" s="26" t="e">
        <f t="shared" si="39"/>
        <v>#NAME?</v>
      </c>
      <c r="H90" s="26" t="e">
        <f t="shared" si="40"/>
        <v>#NAME?</v>
      </c>
      <c r="I90" s="12" t="e">
        <f t="shared" si="41"/>
        <v>#NAME?</v>
      </c>
      <c r="J90" s="26"/>
      <c r="K90" s="26" t="e">
        <f t="shared" si="42"/>
        <v>#NAME?</v>
      </c>
      <c r="L90" s="26" t="e">
        <f t="shared" si="43"/>
        <v>#NAME?</v>
      </c>
      <c r="M90" s="12" t="e">
        <f t="shared" si="44"/>
        <v>#NAME?</v>
      </c>
      <c r="N90" s="12"/>
      <c r="O90" s="26" t="e">
        <f t="shared" si="45"/>
        <v>#NAME?</v>
      </c>
      <c r="P90" s="26" t="e">
        <f t="shared" si="46"/>
        <v>#NAME?</v>
      </c>
      <c r="Q90" s="12" t="e">
        <f t="shared" si="47"/>
        <v>#NAME?</v>
      </c>
      <c r="R90" s="12"/>
      <c r="S90" s="26" t="e">
        <f t="shared" si="48"/>
        <v>#NAME?</v>
      </c>
      <c r="T90" s="26" t="e">
        <f t="shared" si="49"/>
        <v>#NAME?</v>
      </c>
      <c r="U90" s="12" t="e">
        <f t="shared" si="50"/>
        <v>#NAME?</v>
      </c>
      <c r="V90" s="12"/>
      <c r="W90" s="44" t="e">
        <f t="shared" si="51"/>
        <v>#NAME?</v>
      </c>
      <c r="X90" s="26" t="e">
        <f t="shared" si="52"/>
        <v>#NAME?</v>
      </c>
      <c r="Y90" s="12" t="e">
        <f t="shared" si="53"/>
        <v>#NAME?</v>
      </c>
    </row>
    <row r="91" spans="1:25" ht="16.5" customHeight="1" x14ac:dyDescent="0.3">
      <c r="A91" s="16" t="s">
        <v>226</v>
      </c>
      <c r="B91" s="32" t="s">
        <v>227</v>
      </c>
      <c r="C91" s="26" t="e">
        <f t="shared" si="36"/>
        <v>#NAME?</v>
      </c>
      <c r="D91" s="26" t="e">
        <f t="shared" si="37"/>
        <v>#NAME?</v>
      </c>
      <c r="E91" s="12" t="e">
        <f t="shared" si="38"/>
        <v>#NAME?</v>
      </c>
      <c r="F91" s="26"/>
      <c r="G91" s="26" t="e">
        <f t="shared" si="39"/>
        <v>#NAME?</v>
      </c>
      <c r="H91" s="26" t="e">
        <f t="shared" si="40"/>
        <v>#NAME?</v>
      </c>
      <c r="I91" s="12" t="e">
        <f t="shared" si="41"/>
        <v>#NAME?</v>
      </c>
      <c r="J91" s="26"/>
      <c r="K91" s="26" t="e">
        <f t="shared" si="42"/>
        <v>#NAME?</v>
      </c>
      <c r="L91" s="26" t="e">
        <f t="shared" si="43"/>
        <v>#NAME?</v>
      </c>
      <c r="M91" s="12" t="e">
        <f t="shared" si="44"/>
        <v>#NAME?</v>
      </c>
      <c r="N91" s="12"/>
      <c r="O91" s="26" t="e">
        <f t="shared" si="45"/>
        <v>#NAME?</v>
      </c>
      <c r="P91" s="26" t="e">
        <f t="shared" si="46"/>
        <v>#NAME?</v>
      </c>
      <c r="Q91" s="12" t="e">
        <f t="shared" si="47"/>
        <v>#NAME?</v>
      </c>
      <c r="R91" s="12"/>
      <c r="S91" s="26" t="e">
        <f t="shared" si="48"/>
        <v>#NAME?</v>
      </c>
      <c r="T91" s="26" t="e">
        <f t="shared" si="49"/>
        <v>#NAME?</v>
      </c>
      <c r="U91" s="12" t="e">
        <f t="shared" si="50"/>
        <v>#NAME?</v>
      </c>
      <c r="V91" s="12"/>
      <c r="W91" s="44" t="e">
        <f t="shared" si="51"/>
        <v>#NAME?</v>
      </c>
      <c r="X91" s="26" t="e">
        <f t="shared" si="52"/>
        <v>#NAME?</v>
      </c>
      <c r="Y91" s="12" t="e">
        <f t="shared" si="53"/>
        <v>#NAME?</v>
      </c>
    </row>
    <row r="92" spans="1:25" ht="16.5" customHeight="1" x14ac:dyDescent="0.3">
      <c r="A92" s="16" t="s">
        <v>228</v>
      </c>
      <c r="B92" s="32" t="s">
        <v>229</v>
      </c>
      <c r="C92" s="26" t="e">
        <f t="shared" si="36"/>
        <v>#NAME?</v>
      </c>
      <c r="D92" s="26" t="e">
        <f t="shared" si="37"/>
        <v>#NAME?</v>
      </c>
      <c r="E92" s="12" t="e">
        <f t="shared" si="38"/>
        <v>#NAME?</v>
      </c>
      <c r="F92" s="26"/>
      <c r="G92" s="26" t="e">
        <f t="shared" si="39"/>
        <v>#NAME?</v>
      </c>
      <c r="H92" s="26" t="e">
        <f t="shared" si="40"/>
        <v>#NAME?</v>
      </c>
      <c r="I92" s="12" t="e">
        <f t="shared" si="41"/>
        <v>#NAME?</v>
      </c>
      <c r="J92" s="26"/>
      <c r="K92" s="26" t="e">
        <f t="shared" si="42"/>
        <v>#NAME?</v>
      </c>
      <c r="L92" s="26" t="e">
        <f t="shared" si="43"/>
        <v>#NAME?</v>
      </c>
      <c r="M92" s="12" t="e">
        <f t="shared" si="44"/>
        <v>#NAME?</v>
      </c>
      <c r="N92" s="12"/>
      <c r="O92" s="26" t="e">
        <f t="shared" si="45"/>
        <v>#NAME?</v>
      </c>
      <c r="P92" s="26" t="e">
        <f t="shared" si="46"/>
        <v>#NAME?</v>
      </c>
      <c r="Q92" s="12" t="e">
        <f t="shared" si="47"/>
        <v>#NAME?</v>
      </c>
      <c r="R92" s="12"/>
      <c r="S92" s="26" t="e">
        <f t="shared" si="48"/>
        <v>#NAME?</v>
      </c>
      <c r="T92" s="26" t="e">
        <f t="shared" si="49"/>
        <v>#NAME?</v>
      </c>
      <c r="U92" s="12" t="e">
        <f t="shared" si="50"/>
        <v>#NAME?</v>
      </c>
      <c r="V92" s="12"/>
      <c r="W92" s="44" t="e">
        <f t="shared" si="51"/>
        <v>#NAME?</v>
      </c>
      <c r="X92" s="26" t="e">
        <f t="shared" si="52"/>
        <v>#NAME?</v>
      </c>
      <c r="Y92" s="12" t="e">
        <f t="shared" si="53"/>
        <v>#NAME?</v>
      </c>
    </row>
    <row r="93" spans="1:25" ht="16.5" customHeight="1" x14ac:dyDescent="0.3">
      <c r="A93" s="16" t="s">
        <v>232</v>
      </c>
      <c r="B93" s="32" t="s">
        <v>233</v>
      </c>
      <c r="C93" s="26" t="e">
        <f t="shared" si="36"/>
        <v>#NAME?</v>
      </c>
      <c r="D93" s="26" t="e">
        <f t="shared" si="37"/>
        <v>#NAME?</v>
      </c>
      <c r="E93" s="12" t="e">
        <f t="shared" si="38"/>
        <v>#NAME?</v>
      </c>
      <c r="F93" s="26"/>
      <c r="G93" s="26" t="e">
        <f t="shared" si="39"/>
        <v>#NAME?</v>
      </c>
      <c r="H93" s="26" t="e">
        <f t="shared" si="40"/>
        <v>#NAME?</v>
      </c>
      <c r="I93" s="12" t="e">
        <f t="shared" si="41"/>
        <v>#NAME?</v>
      </c>
      <c r="J93" s="26"/>
      <c r="K93" s="26" t="e">
        <f t="shared" si="42"/>
        <v>#NAME?</v>
      </c>
      <c r="L93" s="26" t="e">
        <f t="shared" si="43"/>
        <v>#NAME?</v>
      </c>
      <c r="M93" s="12" t="e">
        <f t="shared" si="44"/>
        <v>#NAME?</v>
      </c>
      <c r="N93" s="12"/>
      <c r="O93" s="26" t="e">
        <f t="shared" si="45"/>
        <v>#NAME?</v>
      </c>
      <c r="P93" s="26" t="e">
        <f t="shared" si="46"/>
        <v>#NAME?</v>
      </c>
      <c r="Q93" s="12" t="e">
        <f t="shared" si="47"/>
        <v>#NAME?</v>
      </c>
      <c r="R93" s="12"/>
      <c r="S93" s="26" t="e">
        <f t="shared" si="48"/>
        <v>#NAME?</v>
      </c>
      <c r="T93" s="26" t="e">
        <f t="shared" si="49"/>
        <v>#NAME?</v>
      </c>
      <c r="U93" s="12" t="e">
        <f t="shared" si="50"/>
        <v>#NAME?</v>
      </c>
      <c r="V93" s="12"/>
      <c r="W93" s="44" t="e">
        <f t="shared" si="51"/>
        <v>#NAME?</v>
      </c>
      <c r="X93" s="26" t="e">
        <f t="shared" si="52"/>
        <v>#NAME?</v>
      </c>
      <c r="Y93" s="12" t="e">
        <f t="shared" si="53"/>
        <v>#NAME?</v>
      </c>
    </row>
    <row r="94" spans="1:25" ht="16.5" customHeight="1" x14ac:dyDescent="0.3">
      <c r="A94" s="16" t="s">
        <v>234</v>
      </c>
      <c r="B94" s="32" t="s">
        <v>235</v>
      </c>
      <c r="C94" s="26" t="e">
        <f t="shared" si="36"/>
        <v>#NAME?</v>
      </c>
      <c r="D94" s="26" t="e">
        <f t="shared" si="37"/>
        <v>#NAME?</v>
      </c>
      <c r="E94" s="12" t="e">
        <f t="shared" si="38"/>
        <v>#NAME?</v>
      </c>
      <c r="F94" s="26"/>
      <c r="G94" s="26" t="e">
        <f t="shared" si="39"/>
        <v>#NAME?</v>
      </c>
      <c r="H94" s="26" t="e">
        <f t="shared" si="40"/>
        <v>#NAME?</v>
      </c>
      <c r="I94" s="12" t="e">
        <f t="shared" si="41"/>
        <v>#NAME?</v>
      </c>
      <c r="J94" s="26"/>
      <c r="K94" s="26" t="e">
        <f t="shared" si="42"/>
        <v>#NAME?</v>
      </c>
      <c r="L94" s="26" t="e">
        <f t="shared" si="43"/>
        <v>#NAME?</v>
      </c>
      <c r="M94" s="12" t="e">
        <f t="shared" si="44"/>
        <v>#NAME?</v>
      </c>
      <c r="N94" s="12"/>
      <c r="O94" s="26" t="e">
        <f t="shared" si="45"/>
        <v>#NAME?</v>
      </c>
      <c r="P94" s="26" t="e">
        <f t="shared" si="46"/>
        <v>#NAME?</v>
      </c>
      <c r="Q94" s="12" t="e">
        <f t="shared" si="47"/>
        <v>#NAME?</v>
      </c>
      <c r="R94" s="12"/>
      <c r="S94" s="26" t="e">
        <f t="shared" si="48"/>
        <v>#NAME?</v>
      </c>
      <c r="T94" s="26" t="e">
        <f t="shared" si="49"/>
        <v>#NAME?</v>
      </c>
      <c r="U94" s="12" t="e">
        <f t="shared" si="50"/>
        <v>#NAME?</v>
      </c>
      <c r="V94" s="12"/>
      <c r="W94" s="44" t="e">
        <f t="shared" si="51"/>
        <v>#NAME?</v>
      </c>
      <c r="X94" s="26" t="e">
        <f t="shared" si="52"/>
        <v>#NAME?</v>
      </c>
      <c r="Y94" s="12" t="e">
        <f t="shared" si="53"/>
        <v>#NAME?</v>
      </c>
    </row>
    <row r="95" spans="1:25" ht="16.5" customHeight="1" x14ac:dyDescent="0.3">
      <c r="A95" s="16" t="s">
        <v>236</v>
      </c>
      <c r="B95" s="32" t="s">
        <v>237</v>
      </c>
      <c r="C95" s="26" t="e">
        <f t="shared" si="36"/>
        <v>#NAME?</v>
      </c>
      <c r="D95" s="26" t="e">
        <f t="shared" si="37"/>
        <v>#NAME?</v>
      </c>
      <c r="E95" s="12" t="e">
        <f t="shared" si="38"/>
        <v>#NAME?</v>
      </c>
      <c r="F95" s="26"/>
      <c r="G95" s="26" t="e">
        <f t="shared" si="39"/>
        <v>#NAME?</v>
      </c>
      <c r="H95" s="26" t="e">
        <f t="shared" si="40"/>
        <v>#NAME?</v>
      </c>
      <c r="I95" s="12" t="e">
        <f t="shared" si="41"/>
        <v>#NAME?</v>
      </c>
      <c r="J95" s="26"/>
      <c r="K95" s="26" t="e">
        <f t="shared" si="42"/>
        <v>#NAME?</v>
      </c>
      <c r="L95" s="26" t="e">
        <f t="shared" si="43"/>
        <v>#NAME?</v>
      </c>
      <c r="M95" s="12" t="e">
        <f t="shared" si="44"/>
        <v>#NAME?</v>
      </c>
      <c r="N95" s="12"/>
      <c r="O95" s="26" t="e">
        <f t="shared" si="45"/>
        <v>#NAME?</v>
      </c>
      <c r="P95" s="26" t="e">
        <f t="shared" si="46"/>
        <v>#NAME?</v>
      </c>
      <c r="Q95" s="12" t="e">
        <f t="shared" si="47"/>
        <v>#NAME?</v>
      </c>
      <c r="R95" s="12"/>
      <c r="S95" s="26" t="e">
        <f t="shared" si="48"/>
        <v>#NAME?</v>
      </c>
      <c r="T95" s="26" t="e">
        <f t="shared" si="49"/>
        <v>#NAME?</v>
      </c>
      <c r="U95" s="12" t="e">
        <f t="shared" si="50"/>
        <v>#NAME?</v>
      </c>
      <c r="V95" s="12"/>
      <c r="W95" s="44" t="e">
        <f t="shared" si="51"/>
        <v>#NAME?</v>
      </c>
      <c r="X95" s="26" t="e">
        <f t="shared" si="52"/>
        <v>#NAME?</v>
      </c>
      <c r="Y95" s="12" t="e">
        <f t="shared" si="53"/>
        <v>#NAME?</v>
      </c>
    </row>
    <row r="96" spans="1:25" ht="16.5" customHeight="1" x14ac:dyDescent="0.3">
      <c r="A96" s="16" t="s">
        <v>242</v>
      </c>
      <c r="B96" s="32" t="s">
        <v>243</v>
      </c>
      <c r="C96" s="26" t="e">
        <f t="shared" si="36"/>
        <v>#NAME?</v>
      </c>
      <c r="D96" s="26" t="e">
        <f t="shared" si="37"/>
        <v>#NAME?</v>
      </c>
      <c r="E96" s="12" t="e">
        <f t="shared" si="38"/>
        <v>#NAME?</v>
      </c>
      <c r="F96" s="26"/>
      <c r="G96" s="26" t="e">
        <f t="shared" si="39"/>
        <v>#NAME?</v>
      </c>
      <c r="H96" s="26" t="e">
        <f t="shared" si="40"/>
        <v>#NAME?</v>
      </c>
      <c r="I96" s="12" t="e">
        <f t="shared" si="41"/>
        <v>#NAME?</v>
      </c>
      <c r="J96" s="26"/>
      <c r="K96" s="26" t="e">
        <f t="shared" si="42"/>
        <v>#NAME?</v>
      </c>
      <c r="L96" s="26" t="e">
        <f t="shared" si="43"/>
        <v>#NAME?</v>
      </c>
      <c r="M96" s="12" t="e">
        <f t="shared" si="44"/>
        <v>#NAME?</v>
      </c>
      <c r="N96" s="12"/>
      <c r="O96" s="26" t="e">
        <f t="shared" si="45"/>
        <v>#NAME?</v>
      </c>
      <c r="P96" s="26" t="e">
        <f t="shared" si="46"/>
        <v>#NAME?</v>
      </c>
      <c r="Q96" s="12" t="e">
        <f t="shared" si="47"/>
        <v>#NAME?</v>
      </c>
      <c r="R96" s="12"/>
      <c r="S96" s="26" t="e">
        <f t="shared" si="48"/>
        <v>#NAME?</v>
      </c>
      <c r="T96" s="26" t="e">
        <f t="shared" si="49"/>
        <v>#NAME?</v>
      </c>
      <c r="U96" s="12" t="e">
        <f t="shared" si="50"/>
        <v>#NAME?</v>
      </c>
      <c r="V96" s="12"/>
      <c r="W96" s="44" t="e">
        <f t="shared" si="51"/>
        <v>#NAME?</v>
      </c>
      <c r="X96" s="26" t="e">
        <f t="shared" si="52"/>
        <v>#NAME?</v>
      </c>
      <c r="Y96" s="12" t="e">
        <f t="shared" si="53"/>
        <v>#NAME?</v>
      </c>
    </row>
    <row r="97" spans="1:25" ht="16.5" customHeight="1" x14ac:dyDescent="0.3">
      <c r="A97" s="16" t="s">
        <v>244</v>
      </c>
      <c r="B97" s="32" t="s">
        <v>245</v>
      </c>
      <c r="C97" s="26" t="e">
        <f t="shared" si="36"/>
        <v>#NAME?</v>
      </c>
      <c r="D97" s="26" t="e">
        <f t="shared" si="37"/>
        <v>#NAME?</v>
      </c>
      <c r="E97" s="12" t="e">
        <f t="shared" si="38"/>
        <v>#NAME?</v>
      </c>
      <c r="F97" s="26"/>
      <c r="G97" s="26" t="e">
        <f t="shared" si="39"/>
        <v>#NAME?</v>
      </c>
      <c r="H97" s="26" t="e">
        <f t="shared" si="40"/>
        <v>#NAME?</v>
      </c>
      <c r="I97" s="12" t="e">
        <f t="shared" si="41"/>
        <v>#NAME?</v>
      </c>
      <c r="J97" s="26"/>
      <c r="K97" s="26" t="e">
        <f t="shared" si="42"/>
        <v>#NAME?</v>
      </c>
      <c r="L97" s="26" t="e">
        <f t="shared" si="43"/>
        <v>#NAME?</v>
      </c>
      <c r="M97" s="12" t="e">
        <f t="shared" si="44"/>
        <v>#NAME?</v>
      </c>
      <c r="N97" s="12"/>
      <c r="O97" s="26" t="e">
        <f t="shared" si="45"/>
        <v>#NAME?</v>
      </c>
      <c r="P97" s="26" t="e">
        <f t="shared" si="46"/>
        <v>#NAME?</v>
      </c>
      <c r="Q97" s="12" t="e">
        <f t="shared" si="47"/>
        <v>#NAME?</v>
      </c>
      <c r="R97" s="12"/>
      <c r="S97" s="26" t="e">
        <f t="shared" si="48"/>
        <v>#NAME?</v>
      </c>
      <c r="T97" s="26" t="e">
        <f t="shared" si="49"/>
        <v>#NAME?</v>
      </c>
      <c r="U97" s="12" t="e">
        <f t="shared" si="50"/>
        <v>#NAME?</v>
      </c>
      <c r="V97" s="12"/>
      <c r="W97" s="44" t="e">
        <f t="shared" si="51"/>
        <v>#NAME?</v>
      </c>
      <c r="X97" s="26" t="e">
        <f t="shared" si="52"/>
        <v>#NAME?</v>
      </c>
      <c r="Y97" s="12" t="e">
        <f t="shared" si="53"/>
        <v>#NAME?</v>
      </c>
    </row>
    <row r="98" spans="1:25" ht="16.5" customHeight="1" x14ac:dyDescent="0.3">
      <c r="A98" s="16" t="s">
        <v>246</v>
      </c>
      <c r="B98" s="17" t="s">
        <v>298</v>
      </c>
      <c r="C98" s="26" t="e">
        <f t="shared" si="36"/>
        <v>#NAME?</v>
      </c>
      <c r="D98" s="26" t="e">
        <f t="shared" si="37"/>
        <v>#NAME?</v>
      </c>
      <c r="E98" s="12" t="e">
        <f t="shared" si="38"/>
        <v>#NAME?</v>
      </c>
      <c r="F98" s="26"/>
      <c r="G98" s="26" t="e">
        <f t="shared" si="39"/>
        <v>#NAME?</v>
      </c>
      <c r="H98" s="26" t="e">
        <f t="shared" si="40"/>
        <v>#NAME?</v>
      </c>
      <c r="I98" s="12" t="e">
        <f t="shared" si="41"/>
        <v>#NAME?</v>
      </c>
      <c r="J98" s="26"/>
      <c r="K98" s="26" t="e">
        <f t="shared" si="42"/>
        <v>#NAME?</v>
      </c>
      <c r="L98" s="26" t="e">
        <f t="shared" si="43"/>
        <v>#NAME?</v>
      </c>
      <c r="M98" s="12" t="e">
        <f t="shared" si="44"/>
        <v>#NAME?</v>
      </c>
      <c r="N98" s="12"/>
      <c r="O98" s="26" t="e">
        <f t="shared" si="45"/>
        <v>#NAME?</v>
      </c>
      <c r="P98" s="26" t="e">
        <f t="shared" si="46"/>
        <v>#NAME?</v>
      </c>
      <c r="Q98" s="12" t="e">
        <f t="shared" si="47"/>
        <v>#NAME?</v>
      </c>
      <c r="R98" s="12"/>
      <c r="S98" s="26" t="e">
        <f t="shared" si="48"/>
        <v>#NAME?</v>
      </c>
      <c r="T98" s="26" t="e">
        <f t="shared" si="49"/>
        <v>#NAME?</v>
      </c>
      <c r="U98" s="12" t="e">
        <f t="shared" si="50"/>
        <v>#NAME?</v>
      </c>
      <c r="V98" s="12"/>
      <c r="W98" s="44" t="e">
        <f t="shared" si="51"/>
        <v>#NAME?</v>
      </c>
      <c r="X98" s="26" t="e">
        <f t="shared" si="52"/>
        <v>#NAME?</v>
      </c>
      <c r="Y98" s="12" t="e">
        <f t="shared" si="53"/>
        <v>#NAME?</v>
      </c>
    </row>
    <row r="99" spans="1:25" ht="16.5" customHeight="1" x14ac:dyDescent="0.3">
      <c r="A99" s="16" t="s">
        <v>14</v>
      </c>
      <c r="B99" s="17" t="s">
        <v>15</v>
      </c>
      <c r="C99" s="26" t="e">
        <f t="shared" si="36"/>
        <v>#NAME?</v>
      </c>
      <c r="D99" s="26" t="e">
        <f t="shared" si="37"/>
        <v>#NAME?</v>
      </c>
      <c r="E99" s="12" t="e">
        <f t="shared" si="38"/>
        <v>#NAME?</v>
      </c>
      <c r="F99" s="26"/>
      <c r="G99" s="26" t="e">
        <f t="shared" si="39"/>
        <v>#NAME?</v>
      </c>
      <c r="H99" s="26" t="e">
        <f t="shared" si="40"/>
        <v>#NAME?</v>
      </c>
      <c r="I99" s="12" t="e">
        <f t="shared" si="41"/>
        <v>#NAME?</v>
      </c>
      <c r="J99" s="26"/>
      <c r="K99" s="26" t="e">
        <f t="shared" si="42"/>
        <v>#NAME?</v>
      </c>
      <c r="L99" s="26" t="e">
        <f t="shared" si="43"/>
        <v>#NAME?</v>
      </c>
      <c r="M99" s="12" t="e">
        <f t="shared" si="44"/>
        <v>#NAME?</v>
      </c>
      <c r="N99" s="12"/>
      <c r="O99" s="26" t="e">
        <f t="shared" si="45"/>
        <v>#NAME?</v>
      </c>
      <c r="P99" s="26" t="e">
        <f t="shared" si="46"/>
        <v>#NAME?</v>
      </c>
      <c r="Q99" s="12" t="e">
        <f t="shared" si="47"/>
        <v>#NAME?</v>
      </c>
      <c r="R99" s="12"/>
      <c r="S99" s="26" t="e">
        <f t="shared" si="48"/>
        <v>#NAME?</v>
      </c>
      <c r="T99" s="26" t="e">
        <f t="shared" si="49"/>
        <v>#NAME?</v>
      </c>
      <c r="U99" s="12" t="e">
        <f t="shared" si="50"/>
        <v>#NAME?</v>
      </c>
      <c r="V99" s="12"/>
      <c r="W99" s="44" t="e">
        <f t="shared" si="51"/>
        <v>#NAME?</v>
      </c>
      <c r="X99" s="26" t="e">
        <f t="shared" si="52"/>
        <v>#NAME?</v>
      </c>
      <c r="Y99" s="12" t="e">
        <f t="shared" si="53"/>
        <v>#NAME?</v>
      </c>
    </row>
    <row r="100" spans="1:25" ht="16.5" customHeight="1" x14ac:dyDescent="0.3">
      <c r="A100" s="16" t="s">
        <v>34</v>
      </c>
      <c r="B100" s="32" t="s">
        <v>35</v>
      </c>
      <c r="C100" s="26" t="e">
        <f t="shared" ref="C100:C123" si="54">VLOOKUP(A100,MedicaidR,7,FALSE)</f>
        <v>#NAME?</v>
      </c>
      <c r="D100" s="26" t="e">
        <f t="shared" ref="D100:D123" si="55">VLOOKUP(A100,Pop,14,FALSE)</f>
        <v>#NAME?</v>
      </c>
      <c r="E100" s="12" t="e">
        <f t="shared" ref="E100:E123" si="56">+C100/D100</f>
        <v>#NAME?</v>
      </c>
      <c r="F100" s="26"/>
      <c r="G100" s="26" t="e">
        <f t="shared" ref="G100:G123" si="57">VLOOKUP(A100,MedicaidR,8,FALSE)</f>
        <v>#NAME?</v>
      </c>
      <c r="H100" s="26" t="e">
        <f t="shared" ref="H100:H123" si="58">VLOOKUP(A100,Pop,15,FALSE)</f>
        <v>#NAME?</v>
      </c>
      <c r="I100" s="12" t="e">
        <f t="shared" ref="I100:I123" si="59">+G100/H100</f>
        <v>#NAME?</v>
      </c>
      <c r="J100" s="26"/>
      <c r="K100" s="26" t="e">
        <f t="shared" ref="K100:K123" si="60">VLOOKUP(A100,MedicaidR,9,FALSE)</f>
        <v>#NAME?</v>
      </c>
      <c r="L100" s="26" t="e">
        <f t="shared" ref="L100:L123" si="61">VLOOKUP(A100,Pop,16,FALSE)</f>
        <v>#NAME?</v>
      </c>
      <c r="M100" s="12" t="e">
        <f t="shared" ref="M100:M123" si="62">+K100/L100</f>
        <v>#NAME?</v>
      </c>
      <c r="N100" s="12"/>
      <c r="O100" s="26" t="e">
        <f t="shared" ref="O100:O123" si="63">VLOOKUP(A100,MedicaidR,3,FALSE)</f>
        <v>#NAME?</v>
      </c>
      <c r="P100" s="26" t="e">
        <f t="shared" ref="P100:P123" si="64">VLOOKUP(A100,Pop,8,FALSE)</f>
        <v>#NAME?</v>
      </c>
      <c r="Q100" s="12" t="e">
        <f t="shared" ref="Q100:Q123" si="65">+O100/P100</f>
        <v>#NAME?</v>
      </c>
      <c r="R100" s="12"/>
      <c r="S100" s="26" t="e">
        <f t="shared" ref="S100:S123" si="66">VLOOKUP(A100,MedicaidR,4,FALSE)</f>
        <v>#NAME?</v>
      </c>
      <c r="T100" s="26" t="e">
        <f t="shared" ref="T100:T123" si="67">VLOOKUP(A100,Pop,9,FALSE)</f>
        <v>#NAME?</v>
      </c>
      <c r="U100" s="12" t="e">
        <f t="shared" ref="U100:U123" si="68">+S100/T100</f>
        <v>#NAME?</v>
      </c>
      <c r="V100" s="12"/>
      <c r="W100" s="44" t="e">
        <f t="shared" ref="W100:W123" si="69">VLOOKUP(A100,MedicaidR,5,FALSE)</f>
        <v>#NAME?</v>
      </c>
      <c r="X100" s="26" t="e">
        <f t="shared" ref="X100:X123" si="70">VLOOKUP(A100,Pop,10,FALSE)</f>
        <v>#NAME?</v>
      </c>
      <c r="Y100" s="12" t="e">
        <f t="shared" ref="Y100:Y123" si="71">+W100/X100</f>
        <v>#NAME?</v>
      </c>
    </row>
    <row r="101" spans="1:25" ht="16.5" customHeight="1" x14ac:dyDescent="0.3">
      <c r="A101" s="16" t="s">
        <v>52</v>
      </c>
      <c r="B101" s="32" t="s">
        <v>53</v>
      </c>
      <c r="C101" s="26" t="e">
        <f t="shared" si="54"/>
        <v>#NAME?</v>
      </c>
      <c r="D101" s="26" t="e">
        <f t="shared" si="55"/>
        <v>#NAME?</v>
      </c>
      <c r="E101" s="12" t="e">
        <f t="shared" si="56"/>
        <v>#NAME?</v>
      </c>
      <c r="F101" s="26"/>
      <c r="G101" s="26" t="e">
        <f t="shared" si="57"/>
        <v>#NAME?</v>
      </c>
      <c r="H101" s="26" t="e">
        <f t="shared" si="58"/>
        <v>#NAME?</v>
      </c>
      <c r="I101" s="12" t="e">
        <f t="shared" si="59"/>
        <v>#NAME?</v>
      </c>
      <c r="J101" s="26"/>
      <c r="K101" s="26" t="e">
        <f t="shared" si="60"/>
        <v>#NAME?</v>
      </c>
      <c r="L101" s="26" t="e">
        <f t="shared" si="61"/>
        <v>#NAME?</v>
      </c>
      <c r="M101" s="12" t="e">
        <f t="shared" si="62"/>
        <v>#NAME?</v>
      </c>
      <c r="N101" s="12"/>
      <c r="O101" s="26" t="e">
        <f t="shared" si="63"/>
        <v>#NAME?</v>
      </c>
      <c r="P101" s="26" t="e">
        <f t="shared" si="64"/>
        <v>#NAME?</v>
      </c>
      <c r="Q101" s="12" t="e">
        <f t="shared" si="65"/>
        <v>#NAME?</v>
      </c>
      <c r="R101" s="12"/>
      <c r="S101" s="26" t="e">
        <f t="shared" si="66"/>
        <v>#NAME?</v>
      </c>
      <c r="T101" s="26" t="e">
        <f t="shared" si="67"/>
        <v>#NAME?</v>
      </c>
      <c r="U101" s="12" t="e">
        <f t="shared" si="68"/>
        <v>#NAME?</v>
      </c>
      <c r="V101" s="12"/>
      <c r="W101" s="44" t="e">
        <f t="shared" si="69"/>
        <v>#NAME?</v>
      </c>
      <c r="X101" s="26" t="e">
        <f t="shared" si="70"/>
        <v>#NAME?</v>
      </c>
      <c r="Y101" s="12" t="e">
        <f t="shared" si="71"/>
        <v>#NAME?</v>
      </c>
    </row>
    <row r="102" spans="1:25" ht="16.5" customHeight="1" x14ac:dyDescent="0.3">
      <c r="A102" s="16" t="s">
        <v>54</v>
      </c>
      <c r="B102" s="17" t="s">
        <v>55</v>
      </c>
      <c r="C102" s="26" t="e">
        <f t="shared" si="54"/>
        <v>#NAME?</v>
      </c>
      <c r="D102" s="26" t="e">
        <f t="shared" si="55"/>
        <v>#NAME?</v>
      </c>
      <c r="E102" s="12" t="e">
        <f t="shared" si="56"/>
        <v>#NAME?</v>
      </c>
      <c r="F102" s="26"/>
      <c r="G102" s="26" t="e">
        <f t="shared" si="57"/>
        <v>#NAME?</v>
      </c>
      <c r="H102" s="26" t="e">
        <f t="shared" si="58"/>
        <v>#NAME?</v>
      </c>
      <c r="I102" s="12" t="e">
        <f t="shared" si="59"/>
        <v>#NAME?</v>
      </c>
      <c r="J102" s="26"/>
      <c r="K102" s="26" t="e">
        <f t="shared" si="60"/>
        <v>#NAME?</v>
      </c>
      <c r="L102" s="26" t="e">
        <f t="shared" si="61"/>
        <v>#NAME?</v>
      </c>
      <c r="M102" s="12" t="e">
        <f t="shared" si="62"/>
        <v>#NAME?</v>
      </c>
      <c r="N102" s="12"/>
      <c r="O102" s="26" t="e">
        <f t="shared" si="63"/>
        <v>#NAME?</v>
      </c>
      <c r="P102" s="26" t="e">
        <f t="shared" si="64"/>
        <v>#NAME?</v>
      </c>
      <c r="Q102" s="12" t="e">
        <f t="shared" si="65"/>
        <v>#NAME?</v>
      </c>
      <c r="R102" s="12"/>
      <c r="S102" s="26" t="e">
        <f t="shared" si="66"/>
        <v>#NAME?</v>
      </c>
      <c r="T102" s="26" t="e">
        <f t="shared" si="67"/>
        <v>#NAME?</v>
      </c>
      <c r="U102" s="12" t="e">
        <f t="shared" si="68"/>
        <v>#NAME?</v>
      </c>
      <c r="V102" s="12"/>
      <c r="W102" s="44" t="e">
        <f t="shared" si="69"/>
        <v>#NAME?</v>
      </c>
      <c r="X102" s="26" t="e">
        <f t="shared" si="70"/>
        <v>#NAME?</v>
      </c>
      <c r="Y102" s="12" t="e">
        <f t="shared" si="71"/>
        <v>#NAME?</v>
      </c>
    </row>
    <row r="103" spans="1:25" ht="16.5" customHeight="1" x14ac:dyDescent="0.3">
      <c r="A103" s="16" t="s">
        <v>66</v>
      </c>
      <c r="B103" s="32" t="s">
        <v>67</v>
      </c>
      <c r="C103" s="26" t="e">
        <f t="shared" si="54"/>
        <v>#NAME?</v>
      </c>
      <c r="D103" s="26" t="e">
        <f t="shared" si="55"/>
        <v>#NAME?</v>
      </c>
      <c r="E103" s="12" t="e">
        <f t="shared" si="56"/>
        <v>#NAME?</v>
      </c>
      <c r="F103" s="26"/>
      <c r="G103" s="26" t="e">
        <f t="shared" si="57"/>
        <v>#NAME?</v>
      </c>
      <c r="H103" s="26" t="e">
        <f t="shared" si="58"/>
        <v>#NAME?</v>
      </c>
      <c r="I103" s="12" t="e">
        <f t="shared" si="59"/>
        <v>#NAME?</v>
      </c>
      <c r="J103" s="26"/>
      <c r="K103" s="26" t="e">
        <f t="shared" si="60"/>
        <v>#NAME?</v>
      </c>
      <c r="L103" s="26" t="e">
        <f t="shared" si="61"/>
        <v>#NAME?</v>
      </c>
      <c r="M103" s="12" t="e">
        <f t="shared" si="62"/>
        <v>#NAME?</v>
      </c>
      <c r="N103" s="12"/>
      <c r="O103" s="26" t="e">
        <f t="shared" si="63"/>
        <v>#NAME?</v>
      </c>
      <c r="P103" s="26" t="e">
        <f t="shared" si="64"/>
        <v>#NAME?</v>
      </c>
      <c r="Q103" s="12" t="e">
        <f t="shared" si="65"/>
        <v>#NAME?</v>
      </c>
      <c r="R103" s="12"/>
      <c r="S103" s="26" t="e">
        <f t="shared" si="66"/>
        <v>#NAME?</v>
      </c>
      <c r="T103" s="26" t="e">
        <f t="shared" si="67"/>
        <v>#NAME?</v>
      </c>
      <c r="U103" s="12" t="e">
        <f t="shared" si="68"/>
        <v>#NAME?</v>
      </c>
      <c r="V103" s="12"/>
      <c r="W103" s="44" t="e">
        <f t="shared" si="69"/>
        <v>#NAME?</v>
      </c>
      <c r="X103" s="26" t="e">
        <f t="shared" si="70"/>
        <v>#NAME?</v>
      </c>
      <c r="Y103" s="12" t="e">
        <f t="shared" si="71"/>
        <v>#NAME?</v>
      </c>
    </row>
    <row r="104" spans="1:25" ht="16.5" customHeight="1" x14ac:dyDescent="0.3">
      <c r="A104" s="16" t="s">
        <v>82</v>
      </c>
      <c r="B104" s="32" t="s">
        <v>299</v>
      </c>
      <c r="C104" s="26" t="e">
        <f t="shared" si="54"/>
        <v>#NAME?</v>
      </c>
      <c r="D104" s="26" t="e">
        <f t="shared" si="55"/>
        <v>#NAME?</v>
      </c>
      <c r="E104" s="12" t="e">
        <f t="shared" si="56"/>
        <v>#NAME?</v>
      </c>
      <c r="F104" s="26"/>
      <c r="G104" s="26" t="e">
        <f t="shared" si="57"/>
        <v>#NAME?</v>
      </c>
      <c r="H104" s="26" t="e">
        <f t="shared" si="58"/>
        <v>#NAME?</v>
      </c>
      <c r="I104" s="12" t="e">
        <f t="shared" si="59"/>
        <v>#NAME?</v>
      </c>
      <c r="J104" s="26"/>
      <c r="K104" s="26" t="e">
        <f t="shared" si="60"/>
        <v>#NAME?</v>
      </c>
      <c r="L104" s="26" t="e">
        <f t="shared" si="61"/>
        <v>#NAME?</v>
      </c>
      <c r="M104" s="12" t="e">
        <f t="shared" si="62"/>
        <v>#NAME?</v>
      </c>
      <c r="N104" s="12"/>
      <c r="O104" s="26" t="e">
        <f t="shared" si="63"/>
        <v>#NAME?</v>
      </c>
      <c r="P104" s="26" t="e">
        <f t="shared" si="64"/>
        <v>#NAME?</v>
      </c>
      <c r="Q104" s="12" t="e">
        <f t="shared" si="65"/>
        <v>#NAME?</v>
      </c>
      <c r="R104" s="12"/>
      <c r="S104" s="26" t="e">
        <f t="shared" si="66"/>
        <v>#NAME?</v>
      </c>
      <c r="T104" s="26" t="e">
        <f t="shared" si="67"/>
        <v>#NAME?</v>
      </c>
      <c r="U104" s="12" t="e">
        <f t="shared" si="68"/>
        <v>#NAME?</v>
      </c>
      <c r="V104" s="12"/>
      <c r="W104" s="44" t="e">
        <f t="shared" si="69"/>
        <v>#NAME?</v>
      </c>
      <c r="X104" s="26" t="e">
        <f t="shared" si="70"/>
        <v>#NAME?</v>
      </c>
      <c r="Y104" s="12" t="e">
        <f t="shared" si="71"/>
        <v>#NAME?</v>
      </c>
    </row>
    <row r="105" spans="1:25" ht="16.5" customHeight="1" x14ac:dyDescent="0.3">
      <c r="A105" s="16" t="s">
        <v>88</v>
      </c>
      <c r="B105" s="32" t="s">
        <v>89</v>
      </c>
      <c r="C105" s="26" t="e">
        <f t="shared" si="54"/>
        <v>#NAME?</v>
      </c>
      <c r="D105" s="26" t="e">
        <f t="shared" si="55"/>
        <v>#NAME?</v>
      </c>
      <c r="E105" s="12" t="e">
        <f t="shared" si="56"/>
        <v>#NAME?</v>
      </c>
      <c r="F105" s="26"/>
      <c r="G105" s="26" t="e">
        <f t="shared" si="57"/>
        <v>#NAME?</v>
      </c>
      <c r="H105" s="26" t="e">
        <f t="shared" si="58"/>
        <v>#NAME?</v>
      </c>
      <c r="I105" s="12" t="e">
        <f t="shared" si="59"/>
        <v>#NAME?</v>
      </c>
      <c r="J105" s="26"/>
      <c r="K105" s="26" t="e">
        <f t="shared" si="60"/>
        <v>#NAME?</v>
      </c>
      <c r="L105" s="26" t="e">
        <f t="shared" si="61"/>
        <v>#NAME?</v>
      </c>
      <c r="M105" s="12" t="e">
        <f t="shared" si="62"/>
        <v>#NAME?</v>
      </c>
      <c r="N105" s="12"/>
      <c r="O105" s="26" t="e">
        <f t="shared" si="63"/>
        <v>#NAME?</v>
      </c>
      <c r="P105" s="26" t="e">
        <f t="shared" si="64"/>
        <v>#NAME?</v>
      </c>
      <c r="Q105" s="12" t="e">
        <f t="shared" si="65"/>
        <v>#NAME?</v>
      </c>
      <c r="R105" s="12"/>
      <c r="S105" s="26" t="e">
        <f t="shared" si="66"/>
        <v>#NAME?</v>
      </c>
      <c r="T105" s="26" t="e">
        <f t="shared" si="67"/>
        <v>#NAME?</v>
      </c>
      <c r="U105" s="12" t="e">
        <f t="shared" si="68"/>
        <v>#NAME?</v>
      </c>
      <c r="V105" s="12"/>
      <c r="W105" s="44" t="e">
        <f t="shared" si="69"/>
        <v>#NAME?</v>
      </c>
      <c r="X105" s="26" t="e">
        <f t="shared" si="70"/>
        <v>#NAME?</v>
      </c>
      <c r="Y105" s="12" t="e">
        <f t="shared" si="71"/>
        <v>#NAME?</v>
      </c>
    </row>
    <row r="106" spans="1:25" ht="16.5" customHeight="1" x14ac:dyDescent="0.3">
      <c r="A106" s="16" t="s">
        <v>90</v>
      </c>
      <c r="B106" s="32" t="s">
        <v>91</v>
      </c>
      <c r="C106" s="26" t="e">
        <f t="shared" si="54"/>
        <v>#NAME?</v>
      </c>
      <c r="D106" s="26" t="e">
        <f t="shared" si="55"/>
        <v>#NAME?</v>
      </c>
      <c r="E106" s="12" t="e">
        <f t="shared" si="56"/>
        <v>#NAME?</v>
      </c>
      <c r="F106" s="26"/>
      <c r="G106" s="26" t="e">
        <f t="shared" si="57"/>
        <v>#NAME?</v>
      </c>
      <c r="H106" s="26" t="e">
        <f t="shared" si="58"/>
        <v>#NAME?</v>
      </c>
      <c r="I106" s="12" t="e">
        <f t="shared" si="59"/>
        <v>#NAME?</v>
      </c>
      <c r="J106" s="26"/>
      <c r="K106" s="26" t="e">
        <f t="shared" si="60"/>
        <v>#NAME?</v>
      </c>
      <c r="L106" s="26" t="e">
        <f t="shared" si="61"/>
        <v>#NAME?</v>
      </c>
      <c r="M106" s="12" t="e">
        <f t="shared" si="62"/>
        <v>#NAME?</v>
      </c>
      <c r="N106" s="12"/>
      <c r="O106" s="26" t="e">
        <f t="shared" si="63"/>
        <v>#NAME?</v>
      </c>
      <c r="P106" s="26" t="e">
        <f t="shared" si="64"/>
        <v>#NAME?</v>
      </c>
      <c r="Q106" s="12" t="e">
        <f t="shared" si="65"/>
        <v>#NAME?</v>
      </c>
      <c r="R106" s="12"/>
      <c r="S106" s="26" t="e">
        <f t="shared" si="66"/>
        <v>#NAME?</v>
      </c>
      <c r="T106" s="26" t="e">
        <f t="shared" si="67"/>
        <v>#NAME?</v>
      </c>
      <c r="U106" s="12" t="e">
        <f t="shared" si="68"/>
        <v>#NAME?</v>
      </c>
      <c r="V106" s="12"/>
      <c r="W106" s="44" t="e">
        <f t="shared" si="69"/>
        <v>#NAME?</v>
      </c>
      <c r="X106" s="26" t="e">
        <f t="shared" si="70"/>
        <v>#NAME?</v>
      </c>
      <c r="Y106" s="12" t="e">
        <f t="shared" si="71"/>
        <v>#NAME?</v>
      </c>
    </row>
    <row r="107" spans="1:25" ht="16.5" customHeight="1" x14ac:dyDescent="0.3">
      <c r="A107" s="16" t="s">
        <v>106</v>
      </c>
      <c r="B107" s="17" t="s">
        <v>107</v>
      </c>
      <c r="C107" s="26" t="e">
        <f t="shared" si="54"/>
        <v>#NAME?</v>
      </c>
      <c r="D107" s="26" t="e">
        <f t="shared" si="55"/>
        <v>#NAME?</v>
      </c>
      <c r="E107" s="12" t="e">
        <f t="shared" si="56"/>
        <v>#NAME?</v>
      </c>
      <c r="F107" s="26"/>
      <c r="G107" s="26" t="e">
        <f t="shared" si="57"/>
        <v>#NAME?</v>
      </c>
      <c r="H107" s="26" t="e">
        <f t="shared" si="58"/>
        <v>#NAME?</v>
      </c>
      <c r="I107" s="12" t="e">
        <f t="shared" si="59"/>
        <v>#NAME?</v>
      </c>
      <c r="J107" s="26"/>
      <c r="K107" s="26" t="e">
        <f t="shared" si="60"/>
        <v>#NAME?</v>
      </c>
      <c r="L107" s="26" t="e">
        <f t="shared" si="61"/>
        <v>#NAME?</v>
      </c>
      <c r="M107" s="12" t="e">
        <f t="shared" si="62"/>
        <v>#NAME?</v>
      </c>
      <c r="N107" s="12"/>
      <c r="O107" s="26" t="e">
        <f t="shared" si="63"/>
        <v>#NAME?</v>
      </c>
      <c r="P107" s="26" t="e">
        <f t="shared" si="64"/>
        <v>#NAME?</v>
      </c>
      <c r="Q107" s="12" t="e">
        <f t="shared" si="65"/>
        <v>#NAME?</v>
      </c>
      <c r="R107" s="12"/>
      <c r="S107" s="26" t="e">
        <f t="shared" si="66"/>
        <v>#NAME?</v>
      </c>
      <c r="T107" s="26" t="e">
        <f t="shared" si="67"/>
        <v>#NAME?</v>
      </c>
      <c r="U107" s="12" t="e">
        <f t="shared" si="68"/>
        <v>#NAME?</v>
      </c>
      <c r="V107" s="12"/>
      <c r="W107" s="44" t="e">
        <f t="shared" si="69"/>
        <v>#NAME?</v>
      </c>
      <c r="X107" s="26" t="e">
        <f t="shared" si="70"/>
        <v>#NAME?</v>
      </c>
      <c r="Y107" s="12" t="e">
        <f t="shared" si="71"/>
        <v>#NAME?</v>
      </c>
    </row>
    <row r="108" spans="1:25" ht="16.5" customHeight="1" x14ac:dyDescent="0.3">
      <c r="A108" s="16" t="s">
        <v>116</v>
      </c>
      <c r="B108" s="32" t="s">
        <v>117</v>
      </c>
      <c r="C108" s="26" t="e">
        <f t="shared" si="54"/>
        <v>#NAME?</v>
      </c>
      <c r="D108" s="26" t="e">
        <f t="shared" si="55"/>
        <v>#NAME?</v>
      </c>
      <c r="E108" s="12" t="e">
        <f t="shared" si="56"/>
        <v>#NAME?</v>
      </c>
      <c r="F108" s="26"/>
      <c r="G108" s="26" t="e">
        <f t="shared" si="57"/>
        <v>#NAME?</v>
      </c>
      <c r="H108" s="26" t="e">
        <f t="shared" si="58"/>
        <v>#NAME?</v>
      </c>
      <c r="I108" s="12" t="e">
        <f t="shared" si="59"/>
        <v>#NAME?</v>
      </c>
      <c r="J108" s="26"/>
      <c r="K108" s="26" t="e">
        <f t="shared" si="60"/>
        <v>#NAME?</v>
      </c>
      <c r="L108" s="26" t="e">
        <f t="shared" si="61"/>
        <v>#NAME?</v>
      </c>
      <c r="M108" s="12" t="e">
        <f t="shared" si="62"/>
        <v>#NAME?</v>
      </c>
      <c r="N108" s="12"/>
      <c r="O108" s="26" t="e">
        <f t="shared" si="63"/>
        <v>#NAME?</v>
      </c>
      <c r="P108" s="26" t="e">
        <f t="shared" si="64"/>
        <v>#NAME?</v>
      </c>
      <c r="Q108" s="12" t="e">
        <f t="shared" si="65"/>
        <v>#NAME?</v>
      </c>
      <c r="R108" s="12"/>
      <c r="S108" s="26" t="e">
        <f t="shared" si="66"/>
        <v>#NAME?</v>
      </c>
      <c r="T108" s="26" t="e">
        <f t="shared" si="67"/>
        <v>#NAME?</v>
      </c>
      <c r="U108" s="12" t="e">
        <f t="shared" si="68"/>
        <v>#NAME?</v>
      </c>
      <c r="V108" s="12"/>
      <c r="W108" s="44" t="e">
        <f t="shared" si="69"/>
        <v>#NAME?</v>
      </c>
      <c r="X108" s="26" t="e">
        <f t="shared" si="70"/>
        <v>#NAME?</v>
      </c>
      <c r="Y108" s="12" t="e">
        <f t="shared" si="71"/>
        <v>#NAME?</v>
      </c>
    </row>
    <row r="109" spans="1:25" ht="16.5" customHeight="1" x14ac:dyDescent="0.3">
      <c r="A109" s="16" t="s">
        <v>138</v>
      </c>
      <c r="B109" s="32" t="s">
        <v>139</v>
      </c>
      <c r="C109" s="26" t="e">
        <f t="shared" si="54"/>
        <v>#NAME?</v>
      </c>
      <c r="D109" s="26" t="e">
        <f t="shared" si="55"/>
        <v>#NAME?</v>
      </c>
      <c r="E109" s="12" t="e">
        <f t="shared" si="56"/>
        <v>#NAME?</v>
      </c>
      <c r="F109" s="26"/>
      <c r="G109" s="26" t="e">
        <f t="shared" si="57"/>
        <v>#NAME?</v>
      </c>
      <c r="H109" s="26" t="e">
        <f t="shared" si="58"/>
        <v>#NAME?</v>
      </c>
      <c r="I109" s="12" t="e">
        <f t="shared" si="59"/>
        <v>#NAME?</v>
      </c>
      <c r="J109" s="26"/>
      <c r="K109" s="26" t="e">
        <f t="shared" si="60"/>
        <v>#NAME?</v>
      </c>
      <c r="L109" s="26" t="e">
        <f t="shared" si="61"/>
        <v>#NAME?</v>
      </c>
      <c r="M109" s="12" t="e">
        <f t="shared" si="62"/>
        <v>#NAME?</v>
      </c>
      <c r="N109" s="12"/>
      <c r="O109" s="26" t="e">
        <f t="shared" si="63"/>
        <v>#NAME?</v>
      </c>
      <c r="P109" s="26" t="e">
        <f t="shared" si="64"/>
        <v>#NAME?</v>
      </c>
      <c r="Q109" s="12" t="e">
        <f t="shared" si="65"/>
        <v>#NAME?</v>
      </c>
      <c r="R109" s="12"/>
      <c r="S109" s="26" t="e">
        <f t="shared" si="66"/>
        <v>#NAME?</v>
      </c>
      <c r="T109" s="26" t="e">
        <f t="shared" si="67"/>
        <v>#NAME?</v>
      </c>
      <c r="U109" s="12" t="e">
        <f t="shared" si="68"/>
        <v>#NAME?</v>
      </c>
      <c r="V109" s="12"/>
      <c r="W109" s="44" t="e">
        <f t="shared" si="69"/>
        <v>#NAME?</v>
      </c>
      <c r="X109" s="26" t="e">
        <f t="shared" si="70"/>
        <v>#NAME?</v>
      </c>
      <c r="Y109" s="12" t="e">
        <f t="shared" si="71"/>
        <v>#NAME?</v>
      </c>
    </row>
    <row r="110" spans="1:25" ht="16.5" customHeight="1" x14ac:dyDescent="0.3">
      <c r="A110" s="16" t="s">
        <v>142</v>
      </c>
      <c r="B110" s="17" t="s">
        <v>143</v>
      </c>
      <c r="C110" s="26" t="e">
        <f t="shared" si="54"/>
        <v>#NAME?</v>
      </c>
      <c r="D110" s="26" t="e">
        <f t="shared" si="55"/>
        <v>#NAME?</v>
      </c>
      <c r="E110" s="12" t="e">
        <f t="shared" si="56"/>
        <v>#NAME?</v>
      </c>
      <c r="F110" s="26"/>
      <c r="G110" s="26" t="e">
        <f t="shared" si="57"/>
        <v>#NAME?</v>
      </c>
      <c r="H110" s="26" t="e">
        <f t="shared" si="58"/>
        <v>#NAME?</v>
      </c>
      <c r="I110" s="12" t="e">
        <f t="shared" si="59"/>
        <v>#NAME?</v>
      </c>
      <c r="J110" s="26"/>
      <c r="K110" s="26" t="e">
        <f t="shared" si="60"/>
        <v>#NAME?</v>
      </c>
      <c r="L110" s="26" t="e">
        <f t="shared" si="61"/>
        <v>#NAME?</v>
      </c>
      <c r="M110" s="12" t="e">
        <f t="shared" si="62"/>
        <v>#NAME?</v>
      </c>
      <c r="N110" s="12"/>
      <c r="O110" s="26" t="e">
        <f t="shared" si="63"/>
        <v>#NAME?</v>
      </c>
      <c r="P110" s="26" t="e">
        <f t="shared" si="64"/>
        <v>#NAME?</v>
      </c>
      <c r="Q110" s="12" t="e">
        <f t="shared" si="65"/>
        <v>#NAME?</v>
      </c>
      <c r="R110" s="12"/>
      <c r="S110" s="26" t="e">
        <f t="shared" si="66"/>
        <v>#NAME?</v>
      </c>
      <c r="T110" s="26" t="e">
        <f t="shared" si="67"/>
        <v>#NAME?</v>
      </c>
      <c r="U110" s="12" t="e">
        <f t="shared" si="68"/>
        <v>#NAME?</v>
      </c>
      <c r="V110" s="12"/>
      <c r="W110" s="44" t="e">
        <f t="shared" si="69"/>
        <v>#NAME?</v>
      </c>
      <c r="X110" s="26" t="e">
        <f t="shared" si="70"/>
        <v>#NAME?</v>
      </c>
      <c r="Y110" s="12" t="e">
        <f t="shared" si="71"/>
        <v>#NAME?</v>
      </c>
    </row>
    <row r="111" spans="1:25" ht="16.5" customHeight="1" x14ac:dyDescent="0.3">
      <c r="A111" s="16" t="s">
        <v>144</v>
      </c>
      <c r="B111" s="17" t="s">
        <v>145</v>
      </c>
      <c r="C111" s="26" t="e">
        <f t="shared" si="54"/>
        <v>#NAME?</v>
      </c>
      <c r="D111" s="26" t="e">
        <f t="shared" si="55"/>
        <v>#NAME?</v>
      </c>
      <c r="E111" s="12" t="e">
        <f t="shared" si="56"/>
        <v>#NAME?</v>
      </c>
      <c r="F111" s="26"/>
      <c r="G111" s="26" t="e">
        <f t="shared" si="57"/>
        <v>#NAME?</v>
      </c>
      <c r="H111" s="26" t="e">
        <f t="shared" si="58"/>
        <v>#NAME?</v>
      </c>
      <c r="I111" s="12" t="e">
        <f t="shared" si="59"/>
        <v>#NAME?</v>
      </c>
      <c r="J111" s="26"/>
      <c r="K111" s="26" t="e">
        <f t="shared" si="60"/>
        <v>#NAME?</v>
      </c>
      <c r="L111" s="26" t="e">
        <f t="shared" si="61"/>
        <v>#NAME?</v>
      </c>
      <c r="M111" s="12" t="e">
        <f t="shared" si="62"/>
        <v>#NAME?</v>
      </c>
      <c r="N111" s="12"/>
      <c r="O111" s="26" t="e">
        <f t="shared" si="63"/>
        <v>#NAME?</v>
      </c>
      <c r="P111" s="26" t="e">
        <f t="shared" si="64"/>
        <v>#NAME?</v>
      </c>
      <c r="Q111" s="12" t="e">
        <f t="shared" si="65"/>
        <v>#NAME?</v>
      </c>
      <c r="R111" s="12"/>
      <c r="S111" s="26" t="e">
        <f t="shared" si="66"/>
        <v>#NAME?</v>
      </c>
      <c r="T111" s="26" t="e">
        <f t="shared" si="67"/>
        <v>#NAME?</v>
      </c>
      <c r="U111" s="12" t="e">
        <f t="shared" si="68"/>
        <v>#NAME?</v>
      </c>
      <c r="V111" s="12"/>
      <c r="W111" s="44" t="e">
        <f t="shared" si="69"/>
        <v>#NAME?</v>
      </c>
      <c r="X111" s="26" t="e">
        <f t="shared" si="70"/>
        <v>#NAME?</v>
      </c>
      <c r="Y111" s="12" t="e">
        <f t="shared" si="71"/>
        <v>#NAME?</v>
      </c>
    </row>
    <row r="112" spans="1:25" ht="16.5" customHeight="1" x14ac:dyDescent="0.3">
      <c r="A112" s="16" t="s">
        <v>158</v>
      </c>
      <c r="B112" s="17" t="s">
        <v>159</v>
      </c>
      <c r="C112" s="26" t="e">
        <f t="shared" si="54"/>
        <v>#NAME?</v>
      </c>
      <c r="D112" s="26" t="e">
        <f t="shared" si="55"/>
        <v>#NAME?</v>
      </c>
      <c r="E112" s="12" t="e">
        <f t="shared" si="56"/>
        <v>#NAME?</v>
      </c>
      <c r="F112" s="26"/>
      <c r="G112" s="26" t="e">
        <f t="shared" si="57"/>
        <v>#NAME?</v>
      </c>
      <c r="H112" s="26" t="e">
        <f t="shared" si="58"/>
        <v>#NAME?</v>
      </c>
      <c r="I112" s="12" t="e">
        <f t="shared" si="59"/>
        <v>#NAME?</v>
      </c>
      <c r="J112" s="26"/>
      <c r="K112" s="26" t="e">
        <f t="shared" si="60"/>
        <v>#NAME?</v>
      </c>
      <c r="L112" s="26" t="e">
        <f t="shared" si="61"/>
        <v>#NAME?</v>
      </c>
      <c r="M112" s="12" t="e">
        <f t="shared" si="62"/>
        <v>#NAME?</v>
      </c>
      <c r="N112" s="12"/>
      <c r="O112" s="26" t="e">
        <f t="shared" si="63"/>
        <v>#NAME?</v>
      </c>
      <c r="P112" s="26" t="e">
        <f t="shared" si="64"/>
        <v>#NAME?</v>
      </c>
      <c r="Q112" s="12" t="e">
        <f t="shared" si="65"/>
        <v>#NAME?</v>
      </c>
      <c r="R112" s="12"/>
      <c r="S112" s="26" t="e">
        <f t="shared" si="66"/>
        <v>#NAME?</v>
      </c>
      <c r="T112" s="26" t="e">
        <f t="shared" si="67"/>
        <v>#NAME?</v>
      </c>
      <c r="U112" s="12" t="e">
        <f t="shared" si="68"/>
        <v>#NAME?</v>
      </c>
      <c r="V112" s="12"/>
      <c r="W112" s="44" t="e">
        <f t="shared" si="69"/>
        <v>#NAME?</v>
      </c>
      <c r="X112" s="26" t="e">
        <f t="shared" si="70"/>
        <v>#NAME?</v>
      </c>
      <c r="Y112" s="12" t="e">
        <f t="shared" si="71"/>
        <v>#NAME?</v>
      </c>
    </row>
    <row r="113" spans="1:25" ht="16.5" customHeight="1" x14ac:dyDescent="0.3">
      <c r="A113" s="16" t="s">
        <v>160</v>
      </c>
      <c r="B113" s="17" t="s">
        <v>161</v>
      </c>
      <c r="C113" s="26" t="e">
        <f t="shared" si="54"/>
        <v>#NAME?</v>
      </c>
      <c r="D113" s="26" t="e">
        <f t="shared" si="55"/>
        <v>#NAME?</v>
      </c>
      <c r="E113" s="12" t="e">
        <f t="shared" si="56"/>
        <v>#NAME?</v>
      </c>
      <c r="F113" s="26"/>
      <c r="G113" s="26" t="e">
        <f t="shared" si="57"/>
        <v>#NAME?</v>
      </c>
      <c r="H113" s="26" t="e">
        <f t="shared" si="58"/>
        <v>#NAME?</v>
      </c>
      <c r="I113" s="12" t="e">
        <f t="shared" si="59"/>
        <v>#NAME?</v>
      </c>
      <c r="J113" s="26"/>
      <c r="K113" s="26" t="e">
        <f t="shared" si="60"/>
        <v>#NAME?</v>
      </c>
      <c r="L113" s="26" t="e">
        <f t="shared" si="61"/>
        <v>#NAME?</v>
      </c>
      <c r="M113" s="12" t="e">
        <f t="shared" si="62"/>
        <v>#NAME?</v>
      </c>
      <c r="N113" s="12"/>
      <c r="O113" s="26" t="e">
        <f t="shared" si="63"/>
        <v>#NAME?</v>
      </c>
      <c r="P113" s="26" t="e">
        <f t="shared" si="64"/>
        <v>#NAME?</v>
      </c>
      <c r="Q113" s="12" t="e">
        <f t="shared" si="65"/>
        <v>#NAME?</v>
      </c>
      <c r="R113" s="12"/>
      <c r="S113" s="26" t="e">
        <f t="shared" si="66"/>
        <v>#NAME?</v>
      </c>
      <c r="T113" s="26" t="e">
        <f t="shared" si="67"/>
        <v>#NAME?</v>
      </c>
      <c r="U113" s="12" t="e">
        <f t="shared" si="68"/>
        <v>#NAME?</v>
      </c>
      <c r="V113" s="12"/>
      <c r="W113" s="44" t="e">
        <f t="shared" si="69"/>
        <v>#NAME?</v>
      </c>
      <c r="X113" s="26" t="e">
        <f t="shared" si="70"/>
        <v>#NAME?</v>
      </c>
      <c r="Y113" s="12" t="e">
        <f t="shared" si="71"/>
        <v>#NAME?</v>
      </c>
    </row>
    <row r="114" spans="1:25" ht="16.5" customHeight="1" x14ac:dyDescent="0.3">
      <c r="A114" s="16" t="s">
        <v>166</v>
      </c>
      <c r="B114" s="32" t="s">
        <v>167</v>
      </c>
      <c r="C114" s="26" t="e">
        <f t="shared" si="54"/>
        <v>#NAME?</v>
      </c>
      <c r="D114" s="26" t="e">
        <f t="shared" si="55"/>
        <v>#NAME?</v>
      </c>
      <c r="E114" s="12" t="e">
        <f t="shared" si="56"/>
        <v>#NAME?</v>
      </c>
      <c r="F114" s="26"/>
      <c r="G114" s="26" t="e">
        <f t="shared" si="57"/>
        <v>#NAME?</v>
      </c>
      <c r="H114" s="26" t="e">
        <f t="shared" si="58"/>
        <v>#NAME?</v>
      </c>
      <c r="I114" s="12" t="e">
        <f t="shared" si="59"/>
        <v>#NAME?</v>
      </c>
      <c r="J114" s="26"/>
      <c r="K114" s="26" t="e">
        <f t="shared" si="60"/>
        <v>#NAME?</v>
      </c>
      <c r="L114" s="26" t="e">
        <f t="shared" si="61"/>
        <v>#NAME?</v>
      </c>
      <c r="M114" s="12" t="e">
        <f t="shared" si="62"/>
        <v>#NAME?</v>
      </c>
      <c r="N114" s="12"/>
      <c r="O114" s="26" t="e">
        <f t="shared" si="63"/>
        <v>#NAME?</v>
      </c>
      <c r="P114" s="26" t="e">
        <f t="shared" si="64"/>
        <v>#NAME?</v>
      </c>
      <c r="Q114" s="12" t="e">
        <f t="shared" si="65"/>
        <v>#NAME?</v>
      </c>
      <c r="R114" s="12"/>
      <c r="S114" s="26" t="e">
        <f t="shared" si="66"/>
        <v>#NAME?</v>
      </c>
      <c r="T114" s="26" t="e">
        <f t="shared" si="67"/>
        <v>#NAME?</v>
      </c>
      <c r="U114" s="12" t="e">
        <f t="shared" si="68"/>
        <v>#NAME?</v>
      </c>
      <c r="V114" s="12"/>
      <c r="W114" s="44" t="e">
        <f t="shared" si="69"/>
        <v>#NAME?</v>
      </c>
      <c r="X114" s="26" t="e">
        <f t="shared" si="70"/>
        <v>#NAME?</v>
      </c>
      <c r="Y114" s="12" t="e">
        <f t="shared" si="71"/>
        <v>#NAME?</v>
      </c>
    </row>
    <row r="115" spans="1:25" ht="16.5" customHeight="1" x14ac:dyDescent="0.3">
      <c r="A115" s="16" t="s">
        <v>176</v>
      </c>
      <c r="B115" s="32" t="s">
        <v>177</v>
      </c>
      <c r="C115" s="26" t="e">
        <f t="shared" si="54"/>
        <v>#NAME?</v>
      </c>
      <c r="D115" s="26" t="e">
        <f t="shared" si="55"/>
        <v>#NAME?</v>
      </c>
      <c r="E115" s="12" t="e">
        <f t="shared" si="56"/>
        <v>#NAME?</v>
      </c>
      <c r="F115" s="26"/>
      <c r="G115" s="26" t="e">
        <f t="shared" si="57"/>
        <v>#NAME?</v>
      </c>
      <c r="H115" s="26" t="e">
        <f t="shared" si="58"/>
        <v>#NAME?</v>
      </c>
      <c r="I115" s="12" t="e">
        <f t="shared" si="59"/>
        <v>#NAME?</v>
      </c>
      <c r="J115" s="26"/>
      <c r="K115" s="26" t="e">
        <f t="shared" si="60"/>
        <v>#NAME?</v>
      </c>
      <c r="L115" s="26" t="e">
        <f t="shared" si="61"/>
        <v>#NAME?</v>
      </c>
      <c r="M115" s="12" t="e">
        <f t="shared" si="62"/>
        <v>#NAME?</v>
      </c>
      <c r="N115" s="12"/>
      <c r="O115" s="26" t="e">
        <f t="shared" si="63"/>
        <v>#NAME?</v>
      </c>
      <c r="P115" s="26" t="e">
        <f t="shared" si="64"/>
        <v>#NAME?</v>
      </c>
      <c r="Q115" s="12" t="e">
        <f t="shared" si="65"/>
        <v>#NAME?</v>
      </c>
      <c r="R115" s="12"/>
      <c r="S115" s="26" t="e">
        <f t="shared" si="66"/>
        <v>#NAME?</v>
      </c>
      <c r="T115" s="26" t="e">
        <f t="shared" si="67"/>
        <v>#NAME?</v>
      </c>
      <c r="U115" s="12" t="e">
        <f t="shared" si="68"/>
        <v>#NAME?</v>
      </c>
      <c r="V115" s="12"/>
      <c r="W115" s="44" t="e">
        <f t="shared" si="69"/>
        <v>#NAME?</v>
      </c>
      <c r="X115" s="26" t="e">
        <f t="shared" si="70"/>
        <v>#NAME?</v>
      </c>
      <c r="Y115" s="12" t="e">
        <f t="shared" si="71"/>
        <v>#NAME?</v>
      </c>
    </row>
    <row r="116" spans="1:25" ht="16.5" customHeight="1" x14ac:dyDescent="0.3">
      <c r="A116" s="16" t="s">
        <v>180</v>
      </c>
      <c r="B116" s="32" t="s">
        <v>181</v>
      </c>
      <c r="C116" s="26" t="e">
        <f t="shared" si="54"/>
        <v>#NAME?</v>
      </c>
      <c r="D116" s="26" t="e">
        <f t="shared" si="55"/>
        <v>#NAME?</v>
      </c>
      <c r="E116" s="12" t="e">
        <f t="shared" si="56"/>
        <v>#NAME?</v>
      </c>
      <c r="F116" s="26"/>
      <c r="G116" s="26" t="e">
        <f t="shared" si="57"/>
        <v>#NAME?</v>
      </c>
      <c r="H116" s="26" t="e">
        <f t="shared" si="58"/>
        <v>#NAME?</v>
      </c>
      <c r="I116" s="12" t="e">
        <f t="shared" si="59"/>
        <v>#NAME?</v>
      </c>
      <c r="J116" s="26"/>
      <c r="K116" s="26" t="e">
        <f t="shared" si="60"/>
        <v>#NAME?</v>
      </c>
      <c r="L116" s="26" t="e">
        <f t="shared" si="61"/>
        <v>#NAME?</v>
      </c>
      <c r="M116" s="12" t="e">
        <f t="shared" si="62"/>
        <v>#NAME?</v>
      </c>
      <c r="N116" s="12"/>
      <c r="O116" s="26" t="e">
        <f t="shared" si="63"/>
        <v>#NAME?</v>
      </c>
      <c r="P116" s="26" t="e">
        <f t="shared" si="64"/>
        <v>#NAME?</v>
      </c>
      <c r="Q116" s="12" t="e">
        <f t="shared" si="65"/>
        <v>#NAME?</v>
      </c>
      <c r="R116" s="12"/>
      <c r="S116" s="26" t="e">
        <f t="shared" si="66"/>
        <v>#NAME?</v>
      </c>
      <c r="T116" s="26" t="e">
        <f t="shared" si="67"/>
        <v>#NAME?</v>
      </c>
      <c r="U116" s="12" t="e">
        <f t="shared" si="68"/>
        <v>#NAME?</v>
      </c>
      <c r="V116" s="12"/>
      <c r="W116" s="44" t="e">
        <f t="shared" si="69"/>
        <v>#NAME?</v>
      </c>
      <c r="X116" s="26" t="e">
        <f t="shared" si="70"/>
        <v>#NAME?</v>
      </c>
      <c r="Y116" s="12" t="e">
        <f t="shared" si="71"/>
        <v>#NAME?</v>
      </c>
    </row>
    <row r="117" spans="1:25" ht="16.5" customHeight="1" x14ac:dyDescent="0.3">
      <c r="A117" s="16" t="s">
        <v>192</v>
      </c>
      <c r="B117" s="17" t="s">
        <v>193</v>
      </c>
      <c r="C117" s="26" t="e">
        <f t="shared" si="54"/>
        <v>#NAME?</v>
      </c>
      <c r="D117" s="26" t="e">
        <f t="shared" si="55"/>
        <v>#NAME?</v>
      </c>
      <c r="E117" s="12" t="e">
        <f t="shared" si="56"/>
        <v>#NAME?</v>
      </c>
      <c r="F117" s="26"/>
      <c r="G117" s="26" t="e">
        <f t="shared" si="57"/>
        <v>#NAME?</v>
      </c>
      <c r="H117" s="26" t="e">
        <f t="shared" si="58"/>
        <v>#NAME?</v>
      </c>
      <c r="I117" s="12" t="e">
        <f t="shared" si="59"/>
        <v>#NAME?</v>
      </c>
      <c r="J117" s="26"/>
      <c r="K117" s="26" t="e">
        <f t="shared" si="60"/>
        <v>#NAME?</v>
      </c>
      <c r="L117" s="26" t="e">
        <f t="shared" si="61"/>
        <v>#NAME?</v>
      </c>
      <c r="M117" s="12" t="e">
        <f t="shared" si="62"/>
        <v>#NAME?</v>
      </c>
      <c r="N117" s="12"/>
      <c r="O117" s="26" t="e">
        <f t="shared" si="63"/>
        <v>#NAME?</v>
      </c>
      <c r="P117" s="26" t="e">
        <f t="shared" si="64"/>
        <v>#NAME?</v>
      </c>
      <c r="Q117" s="12" t="e">
        <f t="shared" si="65"/>
        <v>#NAME?</v>
      </c>
      <c r="R117" s="12"/>
      <c r="S117" s="26" t="e">
        <f t="shared" si="66"/>
        <v>#NAME?</v>
      </c>
      <c r="T117" s="26" t="e">
        <f t="shared" si="67"/>
        <v>#NAME?</v>
      </c>
      <c r="U117" s="12" t="e">
        <f t="shared" si="68"/>
        <v>#NAME?</v>
      </c>
      <c r="V117" s="12"/>
      <c r="W117" s="44" t="e">
        <f t="shared" si="69"/>
        <v>#NAME?</v>
      </c>
      <c r="X117" s="26" t="e">
        <f t="shared" si="70"/>
        <v>#NAME?</v>
      </c>
      <c r="Y117" s="12" t="e">
        <f t="shared" si="71"/>
        <v>#NAME?</v>
      </c>
    </row>
    <row r="118" spans="1:25" ht="16.5" customHeight="1" x14ac:dyDescent="0.3">
      <c r="A118" s="16" t="s">
        <v>196</v>
      </c>
      <c r="B118" s="32" t="s">
        <v>300</v>
      </c>
      <c r="C118" s="26" t="e">
        <f t="shared" si="54"/>
        <v>#NAME?</v>
      </c>
      <c r="D118" s="26" t="e">
        <f t="shared" si="55"/>
        <v>#NAME?</v>
      </c>
      <c r="E118" s="12" t="e">
        <f t="shared" si="56"/>
        <v>#NAME?</v>
      </c>
      <c r="F118" s="26"/>
      <c r="G118" s="26" t="e">
        <f t="shared" si="57"/>
        <v>#NAME?</v>
      </c>
      <c r="H118" s="26" t="e">
        <f t="shared" si="58"/>
        <v>#NAME?</v>
      </c>
      <c r="I118" s="12" t="e">
        <f t="shared" si="59"/>
        <v>#NAME?</v>
      </c>
      <c r="J118" s="26"/>
      <c r="K118" s="26" t="e">
        <f t="shared" si="60"/>
        <v>#NAME?</v>
      </c>
      <c r="L118" s="26" t="e">
        <f t="shared" si="61"/>
        <v>#NAME?</v>
      </c>
      <c r="M118" s="12" t="e">
        <f t="shared" si="62"/>
        <v>#NAME?</v>
      </c>
      <c r="N118" s="12"/>
      <c r="O118" s="26" t="e">
        <f t="shared" si="63"/>
        <v>#NAME?</v>
      </c>
      <c r="P118" s="26" t="e">
        <f t="shared" si="64"/>
        <v>#NAME?</v>
      </c>
      <c r="Q118" s="12" t="e">
        <f t="shared" si="65"/>
        <v>#NAME?</v>
      </c>
      <c r="R118" s="12"/>
      <c r="S118" s="26" t="e">
        <f t="shared" si="66"/>
        <v>#NAME?</v>
      </c>
      <c r="T118" s="26" t="e">
        <f t="shared" si="67"/>
        <v>#NAME?</v>
      </c>
      <c r="U118" s="12" t="e">
        <f t="shared" si="68"/>
        <v>#NAME?</v>
      </c>
      <c r="V118" s="12"/>
      <c r="W118" s="44" t="e">
        <f t="shared" si="69"/>
        <v>#NAME?</v>
      </c>
      <c r="X118" s="26" t="e">
        <f t="shared" si="70"/>
        <v>#NAME?</v>
      </c>
      <c r="Y118" s="12" t="e">
        <f t="shared" si="71"/>
        <v>#NAME?</v>
      </c>
    </row>
    <row r="119" spans="1:25" ht="16.5" customHeight="1" x14ac:dyDescent="0.3">
      <c r="A119" s="16" t="s">
        <v>200</v>
      </c>
      <c r="B119" s="32" t="s">
        <v>301</v>
      </c>
      <c r="C119" s="26" t="e">
        <f t="shared" si="54"/>
        <v>#NAME?</v>
      </c>
      <c r="D119" s="26" t="e">
        <f t="shared" si="55"/>
        <v>#NAME?</v>
      </c>
      <c r="E119" s="12" t="e">
        <f t="shared" si="56"/>
        <v>#NAME?</v>
      </c>
      <c r="F119" s="26"/>
      <c r="G119" s="26" t="e">
        <f t="shared" si="57"/>
        <v>#NAME?</v>
      </c>
      <c r="H119" s="26" t="e">
        <f t="shared" si="58"/>
        <v>#NAME?</v>
      </c>
      <c r="I119" s="12" t="e">
        <f t="shared" si="59"/>
        <v>#NAME?</v>
      </c>
      <c r="J119" s="26"/>
      <c r="K119" s="26" t="e">
        <f t="shared" si="60"/>
        <v>#NAME?</v>
      </c>
      <c r="L119" s="26" t="e">
        <f t="shared" si="61"/>
        <v>#NAME?</v>
      </c>
      <c r="M119" s="12" t="e">
        <f t="shared" si="62"/>
        <v>#NAME?</v>
      </c>
      <c r="N119" s="12"/>
      <c r="O119" s="26" t="e">
        <f t="shared" si="63"/>
        <v>#NAME?</v>
      </c>
      <c r="P119" s="26" t="e">
        <f t="shared" si="64"/>
        <v>#NAME?</v>
      </c>
      <c r="Q119" s="12" t="e">
        <f t="shared" si="65"/>
        <v>#NAME?</v>
      </c>
      <c r="R119" s="12"/>
      <c r="S119" s="26" t="e">
        <f t="shared" si="66"/>
        <v>#NAME?</v>
      </c>
      <c r="T119" s="26" t="e">
        <f t="shared" si="67"/>
        <v>#NAME?</v>
      </c>
      <c r="U119" s="12" t="e">
        <f t="shared" si="68"/>
        <v>#NAME?</v>
      </c>
      <c r="V119" s="12"/>
      <c r="W119" s="44" t="e">
        <f t="shared" si="69"/>
        <v>#NAME?</v>
      </c>
      <c r="X119" s="26" t="e">
        <f t="shared" si="70"/>
        <v>#NAME?</v>
      </c>
      <c r="Y119" s="12" t="e">
        <f t="shared" si="71"/>
        <v>#NAME?</v>
      </c>
    </row>
    <row r="120" spans="1:25" ht="16.5" customHeight="1" x14ac:dyDescent="0.3">
      <c r="A120" s="16" t="s">
        <v>222</v>
      </c>
      <c r="B120" s="17" t="s">
        <v>223</v>
      </c>
      <c r="C120" s="26" t="e">
        <f t="shared" si="54"/>
        <v>#NAME?</v>
      </c>
      <c r="D120" s="26" t="e">
        <f t="shared" si="55"/>
        <v>#NAME?</v>
      </c>
      <c r="E120" s="12" t="e">
        <f t="shared" si="56"/>
        <v>#NAME?</v>
      </c>
      <c r="F120" s="26"/>
      <c r="G120" s="26" t="e">
        <f t="shared" si="57"/>
        <v>#NAME?</v>
      </c>
      <c r="H120" s="26" t="e">
        <f t="shared" si="58"/>
        <v>#NAME?</v>
      </c>
      <c r="I120" s="12" t="e">
        <f t="shared" si="59"/>
        <v>#NAME?</v>
      </c>
      <c r="J120" s="26"/>
      <c r="K120" s="26" t="e">
        <f t="shared" si="60"/>
        <v>#NAME?</v>
      </c>
      <c r="L120" s="26" t="e">
        <f t="shared" si="61"/>
        <v>#NAME?</v>
      </c>
      <c r="M120" s="12" t="e">
        <f t="shared" si="62"/>
        <v>#NAME?</v>
      </c>
      <c r="N120" s="12"/>
      <c r="O120" s="26" t="e">
        <f t="shared" si="63"/>
        <v>#NAME?</v>
      </c>
      <c r="P120" s="26" t="e">
        <f t="shared" si="64"/>
        <v>#NAME?</v>
      </c>
      <c r="Q120" s="12" t="e">
        <f t="shared" si="65"/>
        <v>#NAME?</v>
      </c>
      <c r="R120" s="12"/>
      <c r="S120" s="26" t="e">
        <f t="shared" si="66"/>
        <v>#NAME?</v>
      </c>
      <c r="T120" s="26" t="e">
        <f t="shared" si="67"/>
        <v>#NAME?</v>
      </c>
      <c r="U120" s="12" t="e">
        <f t="shared" si="68"/>
        <v>#NAME?</v>
      </c>
      <c r="V120" s="12"/>
      <c r="W120" s="44" t="e">
        <f t="shared" si="69"/>
        <v>#NAME?</v>
      </c>
      <c r="X120" s="26" t="e">
        <f t="shared" si="70"/>
        <v>#NAME?</v>
      </c>
      <c r="Y120" s="12" t="e">
        <f t="shared" si="71"/>
        <v>#NAME?</v>
      </c>
    </row>
    <row r="121" spans="1:25" ht="16.5" customHeight="1" x14ac:dyDescent="0.3">
      <c r="A121" s="16" t="s">
        <v>230</v>
      </c>
      <c r="B121" s="17" t="s">
        <v>231</v>
      </c>
      <c r="C121" s="26" t="e">
        <f t="shared" si="54"/>
        <v>#NAME?</v>
      </c>
      <c r="D121" s="26" t="e">
        <f t="shared" si="55"/>
        <v>#NAME?</v>
      </c>
      <c r="E121" s="12" t="e">
        <f t="shared" si="56"/>
        <v>#NAME?</v>
      </c>
      <c r="F121" s="26"/>
      <c r="G121" s="26" t="e">
        <f t="shared" si="57"/>
        <v>#NAME?</v>
      </c>
      <c r="H121" s="26" t="e">
        <f t="shared" si="58"/>
        <v>#NAME?</v>
      </c>
      <c r="I121" s="12" t="e">
        <f t="shared" si="59"/>
        <v>#NAME?</v>
      </c>
      <c r="J121" s="26"/>
      <c r="K121" s="26" t="e">
        <f t="shared" si="60"/>
        <v>#NAME?</v>
      </c>
      <c r="L121" s="26" t="e">
        <f t="shared" si="61"/>
        <v>#NAME?</v>
      </c>
      <c r="M121" s="12" t="e">
        <f t="shared" si="62"/>
        <v>#NAME?</v>
      </c>
      <c r="N121" s="12"/>
      <c r="O121" s="26" t="e">
        <f t="shared" si="63"/>
        <v>#NAME?</v>
      </c>
      <c r="P121" s="26" t="e">
        <f t="shared" si="64"/>
        <v>#NAME?</v>
      </c>
      <c r="Q121" s="12" t="e">
        <f t="shared" si="65"/>
        <v>#NAME?</v>
      </c>
      <c r="R121" s="12"/>
      <c r="S121" s="26" t="e">
        <f t="shared" si="66"/>
        <v>#NAME?</v>
      </c>
      <c r="T121" s="26" t="e">
        <f t="shared" si="67"/>
        <v>#NAME?</v>
      </c>
      <c r="U121" s="12" t="e">
        <f t="shared" si="68"/>
        <v>#NAME?</v>
      </c>
      <c r="V121" s="12"/>
      <c r="W121" s="44" t="e">
        <f t="shared" si="69"/>
        <v>#NAME?</v>
      </c>
      <c r="X121" s="26" t="e">
        <f t="shared" si="70"/>
        <v>#NAME?</v>
      </c>
      <c r="Y121" s="12" t="e">
        <f t="shared" si="71"/>
        <v>#NAME?</v>
      </c>
    </row>
    <row r="122" spans="1:25" ht="16.5" customHeight="1" x14ac:dyDescent="0.3">
      <c r="A122" s="16" t="s">
        <v>238</v>
      </c>
      <c r="B122" s="17" t="s">
        <v>239</v>
      </c>
      <c r="C122" s="26" t="e">
        <f t="shared" si="54"/>
        <v>#NAME?</v>
      </c>
      <c r="D122" s="26" t="e">
        <f t="shared" si="55"/>
        <v>#NAME?</v>
      </c>
      <c r="E122" s="12" t="e">
        <f t="shared" si="56"/>
        <v>#NAME?</v>
      </c>
      <c r="F122" s="26"/>
      <c r="G122" s="26" t="e">
        <f t="shared" si="57"/>
        <v>#NAME?</v>
      </c>
      <c r="H122" s="26" t="e">
        <f t="shared" si="58"/>
        <v>#NAME?</v>
      </c>
      <c r="I122" s="12" t="e">
        <f t="shared" si="59"/>
        <v>#NAME?</v>
      </c>
      <c r="J122" s="26"/>
      <c r="K122" s="26" t="e">
        <f t="shared" si="60"/>
        <v>#NAME?</v>
      </c>
      <c r="L122" s="26" t="e">
        <f t="shared" si="61"/>
        <v>#NAME?</v>
      </c>
      <c r="M122" s="12" t="e">
        <f t="shared" si="62"/>
        <v>#NAME?</v>
      </c>
      <c r="N122" s="12"/>
      <c r="O122" s="26" t="e">
        <f t="shared" si="63"/>
        <v>#NAME?</v>
      </c>
      <c r="P122" s="26" t="e">
        <f t="shared" si="64"/>
        <v>#NAME?</v>
      </c>
      <c r="Q122" s="12" t="e">
        <f t="shared" si="65"/>
        <v>#NAME?</v>
      </c>
      <c r="R122" s="12"/>
      <c r="S122" s="26" t="e">
        <f t="shared" si="66"/>
        <v>#NAME?</v>
      </c>
      <c r="T122" s="26" t="e">
        <f t="shared" si="67"/>
        <v>#NAME?</v>
      </c>
      <c r="U122" s="12" t="e">
        <f t="shared" si="68"/>
        <v>#NAME?</v>
      </c>
      <c r="V122" s="12"/>
      <c r="W122" s="44" t="e">
        <f t="shared" si="69"/>
        <v>#NAME?</v>
      </c>
      <c r="X122" s="26" t="e">
        <f t="shared" si="70"/>
        <v>#NAME?</v>
      </c>
      <c r="Y122" s="12" t="e">
        <f t="shared" si="71"/>
        <v>#NAME?</v>
      </c>
    </row>
    <row r="123" spans="1:25" ht="16.5" customHeight="1" x14ac:dyDescent="0.3">
      <c r="A123" s="16" t="s">
        <v>240</v>
      </c>
      <c r="B123" s="32" t="s">
        <v>241</v>
      </c>
      <c r="C123" s="26" t="e">
        <f t="shared" si="54"/>
        <v>#NAME?</v>
      </c>
      <c r="D123" s="26" t="e">
        <f t="shared" si="55"/>
        <v>#NAME?</v>
      </c>
      <c r="E123" s="12" t="e">
        <f t="shared" si="56"/>
        <v>#NAME?</v>
      </c>
      <c r="F123" s="26"/>
      <c r="G123" s="26" t="e">
        <f t="shared" si="57"/>
        <v>#NAME?</v>
      </c>
      <c r="H123" s="26" t="e">
        <f t="shared" si="58"/>
        <v>#NAME?</v>
      </c>
      <c r="I123" s="12" t="e">
        <f t="shared" si="59"/>
        <v>#NAME?</v>
      </c>
      <c r="J123" s="26"/>
      <c r="K123" s="26" t="e">
        <f t="shared" si="60"/>
        <v>#NAME?</v>
      </c>
      <c r="L123" s="26" t="e">
        <f t="shared" si="61"/>
        <v>#NAME?</v>
      </c>
      <c r="M123" s="12" t="e">
        <f t="shared" si="62"/>
        <v>#NAME?</v>
      </c>
      <c r="N123" s="12"/>
      <c r="O123" s="26" t="e">
        <f t="shared" si="63"/>
        <v>#NAME?</v>
      </c>
      <c r="P123" s="26" t="e">
        <f t="shared" si="64"/>
        <v>#NAME?</v>
      </c>
      <c r="Q123" s="12" t="e">
        <f t="shared" si="65"/>
        <v>#NAME?</v>
      </c>
      <c r="R123" s="12"/>
      <c r="S123" s="26" t="e">
        <f t="shared" si="66"/>
        <v>#NAME?</v>
      </c>
      <c r="T123" s="26" t="e">
        <f t="shared" si="67"/>
        <v>#NAME?</v>
      </c>
      <c r="U123" s="12" t="e">
        <f t="shared" si="68"/>
        <v>#NAME?</v>
      </c>
      <c r="V123" s="12"/>
      <c r="W123" s="44" t="e">
        <f t="shared" si="69"/>
        <v>#NAME?</v>
      </c>
      <c r="X123" s="26" t="e">
        <f t="shared" si="70"/>
        <v>#NAME?</v>
      </c>
      <c r="Y123" s="12" t="e">
        <f t="shared" si="71"/>
        <v>#NAME?</v>
      </c>
    </row>
    <row r="124" spans="1:25" x14ac:dyDescent="0.25">
      <c r="C124" s="28" t="e">
        <f>SUM(C4:C123)</f>
        <v>#NAME?</v>
      </c>
      <c r="D124" s="28"/>
      <c r="E124" s="28"/>
      <c r="F124" s="28"/>
      <c r="G124" s="28"/>
      <c r="H124" s="28"/>
      <c r="I124" s="28"/>
      <c r="J124" s="28"/>
      <c r="K124" s="28"/>
      <c r="L124" s="28"/>
    </row>
    <row r="125" spans="1:25" x14ac:dyDescent="0.25">
      <c r="C125" s="28" t="e">
        <f>+C124/12</f>
        <v>#NAME?</v>
      </c>
      <c r="D125" s="28"/>
      <c r="E125" s="28"/>
      <c r="F125" s="28"/>
      <c r="G125" s="28"/>
      <c r="H125" s="28"/>
      <c r="I125" s="28"/>
      <c r="J125" s="28"/>
      <c r="K125" s="28"/>
      <c r="L125" s="28"/>
    </row>
    <row r="126" spans="1:25" ht="12.75" customHeight="1" x14ac:dyDescent="0.25">
      <c r="A126" s="2777" t="s">
        <v>439</v>
      </c>
      <c r="B126" s="2777"/>
      <c r="C126" s="2778"/>
      <c r="D126" s="19"/>
      <c r="E126" s="19"/>
      <c r="F126" s="19"/>
      <c r="G126" s="19"/>
      <c r="H126" s="19"/>
      <c r="I126" s="19"/>
      <c r="J126" s="19"/>
      <c r="K126" s="19"/>
      <c r="L126" s="19"/>
    </row>
    <row r="127" spans="1:25" x14ac:dyDescent="0.25">
      <c r="A127" s="18" t="s">
        <v>440</v>
      </c>
    </row>
  </sheetData>
  <autoFilter ref="A3:Y127"/>
  <mergeCells count="8">
    <mergeCell ref="S2:U2"/>
    <mergeCell ref="O1:Y1"/>
    <mergeCell ref="A126:C126"/>
    <mergeCell ref="C2:E2"/>
    <mergeCell ref="G2:I2"/>
    <mergeCell ref="K2:M2"/>
    <mergeCell ref="C1:M1"/>
    <mergeCell ref="O2:Q2"/>
  </mergeCells>
  <conditionalFormatting sqref="Q4:R123 E4:E123">
    <cfRule type="cellIs" dxfId="5" priority="21" stopIfTrue="1" operator="greaterThan">
      <formula>"&gt;1"</formula>
    </cfRule>
  </conditionalFormatting>
  <conditionalFormatting sqref="Y4:Y123 M4:N123 U4:V123 Q4:R123 I4:I123 E4:E123">
    <cfRule type="cellIs" dxfId="4" priority="19" stopIfTrue="1" operator="greaterThan">
      <formula>1</formula>
    </cfRule>
  </conditionalFormatting>
  <pageMargins left="0.75" right="0.75" top="1" bottom="1" header="0.5" footer="0.5"/>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3" sqref="E3"/>
    </sheetView>
  </sheetViews>
  <sheetFormatPr defaultColWidth="9" defaultRowHeight="13.2" x14ac:dyDescent="0.25"/>
  <cols>
    <col min="1" max="1" width="12.19921875" style="18" customWidth="1"/>
    <col min="2" max="2" width="23.59765625" style="28" customWidth="1"/>
    <col min="3" max="4" width="9.796875" style="18" customWidth="1"/>
    <col min="5" max="5" width="9.69921875" style="18" customWidth="1"/>
    <col min="6" max="6" width="2.19921875" style="18" customWidth="1"/>
    <col min="7" max="7" width="10.19921875" style="18" customWidth="1"/>
    <col min="8" max="8" width="9.796875" style="18" customWidth="1"/>
    <col min="9" max="9" width="9.59765625" style="18" customWidth="1"/>
    <col min="10" max="10" width="2.59765625" style="18" customWidth="1"/>
    <col min="11" max="11" width="9.59765625" style="18" customWidth="1"/>
    <col min="12" max="12" width="9.69921875" style="18" customWidth="1"/>
    <col min="13" max="13" width="10" style="18" customWidth="1"/>
    <col min="14" max="14" width="2.59765625" style="40" customWidth="1"/>
    <col min="15" max="15" width="10" style="18" bestFit="1" customWidth="1"/>
    <col min="16" max="17" width="10" style="18" customWidth="1"/>
    <col min="18" max="18" width="3.5" style="18" customWidth="1"/>
    <col min="19" max="19" width="9.69921875" style="18" customWidth="1"/>
    <col min="20" max="20" width="10.19921875" style="18" customWidth="1"/>
    <col min="21" max="21" width="10.296875" style="18" customWidth="1"/>
    <col min="22" max="22" width="2.59765625" style="18" customWidth="1"/>
    <col min="23" max="23" width="10.19921875" style="18" customWidth="1"/>
    <col min="24" max="24" width="10.5" style="18" customWidth="1"/>
    <col min="25" max="25" width="10.19921875" style="18" customWidth="1"/>
    <col min="26" max="16384" width="9" style="18"/>
  </cols>
  <sheetData>
    <row r="1" spans="1:25" ht="15.6" x14ac:dyDescent="0.3">
      <c r="C1" s="2780" t="s">
        <v>443</v>
      </c>
      <c r="D1" s="2780"/>
      <c r="E1" s="2780"/>
      <c r="F1" s="2780"/>
      <c r="G1" s="2780"/>
      <c r="H1" s="2780"/>
      <c r="I1" s="2780"/>
      <c r="J1" s="2780"/>
      <c r="K1" s="2780"/>
      <c r="L1" s="2780"/>
      <c r="M1" s="2780"/>
      <c r="N1" s="37"/>
      <c r="O1" s="2776" t="s">
        <v>444</v>
      </c>
      <c r="P1" s="2776"/>
      <c r="Q1" s="2776"/>
      <c r="R1" s="2776"/>
      <c r="S1" s="2776"/>
      <c r="T1" s="2776"/>
      <c r="U1" s="2776"/>
      <c r="V1" s="2776"/>
      <c r="W1" s="2776"/>
      <c r="X1" s="2776"/>
      <c r="Y1" s="2776"/>
    </row>
    <row r="2" spans="1:25" x14ac:dyDescent="0.25">
      <c r="C2" s="2781" t="s">
        <v>2</v>
      </c>
      <c r="D2" s="2781"/>
      <c r="E2" s="2781"/>
      <c r="F2" s="33"/>
      <c r="G2" s="2781" t="s">
        <v>314</v>
      </c>
      <c r="H2" s="2781"/>
      <c r="I2" s="2781"/>
      <c r="J2" s="24"/>
      <c r="K2" s="2781" t="s">
        <v>316</v>
      </c>
      <c r="L2" s="2781"/>
      <c r="M2" s="2781"/>
      <c r="N2" s="24"/>
      <c r="O2" s="2781" t="s">
        <v>2</v>
      </c>
      <c r="P2" s="2781"/>
      <c r="Q2" s="2781"/>
      <c r="R2" s="24"/>
      <c r="S2" s="2781" t="s">
        <v>314</v>
      </c>
      <c r="T2" s="2781"/>
      <c r="U2" s="2781"/>
      <c r="V2" s="24"/>
      <c r="W2" s="2781" t="s">
        <v>316</v>
      </c>
      <c r="X2" s="2781"/>
      <c r="Y2" s="2781"/>
    </row>
    <row r="3" spans="1:25" s="21" customFormat="1" ht="71.25" customHeight="1" x14ac:dyDescent="0.3">
      <c r="A3" s="20" t="s">
        <v>293</v>
      </c>
      <c r="B3" s="31" t="s">
        <v>294</v>
      </c>
      <c r="C3" s="23" t="s">
        <v>447</v>
      </c>
      <c r="D3" s="23" t="s">
        <v>448</v>
      </c>
      <c r="E3" s="34" t="s">
        <v>449</v>
      </c>
      <c r="F3" s="38"/>
      <c r="G3" s="35" t="s">
        <v>447</v>
      </c>
      <c r="H3" s="23" t="s">
        <v>448</v>
      </c>
      <c r="I3" s="34" t="s">
        <v>449</v>
      </c>
      <c r="J3" s="38"/>
      <c r="K3" s="35" t="s">
        <v>447</v>
      </c>
      <c r="L3" s="23" t="s">
        <v>448</v>
      </c>
      <c r="M3" s="34" t="s">
        <v>449</v>
      </c>
      <c r="N3" s="38"/>
      <c r="O3" s="23" t="s">
        <v>447</v>
      </c>
      <c r="P3" s="23" t="s">
        <v>448</v>
      </c>
      <c r="Q3" s="34" t="s">
        <v>449</v>
      </c>
      <c r="R3" s="41"/>
      <c r="S3" s="23" t="s">
        <v>447</v>
      </c>
      <c r="T3" s="23" t="s">
        <v>448</v>
      </c>
      <c r="U3" s="34" t="s">
        <v>449</v>
      </c>
      <c r="V3" s="38"/>
      <c r="W3" s="23" t="s">
        <v>447</v>
      </c>
      <c r="X3" s="23" t="s">
        <v>448</v>
      </c>
      <c r="Y3" s="34" t="s">
        <v>449</v>
      </c>
    </row>
    <row r="4" spans="1:25" ht="16.5" customHeight="1" x14ac:dyDescent="0.3">
      <c r="A4" s="16" t="s">
        <v>10</v>
      </c>
      <c r="B4" s="17" t="s">
        <v>11</v>
      </c>
      <c r="C4" s="25">
        <f t="shared" ref="C4:C35" si="0">VLOOKUP(A4,SNAPClient_Demo,10,FALSE)</f>
        <v>3738</v>
      </c>
      <c r="D4" s="25" t="e">
        <f t="shared" ref="D4:D35" si="1">VLOOKUP(A4,Pop,14,FALSE)</f>
        <v>#NAME?</v>
      </c>
      <c r="E4" s="27" t="e">
        <f t="shared" ref="E4:E35" si="2">+C4/D4</f>
        <v>#NAME?</v>
      </c>
      <c r="F4" s="27"/>
      <c r="G4" s="25">
        <f t="shared" ref="G4:G35" si="3">VLOOKUP(A4,SNAPClient_Demo,11,FALSE)</f>
        <v>2785</v>
      </c>
      <c r="H4" s="25" t="e">
        <f t="shared" ref="H4:H35" si="4">VLOOKUP(A4,Pop,15,FALSE)</f>
        <v>#NAME?</v>
      </c>
      <c r="I4" s="27" t="e">
        <f t="shared" ref="I4:I35" si="5">+G4/H4</f>
        <v>#NAME?</v>
      </c>
      <c r="J4" s="27"/>
      <c r="K4" s="25">
        <f t="shared" ref="K4:K35" si="6">VLOOKUP(A4,SNAPClient_Demo,12,FALSE)</f>
        <v>0</v>
      </c>
      <c r="L4" s="25" t="e">
        <f t="shared" ref="L4:L35" si="7">VLOOKUP(A4,Pop,16,FALSE)</f>
        <v>#NAME?</v>
      </c>
      <c r="M4" s="27" t="e">
        <f t="shared" ref="M4:M35" si="8">+K4/L4</f>
        <v>#NAME?</v>
      </c>
      <c r="N4" s="39"/>
      <c r="O4" s="36" t="str">
        <f t="shared" ref="O4:O35" si="9">VLOOKUP(A4,SNAPClient_Demo,3,FALSE)</f>
        <v>Eastern</v>
      </c>
      <c r="P4" s="26" t="e">
        <f t="shared" ref="P4:P35" si="10">VLOOKUP(A4,Pop,8,FALSE)</f>
        <v>#NAME?</v>
      </c>
      <c r="Q4" s="27" t="e">
        <f t="shared" ref="Q4:Q35" si="11">+O4/P4</f>
        <v>#VALUE!</v>
      </c>
      <c r="R4" s="27"/>
      <c r="S4" s="26">
        <f t="shared" ref="S4:S35" si="12">VLOOKUP(A4,SNAPClient_Demo,4,FALSE)</f>
        <v>6523</v>
      </c>
      <c r="T4" s="26" t="e">
        <f t="shared" ref="T4:T35" si="13">VLOOKUP(A4,Pop,9,FALSE)</f>
        <v>#NAME?</v>
      </c>
      <c r="U4" s="27" t="e">
        <f t="shared" ref="U4:U35" si="14">+S4/T4</f>
        <v>#NAME?</v>
      </c>
      <c r="V4" s="27"/>
      <c r="W4" s="26">
        <f t="shared" ref="W4:W35" si="15">VLOOKUP(A4,SNAPClient_Demo,5,FALSE)</f>
        <v>2899</v>
      </c>
      <c r="X4" s="26" t="e">
        <f t="shared" ref="X4:X35" si="16">VLOOKUP(A4,Pop,10,FALSE)</f>
        <v>#NAME?</v>
      </c>
      <c r="Y4" s="27" t="e">
        <f t="shared" ref="Y4:Y35" si="17">+W4/X4</f>
        <v>#NAME?</v>
      </c>
    </row>
    <row r="5" spans="1:25" ht="16.5" customHeight="1" x14ac:dyDescent="0.3">
      <c r="A5" s="16" t="s">
        <v>12</v>
      </c>
      <c r="B5" s="17" t="s">
        <v>13</v>
      </c>
      <c r="C5" s="25">
        <f t="shared" si="0"/>
        <v>3776</v>
      </c>
      <c r="D5" s="25" t="e">
        <f t="shared" si="1"/>
        <v>#NAME?</v>
      </c>
      <c r="E5" s="27" t="e">
        <f t="shared" si="2"/>
        <v>#NAME?</v>
      </c>
      <c r="F5" s="27"/>
      <c r="G5" s="25">
        <f t="shared" si="3"/>
        <v>2737</v>
      </c>
      <c r="H5" s="25" t="e">
        <f t="shared" si="4"/>
        <v>#NAME?</v>
      </c>
      <c r="I5" s="27" t="e">
        <f t="shared" si="5"/>
        <v>#NAME?</v>
      </c>
      <c r="J5" s="27"/>
      <c r="K5" s="25">
        <f t="shared" si="6"/>
        <v>0</v>
      </c>
      <c r="L5" s="25" t="e">
        <f t="shared" si="7"/>
        <v>#NAME?</v>
      </c>
      <c r="M5" s="27" t="e">
        <f t="shared" si="8"/>
        <v>#NAME?</v>
      </c>
      <c r="N5" s="39"/>
      <c r="O5" s="36" t="str">
        <f t="shared" si="9"/>
        <v>Piedmont</v>
      </c>
      <c r="P5" s="26" t="e">
        <f t="shared" si="10"/>
        <v>#NAME?</v>
      </c>
      <c r="Q5" s="27" t="e">
        <f t="shared" si="11"/>
        <v>#VALUE!</v>
      </c>
      <c r="R5" s="27"/>
      <c r="S5" s="26">
        <f t="shared" si="12"/>
        <v>6513</v>
      </c>
      <c r="T5" s="26" t="e">
        <f t="shared" si="13"/>
        <v>#NAME?</v>
      </c>
      <c r="U5" s="27" t="e">
        <f t="shared" si="14"/>
        <v>#NAME?</v>
      </c>
      <c r="V5" s="27"/>
      <c r="W5" s="26">
        <f t="shared" si="15"/>
        <v>3000</v>
      </c>
      <c r="X5" s="26" t="e">
        <f t="shared" si="16"/>
        <v>#NAME?</v>
      </c>
      <c r="Y5" s="27" t="e">
        <f t="shared" si="17"/>
        <v>#NAME?</v>
      </c>
    </row>
    <row r="6" spans="1:25" ht="16.5" customHeight="1" x14ac:dyDescent="0.3">
      <c r="A6" s="16" t="s">
        <v>16</v>
      </c>
      <c r="B6" s="17" t="s">
        <v>285</v>
      </c>
      <c r="C6" s="25">
        <f t="shared" si="0"/>
        <v>2381</v>
      </c>
      <c r="D6" s="25" t="e">
        <f t="shared" si="1"/>
        <v>#NAME?</v>
      </c>
      <c r="E6" s="27" t="e">
        <f t="shared" si="2"/>
        <v>#NAME?</v>
      </c>
      <c r="F6" s="27"/>
      <c r="G6" s="25">
        <f t="shared" si="3"/>
        <v>1784</v>
      </c>
      <c r="H6" s="25" t="e">
        <f t="shared" si="4"/>
        <v>#NAME?</v>
      </c>
      <c r="I6" s="27" t="e">
        <f t="shared" si="5"/>
        <v>#NAME?</v>
      </c>
      <c r="J6" s="27"/>
      <c r="K6" s="25">
        <f t="shared" si="6"/>
        <v>0</v>
      </c>
      <c r="L6" s="25" t="e">
        <f t="shared" si="7"/>
        <v>#NAME?</v>
      </c>
      <c r="M6" s="27" t="e">
        <f t="shared" si="8"/>
        <v>#NAME?</v>
      </c>
      <c r="N6" s="39"/>
      <c r="O6" s="36" t="str">
        <f t="shared" si="9"/>
        <v>Piedmont</v>
      </c>
      <c r="P6" s="26" t="e">
        <f t="shared" si="10"/>
        <v>#NAME?</v>
      </c>
      <c r="Q6" s="27" t="e">
        <f t="shared" si="11"/>
        <v>#VALUE!</v>
      </c>
      <c r="R6" s="27"/>
      <c r="S6" s="26">
        <f t="shared" si="12"/>
        <v>4165</v>
      </c>
      <c r="T6" s="26" t="e">
        <f t="shared" si="13"/>
        <v>#NAME?</v>
      </c>
      <c r="U6" s="27" t="e">
        <f t="shared" si="14"/>
        <v>#NAME?</v>
      </c>
      <c r="V6" s="27"/>
      <c r="W6" s="26">
        <f t="shared" si="15"/>
        <v>1668</v>
      </c>
      <c r="X6" s="26" t="e">
        <f t="shared" si="16"/>
        <v>#NAME?</v>
      </c>
      <c r="Y6" s="27" t="e">
        <f t="shared" si="17"/>
        <v>#NAME?</v>
      </c>
    </row>
    <row r="7" spans="1:25" ht="16.5" customHeight="1" x14ac:dyDescent="0.3">
      <c r="A7" s="16" t="s">
        <v>18</v>
      </c>
      <c r="B7" s="17" t="s">
        <v>19</v>
      </c>
      <c r="C7" s="25">
        <f t="shared" si="0"/>
        <v>1139</v>
      </c>
      <c r="D7" s="25" t="e">
        <f t="shared" si="1"/>
        <v>#NAME?</v>
      </c>
      <c r="E7" s="27" t="e">
        <f t="shared" si="2"/>
        <v>#NAME?</v>
      </c>
      <c r="F7" s="27"/>
      <c r="G7" s="25">
        <f t="shared" si="3"/>
        <v>858</v>
      </c>
      <c r="H7" s="25" t="e">
        <f t="shared" si="4"/>
        <v>#NAME?</v>
      </c>
      <c r="I7" s="27" t="e">
        <f t="shared" si="5"/>
        <v>#NAME?</v>
      </c>
      <c r="J7" s="27"/>
      <c r="K7" s="25">
        <f t="shared" si="6"/>
        <v>0</v>
      </c>
      <c r="L7" s="25" t="e">
        <f t="shared" si="7"/>
        <v>#NAME?</v>
      </c>
      <c r="M7" s="27" t="e">
        <f t="shared" si="8"/>
        <v>#NAME?</v>
      </c>
      <c r="N7" s="39"/>
      <c r="O7" s="36" t="str">
        <f t="shared" si="9"/>
        <v>Central</v>
      </c>
      <c r="P7" s="26" t="e">
        <f t="shared" si="10"/>
        <v>#NAME?</v>
      </c>
      <c r="Q7" s="27" t="e">
        <f t="shared" si="11"/>
        <v>#VALUE!</v>
      </c>
      <c r="R7" s="27"/>
      <c r="S7" s="26">
        <f t="shared" si="12"/>
        <v>1997</v>
      </c>
      <c r="T7" s="26" t="e">
        <f t="shared" si="13"/>
        <v>#NAME?</v>
      </c>
      <c r="U7" s="27" t="e">
        <f t="shared" si="14"/>
        <v>#NAME?</v>
      </c>
      <c r="V7" s="27"/>
      <c r="W7" s="26">
        <f t="shared" si="15"/>
        <v>805</v>
      </c>
      <c r="X7" s="26" t="e">
        <f t="shared" si="16"/>
        <v>#NAME?</v>
      </c>
      <c r="Y7" s="27" t="e">
        <f t="shared" si="17"/>
        <v>#NAME?</v>
      </c>
    </row>
    <row r="8" spans="1:25" ht="16.5" customHeight="1" x14ac:dyDescent="0.3">
      <c r="A8" s="16" t="s">
        <v>20</v>
      </c>
      <c r="B8" s="17" t="s">
        <v>21</v>
      </c>
      <c r="C8" s="25">
        <f t="shared" si="0"/>
        <v>2547</v>
      </c>
      <c r="D8" s="25" t="e">
        <f t="shared" si="1"/>
        <v>#NAME?</v>
      </c>
      <c r="E8" s="27" t="e">
        <f t="shared" si="2"/>
        <v>#NAME?</v>
      </c>
      <c r="F8" s="27"/>
      <c r="G8" s="25">
        <f t="shared" si="3"/>
        <v>1950</v>
      </c>
      <c r="H8" s="25" t="e">
        <f t="shared" si="4"/>
        <v>#NAME?</v>
      </c>
      <c r="I8" s="27" t="e">
        <f t="shared" si="5"/>
        <v>#NAME?</v>
      </c>
      <c r="J8" s="27"/>
      <c r="K8" s="25">
        <f t="shared" si="6"/>
        <v>0</v>
      </c>
      <c r="L8" s="25" t="e">
        <f t="shared" si="7"/>
        <v>#NAME?</v>
      </c>
      <c r="M8" s="27" t="e">
        <f t="shared" si="8"/>
        <v>#NAME?</v>
      </c>
      <c r="N8" s="39"/>
      <c r="O8" s="36" t="str">
        <f t="shared" si="9"/>
        <v>Piedmont</v>
      </c>
      <c r="P8" s="26" t="e">
        <f t="shared" si="10"/>
        <v>#NAME?</v>
      </c>
      <c r="Q8" s="27" t="e">
        <f t="shared" si="11"/>
        <v>#VALUE!</v>
      </c>
      <c r="R8" s="27"/>
      <c r="S8" s="26">
        <f t="shared" si="12"/>
        <v>4497</v>
      </c>
      <c r="T8" s="26" t="e">
        <f t="shared" si="13"/>
        <v>#NAME?</v>
      </c>
      <c r="U8" s="27" t="e">
        <f t="shared" si="14"/>
        <v>#NAME?</v>
      </c>
      <c r="V8" s="27"/>
      <c r="W8" s="26">
        <f t="shared" si="15"/>
        <v>1908</v>
      </c>
      <c r="X8" s="26" t="e">
        <f t="shared" si="16"/>
        <v>#NAME?</v>
      </c>
      <c r="Y8" s="27" t="e">
        <f t="shared" si="17"/>
        <v>#NAME?</v>
      </c>
    </row>
    <row r="9" spans="1:25" ht="16.5" customHeight="1" x14ac:dyDescent="0.3">
      <c r="A9" s="16" t="s">
        <v>22</v>
      </c>
      <c r="B9" s="17" t="s">
        <v>23</v>
      </c>
      <c r="C9" s="25">
        <f t="shared" si="0"/>
        <v>1637</v>
      </c>
      <c r="D9" s="25" t="e">
        <f t="shared" si="1"/>
        <v>#NAME?</v>
      </c>
      <c r="E9" s="27" t="e">
        <f t="shared" si="2"/>
        <v>#NAME?</v>
      </c>
      <c r="F9" s="27"/>
      <c r="G9" s="25">
        <f t="shared" si="3"/>
        <v>1271</v>
      </c>
      <c r="H9" s="25" t="e">
        <f t="shared" si="4"/>
        <v>#NAME?</v>
      </c>
      <c r="I9" s="27" t="e">
        <f t="shared" si="5"/>
        <v>#NAME?</v>
      </c>
      <c r="J9" s="27"/>
      <c r="K9" s="25">
        <f t="shared" si="6"/>
        <v>0</v>
      </c>
      <c r="L9" s="25" t="e">
        <f t="shared" si="7"/>
        <v>#NAME?</v>
      </c>
      <c r="M9" s="27" t="e">
        <f t="shared" si="8"/>
        <v>#NAME?</v>
      </c>
      <c r="N9" s="39"/>
      <c r="O9" s="36" t="str">
        <f t="shared" si="9"/>
        <v>Piedmont</v>
      </c>
      <c r="P9" s="26" t="e">
        <f t="shared" si="10"/>
        <v>#NAME?</v>
      </c>
      <c r="Q9" s="27" t="e">
        <f t="shared" si="11"/>
        <v>#VALUE!</v>
      </c>
      <c r="R9" s="27"/>
      <c r="S9" s="26">
        <f t="shared" si="12"/>
        <v>2908</v>
      </c>
      <c r="T9" s="26" t="e">
        <f t="shared" si="13"/>
        <v>#NAME?</v>
      </c>
      <c r="U9" s="27" t="e">
        <f t="shared" si="14"/>
        <v>#NAME?</v>
      </c>
      <c r="V9" s="27"/>
      <c r="W9" s="26">
        <f t="shared" si="15"/>
        <v>1147</v>
      </c>
      <c r="X9" s="26" t="e">
        <f t="shared" si="16"/>
        <v>#NAME?</v>
      </c>
      <c r="Y9" s="27" t="e">
        <f t="shared" si="17"/>
        <v>#NAME?</v>
      </c>
    </row>
    <row r="10" spans="1:25" ht="16.5" customHeight="1" x14ac:dyDescent="0.3">
      <c r="A10" s="16" t="s">
        <v>24</v>
      </c>
      <c r="B10" s="17" t="s">
        <v>25</v>
      </c>
      <c r="C10" s="25">
        <f t="shared" si="0"/>
        <v>4692</v>
      </c>
      <c r="D10" s="25" t="e">
        <f t="shared" si="1"/>
        <v>#NAME?</v>
      </c>
      <c r="E10" s="27" t="e">
        <f t="shared" si="2"/>
        <v>#NAME?</v>
      </c>
      <c r="F10" s="27"/>
      <c r="G10" s="25">
        <f t="shared" si="3"/>
        <v>3609</v>
      </c>
      <c r="H10" s="25" t="e">
        <f t="shared" si="4"/>
        <v>#NAME?</v>
      </c>
      <c r="I10" s="27" t="e">
        <f t="shared" si="5"/>
        <v>#NAME?</v>
      </c>
      <c r="J10" s="27"/>
      <c r="K10" s="25">
        <f t="shared" si="6"/>
        <v>0</v>
      </c>
      <c r="L10" s="25" t="e">
        <f t="shared" si="7"/>
        <v>#NAME?</v>
      </c>
      <c r="M10" s="27" t="e">
        <f t="shared" si="8"/>
        <v>#NAME?</v>
      </c>
      <c r="N10" s="39"/>
      <c r="O10" s="36" t="str">
        <f t="shared" si="9"/>
        <v>Northern</v>
      </c>
      <c r="P10" s="26" t="e">
        <f t="shared" si="10"/>
        <v>#NAME?</v>
      </c>
      <c r="Q10" s="27" t="e">
        <f t="shared" si="11"/>
        <v>#VALUE!</v>
      </c>
      <c r="R10" s="27"/>
      <c r="S10" s="26">
        <f t="shared" si="12"/>
        <v>8301</v>
      </c>
      <c r="T10" s="26" t="e">
        <f t="shared" si="13"/>
        <v>#NAME?</v>
      </c>
      <c r="U10" s="27" t="e">
        <f t="shared" si="14"/>
        <v>#NAME?</v>
      </c>
      <c r="V10" s="27"/>
      <c r="W10" s="26">
        <f t="shared" si="15"/>
        <v>3447</v>
      </c>
      <c r="X10" s="26" t="e">
        <f t="shared" si="16"/>
        <v>#NAME?</v>
      </c>
      <c r="Y10" s="27" t="e">
        <f t="shared" si="17"/>
        <v>#NAME?</v>
      </c>
    </row>
    <row r="11" spans="1:25" ht="16.5" customHeight="1" x14ac:dyDescent="0.3">
      <c r="A11" s="16" t="s">
        <v>26</v>
      </c>
      <c r="B11" s="17" t="s">
        <v>286</v>
      </c>
      <c r="C11" s="25">
        <f t="shared" si="0"/>
        <v>8806</v>
      </c>
      <c r="D11" s="25" t="e">
        <f t="shared" si="1"/>
        <v>#NAME?</v>
      </c>
      <c r="E11" s="27" t="e">
        <f t="shared" si="2"/>
        <v>#NAME?</v>
      </c>
      <c r="F11" s="27"/>
      <c r="G11" s="25">
        <f t="shared" si="3"/>
        <v>6392</v>
      </c>
      <c r="H11" s="25" t="e">
        <f t="shared" si="4"/>
        <v>#NAME?</v>
      </c>
      <c r="I11" s="27" t="e">
        <f t="shared" si="5"/>
        <v>#NAME?</v>
      </c>
      <c r="J11" s="27"/>
      <c r="K11" s="25">
        <f t="shared" si="6"/>
        <v>0</v>
      </c>
      <c r="L11" s="25" t="e">
        <f t="shared" si="7"/>
        <v>#NAME?</v>
      </c>
      <c r="M11" s="27" t="e">
        <f t="shared" si="8"/>
        <v>#NAME?</v>
      </c>
      <c r="N11" s="39"/>
      <c r="O11" s="36" t="str">
        <f t="shared" si="9"/>
        <v>Piedmont</v>
      </c>
      <c r="P11" s="26" t="e">
        <f t="shared" si="10"/>
        <v>#NAME?</v>
      </c>
      <c r="Q11" s="27" t="e">
        <f t="shared" si="11"/>
        <v>#VALUE!</v>
      </c>
      <c r="R11" s="27"/>
      <c r="S11" s="26">
        <f t="shared" si="12"/>
        <v>15198</v>
      </c>
      <c r="T11" s="26" t="e">
        <f t="shared" si="13"/>
        <v>#NAME?</v>
      </c>
      <c r="U11" s="27" t="e">
        <f t="shared" si="14"/>
        <v>#NAME?</v>
      </c>
      <c r="V11" s="27"/>
      <c r="W11" s="26">
        <f t="shared" si="15"/>
        <v>6295</v>
      </c>
      <c r="X11" s="26" t="e">
        <f t="shared" si="16"/>
        <v>#NAME?</v>
      </c>
      <c r="Y11" s="27" t="e">
        <f t="shared" si="17"/>
        <v>#NAME?</v>
      </c>
    </row>
    <row r="12" spans="1:25" ht="16.5" customHeight="1" x14ac:dyDescent="0.3">
      <c r="A12" s="16" t="s">
        <v>27</v>
      </c>
      <c r="B12" s="17" t="s">
        <v>28</v>
      </c>
      <c r="C12" s="25">
        <f t="shared" si="0"/>
        <v>246</v>
      </c>
      <c r="D12" s="25" t="e">
        <f t="shared" si="1"/>
        <v>#NAME?</v>
      </c>
      <c r="E12" s="27" t="e">
        <f t="shared" si="2"/>
        <v>#NAME?</v>
      </c>
      <c r="F12" s="27"/>
      <c r="G12" s="25">
        <f t="shared" si="3"/>
        <v>194</v>
      </c>
      <c r="H12" s="25" t="e">
        <f t="shared" si="4"/>
        <v>#NAME?</v>
      </c>
      <c r="I12" s="27" t="e">
        <f t="shared" si="5"/>
        <v>#NAME?</v>
      </c>
      <c r="J12" s="27"/>
      <c r="K12" s="25">
        <f t="shared" si="6"/>
        <v>0</v>
      </c>
      <c r="L12" s="25" t="e">
        <f t="shared" si="7"/>
        <v>#NAME?</v>
      </c>
      <c r="M12" s="27" t="e">
        <f t="shared" si="8"/>
        <v>#NAME?</v>
      </c>
      <c r="N12" s="39"/>
      <c r="O12" s="36" t="str">
        <f t="shared" si="9"/>
        <v>Piedmont</v>
      </c>
      <c r="P12" s="26" t="e">
        <f t="shared" si="10"/>
        <v>#NAME?</v>
      </c>
      <c r="Q12" s="27" t="e">
        <f t="shared" si="11"/>
        <v>#VALUE!</v>
      </c>
      <c r="R12" s="27"/>
      <c r="S12" s="26">
        <f t="shared" si="12"/>
        <v>440</v>
      </c>
      <c r="T12" s="26" t="e">
        <f t="shared" si="13"/>
        <v>#NAME?</v>
      </c>
      <c r="U12" s="27" t="e">
        <f t="shared" si="14"/>
        <v>#NAME?</v>
      </c>
      <c r="V12" s="27"/>
      <c r="W12" s="26">
        <f t="shared" si="15"/>
        <v>188</v>
      </c>
      <c r="X12" s="26" t="e">
        <f t="shared" si="16"/>
        <v>#NAME?</v>
      </c>
      <c r="Y12" s="27" t="e">
        <f t="shared" si="17"/>
        <v>#NAME?</v>
      </c>
    </row>
    <row r="13" spans="1:25" ht="16.5" customHeight="1" x14ac:dyDescent="0.3">
      <c r="A13" s="16" t="s">
        <v>29</v>
      </c>
      <c r="B13" s="17" t="s">
        <v>295</v>
      </c>
      <c r="C13" s="25">
        <f t="shared" si="0"/>
        <v>4308</v>
      </c>
      <c r="D13" s="25" t="e">
        <f t="shared" si="1"/>
        <v>#NAME?</v>
      </c>
      <c r="E13" s="27" t="e">
        <f t="shared" si="2"/>
        <v>#NAME?</v>
      </c>
      <c r="F13" s="27"/>
      <c r="G13" s="25">
        <f t="shared" si="3"/>
        <v>3301</v>
      </c>
      <c r="H13" s="25" t="e">
        <f t="shared" si="4"/>
        <v>#NAME?</v>
      </c>
      <c r="I13" s="27" t="e">
        <f t="shared" si="5"/>
        <v>#NAME?</v>
      </c>
      <c r="J13" s="27"/>
      <c r="K13" s="25">
        <f t="shared" si="6"/>
        <v>0</v>
      </c>
      <c r="L13" s="25" t="e">
        <f t="shared" si="7"/>
        <v>#NAME?</v>
      </c>
      <c r="M13" s="27" t="e">
        <f t="shared" si="8"/>
        <v>#NAME?</v>
      </c>
      <c r="N13" s="39"/>
      <c r="O13" s="36" t="str">
        <f t="shared" si="9"/>
        <v>Piedmont</v>
      </c>
      <c r="P13" s="26" t="e">
        <f t="shared" si="10"/>
        <v>#NAME?</v>
      </c>
      <c r="Q13" s="27" t="e">
        <f t="shared" si="11"/>
        <v>#VALUE!</v>
      </c>
      <c r="R13" s="27"/>
      <c r="S13" s="26">
        <f t="shared" si="12"/>
        <v>7609</v>
      </c>
      <c r="T13" s="26" t="e">
        <f t="shared" si="13"/>
        <v>#NAME?</v>
      </c>
      <c r="U13" s="27" t="e">
        <f t="shared" si="14"/>
        <v>#NAME?</v>
      </c>
      <c r="V13" s="27"/>
      <c r="W13" s="26">
        <f t="shared" si="15"/>
        <v>3179</v>
      </c>
      <c r="X13" s="26" t="e">
        <f t="shared" si="16"/>
        <v>#NAME?</v>
      </c>
      <c r="Y13" s="27" t="e">
        <f t="shared" si="17"/>
        <v>#NAME?</v>
      </c>
    </row>
    <row r="14" spans="1:25" ht="16.5" customHeight="1" x14ac:dyDescent="0.3">
      <c r="A14" s="16" t="s">
        <v>30</v>
      </c>
      <c r="B14" s="32" t="s">
        <v>31</v>
      </c>
      <c r="C14" s="25">
        <f t="shared" si="0"/>
        <v>368</v>
      </c>
      <c r="D14" s="25" t="e">
        <f t="shared" si="1"/>
        <v>#NAME?</v>
      </c>
      <c r="E14" s="27" t="e">
        <f t="shared" si="2"/>
        <v>#NAME?</v>
      </c>
      <c r="F14" s="27"/>
      <c r="G14" s="25">
        <f t="shared" si="3"/>
        <v>288</v>
      </c>
      <c r="H14" s="25" t="e">
        <f t="shared" si="4"/>
        <v>#NAME?</v>
      </c>
      <c r="I14" s="27" t="e">
        <f t="shared" si="5"/>
        <v>#NAME?</v>
      </c>
      <c r="J14" s="27"/>
      <c r="K14" s="25">
        <f t="shared" si="6"/>
        <v>0</v>
      </c>
      <c r="L14" s="25" t="e">
        <f t="shared" si="7"/>
        <v>#NAME?</v>
      </c>
      <c r="M14" s="27" t="e">
        <f t="shared" si="8"/>
        <v>#NAME?</v>
      </c>
      <c r="N14" s="39"/>
      <c r="O14" s="36" t="str">
        <f t="shared" si="9"/>
        <v>Western</v>
      </c>
      <c r="P14" s="26" t="e">
        <f t="shared" si="10"/>
        <v>#NAME?</v>
      </c>
      <c r="Q14" s="27" t="e">
        <f t="shared" si="11"/>
        <v>#VALUE!</v>
      </c>
      <c r="R14" s="27"/>
      <c r="S14" s="26">
        <f t="shared" si="12"/>
        <v>656</v>
      </c>
      <c r="T14" s="26" t="e">
        <f t="shared" si="13"/>
        <v>#NAME?</v>
      </c>
      <c r="U14" s="27" t="e">
        <f t="shared" si="14"/>
        <v>#NAME?</v>
      </c>
      <c r="V14" s="27"/>
      <c r="W14" s="26">
        <f t="shared" si="15"/>
        <v>219</v>
      </c>
      <c r="X14" s="26" t="e">
        <f t="shared" si="16"/>
        <v>#NAME?</v>
      </c>
      <c r="Y14" s="27" t="e">
        <f t="shared" si="17"/>
        <v>#NAME?</v>
      </c>
    </row>
    <row r="15" spans="1:25" ht="16.5" customHeight="1" x14ac:dyDescent="0.3">
      <c r="A15" s="16" t="s">
        <v>32</v>
      </c>
      <c r="B15" s="17" t="s">
        <v>33</v>
      </c>
      <c r="C15" s="25">
        <f t="shared" si="0"/>
        <v>1224</v>
      </c>
      <c r="D15" s="25" t="e">
        <f t="shared" si="1"/>
        <v>#NAME?</v>
      </c>
      <c r="E15" s="27" t="e">
        <f t="shared" si="2"/>
        <v>#NAME?</v>
      </c>
      <c r="F15" s="27"/>
      <c r="G15" s="25">
        <f t="shared" si="3"/>
        <v>975</v>
      </c>
      <c r="H15" s="25" t="e">
        <f t="shared" si="4"/>
        <v>#NAME?</v>
      </c>
      <c r="I15" s="27" t="e">
        <f t="shared" si="5"/>
        <v>#NAME?</v>
      </c>
      <c r="J15" s="27"/>
      <c r="K15" s="25">
        <f t="shared" si="6"/>
        <v>0</v>
      </c>
      <c r="L15" s="25" t="e">
        <f t="shared" si="7"/>
        <v>#NAME?</v>
      </c>
      <c r="M15" s="27" t="e">
        <f t="shared" si="8"/>
        <v>#NAME?</v>
      </c>
      <c r="N15" s="39"/>
      <c r="O15" s="36" t="str">
        <f t="shared" si="9"/>
        <v>Piedmont</v>
      </c>
      <c r="P15" s="26" t="e">
        <f t="shared" si="10"/>
        <v>#NAME?</v>
      </c>
      <c r="Q15" s="27" t="e">
        <f t="shared" si="11"/>
        <v>#VALUE!</v>
      </c>
      <c r="R15" s="27"/>
      <c r="S15" s="26">
        <f t="shared" si="12"/>
        <v>2199</v>
      </c>
      <c r="T15" s="26" t="e">
        <f t="shared" si="13"/>
        <v>#NAME?</v>
      </c>
      <c r="U15" s="27" t="e">
        <f t="shared" si="14"/>
        <v>#NAME?</v>
      </c>
      <c r="V15" s="27"/>
      <c r="W15" s="26">
        <f t="shared" si="15"/>
        <v>977</v>
      </c>
      <c r="X15" s="26" t="e">
        <f t="shared" si="16"/>
        <v>#NAME?</v>
      </c>
      <c r="Y15" s="27" t="e">
        <f t="shared" si="17"/>
        <v>#NAME?</v>
      </c>
    </row>
    <row r="16" spans="1:25" ht="16.5" customHeight="1" x14ac:dyDescent="0.3">
      <c r="A16" s="16" t="s">
        <v>36</v>
      </c>
      <c r="B16" s="17" t="s">
        <v>37</v>
      </c>
      <c r="C16" s="25">
        <f t="shared" si="0"/>
        <v>2181</v>
      </c>
      <c r="D16" s="25" t="e">
        <f t="shared" si="1"/>
        <v>#NAME?</v>
      </c>
      <c r="E16" s="27" t="e">
        <f t="shared" si="2"/>
        <v>#NAME?</v>
      </c>
      <c r="F16" s="27"/>
      <c r="G16" s="25">
        <f t="shared" si="3"/>
        <v>1692</v>
      </c>
      <c r="H16" s="25" t="e">
        <f t="shared" si="4"/>
        <v>#NAME?</v>
      </c>
      <c r="I16" s="27" t="e">
        <f t="shared" si="5"/>
        <v>#NAME?</v>
      </c>
      <c r="J16" s="27"/>
      <c r="K16" s="25">
        <f t="shared" si="6"/>
        <v>0</v>
      </c>
      <c r="L16" s="25" t="e">
        <f t="shared" si="7"/>
        <v>#NAME?</v>
      </c>
      <c r="M16" s="27" t="e">
        <f t="shared" si="8"/>
        <v>#NAME?</v>
      </c>
      <c r="N16" s="39"/>
      <c r="O16" s="36" t="str">
        <f t="shared" si="9"/>
        <v>Eastern</v>
      </c>
      <c r="P16" s="26" t="e">
        <f t="shared" si="10"/>
        <v>#NAME?</v>
      </c>
      <c r="Q16" s="27" t="e">
        <f t="shared" si="11"/>
        <v>#VALUE!</v>
      </c>
      <c r="R16" s="27"/>
      <c r="S16" s="26">
        <f t="shared" si="12"/>
        <v>3873</v>
      </c>
      <c r="T16" s="26" t="e">
        <f t="shared" si="13"/>
        <v>#NAME?</v>
      </c>
      <c r="U16" s="27" t="e">
        <f t="shared" si="14"/>
        <v>#NAME?</v>
      </c>
      <c r="V16" s="27"/>
      <c r="W16" s="26">
        <f t="shared" si="15"/>
        <v>1412</v>
      </c>
      <c r="X16" s="26" t="e">
        <f t="shared" si="16"/>
        <v>#NAME?</v>
      </c>
      <c r="Y16" s="27" t="e">
        <f t="shared" si="17"/>
        <v>#NAME?</v>
      </c>
    </row>
    <row r="17" spans="1:25" ht="16.5" customHeight="1" x14ac:dyDescent="0.3">
      <c r="A17" s="16" t="s">
        <v>38</v>
      </c>
      <c r="B17" s="32" t="s">
        <v>39</v>
      </c>
      <c r="C17" s="25">
        <f t="shared" si="0"/>
        <v>3015</v>
      </c>
      <c r="D17" s="25" t="e">
        <f t="shared" si="1"/>
        <v>#NAME?</v>
      </c>
      <c r="E17" s="27" t="e">
        <f t="shared" si="2"/>
        <v>#NAME?</v>
      </c>
      <c r="F17" s="27"/>
      <c r="G17" s="25">
        <f t="shared" si="3"/>
        <v>2463</v>
      </c>
      <c r="H17" s="25" t="e">
        <f t="shared" si="4"/>
        <v>#NAME?</v>
      </c>
      <c r="I17" s="27" t="e">
        <f t="shared" si="5"/>
        <v>#NAME?</v>
      </c>
      <c r="J17" s="27"/>
      <c r="K17" s="25">
        <f t="shared" si="6"/>
        <v>0</v>
      </c>
      <c r="L17" s="25" t="e">
        <f t="shared" si="7"/>
        <v>#NAME?</v>
      </c>
      <c r="M17" s="27" t="e">
        <f t="shared" si="8"/>
        <v>#NAME?</v>
      </c>
      <c r="N17" s="39"/>
      <c r="O17" s="36" t="str">
        <f t="shared" si="9"/>
        <v>Western</v>
      </c>
      <c r="P17" s="26" t="e">
        <f t="shared" si="10"/>
        <v>#NAME?</v>
      </c>
      <c r="Q17" s="27" t="e">
        <f t="shared" si="11"/>
        <v>#VALUE!</v>
      </c>
      <c r="R17" s="27"/>
      <c r="S17" s="26">
        <f t="shared" si="12"/>
        <v>5478</v>
      </c>
      <c r="T17" s="26" t="e">
        <f t="shared" si="13"/>
        <v>#NAME?</v>
      </c>
      <c r="U17" s="27" t="e">
        <f t="shared" si="14"/>
        <v>#NAME?</v>
      </c>
      <c r="V17" s="27"/>
      <c r="W17" s="26">
        <f t="shared" si="15"/>
        <v>1742</v>
      </c>
      <c r="X17" s="26" t="e">
        <f t="shared" si="16"/>
        <v>#NAME?</v>
      </c>
      <c r="Y17" s="27" t="e">
        <f t="shared" si="17"/>
        <v>#NAME?</v>
      </c>
    </row>
    <row r="18" spans="1:25" ht="16.5" customHeight="1" x14ac:dyDescent="0.3">
      <c r="A18" s="16" t="s">
        <v>40</v>
      </c>
      <c r="B18" s="32" t="s">
        <v>41</v>
      </c>
      <c r="C18" s="25">
        <f t="shared" si="0"/>
        <v>1858</v>
      </c>
      <c r="D18" s="25" t="e">
        <f t="shared" si="1"/>
        <v>#NAME?</v>
      </c>
      <c r="E18" s="27" t="e">
        <f t="shared" si="2"/>
        <v>#NAME?</v>
      </c>
      <c r="F18" s="27"/>
      <c r="G18" s="25">
        <f t="shared" si="3"/>
        <v>1475</v>
      </c>
      <c r="H18" s="25" t="e">
        <f t="shared" si="4"/>
        <v>#NAME?</v>
      </c>
      <c r="I18" s="27" t="e">
        <f t="shared" si="5"/>
        <v>#NAME?</v>
      </c>
      <c r="J18" s="27"/>
      <c r="K18" s="25">
        <f t="shared" si="6"/>
        <v>0</v>
      </c>
      <c r="L18" s="25" t="e">
        <f t="shared" si="7"/>
        <v>#NAME?</v>
      </c>
      <c r="M18" s="27" t="e">
        <f t="shared" si="8"/>
        <v>#NAME?</v>
      </c>
      <c r="N18" s="39"/>
      <c r="O18" s="36" t="str">
        <f t="shared" si="9"/>
        <v>Central</v>
      </c>
      <c r="P18" s="26" t="e">
        <f t="shared" si="10"/>
        <v>#NAME?</v>
      </c>
      <c r="Q18" s="27" t="e">
        <f t="shared" si="11"/>
        <v>#VALUE!</v>
      </c>
      <c r="R18" s="27"/>
      <c r="S18" s="26">
        <f t="shared" si="12"/>
        <v>3333</v>
      </c>
      <c r="T18" s="26" t="e">
        <f t="shared" si="13"/>
        <v>#NAME?</v>
      </c>
      <c r="U18" s="27" t="e">
        <f t="shared" si="14"/>
        <v>#NAME?</v>
      </c>
      <c r="V18" s="27"/>
      <c r="W18" s="26">
        <f t="shared" si="15"/>
        <v>1278</v>
      </c>
      <c r="X18" s="26" t="e">
        <f t="shared" si="16"/>
        <v>#NAME?</v>
      </c>
      <c r="Y18" s="27" t="e">
        <f t="shared" si="17"/>
        <v>#NAME?</v>
      </c>
    </row>
    <row r="19" spans="1:25" ht="16.5" customHeight="1" x14ac:dyDescent="0.3">
      <c r="A19" s="16" t="s">
        <v>42</v>
      </c>
      <c r="B19" s="17" t="s">
        <v>43</v>
      </c>
      <c r="C19" s="25">
        <f t="shared" si="0"/>
        <v>4880</v>
      </c>
      <c r="D19" s="25" t="e">
        <f t="shared" si="1"/>
        <v>#NAME?</v>
      </c>
      <c r="E19" s="27" t="e">
        <f t="shared" si="2"/>
        <v>#NAME?</v>
      </c>
      <c r="F19" s="27"/>
      <c r="G19" s="25">
        <f t="shared" si="3"/>
        <v>3525</v>
      </c>
      <c r="H19" s="25" t="e">
        <f t="shared" si="4"/>
        <v>#NAME?</v>
      </c>
      <c r="I19" s="27" t="e">
        <f t="shared" si="5"/>
        <v>#NAME?</v>
      </c>
      <c r="J19" s="27"/>
      <c r="K19" s="25">
        <f t="shared" si="6"/>
        <v>0</v>
      </c>
      <c r="L19" s="25" t="e">
        <f t="shared" si="7"/>
        <v>#NAME?</v>
      </c>
      <c r="M19" s="27" t="e">
        <f t="shared" si="8"/>
        <v>#NAME?</v>
      </c>
      <c r="N19" s="39"/>
      <c r="O19" s="36" t="str">
        <f t="shared" si="9"/>
        <v>Piedmont</v>
      </c>
      <c r="P19" s="26" t="e">
        <f t="shared" si="10"/>
        <v>#NAME?</v>
      </c>
      <c r="Q19" s="27" t="e">
        <f t="shared" si="11"/>
        <v>#VALUE!</v>
      </c>
      <c r="R19" s="27"/>
      <c r="S19" s="26">
        <f t="shared" si="12"/>
        <v>8405</v>
      </c>
      <c r="T19" s="26" t="e">
        <f t="shared" si="13"/>
        <v>#NAME?</v>
      </c>
      <c r="U19" s="27" t="e">
        <f t="shared" si="14"/>
        <v>#NAME?</v>
      </c>
      <c r="V19" s="27"/>
      <c r="W19" s="26">
        <f t="shared" si="15"/>
        <v>3463</v>
      </c>
      <c r="X19" s="26" t="e">
        <f t="shared" si="16"/>
        <v>#NAME?</v>
      </c>
      <c r="Y19" s="27" t="e">
        <f t="shared" si="17"/>
        <v>#NAME?</v>
      </c>
    </row>
    <row r="20" spans="1:25" ht="16.5" customHeight="1" x14ac:dyDescent="0.3">
      <c r="A20" s="16" t="s">
        <v>44</v>
      </c>
      <c r="B20" s="17" t="s">
        <v>45</v>
      </c>
      <c r="C20" s="25">
        <f t="shared" si="0"/>
        <v>2834</v>
      </c>
      <c r="D20" s="25" t="e">
        <f t="shared" si="1"/>
        <v>#NAME?</v>
      </c>
      <c r="E20" s="27" t="e">
        <f t="shared" si="2"/>
        <v>#NAME?</v>
      </c>
      <c r="F20" s="27"/>
      <c r="G20" s="25">
        <f t="shared" si="3"/>
        <v>2024</v>
      </c>
      <c r="H20" s="25" t="e">
        <f t="shared" si="4"/>
        <v>#NAME?</v>
      </c>
      <c r="I20" s="27" t="e">
        <f t="shared" si="5"/>
        <v>#NAME?</v>
      </c>
      <c r="J20" s="27"/>
      <c r="K20" s="25">
        <f t="shared" si="6"/>
        <v>0</v>
      </c>
      <c r="L20" s="25" t="e">
        <f t="shared" si="7"/>
        <v>#NAME?</v>
      </c>
      <c r="M20" s="27" t="e">
        <f t="shared" si="8"/>
        <v>#NAME?</v>
      </c>
      <c r="N20" s="39"/>
      <c r="O20" s="36" t="str">
        <f t="shared" si="9"/>
        <v>Central</v>
      </c>
      <c r="P20" s="26" t="e">
        <f t="shared" si="10"/>
        <v>#NAME?</v>
      </c>
      <c r="Q20" s="27" t="e">
        <f t="shared" si="11"/>
        <v>#VALUE!</v>
      </c>
      <c r="R20" s="27"/>
      <c r="S20" s="26">
        <f t="shared" si="12"/>
        <v>4858</v>
      </c>
      <c r="T20" s="26" t="e">
        <f t="shared" si="13"/>
        <v>#NAME?</v>
      </c>
      <c r="U20" s="27" t="e">
        <f t="shared" si="14"/>
        <v>#NAME?</v>
      </c>
      <c r="V20" s="27"/>
      <c r="W20" s="26">
        <f t="shared" si="15"/>
        <v>2070</v>
      </c>
      <c r="X20" s="26" t="e">
        <f t="shared" si="16"/>
        <v>#NAME?</v>
      </c>
      <c r="Y20" s="27" t="e">
        <f t="shared" si="17"/>
        <v>#NAME?</v>
      </c>
    </row>
    <row r="21" spans="1:25" ht="16.5" customHeight="1" x14ac:dyDescent="0.3">
      <c r="A21" s="16" t="s">
        <v>46</v>
      </c>
      <c r="B21" s="32" t="s">
        <v>47</v>
      </c>
      <c r="C21" s="25">
        <f t="shared" si="0"/>
        <v>3049</v>
      </c>
      <c r="D21" s="25" t="e">
        <f t="shared" si="1"/>
        <v>#NAME?</v>
      </c>
      <c r="E21" s="27" t="e">
        <f t="shared" si="2"/>
        <v>#NAME?</v>
      </c>
      <c r="F21" s="27"/>
      <c r="G21" s="25">
        <f t="shared" si="3"/>
        <v>2461</v>
      </c>
      <c r="H21" s="25" t="e">
        <f t="shared" si="4"/>
        <v>#NAME?</v>
      </c>
      <c r="I21" s="27" t="e">
        <f t="shared" si="5"/>
        <v>#NAME?</v>
      </c>
      <c r="J21" s="27"/>
      <c r="K21" s="25">
        <f t="shared" si="6"/>
        <v>0</v>
      </c>
      <c r="L21" s="25" t="e">
        <f t="shared" si="7"/>
        <v>#NAME?</v>
      </c>
      <c r="M21" s="27" t="e">
        <f t="shared" si="8"/>
        <v>#NAME?</v>
      </c>
      <c r="N21" s="39"/>
      <c r="O21" s="36" t="str">
        <f t="shared" si="9"/>
        <v>Western</v>
      </c>
      <c r="P21" s="26" t="e">
        <f t="shared" si="10"/>
        <v>#NAME?</v>
      </c>
      <c r="Q21" s="27" t="e">
        <f t="shared" si="11"/>
        <v>#VALUE!</v>
      </c>
      <c r="R21" s="27"/>
      <c r="S21" s="26">
        <f t="shared" si="12"/>
        <v>5510</v>
      </c>
      <c r="T21" s="26" t="e">
        <f t="shared" si="13"/>
        <v>#NAME?</v>
      </c>
      <c r="U21" s="27" t="e">
        <f t="shared" si="14"/>
        <v>#NAME?</v>
      </c>
      <c r="V21" s="27"/>
      <c r="W21" s="26">
        <f t="shared" si="15"/>
        <v>1959</v>
      </c>
      <c r="X21" s="26" t="e">
        <f t="shared" si="16"/>
        <v>#NAME?</v>
      </c>
      <c r="Y21" s="27" t="e">
        <f t="shared" si="17"/>
        <v>#NAME?</v>
      </c>
    </row>
    <row r="22" spans="1:25" ht="16.5" customHeight="1" x14ac:dyDescent="0.3">
      <c r="A22" s="16" t="s">
        <v>48</v>
      </c>
      <c r="B22" s="17" t="s">
        <v>257</v>
      </c>
      <c r="C22" s="25">
        <f t="shared" si="0"/>
        <v>623</v>
      </c>
      <c r="D22" s="25" t="e">
        <f t="shared" si="1"/>
        <v>#NAME?</v>
      </c>
      <c r="E22" s="27" t="e">
        <f t="shared" si="2"/>
        <v>#NAME?</v>
      </c>
      <c r="F22" s="27"/>
      <c r="G22" s="25">
        <f t="shared" si="3"/>
        <v>468</v>
      </c>
      <c r="H22" s="25" t="e">
        <f t="shared" si="4"/>
        <v>#NAME?</v>
      </c>
      <c r="I22" s="27" t="e">
        <f t="shared" si="5"/>
        <v>#NAME?</v>
      </c>
      <c r="J22" s="27"/>
      <c r="K22" s="25">
        <f t="shared" si="6"/>
        <v>0</v>
      </c>
      <c r="L22" s="25" t="e">
        <f t="shared" si="7"/>
        <v>#NAME?</v>
      </c>
      <c r="M22" s="27" t="e">
        <f t="shared" si="8"/>
        <v>#NAME?</v>
      </c>
      <c r="N22" s="39"/>
      <c r="O22" s="36" t="str">
        <f t="shared" si="9"/>
        <v>Central</v>
      </c>
      <c r="P22" s="26" t="e">
        <f t="shared" si="10"/>
        <v>#NAME?</v>
      </c>
      <c r="Q22" s="27" t="e">
        <f t="shared" si="11"/>
        <v>#VALUE!</v>
      </c>
      <c r="R22" s="27"/>
      <c r="S22" s="26">
        <f t="shared" si="12"/>
        <v>1091</v>
      </c>
      <c r="T22" s="26" t="e">
        <f t="shared" si="13"/>
        <v>#NAME?</v>
      </c>
      <c r="U22" s="27" t="e">
        <f t="shared" si="14"/>
        <v>#NAME?</v>
      </c>
      <c r="V22" s="27"/>
      <c r="W22" s="26">
        <f t="shared" si="15"/>
        <v>400</v>
      </c>
      <c r="X22" s="26" t="e">
        <f t="shared" si="16"/>
        <v>#NAME?</v>
      </c>
      <c r="Y22" s="27" t="e">
        <f t="shared" si="17"/>
        <v>#NAME?</v>
      </c>
    </row>
    <row r="23" spans="1:25" ht="16.5" customHeight="1" x14ac:dyDescent="0.3">
      <c r="A23" s="16" t="s">
        <v>50</v>
      </c>
      <c r="B23" s="32" t="s">
        <v>51</v>
      </c>
      <c r="C23" s="25">
        <f t="shared" si="0"/>
        <v>1439</v>
      </c>
      <c r="D23" s="25" t="e">
        <f t="shared" si="1"/>
        <v>#NAME?</v>
      </c>
      <c r="E23" s="27" t="e">
        <f t="shared" si="2"/>
        <v>#NAME?</v>
      </c>
      <c r="F23" s="27"/>
      <c r="G23" s="25">
        <f t="shared" si="3"/>
        <v>1097</v>
      </c>
      <c r="H23" s="25" t="e">
        <f t="shared" si="4"/>
        <v>#NAME?</v>
      </c>
      <c r="I23" s="27" t="e">
        <f t="shared" si="5"/>
        <v>#NAME?</v>
      </c>
      <c r="J23" s="27"/>
      <c r="K23" s="25">
        <f t="shared" si="6"/>
        <v>0</v>
      </c>
      <c r="L23" s="25" t="e">
        <f t="shared" si="7"/>
        <v>#NAME?</v>
      </c>
      <c r="M23" s="27" t="e">
        <f t="shared" si="8"/>
        <v>#NAME?</v>
      </c>
      <c r="N23" s="39"/>
      <c r="O23" s="36" t="str">
        <f t="shared" si="9"/>
        <v>Piedmont</v>
      </c>
      <c r="P23" s="26" t="e">
        <f t="shared" si="10"/>
        <v>#NAME?</v>
      </c>
      <c r="Q23" s="27" t="e">
        <f t="shared" si="11"/>
        <v>#VALUE!</v>
      </c>
      <c r="R23" s="27"/>
      <c r="S23" s="26">
        <f t="shared" si="12"/>
        <v>2536</v>
      </c>
      <c r="T23" s="26" t="e">
        <f t="shared" si="13"/>
        <v>#NAME?</v>
      </c>
      <c r="U23" s="27" t="e">
        <f t="shared" si="14"/>
        <v>#NAME?</v>
      </c>
      <c r="V23" s="27"/>
      <c r="W23" s="26">
        <f t="shared" si="15"/>
        <v>998</v>
      </c>
      <c r="X23" s="26" t="e">
        <f t="shared" si="16"/>
        <v>#NAME?</v>
      </c>
      <c r="Y23" s="27" t="e">
        <f t="shared" si="17"/>
        <v>#NAME?</v>
      </c>
    </row>
    <row r="24" spans="1:25" ht="16.5" customHeight="1" x14ac:dyDescent="0.3">
      <c r="A24" s="16" t="s">
        <v>56</v>
      </c>
      <c r="B24" s="17" t="s">
        <v>283</v>
      </c>
      <c r="C24" s="25">
        <f t="shared" si="0"/>
        <v>22756</v>
      </c>
      <c r="D24" s="25" t="e">
        <f t="shared" si="1"/>
        <v>#NAME?</v>
      </c>
      <c r="E24" s="27" t="e">
        <f t="shared" si="2"/>
        <v>#NAME?</v>
      </c>
      <c r="F24" s="27"/>
      <c r="G24" s="25">
        <f t="shared" si="3"/>
        <v>15796</v>
      </c>
      <c r="H24" s="25" t="e">
        <f t="shared" si="4"/>
        <v>#NAME?</v>
      </c>
      <c r="I24" s="27" t="e">
        <f t="shared" si="5"/>
        <v>#NAME?</v>
      </c>
      <c r="J24" s="27"/>
      <c r="K24" s="25">
        <f t="shared" si="6"/>
        <v>0</v>
      </c>
      <c r="L24" s="25" t="e">
        <f t="shared" si="7"/>
        <v>#NAME?</v>
      </c>
      <c r="M24" s="27" t="e">
        <f t="shared" si="8"/>
        <v>#NAME?</v>
      </c>
      <c r="N24" s="39"/>
      <c r="O24" s="36" t="str">
        <f t="shared" si="9"/>
        <v>Central</v>
      </c>
      <c r="P24" s="26" t="e">
        <f t="shared" si="10"/>
        <v>#NAME?</v>
      </c>
      <c r="Q24" s="27" t="e">
        <f t="shared" si="11"/>
        <v>#VALUE!</v>
      </c>
      <c r="R24" s="27"/>
      <c r="S24" s="26">
        <f t="shared" si="12"/>
        <v>38552</v>
      </c>
      <c r="T24" s="26" t="e">
        <f t="shared" si="13"/>
        <v>#NAME?</v>
      </c>
      <c r="U24" s="27" t="e">
        <f t="shared" si="14"/>
        <v>#NAME?</v>
      </c>
      <c r="V24" s="27"/>
      <c r="W24" s="26">
        <f t="shared" si="15"/>
        <v>19010</v>
      </c>
      <c r="X24" s="26" t="e">
        <f t="shared" si="16"/>
        <v>#NAME?</v>
      </c>
      <c r="Y24" s="27" t="e">
        <f t="shared" si="17"/>
        <v>#NAME?</v>
      </c>
    </row>
    <row r="25" spans="1:25" ht="16.5" customHeight="1" x14ac:dyDescent="0.3">
      <c r="A25" s="16" t="s">
        <v>58</v>
      </c>
      <c r="B25" s="17" t="s">
        <v>59</v>
      </c>
      <c r="C25" s="25">
        <f t="shared" si="0"/>
        <v>385</v>
      </c>
      <c r="D25" s="25" t="e">
        <f t="shared" si="1"/>
        <v>#NAME?</v>
      </c>
      <c r="E25" s="27" t="e">
        <f t="shared" si="2"/>
        <v>#NAME?</v>
      </c>
      <c r="F25" s="27"/>
      <c r="G25" s="25">
        <f t="shared" si="3"/>
        <v>289</v>
      </c>
      <c r="H25" s="25" t="e">
        <f t="shared" si="4"/>
        <v>#NAME?</v>
      </c>
      <c r="I25" s="27" t="e">
        <f t="shared" si="5"/>
        <v>#NAME?</v>
      </c>
      <c r="J25" s="27"/>
      <c r="K25" s="25">
        <f t="shared" si="6"/>
        <v>0</v>
      </c>
      <c r="L25" s="25" t="e">
        <f t="shared" si="7"/>
        <v>#NAME?</v>
      </c>
      <c r="M25" s="27" t="e">
        <f t="shared" si="8"/>
        <v>#NAME?</v>
      </c>
      <c r="N25" s="39"/>
      <c r="O25" s="36" t="str">
        <f t="shared" si="9"/>
        <v>Northern</v>
      </c>
      <c r="P25" s="26" t="e">
        <f t="shared" si="10"/>
        <v>#NAME?</v>
      </c>
      <c r="Q25" s="27" t="e">
        <f t="shared" si="11"/>
        <v>#VALUE!</v>
      </c>
      <c r="R25" s="27"/>
      <c r="S25" s="26">
        <f t="shared" si="12"/>
        <v>674</v>
      </c>
      <c r="T25" s="26" t="e">
        <f t="shared" si="13"/>
        <v>#NAME?</v>
      </c>
      <c r="U25" s="27" t="e">
        <f t="shared" si="14"/>
        <v>#NAME?</v>
      </c>
      <c r="V25" s="27"/>
      <c r="W25" s="26">
        <f t="shared" si="15"/>
        <v>270</v>
      </c>
      <c r="X25" s="26" t="e">
        <f t="shared" si="16"/>
        <v>#NAME?</v>
      </c>
      <c r="Y25" s="27" t="e">
        <f t="shared" si="17"/>
        <v>#NAME?</v>
      </c>
    </row>
    <row r="26" spans="1:25" ht="16.5" customHeight="1" x14ac:dyDescent="0.3">
      <c r="A26" s="16" t="s">
        <v>60</v>
      </c>
      <c r="B26" s="17" t="s">
        <v>61</v>
      </c>
      <c r="C26" s="25">
        <f t="shared" si="0"/>
        <v>358</v>
      </c>
      <c r="D26" s="25" t="e">
        <f t="shared" si="1"/>
        <v>#NAME?</v>
      </c>
      <c r="E26" s="27" t="e">
        <f t="shared" si="2"/>
        <v>#NAME?</v>
      </c>
      <c r="F26" s="27"/>
      <c r="G26" s="25">
        <f t="shared" si="3"/>
        <v>298</v>
      </c>
      <c r="H26" s="25" t="e">
        <f t="shared" si="4"/>
        <v>#NAME?</v>
      </c>
      <c r="I26" s="27" t="e">
        <f t="shared" si="5"/>
        <v>#NAME?</v>
      </c>
      <c r="J26" s="27"/>
      <c r="K26" s="25">
        <f t="shared" si="6"/>
        <v>0</v>
      </c>
      <c r="L26" s="25" t="e">
        <f t="shared" si="7"/>
        <v>#NAME?</v>
      </c>
      <c r="M26" s="27" t="e">
        <f t="shared" si="8"/>
        <v>#NAME?</v>
      </c>
      <c r="N26" s="39"/>
      <c r="O26" s="36" t="str">
        <f t="shared" si="9"/>
        <v>Piedmont</v>
      </c>
      <c r="P26" s="26" t="e">
        <f t="shared" si="10"/>
        <v>#NAME?</v>
      </c>
      <c r="Q26" s="27" t="e">
        <f t="shared" si="11"/>
        <v>#VALUE!</v>
      </c>
      <c r="R26" s="27"/>
      <c r="S26" s="26">
        <f t="shared" si="12"/>
        <v>656</v>
      </c>
      <c r="T26" s="26" t="e">
        <f t="shared" si="13"/>
        <v>#NAME?</v>
      </c>
      <c r="U26" s="27" t="e">
        <f t="shared" si="14"/>
        <v>#NAME?</v>
      </c>
      <c r="V26" s="27"/>
      <c r="W26" s="26">
        <f t="shared" si="15"/>
        <v>243</v>
      </c>
      <c r="X26" s="26" t="e">
        <f t="shared" si="16"/>
        <v>#NAME?</v>
      </c>
      <c r="Y26" s="27" t="e">
        <f t="shared" si="17"/>
        <v>#NAME?</v>
      </c>
    </row>
    <row r="27" spans="1:25" ht="16.5" customHeight="1" x14ac:dyDescent="0.3">
      <c r="A27" s="16" t="s">
        <v>62</v>
      </c>
      <c r="B27" s="17" t="s">
        <v>63</v>
      </c>
      <c r="C27" s="25">
        <f t="shared" si="0"/>
        <v>3381</v>
      </c>
      <c r="D27" s="25" t="e">
        <f t="shared" si="1"/>
        <v>#NAME?</v>
      </c>
      <c r="E27" s="27" t="e">
        <f t="shared" si="2"/>
        <v>#NAME?</v>
      </c>
      <c r="F27" s="27"/>
      <c r="G27" s="25">
        <f t="shared" si="3"/>
        <v>2521</v>
      </c>
      <c r="H27" s="25" t="e">
        <f t="shared" si="4"/>
        <v>#NAME?</v>
      </c>
      <c r="I27" s="27" t="e">
        <f t="shared" si="5"/>
        <v>#NAME?</v>
      </c>
      <c r="J27" s="27"/>
      <c r="K27" s="25">
        <f t="shared" si="6"/>
        <v>0</v>
      </c>
      <c r="L27" s="25" t="e">
        <f t="shared" si="7"/>
        <v>#NAME?</v>
      </c>
      <c r="M27" s="27" t="e">
        <f t="shared" si="8"/>
        <v>#NAME?</v>
      </c>
      <c r="N27" s="39"/>
      <c r="O27" s="36" t="str">
        <f t="shared" si="9"/>
        <v>Northern</v>
      </c>
      <c r="P27" s="26" t="e">
        <f t="shared" si="10"/>
        <v>#NAME?</v>
      </c>
      <c r="Q27" s="27" t="e">
        <f t="shared" si="11"/>
        <v>#VALUE!</v>
      </c>
      <c r="R27" s="27"/>
      <c r="S27" s="26">
        <f t="shared" si="12"/>
        <v>5902</v>
      </c>
      <c r="T27" s="26" t="e">
        <f t="shared" si="13"/>
        <v>#NAME?</v>
      </c>
      <c r="U27" s="27" t="e">
        <f t="shared" si="14"/>
        <v>#NAME?</v>
      </c>
      <c r="V27" s="27"/>
      <c r="W27" s="26">
        <f t="shared" si="15"/>
        <v>2731</v>
      </c>
      <c r="X27" s="26" t="e">
        <f t="shared" si="16"/>
        <v>#NAME?</v>
      </c>
      <c r="Y27" s="27" t="e">
        <f t="shared" si="17"/>
        <v>#NAME?</v>
      </c>
    </row>
    <row r="28" spans="1:25" ht="16.5" customHeight="1" x14ac:dyDescent="0.3">
      <c r="A28" s="16" t="s">
        <v>64</v>
      </c>
      <c r="B28" s="17" t="s">
        <v>65</v>
      </c>
      <c r="C28" s="25">
        <f t="shared" si="0"/>
        <v>1358</v>
      </c>
      <c r="D28" s="25" t="e">
        <f t="shared" si="1"/>
        <v>#NAME?</v>
      </c>
      <c r="E28" s="27" t="e">
        <f t="shared" si="2"/>
        <v>#NAME?</v>
      </c>
      <c r="F28" s="27"/>
      <c r="G28" s="25">
        <f t="shared" si="3"/>
        <v>978</v>
      </c>
      <c r="H28" s="25" t="e">
        <f t="shared" si="4"/>
        <v>#NAME?</v>
      </c>
      <c r="I28" s="27" t="e">
        <f t="shared" si="5"/>
        <v>#NAME?</v>
      </c>
      <c r="J28" s="27"/>
      <c r="K28" s="25">
        <f t="shared" si="6"/>
        <v>0</v>
      </c>
      <c r="L28" s="25" t="e">
        <f t="shared" si="7"/>
        <v>#NAME?</v>
      </c>
      <c r="M28" s="27" t="e">
        <f t="shared" si="8"/>
        <v>#NAME?</v>
      </c>
      <c r="N28" s="39"/>
      <c r="O28" s="36" t="str">
        <f t="shared" si="9"/>
        <v>Central</v>
      </c>
      <c r="P28" s="26" t="e">
        <f t="shared" si="10"/>
        <v>#NAME?</v>
      </c>
      <c r="Q28" s="27" t="e">
        <f t="shared" si="11"/>
        <v>#VALUE!</v>
      </c>
      <c r="R28" s="27"/>
      <c r="S28" s="26">
        <f t="shared" si="12"/>
        <v>2336</v>
      </c>
      <c r="T28" s="26" t="e">
        <f t="shared" si="13"/>
        <v>#NAME?</v>
      </c>
      <c r="U28" s="27" t="e">
        <f t="shared" si="14"/>
        <v>#NAME?</v>
      </c>
      <c r="V28" s="27"/>
      <c r="W28" s="26">
        <f t="shared" si="15"/>
        <v>927</v>
      </c>
      <c r="X28" s="26" t="e">
        <f t="shared" si="16"/>
        <v>#NAME?</v>
      </c>
      <c r="Y28" s="27" t="e">
        <f t="shared" si="17"/>
        <v>#NAME?</v>
      </c>
    </row>
    <row r="29" spans="1:25" ht="16.5" customHeight="1" x14ac:dyDescent="0.3">
      <c r="A29" s="16" t="s">
        <v>68</v>
      </c>
      <c r="B29" s="17" t="s">
        <v>69</v>
      </c>
      <c r="C29" s="25">
        <f t="shared" si="0"/>
        <v>1945</v>
      </c>
      <c r="D29" s="25" t="e">
        <f t="shared" si="1"/>
        <v>#NAME?</v>
      </c>
      <c r="E29" s="27" t="e">
        <f t="shared" si="2"/>
        <v>#NAME?</v>
      </c>
      <c r="F29" s="27"/>
      <c r="G29" s="25">
        <f t="shared" si="3"/>
        <v>1664</v>
      </c>
      <c r="H29" s="25" t="e">
        <f t="shared" si="4"/>
        <v>#NAME?</v>
      </c>
      <c r="I29" s="27" t="e">
        <f t="shared" si="5"/>
        <v>#NAME?</v>
      </c>
      <c r="J29" s="27"/>
      <c r="K29" s="25">
        <f t="shared" si="6"/>
        <v>0</v>
      </c>
      <c r="L29" s="25" t="e">
        <f t="shared" si="7"/>
        <v>#NAME?</v>
      </c>
      <c r="M29" s="27" t="e">
        <f t="shared" si="8"/>
        <v>#NAME?</v>
      </c>
      <c r="N29" s="39"/>
      <c r="O29" s="36" t="str">
        <f t="shared" si="9"/>
        <v>Western</v>
      </c>
      <c r="P29" s="26" t="e">
        <f t="shared" si="10"/>
        <v>#NAME?</v>
      </c>
      <c r="Q29" s="27" t="e">
        <f t="shared" si="11"/>
        <v>#VALUE!</v>
      </c>
      <c r="R29" s="27"/>
      <c r="S29" s="26">
        <f t="shared" si="12"/>
        <v>3609</v>
      </c>
      <c r="T29" s="26" t="e">
        <f t="shared" si="13"/>
        <v>#NAME?</v>
      </c>
      <c r="U29" s="27" t="e">
        <f t="shared" si="14"/>
        <v>#NAME?</v>
      </c>
      <c r="V29" s="27"/>
      <c r="W29" s="26">
        <f t="shared" si="15"/>
        <v>1208</v>
      </c>
      <c r="X29" s="26" t="e">
        <f t="shared" si="16"/>
        <v>#NAME?</v>
      </c>
      <c r="Y29" s="27" t="e">
        <f t="shared" si="17"/>
        <v>#NAME?</v>
      </c>
    </row>
    <row r="30" spans="1:25" ht="16.5" customHeight="1" x14ac:dyDescent="0.3">
      <c r="A30" s="16" t="s">
        <v>70</v>
      </c>
      <c r="B30" s="32" t="s">
        <v>71</v>
      </c>
      <c r="C30" s="25">
        <f t="shared" si="0"/>
        <v>2981</v>
      </c>
      <c r="D30" s="25" t="e">
        <f t="shared" si="1"/>
        <v>#NAME?</v>
      </c>
      <c r="E30" s="27" t="e">
        <f t="shared" si="2"/>
        <v>#NAME?</v>
      </c>
      <c r="F30" s="27"/>
      <c r="G30" s="25">
        <f t="shared" si="3"/>
        <v>2215</v>
      </c>
      <c r="H30" s="25" t="e">
        <f t="shared" si="4"/>
        <v>#NAME?</v>
      </c>
      <c r="I30" s="27" t="e">
        <f t="shared" si="5"/>
        <v>#NAME?</v>
      </c>
      <c r="J30" s="27"/>
      <c r="K30" s="25">
        <f t="shared" si="6"/>
        <v>0</v>
      </c>
      <c r="L30" s="25" t="e">
        <f t="shared" si="7"/>
        <v>#NAME?</v>
      </c>
      <c r="M30" s="27" t="e">
        <f t="shared" si="8"/>
        <v>#NAME?</v>
      </c>
      <c r="N30" s="39"/>
      <c r="O30" s="36" t="str">
        <f t="shared" si="9"/>
        <v>Eastern</v>
      </c>
      <c r="P30" s="26" t="e">
        <f t="shared" si="10"/>
        <v>#NAME?</v>
      </c>
      <c r="Q30" s="27" t="e">
        <f t="shared" si="11"/>
        <v>#VALUE!</v>
      </c>
      <c r="R30" s="27"/>
      <c r="S30" s="26">
        <f t="shared" si="12"/>
        <v>5196</v>
      </c>
      <c r="T30" s="26" t="e">
        <f t="shared" si="13"/>
        <v>#NAME?</v>
      </c>
      <c r="U30" s="27" t="e">
        <f t="shared" si="14"/>
        <v>#NAME?</v>
      </c>
      <c r="V30" s="27"/>
      <c r="W30" s="26">
        <f t="shared" si="15"/>
        <v>2204</v>
      </c>
      <c r="X30" s="26" t="e">
        <f t="shared" si="16"/>
        <v>#NAME?</v>
      </c>
      <c r="Y30" s="27" t="e">
        <f t="shared" si="17"/>
        <v>#NAME?</v>
      </c>
    </row>
    <row r="31" spans="1:25" ht="16.5" customHeight="1" x14ac:dyDescent="0.3">
      <c r="A31" s="16" t="s">
        <v>72</v>
      </c>
      <c r="B31" s="32" t="s">
        <v>73</v>
      </c>
      <c r="C31" s="25">
        <f t="shared" si="0"/>
        <v>1467</v>
      </c>
      <c r="D31" s="25" t="e">
        <f t="shared" si="1"/>
        <v>#NAME?</v>
      </c>
      <c r="E31" s="27" t="e">
        <f t="shared" si="2"/>
        <v>#NAME?</v>
      </c>
      <c r="F31" s="27"/>
      <c r="G31" s="25">
        <f t="shared" si="3"/>
        <v>1012</v>
      </c>
      <c r="H31" s="25" t="e">
        <f t="shared" si="4"/>
        <v>#NAME?</v>
      </c>
      <c r="I31" s="27" t="e">
        <f t="shared" si="5"/>
        <v>#NAME?</v>
      </c>
      <c r="J31" s="27"/>
      <c r="K31" s="25">
        <f t="shared" si="6"/>
        <v>0</v>
      </c>
      <c r="L31" s="25" t="e">
        <f t="shared" si="7"/>
        <v>#NAME?</v>
      </c>
      <c r="M31" s="27" t="e">
        <f t="shared" si="8"/>
        <v>#NAME?</v>
      </c>
      <c r="N31" s="39"/>
      <c r="O31" s="36" t="str">
        <f t="shared" si="9"/>
        <v>Central</v>
      </c>
      <c r="P31" s="26" t="e">
        <f t="shared" si="10"/>
        <v>#NAME?</v>
      </c>
      <c r="Q31" s="27" t="e">
        <f t="shared" si="11"/>
        <v>#VALUE!</v>
      </c>
      <c r="R31" s="27"/>
      <c r="S31" s="26">
        <f t="shared" si="12"/>
        <v>2479</v>
      </c>
      <c r="T31" s="26" t="e">
        <f t="shared" si="13"/>
        <v>#NAME?</v>
      </c>
      <c r="U31" s="27" t="e">
        <f t="shared" si="14"/>
        <v>#NAME?</v>
      </c>
      <c r="V31" s="27"/>
      <c r="W31" s="26">
        <f t="shared" si="15"/>
        <v>1033</v>
      </c>
      <c r="X31" s="26" t="e">
        <f t="shared" si="16"/>
        <v>#NAME?</v>
      </c>
      <c r="Y31" s="27" t="e">
        <f t="shared" si="17"/>
        <v>#NAME?</v>
      </c>
    </row>
    <row r="32" spans="1:25" ht="16.5" customHeight="1" x14ac:dyDescent="0.3">
      <c r="A32" s="16" t="s">
        <v>74</v>
      </c>
      <c r="B32" s="17" t="s">
        <v>290</v>
      </c>
      <c r="C32" s="25">
        <f t="shared" si="0"/>
        <v>31066</v>
      </c>
      <c r="D32" s="25" t="e">
        <f t="shared" si="1"/>
        <v>#NAME?</v>
      </c>
      <c r="E32" s="27" t="e">
        <f t="shared" si="2"/>
        <v>#NAME?</v>
      </c>
      <c r="F32" s="27"/>
      <c r="G32" s="25">
        <f t="shared" si="3"/>
        <v>23893</v>
      </c>
      <c r="H32" s="25" t="e">
        <f t="shared" si="4"/>
        <v>#NAME?</v>
      </c>
      <c r="I32" s="27" t="e">
        <f t="shared" si="5"/>
        <v>#NAME?</v>
      </c>
      <c r="J32" s="27"/>
      <c r="K32" s="25">
        <f t="shared" si="6"/>
        <v>0</v>
      </c>
      <c r="L32" s="25" t="e">
        <f t="shared" si="7"/>
        <v>#NAME?</v>
      </c>
      <c r="M32" s="27" t="e">
        <f t="shared" si="8"/>
        <v>#NAME?</v>
      </c>
      <c r="N32" s="39"/>
      <c r="O32" s="36" t="str">
        <f t="shared" si="9"/>
        <v>Northern</v>
      </c>
      <c r="P32" s="26" t="e">
        <f t="shared" si="10"/>
        <v>#NAME?</v>
      </c>
      <c r="Q32" s="27" t="e">
        <f t="shared" si="11"/>
        <v>#VALUE!</v>
      </c>
      <c r="R32" s="27"/>
      <c r="S32" s="26">
        <f t="shared" si="12"/>
        <v>54959</v>
      </c>
      <c r="T32" s="26" t="e">
        <f t="shared" si="13"/>
        <v>#NAME?</v>
      </c>
      <c r="U32" s="27" t="e">
        <f t="shared" si="14"/>
        <v>#NAME?</v>
      </c>
      <c r="V32" s="27"/>
      <c r="W32" s="26">
        <f t="shared" si="15"/>
        <v>27103</v>
      </c>
      <c r="X32" s="26" t="e">
        <f t="shared" si="16"/>
        <v>#NAME?</v>
      </c>
      <c r="Y32" s="27" t="e">
        <f t="shared" si="17"/>
        <v>#NAME?</v>
      </c>
    </row>
    <row r="33" spans="1:25" ht="16.5" customHeight="1" x14ac:dyDescent="0.3">
      <c r="A33" s="16" t="s">
        <v>76</v>
      </c>
      <c r="B33" s="17" t="s">
        <v>77</v>
      </c>
      <c r="C33" s="25">
        <f t="shared" si="0"/>
        <v>2422</v>
      </c>
      <c r="D33" s="25" t="e">
        <f t="shared" si="1"/>
        <v>#NAME?</v>
      </c>
      <c r="E33" s="27" t="e">
        <f t="shared" si="2"/>
        <v>#NAME?</v>
      </c>
      <c r="F33" s="27"/>
      <c r="G33" s="25">
        <f t="shared" si="3"/>
        <v>1798</v>
      </c>
      <c r="H33" s="25" t="e">
        <f t="shared" si="4"/>
        <v>#NAME?</v>
      </c>
      <c r="I33" s="27" t="e">
        <f t="shared" si="5"/>
        <v>#NAME?</v>
      </c>
      <c r="J33" s="27"/>
      <c r="K33" s="25">
        <f t="shared" si="6"/>
        <v>0</v>
      </c>
      <c r="L33" s="25" t="e">
        <f t="shared" si="7"/>
        <v>#NAME?</v>
      </c>
      <c r="M33" s="27" t="e">
        <f t="shared" si="8"/>
        <v>#NAME?</v>
      </c>
      <c r="N33" s="39"/>
      <c r="O33" s="36" t="str">
        <f t="shared" si="9"/>
        <v>Northern</v>
      </c>
      <c r="P33" s="26" t="e">
        <f t="shared" si="10"/>
        <v>#NAME?</v>
      </c>
      <c r="Q33" s="27" t="e">
        <f t="shared" si="11"/>
        <v>#VALUE!</v>
      </c>
      <c r="R33" s="27"/>
      <c r="S33" s="26">
        <f t="shared" si="12"/>
        <v>4220</v>
      </c>
      <c r="T33" s="26" t="e">
        <f t="shared" si="13"/>
        <v>#NAME?</v>
      </c>
      <c r="U33" s="27" t="e">
        <f t="shared" si="14"/>
        <v>#NAME?</v>
      </c>
      <c r="V33" s="27"/>
      <c r="W33" s="26">
        <f t="shared" si="15"/>
        <v>1915</v>
      </c>
      <c r="X33" s="26" t="e">
        <f t="shared" si="16"/>
        <v>#NAME?</v>
      </c>
      <c r="Y33" s="27" t="e">
        <f t="shared" si="17"/>
        <v>#NAME?</v>
      </c>
    </row>
    <row r="34" spans="1:25" ht="16.5" customHeight="1" x14ac:dyDescent="0.3">
      <c r="A34" s="16" t="s">
        <v>78</v>
      </c>
      <c r="B34" s="32" t="s">
        <v>79</v>
      </c>
      <c r="C34" s="25">
        <f t="shared" si="0"/>
        <v>1214</v>
      </c>
      <c r="D34" s="25" t="e">
        <f t="shared" si="1"/>
        <v>#NAME?</v>
      </c>
      <c r="E34" s="27" t="e">
        <f t="shared" si="2"/>
        <v>#NAME?</v>
      </c>
      <c r="F34" s="27"/>
      <c r="G34" s="25">
        <f t="shared" si="3"/>
        <v>996</v>
      </c>
      <c r="H34" s="25" t="e">
        <f t="shared" si="4"/>
        <v>#NAME?</v>
      </c>
      <c r="I34" s="27" t="e">
        <f t="shared" si="5"/>
        <v>#NAME?</v>
      </c>
      <c r="J34" s="27"/>
      <c r="K34" s="25">
        <f t="shared" si="6"/>
        <v>0</v>
      </c>
      <c r="L34" s="25" t="e">
        <f t="shared" si="7"/>
        <v>#NAME?</v>
      </c>
      <c r="M34" s="27" t="e">
        <f t="shared" si="8"/>
        <v>#NAME?</v>
      </c>
      <c r="N34" s="39"/>
      <c r="O34" s="36" t="str">
        <f t="shared" si="9"/>
        <v>Western</v>
      </c>
      <c r="P34" s="26" t="e">
        <f t="shared" si="10"/>
        <v>#NAME?</v>
      </c>
      <c r="Q34" s="27" t="e">
        <f t="shared" si="11"/>
        <v>#VALUE!</v>
      </c>
      <c r="R34" s="27"/>
      <c r="S34" s="26">
        <f t="shared" si="12"/>
        <v>2210</v>
      </c>
      <c r="T34" s="26" t="e">
        <f t="shared" si="13"/>
        <v>#NAME?</v>
      </c>
      <c r="U34" s="27" t="e">
        <f t="shared" si="14"/>
        <v>#NAME?</v>
      </c>
      <c r="V34" s="27"/>
      <c r="W34" s="26">
        <f t="shared" si="15"/>
        <v>847</v>
      </c>
      <c r="X34" s="26" t="e">
        <f t="shared" si="16"/>
        <v>#NAME?</v>
      </c>
      <c r="Y34" s="27" t="e">
        <f t="shared" si="17"/>
        <v>#NAME?</v>
      </c>
    </row>
    <row r="35" spans="1:25" ht="16.5" customHeight="1" x14ac:dyDescent="0.3">
      <c r="A35" s="16" t="s">
        <v>80</v>
      </c>
      <c r="B35" s="17" t="s">
        <v>81</v>
      </c>
      <c r="C35" s="25">
        <f t="shared" si="0"/>
        <v>1130</v>
      </c>
      <c r="D35" s="25" t="e">
        <f t="shared" si="1"/>
        <v>#NAME?</v>
      </c>
      <c r="E35" s="27" t="e">
        <f t="shared" si="2"/>
        <v>#NAME?</v>
      </c>
      <c r="F35" s="27"/>
      <c r="G35" s="25">
        <f t="shared" si="3"/>
        <v>835</v>
      </c>
      <c r="H35" s="25" t="e">
        <f t="shared" si="4"/>
        <v>#NAME?</v>
      </c>
      <c r="I35" s="27" t="e">
        <f t="shared" si="5"/>
        <v>#NAME?</v>
      </c>
      <c r="J35" s="27"/>
      <c r="K35" s="25">
        <f t="shared" si="6"/>
        <v>0</v>
      </c>
      <c r="L35" s="25" t="e">
        <f t="shared" si="7"/>
        <v>#NAME?</v>
      </c>
      <c r="M35" s="27" t="e">
        <f t="shared" si="8"/>
        <v>#NAME?</v>
      </c>
      <c r="N35" s="39"/>
      <c r="O35" s="36" t="str">
        <f t="shared" si="9"/>
        <v>Central</v>
      </c>
      <c r="P35" s="26" t="e">
        <f t="shared" si="10"/>
        <v>#NAME?</v>
      </c>
      <c r="Q35" s="27" t="e">
        <f t="shared" si="11"/>
        <v>#VALUE!</v>
      </c>
      <c r="R35" s="27"/>
      <c r="S35" s="26">
        <f t="shared" si="12"/>
        <v>1965</v>
      </c>
      <c r="T35" s="26" t="e">
        <f t="shared" si="13"/>
        <v>#NAME?</v>
      </c>
      <c r="U35" s="27" t="e">
        <f t="shared" si="14"/>
        <v>#NAME?</v>
      </c>
      <c r="V35" s="27"/>
      <c r="W35" s="26">
        <f t="shared" si="15"/>
        <v>862</v>
      </c>
      <c r="X35" s="26" t="e">
        <f t="shared" si="16"/>
        <v>#NAME?</v>
      </c>
      <c r="Y35" s="27" t="e">
        <f t="shared" si="17"/>
        <v>#NAME?</v>
      </c>
    </row>
    <row r="36" spans="1:25" ht="16.5" customHeight="1" x14ac:dyDescent="0.3">
      <c r="A36" s="16" t="s">
        <v>84</v>
      </c>
      <c r="B36" s="32" t="s">
        <v>296</v>
      </c>
      <c r="C36" s="25">
        <f t="shared" ref="C36:C67" si="18">VLOOKUP(A36,SNAPClient_Demo,10,FALSE)</f>
        <v>4559</v>
      </c>
      <c r="D36" s="25" t="e">
        <f t="shared" ref="D36:D67" si="19">VLOOKUP(A36,Pop,14,FALSE)</f>
        <v>#NAME?</v>
      </c>
      <c r="E36" s="27" t="e">
        <f t="shared" ref="E36:E67" si="20">+C36/D36</f>
        <v>#NAME?</v>
      </c>
      <c r="F36" s="27"/>
      <c r="G36" s="25">
        <f t="shared" ref="G36:G67" si="21">VLOOKUP(A36,SNAPClient_Demo,11,FALSE)</f>
        <v>3477</v>
      </c>
      <c r="H36" s="25" t="e">
        <f t="shared" ref="H36:H67" si="22">VLOOKUP(A36,Pop,15,FALSE)</f>
        <v>#NAME?</v>
      </c>
      <c r="I36" s="27" t="e">
        <f t="shared" ref="I36:I67" si="23">+G36/H36</f>
        <v>#NAME?</v>
      </c>
      <c r="J36" s="27"/>
      <c r="K36" s="25">
        <f t="shared" ref="K36:K67" si="24">VLOOKUP(A36,SNAPClient_Demo,12,FALSE)</f>
        <v>0</v>
      </c>
      <c r="L36" s="25" t="e">
        <f t="shared" ref="L36:L67" si="25">VLOOKUP(A36,Pop,16,FALSE)</f>
        <v>#NAME?</v>
      </c>
      <c r="M36" s="27" t="e">
        <f t="shared" ref="M36:M67" si="26">+K36/L36</f>
        <v>#NAME?</v>
      </c>
      <c r="N36" s="39"/>
      <c r="O36" s="36" t="str">
        <f t="shared" ref="O36:O67" si="27">VLOOKUP(A36,SNAPClient_Demo,3,FALSE)</f>
        <v>Piedmont</v>
      </c>
      <c r="P36" s="26" t="e">
        <f t="shared" ref="P36:P67" si="28">VLOOKUP(A36,Pop,8,FALSE)</f>
        <v>#NAME?</v>
      </c>
      <c r="Q36" s="27" t="e">
        <f t="shared" ref="Q36:Q67" si="29">+O36/P36</f>
        <v>#VALUE!</v>
      </c>
      <c r="R36" s="27"/>
      <c r="S36" s="26">
        <f t="shared" ref="S36:S67" si="30">VLOOKUP(A36,SNAPClient_Demo,4,FALSE)</f>
        <v>8036</v>
      </c>
      <c r="T36" s="26" t="e">
        <f t="shared" ref="T36:T67" si="31">VLOOKUP(A36,Pop,9,FALSE)</f>
        <v>#NAME?</v>
      </c>
      <c r="U36" s="27" t="e">
        <f t="shared" ref="U36:U67" si="32">+S36/T36</f>
        <v>#NAME?</v>
      </c>
      <c r="V36" s="27"/>
      <c r="W36" s="26">
        <f t="shared" ref="W36:W67" si="33">VLOOKUP(A36,SNAPClient_Demo,5,FALSE)</f>
        <v>3366</v>
      </c>
      <c r="X36" s="26" t="e">
        <f t="shared" ref="X36:X67" si="34">VLOOKUP(A36,Pop,10,FALSE)</f>
        <v>#NAME?</v>
      </c>
      <c r="Y36" s="27" t="e">
        <f t="shared" ref="Y36:Y67" si="35">+W36/X36</f>
        <v>#NAME?</v>
      </c>
    </row>
    <row r="37" spans="1:25" ht="16.5" customHeight="1" x14ac:dyDescent="0.3">
      <c r="A37" s="16" t="s">
        <v>86</v>
      </c>
      <c r="B37" s="17" t="s">
        <v>87</v>
      </c>
      <c r="C37" s="25">
        <f t="shared" si="18"/>
        <v>3879</v>
      </c>
      <c r="D37" s="25" t="e">
        <f t="shared" si="19"/>
        <v>#NAME?</v>
      </c>
      <c r="E37" s="27" t="e">
        <f t="shared" si="20"/>
        <v>#NAME?</v>
      </c>
      <c r="F37" s="27"/>
      <c r="G37" s="25">
        <f t="shared" si="21"/>
        <v>2834</v>
      </c>
      <c r="H37" s="25" t="e">
        <f t="shared" si="22"/>
        <v>#NAME?</v>
      </c>
      <c r="I37" s="27" t="e">
        <f t="shared" si="23"/>
        <v>#NAME?</v>
      </c>
      <c r="J37" s="27"/>
      <c r="K37" s="25">
        <f t="shared" si="24"/>
        <v>0</v>
      </c>
      <c r="L37" s="25" t="e">
        <f t="shared" si="25"/>
        <v>#NAME?</v>
      </c>
      <c r="M37" s="27" t="e">
        <f t="shared" si="26"/>
        <v>#NAME?</v>
      </c>
      <c r="N37" s="39"/>
      <c r="O37" s="36" t="str">
        <f t="shared" si="27"/>
        <v>Northern</v>
      </c>
      <c r="P37" s="26" t="e">
        <f t="shared" si="28"/>
        <v>#NAME?</v>
      </c>
      <c r="Q37" s="27" t="e">
        <f t="shared" si="29"/>
        <v>#VALUE!</v>
      </c>
      <c r="R37" s="27"/>
      <c r="S37" s="26">
        <f t="shared" si="30"/>
        <v>6713</v>
      </c>
      <c r="T37" s="26" t="e">
        <f t="shared" si="31"/>
        <v>#NAME?</v>
      </c>
      <c r="U37" s="27" t="e">
        <f t="shared" si="32"/>
        <v>#NAME?</v>
      </c>
      <c r="V37" s="27"/>
      <c r="W37" s="26">
        <f t="shared" si="33"/>
        <v>3165</v>
      </c>
      <c r="X37" s="26" t="e">
        <f t="shared" si="34"/>
        <v>#NAME?</v>
      </c>
      <c r="Y37" s="27" t="e">
        <f t="shared" si="35"/>
        <v>#NAME?</v>
      </c>
    </row>
    <row r="38" spans="1:25" ht="16.5" customHeight="1" x14ac:dyDescent="0.3">
      <c r="A38" s="16" t="s">
        <v>92</v>
      </c>
      <c r="B38" s="17" t="s">
        <v>93</v>
      </c>
      <c r="C38" s="25">
        <f t="shared" si="18"/>
        <v>1455</v>
      </c>
      <c r="D38" s="25" t="e">
        <f t="shared" si="19"/>
        <v>#NAME?</v>
      </c>
      <c r="E38" s="27" t="e">
        <f t="shared" si="20"/>
        <v>#NAME?</v>
      </c>
      <c r="F38" s="27"/>
      <c r="G38" s="25">
        <f t="shared" si="21"/>
        <v>1108</v>
      </c>
      <c r="H38" s="25" t="e">
        <f t="shared" si="22"/>
        <v>#NAME?</v>
      </c>
      <c r="I38" s="27" t="e">
        <f t="shared" si="23"/>
        <v>#NAME?</v>
      </c>
      <c r="J38" s="27"/>
      <c r="K38" s="25">
        <f t="shared" si="24"/>
        <v>0</v>
      </c>
      <c r="L38" s="25" t="e">
        <f t="shared" si="25"/>
        <v>#NAME?</v>
      </c>
      <c r="M38" s="27" t="e">
        <f t="shared" si="26"/>
        <v>#NAME?</v>
      </c>
      <c r="N38" s="39"/>
      <c r="O38" s="36" t="str">
        <f t="shared" si="27"/>
        <v>Western</v>
      </c>
      <c r="P38" s="26" t="e">
        <f t="shared" si="28"/>
        <v>#NAME?</v>
      </c>
      <c r="Q38" s="27" t="e">
        <f t="shared" si="29"/>
        <v>#VALUE!</v>
      </c>
      <c r="R38" s="27"/>
      <c r="S38" s="26">
        <f t="shared" si="30"/>
        <v>2563</v>
      </c>
      <c r="T38" s="26" t="e">
        <f t="shared" si="31"/>
        <v>#NAME?</v>
      </c>
      <c r="U38" s="27" t="e">
        <f t="shared" si="32"/>
        <v>#NAME?</v>
      </c>
      <c r="V38" s="27"/>
      <c r="W38" s="26">
        <f t="shared" si="33"/>
        <v>963</v>
      </c>
      <c r="X38" s="26" t="e">
        <f t="shared" si="34"/>
        <v>#NAME?</v>
      </c>
      <c r="Y38" s="27" t="e">
        <f t="shared" si="35"/>
        <v>#NAME?</v>
      </c>
    </row>
    <row r="39" spans="1:25" ht="16.5" customHeight="1" x14ac:dyDescent="0.3">
      <c r="A39" s="16" t="s">
        <v>94</v>
      </c>
      <c r="B39" s="17" t="s">
        <v>95</v>
      </c>
      <c r="C39" s="25">
        <f t="shared" si="18"/>
        <v>2479</v>
      </c>
      <c r="D39" s="25" t="e">
        <f t="shared" si="19"/>
        <v>#NAME?</v>
      </c>
      <c r="E39" s="27" t="e">
        <f t="shared" si="20"/>
        <v>#NAME?</v>
      </c>
      <c r="F39" s="27"/>
      <c r="G39" s="25">
        <f t="shared" si="21"/>
        <v>1948</v>
      </c>
      <c r="H39" s="25" t="e">
        <f t="shared" si="22"/>
        <v>#NAME?</v>
      </c>
      <c r="I39" s="27" t="e">
        <f t="shared" si="23"/>
        <v>#NAME?</v>
      </c>
      <c r="J39" s="27"/>
      <c r="K39" s="25">
        <f t="shared" si="24"/>
        <v>0</v>
      </c>
      <c r="L39" s="25" t="e">
        <f t="shared" si="25"/>
        <v>#NAME?</v>
      </c>
      <c r="M39" s="27" t="e">
        <f t="shared" si="26"/>
        <v>#NAME?</v>
      </c>
      <c r="N39" s="39"/>
      <c r="O39" s="36" t="str">
        <f t="shared" si="27"/>
        <v>Eastern</v>
      </c>
      <c r="P39" s="26" t="e">
        <f t="shared" si="28"/>
        <v>#NAME?</v>
      </c>
      <c r="Q39" s="27" t="e">
        <f t="shared" si="29"/>
        <v>#VALUE!</v>
      </c>
      <c r="R39" s="27"/>
      <c r="S39" s="26">
        <f t="shared" si="30"/>
        <v>4427</v>
      </c>
      <c r="T39" s="26" t="e">
        <f t="shared" si="31"/>
        <v>#NAME?</v>
      </c>
      <c r="U39" s="27" t="e">
        <f t="shared" si="32"/>
        <v>#NAME?</v>
      </c>
      <c r="V39" s="27"/>
      <c r="W39" s="26">
        <f t="shared" si="33"/>
        <v>1743</v>
      </c>
      <c r="X39" s="26" t="e">
        <f t="shared" si="34"/>
        <v>#NAME?</v>
      </c>
      <c r="Y39" s="27" t="e">
        <f t="shared" si="35"/>
        <v>#NAME?</v>
      </c>
    </row>
    <row r="40" spans="1:25" ht="16.5" customHeight="1" x14ac:dyDescent="0.3">
      <c r="A40" s="16" t="s">
        <v>96</v>
      </c>
      <c r="B40" s="17" t="s">
        <v>97</v>
      </c>
      <c r="C40" s="25">
        <f t="shared" si="18"/>
        <v>783</v>
      </c>
      <c r="D40" s="25" t="e">
        <f t="shared" si="19"/>
        <v>#NAME?</v>
      </c>
      <c r="E40" s="27" t="e">
        <f t="shared" si="20"/>
        <v>#NAME?</v>
      </c>
      <c r="F40" s="27"/>
      <c r="G40" s="25">
        <f t="shared" si="21"/>
        <v>588</v>
      </c>
      <c r="H40" s="25" t="e">
        <f t="shared" si="22"/>
        <v>#NAME?</v>
      </c>
      <c r="I40" s="27" t="e">
        <f t="shared" si="23"/>
        <v>#NAME?</v>
      </c>
      <c r="J40" s="27"/>
      <c r="K40" s="25">
        <f t="shared" si="24"/>
        <v>0</v>
      </c>
      <c r="L40" s="25" t="e">
        <f t="shared" si="25"/>
        <v>#NAME?</v>
      </c>
      <c r="M40" s="27" t="e">
        <f t="shared" si="26"/>
        <v>#NAME?</v>
      </c>
      <c r="N40" s="39"/>
      <c r="O40" s="36" t="str">
        <f t="shared" si="27"/>
        <v>Central</v>
      </c>
      <c r="P40" s="26" t="e">
        <f t="shared" si="28"/>
        <v>#NAME?</v>
      </c>
      <c r="Q40" s="27" t="e">
        <f t="shared" si="29"/>
        <v>#VALUE!</v>
      </c>
      <c r="R40" s="27"/>
      <c r="S40" s="26">
        <f t="shared" si="30"/>
        <v>1371</v>
      </c>
      <c r="T40" s="26" t="e">
        <f t="shared" si="31"/>
        <v>#NAME?</v>
      </c>
      <c r="U40" s="27" t="e">
        <f t="shared" si="32"/>
        <v>#NAME?</v>
      </c>
      <c r="V40" s="27"/>
      <c r="W40" s="26">
        <f t="shared" si="33"/>
        <v>537</v>
      </c>
      <c r="X40" s="26" t="e">
        <f t="shared" si="34"/>
        <v>#NAME?</v>
      </c>
      <c r="Y40" s="27" t="e">
        <f t="shared" si="35"/>
        <v>#NAME?</v>
      </c>
    </row>
    <row r="41" spans="1:25" ht="16.5" customHeight="1" x14ac:dyDescent="0.3">
      <c r="A41" s="16" t="s">
        <v>98</v>
      </c>
      <c r="B41" s="17" t="s">
        <v>99</v>
      </c>
      <c r="C41" s="25">
        <f t="shared" si="18"/>
        <v>1652</v>
      </c>
      <c r="D41" s="25" t="e">
        <f t="shared" si="19"/>
        <v>#NAME?</v>
      </c>
      <c r="E41" s="27" t="e">
        <f t="shared" si="20"/>
        <v>#NAME?</v>
      </c>
      <c r="F41" s="27"/>
      <c r="G41" s="25">
        <f t="shared" si="21"/>
        <v>1304</v>
      </c>
      <c r="H41" s="25" t="e">
        <f t="shared" si="22"/>
        <v>#NAME?</v>
      </c>
      <c r="I41" s="27" t="e">
        <f t="shared" si="23"/>
        <v>#NAME?</v>
      </c>
      <c r="J41" s="27"/>
      <c r="K41" s="25">
        <f t="shared" si="24"/>
        <v>0</v>
      </c>
      <c r="L41" s="25" t="e">
        <f t="shared" si="25"/>
        <v>#NAME?</v>
      </c>
      <c r="M41" s="27" t="e">
        <f t="shared" si="26"/>
        <v>#NAME?</v>
      </c>
      <c r="N41" s="39"/>
      <c r="O41" s="36" t="str">
        <f t="shared" si="27"/>
        <v>Western</v>
      </c>
      <c r="P41" s="26" t="e">
        <f t="shared" si="28"/>
        <v>#NAME?</v>
      </c>
      <c r="Q41" s="27" t="e">
        <f t="shared" si="29"/>
        <v>#VALUE!</v>
      </c>
      <c r="R41" s="27"/>
      <c r="S41" s="26">
        <f t="shared" si="30"/>
        <v>2956</v>
      </c>
      <c r="T41" s="26" t="e">
        <f t="shared" si="31"/>
        <v>#NAME?</v>
      </c>
      <c r="U41" s="27" t="e">
        <f t="shared" si="32"/>
        <v>#NAME?</v>
      </c>
      <c r="V41" s="27"/>
      <c r="W41" s="26">
        <f t="shared" si="33"/>
        <v>1092</v>
      </c>
      <c r="X41" s="26" t="e">
        <f t="shared" si="34"/>
        <v>#NAME?</v>
      </c>
      <c r="Y41" s="27" t="e">
        <f t="shared" si="35"/>
        <v>#NAME?</v>
      </c>
    </row>
    <row r="42" spans="1:25" ht="16.5" customHeight="1" x14ac:dyDescent="0.3">
      <c r="A42" s="16" t="s">
        <v>100</v>
      </c>
      <c r="B42" s="17" t="s">
        <v>101</v>
      </c>
      <c r="C42" s="25">
        <f t="shared" si="18"/>
        <v>1356</v>
      </c>
      <c r="D42" s="25" t="e">
        <f t="shared" si="19"/>
        <v>#NAME?</v>
      </c>
      <c r="E42" s="27" t="e">
        <f t="shared" si="20"/>
        <v>#NAME?</v>
      </c>
      <c r="F42" s="27"/>
      <c r="G42" s="25">
        <f t="shared" si="21"/>
        <v>1044</v>
      </c>
      <c r="H42" s="25" t="e">
        <f t="shared" si="22"/>
        <v>#NAME?</v>
      </c>
      <c r="I42" s="27" t="e">
        <f t="shared" si="23"/>
        <v>#NAME?</v>
      </c>
      <c r="J42" s="27"/>
      <c r="K42" s="25">
        <f t="shared" si="24"/>
        <v>0</v>
      </c>
      <c r="L42" s="25" t="e">
        <f t="shared" si="25"/>
        <v>#NAME?</v>
      </c>
      <c r="M42" s="27" t="e">
        <f t="shared" si="26"/>
        <v>#NAME?</v>
      </c>
      <c r="N42" s="39"/>
      <c r="O42" s="36" t="str">
        <f t="shared" si="27"/>
        <v>Northern</v>
      </c>
      <c r="P42" s="26" t="e">
        <f t="shared" si="28"/>
        <v>#NAME?</v>
      </c>
      <c r="Q42" s="27" t="e">
        <f t="shared" si="29"/>
        <v>#VALUE!</v>
      </c>
      <c r="R42" s="27"/>
      <c r="S42" s="26">
        <f t="shared" si="30"/>
        <v>2400</v>
      </c>
      <c r="T42" s="26" t="e">
        <f t="shared" si="31"/>
        <v>#NAME?</v>
      </c>
      <c r="U42" s="27" t="e">
        <f t="shared" si="32"/>
        <v>#NAME?</v>
      </c>
      <c r="V42" s="27"/>
      <c r="W42" s="26">
        <f t="shared" si="33"/>
        <v>1118</v>
      </c>
      <c r="X42" s="26" t="e">
        <f t="shared" si="34"/>
        <v>#NAME?</v>
      </c>
      <c r="Y42" s="27" t="e">
        <f t="shared" si="35"/>
        <v>#NAME?</v>
      </c>
    </row>
    <row r="43" spans="1:25" ht="16.5" customHeight="1" x14ac:dyDescent="0.3">
      <c r="A43" s="16" t="s">
        <v>102</v>
      </c>
      <c r="B43" s="32" t="s">
        <v>103</v>
      </c>
      <c r="C43" s="25">
        <f t="shared" si="18"/>
        <v>2653</v>
      </c>
      <c r="D43" s="25" t="e">
        <f t="shared" si="19"/>
        <v>#NAME?</v>
      </c>
      <c r="E43" s="27" t="e">
        <f t="shared" si="20"/>
        <v>#NAME?</v>
      </c>
      <c r="F43" s="27"/>
      <c r="G43" s="25">
        <f t="shared" si="21"/>
        <v>1859</v>
      </c>
      <c r="H43" s="25" t="e">
        <f t="shared" si="22"/>
        <v>#NAME?</v>
      </c>
      <c r="I43" s="27" t="e">
        <f t="shared" si="23"/>
        <v>#NAME?</v>
      </c>
      <c r="J43" s="27"/>
      <c r="K43" s="25">
        <f t="shared" si="24"/>
        <v>0</v>
      </c>
      <c r="L43" s="25" t="e">
        <f t="shared" si="25"/>
        <v>#NAME?</v>
      </c>
      <c r="M43" s="27" t="e">
        <f t="shared" si="26"/>
        <v>#NAME?</v>
      </c>
      <c r="N43" s="39"/>
      <c r="O43" s="36" t="str">
        <f t="shared" si="27"/>
        <v>Eastern</v>
      </c>
      <c r="P43" s="26" t="e">
        <f t="shared" si="28"/>
        <v>#NAME?</v>
      </c>
      <c r="Q43" s="27" t="e">
        <f t="shared" si="29"/>
        <v>#VALUE!</v>
      </c>
      <c r="R43" s="27"/>
      <c r="S43" s="26">
        <f t="shared" si="30"/>
        <v>4512</v>
      </c>
      <c r="T43" s="26" t="e">
        <f t="shared" si="31"/>
        <v>#NAME?</v>
      </c>
      <c r="U43" s="27" t="e">
        <f t="shared" si="32"/>
        <v>#NAME?</v>
      </c>
      <c r="V43" s="27"/>
      <c r="W43" s="26">
        <f t="shared" si="33"/>
        <v>1922</v>
      </c>
      <c r="X43" s="26" t="e">
        <f t="shared" si="34"/>
        <v>#NAME?</v>
      </c>
      <c r="Y43" s="27" t="e">
        <f t="shared" si="35"/>
        <v>#NAME?</v>
      </c>
    </row>
    <row r="44" spans="1:25" ht="16.5" customHeight="1" x14ac:dyDescent="0.3">
      <c r="A44" s="16" t="s">
        <v>104</v>
      </c>
      <c r="B44" s="32" t="s">
        <v>297</v>
      </c>
      <c r="C44" s="25">
        <f t="shared" si="18"/>
        <v>4296</v>
      </c>
      <c r="D44" s="25" t="e">
        <f t="shared" si="19"/>
        <v>#NAME?</v>
      </c>
      <c r="E44" s="27" t="e">
        <f t="shared" si="20"/>
        <v>#NAME?</v>
      </c>
      <c r="F44" s="27"/>
      <c r="G44" s="25">
        <f t="shared" si="21"/>
        <v>3206</v>
      </c>
      <c r="H44" s="25" t="e">
        <f t="shared" si="22"/>
        <v>#NAME?</v>
      </c>
      <c r="I44" s="27" t="e">
        <f t="shared" si="23"/>
        <v>#NAME?</v>
      </c>
      <c r="J44" s="27"/>
      <c r="K44" s="25">
        <f t="shared" si="24"/>
        <v>0</v>
      </c>
      <c r="L44" s="25" t="e">
        <f t="shared" si="25"/>
        <v>#NAME?</v>
      </c>
      <c r="M44" s="27" t="e">
        <f t="shared" si="26"/>
        <v>#NAME?</v>
      </c>
      <c r="N44" s="39"/>
      <c r="O44" s="36" t="str">
        <f t="shared" si="27"/>
        <v>Piedmont</v>
      </c>
      <c r="P44" s="26" t="e">
        <f t="shared" si="28"/>
        <v>#NAME?</v>
      </c>
      <c r="Q44" s="27" t="e">
        <f t="shared" si="29"/>
        <v>#VALUE!</v>
      </c>
      <c r="R44" s="27"/>
      <c r="S44" s="26">
        <f t="shared" si="30"/>
        <v>7502</v>
      </c>
      <c r="T44" s="26" t="e">
        <f t="shared" si="31"/>
        <v>#NAME?</v>
      </c>
      <c r="U44" s="27" t="e">
        <f t="shared" si="32"/>
        <v>#NAME?</v>
      </c>
      <c r="V44" s="27"/>
      <c r="W44" s="26">
        <f t="shared" si="33"/>
        <v>2924</v>
      </c>
      <c r="X44" s="26" t="e">
        <f t="shared" si="34"/>
        <v>#NAME?</v>
      </c>
      <c r="Y44" s="27" t="e">
        <f t="shared" si="35"/>
        <v>#NAME?</v>
      </c>
    </row>
    <row r="45" spans="1:25" ht="16.5" customHeight="1" x14ac:dyDescent="0.3">
      <c r="A45" s="16" t="s">
        <v>108</v>
      </c>
      <c r="B45" s="17" t="s">
        <v>109</v>
      </c>
      <c r="C45" s="25">
        <f t="shared" si="18"/>
        <v>3635</v>
      </c>
      <c r="D45" s="25" t="e">
        <f t="shared" si="19"/>
        <v>#NAME?</v>
      </c>
      <c r="E45" s="27" t="e">
        <f t="shared" si="20"/>
        <v>#NAME?</v>
      </c>
      <c r="F45" s="27"/>
      <c r="G45" s="25">
        <f t="shared" si="21"/>
        <v>2620</v>
      </c>
      <c r="H45" s="25" t="e">
        <f t="shared" si="22"/>
        <v>#NAME?</v>
      </c>
      <c r="I45" s="27" t="e">
        <f t="shared" si="23"/>
        <v>#NAME?</v>
      </c>
      <c r="J45" s="27"/>
      <c r="K45" s="25">
        <f t="shared" si="24"/>
        <v>0</v>
      </c>
      <c r="L45" s="25" t="e">
        <f t="shared" si="25"/>
        <v>#NAME?</v>
      </c>
      <c r="M45" s="27" t="e">
        <f t="shared" si="26"/>
        <v>#NAME?</v>
      </c>
      <c r="N45" s="39"/>
      <c r="O45" s="36" t="str">
        <f t="shared" si="27"/>
        <v>Central</v>
      </c>
      <c r="P45" s="26" t="e">
        <f t="shared" si="28"/>
        <v>#NAME?</v>
      </c>
      <c r="Q45" s="27" t="e">
        <f t="shared" si="29"/>
        <v>#VALUE!</v>
      </c>
      <c r="R45" s="27"/>
      <c r="S45" s="26">
        <f t="shared" si="30"/>
        <v>6255</v>
      </c>
      <c r="T45" s="26" t="e">
        <f t="shared" si="31"/>
        <v>#NAME?</v>
      </c>
      <c r="U45" s="27" t="e">
        <f t="shared" si="32"/>
        <v>#NAME?</v>
      </c>
      <c r="V45" s="27"/>
      <c r="W45" s="26">
        <f t="shared" si="33"/>
        <v>2736</v>
      </c>
      <c r="X45" s="26" t="e">
        <f t="shared" si="34"/>
        <v>#NAME?</v>
      </c>
      <c r="Y45" s="27" t="e">
        <f t="shared" si="35"/>
        <v>#NAME?</v>
      </c>
    </row>
    <row r="46" spans="1:25" ht="16.5" customHeight="1" x14ac:dyDescent="0.3">
      <c r="A46" s="16" t="s">
        <v>110</v>
      </c>
      <c r="B46" s="17" t="s">
        <v>111</v>
      </c>
      <c r="C46" s="25">
        <f t="shared" si="18"/>
        <v>24453</v>
      </c>
      <c r="D46" s="25" t="e">
        <f t="shared" si="19"/>
        <v>#NAME?</v>
      </c>
      <c r="E46" s="27" t="e">
        <f t="shared" si="20"/>
        <v>#NAME?</v>
      </c>
      <c r="F46" s="27"/>
      <c r="G46" s="25">
        <f t="shared" si="21"/>
        <v>16798</v>
      </c>
      <c r="H46" s="25" t="e">
        <f t="shared" si="22"/>
        <v>#NAME?</v>
      </c>
      <c r="I46" s="27" t="e">
        <f t="shared" si="23"/>
        <v>#NAME?</v>
      </c>
      <c r="J46" s="27"/>
      <c r="K46" s="25">
        <f t="shared" si="24"/>
        <v>0</v>
      </c>
      <c r="L46" s="25" t="e">
        <f t="shared" si="25"/>
        <v>#NAME?</v>
      </c>
      <c r="M46" s="27" t="e">
        <f t="shared" si="26"/>
        <v>#NAME?</v>
      </c>
      <c r="N46" s="39"/>
      <c r="O46" s="36" t="str">
        <f t="shared" si="27"/>
        <v>Central</v>
      </c>
      <c r="P46" s="26" t="e">
        <f t="shared" si="28"/>
        <v>#NAME?</v>
      </c>
      <c r="Q46" s="27" t="e">
        <f t="shared" si="29"/>
        <v>#VALUE!</v>
      </c>
      <c r="R46" s="27"/>
      <c r="S46" s="26">
        <f t="shared" si="30"/>
        <v>41251</v>
      </c>
      <c r="T46" s="26" t="e">
        <f t="shared" si="31"/>
        <v>#NAME?</v>
      </c>
      <c r="U46" s="27" t="e">
        <f t="shared" si="32"/>
        <v>#NAME?</v>
      </c>
      <c r="V46" s="27"/>
      <c r="W46" s="26">
        <f t="shared" si="33"/>
        <v>19197</v>
      </c>
      <c r="X46" s="26" t="e">
        <f t="shared" si="34"/>
        <v>#NAME?</v>
      </c>
      <c r="Y46" s="27" t="e">
        <f t="shared" si="35"/>
        <v>#NAME?</v>
      </c>
    </row>
    <row r="47" spans="1:25" ht="16.5" customHeight="1" x14ac:dyDescent="0.3">
      <c r="A47" s="16" t="s">
        <v>112</v>
      </c>
      <c r="B47" s="32" t="s">
        <v>288</v>
      </c>
      <c r="C47" s="25">
        <f t="shared" si="18"/>
        <v>9579</v>
      </c>
      <c r="D47" s="25" t="e">
        <f t="shared" si="19"/>
        <v>#NAME?</v>
      </c>
      <c r="E47" s="27" t="e">
        <f t="shared" si="20"/>
        <v>#NAME?</v>
      </c>
      <c r="F47" s="27"/>
      <c r="G47" s="25">
        <f t="shared" si="21"/>
        <v>7474</v>
      </c>
      <c r="H47" s="25" t="e">
        <f t="shared" si="22"/>
        <v>#NAME?</v>
      </c>
      <c r="I47" s="27" t="e">
        <f t="shared" si="23"/>
        <v>#NAME?</v>
      </c>
      <c r="J47" s="27"/>
      <c r="K47" s="25">
        <f t="shared" si="24"/>
        <v>0</v>
      </c>
      <c r="L47" s="25" t="e">
        <f t="shared" si="25"/>
        <v>#NAME?</v>
      </c>
      <c r="M47" s="27" t="e">
        <f t="shared" si="26"/>
        <v>#NAME?</v>
      </c>
      <c r="N47" s="39"/>
      <c r="O47" s="36" t="str">
        <f t="shared" si="27"/>
        <v>Piedmont</v>
      </c>
      <c r="P47" s="26" t="e">
        <f t="shared" si="28"/>
        <v>#NAME?</v>
      </c>
      <c r="Q47" s="27" t="e">
        <f t="shared" si="29"/>
        <v>#VALUE!</v>
      </c>
      <c r="R47" s="27"/>
      <c r="S47" s="26">
        <f t="shared" si="30"/>
        <v>17053</v>
      </c>
      <c r="T47" s="26" t="e">
        <f t="shared" si="31"/>
        <v>#NAME?</v>
      </c>
      <c r="U47" s="27" t="e">
        <f t="shared" si="32"/>
        <v>#NAME?</v>
      </c>
      <c r="V47" s="27"/>
      <c r="W47" s="26">
        <f t="shared" si="33"/>
        <v>6723</v>
      </c>
      <c r="X47" s="26" t="e">
        <f t="shared" si="34"/>
        <v>#NAME?</v>
      </c>
      <c r="Y47" s="27" t="e">
        <f t="shared" si="35"/>
        <v>#NAME?</v>
      </c>
    </row>
    <row r="48" spans="1:25" ht="16.5" customHeight="1" x14ac:dyDescent="0.3">
      <c r="A48" s="16" t="s">
        <v>114</v>
      </c>
      <c r="B48" s="32" t="s">
        <v>115</v>
      </c>
      <c r="C48" s="25">
        <f t="shared" si="18"/>
        <v>81</v>
      </c>
      <c r="D48" s="25" t="e">
        <f t="shared" si="19"/>
        <v>#NAME?</v>
      </c>
      <c r="E48" s="27" t="e">
        <f t="shared" si="20"/>
        <v>#NAME?</v>
      </c>
      <c r="F48" s="27"/>
      <c r="G48" s="25">
        <f t="shared" si="21"/>
        <v>60</v>
      </c>
      <c r="H48" s="25" t="e">
        <f t="shared" si="22"/>
        <v>#NAME?</v>
      </c>
      <c r="I48" s="27" t="e">
        <f t="shared" si="23"/>
        <v>#NAME?</v>
      </c>
      <c r="J48" s="27"/>
      <c r="K48" s="25">
        <f t="shared" si="24"/>
        <v>0</v>
      </c>
      <c r="L48" s="25" t="e">
        <f t="shared" si="25"/>
        <v>#NAME?</v>
      </c>
      <c r="M48" s="27" t="e">
        <f t="shared" si="26"/>
        <v>#NAME?</v>
      </c>
      <c r="N48" s="39"/>
      <c r="O48" s="36" t="str">
        <f t="shared" si="27"/>
        <v>Piedmont</v>
      </c>
      <c r="P48" s="26" t="e">
        <f t="shared" si="28"/>
        <v>#NAME?</v>
      </c>
      <c r="Q48" s="27" t="e">
        <f t="shared" si="29"/>
        <v>#VALUE!</v>
      </c>
      <c r="R48" s="27"/>
      <c r="S48" s="26">
        <f t="shared" si="30"/>
        <v>141</v>
      </c>
      <c r="T48" s="26" t="e">
        <f t="shared" si="31"/>
        <v>#NAME?</v>
      </c>
      <c r="U48" s="27" t="e">
        <f t="shared" si="32"/>
        <v>#NAME?</v>
      </c>
      <c r="V48" s="27"/>
      <c r="W48" s="26">
        <f t="shared" si="33"/>
        <v>43</v>
      </c>
      <c r="X48" s="26" t="e">
        <f t="shared" si="34"/>
        <v>#NAME?</v>
      </c>
      <c r="Y48" s="27" t="e">
        <f t="shared" si="35"/>
        <v>#NAME?</v>
      </c>
    </row>
    <row r="49" spans="1:25" ht="16.5" customHeight="1" x14ac:dyDescent="0.3">
      <c r="A49" s="16" t="s">
        <v>118</v>
      </c>
      <c r="B49" s="17" t="s">
        <v>119</v>
      </c>
      <c r="C49" s="25">
        <f t="shared" si="18"/>
        <v>2467</v>
      </c>
      <c r="D49" s="25" t="e">
        <f t="shared" si="19"/>
        <v>#NAME?</v>
      </c>
      <c r="E49" s="27" t="e">
        <f t="shared" si="20"/>
        <v>#NAME?</v>
      </c>
      <c r="F49" s="27"/>
      <c r="G49" s="25">
        <f t="shared" si="21"/>
        <v>1790</v>
      </c>
      <c r="H49" s="25" t="e">
        <f t="shared" si="22"/>
        <v>#NAME?</v>
      </c>
      <c r="I49" s="27" t="e">
        <f t="shared" si="23"/>
        <v>#NAME?</v>
      </c>
      <c r="J49" s="27"/>
      <c r="K49" s="25">
        <f t="shared" si="24"/>
        <v>0</v>
      </c>
      <c r="L49" s="25" t="e">
        <f t="shared" si="25"/>
        <v>#NAME?</v>
      </c>
      <c r="M49" s="27" t="e">
        <f t="shared" si="26"/>
        <v>#NAME?</v>
      </c>
      <c r="N49" s="39"/>
      <c r="O49" s="36" t="str">
        <f t="shared" si="27"/>
        <v>Eastern</v>
      </c>
      <c r="P49" s="26" t="e">
        <f t="shared" si="28"/>
        <v>#NAME?</v>
      </c>
      <c r="Q49" s="27" t="e">
        <f t="shared" si="29"/>
        <v>#VALUE!</v>
      </c>
      <c r="R49" s="27"/>
      <c r="S49" s="26">
        <f t="shared" si="30"/>
        <v>4257</v>
      </c>
      <c r="T49" s="26" t="e">
        <f t="shared" si="31"/>
        <v>#NAME?</v>
      </c>
      <c r="U49" s="27" t="e">
        <f t="shared" si="32"/>
        <v>#NAME?</v>
      </c>
      <c r="V49" s="27"/>
      <c r="W49" s="26">
        <f t="shared" si="33"/>
        <v>1726</v>
      </c>
      <c r="X49" s="26" t="e">
        <f t="shared" si="34"/>
        <v>#NAME?</v>
      </c>
      <c r="Y49" s="27" t="e">
        <f t="shared" si="35"/>
        <v>#NAME?</v>
      </c>
    </row>
    <row r="50" spans="1:25" ht="16.5" customHeight="1" x14ac:dyDescent="0.3">
      <c r="A50" s="16" t="s">
        <v>120</v>
      </c>
      <c r="B50" s="17" t="s">
        <v>121</v>
      </c>
      <c r="C50" s="25">
        <f t="shared" si="18"/>
        <v>3147</v>
      </c>
      <c r="D50" s="25" t="e">
        <f t="shared" si="19"/>
        <v>#NAME?</v>
      </c>
      <c r="E50" s="27" t="e">
        <f t="shared" si="20"/>
        <v>#NAME?</v>
      </c>
      <c r="F50" s="27"/>
      <c r="G50" s="25">
        <f t="shared" si="21"/>
        <v>2251</v>
      </c>
      <c r="H50" s="25" t="e">
        <f t="shared" si="22"/>
        <v>#NAME?</v>
      </c>
      <c r="I50" s="27" t="e">
        <f t="shared" si="23"/>
        <v>#NAME?</v>
      </c>
      <c r="J50" s="27"/>
      <c r="K50" s="25">
        <f t="shared" si="24"/>
        <v>0</v>
      </c>
      <c r="L50" s="25" t="e">
        <f t="shared" si="25"/>
        <v>#NAME?</v>
      </c>
      <c r="M50" s="27" t="e">
        <f t="shared" si="26"/>
        <v>#NAME?</v>
      </c>
      <c r="N50" s="39"/>
      <c r="O50" s="36" t="str">
        <f t="shared" si="27"/>
        <v>Eastern</v>
      </c>
      <c r="P50" s="26" t="e">
        <f t="shared" si="28"/>
        <v>#NAME?</v>
      </c>
      <c r="Q50" s="27" t="e">
        <f t="shared" si="29"/>
        <v>#VALUE!</v>
      </c>
      <c r="R50" s="27"/>
      <c r="S50" s="26">
        <f t="shared" si="30"/>
        <v>5398</v>
      </c>
      <c r="T50" s="26" t="e">
        <f t="shared" si="31"/>
        <v>#NAME?</v>
      </c>
      <c r="U50" s="27" t="e">
        <f t="shared" si="32"/>
        <v>#NAME?</v>
      </c>
      <c r="V50" s="27"/>
      <c r="W50" s="26">
        <f t="shared" si="33"/>
        <v>2553</v>
      </c>
      <c r="X50" s="26" t="e">
        <f t="shared" si="34"/>
        <v>#NAME?</v>
      </c>
      <c r="Y50" s="27" t="e">
        <f t="shared" si="35"/>
        <v>#NAME?</v>
      </c>
    </row>
    <row r="51" spans="1:25" ht="16.5" customHeight="1" x14ac:dyDescent="0.3">
      <c r="A51" s="16" t="s">
        <v>122</v>
      </c>
      <c r="B51" s="17" t="s">
        <v>259</v>
      </c>
      <c r="C51" s="25">
        <f t="shared" si="18"/>
        <v>728</v>
      </c>
      <c r="D51" s="25" t="e">
        <f t="shared" si="19"/>
        <v>#NAME?</v>
      </c>
      <c r="E51" s="27" t="e">
        <f t="shared" si="20"/>
        <v>#NAME?</v>
      </c>
      <c r="F51" s="27"/>
      <c r="G51" s="25">
        <f t="shared" si="21"/>
        <v>504</v>
      </c>
      <c r="H51" s="25" t="e">
        <f t="shared" si="22"/>
        <v>#NAME?</v>
      </c>
      <c r="I51" s="27" t="e">
        <f t="shared" si="23"/>
        <v>#NAME?</v>
      </c>
      <c r="J51" s="27"/>
      <c r="K51" s="25">
        <f t="shared" si="24"/>
        <v>0</v>
      </c>
      <c r="L51" s="25" t="e">
        <f t="shared" si="25"/>
        <v>#NAME?</v>
      </c>
      <c r="M51" s="27" t="e">
        <f t="shared" si="26"/>
        <v>#NAME?</v>
      </c>
      <c r="N51" s="39"/>
      <c r="O51" s="36" t="str">
        <f t="shared" si="27"/>
        <v>Central</v>
      </c>
      <c r="P51" s="26" t="e">
        <f t="shared" si="28"/>
        <v>#NAME?</v>
      </c>
      <c r="Q51" s="27" t="e">
        <f t="shared" si="29"/>
        <v>#VALUE!</v>
      </c>
      <c r="R51" s="27"/>
      <c r="S51" s="26">
        <f t="shared" si="30"/>
        <v>1232</v>
      </c>
      <c r="T51" s="26" t="e">
        <f t="shared" si="31"/>
        <v>#NAME?</v>
      </c>
      <c r="U51" s="27" t="e">
        <f t="shared" si="32"/>
        <v>#NAME?</v>
      </c>
      <c r="V51" s="27"/>
      <c r="W51" s="26">
        <f t="shared" si="33"/>
        <v>488</v>
      </c>
      <c r="X51" s="26" t="e">
        <f t="shared" si="34"/>
        <v>#NAME?</v>
      </c>
      <c r="Y51" s="27" t="e">
        <f t="shared" si="35"/>
        <v>#NAME?</v>
      </c>
    </row>
    <row r="52" spans="1:25" ht="16.5" customHeight="1" x14ac:dyDescent="0.3">
      <c r="A52" s="16" t="s">
        <v>124</v>
      </c>
      <c r="B52" s="17" t="s">
        <v>125</v>
      </c>
      <c r="C52" s="25">
        <f t="shared" si="18"/>
        <v>1710</v>
      </c>
      <c r="D52" s="25" t="e">
        <f t="shared" si="19"/>
        <v>#NAME?</v>
      </c>
      <c r="E52" s="27" t="e">
        <f t="shared" si="20"/>
        <v>#NAME?</v>
      </c>
      <c r="F52" s="27"/>
      <c r="G52" s="25">
        <f t="shared" si="21"/>
        <v>1202</v>
      </c>
      <c r="H52" s="25" t="e">
        <f t="shared" si="22"/>
        <v>#NAME?</v>
      </c>
      <c r="I52" s="27" t="e">
        <f t="shared" si="23"/>
        <v>#NAME?</v>
      </c>
      <c r="J52" s="27"/>
      <c r="K52" s="25">
        <f t="shared" si="24"/>
        <v>0</v>
      </c>
      <c r="L52" s="25" t="e">
        <f t="shared" si="25"/>
        <v>#NAME?</v>
      </c>
      <c r="M52" s="27" t="e">
        <f t="shared" si="26"/>
        <v>#NAME?</v>
      </c>
      <c r="N52" s="39"/>
      <c r="O52" s="36" t="str">
        <f t="shared" si="27"/>
        <v>Northern</v>
      </c>
      <c r="P52" s="26" t="e">
        <f t="shared" si="28"/>
        <v>#NAME?</v>
      </c>
      <c r="Q52" s="27" t="e">
        <f t="shared" si="29"/>
        <v>#VALUE!</v>
      </c>
      <c r="R52" s="27"/>
      <c r="S52" s="26">
        <f t="shared" si="30"/>
        <v>2912</v>
      </c>
      <c r="T52" s="26" t="e">
        <f t="shared" si="31"/>
        <v>#NAME?</v>
      </c>
      <c r="U52" s="27" t="e">
        <f t="shared" si="32"/>
        <v>#NAME?</v>
      </c>
      <c r="V52" s="27"/>
      <c r="W52" s="26">
        <f t="shared" si="33"/>
        <v>1302</v>
      </c>
      <c r="X52" s="26" t="e">
        <f t="shared" si="34"/>
        <v>#NAME?</v>
      </c>
      <c r="Y52" s="27" t="e">
        <f t="shared" si="35"/>
        <v>#NAME?</v>
      </c>
    </row>
    <row r="53" spans="1:25" ht="16.5" customHeight="1" x14ac:dyDescent="0.3">
      <c r="A53" s="16" t="s">
        <v>126</v>
      </c>
      <c r="B53" s="17" t="s">
        <v>127</v>
      </c>
      <c r="C53" s="25">
        <f t="shared" si="18"/>
        <v>1104</v>
      </c>
      <c r="D53" s="25" t="e">
        <f t="shared" si="19"/>
        <v>#NAME?</v>
      </c>
      <c r="E53" s="27" t="e">
        <f t="shared" si="20"/>
        <v>#NAME?</v>
      </c>
      <c r="F53" s="27"/>
      <c r="G53" s="25">
        <f t="shared" si="21"/>
        <v>743</v>
      </c>
      <c r="H53" s="25" t="e">
        <f t="shared" si="22"/>
        <v>#NAME?</v>
      </c>
      <c r="I53" s="27" t="e">
        <f t="shared" si="23"/>
        <v>#NAME?</v>
      </c>
      <c r="J53" s="27"/>
      <c r="K53" s="25">
        <f t="shared" si="24"/>
        <v>0</v>
      </c>
      <c r="L53" s="25" t="e">
        <f t="shared" si="25"/>
        <v>#NAME?</v>
      </c>
      <c r="M53" s="27" t="e">
        <f t="shared" si="26"/>
        <v>#NAME?</v>
      </c>
      <c r="N53" s="39"/>
      <c r="O53" s="36" t="str">
        <f t="shared" si="27"/>
        <v>Central</v>
      </c>
      <c r="P53" s="26" t="e">
        <f t="shared" si="28"/>
        <v>#NAME?</v>
      </c>
      <c r="Q53" s="27" t="e">
        <f t="shared" si="29"/>
        <v>#VALUE!</v>
      </c>
      <c r="R53" s="27"/>
      <c r="S53" s="26">
        <f t="shared" si="30"/>
        <v>1847</v>
      </c>
      <c r="T53" s="26" t="e">
        <f t="shared" si="31"/>
        <v>#NAME?</v>
      </c>
      <c r="U53" s="27" t="e">
        <f t="shared" si="32"/>
        <v>#NAME?</v>
      </c>
      <c r="V53" s="27"/>
      <c r="W53" s="26">
        <f t="shared" si="33"/>
        <v>810</v>
      </c>
      <c r="X53" s="26" t="e">
        <f t="shared" si="34"/>
        <v>#NAME?</v>
      </c>
      <c r="Y53" s="27" t="e">
        <f t="shared" si="35"/>
        <v>#NAME?</v>
      </c>
    </row>
    <row r="54" spans="1:25" ht="16.5" customHeight="1" x14ac:dyDescent="0.3">
      <c r="A54" s="16" t="s">
        <v>128</v>
      </c>
      <c r="B54" s="17" t="s">
        <v>129</v>
      </c>
      <c r="C54" s="25">
        <f t="shared" si="18"/>
        <v>1087</v>
      </c>
      <c r="D54" s="25" t="e">
        <f t="shared" si="19"/>
        <v>#NAME?</v>
      </c>
      <c r="E54" s="27" t="e">
        <f t="shared" si="20"/>
        <v>#NAME?</v>
      </c>
      <c r="F54" s="27"/>
      <c r="G54" s="25">
        <f t="shared" si="21"/>
        <v>746</v>
      </c>
      <c r="H54" s="25" t="e">
        <f t="shared" si="22"/>
        <v>#NAME?</v>
      </c>
      <c r="I54" s="27" t="e">
        <f t="shared" si="23"/>
        <v>#NAME?</v>
      </c>
      <c r="J54" s="27"/>
      <c r="K54" s="25">
        <f t="shared" si="24"/>
        <v>0</v>
      </c>
      <c r="L54" s="25" t="e">
        <f t="shared" si="25"/>
        <v>#NAME?</v>
      </c>
      <c r="M54" s="27" t="e">
        <f t="shared" si="26"/>
        <v>#NAME?</v>
      </c>
      <c r="N54" s="39"/>
      <c r="O54" s="36" t="str">
        <f t="shared" si="27"/>
        <v>Central</v>
      </c>
      <c r="P54" s="26" t="e">
        <f t="shared" si="28"/>
        <v>#NAME?</v>
      </c>
      <c r="Q54" s="27" t="e">
        <f t="shared" si="29"/>
        <v>#VALUE!</v>
      </c>
      <c r="R54" s="27"/>
      <c r="S54" s="26">
        <f t="shared" si="30"/>
        <v>1833</v>
      </c>
      <c r="T54" s="26" t="e">
        <f t="shared" si="31"/>
        <v>#NAME?</v>
      </c>
      <c r="U54" s="27" t="e">
        <f t="shared" si="32"/>
        <v>#NAME?</v>
      </c>
      <c r="V54" s="27"/>
      <c r="W54" s="26">
        <f t="shared" si="33"/>
        <v>746</v>
      </c>
      <c r="X54" s="26" t="e">
        <f t="shared" si="34"/>
        <v>#NAME?</v>
      </c>
      <c r="Y54" s="27" t="e">
        <f t="shared" si="35"/>
        <v>#NAME?</v>
      </c>
    </row>
    <row r="55" spans="1:25" ht="16.5" customHeight="1" x14ac:dyDescent="0.3">
      <c r="A55" s="16" t="s">
        <v>130</v>
      </c>
      <c r="B55" s="32" t="s">
        <v>131</v>
      </c>
      <c r="C55" s="25">
        <f t="shared" si="18"/>
        <v>3691</v>
      </c>
      <c r="D55" s="25" t="e">
        <f t="shared" si="19"/>
        <v>#NAME?</v>
      </c>
      <c r="E55" s="27" t="e">
        <f t="shared" si="20"/>
        <v>#NAME?</v>
      </c>
      <c r="F55" s="27"/>
      <c r="G55" s="25">
        <f t="shared" si="21"/>
        <v>3212</v>
      </c>
      <c r="H55" s="25" t="e">
        <f t="shared" si="22"/>
        <v>#NAME?</v>
      </c>
      <c r="I55" s="27" t="e">
        <f t="shared" si="23"/>
        <v>#NAME?</v>
      </c>
      <c r="J55" s="27"/>
      <c r="K55" s="25">
        <f t="shared" si="24"/>
        <v>0</v>
      </c>
      <c r="L55" s="25" t="e">
        <f t="shared" si="25"/>
        <v>#NAME?</v>
      </c>
      <c r="M55" s="27" t="e">
        <f t="shared" si="26"/>
        <v>#NAME?</v>
      </c>
      <c r="N55" s="39"/>
      <c r="O55" s="36" t="str">
        <f t="shared" si="27"/>
        <v>Western</v>
      </c>
      <c r="P55" s="26" t="e">
        <f t="shared" si="28"/>
        <v>#NAME?</v>
      </c>
      <c r="Q55" s="27" t="e">
        <f t="shared" si="29"/>
        <v>#VALUE!</v>
      </c>
      <c r="R55" s="27"/>
      <c r="S55" s="26">
        <f t="shared" si="30"/>
        <v>6903</v>
      </c>
      <c r="T55" s="26" t="e">
        <f t="shared" si="31"/>
        <v>#NAME?</v>
      </c>
      <c r="U55" s="27" t="e">
        <f t="shared" si="32"/>
        <v>#NAME?</v>
      </c>
      <c r="V55" s="27"/>
      <c r="W55" s="26">
        <f t="shared" si="33"/>
        <v>2307</v>
      </c>
      <c r="X55" s="26" t="e">
        <f t="shared" si="34"/>
        <v>#NAME?</v>
      </c>
      <c r="Y55" s="27" t="e">
        <f t="shared" si="35"/>
        <v>#NAME?</v>
      </c>
    </row>
    <row r="56" spans="1:25" ht="16.5" customHeight="1" x14ac:dyDescent="0.3">
      <c r="A56" s="16" t="s">
        <v>132</v>
      </c>
      <c r="B56" s="17" t="s">
        <v>133</v>
      </c>
      <c r="C56" s="25">
        <f t="shared" si="18"/>
        <v>7026</v>
      </c>
      <c r="D56" s="25" t="e">
        <f t="shared" si="19"/>
        <v>#NAME?</v>
      </c>
      <c r="E56" s="27" t="e">
        <f t="shared" si="20"/>
        <v>#NAME?</v>
      </c>
      <c r="F56" s="27"/>
      <c r="G56" s="25">
        <f t="shared" si="21"/>
        <v>5054</v>
      </c>
      <c r="H56" s="25" t="e">
        <f t="shared" si="22"/>
        <v>#NAME?</v>
      </c>
      <c r="I56" s="27" t="e">
        <f t="shared" si="23"/>
        <v>#NAME?</v>
      </c>
      <c r="J56" s="27"/>
      <c r="K56" s="25">
        <f t="shared" si="24"/>
        <v>0</v>
      </c>
      <c r="L56" s="25" t="e">
        <f t="shared" si="25"/>
        <v>#NAME?</v>
      </c>
      <c r="M56" s="27" t="e">
        <f t="shared" si="26"/>
        <v>#NAME?</v>
      </c>
      <c r="N56" s="39"/>
      <c r="O56" s="36" t="str">
        <f t="shared" si="27"/>
        <v>Northern</v>
      </c>
      <c r="P56" s="26" t="e">
        <f t="shared" si="28"/>
        <v>#NAME?</v>
      </c>
      <c r="Q56" s="27" t="e">
        <f t="shared" si="29"/>
        <v>#VALUE!</v>
      </c>
      <c r="R56" s="27"/>
      <c r="S56" s="26">
        <f t="shared" si="30"/>
        <v>12080</v>
      </c>
      <c r="T56" s="26" t="e">
        <f t="shared" si="31"/>
        <v>#NAME?</v>
      </c>
      <c r="U56" s="27" t="e">
        <f t="shared" si="32"/>
        <v>#NAME?</v>
      </c>
      <c r="V56" s="27"/>
      <c r="W56" s="26">
        <f t="shared" si="33"/>
        <v>5878</v>
      </c>
      <c r="X56" s="26" t="e">
        <f t="shared" si="34"/>
        <v>#NAME?</v>
      </c>
      <c r="Y56" s="27" t="e">
        <f t="shared" si="35"/>
        <v>#NAME?</v>
      </c>
    </row>
    <row r="57" spans="1:25" ht="16.5" customHeight="1" x14ac:dyDescent="0.3">
      <c r="A57" s="16" t="s">
        <v>134</v>
      </c>
      <c r="B57" s="17" t="s">
        <v>135</v>
      </c>
      <c r="C57" s="25">
        <f t="shared" si="18"/>
        <v>2613</v>
      </c>
      <c r="D57" s="25" t="e">
        <f t="shared" si="19"/>
        <v>#NAME?</v>
      </c>
      <c r="E57" s="27" t="e">
        <f t="shared" si="20"/>
        <v>#NAME?</v>
      </c>
      <c r="F57" s="27"/>
      <c r="G57" s="25">
        <f t="shared" si="21"/>
        <v>1947</v>
      </c>
      <c r="H57" s="25" t="e">
        <f t="shared" si="22"/>
        <v>#NAME?</v>
      </c>
      <c r="I57" s="27" t="e">
        <f t="shared" si="23"/>
        <v>#NAME?</v>
      </c>
      <c r="J57" s="27"/>
      <c r="K57" s="25">
        <f t="shared" si="24"/>
        <v>0</v>
      </c>
      <c r="L57" s="25" t="e">
        <f t="shared" si="25"/>
        <v>#NAME?</v>
      </c>
      <c r="M57" s="27" t="e">
        <f t="shared" si="26"/>
        <v>#NAME?</v>
      </c>
      <c r="N57" s="39"/>
      <c r="O57" s="36" t="str">
        <f t="shared" si="27"/>
        <v>Northern</v>
      </c>
      <c r="P57" s="26" t="e">
        <f t="shared" si="28"/>
        <v>#NAME?</v>
      </c>
      <c r="Q57" s="27" t="e">
        <f t="shared" si="29"/>
        <v>#VALUE!</v>
      </c>
      <c r="R57" s="27"/>
      <c r="S57" s="26">
        <f t="shared" si="30"/>
        <v>4560</v>
      </c>
      <c r="T57" s="26" t="e">
        <f t="shared" si="31"/>
        <v>#NAME?</v>
      </c>
      <c r="U57" s="27" t="e">
        <f t="shared" si="32"/>
        <v>#NAME?</v>
      </c>
      <c r="V57" s="27"/>
      <c r="W57" s="26">
        <f t="shared" si="33"/>
        <v>1898</v>
      </c>
      <c r="X57" s="26" t="e">
        <f t="shared" si="34"/>
        <v>#NAME?</v>
      </c>
      <c r="Y57" s="27" t="e">
        <f t="shared" si="35"/>
        <v>#NAME?</v>
      </c>
    </row>
    <row r="58" spans="1:25" ht="16.5" customHeight="1" x14ac:dyDescent="0.3">
      <c r="A58" s="16" t="s">
        <v>136</v>
      </c>
      <c r="B58" s="32" t="s">
        <v>137</v>
      </c>
      <c r="C58" s="25">
        <f t="shared" si="18"/>
        <v>1477</v>
      </c>
      <c r="D58" s="25" t="e">
        <f t="shared" si="19"/>
        <v>#NAME?</v>
      </c>
      <c r="E58" s="27" t="e">
        <f t="shared" si="20"/>
        <v>#NAME?</v>
      </c>
      <c r="F58" s="27"/>
      <c r="G58" s="25">
        <f t="shared" si="21"/>
        <v>1098</v>
      </c>
      <c r="H58" s="25" t="e">
        <f t="shared" si="22"/>
        <v>#NAME?</v>
      </c>
      <c r="I58" s="27" t="e">
        <f t="shared" si="23"/>
        <v>#NAME?</v>
      </c>
      <c r="J58" s="27"/>
      <c r="K58" s="25">
        <f t="shared" si="24"/>
        <v>0</v>
      </c>
      <c r="L58" s="25" t="e">
        <f t="shared" si="25"/>
        <v>#NAME?</v>
      </c>
      <c r="M58" s="27" t="e">
        <f t="shared" si="26"/>
        <v>#NAME?</v>
      </c>
      <c r="N58" s="39"/>
      <c r="O58" s="36" t="str">
        <f t="shared" si="27"/>
        <v>Central</v>
      </c>
      <c r="P58" s="26" t="e">
        <f t="shared" si="28"/>
        <v>#NAME?</v>
      </c>
      <c r="Q58" s="27" t="e">
        <f t="shared" si="29"/>
        <v>#VALUE!</v>
      </c>
      <c r="R58" s="27"/>
      <c r="S58" s="26">
        <f t="shared" si="30"/>
        <v>2575</v>
      </c>
      <c r="T58" s="26" t="e">
        <f t="shared" si="31"/>
        <v>#NAME?</v>
      </c>
      <c r="U58" s="27" t="e">
        <f t="shared" si="32"/>
        <v>#NAME?</v>
      </c>
      <c r="V58" s="27"/>
      <c r="W58" s="26">
        <f t="shared" si="33"/>
        <v>1067</v>
      </c>
      <c r="X58" s="26" t="e">
        <f t="shared" si="34"/>
        <v>#NAME?</v>
      </c>
      <c r="Y58" s="27" t="e">
        <f t="shared" si="35"/>
        <v>#NAME?</v>
      </c>
    </row>
    <row r="59" spans="1:25" ht="16.5" customHeight="1" x14ac:dyDescent="0.3">
      <c r="A59" s="16" t="s">
        <v>140</v>
      </c>
      <c r="B59" s="17" t="s">
        <v>141</v>
      </c>
      <c r="C59" s="25">
        <f t="shared" si="18"/>
        <v>791</v>
      </c>
      <c r="D59" s="25" t="e">
        <f t="shared" si="19"/>
        <v>#NAME?</v>
      </c>
      <c r="E59" s="27" t="e">
        <f t="shared" si="20"/>
        <v>#NAME?</v>
      </c>
      <c r="F59" s="27"/>
      <c r="G59" s="25">
        <f t="shared" si="21"/>
        <v>584</v>
      </c>
      <c r="H59" s="25" t="e">
        <f t="shared" si="22"/>
        <v>#NAME?</v>
      </c>
      <c r="I59" s="27" t="e">
        <f t="shared" si="23"/>
        <v>#NAME?</v>
      </c>
      <c r="J59" s="27"/>
      <c r="K59" s="25">
        <f t="shared" si="24"/>
        <v>0</v>
      </c>
      <c r="L59" s="25" t="e">
        <f t="shared" si="25"/>
        <v>#NAME?</v>
      </c>
      <c r="M59" s="27" t="e">
        <f t="shared" si="26"/>
        <v>#NAME?</v>
      </c>
      <c r="N59" s="39"/>
      <c r="O59" s="36" t="str">
        <f t="shared" si="27"/>
        <v>Northern</v>
      </c>
      <c r="P59" s="26" t="e">
        <f t="shared" si="28"/>
        <v>#NAME?</v>
      </c>
      <c r="Q59" s="27" t="e">
        <f t="shared" si="29"/>
        <v>#VALUE!</v>
      </c>
      <c r="R59" s="27"/>
      <c r="S59" s="26">
        <f t="shared" si="30"/>
        <v>1375</v>
      </c>
      <c r="T59" s="26" t="e">
        <f t="shared" si="31"/>
        <v>#NAME?</v>
      </c>
      <c r="U59" s="27" t="e">
        <f t="shared" si="32"/>
        <v>#NAME?</v>
      </c>
      <c r="V59" s="27"/>
      <c r="W59" s="26">
        <f t="shared" si="33"/>
        <v>579</v>
      </c>
      <c r="X59" s="26" t="e">
        <f t="shared" si="34"/>
        <v>#NAME?</v>
      </c>
      <c r="Y59" s="27" t="e">
        <f t="shared" si="35"/>
        <v>#NAME?</v>
      </c>
    </row>
    <row r="60" spans="1:25" ht="16.5" customHeight="1" x14ac:dyDescent="0.3">
      <c r="A60" s="16" t="s">
        <v>146</v>
      </c>
      <c r="B60" s="17" t="s">
        <v>147</v>
      </c>
      <c r="C60" s="25">
        <f t="shared" si="18"/>
        <v>575</v>
      </c>
      <c r="D60" s="25" t="e">
        <f t="shared" si="19"/>
        <v>#NAME?</v>
      </c>
      <c r="E60" s="27" t="e">
        <f t="shared" si="20"/>
        <v>#NAME?</v>
      </c>
      <c r="F60" s="27"/>
      <c r="G60" s="25">
        <f t="shared" si="21"/>
        <v>436</v>
      </c>
      <c r="H60" s="25" t="e">
        <f t="shared" si="22"/>
        <v>#NAME?</v>
      </c>
      <c r="I60" s="27" t="e">
        <f t="shared" si="23"/>
        <v>#NAME?</v>
      </c>
      <c r="J60" s="27"/>
      <c r="K60" s="25">
        <f t="shared" si="24"/>
        <v>0</v>
      </c>
      <c r="L60" s="25" t="e">
        <f t="shared" si="25"/>
        <v>#NAME?</v>
      </c>
      <c r="M60" s="27" t="e">
        <f t="shared" si="26"/>
        <v>#NAME?</v>
      </c>
      <c r="N60" s="39"/>
      <c r="O60" s="36" t="str">
        <f t="shared" si="27"/>
        <v>Eastern</v>
      </c>
      <c r="P60" s="26" t="e">
        <f t="shared" si="28"/>
        <v>#NAME?</v>
      </c>
      <c r="Q60" s="27" t="e">
        <f t="shared" si="29"/>
        <v>#VALUE!</v>
      </c>
      <c r="R60" s="27"/>
      <c r="S60" s="26">
        <f t="shared" si="30"/>
        <v>1011</v>
      </c>
      <c r="T60" s="26" t="e">
        <f t="shared" si="31"/>
        <v>#NAME?</v>
      </c>
      <c r="U60" s="27" t="e">
        <f t="shared" si="32"/>
        <v>#NAME?</v>
      </c>
      <c r="V60" s="27"/>
      <c r="W60" s="26">
        <f t="shared" si="33"/>
        <v>379</v>
      </c>
      <c r="X60" s="26" t="e">
        <f t="shared" si="34"/>
        <v>#NAME?</v>
      </c>
      <c r="Y60" s="27" t="e">
        <f t="shared" si="35"/>
        <v>#NAME?</v>
      </c>
    </row>
    <row r="61" spans="1:25" ht="16.5" customHeight="1" x14ac:dyDescent="0.3">
      <c r="A61" s="16" t="s">
        <v>148</v>
      </c>
      <c r="B61" s="17" t="s">
        <v>149</v>
      </c>
      <c r="C61" s="25">
        <f t="shared" si="18"/>
        <v>3307</v>
      </c>
      <c r="D61" s="25" t="e">
        <f t="shared" si="19"/>
        <v>#NAME?</v>
      </c>
      <c r="E61" s="27" t="e">
        <f t="shared" si="20"/>
        <v>#NAME?</v>
      </c>
      <c r="F61" s="27"/>
      <c r="G61" s="25">
        <f t="shared" si="21"/>
        <v>2420</v>
      </c>
      <c r="H61" s="25" t="e">
        <f t="shared" si="22"/>
        <v>#NAME?</v>
      </c>
      <c r="I61" s="27" t="e">
        <f t="shared" si="23"/>
        <v>#NAME?</v>
      </c>
      <c r="J61" s="27"/>
      <c r="K61" s="25">
        <f t="shared" si="24"/>
        <v>0</v>
      </c>
      <c r="L61" s="25" t="e">
        <f t="shared" si="25"/>
        <v>#NAME?</v>
      </c>
      <c r="M61" s="27" t="e">
        <f t="shared" si="26"/>
        <v>#NAME?</v>
      </c>
      <c r="N61" s="39"/>
      <c r="O61" s="36" t="str">
        <f t="shared" si="27"/>
        <v>Piedmont</v>
      </c>
      <c r="P61" s="26" t="e">
        <f t="shared" si="28"/>
        <v>#NAME?</v>
      </c>
      <c r="Q61" s="27" t="e">
        <f t="shared" si="29"/>
        <v>#VALUE!</v>
      </c>
      <c r="R61" s="27"/>
      <c r="S61" s="26">
        <f t="shared" si="30"/>
        <v>5727</v>
      </c>
      <c r="T61" s="26" t="e">
        <f t="shared" si="31"/>
        <v>#NAME?</v>
      </c>
      <c r="U61" s="27" t="e">
        <f t="shared" si="32"/>
        <v>#NAME?</v>
      </c>
      <c r="V61" s="27"/>
      <c r="W61" s="26">
        <f t="shared" si="33"/>
        <v>2296</v>
      </c>
      <c r="X61" s="26" t="e">
        <f t="shared" si="34"/>
        <v>#NAME?</v>
      </c>
      <c r="Y61" s="27" t="e">
        <f t="shared" si="35"/>
        <v>#NAME?</v>
      </c>
    </row>
    <row r="62" spans="1:25" ht="16.5" customHeight="1" x14ac:dyDescent="0.3">
      <c r="A62" s="16" t="s">
        <v>150</v>
      </c>
      <c r="B62" s="32" t="s">
        <v>151</v>
      </c>
      <c r="C62" s="25">
        <f t="shared" si="18"/>
        <v>1055</v>
      </c>
      <c r="D62" s="25" t="e">
        <f t="shared" si="19"/>
        <v>#NAME?</v>
      </c>
      <c r="E62" s="27" t="e">
        <f t="shared" si="20"/>
        <v>#NAME?</v>
      </c>
      <c r="F62" s="27"/>
      <c r="G62" s="25">
        <f t="shared" si="21"/>
        <v>818</v>
      </c>
      <c r="H62" s="25" t="e">
        <f t="shared" si="22"/>
        <v>#NAME?</v>
      </c>
      <c r="I62" s="27" t="e">
        <f t="shared" si="23"/>
        <v>#NAME?</v>
      </c>
      <c r="J62" s="27"/>
      <c r="K62" s="25">
        <f t="shared" si="24"/>
        <v>0</v>
      </c>
      <c r="L62" s="25" t="e">
        <f t="shared" si="25"/>
        <v>#NAME?</v>
      </c>
      <c r="M62" s="27" t="e">
        <f t="shared" si="26"/>
        <v>#NAME?</v>
      </c>
      <c r="N62" s="39"/>
      <c r="O62" s="36" t="str">
        <f t="shared" si="27"/>
        <v>Central</v>
      </c>
      <c r="P62" s="26" t="e">
        <f t="shared" si="28"/>
        <v>#NAME?</v>
      </c>
      <c r="Q62" s="27" t="e">
        <f t="shared" si="29"/>
        <v>#VALUE!</v>
      </c>
      <c r="R62" s="27"/>
      <c r="S62" s="26">
        <f t="shared" si="30"/>
        <v>1873</v>
      </c>
      <c r="T62" s="26" t="e">
        <f t="shared" si="31"/>
        <v>#NAME?</v>
      </c>
      <c r="U62" s="27" t="e">
        <f t="shared" si="32"/>
        <v>#NAME?</v>
      </c>
      <c r="V62" s="27"/>
      <c r="W62" s="26">
        <f t="shared" si="33"/>
        <v>723</v>
      </c>
      <c r="X62" s="26" t="e">
        <f t="shared" si="34"/>
        <v>#NAME?</v>
      </c>
      <c r="Y62" s="27" t="e">
        <f t="shared" si="35"/>
        <v>#NAME?</v>
      </c>
    </row>
    <row r="63" spans="1:25" ht="16.5" customHeight="1" x14ac:dyDescent="0.3">
      <c r="A63" s="16" t="s">
        <v>152</v>
      </c>
      <c r="B63" s="17" t="s">
        <v>153</v>
      </c>
      <c r="C63" s="25">
        <f t="shared" si="18"/>
        <v>4483</v>
      </c>
      <c r="D63" s="25" t="e">
        <f t="shared" si="19"/>
        <v>#NAME?</v>
      </c>
      <c r="E63" s="27" t="e">
        <f t="shared" si="20"/>
        <v>#NAME?</v>
      </c>
      <c r="F63" s="27"/>
      <c r="G63" s="25">
        <f t="shared" si="21"/>
        <v>3338</v>
      </c>
      <c r="H63" s="25" t="e">
        <f t="shared" si="22"/>
        <v>#NAME?</v>
      </c>
      <c r="I63" s="27" t="e">
        <f t="shared" si="23"/>
        <v>#NAME?</v>
      </c>
      <c r="J63" s="27"/>
      <c r="K63" s="25">
        <f t="shared" si="24"/>
        <v>0</v>
      </c>
      <c r="L63" s="25" t="e">
        <f t="shared" si="25"/>
        <v>#NAME?</v>
      </c>
      <c r="M63" s="27" t="e">
        <f t="shared" si="26"/>
        <v>#NAME?</v>
      </c>
      <c r="N63" s="39"/>
      <c r="O63" s="36" t="str">
        <f t="shared" si="27"/>
        <v>Western</v>
      </c>
      <c r="P63" s="26" t="e">
        <f t="shared" si="28"/>
        <v>#NAME?</v>
      </c>
      <c r="Q63" s="27" t="e">
        <f t="shared" si="29"/>
        <v>#VALUE!</v>
      </c>
      <c r="R63" s="27"/>
      <c r="S63" s="26">
        <f t="shared" si="30"/>
        <v>7821</v>
      </c>
      <c r="T63" s="26" t="e">
        <f t="shared" si="31"/>
        <v>#NAME?</v>
      </c>
      <c r="U63" s="27" t="e">
        <f t="shared" si="32"/>
        <v>#NAME?</v>
      </c>
      <c r="V63" s="27"/>
      <c r="W63" s="26">
        <f t="shared" si="33"/>
        <v>3287</v>
      </c>
      <c r="X63" s="26" t="e">
        <f t="shared" si="34"/>
        <v>#NAME?</v>
      </c>
      <c r="Y63" s="27" t="e">
        <f t="shared" si="35"/>
        <v>#NAME?</v>
      </c>
    </row>
    <row r="64" spans="1:25" ht="16.5" customHeight="1" x14ac:dyDescent="0.3">
      <c r="A64" s="16" t="s">
        <v>154</v>
      </c>
      <c r="B64" s="32" t="s">
        <v>155</v>
      </c>
      <c r="C64" s="25">
        <f t="shared" si="18"/>
        <v>1177</v>
      </c>
      <c r="D64" s="25" t="e">
        <f t="shared" si="19"/>
        <v>#NAME?</v>
      </c>
      <c r="E64" s="27" t="e">
        <f t="shared" si="20"/>
        <v>#NAME?</v>
      </c>
      <c r="F64" s="27"/>
      <c r="G64" s="25">
        <f t="shared" si="21"/>
        <v>942</v>
      </c>
      <c r="H64" s="25" t="e">
        <f t="shared" si="22"/>
        <v>#NAME?</v>
      </c>
      <c r="I64" s="27" t="e">
        <f t="shared" si="23"/>
        <v>#NAME?</v>
      </c>
      <c r="J64" s="27"/>
      <c r="K64" s="25">
        <f t="shared" si="24"/>
        <v>0</v>
      </c>
      <c r="L64" s="25" t="e">
        <f t="shared" si="25"/>
        <v>#NAME?</v>
      </c>
      <c r="M64" s="27" t="e">
        <f t="shared" si="26"/>
        <v>#NAME?</v>
      </c>
      <c r="N64" s="39"/>
      <c r="O64" s="36" t="str">
        <f t="shared" si="27"/>
        <v>Piedmont</v>
      </c>
      <c r="P64" s="26" t="e">
        <f t="shared" si="28"/>
        <v>#NAME?</v>
      </c>
      <c r="Q64" s="27" t="e">
        <f t="shared" si="29"/>
        <v>#VALUE!</v>
      </c>
      <c r="R64" s="27"/>
      <c r="S64" s="26">
        <f t="shared" si="30"/>
        <v>2119</v>
      </c>
      <c r="T64" s="26" t="e">
        <f t="shared" si="31"/>
        <v>#NAME?</v>
      </c>
      <c r="U64" s="27" t="e">
        <f t="shared" si="32"/>
        <v>#NAME?</v>
      </c>
      <c r="V64" s="27"/>
      <c r="W64" s="26">
        <f t="shared" si="33"/>
        <v>813</v>
      </c>
      <c r="X64" s="26" t="e">
        <f t="shared" si="34"/>
        <v>#NAME?</v>
      </c>
      <c r="Y64" s="27" t="e">
        <f t="shared" si="35"/>
        <v>#NAME?</v>
      </c>
    </row>
    <row r="65" spans="1:25" ht="16.5" customHeight="1" x14ac:dyDescent="0.3">
      <c r="A65" s="16" t="s">
        <v>156</v>
      </c>
      <c r="B65" s="17" t="s">
        <v>157</v>
      </c>
      <c r="C65" s="25">
        <f t="shared" si="18"/>
        <v>817</v>
      </c>
      <c r="D65" s="25" t="e">
        <f t="shared" si="19"/>
        <v>#NAME?</v>
      </c>
      <c r="E65" s="27" t="e">
        <f t="shared" si="20"/>
        <v>#NAME?</v>
      </c>
      <c r="F65" s="27"/>
      <c r="G65" s="25">
        <f t="shared" si="21"/>
        <v>553</v>
      </c>
      <c r="H65" s="25" t="e">
        <f t="shared" si="22"/>
        <v>#NAME?</v>
      </c>
      <c r="I65" s="27" t="e">
        <f t="shared" si="23"/>
        <v>#NAME?</v>
      </c>
      <c r="J65" s="27"/>
      <c r="K65" s="25">
        <f t="shared" si="24"/>
        <v>0</v>
      </c>
      <c r="L65" s="25" t="e">
        <f t="shared" si="25"/>
        <v>#NAME?</v>
      </c>
      <c r="M65" s="27" t="e">
        <f t="shared" si="26"/>
        <v>#NAME?</v>
      </c>
      <c r="N65" s="39"/>
      <c r="O65" s="36" t="str">
        <f t="shared" si="27"/>
        <v>Central</v>
      </c>
      <c r="P65" s="26" t="e">
        <f t="shared" si="28"/>
        <v>#NAME?</v>
      </c>
      <c r="Q65" s="27" t="e">
        <f t="shared" si="29"/>
        <v>#VALUE!</v>
      </c>
      <c r="R65" s="27"/>
      <c r="S65" s="26">
        <f t="shared" si="30"/>
        <v>1370</v>
      </c>
      <c r="T65" s="26" t="e">
        <f t="shared" si="31"/>
        <v>#NAME?</v>
      </c>
      <c r="U65" s="27" t="e">
        <f t="shared" si="32"/>
        <v>#NAME?</v>
      </c>
      <c r="V65" s="27"/>
      <c r="W65" s="26">
        <f t="shared" si="33"/>
        <v>596</v>
      </c>
      <c r="X65" s="26" t="e">
        <f t="shared" si="34"/>
        <v>#NAME?</v>
      </c>
      <c r="Y65" s="27" t="e">
        <f t="shared" si="35"/>
        <v>#NAME?</v>
      </c>
    </row>
    <row r="66" spans="1:25" ht="16.5" customHeight="1" x14ac:dyDescent="0.3">
      <c r="A66" s="16" t="s">
        <v>162</v>
      </c>
      <c r="B66" s="32" t="s">
        <v>163</v>
      </c>
      <c r="C66" s="25">
        <f t="shared" si="18"/>
        <v>1629</v>
      </c>
      <c r="D66" s="25" t="e">
        <f t="shared" si="19"/>
        <v>#NAME?</v>
      </c>
      <c r="E66" s="27" t="e">
        <f t="shared" si="20"/>
        <v>#NAME?</v>
      </c>
      <c r="F66" s="27"/>
      <c r="G66" s="25">
        <f t="shared" si="21"/>
        <v>1197</v>
      </c>
      <c r="H66" s="25" t="e">
        <f t="shared" si="22"/>
        <v>#NAME?</v>
      </c>
      <c r="I66" s="27" t="e">
        <f t="shared" si="23"/>
        <v>#NAME?</v>
      </c>
      <c r="J66" s="27"/>
      <c r="K66" s="25">
        <f t="shared" si="24"/>
        <v>0</v>
      </c>
      <c r="L66" s="25" t="e">
        <f t="shared" si="25"/>
        <v>#NAME?</v>
      </c>
      <c r="M66" s="27" t="e">
        <f t="shared" si="26"/>
        <v>#NAME?</v>
      </c>
      <c r="N66" s="39"/>
      <c r="O66" s="36" t="str">
        <f t="shared" si="27"/>
        <v>Eastern</v>
      </c>
      <c r="P66" s="26" t="e">
        <f t="shared" si="28"/>
        <v>#NAME?</v>
      </c>
      <c r="Q66" s="27" t="e">
        <f t="shared" si="29"/>
        <v>#VALUE!</v>
      </c>
      <c r="R66" s="27"/>
      <c r="S66" s="26">
        <f t="shared" si="30"/>
        <v>2826</v>
      </c>
      <c r="T66" s="26" t="e">
        <f t="shared" si="31"/>
        <v>#NAME?</v>
      </c>
      <c r="U66" s="27" t="e">
        <f t="shared" si="32"/>
        <v>#NAME?</v>
      </c>
      <c r="V66" s="27"/>
      <c r="W66" s="26">
        <f t="shared" si="33"/>
        <v>1083</v>
      </c>
      <c r="X66" s="26" t="e">
        <f t="shared" si="34"/>
        <v>#NAME?</v>
      </c>
      <c r="Y66" s="27" t="e">
        <f t="shared" si="35"/>
        <v>#NAME?</v>
      </c>
    </row>
    <row r="67" spans="1:25" ht="16.5" customHeight="1" x14ac:dyDescent="0.3">
      <c r="A67" s="16" t="s">
        <v>164</v>
      </c>
      <c r="B67" s="17" t="s">
        <v>165</v>
      </c>
      <c r="C67" s="25">
        <f t="shared" si="18"/>
        <v>1123</v>
      </c>
      <c r="D67" s="25" t="e">
        <f t="shared" si="19"/>
        <v>#NAME?</v>
      </c>
      <c r="E67" s="27" t="e">
        <f t="shared" si="20"/>
        <v>#NAME?</v>
      </c>
      <c r="F67" s="27"/>
      <c r="G67" s="25">
        <f t="shared" si="21"/>
        <v>882</v>
      </c>
      <c r="H67" s="25" t="e">
        <f t="shared" si="22"/>
        <v>#NAME?</v>
      </c>
      <c r="I67" s="27" t="e">
        <f t="shared" si="23"/>
        <v>#NAME?</v>
      </c>
      <c r="J67" s="27"/>
      <c r="K67" s="25">
        <f t="shared" si="24"/>
        <v>0</v>
      </c>
      <c r="L67" s="25" t="e">
        <f t="shared" si="25"/>
        <v>#NAME?</v>
      </c>
      <c r="M67" s="27" t="e">
        <f t="shared" si="26"/>
        <v>#NAME?</v>
      </c>
      <c r="N67" s="39"/>
      <c r="O67" s="36" t="str">
        <f t="shared" si="27"/>
        <v>Central</v>
      </c>
      <c r="P67" s="26" t="e">
        <f t="shared" si="28"/>
        <v>#NAME?</v>
      </c>
      <c r="Q67" s="27" t="e">
        <f t="shared" si="29"/>
        <v>#VALUE!</v>
      </c>
      <c r="R67" s="27"/>
      <c r="S67" s="26">
        <f t="shared" si="30"/>
        <v>2005</v>
      </c>
      <c r="T67" s="26" t="e">
        <f t="shared" si="31"/>
        <v>#NAME?</v>
      </c>
      <c r="U67" s="27" t="e">
        <f t="shared" si="32"/>
        <v>#NAME?</v>
      </c>
      <c r="V67" s="27"/>
      <c r="W67" s="26">
        <f t="shared" si="33"/>
        <v>802</v>
      </c>
      <c r="X67" s="26" t="e">
        <f t="shared" si="34"/>
        <v>#NAME?</v>
      </c>
      <c r="Y67" s="27" t="e">
        <f t="shared" si="35"/>
        <v>#NAME?</v>
      </c>
    </row>
    <row r="68" spans="1:25" ht="16.5" customHeight="1" x14ac:dyDescent="0.3">
      <c r="A68" s="16" t="s">
        <v>168</v>
      </c>
      <c r="B68" s="32" t="s">
        <v>169</v>
      </c>
      <c r="C68" s="25">
        <f t="shared" ref="C68:C99" si="36">VLOOKUP(A68,SNAPClient_Demo,10,FALSE)</f>
        <v>2059</v>
      </c>
      <c r="D68" s="25" t="e">
        <f t="shared" ref="D68:D99" si="37">VLOOKUP(A68,Pop,14,FALSE)</f>
        <v>#NAME?</v>
      </c>
      <c r="E68" s="27" t="e">
        <f t="shared" ref="E68:E99" si="38">+C68/D68</f>
        <v>#NAME?</v>
      </c>
      <c r="F68" s="27"/>
      <c r="G68" s="25">
        <f t="shared" ref="G68:G99" si="39">VLOOKUP(A68,SNAPClient_Demo,11,FALSE)</f>
        <v>1454</v>
      </c>
      <c r="H68" s="25" t="e">
        <f t="shared" ref="H68:H99" si="40">VLOOKUP(A68,Pop,15,FALSE)</f>
        <v>#NAME?</v>
      </c>
      <c r="I68" s="27" t="e">
        <f t="shared" ref="I68:I99" si="41">+G68/H68</f>
        <v>#NAME?</v>
      </c>
      <c r="J68" s="27"/>
      <c r="K68" s="25">
        <f t="shared" ref="K68:K99" si="42">VLOOKUP(A68,SNAPClient_Demo,12,FALSE)</f>
        <v>0</v>
      </c>
      <c r="L68" s="25" t="e">
        <f t="shared" ref="L68:L99" si="43">VLOOKUP(A68,Pop,16,FALSE)</f>
        <v>#NAME?</v>
      </c>
      <c r="M68" s="27" t="e">
        <f t="shared" ref="M68:M99" si="44">+K68/L68</f>
        <v>#NAME?</v>
      </c>
      <c r="N68" s="39"/>
      <c r="O68" s="36" t="str">
        <f t="shared" ref="O68:O99" si="45">VLOOKUP(A68,SNAPClient_Demo,3,FALSE)</f>
        <v>Central</v>
      </c>
      <c r="P68" s="26" t="e">
        <f t="shared" ref="P68:P99" si="46">VLOOKUP(A68,Pop,8,FALSE)</f>
        <v>#NAME?</v>
      </c>
      <c r="Q68" s="27" t="e">
        <f t="shared" ref="Q68:Q99" si="47">+O68/P68</f>
        <v>#VALUE!</v>
      </c>
      <c r="R68" s="27"/>
      <c r="S68" s="26">
        <f t="shared" ref="S68:S99" si="48">VLOOKUP(A68,SNAPClient_Demo,4,FALSE)</f>
        <v>3513</v>
      </c>
      <c r="T68" s="26" t="e">
        <f t="shared" ref="T68:T99" si="49">VLOOKUP(A68,Pop,9,FALSE)</f>
        <v>#NAME?</v>
      </c>
      <c r="U68" s="27" t="e">
        <f t="shared" ref="U68:U99" si="50">+S68/T68</f>
        <v>#NAME?</v>
      </c>
      <c r="V68" s="27"/>
      <c r="W68" s="26">
        <f t="shared" ref="W68:W99" si="51">VLOOKUP(A68,SNAPClient_Demo,5,FALSE)</f>
        <v>1468</v>
      </c>
      <c r="X68" s="26" t="e">
        <f t="shared" ref="X68:X99" si="52">VLOOKUP(A68,Pop,10,FALSE)</f>
        <v>#NAME?</v>
      </c>
      <c r="Y68" s="27" t="e">
        <f t="shared" ref="Y68:Y99" si="53">+W68/X68</f>
        <v>#NAME?</v>
      </c>
    </row>
    <row r="69" spans="1:25" ht="16.5" customHeight="1" x14ac:dyDescent="0.3">
      <c r="A69" s="16" t="s">
        <v>170</v>
      </c>
      <c r="B69" s="17" t="s">
        <v>171</v>
      </c>
      <c r="C69" s="25">
        <f t="shared" si="36"/>
        <v>2301</v>
      </c>
      <c r="D69" s="25" t="e">
        <f t="shared" si="37"/>
        <v>#NAME?</v>
      </c>
      <c r="E69" s="27" t="e">
        <f t="shared" si="38"/>
        <v>#NAME?</v>
      </c>
      <c r="F69" s="27"/>
      <c r="G69" s="25">
        <f t="shared" si="39"/>
        <v>1613</v>
      </c>
      <c r="H69" s="25" t="e">
        <f t="shared" si="40"/>
        <v>#NAME?</v>
      </c>
      <c r="I69" s="27" t="e">
        <f t="shared" si="41"/>
        <v>#NAME?</v>
      </c>
      <c r="J69" s="27"/>
      <c r="K69" s="25">
        <f t="shared" si="42"/>
        <v>0</v>
      </c>
      <c r="L69" s="25" t="e">
        <f t="shared" si="43"/>
        <v>#NAME?</v>
      </c>
      <c r="M69" s="27" t="e">
        <f t="shared" si="44"/>
        <v>#NAME?</v>
      </c>
      <c r="N69" s="39"/>
      <c r="O69" s="36" t="str">
        <f t="shared" si="45"/>
        <v>Northern</v>
      </c>
      <c r="P69" s="26" t="e">
        <f t="shared" si="46"/>
        <v>#NAME?</v>
      </c>
      <c r="Q69" s="27" t="e">
        <f t="shared" si="47"/>
        <v>#VALUE!</v>
      </c>
      <c r="R69" s="27"/>
      <c r="S69" s="26">
        <f t="shared" si="48"/>
        <v>3914</v>
      </c>
      <c r="T69" s="26" t="e">
        <f t="shared" si="49"/>
        <v>#NAME?</v>
      </c>
      <c r="U69" s="27" t="e">
        <f t="shared" si="50"/>
        <v>#NAME?</v>
      </c>
      <c r="V69" s="27"/>
      <c r="W69" s="26">
        <f t="shared" si="51"/>
        <v>1677</v>
      </c>
      <c r="X69" s="26" t="e">
        <f t="shared" si="52"/>
        <v>#NAME?</v>
      </c>
      <c r="Y69" s="27" t="e">
        <f t="shared" si="53"/>
        <v>#NAME?</v>
      </c>
    </row>
    <row r="70" spans="1:25" ht="16.5" customHeight="1" x14ac:dyDescent="0.3">
      <c r="A70" s="16" t="s">
        <v>172</v>
      </c>
      <c r="B70" s="17" t="s">
        <v>173</v>
      </c>
      <c r="C70" s="25">
        <f t="shared" si="36"/>
        <v>2017</v>
      </c>
      <c r="D70" s="25" t="e">
        <f t="shared" si="37"/>
        <v>#NAME?</v>
      </c>
      <c r="E70" s="27" t="e">
        <f t="shared" si="38"/>
        <v>#NAME?</v>
      </c>
      <c r="F70" s="27"/>
      <c r="G70" s="25">
        <f t="shared" si="39"/>
        <v>1610</v>
      </c>
      <c r="H70" s="25" t="e">
        <f t="shared" si="40"/>
        <v>#NAME?</v>
      </c>
      <c r="I70" s="27" t="e">
        <f t="shared" si="41"/>
        <v>#NAME?</v>
      </c>
      <c r="J70" s="27"/>
      <c r="K70" s="25">
        <f t="shared" si="42"/>
        <v>0</v>
      </c>
      <c r="L70" s="25" t="e">
        <f t="shared" si="43"/>
        <v>#NAME?</v>
      </c>
      <c r="M70" s="27" t="e">
        <f t="shared" si="44"/>
        <v>#NAME?</v>
      </c>
      <c r="N70" s="39"/>
      <c r="O70" s="36" t="str">
        <f t="shared" si="45"/>
        <v>Northern</v>
      </c>
      <c r="P70" s="26" t="e">
        <f t="shared" si="46"/>
        <v>#NAME?</v>
      </c>
      <c r="Q70" s="27" t="e">
        <f t="shared" si="47"/>
        <v>#VALUE!</v>
      </c>
      <c r="R70" s="27"/>
      <c r="S70" s="26">
        <f t="shared" si="48"/>
        <v>3627</v>
      </c>
      <c r="T70" s="26" t="e">
        <f t="shared" si="49"/>
        <v>#NAME?</v>
      </c>
      <c r="U70" s="27" t="e">
        <f t="shared" si="50"/>
        <v>#NAME?</v>
      </c>
      <c r="V70" s="27"/>
      <c r="W70" s="26">
        <f t="shared" si="51"/>
        <v>1359</v>
      </c>
      <c r="X70" s="26" t="e">
        <f t="shared" si="52"/>
        <v>#NAME?</v>
      </c>
      <c r="Y70" s="27" t="e">
        <f t="shared" si="53"/>
        <v>#NAME?</v>
      </c>
    </row>
    <row r="71" spans="1:25" ht="16.5" customHeight="1" x14ac:dyDescent="0.3">
      <c r="A71" s="16" t="s">
        <v>174</v>
      </c>
      <c r="B71" s="17" t="s">
        <v>175</v>
      </c>
      <c r="C71" s="25">
        <f t="shared" si="36"/>
        <v>1842</v>
      </c>
      <c r="D71" s="25" t="e">
        <f t="shared" si="37"/>
        <v>#NAME?</v>
      </c>
      <c r="E71" s="27" t="e">
        <f t="shared" si="38"/>
        <v>#NAME?</v>
      </c>
      <c r="F71" s="27"/>
      <c r="G71" s="25">
        <f t="shared" si="39"/>
        <v>1553</v>
      </c>
      <c r="H71" s="25" t="e">
        <f t="shared" si="40"/>
        <v>#NAME?</v>
      </c>
      <c r="I71" s="27" t="e">
        <f t="shared" si="41"/>
        <v>#NAME?</v>
      </c>
      <c r="J71" s="27"/>
      <c r="K71" s="25">
        <f t="shared" si="42"/>
        <v>0</v>
      </c>
      <c r="L71" s="25" t="e">
        <f t="shared" si="43"/>
        <v>#NAME?</v>
      </c>
      <c r="M71" s="27" t="e">
        <f t="shared" si="44"/>
        <v>#NAME?</v>
      </c>
      <c r="N71" s="39"/>
      <c r="O71" s="36" t="str">
        <f t="shared" si="45"/>
        <v>Western</v>
      </c>
      <c r="P71" s="26" t="e">
        <f t="shared" si="46"/>
        <v>#NAME?</v>
      </c>
      <c r="Q71" s="27" t="e">
        <f t="shared" si="47"/>
        <v>#VALUE!</v>
      </c>
      <c r="R71" s="27"/>
      <c r="S71" s="26">
        <f t="shared" si="48"/>
        <v>3395</v>
      </c>
      <c r="T71" s="26" t="e">
        <f t="shared" si="49"/>
        <v>#NAME?</v>
      </c>
      <c r="U71" s="27" t="e">
        <f t="shared" si="50"/>
        <v>#NAME?</v>
      </c>
      <c r="V71" s="27"/>
      <c r="W71" s="26">
        <f t="shared" si="51"/>
        <v>1220</v>
      </c>
      <c r="X71" s="26" t="e">
        <f t="shared" si="52"/>
        <v>#NAME?</v>
      </c>
      <c r="Y71" s="27" t="e">
        <f t="shared" si="53"/>
        <v>#NAME?</v>
      </c>
    </row>
    <row r="72" spans="1:25" ht="16.5" customHeight="1" x14ac:dyDescent="0.3">
      <c r="A72" s="16" t="s">
        <v>178</v>
      </c>
      <c r="B72" s="32" t="s">
        <v>179</v>
      </c>
      <c r="C72" s="25">
        <f t="shared" si="36"/>
        <v>6158</v>
      </c>
      <c r="D72" s="25" t="e">
        <f t="shared" si="37"/>
        <v>#NAME?</v>
      </c>
      <c r="E72" s="27" t="e">
        <f t="shared" si="38"/>
        <v>#NAME?</v>
      </c>
      <c r="F72" s="27"/>
      <c r="G72" s="25">
        <f t="shared" si="39"/>
        <v>4600</v>
      </c>
      <c r="H72" s="25" t="e">
        <f t="shared" si="40"/>
        <v>#NAME?</v>
      </c>
      <c r="I72" s="27" t="e">
        <f t="shared" si="41"/>
        <v>#NAME?</v>
      </c>
      <c r="J72" s="27"/>
      <c r="K72" s="25">
        <f t="shared" si="42"/>
        <v>0</v>
      </c>
      <c r="L72" s="25" t="e">
        <f t="shared" si="43"/>
        <v>#NAME?</v>
      </c>
      <c r="M72" s="27" t="e">
        <f t="shared" si="44"/>
        <v>#NAME?</v>
      </c>
      <c r="N72" s="39"/>
      <c r="O72" s="36" t="str">
        <f t="shared" si="45"/>
        <v>Piedmont</v>
      </c>
      <c r="P72" s="26" t="e">
        <f t="shared" si="46"/>
        <v>#NAME?</v>
      </c>
      <c r="Q72" s="27" t="e">
        <f t="shared" si="47"/>
        <v>#VALUE!</v>
      </c>
      <c r="R72" s="27"/>
      <c r="S72" s="26">
        <f t="shared" si="48"/>
        <v>10758</v>
      </c>
      <c r="T72" s="26" t="e">
        <f t="shared" si="49"/>
        <v>#NAME?</v>
      </c>
      <c r="U72" s="27" t="e">
        <f t="shared" si="50"/>
        <v>#NAME?</v>
      </c>
      <c r="V72" s="27"/>
      <c r="W72" s="26">
        <f t="shared" si="51"/>
        <v>4166</v>
      </c>
      <c r="X72" s="26" t="e">
        <f t="shared" si="52"/>
        <v>#NAME?</v>
      </c>
      <c r="Y72" s="27" t="e">
        <f t="shared" si="53"/>
        <v>#NAME?</v>
      </c>
    </row>
    <row r="73" spans="1:25" ht="16.5" customHeight="1" x14ac:dyDescent="0.3">
      <c r="A73" s="16" t="s">
        <v>182</v>
      </c>
      <c r="B73" s="17" t="s">
        <v>183</v>
      </c>
      <c r="C73" s="25">
        <f t="shared" si="36"/>
        <v>889</v>
      </c>
      <c r="D73" s="25" t="e">
        <f t="shared" si="37"/>
        <v>#NAME?</v>
      </c>
      <c r="E73" s="27" t="e">
        <f t="shared" si="38"/>
        <v>#NAME?</v>
      </c>
      <c r="F73" s="27"/>
      <c r="G73" s="25">
        <f t="shared" si="39"/>
        <v>644</v>
      </c>
      <c r="H73" s="25" t="e">
        <f t="shared" si="40"/>
        <v>#NAME?</v>
      </c>
      <c r="I73" s="27" t="e">
        <f t="shared" si="41"/>
        <v>#NAME?</v>
      </c>
      <c r="J73" s="27"/>
      <c r="K73" s="25">
        <f t="shared" si="42"/>
        <v>0</v>
      </c>
      <c r="L73" s="25" t="e">
        <f t="shared" si="43"/>
        <v>#NAME?</v>
      </c>
      <c r="M73" s="27" t="e">
        <f t="shared" si="44"/>
        <v>#NAME?</v>
      </c>
      <c r="N73" s="39"/>
      <c r="O73" s="36" t="str">
        <f t="shared" si="45"/>
        <v>Central</v>
      </c>
      <c r="P73" s="26" t="e">
        <f t="shared" si="46"/>
        <v>#NAME?</v>
      </c>
      <c r="Q73" s="27" t="e">
        <f t="shared" si="47"/>
        <v>#VALUE!</v>
      </c>
      <c r="R73" s="27"/>
      <c r="S73" s="26">
        <f t="shared" si="48"/>
        <v>1533</v>
      </c>
      <c r="T73" s="26" t="e">
        <f t="shared" si="49"/>
        <v>#NAME?</v>
      </c>
      <c r="U73" s="27" t="e">
        <f t="shared" si="50"/>
        <v>#NAME?</v>
      </c>
      <c r="V73" s="27"/>
      <c r="W73" s="26">
        <f t="shared" si="51"/>
        <v>631</v>
      </c>
      <c r="X73" s="26" t="e">
        <f t="shared" si="52"/>
        <v>#NAME?</v>
      </c>
      <c r="Y73" s="27" t="e">
        <f t="shared" si="53"/>
        <v>#NAME?</v>
      </c>
    </row>
    <row r="74" spans="1:25" ht="16.5" customHeight="1" x14ac:dyDescent="0.3">
      <c r="A74" s="16" t="s">
        <v>184</v>
      </c>
      <c r="B74" s="17" t="s">
        <v>185</v>
      </c>
      <c r="C74" s="25">
        <f t="shared" si="36"/>
        <v>2276</v>
      </c>
      <c r="D74" s="25" t="e">
        <f t="shared" si="37"/>
        <v>#NAME?</v>
      </c>
      <c r="E74" s="27" t="e">
        <f t="shared" si="38"/>
        <v>#NAME?</v>
      </c>
      <c r="F74" s="27"/>
      <c r="G74" s="25">
        <f t="shared" si="39"/>
        <v>1720</v>
      </c>
      <c r="H74" s="25" t="e">
        <f t="shared" si="40"/>
        <v>#NAME?</v>
      </c>
      <c r="I74" s="27" t="e">
        <f t="shared" si="41"/>
        <v>#NAME?</v>
      </c>
      <c r="J74" s="27"/>
      <c r="K74" s="25">
        <f t="shared" si="42"/>
        <v>0</v>
      </c>
      <c r="L74" s="25" t="e">
        <f t="shared" si="43"/>
        <v>#NAME?</v>
      </c>
      <c r="M74" s="27" t="e">
        <f t="shared" si="44"/>
        <v>#NAME?</v>
      </c>
      <c r="N74" s="39"/>
      <c r="O74" s="36" t="str">
        <f t="shared" si="45"/>
        <v>Central</v>
      </c>
      <c r="P74" s="26" t="e">
        <f t="shared" si="46"/>
        <v>#NAME?</v>
      </c>
      <c r="Q74" s="27" t="e">
        <f t="shared" si="47"/>
        <v>#VALUE!</v>
      </c>
      <c r="R74" s="27"/>
      <c r="S74" s="26">
        <f t="shared" si="48"/>
        <v>3996</v>
      </c>
      <c r="T74" s="26" t="e">
        <f t="shared" si="49"/>
        <v>#NAME?</v>
      </c>
      <c r="U74" s="27" t="e">
        <f t="shared" si="50"/>
        <v>#NAME?</v>
      </c>
      <c r="V74" s="27"/>
      <c r="W74" s="26">
        <f t="shared" si="51"/>
        <v>1589</v>
      </c>
      <c r="X74" s="26" t="e">
        <f t="shared" si="52"/>
        <v>#NAME?</v>
      </c>
      <c r="Y74" s="27" t="e">
        <f t="shared" si="53"/>
        <v>#NAME?</v>
      </c>
    </row>
    <row r="75" spans="1:25" ht="16.5" customHeight="1" x14ac:dyDescent="0.3">
      <c r="A75" s="16" t="s">
        <v>186</v>
      </c>
      <c r="B75" s="17" t="s">
        <v>187</v>
      </c>
      <c r="C75" s="25">
        <f t="shared" si="36"/>
        <v>2553</v>
      </c>
      <c r="D75" s="25" t="e">
        <f t="shared" si="37"/>
        <v>#NAME?</v>
      </c>
      <c r="E75" s="27" t="e">
        <f t="shared" si="38"/>
        <v>#NAME?</v>
      </c>
      <c r="F75" s="27"/>
      <c r="G75" s="25">
        <f t="shared" si="39"/>
        <v>1763</v>
      </c>
      <c r="H75" s="25" t="e">
        <f t="shared" si="40"/>
        <v>#NAME?</v>
      </c>
      <c r="I75" s="27" t="e">
        <f t="shared" si="41"/>
        <v>#NAME?</v>
      </c>
      <c r="J75" s="27"/>
      <c r="K75" s="25">
        <f t="shared" si="42"/>
        <v>0</v>
      </c>
      <c r="L75" s="25" t="e">
        <f t="shared" si="43"/>
        <v>#NAME?</v>
      </c>
      <c r="M75" s="27" t="e">
        <f t="shared" si="44"/>
        <v>#NAME?</v>
      </c>
      <c r="N75" s="39"/>
      <c r="O75" s="36" t="str">
        <f t="shared" si="45"/>
        <v>Eastern</v>
      </c>
      <c r="P75" s="26" t="e">
        <f t="shared" si="46"/>
        <v>#NAME?</v>
      </c>
      <c r="Q75" s="27" t="e">
        <f t="shared" si="47"/>
        <v>#VALUE!</v>
      </c>
      <c r="R75" s="27"/>
      <c r="S75" s="26">
        <f t="shared" si="48"/>
        <v>4316</v>
      </c>
      <c r="T75" s="26" t="e">
        <f t="shared" si="49"/>
        <v>#NAME?</v>
      </c>
      <c r="U75" s="27" t="e">
        <f t="shared" si="50"/>
        <v>#NAME?</v>
      </c>
      <c r="V75" s="27"/>
      <c r="W75" s="26">
        <f t="shared" si="51"/>
        <v>2034</v>
      </c>
      <c r="X75" s="26" t="e">
        <f t="shared" si="52"/>
        <v>#NAME?</v>
      </c>
      <c r="Y75" s="27" t="e">
        <f t="shared" si="53"/>
        <v>#NAME?</v>
      </c>
    </row>
    <row r="76" spans="1:25" ht="16.5" customHeight="1" x14ac:dyDescent="0.3">
      <c r="A76" s="16" t="s">
        <v>188</v>
      </c>
      <c r="B76" s="17" t="s">
        <v>189</v>
      </c>
      <c r="C76" s="25">
        <f t="shared" si="36"/>
        <v>19442</v>
      </c>
      <c r="D76" s="25" t="e">
        <f t="shared" si="37"/>
        <v>#NAME?</v>
      </c>
      <c r="E76" s="27" t="e">
        <f t="shared" si="38"/>
        <v>#NAME?</v>
      </c>
      <c r="F76" s="27"/>
      <c r="G76" s="25">
        <f t="shared" si="39"/>
        <v>14207</v>
      </c>
      <c r="H76" s="25" t="e">
        <f t="shared" si="40"/>
        <v>#NAME?</v>
      </c>
      <c r="I76" s="27" t="e">
        <f t="shared" si="41"/>
        <v>#NAME?</v>
      </c>
      <c r="J76" s="27"/>
      <c r="K76" s="25">
        <f t="shared" si="42"/>
        <v>0</v>
      </c>
      <c r="L76" s="25" t="e">
        <f t="shared" si="43"/>
        <v>#NAME?</v>
      </c>
      <c r="M76" s="27" t="e">
        <f t="shared" si="44"/>
        <v>#NAME?</v>
      </c>
      <c r="N76" s="39"/>
      <c r="O76" s="36" t="str">
        <f t="shared" si="45"/>
        <v>Northern</v>
      </c>
      <c r="P76" s="26" t="e">
        <f t="shared" si="46"/>
        <v>#NAME?</v>
      </c>
      <c r="Q76" s="27" t="e">
        <f t="shared" si="47"/>
        <v>#VALUE!</v>
      </c>
      <c r="R76" s="27"/>
      <c r="S76" s="26">
        <f t="shared" si="48"/>
        <v>33649</v>
      </c>
      <c r="T76" s="26" t="e">
        <f t="shared" si="49"/>
        <v>#NAME?</v>
      </c>
      <c r="U76" s="27" t="e">
        <f t="shared" si="50"/>
        <v>#NAME?</v>
      </c>
      <c r="V76" s="27"/>
      <c r="W76" s="26">
        <f t="shared" si="51"/>
        <v>17645</v>
      </c>
      <c r="X76" s="26" t="e">
        <f t="shared" si="52"/>
        <v>#NAME?</v>
      </c>
      <c r="Y76" s="27" t="e">
        <f t="shared" si="53"/>
        <v>#NAME?</v>
      </c>
    </row>
    <row r="77" spans="1:25" ht="16.5" customHeight="1" x14ac:dyDescent="0.3">
      <c r="A77" s="16" t="s">
        <v>190</v>
      </c>
      <c r="B77" s="17" t="s">
        <v>191</v>
      </c>
      <c r="C77" s="25">
        <f t="shared" si="36"/>
        <v>3516</v>
      </c>
      <c r="D77" s="25" t="e">
        <f t="shared" si="37"/>
        <v>#NAME?</v>
      </c>
      <c r="E77" s="27" t="e">
        <f t="shared" si="38"/>
        <v>#NAME?</v>
      </c>
      <c r="F77" s="27"/>
      <c r="G77" s="25">
        <f t="shared" si="39"/>
        <v>2711</v>
      </c>
      <c r="H77" s="25" t="e">
        <f t="shared" si="40"/>
        <v>#NAME?</v>
      </c>
      <c r="I77" s="27" t="e">
        <f t="shared" si="41"/>
        <v>#NAME?</v>
      </c>
      <c r="J77" s="27"/>
      <c r="K77" s="25">
        <f t="shared" si="42"/>
        <v>0</v>
      </c>
      <c r="L77" s="25" t="e">
        <f t="shared" si="43"/>
        <v>#NAME?</v>
      </c>
      <c r="M77" s="27" t="e">
        <f t="shared" si="44"/>
        <v>#NAME?</v>
      </c>
      <c r="N77" s="39"/>
      <c r="O77" s="36" t="str">
        <f t="shared" si="45"/>
        <v>Western</v>
      </c>
      <c r="P77" s="26" t="e">
        <f t="shared" si="46"/>
        <v>#NAME?</v>
      </c>
      <c r="Q77" s="27" t="e">
        <f t="shared" si="47"/>
        <v>#VALUE!</v>
      </c>
      <c r="R77" s="27"/>
      <c r="S77" s="26">
        <f t="shared" si="48"/>
        <v>6227</v>
      </c>
      <c r="T77" s="26" t="e">
        <f t="shared" si="49"/>
        <v>#NAME?</v>
      </c>
      <c r="U77" s="27" t="e">
        <f t="shared" si="50"/>
        <v>#NAME?</v>
      </c>
      <c r="V77" s="27"/>
      <c r="W77" s="26">
        <f t="shared" si="51"/>
        <v>2143</v>
      </c>
      <c r="X77" s="26" t="e">
        <f t="shared" si="52"/>
        <v>#NAME?</v>
      </c>
      <c r="Y77" s="27" t="e">
        <f t="shared" si="53"/>
        <v>#NAME?</v>
      </c>
    </row>
    <row r="78" spans="1:25" ht="16.5" customHeight="1" x14ac:dyDescent="0.3">
      <c r="A78" s="16" t="s">
        <v>194</v>
      </c>
      <c r="B78" s="17" t="s">
        <v>195</v>
      </c>
      <c r="C78" s="25">
        <f t="shared" si="36"/>
        <v>276</v>
      </c>
      <c r="D78" s="25" t="e">
        <f t="shared" si="37"/>
        <v>#NAME?</v>
      </c>
      <c r="E78" s="27" t="e">
        <f t="shared" si="38"/>
        <v>#NAME?</v>
      </c>
      <c r="F78" s="27"/>
      <c r="G78" s="25">
        <f t="shared" si="39"/>
        <v>217</v>
      </c>
      <c r="H78" s="25" t="e">
        <f t="shared" si="40"/>
        <v>#NAME?</v>
      </c>
      <c r="I78" s="27" t="e">
        <f t="shared" si="41"/>
        <v>#NAME?</v>
      </c>
      <c r="J78" s="27"/>
      <c r="K78" s="25">
        <f t="shared" si="42"/>
        <v>0</v>
      </c>
      <c r="L78" s="25" t="e">
        <f t="shared" si="43"/>
        <v>#NAME?</v>
      </c>
      <c r="M78" s="27" t="e">
        <f t="shared" si="44"/>
        <v>#NAME?</v>
      </c>
      <c r="N78" s="39"/>
      <c r="O78" s="36" t="str">
        <f t="shared" si="45"/>
        <v>Northern</v>
      </c>
      <c r="P78" s="26" t="e">
        <f t="shared" si="46"/>
        <v>#NAME?</v>
      </c>
      <c r="Q78" s="27" t="e">
        <f t="shared" si="47"/>
        <v>#VALUE!</v>
      </c>
      <c r="R78" s="27"/>
      <c r="S78" s="26">
        <f t="shared" si="48"/>
        <v>493</v>
      </c>
      <c r="T78" s="26" t="e">
        <f t="shared" si="49"/>
        <v>#NAME?</v>
      </c>
      <c r="U78" s="27" t="e">
        <f t="shared" si="50"/>
        <v>#NAME?</v>
      </c>
      <c r="V78" s="27"/>
      <c r="W78" s="26">
        <f t="shared" si="51"/>
        <v>204</v>
      </c>
      <c r="X78" s="26" t="e">
        <f t="shared" si="52"/>
        <v>#NAME?</v>
      </c>
      <c r="Y78" s="27" t="e">
        <f t="shared" si="53"/>
        <v>#NAME?</v>
      </c>
    </row>
    <row r="79" spans="1:25" ht="16.5" customHeight="1" x14ac:dyDescent="0.3">
      <c r="A79" s="16" t="s">
        <v>198</v>
      </c>
      <c r="B79" s="32" t="s">
        <v>199</v>
      </c>
      <c r="C79" s="25">
        <f t="shared" si="36"/>
        <v>1030</v>
      </c>
      <c r="D79" s="25" t="e">
        <f t="shared" si="37"/>
        <v>#NAME?</v>
      </c>
      <c r="E79" s="27" t="e">
        <f t="shared" si="38"/>
        <v>#NAME?</v>
      </c>
      <c r="F79" s="27"/>
      <c r="G79" s="25">
        <f t="shared" si="39"/>
        <v>781</v>
      </c>
      <c r="H79" s="25" t="e">
        <f t="shared" si="40"/>
        <v>#NAME?</v>
      </c>
      <c r="I79" s="27" t="e">
        <f t="shared" si="41"/>
        <v>#NAME?</v>
      </c>
      <c r="J79" s="27"/>
      <c r="K79" s="25">
        <f t="shared" si="42"/>
        <v>0</v>
      </c>
      <c r="L79" s="25" t="e">
        <f t="shared" si="43"/>
        <v>#NAME?</v>
      </c>
      <c r="M79" s="27" t="e">
        <f t="shared" si="44"/>
        <v>#NAME?</v>
      </c>
      <c r="N79" s="39"/>
      <c r="O79" s="36" t="str">
        <f t="shared" si="45"/>
        <v>Central</v>
      </c>
      <c r="P79" s="26" t="e">
        <f t="shared" si="46"/>
        <v>#NAME?</v>
      </c>
      <c r="Q79" s="27" t="e">
        <f t="shared" si="47"/>
        <v>#VALUE!</v>
      </c>
      <c r="R79" s="27"/>
      <c r="S79" s="26">
        <f t="shared" si="48"/>
        <v>1811</v>
      </c>
      <c r="T79" s="26" t="e">
        <f t="shared" si="49"/>
        <v>#NAME?</v>
      </c>
      <c r="U79" s="27" t="e">
        <f t="shared" si="50"/>
        <v>#NAME?</v>
      </c>
      <c r="V79" s="27"/>
      <c r="W79" s="26">
        <f t="shared" si="51"/>
        <v>701</v>
      </c>
      <c r="X79" s="26" t="e">
        <f t="shared" si="52"/>
        <v>#NAME?</v>
      </c>
      <c r="Y79" s="27" t="e">
        <f t="shared" si="53"/>
        <v>#NAME?</v>
      </c>
    </row>
    <row r="80" spans="1:25" ht="16.5" customHeight="1" x14ac:dyDescent="0.3">
      <c r="A80" s="16" t="s">
        <v>202</v>
      </c>
      <c r="B80" s="17" t="s">
        <v>203</v>
      </c>
      <c r="C80" s="25">
        <f t="shared" si="36"/>
        <v>5295</v>
      </c>
      <c r="D80" s="25" t="e">
        <f t="shared" si="37"/>
        <v>#NAME?</v>
      </c>
      <c r="E80" s="27" t="e">
        <f t="shared" si="38"/>
        <v>#NAME?</v>
      </c>
      <c r="F80" s="27"/>
      <c r="G80" s="25">
        <f t="shared" si="39"/>
        <v>3839</v>
      </c>
      <c r="H80" s="25" t="e">
        <f t="shared" si="40"/>
        <v>#NAME?</v>
      </c>
      <c r="I80" s="27" t="e">
        <f t="shared" si="41"/>
        <v>#NAME?</v>
      </c>
      <c r="J80" s="27"/>
      <c r="K80" s="25">
        <f t="shared" si="42"/>
        <v>0</v>
      </c>
      <c r="L80" s="25" t="e">
        <f t="shared" si="43"/>
        <v>#NAME?</v>
      </c>
      <c r="M80" s="27" t="e">
        <f t="shared" si="44"/>
        <v>#NAME?</v>
      </c>
      <c r="N80" s="39"/>
      <c r="O80" s="36" t="str">
        <f t="shared" si="45"/>
        <v>Piedmont</v>
      </c>
      <c r="P80" s="26" t="e">
        <f t="shared" si="46"/>
        <v>#NAME?</v>
      </c>
      <c r="Q80" s="27" t="e">
        <f t="shared" si="47"/>
        <v>#VALUE!</v>
      </c>
      <c r="R80" s="27"/>
      <c r="S80" s="26">
        <f t="shared" si="48"/>
        <v>9134</v>
      </c>
      <c r="T80" s="26" t="e">
        <f t="shared" si="49"/>
        <v>#NAME?</v>
      </c>
      <c r="U80" s="27" t="e">
        <f t="shared" si="50"/>
        <v>#NAME?</v>
      </c>
      <c r="V80" s="27"/>
      <c r="W80" s="26">
        <f t="shared" si="51"/>
        <v>3893</v>
      </c>
      <c r="X80" s="26" t="e">
        <f t="shared" si="52"/>
        <v>#NAME?</v>
      </c>
      <c r="Y80" s="27" t="e">
        <f t="shared" si="53"/>
        <v>#NAME?</v>
      </c>
    </row>
    <row r="81" spans="1:25" ht="16.5" customHeight="1" x14ac:dyDescent="0.3">
      <c r="A81" s="16" t="s">
        <v>204</v>
      </c>
      <c r="B81" s="17" t="s">
        <v>205</v>
      </c>
      <c r="C81" s="25">
        <f t="shared" si="36"/>
        <v>2708</v>
      </c>
      <c r="D81" s="25" t="e">
        <f t="shared" si="37"/>
        <v>#NAME?</v>
      </c>
      <c r="E81" s="27" t="e">
        <f t="shared" si="38"/>
        <v>#NAME?</v>
      </c>
      <c r="F81" s="27"/>
      <c r="G81" s="25">
        <f t="shared" si="39"/>
        <v>1916</v>
      </c>
      <c r="H81" s="25" t="e">
        <f t="shared" si="40"/>
        <v>#NAME?</v>
      </c>
      <c r="I81" s="27" t="e">
        <f t="shared" si="41"/>
        <v>#NAME?</v>
      </c>
      <c r="J81" s="27"/>
      <c r="K81" s="25">
        <f t="shared" si="42"/>
        <v>0</v>
      </c>
      <c r="L81" s="25" t="e">
        <f t="shared" si="43"/>
        <v>#NAME?</v>
      </c>
      <c r="M81" s="27" t="e">
        <f t="shared" si="44"/>
        <v>#NAME?</v>
      </c>
      <c r="N81" s="39"/>
      <c r="O81" s="36" t="str">
        <f t="shared" si="45"/>
        <v>Piedmont</v>
      </c>
      <c r="P81" s="26" t="e">
        <f t="shared" si="46"/>
        <v>#NAME?</v>
      </c>
      <c r="Q81" s="27" t="e">
        <f t="shared" si="47"/>
        <v>#VALUE!</v>
      </c>
      <c r="R81" s="27"/>
      <c r="S81" s="26">
        <f t="shared" si="48"/>
        <v>4624</v>
      </c>
      <c r="T81" s="26" t="e">
        <f t="shared" si="49"/>
        <v>#NAME?</v>
      </c>
      <c r="U81" s="27" t="e">
        <f t="shared" si="50"/>
        <v>#NAME?</v>
      </c>
      <c r="V81" s="27"/>
      <c r="W81" s="26">
        <f t="shared" si="51"/>
        <v>1913</v>
      </c>
      <c r="X81" s="26" t="e">
        <f t="shared" si="52"/>
        <v>#NAME?</v>
      </c>
      <c r="Y81" s="27" t="e">
        <f t="shared" si="53"/>
        <v>#NAME?</v>
      </c>
    </row>
    <row r="82" spans="1:25" ht="16.5" customHeight="1" x14ac:dyDescent="0.3">
      <c r="A82" s="16" t="s">
        <v>206</v>
      </c>
      <c r="B82" s="32" t="s">
        <v>207</v>
      </c>
      <c r="C82" s="25">
        <f t="shared" si="36"/>
        <v>7027</v>
      </c>
      <c r="D82" s="25" t="e">
        <f t="shared" si="37"/>
        <v>#NAME?</v>
      </c>
      <c r="E82" s="27" t="e">
        <f t="shared" si="38"/>
        <v>#NAME?</v>
      </c>
      <c r="F82" s="27"/>
      <c r="G82" s="25">
        <f t="shared" si="39"/>
        <v>5376</v>
      </c>
      <c r="H82" s="25" t="e">
        <f t="shared" si="40"/>
        <v>#NAME?</v>
      </c>
      <c r="I82" s="27" t="e">
        <f t="shared" si="41"/>
        <v>#NAME?</v>
      </c>
      <c r="J82" s="27"/>
      <c r="K82" s="25">
        <f t="shared" si="42"/>
        <v>0</v>
      </c>
      <c r="L82" s="25" t="e">
        <f t="shared" si="43"/>
        <v>#NAME?</v>
      </c>
      <c r="M82" s="27" t="e">
        <f t="shared" si="44"/>
        <v>#NAME?</v>
      </c>
      <c r="N82" s="39"/>
      <c r="O82" s="36" t="str">
        <f t="shared" si="45"/>
        <v>Northern</v>
      </c>
      <c r="P82" s="26" t="e">
        <f t="shared" si="46"/>
        <v>#NAME?</v>
      </c>
      <c r="Q82" s="27" t="e">
        <f t="shared" si="47"/>
        <v>#VALUE!</v>
      </c>
      <c r="R82" s="27"/>
      <c r="S82" s="26">
        <f t="shared" si="48"/>
        <v>12403</v>
      </c>
      <c r="T82" s="26" t="e">
        <f t="shared" si="49"/>
        <v>#NAME?</v>
      </c>
      <c r="U82" s="27" t="e">
        <f t="shared" si="50"/>
        <v>#NAME?</v>
      </c>
      <c r="V82" s="27"/>
      <c r="W82" s="26">
        <f t="shared" si="51"/>
        <v>5806</v>
      </c>
      <c r="X82" s="26" t="e">
        <f t="shared" si="52"/>
        <v>#NAME?</v>
      </c>
      <c r="Y82" s="27" t="e">
        <f t="shared" si="53"/>
        <v>#NAME?</v>
      </c>
    </row>
    <row r="83" spans="1:25" ht="16.5" customHeight="1" x14ac:dyDescent="0.3">
      <c r="A83" s="16" t="s">
        <v>208</v>
      </c>
      <c r="B83" s="32" t="s">
        <v>209</v>
      </c>
      <c r="C83" s="25">
        <f t="shared" si="36"/>
        <v>3607</v>
      </c>
      <c r="D83" s="25" t="e">
        <f t="shared" si="37"/>
        <v>#NAME?</v>
      </c>
      <c r="E83" s="27" t="e">
        <f t="shared" si="38"/>
        <v>#NAME?</v>
      </c>
      <c r="F83" s="27"/>
      <c r="G83" s="25">
        <f t="shared" si="39"/>
        <v>2831</v>
      </c>
      <c r="H83" s="25" t="e">
        <f t="shared" si="40"/>
        <v>#NAME?</v>
      </c>
      <c r="I83" s="27" t="e">
        <f t="shared" si="41"/>
        <v>#NAME?</v>
      </c>
      <c r="J83" s="27"/>
      <c r="K83" s="25">
        <f t="shared" si="42"/>
        <v>0</v>
      </c>
      <c r="L83" s="25" t="e">
        <f t="shared" si="43"/>
        <v>#NAME?</v>
      </c>
      <c r="M83" s="27" t="e">
        <f t="shared" si="44"/>
        <v>#NAME?</v>
      </c>
      <c r="N83" s="39"/>
      <c r="O83" s="36" t="str">
        <f t="shared" si="45"/>
        <v>Western</v>
      </c>
      <c r="P83" s="26" t="e">
        <f t="shared" si="46"/>
        <v>#NAME?</v>
      </c>
      <c r="Q83" s="27" t="e">
        <f t="shared" si="47"/>
        <v>#VALUE!</v>
      </c>
      <c r="R83" s="27"/>
      <c r="S83" s="26">
        <f t="shared" si="48"/>
        <v>6438</v>
      </c>
      <c r="T83" s="26" t="e">
        <f t="shared" si="49"/>
        <v>#NAME?</v>
      </c>
      <c r="U83" s="27" t="e">
        <f t="shared" si="50"/>
        <v>#NAME?</v>
      </c>
      <c r="V83" s="27"/>
      <c r="W83" s="26">
        <f t="shared" si="51"/>
        <v>2241</v>
      </c>
      <c r="X83" s="26" t="e">
        <f t="shared" si="52"/>
        <v>#NAME?</v>
      </c>
      <c r="Y83" s="27" t="e">
        <f t="shared" si="53"/>
        <v>#NAME?</v>
      </c>
    </row>
    <row r="84" spans="1:25" ht="16.5" customHeight="1" x14ac:dyDescent="0.3">
      <c r="A84" s="16" t="s">
        <v>210</v>
      </c>
      <c r="B84" s="32" t="s">
        <v>211</v>
      </c>
      <c r="C84" s="25">
        <f t="shared" si="36"/>
        <v>2290</v>
      </c>
      <c r="D84" s="25" t="e">
        <f t="shared" si="37"/>
        <v>#NAME?</v>
      </c>
      <c r="E84" s="27" t="e">
        <f t="shared" si="38"/>
        <v>#NAME?</v>
      </c>
      <c r="F84" s="27"/>
      <c r="G84" s="25">
        <f t="shared" si="39"/>
        <v>2020</v>
      </c>
      <c r="H84" s="25" t="e">
        <f t="shared" si="40"/>
        <v>#NAME?</v>
      </c>
      <c r="I84" s="27" t="e">
        <f t="shared" si="41"/>
        <v>#NAME?</v>
      </c>
      <c r="J84" s="27"/>
      <c r="K84" s="25">
        <f t="shared" si="42"/>
        <v>0</v>
      </c>
      <c r="L84" s="25" t="e">
        <f t="shared" si="43"/>
        <v>#NAME?</v>
      </c>
      <c r="M84" s="27" t="e">
        <f t="shared" si="44"/>
        <v>#NAME?</v>
      </c>
      <c r="N84" s="39"/>
      <c r="O84" s="36" t="str">
        <f t="shared" si="45"/>
        <v>Western</v>
      </c>
      <c r="P84" s="26" t="e">
        <f t="shared" si="46"/>
        <v>#NAME?</v>
      </c>
      <c r="Q84" s="27" t="e">
        <f t="shared" si="47"/>
        <v>#VALUE!</v>
      </c>
      <c r="R84" s="27"/>
      <c r="S84" s="26">
        <f t="shared" si="48"/>
        <v>4310</v>
      </c>
      <c r="T84" s="26" t="e">
        <f t="shared" si="49"/>
        <v>#NAME?</v>
      </c>
      <c r="U84" s="27" t="e">
        <f t="shared" si="50"/>
        <v>#NAME?</v>
      </c>
      <c r="V84" s="27"/>
      <c r="W84" s="26">
        <f t="shared" si="51"/>
        <v>1489</v>
      </c>
      <c r="X84" s="26" t="e">
        <f t="shared" si="52"/>
        <v>#NAME?</v>
      </c>
      <c r="Y84" s="27" t="e">
        <f t="shared" si="53"/>
        <v>#NAME?</v>
      </c>
    </row>
    <row r="85" spans="1:25" ht="16.5" customHeight="1" x14ac:dyDescent="0.3">
      <c r="A85" s="16" t="s">
        <v>212</v>
      </c>
      <c r="B85" s="32" t="s">
        <v>213</v>
      </c>
      <c r="C85" s="25">
        <f t="shared" si="36"/>
        <v>3374</v>
      </c>
      <c r="D85" s="25" t="e">
        <f t="shared" si="37"/>
        <v>#NAME?</v>
      </c>
      <c r="E85" s="27" t="e">
        <f t="shared" si="38"/>
        <v>#NAME?</v>
      </c>
      <c r="F85" s="27"/>
      <c r="G85" s="25">
        <f t="shared" si="39"/>
        <v>2557</v>
      </c>
      <c r="H85" s="25" t="e">
        <f t="shared" si="40"/>
        <v>#NAME?</v>
      </c>
      <c r="I85" s="27" t="e">
        <f t="shared" si="41"/>
        <v>#NAME?</v>
      </c>
      <c r="J85" s="27"/>
      <c r="K85" s="25">
        <f t="shared" si="42"/>
        <v>0</v>
      </c>
      <c r="L85" s="25" t="e">
        <f t="shared" si="43"/>
        <v>#NAME?</v>
      </c>
      <c r="M85" s="27" t="e">
        <f t="shared" si="44"/>
        <v>#NAME?</v>
      </c>
      <c r="N85" s="39"/>
      <c r="O85" s="36" t="str">
        <f t="shared" si="45"/>
        <v>Northern</v>
      </c>
      <c r="P85" s="26" t="e">
        <f t="shared" si="46"/>
        <v>#NAME?</v>
      </c>
      <c r="Q85" s="27" t="e">
        <f t="shared" si="47"/>
        <v>#VALUE!</v>
      </c>
      <c r="R85" s="27"/>
      <c r="S85" s="26">
        <f t="shared" si="48"/>
        <v>5931</v>
      </c>
      <c r="T85" s="26" t="e">
        <f t="shared" si="49"/>
        <v>#NAME?</v>
      </c>
      <c r="U85" s="27" t="e">
        <f t="shared" si="50"/>
        <v>#NAME?</v>
      </c>
      <c r="V85" s="27"/>
      <c r="W85" s="26">
        <f t="shared" si="51"/>
        <v>2724</v>
      </c>
      <c r="X85" s="26" t="e">
        <f t="shared" si="52"/>
        <v>#NAME?</v>
      </c>
      <c r="Y85" s="27" t="e">
        <f t="shared" si="53"/>
        <v>#NAME?</v>
      </c>
    </row>
    <row r="86" spans="1:25" ht="16.5" customHeight="1" x14ac:dyDescent="0.3">
      <c r="A86" s="16" t="s">
        <v>214</v>
      </c>
      <c r="B86" s="32" t="s">
        <v>215</v>
      </c>
      <c r="C86" s="25">
        <f t="shared" si="36"/>
        <v>3898</v>
      </c>
      <c r="D86" s="25" t="e">
        <f t="shared" si="37"/>
        <v>#NAME?</v>
      </c>
      <c r="E86" s="27" t="e">
        <f t="shared" si="38"/>
        <v>#NAME?</v>
      </c>
      <c r="F86" s="27"/>
      <c r="G86" s="25">
        <f t="shared" si="39"/>
        <v>3163</v>
      </c>
      <c r="H86" s="25" t="e">
        <f t="shared" si="40"/>
        <v>#NAME?</v>
      </c>
      <c r="I86" s="27" t="e">
        <f t="shared" si="41"/>
        <v>#NAME?</v>
      </c>
      <c r="J86" s="27"/>
      <c r="K86" s="25">
        <f t="shared" si="42"/>
        <v>0</v>
      </c>
      <c r="L86" s="25" t="e">
        <f t="shared" si="43"/>
        <v>#NAME?</v>
      </c>
      <c r="M86" s="27" t="e">
        <f t="shared" si="44"/>
        <v>#NAME?</v>
      </c>
      <c r="N86" s="39"/>
      <c r="O86" s="36" t="str">
        <f t="shared" si="45"/>
        <v>Western</v>
      </c>
      <c r="P86" s="26" t="e">
        <f t="shared" si="46"/>
        <v>#NAME?</v>
      </c>
      <c r="Q86" s="27" t="e">
        <f t="shared" si="47"/>
        <v>#VALUE!</v>
      </c>
      <c r="R86" s="27"/>
      <c r="S86" s="26">
        <f t="shared" si="48"/>
        <v>7061</v>
      </c>
      <c r="T86" s="26" t="e">
        <f t="shared" si="49"/>
        <v>#NAME?</v>
      </c>
      <c r="U86" s="27" t="e">
        <f t="shared" si="50"/>
        <v>#NAME?</v>
      </c>
      <c r="V86" s="27"/>
      <c r="W86" s="26">
        <f t="shared" si="51"/>
        <v>2486</v>
      </c>
      <c r="X86" s="26" t="e">
        <f t="shared" si="52"/>
        <v>#NAME?</v>
      </c>
      <c r="Y86" s="27" t="e">
        <f t="shared" si="53"/>
        <v>#NAME?</v>
      </c>
    </row>
    <row r="87" spans="1:25" ht="16.5" customHeight="1" x14ac:dyDescent="0.3">
      <c r="A87" s="16" t="s">
        <v>216</v>
      </c>
      <c r="B87" s="32" t="s">
        <v>217</v>
      </c>
      <c r="C87" s="25">
        <f t="shared" si="36"/>
        <v>1831</v>
      </c>
      <c r="D87" s="25" t="e">
        <f t="shared" si="37"/>
        <v>#NAME?</v>
      </c>
      <c r="E87" s="27" t="e">
        <f t="shared" si="38"/>
        <v>#NAME?</v>
      </c>
      <c r="F87" s="27"/>
      <c r="G87" s="25">
        <f t="shared" si="39"/>
        <v>1287</v>
      </c>
      <c r="H87" s="25" t="e">
        <f t="shared" si="40"/>
        <v>#NAME?</v>
      </c>
      <c r="I87" s="27" t="e">
        <f t="shared" si="41"/>
        <v>#NAME?</v>
      </c>
      <c r="J87" s="27"/>
      <c r="K87" s="25">
        <f t="shared" si="42"/>
        <v>0</v>
      </c>
      <c r="L87" s="25" t="e">
        <f t="shared" si="43"/>
        <v>#NAME?</v>
      </c>
      <c r="M87" s="27" t="e">
        <f t="shared" si="44"/>
        <v>#NAME?</v>
      </c>
      <c r="N87" s="39"/>
      <c r="O87" s="36" t="str">
        <f t="shared" si="45"/>
        <v>Eastern</v>
      </c>
      <c r="P87" s="26" t="e">
        <f t="shared" si="46"/>
        <v>#NAME?</v>
      </c>
      <c r="Q87" s="27" t="e">
        <f t="shared" si="47"/>
        <v>#VALUE!</v>
      </c>
      <c r="R87" s="27"/>
      <c r="S87" s="26">
        <f t="shared" si="48"/>
        <v>3118</v>
      </c>
      <c r="T87" s="26" t="e">
        <f t="shared" si="49"/>
        <v>#NAME?</v>
      </c>
      <c r="U87" s="27" t="e">
        <f t="shared" si="50"/>
        <v>#NAME?</v>
      </c>
      <c r="V87" s="27"/>
      <c r="W87" s="26">
        <f t="shared" si="51"/>
        <v>1291</v>
      </c>
      <c r="X87" s="26" t="e">
        <f t="shared" si="52"/>
        <v>#NAME?</v>
      </c>
      <c r="Y87" s="27" t="e">
        <f t="shared" si="53"/>
        <v>#NAME?</v>
      </c>
    </row>
    <row r="88" spans="1:25" ht="16.5" customHeight="1" x14ac:dyDescent="0.3">
      <c r="A88" s="16" t="s">
        <v>218</v>
      </c>
      <c r="B88" s="17" t="s">
        <v>219</v>
      </c>
      <c r="C88" s="25">
        <f t="shared" si="36"/>
        <v>8285</v>
      </c>
      <c r="D88" s="25" t="e">
        <f t="shared" si="37"/>
        <v>#NAME?</v>
      </c>
      <c r="E88" s="27" t="e">
        <f t="shared" si="38"/>
        <v>#NAME?</v>
      </c>
      <c r="F88" s="27"/>
      <c r="G88" s="25">
        <f t="shared" si="39"/>
        <v>5959</v>
      </c>
      <c r="H88" s="25" t="e">
        <f t="shared" si="40"/>
        <v>#NAME?</v>
      </c>
      <c r="I88" s="27" t="e">
        <f t="shared" si="41"/>
        <v>#NAME?</v>
      </c>
      <c r="J88" s="27"/>
      <c r="K88" s="25">
        <f t="shared" si="42"/>
        <v>0</v>
      </c>
      <c r="L88" s="25" t="e">
        <f t="shared" si="43"/>
        <v>#NAME?</v>
      </c>
      <c r="M88" s="27" t="e">
        <f t="shared" si="44"/>
        <v>#NAME?</v>
      </c>
      <c r="N88" s="39"/>
      <c r="O88" s="36" t="str">
        <f t="shared" si="45"/>
        <v>Northern</v>
      </c>
      <c r="P88" s="26" t="e">
        <f t="shared" si="46"/>
        <v>#NAME?</v>
      </c>
      <c r="Q88" s="27" t="e">
        <f t="shared" si="47"/>
        <v>#VALUE!</v>
      </c>
      <c r="R88" s="27"/>
      <c r="S88" s="26">
        <f t="shared" si="48"/>
        <v>14244</v>
      </c>
      <c r="T88" s="26" t="e">
        <f t="shared" si="49"/>
        <v>#NAME?</v>
      </c>
      <c r="U88" s="27" t="e">
        <f t="shared" si="50"/>
        <v>#NAME?</v>
      </c>
      <c r="V88" s="27"/>
      <c r="W88" s="26">
        <f t="shared" si="51"/>
        <v>6963</v>
      </c>
      <c r="X88" s="26" t="e">
        <f t="shared" si="52"/>
        <v>#NAME?</v>
      </c>
      <c r="Y88" s="27" t="e">
        <f t="shared" si="53"/>
        <v>#NAME?</v>
      </c>
    </row>
    <row r="89" spans="1:25" ht="16.5" customHeight="1" x14ac:dyDescent="0.3">
      <c r="A89" s="16" t="s">
        <v>220</v>
      </c>
      <c r="B89" s="17" t="s">
        <v>221</v>
      </c>
      <c r="C89" s="25">
        <f t="shared" si="36"/>
        <v>7157</v>
      </c>
      <c r="D89" s="25" t="e">
        <f t="shared" si="37"/>
        <v>#NAME?</v>
      </c>
      <c r="E89" s="27" t="e">
        <f t="shared" si="38"/>
        <v>#NAME?</v>
      </c>
      <c r="F89" s="27"/>
      <c r="G89" s="25">
        <f t="shared" si="39"/>
        <v>4955</v>
      </c>
      <c r="H89" s="25" t="e">
        <f t="shared" si="40"/>
        <v>#NAME?</v>
      </c>
      <c r="I89" s="27" t="e">
        <f t="shared" si="41"/>
        <v>#NAME?</v>
      </c>
      <c r="J89" s="27"/>
      <c r="K89" s="25">
        <f t="shared" si="42"/>
        <v>0</v>
      </c>
      <c r="L89" s="25" t="e">
        <f t="shared" si="43"/>
        <v>#NAME?</v>
      </c>
      <c r="M89" s="27" t="e">
        <f t="shared" si="44"/>
        <v>#NAME?</v>
      </c>
      <c r="N89" s="39"/>
      <c r="O89" s="36" t="str">
        <f t="shared" si="45"/>
        <v>Northern</v>
      </c>
      <c r="P89" s="26" t="e">
        <f t="shared" si="46"/>
        <v>#NAME?</v>
      </c>
      <c r="Q89" s="27" t="e">
        <f t="shared" si="47"/>
        <v>#VALUE!</v>
      </c>
      <c r="R89" s="27"/>
      <c r="S89" s="26">
        <f t="shared" si="48"/>
        <v>12112</v>
      </c>
      <c r="T89" s="26" t="e">
        <f t="shared" si="49"/>
        <v>#NAME?</v>
      </c>
      <c r="U89" s="27" t="e">
        <f t="shared" si="50"/>
        <v>#NAME?</v>
      </c>
      <c r="V89" s="27"/>
      <c r="W89" s="26">
        <f t="shared" si="51"/>
        <v>6232</v>
      </c>
      <c r="X89" s="26" t="e">
        <f t="shared" si="52"/>
        <v>#NAME?</v>
      </c>
      <c r="Y89" s="27" t="e">
        <f t="shared" si="53"/>
        <v>#NAME?</v>
      </c>
    </row>
    <row r="90" spans="1:25" ht="16.5" customHeight="1" x14ac:dyDescent="0.3">
      <c r="A90" s="16" t="s">
        <v>224</v>
      </c>
      <c r="B90" s="17" t="s">
        <v>225</v>
      </c>
      <c r="C90" s="25">
        <f t="shared" si="36"/>
        <v>625</v>
      </c>
      <c r="D90" s="25" t="e">
        <f t="shared" si="37"/>
        <v>#NAME?</v>
      </c>
      <c r="E90" s="27" t="e">
        <f t="shared" si="38"/>
        <v>#NAME?</v>
      </c>
      <c r="F90" s="27"/>
      <c r="G90" s="25">
        <f t="shared" si="39"/>
        <v>503</v>
      </c>
      <c r="H90" s="25" t="e">
        <f t="shared" si="40"/>
        <v>#NAME?</v>
      </c>
      <c r="I90" s="27" t="e">
        <f t="shared" si="41"/>
        <v>#NAME?</v>
      </c>
      <c r="J90" s="27"/>
      <c r="K90" s="25">
        <f t="shared" si="42"/>
        <v>0</v>
      </c>
      <c r="L90" s="25" t="e">
        <f t="shared" si="43"/>
        <v>#NAME?</v>
      </c>
      <c r="M90" s="27" t="e">
        <f t="shared" si="44"/>
        <v>#NAME?</v>
      </c>
      <c r="N90" s="39"/>
      <c r="O90" s="36" t="str">
        <f t="shared" si="45"/>
        <v>Eastern</v>
      </c>
      <c r="P90" s="26" t="e">
        <f t="shared" si="46"/>
        <v>#NAME?</v>
      </c>
      <c r="Q90" s="27" t="e">
        <f t="shared" si="47"/>
        <v>#VALUE!</v>
      </c>
      <c r="R90" s="27"/>
      <c r="S90" s="26">
        <f t="shared" si="48"/>
        <v>1128</v>
      </c>
      <c r="T90" s="26" t="e">
        <f t="shared" si="49"/>
        <v>#NAME?</v>
      </c>
      <c r="U90" s="27" t="e">
        <f t="shared" si="50"/>
        <v>#NAME?</v>
      </c>
      <c r="V90" s="27"/>
      <c r="W90" s="26">
        <f t="shared" si="51"/>
        <v>420</v>
      </c>
      <c r="X90" s="26" t="e">
        <f t="shared" si="52"/>
        <v>#NAME?</v>
      </c>
      <c r="Y90" s="27" t="e">
        <f t="shared" si="53"/>
        <v>#NAME?</v>
      </c>
    </row>
    <row r="91" spans="1:25" ht="16.5" customHeight="1" x14ac:dyDescent="0.3">
      <c r="A91" s="16" t="s">
        <v>226</v>
      </c>
      <c r="B91" s="32" t="s">
        <v>227</v>
      </c>
      <c r="C91" s="25">
        <f t="shared" si="36"/>
        <v>1270</v>
      </c>
      <c r="D91" s="25" t="e">
        <f t="shared" si="37"/>
        <v>#NAME?</v>
      </c>
      <c r="E91" s="27" t="e">
        <f t="shared" si="38"/>
        <v>#NAME?</v>
      </c>
      <c r="F91" s="27"/>
      <c r="G91" s="25">
        <f t="shared" si="39"/>
        <v>925</v>
      </c>
      <c r="H91" s="25" t="e">
        <f t="shared" si="40"/>
        <v>#NAME?</v>
      </c>
      <c r="I91" s="27" t="e">
        <f t="shared" si="41"/>
        <v>#NAME?</v>
      </c>
      <c r="J91" s="27"/>
      <c r="K91" s="25">
        <f t="shared" si="42"/>
        <v>0</v>
      </c>
      <c r="L91" s="25" t="e">
        <f t="shared" si="43"/>
        <v>#NAME?</v>
      </c>
      <c r="M91" s="27" t="e">
        <f t="shared" si="44"/>
        <v>#NAME?</v>
      </c>
      <c r="N91" s="39"/>
      <c r="O91" s="36" t="str">
        <f t="shared" si="45"/>
        <v>Eastern</v>
      </c>
      <c r="P91" s="26" t="e">
        <f t="shared" si="46"/>
        <v>#NAME?</v>
      </c>
      <c r="Q91" s="27" t="e">
        <f t="shared" si="47"/>
        <v>#VALUE!</v>
      </c>
      <c r="R91" s="27"/>
      <c r="S91" s="26">
        <f t="shared" si="48"/>
        <v>2195</v>
      </c>
      <c r="T91" s="26" t="e">
        <f t="shared" si="49"/>
        <v>#NAME?</v>
      </c>
      <c r="U91" s="27" t="e">
        <f t="shared" si="50"/>
        <v>#NAME?</v>
      </c>
      <c r="V91" s="27"/>
      <c r="W91" s="26">
        <f t="shared" si="51"/>
        <v>873</v>
      </c>
      <c r="X91" s="26" t="e">
        <f t="shared" si="52"/>
        <v>#NAME?</v>
      </c>
      <c r="Y91" s="27" t="e">
        <f t="shared" si="53"/>
        <v>#NAME?</v>
      </c>
    </row>
    <row r="92" spans="1:25" ht="16.5" customHeight="1" x14ac:dyDescent="0.3">
      <c r="A92" s="16" t="s">
        <v>228</v>
      </c>
      <c r="B92" s="32" t="s">
        <v>229</v>
      </c>
      <c r="C92" s="25">
        <f t="shared" si="36"/>
        <v>5452</v>
      </c>
      <c r="D92" s="25" t="e">
        <f t="shared" si="37"/>
        <v>#NAME?</v>
      </c>
      <c r="E92" s="27" t="e">
        <f t="shared" si="38"/>
        <v>#NAME?</v>
      </c>
      <c r="F92" s="27"/>
      <c r="G92" s="25">
        <f t="shared" si="39"/>
        <v>4122</v>
      </c>
      <c r="H92" s="25" t="e">
        <f t="shared" si="40"/>
        <v>#NAME?</v>
      </c>
      <c r="I92" s="27" t="e">
        <f t="shared" si="41"/>
        <v>#NAME?</v>
      </c>
      <c r="J92" s="27"/>
      <c r="K92" s="25">
        <f t="shared" si="42"/>
        <v>0</v>
      </c>
      <c r="L92" s="25" t="e">
        <f t="shared" si="43"/>
        <v>#NAME?</v>
      </c>
      <c r="M92" s="27" t="e">
        <f t="shared" si="44"/>
        <v>#NAME?</v>
      </c>
      <c r="N92" s="39"/>
      <c r="O92" s="36" t="str">
        <f t="shared" si="45"/>
        <v>Western</v>
      </c>
      <c r="P92" s="26" t="e">
        <f t="shared" si="46"/>
        <v>#NAME?</v>
      </c>
      <c r="Q92" s="27" t="e">
        <f t="shared" si="47"/>
        <v>#VALUE!</v>
      </c>
      <c r="R92" s="27"/>
      <c r="S92" s="26">
        <f t="shared" si="48"/>
        <v>9574</v>
      </c>
      <c r="T92" s="26" t="e">
        <f t="shared" si="49"/>
        <v>#NAME?</v>
      </c>
      <c r="U92" s="27" t="e">
        <f t="shared" si="50"/>
        <v>#NAME?</v>
      </c>
      <c r="V92" s="27"/>
      <c r="W92" s="26">
        <f t="shared" si="51"/>
        <v>3452</v>
      </c>
      <c r="X92" s="26" t="e">
        <f t="shared" si="52"/>
        <v>#NAME?</v>
      </c>
      <c r="Y92" s="27" t="e">
        <f t="shared" si="53"/>
        <v>#NAME?</v>
      </c>
    </row>
    <row r="93" spans="1:25" ht="16.5" customHeight="1" x14ac:dyDescent="0.3">
      <c r="A93" s="16" t="s">
        <v>232</v>
      </c>
      <c r="B93" s="32" t="s">
        <v>233</v>
      </c>
      <c r="C93" s="25">
        <f t="shared" si="36"/>
        <v>3012</v>
      </c>
      <c r="D93" s="25" t="e">
        <f t="shared" si="37"/>
        <v>#NAME?</v>
      </c>
      <c r="E93" s="27" t="e">
        <f t="shared" si="38"/>
        <v>#NAME?</v>
      </c>
      <c r="F93" s="27"/>
      <c r="G93" s="25">
        <f t="shared" si="39"/>
        <v>2281</v>
      </c>
      <c r="H93" s="25" t="e">
        <f t="shared" si="40"/>
        <v>#NAME?</v>
      </c>
      <c r="I93" s="27" t="e">
        <f t="shared" si="41"/>
        <v>#NAME?</v>
      </c>
      <c r="J93" s="27"/>
      <c r="K93" s="25">
        <f t="shared" si="42"/>
        <v>0</v>
      </c>
      <c r="L93" s="25" t="e">
        <f t="shared" si="43"/>
        <v>#NAME?</v>
      </c>
      <c r="M93" s="27" t="e">
        <f t="shared" si="44"/>
        <v>#NAME?</v>
      </c>
      <c r="N93" s="39"/>
      <c r="O93" s="36" t="str">
        <f t="shared" si="45"/>
        <v>Northern</v>
      </c>
      <c r="P93" s="26" t="e">
        <f t="shared" si="46"/>
        <v>#NAME?</v>
      </c>
      <c r="Q93" s="27" t="e">
        <f t="shared" si="47"/>
        <v>#VALUE!</v>
      </c>
      <c r="R93" s="27"/>
      <c r="S93" s="26">
        <f t="shared" si="48"/>
        <v>5293</v>
      </c>
      <c r="T93" s="26" t="e">
        <f t="shared" si="49"/>
        <v>#NAME?</v>
      </c>
      <c r="U93" s="27" t="e">
        <f t="shared" si="50"/>
        <v>#NAME?</v>
      </c>
      <c r="V93" s="27"/>
      <c r="W93" s="26">
        <f t="shared" si="51"/>
        <v>2369</v>
      </c>
      <c r="X93" s="26" t="e">
        <f t="shared" si="52"/>
        <v>#NAME?</v>
      </c>
      <c r="Y93" s="27" t="e">
        <f t="shared" si="53"/>
        <v>#NAME?</v>
      </c>
    </row>
    <row r="94" spans="1:25" ht="16.5" customHeight="1" x14ac:dyDescent="0.3">
      <c r="A94" s="16" t="s">
        <v>234</v>
      </c>
      <c r="B94" s="17" t="s">
        <v>235</v>
      </c>
      <c r="C94" s="25">
        <f t="shared" si="36"/>
        <v>4956</v>
      </c>
      <c r="D94" s="25" t="e">
        <f t="shared" si="37"/>
        <v>#NAME?</v>
      </c>
      <c r="E94" s="27" t="e">
        <f t="shared" si="38"/>
        <v>#NAME?</v>
      </c>
      <c r="F94" s="27"/>
      <c r="G94" s="25">
        <f t="shared" si="39"/>
        <v>3688</v>
      </c>
      <c r="H94" s="25" t="e">
        <f t="shared" si="40"/>
        <v>#NAME?</v>
      </c>
      <c r="I94" s="27" t="e">
        <f t="shared" si="41"/>
        <v>#NAME?</v>
      </c>
      <c r="J94" s="27"/>
      <c r="K94" s="25">
        <f t="shared" si="42"/>
        <v>0</v>
      </c>
      <c r="L94" s="25" t="e">
        <f t="shared" si="43"/>
        <v>#NAME?</v>
      </c>
      <c r="M94" s="27" t="e">
        <f t="shared" si="44"/>
        <v>#NAME?</v>
      </c>
      <c r="N94" s="39"/>
      <c r="O94" s="36" t="str">
        <f t="shared" si="45"/>
        <v>Western</v>
      </c>
      <c r="P94" s="26" t="e">
        <f t="shared" si="46"/>
        <v>#NAME?</v>
      </c>
      <c r="Q94" s="27" t="e">
        <f t="shared" si="47"/>
        <v>#VALUE!</v>
      </c>
      <c r="R94" s="27"/>
      <c r="S94" s="26">
        <f t="shared" si="48"/>
        <v>8644</v>
      </c>
      <c r="T94" s="26" t="e">
        <f t="shared" si="49"/>
        <v>#NAME?</v>
      </c>
      <c r="U94" s="27" t="e">
        <f t="shared" si="50"/>
        <v>#NAME?</v>
      </c>
      <c r="V94" s="27"/>
      <c r="W94" s="26">
        <f t="shared" si="51"/>
        <v>3326</v>
      </c>
      <c r="X94" s="26" t="e">
        <f t="shared" si="52"/>
        <v>#NAME?</v>
      </c>
      <c r="Y94" s="27" t="e">
        <f t="shared" si="53"/>
        <v>#NAME?</v>
      </c>
    </row>
    <row r="95" spans="1:25" ht="16.5" customHeight="1" x14ac:dyDescent="0.3">
      <c r="A95" s="16" t="s">
        <v>236</v>
      </c>
      <c r="B95" s="32" t="s">
        <v>237</v>
      </c>
      <c r="C95" s="25">
        <f t="shared" si="36"/>
        <v>2176</v>
      </c>
      <c r="D95" s="25" t="e">
        <f t="shared" si="37"/>
        <v>#NAME?</v>
      </c>
      <c r="E95" s="27" t="e">
        <f t="shared" si="38"/>
        <v>#NAME?</v>
      </c>
      <c r="F95" s="27"/>
      <c r="G95" s="25">
        <f t="shared" si="39"/>
        <v>1659</v>
      </c>
      <c r="H95" s="25" t="e">
        <f t="shared" si="40"/>
        <v>#NAME?</v>
      </c>
      <c r="I95" s="27" t="e">
        <f t="shared" si="41"/>
        <v>#NAME?</v>
      </c>
      <c r="J95" s="27"/>
      <c r="K95" s="25">
        <f t="shared" si="42"/>
        <v>0</v>
      </c>
      <c r="L95" s="25" t="e">
        <f t="shared" si="43"/>
        <v>#NAME?</v>
      </c>
      <c r="M95" s="27" t="e">
        <f t="shared" si="44"/>
        <v>#NAME?</v>
      </c>
      <c r="N95" s="39"/>
      <c r="O95" s="36" t="str">
        <f t="shared" si="45"/>
        <v>Central</v>
      </c>
      <c r="P95" s="26" t="e">
        <f t="shared" si="46"/>
        <v>#NAME?</v>
      </c>
      <c r="Q95" s="27" t="e">
        <f t="shared" si="47"/>
        <v>#VALUE!</v>
      </c>
      <c r="R95" s="27"/>
      <c r="S95" s="26">
        <f t="shared" si="48"/>
        <v>3835</v>
      </c>
      <c r="T95" s="26" t="e">
        <f t="shared" si="49"/>
        <v>#NAME?</v>
      </c>
      <c r="U95" s="27" t="e">
        <f t="shared" si="50"/>
        <v>#NAME?</v>
      </c>
      <c r="V95" s="27"/>
      <c r="W95" s="26">
        <f t="shared" si="51"/>
        <v>1569</v>
      </c>
      <c r="X95" s="26" t="e">
        <f t="shared" si="52"/>
        <v>#NAME?</v>
      </c>
      <c r="Y95" s="27" t="e">
        <f t="shared" si="53"/>
        <v>#NAME?</v>
      </c>
    </row>
    <row r="96" spans="1:25" ht="16.5" customHeight="1" x14ac:dyDescent="0.3">
      <c r="A96" s="16" t="s">
        <v>242</v>
      </c>
      <c r="B96" s="32" t="s">
        <v>243</v>
      </c>
      <c r="C96" s="25">
        <f t="shared" si="36"/>
        <v>5343</v>
      </c>
      <c r="D96" s="25" t="e">
        <f t="shared" si="37"/>
        <v>#NAME?</v>
      </c>
      <c r="E96" s="27" t="e">
        <f t="shared" si="38"/>
        <v>#NAME?</v>
      </c>
      <c r="F96" s="27"/>
      <c r="G96" s="25">
        <f t="shared" si="39"/>
        <v>4088</v>
      </c>
      <c r="H96" s="25" t="e">
        <f t="shared" si="40"/>
        <v>#NAME?</v>
      </c>
      <c r="I96" s="27" t="e">
        <f t="shared" si="41"/>
        <v>#NAME?</v>
      </c>
      <c r="J96" s="27"/>
      <c r="K96" s="25">
        <f t="shared" si="42"/>
        <v>0</v>
      </c>
      <c r="L96" s="25" t="e">
        <f t="shared" si="43"/>
        <v>#NAME?</v>
      </c>
      <c r="M96" s="27" t="e">
        <f t="shared" si="44"/>
        <v>#NAME?</v>
      </c>
      <c r="N96" s="39"/>
      <c r="O96" s="36" t="str">
        <f t="shared" si="45"/>
        <v>Western</v>
      </c>
      <c r="P96" s="26" t="e">
        <f t="shared" si="46"/>
        <v>#NAME?</v>
      </c>
      <c r="Q96" s="27" t="e">
        <f t="shared" si="47"/>
        <v>#VALUE!</v>
      </c>
      <c r="R96" s="27"/>
      <c r="S96" s="26">
        <f t="shared" si="48"/>
        <v>9431</v>
      </c>
      <c r="T96" s="26" t="e">
        <f t="shared" si="49"/>
        <v>#NAME?</v>
      </c>
      <c r="U96" s="27" t="e">
        <f t="shared" si="50"/>
        <v>#NAME?</v>
      </c>
      <c r="V96" s="27"/>
      <c r="W96" s="26">
        <f t="shared" si="51"/>
        <v>3439</v>
      </c>
      <c r="X96" s="26" t="e">
        <f t="shared" si="52"/>
        <v>#NAME?</v>
      </c>
      <c r="Y96" s="27" t="e">
        <f t="shared" si="53"/>
        <v>#NAME?</v>
      </c>
    </row>
    <row r="97" spans="1:25" ht="16.5" customHeight="1" x14ac:dyDescent="0.3">
      <c r="A97" s="16" t="s">
        <v>244</v>
      </c>
      <c r="B97" s="32" t="s">
        <v>245</v>
      </c>
      <c r="C97" s="25">
        <f t="shared" si="36"/>
        <v>2861</v>
      </c>
      <c r="D97" s="25" t="e">
        <f t="shared" si="37"/>
        <v>#NAME?</v>
      </c>
      <c r="E97" s="27" t="e">
        <f t="shared" si="38"/>
        <v>#NAME?</v>
      </c>
      <c r="F97" s="27"/>
      <c r="G97" s="25">
        <f t="shared" si="39"/>
        <v>2164</v>
      </c>
      <c r="H97" s="25" t="e">
        <f t="shared" si="40"/>
        <v>#NAME?</v>
      </c>
      <c r="I97" s="27" t="e">
        <f t="shared" si="41"/>
        <v>#NAME?</v>
      </c>
      <c r="J97" s="27"/>
      <c r="K97" s="25">
        <f t="shared" si="42"/>
        <v>0</v>
      </c>
      <c r="L97" s="25" t="e">
        <f t="shared" si="43"/>
        <v>#NAME?</v>
      </c>
      <c r="M97" s="27" t="e">
        <f t="shared" si="44"/>
        <v>#NAME?</v>
      </c>
      <c r="N97" s="39"/>
      <c r="O97" s="36" t="str">
        <f t="shared" si="45"/>
        <v>Western</v>
      </c>
      <c r="P97" s="26" t="e">
        <f t="shared" si="46"/>
        <v>#NAME?</v>
      </c>
      <c r="Q97" s="27" t="e">
        <f t="shared" si="47"/>
        <v>#VALUE!</v>
      </c>
      <c r="R97" s="27"/>
      <c r="S97" s="26">
        <f t="shared" si="48"/>
        <v>5025</v>
      </c>
      <c r="T97" s="26" t="e">
        <f t="shared" si="49"/>
        <v>#NAME?</v>
      </c>
      <c r="U97" s="27" t="e">
        <f t="shared" si="50"/>
        <v>#NAME?</v>
      </c>
      <c r="V97" s="27"/>
      <c r="W97" s="26">
        <f t="shared" si="51"/>
        <v>1867</v>
      </c>
      <c r="X97" s="26" t="e">
        <f t="shared" si="52"/>
        <v>#NAME?</v>
      </c>
      <c r="Y97" s="27" t="e">
        <f t="shared" si="53"/>
        <v>#NAME?</v>
      </c>
    </row>
    <row r="98" spans="1:25" ht="16.5" customHeight="1" x14ac:dyDescent="0.3">
      <c r="A98" s="16" t="s">
        <v>246</v>
      </c>
      <c r="B98" s="17" t="s">
        <v>298</v>
      </c>
      <c r="C98" s="25">
        <f t="shared" si="36"/>
        <v>2362</v>
      </c>
      <c r="D98" s="25" t="e">
        <f t="shared" si="37"/>
        <v>#NAME?</v>
      </c>
      <c r="E98" s="27" t="e">
        <f t="shared" si="38"/>
        <v>#NAME?</v>
      </c>
      <c r="F98" s="27"/>
      <c r="G98" s="25">
        <f t="shared" si="39"/>
        <v>1561</v>
      </c>
      <c r="H98" s="25" t="e">
        <f t="shared" si="40"/>
        <v>#NAME?</v>
      </c>
      <c r="I98" s="27" t="e">
        <f t="shared" si="41"/>
        <v>#NAME?</v>
      </c>
      <c r="J98" s="27"/>
      <c r="K98" s="25">
        <f t="shared" si="42"/>
        <v>0</v>
      </c>
      <c r="L98" s="25" t="e">
        <f t="shared" si="43"/>
        <v>#NAME?</v>
      </c>
      <c r="M98" s="27" t="e">
        <f t="shared" si="44"/>
        <v>#NAME?</v>
      </c>
      <c r="N98" s="39"/>
      <c r="O98" s="36" t="str">
        <f t="shared" si="45"/>
        <v>Eastern</v>
      </c>
      <c r="P98" s="26" t="e">
        <f t="shared" si="46"/>
        <v>#NAME?</v>
      </c>
      <c r="Q98" s="27" t="e">
        <f t="shared" si="47"/>
        <v>#VALUE!</v>
      </c>
      <c r="R98" s="27"/>
      <c r="S98" s="26">
        <f t="shared" si="48"/>
        <v>3923</v>
      </c>
      <c r="T98" s="26" t="e">
        <f t="shared" si="49"/>
        <v>#NAME?</v>
      </c>
      <c r="U98" s="27" t="e">
        <f t="shared" si="50"/>
        <v>#NAME?</v>
      </c>
      <c r="V98" s="27"/>
      <c r="W98" s="26">
        <f t="shared" si="51"/>
        <v>1856</v>
      </c>
      <c r="X98" s="26" t="e">
        <f t="shared" si="52"/>
        <v>#NAME?</v>
      </c>
      <c r="Y98" s="27" t="e">
        <f t="shared" si="53"/>
        <v>#NAME?</v>
      </c>
    </row>
    <row r="99" spans="1:25" ht="16.5" customHeight="1" x14ac:dyDescent="0.3">
      <c r="A99" s="16" t="s">
        <v>14</v>
      </c>
      <c r="B99" s="17" t="s">
        <v>15</v>
      </c>
      <c r="C99" s="25">
        <f t="shared" si="36"/>
        <v>6911</v>
      </c>
      <c r="D99" s="25" t="e">
        <f t="shared" si="37"/>
        <v>#NAME?</v>
      </c>
      <c r="E99" s="27" t="e">
        <f t="shared" si="38"/>
        <v>#NAME?</v>
      </c>
      <c r="F99" s="27"/>
      <c r="G99" s="25">
        <f t="shared" si="39"/>
        <v>5205</v>
      </c>
      <c r="H99" s="25" t="e">
        <f t="shared" si="40"/>
        <v>#NAME?</v>
      </c>
      <c r="I99" s="27" t="e">
        <f t="shared" si="41"/>
        <v>#NAME?</v>
      </c>
      <c r="J99" s="27"/>
      <c r="K99" s="25">
        <f t="shared" si="42"/>
        <v>0</v>
      </c>
      <c r="L99" s="25" t="e">
        <f t="shared" si="43"/>
        <v>#NAME?</v>
      </c>
      <c r="M99" s="27" t="e">
        <f t="shared" si="44"/>
        <v>#NAME?</v>
      </c>
      <c r="N99" s="39"/>
      <c r="O99" s="36" t="str">
        <f t="shared" si="45"/>
        <v>Northern</v>
      </c>
      <c r="P99" s="26" t="e">
        <f t="shared" si="46"/>
        <v>#NAME?</v>
      </c>
      <c r="Q99" s="27" t="e">
        <f t="shared" si="47"/>
        <v>#VALUE!</v>
      </c>
      <c r="R99" s="27"/>
      <c r="S99" s="26">
        <f t="shared" si="48"/>
        <v>12116</v>
      </c>
      <c r="T99" s="26" t="e">
        <f t="shared" si="49"/>
        <v>#NAME?</v>
      </c>
      <c r="U99" s="27" t="e">
        <f t="shared" si="50"/>
        <v>#NAME?</v>
      </c>
      <c r="V99" s="27"/>
      <c r="W99" s="26">
        <f t="shared" si="51"/>
        <v>5998</v>
      </c>
      <c r="X99" s="26" t="e">
        <f t="shared" si="52"/>
        <v>#NAME?</v>
      </c>
      <c r="Y99" s="27" t="e">
        <f t="shared" si="53"/>
        <v>#NAME?</v>
      </c>
    </row>
    <row r="100" spans="1:25" ht="16.5" customHeight="1" x14ac:dyDescent="0.3">
      <c r="A100" s="16" t="s">
        <v>34</v>
      </c>
      <c r="B100" s="17" t="s">
        <v>35</v>
      </c>
      <c r="C100" s="25">
        <f t="shared" ref="C100:C123" si="54">VLOOKUP(A100,SNAPClient_Demo,10,FALSE)</f>
        <v>3171</v>
      </c>
      <c r="D100" s="25" t="e">
        <f t="shared" ref="D100:D123" si="55">VLOOKUP(A100,Pop,14,FALSE)</f>
        <v>#NAME?</v>
      </c>
      <c r="E100" s="27" t="e">
        <f t="shared" ref="E100:E123" si="56">+C100/D100</f>
        <v>#NAME?</v>
      </c>
      <c r="F100" s="27"/>
      <c r="G100" s="25">
        <f t="shared" ref="G100:G123" si="57">VLOOKUP(A100,SNAPClient_Demo,11,FALSE)</f>
        <v>2372</v>
      </c>
      <c r="H100" s="25" t="e">
        <f t="shared" ref="H100:H123" si="58">VLOOKUP(A100,Pop,15,FALSE)</f>
        <v>#NAME?</v>
      </c>
      <c r="I100" s="27" t="e">
        <f t="shared" ref="I100:I123" si="59">+G100/H100</f>
        <v>#NAME?</v>
      </c>
      <c r="J100" s="27"/>
      <c r="K100" s="25">
        <f t="shared" ref="K100:K123" si="60">VLOOKUP(A100,SNAPClient_Demo,12,FALSE)</f>
        <v>0</v>
      </c>
      <c r="L100" s="25" t="e">
        <f t="shared" ref="L100:L123" si="61">VLOOKUP(A100,Pop,16,FALSE)</f>
        <v>#NAME?</v>
      </c>
      <c r="M100" s="27" t="e">
        <f t="shared" ref="M100:M123" si="62">+K100/L100</f>
        <v>#NAME?</v>
      </c>
      <c r="N100" s="39"/>
      <c r="O100" s="36" t="str">
        <f t="shared" ref="O100:O123" si="63">VLOOKUP(A100,SNAPClient_Demo,3,FALSE)</f>
        <v>Western</v>
      </c>
      <c r="P100" s="26" t="e">
        <f t="shared" ref="P100:P123" si="64">VLOOKUP(A100,Pop,8,FALSE)</f>
        <v>#NAME?</v>
      </c>
      <c r="Q100" s="27" t="e">
        <f t="shared" ref="Q100:Q123" si="65">+O100/P100</f>
        <v>#VALUE!</v>
      </c>
      <c r="R100" s="27"/>
      <c r="S100" s="26">
        <f t="shared" ref="S100:S123" si="66">VLOOKUP(A100,SNAPClient_Demo,4,FALSE)</f>
        <v>5543</v>
      </c>
      <c r="T100" s="26" t="e">
        <f t="shared" ref="T100:T123" si="67">VLOOKUP(A100,Pop,9,FALSE)</f>
        <v>#NAME?</v>
      </c>
      <c r="U100" s="27" t="e">
        <f t="shared" ref="U100:U123" si="68">+S100/T100</f>
        <v>#NAME?</v>
      </c>
      <c r="V100" s="27"/>
      <c r="W100" s="26">
        <f t="shared" ref="W100:W123" si="69">VLOOKUP(A100,SNAPClient_Demo,5,FALSE)</f>
        <v>2121</v>
      </c>
      <c r="X100" s="26" t="e">
        <f t="shared" ref="X100:X123" si="70">VLOOKUP(A100,Pop,10,FALSE)</f>
        <v>#NAME?</v>
      </c>
      <c r="Y100" s="27" t="e">
        <f t="shared" ref="Y100:Y123" si="71">+W100/X100</f>
        <v>#NAME?</v>
      </c>
    </row>
    <row r="101" spans="1:25" ht="16.5" customHeight="1" x14ac:dyDescent="0.3">
      <c r="A101" s="16" t="s">
        <v>52</v>
      </c>
      <c r="B101" s="17" t="s">
        <v>53</v>
      </c>
      <c r="C101" s="25">
        <f t="shared" si="54"/>
        <v>2933</v>
      </c>
      <c r="D101" s="25" t="e">
        <f t="shared" si="55"/>
        <v>#NAME?</v>
      </c>
      <c r="E101" s="27" t="e">
        <f t="shared" si="56"/>
        <v>#NAME?</v>
      </c>
      <c r="F101" s="27"/>
      <c r="G101" s="25">
        <f t="shared" si="57"/>
        <v>2531</v>
      </c>
      <c r="H101" s="25" t="e">
        <f t="shared" si="58"/>
        <v>#NAME?</v>
      </c>
      <c r="I101" s="27" t="e">
        <f t="shared" si="59"/>
        <v>#NAME?</v>
      </c>
      <c r="J101" s="27"/>
      <c r="K101" s="25">
        <f t="shared" si="60"/>
        <v>0</v>
      </c>
      <c r="L101" s="25" t="e">
        <f t="shared" si="61"/>
        <v>#NAME?</v>
      </c>
      <c r="M101" s="27" t="e">
        <f t="shared" si="62"/>
        <v>#NAME?</v>
      </c>
      <c r="N101" s="39"/>
      <c r="O101" s="36" t="str">
        <f t="shared" si="63"/>
        <v>Piedmont</v>
      </c>
      <c r="P101" s="26" t="e">
        <f t="shared" si="64"/>
        <v>#NAME?</v>
      </c>
      <c r="Q101" s="27" t="e">
        <f t="shared" si="65"/>
        <v>#VALUE!</v>
      </c>
      <c r="R101" s="27"/>
      <c r="S101" s="26">
        <f t="shared" si="66"/>
        <v>5464</v>
      </c>
      <c r="T101" s="26" t="e">
        <f t="shared" si="67"/>
        <v>#NAME?</v>
      </c>
      <c r="U101" s="27" t="e">
        <f t="shared" si="68"/>
        <v>#NAME?</v>
      </c>
      <c r="V101" s="27"/>
      <c r="W101" s="26">
        <f t="shared" si="69"/>
        <v>2238</v>
      </c>
      <c r="X101" s="26" t="e">
        <f t="shared" si="70"/>
        <v>#NAME?</v>
      </c>
      <c r="Y101" s="27" t="e">
        <f t="shared" si="71"/>
        <v>#NAME?</v>
      </c>
    </row>
    <row r="102" spans="1:25" ht="16.5" customHeight="1" x14ac:dyDescent="0.3">
      <c r="A102" s="16" t="s">
        <v>54</v>
      </c>
      <c r="B102" s="17" t="s">
        <v>55</v>
      </c>
      <c r="C102" s="25">
        <f t="shared" si="54"/>
        <v>16132</v>
      </c>
      <c r="D102" s="25" t="e">
        <f t="shared" si="55"/>
        <v>#NAME?</v>
      </c>
      <c r="E102" s="27" t="e">
        <f t="shared" si="56"/>
        <v>#NAME?</v>
      </c>
      <c r="F102" s="27"/>
      <c r="G102" s="25">
        <f t="shared" si="57"/>
        <v>10518</v>
      </c>
      <c r="H102" s="25" t="e">
        <f t="shared" si="58"/>
        <v>#NAME?</v>
      </c>
      <c r="I102" s="27" t="e">
        <f t="shared" si="59"/>
        <v>#NAME?</v>
      </c>
      <c r="J102" s="27"/>
      <c r="K102" s="25">
        <f t="shared" si="60"/>
        <v>0</v>
      </c>
      <c r="L102" s="25" t="e">
        <f t="shared" si="61"/>
        <v>#NAME?</v>
      </c>
      <c r="M102" s="27" t="e">
        <f t="shared" si="62"/>
        <v>#NAME?</v>
      </c>
      <c r="N102" s="39"/>
      <c r="O102" s="36" t="str">
        <f t="shared" si="63"/>
        <v>Eastern</v>
      </c>
      <c r="P102" s="26" t="e">
        <f t="shared" si="64"/>
        <v>#NAME?</v>
      </c>
      <c r="Q102" s="27" t="e">
        <f t="shared" si="65"/>
        <v>#VALUE!</v>
      </c>
      <c r="R102" s="27"/>
      <c r="S102" s="26">
        <f t="shared" si="66"/>
        <v>26650</v>
      </c>
      <c r="T102" s="26" t="e">
        <f t="shared" si="67"/>
        <v>#NAME?</v>
      </c>
      <c r="U102" s="27" t="e">
        <f t="shared" si="68"/>
        <v>#NAME?</v>
      </c>
      <c r="V102" s="27"/>
      <c r="W102" s="26">
        <f t="shared" si="69"/>
        <v>12382</v>
      </c>
      <c r="X102" s="26" t="e">
        <f t="shared" si="70"/>
        <v>#NAME?</v>
      </c>
      <c r="Y102" s="27" t="e">
        <f t="shared" si="71"/>
        <v>#NAME?</v>
      </c>
    </row>
    <row r="103" spans="1:25" ht="16.5" customHeight="1" x14ac:dyDescent="0.3">
      <c r="A103" s="16" t="s">
        <v>66</v>
      </c>
      <c r="B103" s="32" t="s">
        <v>67</v>
      </c>
      <c r="C103" s="25">
        <f t="shared" si="54"/>
        <v>8645</v>
      </c>
      <c r="D103" s="25" t="e">
        <f t="shared" si="55"/>
        <v>#NAME?</v>
      </c>
      <c r="E103" s="27" t="e">
        <f t="shared" si="56"/>
        <v>#NAME?</v>
      </c>
      <c r="F103" s="27"/>
      <c r="G103" s="25">
        <f t="shared" si="57"/>
        <v>6243</v>
      </c>
      <c r="H103" s="25" t="e">
        <f t="shared" si="58"/>
        <v>#NAME?</v>
      </c>
      <c r="I103" s="27" t="e">
        <f t="shared" si="59"/>
        <v>#NAME?</v>
      </c>
      <c r="J103" s="27"/>
      <c r="K103" s="25">
        <f t="shared" si="60"/>
        <v>0</v>
      </c>
      <c r="L103" s="25" t="e">
        <f t="shared" si="61"/>
        <v>#NAME?</v>
      </c>
      <c r="M103" s="27" t="e">
        <f t="shared" si="62"/>
        <v>#NAME?</v>
      </c>
      <c r="N103" s="39"/>
      <c r="O103" s="36" t="str">
        <f t="shared" si="63"/>
        <v>Piedmont</v>
      </c>
      <c r="P103" s="26" t="e">
        <f t="shared" si="64"/>
        <v>#NAME?</v>
      </c>
      <c r="Q103" s="27" t="e">
        <f t="shared" si="65"/>
        <v>#VALUE!</v>
      </c>
      <c r="R103" s="27"/>
      <c r="S103" s="26">
        <f t="shared" si="66"/>
        <v>14888</v>
      </c>
      <c r="T103" s="26" t="e">
        <f t="shared" si="67"/>
        <v>#NAME?</v>
      </c>
      <c r="U103" s="27" t="e">
        <f t="shared" si="68"/>
        <v>#NAME?</v>
      </c>
      <c r="V103" s="27"/>
      <c r="W103" s="26">
        <f t="shared" si="69"/>
        <v>5824</v>
      </c>
      <c r="X103" s="26" t="e">
        <f t="shared" si="70"/>
        <v>#NAME?</v>
      </c>
      <c r="Y103" s="27" t="e">
        <f t="shared" si="71"/>
        <v>#NAME?</v>
      </c>
    </row>
    <row r="104" spans="1:25" ht="16.5" customHeight="1" x14ac:dyDescent="0.3">
      <c r="A104" s="16" t="s">
        <v>82</v>
      </c>
      <c r="B104" s="32" t="s">
        <v>299</v>
      </c>
      <c r="C104" s="25">
        <f t="shared" si="54"/>
        <v>1753</v>
      </c>
      <c r="D104" s="25" t="e">
        <f t="shared" si="55"/>
        <v>#NAME?</v>
      </c>
      <c r="E104" s="27" t="e">
        <f t="shared" si="56"/>
        <v>#NAME?</v>
      </c>
      <c r="F104" s="27"/>
      <c r="G104" s="25">
        <f t="shared" si="57"/>
        <v>1230</v>
      </c>
      <c r="H104" s="25" t="e">
        <f t="shared" si="58"/>
        <v>#NAME?</v>
      </c>
      <c r="I104" s="27" t="e">
        <f t="shared" si="59"/>
        <v>#NAME?</v>
      </c>
      <c r="J104" s="27"/>
      <c r="K104" s="25">
        <f t="shared" si="60"/>
        <v>0</v>
      </c>
      <c r="L104" s="25" t="e">
        <f t="shared" si="61"/>
        <v>#NAME?</v>
      </c>
      <c r="M104" s="27" t="e">
        <f t="shared" si="62"/>
        <v>#NAME?</v>
      </c>
      <c r="N104" s="39"/>
      <c r="O104" s="36" t="str">
        <f t="shared" si="63"/>
        <v>Eastern</v>
      </c>
      <c r="P104" s="26" t="e">
        <f t="shared" si="64"/>
        <v>#NAME?</v>
      </c>
      <c r="Q104" s="27" t="e">
        <f t="shared" si="65"/>
        <v>#VALUE!</v>
      </c>
      <c r="R104" s="27"/>
      <c r="S104" s="26">
        <f t="shared" si="66"/>
        <v>2983</v>
      </c>
      <c r="T104" s="26" t="e">
        <f t="shared" si="67"/>
        <v>#NAME?</v>
      </c>
      <c r="U104" s="27" t="e">
        <f t="shared" si="68"/>
        <v>#NAME?</v>
      </c>
      <c r="V104" s="27"/>
      <c r="W104" s="26">
        <f t="shared" si="69"/>
        <v>1271</v>
      </c>
      <c r="X104" s="26" t="e">
        <f t="shared" si="70"/>
        <v>#NAME?</v>
      </c>
      <c r="Y104" s="27" t="e">
        <f t="shared" si="71"/>
        <v>#NAME?</v>
      </c>
    </row>
    <row r="105" spans="1:25" ht="16.5" customHeight="1" x14ac:dyDescent="0.3">
      <c r="A105" s="16" t="s">
        <v>88</v>
      </c>
      <c r="B105" s="17" t="s">
        <v>89</v>
      </c>
      <c r="C105" s="25">
        <f t="shared" si="54"/>
        <v>3243</v>
      </c>
      <c r="D105" s="25" t="e">
        <f t="shared" si="55"/>
        <v>#NAME?</v>
      </c>
      <c r="E105" s="27" t="e">
        <f t="shared" si="56"/>
        <v>#NAME?</v>
      </c>
      <c r="F105" s="27"/>
      <c r="G105" s="25">
        <f t="shared" si="57"/>
        <v>2478</v>
      </c>
      <c r="H105" s="25" t="e">
        <f t="shared" si="58"/>
        <v>#NAME?</v>
      </c>
      <c r="I105" s="27" t="e">
        <f t="shared" si="59"/>
        <v>#NAME?</v>
      </c>
      <c r="J105" s="27"/>
      <c r="K105" s="25">
        <f t="shared" si="60"/>
        <v>0</v>
      </c>
      <c r="L105" s="25" t="e">
        <f t="shared" si="61"/>
        <v>#NAME?</v>
      </c>
      <c r="M105" s="27" t="e">
        <f t="shared" si="62"/>
        <v>#NAME?</v>
      </c>
      <c r="N105" s="39"/>
      <c r="O105" s="36" t="str">
        <f t="shared" si="63"/>
        <v>Northern</v>
      </c>
      <c r="P105" s="26" t="e">
        <f t="shared" si="64"/>
        <v>#NAME?</v>
      </c>
      <c r="Q105" s="27" t="e">
        <f t="shared" si="65"/>
        <v>#VALUE!</v>
      </c>
      <c r="R105" s="27"/>
      <c r="S105" s="26">
        <f t="shared" si="66"/>
        <v>5721</v>
      </c>
      <c r="T105" s="26" t="e">
        <f t="shared" si="67"/>
        <v>#NAME?</v>
      </c>
      <c r="U105" s="27" t="e">
        <f t="shared" si="68"/>
        <v>#NAME?</v>
      </c>
      <c r="V105" s="27"/>
      <c r="W105" s="26">
        <f t="shared" si="69"/>
        <v>2556</v>
      </c>
      <c r="X105" s="26" t="e">
        <f t="shared" si="70"/>
        <v>#NAME?</v>
      </c>
      <c r="Y105" s="27" t="e">
        <f t="shared" si="71"/>
        <v>#NAME?</v>
      </c>
    </row>
    <row r="106" spans="1:25" ht="16.5" customHeight="1" x14ac:dyDescent="0.3">
      <c r="A106" s="16" t="s">
        <v>90</v>
      </c>
      <c r="B106" s="17" t="s">
        <v>91</v>
      </c>
      <c r="C106" s="25">
        <f t="shared" si="54"/>
        <v>1209</v>
      </c>
      <c r="D106" s="25" t="e">
        <f t="shared" si="55"/>
        <v>#NAME?</v>
      </c>
      <c r="E106" s="27" t="e">
        <f t="shared" si="56"/>
        <v>#NAME?</v>
      </c>
      <c r="F106" s="27"/>
      <c r="G106" s="25">
        <f t="shared" si="57"/>
        <v>975</v>
      </c>
      <c r="H106" s="25" t="e">
        <f t="shared" si="58"/>
        <v>#NAME?</v>
      </c>
      <c r="I106" s="27" t="e">
        <f t="shared" si="59"/>
        <v>#NAME?</v>
      </c>
      <c r="J106" s="27"/>
      <c r="K106" s="25">
        <f t="shared" si="60"/>
        <v>0</v>
      </c>
      <c r="L106" s="25" t="e">
        <f t="shared" si="61"/>
        <v>#NAME?</v>
      </c>
      <c r="M106" s="27" t="e">
        <f t="shared" si="62"/>
        <v>#NAME?</v>
      </c>
      <c r="N106" s="39"/>
      <c r="O106" s="36" t="str">
        <f t="shared" si="63"/>
        <v>Western</v>
      </c>
      <c r="P106" s="26" t="e">
        <f t="shared" si="64"/>
        <v>#NAME?</v>
      </c>
      <c r="Q106" s="27" t="e">
        <f t="shared" si="65"/>
        <v>#VALUE!</v>
      </c>
      <c r="R106" s="27"/>
      <c r="S106" s="26">
        <f t="shared" si="66"/>
        <v>2184</v>
      </c>
      <c r="T106" s="26" t="e">
        <f t="shared" si="67"/>
        <v>#NAME?</v>
      </c>
      <c r="U106" s="27" t="e">
        <f t="shared" si="68"/>
        <v>#NAME?</v>
      </c>
      <c r="V106" s="27"/>
      <c r="W106" s="26">
        <f t="shared" si="69"/>
        <v>859</v>
      </c>
      <c r="X106" s="26" t="e">
        <f t="shared" si="70"/>
        <v>#NAME?</v>
      </c>
      <c r="Y106" s="27" t="e">
        <f t="shared" si="71"/>
        <v>#NAME?</v>
      </c>
    </row>
    <row r="107" spans="1:25" ht="16.5" customHeight="1" x14ac:dyDescent="0.3">
      <c r="A107" s="16" t="s">
        <v>106</v>
      </c>
      <c r="B107" s="17" t="s">
        <v>107</v>
      </c>
      <c r="C107" s="25">
        <f t="shared" si="54"/>
        <v>15510</v>
      </c>
      <c r="D107" s="25" t="e">
        <f t="shared" si="55"/>
        <v>#NAME?</v>
      </c>
      <c r="E107" s="27" t="e">
        <f t="shared" si="56"/>
        <v>#NAME?</v>
      </c>
      <c r="F107" s="27"/>
      <c r="G107" s="25">
        <f t="shared" si="57"/>
        <v>10860</v>
      </c>
      <c r="H107" s="25" t="e">
        <f t="shared" si="58"/>
        <v>#NAME?</v>
      </c>
      <c r="I107" s="27" t="e">
        <f t="shared" si="59"/>
        <v>#NAME?</v>
      </c>
      <c r="J107" s="27"/>
      <c r="K107" s="25">
        <f t="shared" si="60"/>
        <v>0</v>
      </c>
      <c r="L107" s="25" t="e">
        <f t="shared" si="61"/>
        <v>#NAME?</v>
      </c>
      <c r="M107" s="27" t="e">
        <f t="shared" si="62"/>
        <v>#NAME?</v>
      </c>
      <c r="N107" s="39"/>
      <c r="O107" s="36" t="str">
        <f t="shared" si="63"/>
        <v>Eastern</v>
      </c>
      <c r="P107" s="26" t="e">
        <f t="shared" si="64"/>
        <v>#NAME?</v>
      </c>
      <c r="Q107" s="27" t="e">
        <f t="shared" si="65"/>
        <v>#VALUE!</v>
      </c>
      <c r="R107" s="27"/>
      <c r="S107" s="26">
        <f t="shared" si="66"/>
        <v>26370</v>
      </c>
      <c r="T107" s="26" t="e">
        <f t="shared" si="67"/>
        <v>#NAME?</v>
      </c>
      <c r="U107" s="27" t="e">
        <f t="shared" si="68"/>
        <v>#NAME?</v>
      </c>
      <c r="V107" s="27"/>
      <c r="W107" s="26">
        <f t="shared" si="69"/>
        <v>11475</v>
      </c>
      <c r="X107" s="26" t="e">
        <f t="shared" si="70"/>
        <v>#NAME?</v>
      </c>
      <c r="Y107" s="27" t="e">
        <f t="shared" si="71"/>
        <v>#NAME?</v>
      </c>
    </row>
    <row r="108" spans="1:25" ht="16.5" customHeight="1" x14ac:dyDescent="0.3">
      <c r="A108" s="16" t="s">
        <v>116</v>
      </c>
      <c r="B108" s="32" t="s">
        <v>117</v>
      </c>
      <c r="C108" s="25">
        <f t="shared" si="54"/>
        <v>5215</v>
      </c>
      <c r="D108" s="25" t="e">
        <f t="shared" si="55"/>
        <v>#NAME?</v>
      </c>
      <c r="E108" s="27" t="e">
        <f t="shared" si="56"/>
        <v>#NAME?</v>
      </c>
      <c r="F108" s="27"/>
      <c r="G108" s="25">
        <f t="shared" si="57"/>
        <v>3674</v>
      </c>
      <c r="H108" s="25" t="e">
        <f t="shared" si="58"/>
        <v>#NAME?</v>
      </c>
      <c r="I108" s="27" t="e">
        <f t="shared" si="59"/>
        <v>#NAME?</v>
      </c>
      <c r="J108" s="27"/>
      <c r="K108" s="25">
        <f t="shared" si="60"/>
        <v>0</v>
      </c>
      <c r="L108" s="25" t="e">
        <f t="shared" si="61"/>
        <v>#NAME?</v>
      </c>
      <c r="M108" s="27" t="e">
        <f t="shared" si="62"/>
        <v>#NAME?</v>
      </c>
      <c r="N108" s="39"/>
      <c r="O108" s="36" t="str">
        <f t="shared" si="63"/>
        <v>Central</v>
      </c>
      <c r="P108" s="26" t="e">
        <f t="shared" si="64"/>
        <v>#NAME?</v>
      </c>
      <c r="Q108" s="27" t="e">
        <f t="shared" si="65"/>
        <v>#VALUE!</v>
      </c>
      <c r="R108" s="27"/>
      <c r="S108" s="26">
        <f t="shared" si="66"/>
        <v>8889</v>
      </c>
      <c r="T108" s="26" t="e">
        <f t="shared" si="67"/>
        <v>#NAME?</v>
      </c>
      <c r="U108" s="27" t="e">
        <f t="shared" si="68"/>
        <v>#NAME?</v>
      </c>
      <c r="V108" s="27"/>
      <c r="W108" s="26">
        <f t="shared" si="69"/>
        <v>3926</v>
      </c>
      <c r="X108" s="26" t="e">
        <f t="shared" si="70"/>
        <v>#NAME?</v>
      </c>
      <c r="Y108" s="27" t="e">
        <f t="shared" si="71"/>
        <v>#NAME?</v>
      </c>
    </row>
    <row r="109" spans="1:25" ht="16.5" customHeight="1" x14ac:dyDescent="0.3">
      <c r="A109" s="16" t="s">
        <v>138</v>
      </c>
      <c r="B109" s="17" t="s">
        <v>139</v>
      </c>
      <c r="C109" s="25">
        <f t="shared" si="54"/>
        <v>8553</v>
      </c>
      <c r="D109" s="25" t="e">
        <f t="shared" si="55"/>
        <v>#NAME?</v>
      </c>
      <c r="E109" s="27" t="e">
        <f t="shared" si="56"/>
        <v>#NAME?</v>
      </c>
      <c r="F109" s="27"/>
      <c r="G109" s="25">
        <f t="shared" si="57"/>
        <v>5839</v>
      </c>
      <c r="H109" s="25" t="e">
        <f t="shared" si="58"/>
        <v>#NAME?</v>
      </c>
      <c r="I109" s="27" t="e">
        <f t="shared" si="59"/>
        <v>#NAME?</v>
      </c>
      <c r="J109" s="27"/>
      <c r="K109" s="25">
        <f t="shared" si="60"/>
        <v>0</v>
      </c>
      <c r="L109" s="25" t="e">
        <f t="shared" si="61"/>
        <v>#NAME?</v>
      </c>
      <c r="M109" s="27" t="e">
        <f t="shared" si="62"/>
        <v>#NAME?</v>
      </c>
      <c r="N109" s="39"/>
      <c r="O109" s="36" t="str">
        <f t="shared" si="63"/>
        <v>Piedmont</v>
      </c>
      <c r="P109" s="26" t="e">
        <f t="shared" si="64"/>
        <v>#NAME?</v>
      </c>
      <c r="Q109" s="27" t="e">
        <f t="shared" si="65"/>
        <v>#VALUE!</v>
      </c>
      <c r="R109" s="27"/>
      <c r="S109" s="26">
        <f t="shared" si="66"/>
        <v>14392</v>
      </c>
      <c r="T109" s="26" t="e">
        <f t="shared" si="67"/>
        <v>#NAME?</v>
      </c>
      <c r="U109" s="27" t="e">
        <f t="shared" si="68"/>
        <v>#NAME?</v>
      </c>
      <c r="V109" s="27"/>
      <c r="W109" s="26">
        <f t="shared" si="69"/>
        <v>6304</v>
      </c>
      <c r="X109" s="26" t="e">
        <f t="shared" si="70"/>
        <v>#NAME?</v>
      </c>
      <c r="Y109" s="27" t="e">
        <f t="shared" si="71"/>
        <v>#NAME?</v>
      </c>
    </row>
    <row r="110" spans="1:25" ht="16.5" customHeight="1" x14ac:dyDescent="0.3">
      <c r="A110" s="16" t="s">
        <v>142</v>
      </c>
      <c r="B110" s="32" t="s">
        <v>143</v>
      </c>
      <c r="C110" s="25">
        <f t="shared" si="54"/>
        <v>2430</v>
      </c>
      <c r="D110" s="25" t="e">
        <f t="shared" si="55"/>
        <v>#NAME?</v>
      </c>
      <c r="E110" s="27" t="e">
        <f t="shared" si="56"/>
        <v>#NAME?</v>
      </c>
      <c r="F110" s="27"/>
      <c r="G110" s="25">
        <f t="shared" si="57"/>
        <v>1929</v>
      </c>
      <c r="H110" s="25" t="e">
        <f t="shared" si="58"/>
        <v>#NAME?</v>
      </c>
      <c r="I110" s="27" t="e">
        <f t="shared" si="59"/>
        <v>#NAME?</v>
      </c>
      <c r="J110" s="27"/>
      <c r="K110" s="25">
        <f t="shared" si="60"/>
        <v>0</v>
      </c>
      <c r="L110" s="25" t="e">
        <f t="shared" si="61"/>
        <v>#NAME?</v>
      </c>
      <c r="M110" s="27" t="e">
        <f t="shared" si="62"/>
        <v>#NAME?</v>
      </c>
      <c r="N110" s="39"/>
      <c r="O110" s="36" t="str">
        <f t="shared" si="63"/>
        <v>Northern</v>
      </c>
      <c r="P110" s="26" t="e">
        <f t="shared" si="64"/>
        <v>#NAME?</v>
      </c>
      <c r="Q110" s="27" t="e">
        <f t="shared" si="65"/>
        <v>#VALUE!</v>
      </c>
      <c r="R110" s="27"/>
      <c r="S110" s="26">
        <f t="shared" si="66"/>
        <v>4359</v>
      </c>
      <c r="T110" s="26" t="e">
        <f t="shared" si="67"/>
        <v>#NAME?</v>
      </c>
      <c r="U110" s="27" t="e">
        <f t="shared" si="68"/>
        <v>#NAME?</v>
      </c>
      <c r="V110" s="27"/>
      <c r="W110" s="26">
        <f t="shared" si="69"/>
        <v>2686</v>
      </c>
      <c r="X110" s="26" t="e">
        <f t="shared" si="70"/>
        <v>#NAME?</v>
      </c>
      <c r="Y110" s="27" t="e">
        <f t="shared" si="71"/>
        <v>#NAME?</v>
      </c>
    </row>
    <row r="111" spans="1:25" ht="16.5" customHeight="1" x14ac:dyDescent="0.3">
      <c r="A111" s="16" t="s">
        <v>144</v>
      </c>
      <c r="B111" s="17" t="s">
        <v>145</v>
      </c>
      <c r="C111" s="25">
        <f t="shared" si="54"/>
        <v>773</v>
      </c>
      <c r="D111" s="25" t="e">
        <f t="shared" si="55"/>
        <v>#NAME?</v>
      </c>
      <c r="E111" s="27" t="e">
        <f t="shared" si="56"/>
        <v>#NAME?</v>
      </c>
      <c r="F111" s="27"/>
      <c r="G111" s="25">
        <f t="shared" si="57"/>
        <v>581</v>
      </c>
      <c r="H111" s="25" t="e">
        <f t="shared" si="58"/>
        <v>#NAME?</v>
      </c>
      <c r="I111" s="27" t="e">
        <f t="shared" si="59"/>
        <v>#NAME?</v>
      </c>
      <c r="J111" s="27"/>
      <c r="K111" s="25">
        <f t="shared" si="60"/>
        <v>0</v>
      </c>
      <c r="L111" s="25" t="e">
        <f t="shared" si="61"/>
        <v>#NAME?</v>
      </c>
      <c r="M111" s="27" t="e">
        <f t="shared" si="62"/>
        <v>#NAME?</v>
      </c>
      <c r="N111" s="39"/>
      <c r="O111" s="36" t="str">
        <f t="shared" si="63"/>
        <v>Northern</v>
      </c>
      <c r="P111" s="26" t="e">
        <f t="shared" si="64"/>
        <v>#NAME?</v>
      </c>
      <c r="Q111" s="27" t="e">
        <f t="shared" si="65"/>
        <v>#VALUE!</v>
      </c>
      <c r="R111" s="27"/>
      <c r="S111" s="26">
        <f t="shared" si="66"/>
        <v>1354</v>
      </c>
      <c r="T111" s="26" t="e">
        <f t="shared" si="67"/>
        <v>#NAME?</v>
      </c>
      <c r="U111" s="27" t="e">
        <f t="shared" si="68"/>
        <v>#NAME?</v>
      </c>
      <c r="V111" s="27"/>
      <c r="W111" s="26">
        <f t="shared" si="69"/>
        <v>766</v>
      </c>
      <c r="X111" s="26" t="e">
        <f t="shared" si="70"/>
        <v>#NAME?</v>
      </c>
      <c r="Y111" s="27" t="e">
        <f t="shared" si="71"/>
        <v>#NAME?</v>
      </c>
    </row>
    <row r="112" spans="1:25" ht="16.5" customHeight="1" x14ac:dyDescent="0.3">
      <c r="A112" s="16" t="s">
        <v>158</v>
      </c>
      <c r="B112" s="17" t="s">
        <v>159</v>
      </c>
      <c r="C112" s="25">
        <f t="shared" si="54"/>
        <v>24416</v>
      </c>
      <c r="D112" s="25" t="e">
        <f t="shared" si="55"/>
        <v>#NAME?</v>
      </c>
      <c r="E112" s="27" t="e">
        <f t="shared" si="56"/>
        <v>#NAME?</v>
      </c>
      <c r="F112" s="27"/>
      <c r="G112" s="25">
        <f t="shared" si="57"/>
        <v>16447</v>
      </c>
      <c r="H112" s="25" t="e">
        <f t="shared" si="58"/>
        <v>#NAME?</v>
      </c>
      <c r="I112" s="27" t="e">
        <f t="shared" si="59"/>
        <v>#NAME?</v>
      </c>
      <c r="J112" s="27"/>
      <c r="K112" s="25">
        <f t="shared" si="60"/>
        <v>0</v>
      </c>
      <c r="L112" s="25" t="e">
        <f t="shared" si="61"/>
        <v>#NAME?</v>
      </c>
      <c r="M112" s="27" t="e">
        <f t="shared" si="62"/>
        <v>#NAME?</v>
      </c>
      <c r="N112" s="39"/>
      <c r="O112" s="36" t="str">
        <f t="shared" si="63"/>
        <v>Eastern</v>
      </c>
      <c r="P112" s="26" t="e">
        <f t="shared" si="64"/>
        <v>#NAME?</v>
      </c>
      <c r="Q112" s="27" t="e">
        <f t="shared" si="65"/>
        <v>#VALUE!</v>
      </c>
      <c r="R112" s="27"/>
      <c r="S112" s="26">
        <f t="shared" si="66"/>
        <v>40863</v>
      </c>
      <c r="T112" s="26" t="e">
        <f t="shared" si="67"/>
        <v>#NAME?</v>
      </c>
      <c r="U112" s="27" t="e">
        <f t="shared" si="68"/>
        <v>#NAME?</v>
      </c>
      <c r="V112" s="27"/>
      <c r="W112" s="26">
        <f t="shared" si="69"/>
        <v>18945</v>
      </c>
      <c r="X112" s="26" t="e">
        <f t="shared" si="70"/>
        <v>#NAME?</v>
      </c>
      <c r="Y112" s="27" t="e">
        <f t="shared" si="71"/>
        <v>#NAME?</v>
      </c>
    </row>
    <row r="113" spans="1:25" ht="16.5" customHeight="1" x14ac:dyDescent="0.3">
      <c r="A113" s="16" t="s">
        <v>160</v>
      </c>
      <c r="B113" s="17" t="s">
        <v>161</v>
      </c>
      <c r="C113" s="25">
        <f t="shared" si="54"/>
        <v>29176</v>
      </c>
      <c r="D113" s="25" t="e">
        <f t="shared" si="55"/>
        <v>#NAME?</v>
      </c>
      <c r="E113" s="27" t="e">
        <f t="shared" si="56"/>
        <v>#NAME?</v>
      </c>
      <c r="F113" s="27"/>
      <c r="G113" s="25">
        <f t="shared" si="57"/>
        <v>19759</v>
      </c>
      <c r="H113" s="25" t="e">
        <f t="shared" si="58"/>
        <v>#NAME?</v>
      </c>
      <c r="I113" s="27" t="e">
        <f t="shared" si="59"/>
        <v>#NAME?</v>
      </c>
      <c r="J113" s="27"/>
      <c r="K113" s="25">
        <f t="shared" si="60"/>
        <v>2</v>
      </c>
      <c r="L113" s="25" t="e">
        <f t="shared" si="61"/>
        <v>#NAME?</v>
      </c>
      <c r="M113" s="27" t="e">
        <f t="shared" si="62"/>
        <v>#NAME?</v>
      </c>
      <c r="N113" s="39"/>
      <c r="O113" s="36" t="str">
        <f t="shared" si="63"/>
        <v>Eastern</v>
      </c>
      <c r="P113" s="26" t="e">
        <f t="shared" si="64"/>
        <v>#NAME?</v>
      </c>
      <c r="Q113" s="27" t="e">
        <f t="shared" si="65"/>
        <v>#VALUE!</v>
      </c>
      <c r="R113" s="27"/>
      <c r="S113" s="26">
        <f t="shared" si="66"/>
        <v>48937</v>
      </c>
      <c r="T113" s="26" t="e">
        <f t="shared" si="67"/>
        <v>#NAME?</v>
      </c>
      <c r="U113" s="27" t="e">
        <f t="shared" si="68"/>
        <v>#NAME?</v>
      </c>
      <c r="V113" s="27"/>
      <c r="W113" s="26">
        <f t="shared" si="69"/>
        <v>21807</v>
      </c>
      <c r="X113" s="26" t="e">
        <f t="shared" si="70"/>
        <v>#NAME?</v>
      </c>
      <c r="Y113" s="27" t="e">
        <f t="shared" si="71"/>
        <v>#NAME?</v>
      </c>
    </row>
    <row r="114" spans="1:25" ht="16.5" customHeight="1" x14ac:dyDescent="0.3">
      <c r="A114" s="16" t="s">
        <v>166</v>
      </c>
      <c r="B114" s="32" t="s">
        <v>167</v>
      </c>
      <c r="C114" s="25">
        <f t="shared" si="54"/>
        <v>744</v>
      </c>
      <c r="D114" s="25" t="e">
        <f t="shared" si="55"/>
        <v>#NAME?</v>
      </c>
      <c r="E114" s="27" t="e">
        <f t="shared" si="56"/>
        <v>#NAME?</v>
      </c>
      <c r="F114" s="27"/>
      <c r="G114" s="25">
        <f t="shared" si="57"/>
        <v>489</v>
      </c>
      <c r="H114" s="25" t="e">
        <f t="shared" si="58"/>
        <v>#NAME?</v>
      </c>
      <c r="I114" s="27" t="e">
        <f t="shared" si="59"/>
        <v>#NAME?</v>
      </c>
      <c r="J114" s="27"/>
      <c r="K114" s="25">
        <f t="shared" si="60"/>
        <v>0</v>
      </c>
      <c r="L114" s="25" t="e">
        <f t="shared" si="61"/>
        <v>#NAME?</v>
      </c>
      <c r="M114" s="27" t="e">
        <f t="shared" si="62"/>
        <v>#NAME?</v>
      </c>
      <c r="N114" s="39"/>
      <c r="O114" s="36" t="str">
        <f t="shared" si="63"/>
        <v>Western</v>
      </c>
      <c r="P114" s="26" t="e">
        <f t="shared" si="64"/>
        <v>#NAME?</v>
      </c>
      <c r="Q114" s="27" t="e">
        <f t="shared" si="65"/>
        <v>#VALUE!</v>
      </c>
      <c r="R114" s="27"/>
      <c r="S114" s="26">
        <f t="shared" si="66"/>
        <v>1233</v>
      </c>
      <c r="T114" s="26" t="e">
        <f t="shared" si="67"/>
        <v>#NAME?</v>
      </c>
      <c r="U114" s="27" t="e">
        <f t="shared" si="68"/>
        <v>#NAME?</v>
      </c>
      <c r="V114" s="27"/>
      <c r="W114" s="26">
        <f t="shared" si="69"/>
        <v>419</v>
      </c>
      <c r="X114" s="26" t="e">
        <f t="shared" si="70"/>
        <v>#NAME?</v>
      </c>
      <c r="Y114" s="27" t="e">
        <f t="shared" si="71"/>
        <v>#NAME?</v>
      </c>
    </row>
    <row r="115" spans="1:25" ht="16.5" customHeight="1" x14ac:dyDescent="0.3">
      <c r="A115" s="16" t="s">
        <v>176</v>
      </c>
      <c r="B115" s="32" t="s">
        <v>177</v>
      </c>
      <c r="C115" s="25">
        <f t="shared" si="54"/>
        <v>7271</v>
      </c>
      <c r="D115" s="25" t="e">
        <f t="shared" si="55"/>
        <v>#NAME?</v>
      </c>
      <c r="E115" s="27" t="e">
        <f t="shared" si="56"/>
        <v>#NAME?</v>
      </c>
      <c r="F115" s="27"/>
      <c r="G115" s="25">
        <f t="shared" si="57"/>
        <v>5499</v>
      </c>
      <c r="H115" s="25" t="e">
        <f t="shared" si="58"/>
        <v>#NAME?</v>
      </c>
      <c r="I115" s="27" t="e">
        <f t="shared" si="59"/>
        <v>#NAME?</v>
      </c>
      <c r="J115" s="27"/>
      <c r="K115" s="25">
        <f t="shared" si="60"/>
        <v>0</v>
      </c>
      <c r="L115" s="25" t="e">
        <f t="shared" si="61"/>
        <v>#NAME?</v>
      </c>
      <c r="M115" s="27" t="e">
        <f t="shared" si="62"/>
        <v>#NAME?</v>
      </c>
      <c r="N115" s="39"/>
      <c r="O115" s="36" t="str">
        <f t="shared" si="63"/>
        <v>Central</v>
      </c>
      <c r="P115" s="26" t="e">
        <f t="shared" si="64"/>
        <v>#NAME?</v>
      </c>
      <c r="Q115" s="27" t="e">
        <f t="shared" si="65"/>
        <v>#VALUE!</v>
      </c>
      <c r="R115" s="27"/>
      <c r="S115" s="26">
        <f t="shared" si="66"/>
        <v>12770</v>
      </c>
      <c r="T115" s="26" t="e">
        <f t="shared" si="67"/>
        <v>#NAME?</v>
      </c>
      <c r="U115" s="27" t="e">
        <f t="shared" si="68"/>
        <v>#NAME?</v>
      </c>
      <c r="V115" s="27"/>
      <c r="W115" s="26">
        <f t="shared" si="69"/>
        <v>4883</v>
      </c>
      <c r="X115" s="26" t="e">
        <f t="shared" si="70"/>
        <v>#NAME?</v>
      </c>
      <c r="Y115" s="27" t="e">
        <f t="shared" si="71"/>
        <v>#NAME?</v>
      </c>
    </row>
    <row r="116" spans="1:25" ht="16.5" customHeight="1" x14ac:dyDescent="0.3">
      <c r="A116" s="16" t="s">
        <v>180</v>
      </c>
      <c r="B116" s="17" t="s">
        <v>181</v>
      </c>
      <c r="C116" s="25">
        <f t="shared" si="54"/>
        <v>15876</v>
      </c>
      <c r="D116" s="25" t="e">
        <f t="shared" si="55"/>
        <v>#NAME?</v>
      </c>
      <c r="E116" s="27" t="e">
        <f t="shared" si="56"/>
        <v>#NAME?</v>
      </c>
      <c r="F116" s="27"/>
      <c r="G116" s="25">
        <f t="shared" si="57"/>
        <v>11076</v>
      </c>
      <c r="H116" s="25" t="e">
        <f t="shared" si="58"/>
        <v>#NAME?</v>
      </c>
      <c r="I116" s="27" t="e">
        <f t="shared" si="59"/>
        <v>#NAME?</v>
      </c>
      <c r="J116" s="27"/>
      <c r="K116" s="25">
        <f t="shared" si="60"/>
        <v>0</v>
      </c>
      <c r="L116" s="25" t="e">
        <f t="shared" si="61"/>
        <v>#NAME?</v>
      </c>
      <c r="M116" s="27" t="e">
        <f t="shared" si="62"/>
        <v>#NAME?</v>
      </c>
      <c r="N116" s="39"/>
      <c r="O116" s="36" t="str">
        <f t="shared" si="63"/>
        <v>Eastern</v>
      </c>
      <c r="P116" s="26" t="e">
        <f t="shared" si="64"/>
        <v>#NAME?</v>
      </c>
      <c r="Q116" s="27" t="e">
        <f t="shared" si="65"/>
        <v>#VALUE!</v>
      </c>
      <c r="R116" s="27"/>
      <c r="S116" s="26">
        <f t="shared" si="66"/>
        <v>26952</v>
      </c>
      <c r="T116" s="26" t="e">
        <f t="shared" si="67"/>
        <v>#NAME?</v>
      </c>
      <c r="U116" s="27" t="e">
        <f t="shared" si="68"/>
        <v>#NAME?</v>
      </c>
      <c r="V116" s="27"/>
      <c r="W116" s="26">
        <f t="shared" si="69"/>
        <v>11823</v>
      </c>
      <c r="X116" s="26" t="e">
        <f t="shared" si="70"/>
        <v>#NAME?</v>
      </c>
      <c r="Y116" s="27" t="e">
        <f t="shared" si="71"/>
        <v>#NAME?</v>
      </c>
    </row>
    <row r="117" spans="1:25" ht="16.5" customHeight="1" x14ac:dyDescent="0.3">
      <c r="A117" s="16" t="s">
        <v>192</v>
      </c>
      <c r="B117" s="17" t="s">
        <v>193</v>
      </c>
      <c r="C117" s="25">
        <f t="shared" si="54"/>
        <v>1150</v>
      </c>
      <c r="D117" s="25" t="e">
        <f t="shared" si="55"/>
        <v>#NAME?</v>
      </c>
      <c r="E117" s="27" t="e">
        <f t="shared" si="56"/>
        <v>#NAME?</v>
      </c>
      <c r="F117" s="27"/>
      <c r="G117" s="25">
        <f t="shared" si="57"/>
        <v>848</v>
      </c>
      <c r="H117" s="25" t="e">
        <f t="shared" si="58"/>
        <v>#NAME?</v>
      </c>
      <c r="I117" s="27" t="e">
        <f t="shared" si="59"/>
        <v>#NAME?</v>
      </c>
      <c r="J117" s="27"/>
      <c r="K117" s="25">
        <f t="shared" si="60"/>
        <v>0</v>
      </c>
      <c r="L117" s="25" t="e">
        <f t="shared" si="61"/>
        <v>#NAME?</v>
      </c>
      <c r="M117" s="27" t="e">
        <f t="shared" si="62"/>
        <v>#NAME?</v>
      </c>
      <c r="N117" s="39"/>
      <c r="O117" s="36" t="str">
        <f t="shared" si="63"/>
        <v>Western</v>
      </c>
      <c r="P117" s="26" t="e">
        <f t="shared" si="64"/>
        <v>#NAME?</v>
      </c>
      <c r="Q117" s="27" t="e">
        <f t="shared" si="65"/>
        <v>#VALUE!</v>
      </c>
      <c r="R117" s="27"/>
      <c r="S117" s="26">
        <f t="shared" si="66"/>
        <v>1998</v>
      </c>
      <c r="T117" s="26" t="e">
        <f t="shared" si="67"/>
        <v>#NAME?</v>
      </c>
      <c r="U117" s="27" t="e">
        <f t="shared" si="68"/>
        <v>#NAME?</v>
      </c>
      <c r="V117" s="27"/>
      <c r="W117" s="26">
        <f t="shared" si="69"/>
        <v>827</v>
      </c>
      <c r="X117" s="26" t="e">
        <f t="shared" si="70"/>
        <v>#NAME?</v>
      </c>
      <c r="Y117" s="27" t="e">
        <f t="shared" si="71"/>
        <v>#NAME?</v>
      </c>
    </row>
    <row r="118" spans="1:25" ht="16.5" customHeight="1" x14ac:dyDescent="0.3">
      <c r="A118" s="16" t="s">
        <v>196</v>
      </c>
      <c r="B118" s="32" t="s">
        <v>300</v>
      </c>
      <c r="C118" s="25">
        <f t="shared" si="54"/>
        <v>29459</v>
      </c>
      <c r="D118" s="25" t="e">
        <f t="shared" si="55"/>
        <v>#NAME?</v>
      </c>
      <c r="E118" s="27" t="e">
        <f t="shared" si="56"/>
        <v>#NAME?</v>
      </c>
      <c r="F118" s="27"/>
      <c r="G118" s="25">
        <f t="shared" si="57"/>
        <v>21856</v>
      </c>
      <c r="H118" s="25" t="e">
        <f t="shared" si="58"/>
        <v>#NAME?</v>
      </c>
      <c r="I118" s="27" t="e">
        <f t="shared" si="59"/>
        <v>#NAME?</v>
      </c>
      <c r="J118" s="27"/>
      <c r="K118" s="25">
        <f t="shared" si="60"/>
        <v>0</v>
      </c>
      <c r="L118" s="25" t="e">
        <f t="shared" si="61"/>
        <v>#NAME?</v>
      </c>
      <c r="M118" s="27" t="e">
        <f t="shared" si="62"/>
        <v>#NAME?</v>
      </c>
      <c r="N118" s="39"/>
      <c r="O118" s="36" t="str">
        <f t="shared" si="63"/>
        <v>Central</v>
      </c>
      <c r="P118" s="26" t="e">
        <f t="shared" si="64"/>
        <v>#NAME?</v>
      </c>
      <c r="Q118" s="27" t="e">
        <f t="shared" si="65"/>
        <v>#VALUE!</v>
      </c>
      <c r="R118" s="27"/>
      <c r="S118" s="26">
        <f t="shared" si="66"/>
        <v>51315</v>
      </c>
      <c r="T118" s="26" t="e">
        <f t="shared" si="67"/>
        <v>#NAME?</v>
      </c>
      <c r="U118" s="27" t="e">
        <f t="shared" si="68"/>
        <v>#NAME?</v>
      </c>
      <c r="V118" s="27"/>
      <c r="W118" s="26">
        <f t="shared" si="69"/>
        <v>21722</v>
      </c>
      <c r="X118" s="26" t="e">
        <f t="shared" si="70"/>
        <v>#NAME?</v>
      </c>
      <c r="Y118" s="27" t="e">
        <f t="shared" si="71"/>
        <v>#NAME?</v>
      </c>
    </row>
    <row r="119" spans="1:25" ht="16.5" customHeight="1" x14ac:dyDescent="0.3">
      <c r="A119" s="16" t="s">
        <v>200</v>
      </c>
      <c r="B119" s="32" t="s">
        <v>301</v>
      </c>
      <c r="C119" s="25">
        <f t="shared" si="54"/>
        <v>15455</v>
      </c>
      <c r="D119" s="25" t="e">
        <f t="shared" si="55"/>
        <v>#NAME?</v>
      </c>
      <c r="E119" s="27" t="e">
        <f t="shared" si="56"/>
        <v>#NAME?</v>
      </c>
      <c r="F119" s="27"/>
      <c r="G119" s="25">
        <f t="shared" si="57"/>
        <v>11575</v>
      </c>
      <c r="H119" s="25" t="e">
        <f t="shared" si="58"/>
        <v>#NAME?</v>
      </c>
      <c r="I119" s="27" t="e">
        <f t="shared" si="59"/>
        <v>#NAME?</v>
      </c>
      <c r="J119" s="27"/>
      <c r="K119" s="25">
        <f t="shared" si="60"/>
        <v>0</v>
      </c>
      <c r="L119" s="25" t="e">
        <f t="shared" si="61"/>
        <v>#NAME?</v>
      </c>
      <c r="M119" s="27" t="e">
        <f t="shared" si="62"/>
        <v>#NAME?</v>
      </c>
      <c r="N119" s="39"/>
      <c r="O119" s="36" t="str">
        <f t="shared" si="63"/>
        <v>Piedmont</v>
      </c>
      <c r="P119" s="26" t="e">
        <f t="shared" si="64"/>
        <v>#NAME?</v>
      </c>
      <c r="Q119" s="27" t="e">
        <f t="shared" si="65"/>
        <v>#VALUE!</v>
      </c>
      <c r="R119" s="27"/>
      <c r="S119" s="26">
        <f t="shared" si="66"/>
        <v>27030</v>
      </c>
      <c r="T119" s="26" t="e">
        <f t="shared" si="67"/>
        <v>#NAME?</v>
      </c>
      <c r="U119" s="27" t="e">
        <f t="shared" si="68"/>
        <v>#NAME?</v>
      </c>
      <c r="V119" s="27"/>
      <c r="W119" s="26">
        <f t="shared" si="69"/>
        <v>11636</v>
      </c>
      <c r="X119" s="26" t="e">
        <f t="shared" si="70"/>
        <v>#NAME?</v>
      </c>
      <c r="Y119" s="27" t="e">
        <f t="shared" si="71"/>
        <v>#NAME?</v>
      </c>
    </row>
    <row r="120" spans="1:25" ht="16.5" customHeight="1" x14ac:dyDescent="0.3">
      <c r="A120" s="16" t="s">
        <v>222</v>
      </c>
      <c r="B120" s="17" t="s">
        <v>223</v>
      </c>
      <c r="C120" s="25">
        <f t="shared" si="54"/>
        <v>8393</v>
      </c>
      <c r="D120" s="25" t="e">
        <f t="shared" si="55"/>
        <v>#NAME?</v>
      </c>
      <c r="E120" s="27" t="e">
        <f t="shared" si="56"/>
        <v>#NAME?</v>
      </c>
      <c r="F120" s="27"/>
      <c r="G120" s="25">
        <f t="shared" si="57"/>
        <v>6018</v>
      </c>
      <c r="H120" s="25" t="e">
        <f t="shared" si="58"/>
        <v>#NAME?</v>
      </c>
      <c r="I120" s="27" t="e">
        <f t="shared" si="59"/>
        <v>#NAME?</v>
      </c>
      <c r="J120" s="27"/>
      <c r="K120" s="25">
        <f t="shared" si="60"/>
        <v>0</v>
      </c>
      <c r="L120" s="25" t="e">
        <f t="shared" si="61"/>
        <v>#NAME?</v>
      </c>
      <c r="M120" s="27" t="e">
        <f t="shared" si="62"/>
        <v>#NAME?</v>
      </c>
      <c r="N120" s="39"/>
      <c r="O120" s="36" t="str">
        <f t="shared" si="63"/>
        <v>Eastern</v>
      </c>
      <c r="P120" s="26" t="e">
        <f t="shared" si="64"/>
        <v>#NAME?</v>
      </c>
      <c r="Q120" s="27" t="e">
        <f t="shared" si="65"/>
        <v>#VALUE!</v>
      </c>
      <c r="R120" s="27"/>
      <c r="S120" s="26">
        <f t="shared" si="66"/>
        <v>14411</v>
      </c>
      <c r="T120" s="26" t="e">
        <f t="shared" si="67"/>
        <v>#NAME?</v>
      </c>
      <c r="U120" s="27" t="e">
        <f t="shared" si="68"/>
        <v>#NAME?</v>
      </c>
      <c r="V120" s="27"/>
      <c r="W120" s="26">
        <f t="shared" si="69"/>
        <v>6346</v>
      </c>
      <c r="X120" s="26" t="e">
        <f t="shared" si="70"/>
        <v>#NAME?</v>
      </c>
      <c r="Y120" s="27" t="e">
        <f t="shared" si="71"/>
        <v>#NAME?</v>
      </c>
    </row>
    <row r="121" spans="1:25" ht="16.5" customHeight="1" x14ac:dyDescent="0.3">
      <c r="A121" s="16" t="s">
        <v>230</v>
      </c>
      <c r="B121" s="17" t="s">
        <v>231</v>
      </c>
      <c r="C121" s="25">
        <f t="shared" si="54"/>
        <v>22912</v>
      </c>
      <c r="D121" s="25" t="e">
        <f t="shared" si="55"/>
        <v>#NAME?</v>
      </c>
      <c r="E121" s="27" t="e">
        <f t="shared" si="56"/>
        <v>#NAME?</v>
      </c>
      <c r="F121" s="27"/>
      <c r="G121" s="25">
        <f t="shared" si="57"/>
        <v>15709</v>
      </c>
      <c r="H121" s="25" t="e">
        <f t="shared" si="58"/>
        <v>#NAME?</v>
      </c>
      <c r="I121" s="27" t="e">
        <f t="shared" si="59"/>
        <v>#NAME?</v>
      </c>
      <c r="J121" s="27"/>
      <c r="K121" s="25">
        <f t="shared" si="60"/>
        <v>0</v>
      </c>
      <c r="L121" s="25" t="e">
        <f t="shared" si="61"/>
        <v>#NAME?</v>
      </c>
      <c r="M121" s="27" t="e">
        <f t="shared" si="62"/>
        <v>#NAME?</v>
      </c>
      <c r="N121" s="39"/>
      <c r="O121" s="36" t="str">
        <f t="shared" si="63"/>
        <v>Eastern</v>
      </c>
      <c r="P121" s="26" t="e">
        <f t="shared" si="64"/>
        <v>#NAME?</v>
      </c>
      <c r="Q121" s="27" t="e">
        <f t="shared" si="65"/>
        <v>#VALUE!</v>
      </c>
      <c r="R121" s="27"/>
      <c r="S121" s="26">
        <f t="shared" si="66"/>
        <v>38621</v>
      </c>
      <c r="T121" s="26" t="e">
        <f t="shared" si="67"/>
        <v>#NAME?</v>
      </c>
      <c r="U121" s="27" t="e">
        <f t="shared" si="68"/>
        <v>#NAME?</v>
      </c>
      <c r="V121" s="27"/>
      <c r="W121" s="26">
        <f t="shared" si="69"/>
        <v>17520</v>
      </c>
      <c r="X121" s="26" t="e">
        <f t="shared" si="70"/>
        <v>#NAME?</v>
      </c>
      <c r="Y121" s="27" t="e">
        <f t="shared" si="71"/>
        <v>#NAME?</v>
      </c>
    </row>
    <row r="122" spans="1:25" ht="16.5" customHeight="1" x14ac:dyDescent="0.3">
      <c r="A122" s="16" t="s">
        <v>238</v>
      </c>
      <c r="B122" s="17" t="s">
        <v>239</v>
      </c>
      <c r="C122" s="25">
        <f t="shared" si="54"/>
        <v>978</v>
      </c>
      <c r="D122" s="25" t="e">
        <f t="shared" si="55"/>
        <v>#NAME?</v>
      </c>
      <c r="E122" s="27" t="e">
        <f t="shared" si="56"/>
        <v>#NAME?</v>
      </c>
      <c r="F122" s="27"/>
      <c r="G122" s="25">
        <f t="shared" si="57"/>
        <v>768</v>
      </c>
      <c r="H122" s="25" t="e">
        <f t="shared" si="58"/>
        <v>#NAME?</v>
      </c>
      <c r="I122" s="27" t="e">
        <f t="shared" si="59"/>
        <v>#NAME?</v>
      </c>
      <c r="J122" s="27"/>
      <c r="K122" s="25">
        <f t="shared" si="60"/>
        <v>0</v>
      </c>
      <c r="L122" s="25" t="e">
        <f t="shared" si="61"/>
        <v>#NAME?</v>
      </c>
      <c r="M122" s="27" t="e">
        <f t="shared" si="62"/>
        <v>#NAME?</v>
      </c>
      <c r="N122" s="39"/>
      <c r="O122" s="36" t="str">
        <f t="shared" si="63"/>
        <v>Eastern</v>
      </c>
      <c r="P122" s="26" t="e">
        <f t="shared" si="64"/>
        <v>#NAME?</v>
      </c>
      <c r="Q122" s="27" t="e">
        <f t="shared" si="65"/>
        <v>#VALUE!</v>
      </c>
      <c r="R122" s="27"/>
      <c r="S122" s="26">
        <f t="shared" si="66"/>
        <v>1746</v>
      </c>
      <c r="T122" s="26" t="e">
        <f t="shared" si="67"/>
        <v>#NAME?</v>
      </c>
      <c r="U122" s="27" t="e">
        <f t="shared" si="68"/>
        <v>#NAME?</v>
      </c>
      <c r="V122" s="27"/>
      <c r="W122" s="26">
        <f t="shared" si="69"/>
        <v>765</v>
      </c>
      <c r="X122" s="26" t="e">
        <f t="shared" si="70"/>
        <v>#NAME?</v>
      </c>
      <c r="Y122" s="27" t="e">
        <f t="shared" si="71"/>
        <v>#NAME?</v>
      </c>
    </row>
    <row r="123" spans="1:25" ht="16.5" customHeight="1" x14ac:dyDescent="0.3">
      <c r="A123" s="16" t="s">
        <v>240</v>
      </c>
      <c r="B123" s="32" t="s">
        <v>241</v>
      </c>
      <c r="C123" s="25">
        <f t="shared" si="54"/>
        <v>2636</v>
      </c>
      <c r="D123" s="25" t="e">
        <f t="shared" si="55"/>
        <v>#NAME?</v>
      </c>
      <c r="E123" s="27" t="e">
        <f t="shared" si="56"/>
        <v>#NAME?</v>
      </c>
      <c r="F123" s="27"/>
      <c r="G123" s="25">
        <f t="shared" si="57"/>
        <v>2130</v>
      </c>
      <c r="H123" s="25" t="e">
        <f t="shared" si="58"/>
        <v>#NAME?</v>
      </c>
      <c r="I123" s="27" t="e">
        <f t="shared" si="59"/>
        <v>#NAME?</v>
      </c>
      <c r="J123" s="27"/>
      <c r="K123" s="25">
        <f t="shared" si="60"/>
        <v>0</v>
      </c>
      <c r="L123" s="25" t="e">
        <f t="shared" si="61"/>
        <v>#NAME?</v>
      </c>
      <c r="M123" s="27" t="e">
        <f t="shared" si="62"/>
        <v>#NAME?</v>
      </c>
      <c r="N123" s="39"/>
      <c r="O123" s="36" t="str">
        <f t="shared" si="63"/>
        <v>Northern</v>
      </c>
      <c r="P123" s="26" t="e">
        <f t="shared" si="64"/>
        <v>#NAME?</v>
      </c>
      <c r="Q123" s="27" t="e">
        <f t="shared" si="65"/>
        <v>#VALUE!</v>
      </c>
      <c r="R123" s="27"/>
      <c r="S123" s="26">
        <f t="shared" si="66"/>
        <v>4766</v>
      </c>
      <c r="T123" s="26" t="e">
        <f t="shared" si="67"/>
        <v>#NAME?</v>
      </c>
      <c r="U123" s="27" t="e">
        <f t="shared" si="68"/>
        <v>#NAME?</v>
      </c>
      <c r="V123" s="27"/>
      <c r="W123" s="26">
        <f t="shared" si="69"/>
        <v>2254</v>
      </c>
      <c r="X123" s="26" t="e">
        <f t="shared" si="70"/>
        <v>#NAME?</v>
      </c>
      <c r="Y123" s="27" t="e">
        <f t="shared" si="71"/>
        <v>#NAME?</v>
      </c>
    </row>
    <row r="124" spans="1:25" x14ac:dyDescent="0.25">
      <c r="C124" s="28">
        <f>SUM(C4:C123)</f>
        <v>578903</v>
      </c>
      <c r="D124" s="28"/>
      <c r="E124" s="28"/>
      <c r="F124" s="28"/>
      <c r="G124" s="28"/>
      <c r="H124" s="28"/>
      <c r="I124" s="28"/>
      <c r="J124" s="28"/>
      <c r="K124" s="28"/>
      <c r="L124" s="28"/>
    </row>
    <row r="125" spans="1:25" x14ac:dyDescent="0.25">
      <c r="C125" s="28">
        <f>+C124/12</f>
        <v>48241.916666666664</v>
      </c>
      <c r="D125" s="28"/>
      <c r="E125" s="28"/>
      <c r="F125" s="28"/>
      <c r="G125" s="28"/>
      <c r="H125" s="28"/>
      <c r="I125" s="28"/>
      <c r="J125" s="28"/>
      <c r="K125" s="28"/>
      <c r="L125" s="28"/>
    </row>
    <row r="126" spans="1:25" ht="12.75" customHeight="1" x14ac:dyDescent="0.25">
      <c r="A126" s="2777" t="s">
        <v>439</v>
      </c>
      <c r="B126" s="2777"/>
      <c r="C126" s="2778"/>
      <c r="D126" s="19"/>
      <c r="E126" s="19"/>
      <c r="F126" s="19"/>
      <c r="G126" s="19"/>
      <c r="H126" s="19"/>
      <c r="I126" s="19"/>
      <c r="J126" s="19"/>
      <c r="K126" s="19"/>
      <c r="L126" s="19"/>
    </row>
    <row r="127" spans="1:25" x14ac:dyDescent="0.25">
      <c r="A127" s="18" t="s">
        <v>440</v>
      </c>
    </row>
  </sheetData>
  <mergeCells count="9">
    <mergeCell ref="C1:M1"/>
    <mergeCell ref="W2:Y2"/>
    <mergeCell ref="O1:Y1"/>
    <mergeCell ref="A126:C126"/>
    <mergeCell ref="C2:E2"/>
    <mergeCell ref="G2:I2"/>
    <mergeCell ref="K2:M2"/>
    <mergeCell ref="O2:Q2"/>
    <mergeCell ref="S2:U2"/>
  </mergeCells>
  <conditionalFormatting sqref="Q4:R123 E4:F123">
    <cfRule type="cellIs" dxfId="3" priority="20" stopIfTrue="1" operator="greaterThan">
      <formula>"&gt;1"</formula>
    </cfRule>
  </conditionalFormatting>
  <conditionalFormatting sqref="Y4:Y123 M4:N123 U4:V123 Q4:R123 I4:J123 E4:F123">
    <cfRule type="cellIs" dxfId="2" priority="19" stopIfTrue="1" operator="greaterThan">
      <formula>1</formula>
    </cfRule>
  </conditionalFormatting>
  <pageMargins left="0.75" right="0.75" top="1" bottom="1" header="0.5" footer="0.5"/>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7" sqref="E7"/>
    </sheetView>
  </sheetViews>
  <sheetFormatPr defaultColWidth="9" defaultRowHeight="13.2" x14ac:dyDescent="0.25"/>
  <cols>
    <col min="1" max="1" width="12.19921875" style="18" customWidth="1"/>
    <col min="2" max="2" width="21.5" style="18" customWidth="1"/>
    <col min="3" max="3" width="10.5" style="18" customWidth="1"/>
    <col min="4" max="4" width="10.59765625" style="18" customWidth="1"/>
    <col min="5" max="5" width="9.69921875" style="18" customWidth="1"/>
    <col min="6" max="6" width="2.59765625" style="18" customWidth="1"/>
    <col min="7" max="7" width="10.19921875" style="18" customWidth="1"/>
    <col min="8" max="8" width="10.09765625" style="18" customWidth="1"/>
    <col min="9" max="9" width="10.796875" style="18" customWidth="1"/>
    <col min="10" max="10" width="2.59765625" style="18" customWidth="1"/>
    <col min="11" max="11" width="11.59765625" style="18" customWidth="1"/>
    <col min="12" max="12" width="11.296875" style="18" customWidth="1"/>
    <col min="13" max="13" width="10.19921875" style="18" customWidth="1"/>
    <col min="14" max="14" width="2.59765625" style="18" customWidth="1"/>
    <col min="15" max="15" width="10.09765625" style="18" customWidth="1"/>
    <col min="16" max="17" width="10" style="18" customWidth="1"/>
    <col min="18" max="18" width="2.59765625" style="18" customWidth="1"/>
    <col min="19" max="19" width="10.59765625" style="18" customWidth="1"/>
    <col min="20" max="20" width="10.5" style="18" customWidth="1"/>
    <col min="21" max="21" width="10.09765625" style="18" customWidth="1"/>
    <col min="22" max="22" width="2.59765625" style="18" customWidth="1"/>
    <col min="23" max="23" width="10.09765625" style="18" customWidth="1"/>
    <col min="24" max="24" width="11.5" style="18" customWidth="1"/>
    <col min="25" max="25" width="11" style="18" customWidth="1"/>
    <col min="26" max="16384" width="9" style="18"/>
  </cols>
  <sheetData>
    <row r="1" spans="1:25" ht="15.6" x14ac:dyDescent="0.3">
      <c r="C1" s="2779" t="s">
        <v>445</v>
      </c>
      <c r="D1" s="2779"/>
      <c r="E1" s="2779"/>
      <c r="F1" s="2779"/>
      <c r="G1" s="2779"/>
      <c r="H1" s="2779"/>
      <c r="I1" s="2779"/>
      <c r="J1" s="2779"/>
      <c r="K1" s="2779"/>
      <c r="L1" s="2779"/>
      <c r="M1" s="2779"/>
      <c r="O1" s="2779" t="s">
        <v>446</v>
      </c>
      <c r="P1" s="2779"/>
      <c r="Q1" s="2779"/>
      <c r="R1" s="2779"/>
      <c r="S1" s="2779"/>
      <c r="T1" s="2779"/>
      <c r="U1" s="2779"/>
      <c r="V1" s="2779"/>
      <c r="W1" s="2779"/>
      <c r="X1" s="2779"/>
      <c r="Y1" s="2779"/>
    </row>
    <row r="2" spans="1:25" x14ac:dyDescent="0.25">
      <c r="C2" s="2775" t="s">
        <v>2</v>
      </c>
      <c r="D2" s="2775"/>
      <c r="E2" s="2775"/>
      <c r="G2" s="2775" t="s">
        <v>314</v>
      </c>
      <c r="H2" s="2775"/>
      <c r="I2" s="2775"/>
      <c r="K2" s="2775" t="s">
        <v>316</v>
      </c>
      <c r="L2" s="2775"/>
      <c r="M2" s="2775"/>
      <c r="N2" s="46"/>
      <c r="O2" s="2775" t="s">
        <v>2</v>
      </c>
      <c r="P2" s="2775"/>
      <c r="Q2" s="2775"/>
      <c r="S2" s="2775" t="s">
        <v>314</v>
      </c>
      <c r="T2" s="2775"/>
      <c r="U2" s="2775"/>
      <c r="W2" s="2775" t="s">
        <v>316</v>
      </c>
      <c r="X2" s="2775"/>
      <c r="Y2" s="2775"/>
    </row>
    <row r="3" spans="1:25" s="21" customFormat="1" ht="71.25" customHeight="1" x14ac:dyDescent="0.3">
      <c r="A3" s="20" t="s">
        <v>293</v>
      </c>
      <c r="B3" s="20" t="s">
        <v>294</v>
      </c>
      <c r="C3" s="23" t="s">
        <v>447</v>
      </c>
      <c r="D3" s="23" t="s">
        <v>448</v>
      </c>
      <c r="E3" s="34" t="s">
        <v>449</v>
      </c>
      <c r="F3" s="38"/>
      <c r="G3" s="23" t="s">
        <v>447</v>
      </c>
      <c r="H3" s="23" t="s">
        <v>448</v>
      </c>
      <c r="I3" s="34" t="s">
        <v>449</v>
      </c>
      <c r="J3" s="38"/>
      <c r="K3" s="23" t="s">
        <v>447</v>
      </c>
      <c r="L3" s="23" t="s">
        <v>448</v>
      </c>
      <c r="M3" s="34" t="s">
        <v>449</v>
      </c>
      <c r="N3" s="38"/>
      <c r="O3" s="23" t="s">
        <v>447</v>
      </c>
      <c r="P3" s="23" t="s">
        <v>448</v>
      </c>
      <c r="Q3" s="34" t="s">
        <v>449</v>
      </c>
      <c r="R3" s="38"/>
      <c r="S3" s="23" t="s">
        <v>447</v>
      </c>
      <c r="T3" s="23" t="s">
        <v>448</v>
      </c>
      <c r="U3" s="34" t="s">
        <v>449</v>
      </c>
      <c r="V3" s="38"/>
      <c r="W3" s="23" t="s">
        <v>447</v>
      </c>
      <c r="X3" s="23" t="s">
        <v>448</v>
      </c>
      <c r="Y3" s="34" t="s">
        <v>449</v>
      </c>
    </row>
    <row r="4" spans="1:25" ht="16.5" customHeight="1" x14ac:dyDescent="0.3">
      <c r="A4" s="16" t="s">
        <v>10</v>
      </c>
      <c r="B4" s="16" t="s">
        <v>11</v>
      </c>
      <c r="C4" s="25">
        <f t="shared" ref="C4:C35" si="0">VLOOKUP(A4,TANFClient_Demo,7,FALSE)</f>
        <v>31</v>
      </c>
      <c r="D4" s="25" t="e">
        <f t="shared" ref="D4:D35" si="1">VLOOKUP(A4,Pop,14,FALSE)</f>
        <v>#NAME?</v>
      </c>
      <c r="E4" s="27" t="e">
        <f t="shared" ref="E4:E35" si="2">+C4/D4</f>
        <v>#NAME?</v>
      </c>
      <c r="F4" s="42"/>
      <c r="G4" s="25">
        <f t="shared" ref="G4:G35" si="3">VLOOKUP(A4,TANFClient_Demo,8,FALSE)</f>
        <v>0</v>
      </c>
      <c r="H4" s="25" t="e">
        <f t="shared" ref="H4:H35" si="4">VLOOKUP(A4,Pop,15,FALSE)</f>
        <v>#NAME?</v>
      </c>
      <c r="I4" s="27" t="e">
        <f t="shared" ref="I4:I35" si="5">+G4/H4</f>
        <v>#NAME?</v>
      </c>
      <c r="J4" s="42"/>
      <c r="K4" s="25">
        <f t="shared" ref="K4:K35" si="6">VLOOKUP(A4,TANFClient_Demo,9,FALSE)</f>
        <v>0</v>
      </c>
      <c r="L4" s="25" t="e">
        <f t="shared" ref="L4:L35" si="7">VLOOKUP(A4,Pop,16,FALSE)</f>
        <v>#NAME?</v>
      </c>
      <c r="M4" s="27" t="e">
        <f t="shared" ref="M4:M35" si="8">+K4/L4</f>
        <v>#NAME?</v>
      </c>
      <c r="N4" s="27"/>
      <c r="O4" s="26" t="str">
        <f t="shared" ref="O4:O35" si="9">VLOOKUP(A4,TANFClient_Demo,3,FALSE)</f>
        <v>Eastern</v>
      </c>
      <c r="P4" s="26" t="e">
        <f t="shared" ref="P4:P35" si="10">VLOOKUP(A4,Pop,8,FALSE)</f>
        <v>#NAME?</v>
      </c>
      <c r="Q4" s="27" t="e">
        <f t="shared" ref="Q4:Q35" si="11">+O4/P4</f>
        <v>#VALUE!</v>
      </c>
      <c r="R4" s="27"/>
      <c r="S4" s="26">
        <f t="shared" ref="S4:S35" si="12">VLOOKUP(A4,TANFClient_Demo,4,FALSE)</f>
        <v>374</v>
      </c>
      <c r="T4" s="26" t="e">
        <f t="shared" ref="T4:T35" si="13">VLOOKUP(A4,Pop,9,FALSE)</f>
        <v>#NAME?</v>
      </c>
      <c r="U4" s="27" t="e">
        <f t="shared" ref="U4:U35" si="14">+S4/T4</f>
        <v>#NAME?</v>
      </c>
      <c r="V4" s="27"/>
      <c r="W4" s="26">
        <f t="shared" ref="W4:W35" si="15">VLOOKUP(A4,TANFClient_Demo,5,FALSE)</f>
        <v>269</v>
      </c>
      <c r="X4" s="26" t="e">
        <f t="shared" ref="X4:X35" si="16">VLOOKUP(A4,Pop,10,FALSE)</f>
        <v>#NAME?</v>
      </c>
      <c r="Y4" s="27" t="e">
        <f t="shared" ref="Y4:Y35" si="17">+W4/X4</f>
        <v>#NAME?</v>
      </c>
    </row>
    <row r="5" spans="1:25" ht="16.5" customHeight="1" x14ac:dyDescent="0.3">
      <c r="A5" s="16" t="s">
        <v>12</v>
      </c>
      <c r="B5" s="16" t="s">
        <v>13</v>
      </c>
      <c r="C5" s="25">
        <f t="shared" si="0"/>
        <v>58</v>
      </c>
      <c r="D5" s="25" t="e">
        <f t="shared" si="1"/>
        <v>#NAME?</v>
      </c>
      <c r="E5" s="27" t="e">
        <f t="shared" si="2"/>
        <v>#NAME?</v>
      </c>
      <c r="F5" s="25"/>
      <c r="G5" s="25">
        <f t="shared" si="3"/>
        <v>0</v>
      </c>
      <c r="H5" s="25" t="e">
        <f t="shared" si="4"/>
        <v>#NAME?</v>
      </c>
      <c r="I5" s="27" t="e">
        <f t="shared" si="5"/>
        <v>#NAME?</v>
      </c>
      <c r="J5" s="25"/>
      <c r="K5" s="25">
        <f t="shared" si="6"/>
        <v>0</v>
      </c>
      <c r="L5" s="25" t="e">
        <f t="shared" si="7"/>
        <v>#NAME?</v>
      </c>
      <c r="M5" s="27" t="e">
        <f t="shared" si="8"/>
        <v>#NAME?</v>
      </c>
      <c r="N5" s="27"/>
      <c r="O5" s="26" t="str">
        <f t="shared" si="9"/>
        <v>Piedmont</v>
      </c>
      <c r="P5" s="26" t="e">
        <f t="shared" si="10"/>
        <v>#NAME?</v>
      </c>
      <c r="Q5" s="27" t="e">
        <f t="shared" si="11"/>
        <v>#VALUE!</v>
      </c>
      <c r="R5" s="27"/>
      <c r="S5" s="26">
        <f t="shared" si="12"/>
        <v>528</v>
      </c>
      <c r="T5" s="26" t="e">
        <f t="shared" si="13"/>
        <v>#NAME?</v>
      </c>
      <c r="U5" s="27" t="e">
        <f t="shared" si="14"/>
        <v>#NAME?</v>
      </c>
      <c r="V5" s="27"/>
      <c r="W5" s="26">
        <f t="shared" si="15"/>
        <v>365</v>
      </c>
      <c r="X5" s="26" t="e">
        <f t="shared" si="16"/>
        <v>#NAME?</v>
      </c>
      <c r="Y5" s="27" t="e">
        <f t="shared" si="17"/>
        <v>#NAME?</v>
      </c>
    </row>
    <row r="6" spans="1:25" ht="16.5" customHeight="1" x14ac:dyDescent="0.3">
      <c r="A6" s="16" t="s">
        <v>16</v>
      </c>
      <c r="B6" s="16" t="s">
        <v>285</v>
      </c>
      <c r="C6" s="25">
        <f t="shared" si="0"/>
        <v>22</v>
      </c>
      <c r="D6" s="25" t="e">
        <f t="shared" si="1"/>
        <v>#NAME?</v>
      </c>
      <c r="E6" s="27" t="e">
        <f t="shared" si="2"/>
        <v>#NAME?</v>
      </c>
      <c r="F6" s="25"/>
      <c r="G6" s="25">
        <f t="shared" si="3"/>
        <v>0</v>
      </c>
      <c r="H6" s="25" t="e">
        <f t="shared" si="4"/>
        <v>#NAME?</v>
      </c>
      <c r="I6" s="27" t="e">
        <f t="shared" si="5"/>
        <v>#NAME?</v>
      </c>
      <c r="J6" s="25"/>
      <c r="K6" s="25">
        <f t="shared" si="6"/>
        <v>0</v>
      </c>
      <c r="L6" s="25" t="e">
        <f t="shared" si="7"/>
        <v>#NAME?</v>
      </c>
      <c r="M6" s="27" t="e">
        <f t="shared" si="8"/>
        <v>#NAME?</v>
      </c>
      <c r="N6" s="27"/>
      <c r="O6" s="26" t="str">
        <f t="shared" si="9"/>
        <v>Piedmont</v>
      </c>
      <c r="P6" s="26" t="e">
        <f t="shared" si="10"/>
        <v>#NAME?</v>
      </c>
      <c r="Q6" s="27" t="e">
        <f t="shared" si="11"/>
        <v>#VALUE!</v>
      </c>
      <c r="R6" s="27"/>
      <c r="S6" s="26">
        <f t="shared" si="12"/>
        <v>227</v>
      </c>
      <c r="T6" s="26" t="e">
        <f t="shared" si="13"/>
        <v>#NAME?</v>
      </c>
      <c r="U6" s="27" t="e">
        <f t="shared" si="14"/>
        <v>#NAME?</v>
      </c>
      <c r="V6" s="27"/>
      <c r="W6" s="26">
        <f t="shared" si="15"/>
        <v>157</v>
      </c>
      <c r="X6" s="26" t="e">
        <f t="shared" si="16"/>
        <v>#NAME?</v>
      </c>
      <c r="Y6" s="27" t="e">
        <f t="shared" si="17"/>
        <v>#NAME?</v>
      </c>
    </row>
    <row r="7" spans="1:25" ht="16.5" customHeight="1" x14ac:dyDescent="0.3">
      <c r="A7" s="49" t="s">
        <v>18</v>
      </c>
      <c r="B7" s="48" t="s">
        <v>19</v>
      </c>
      <c r="C7" s="25">
        <f t="shared" si="0"/>
        <v>12</v>
      </c>
      <c r="D7" s="25" t="e">
        <f t="shared" si="1"/>
        <v>#NAME?</v>
      </c>
      <c r="E7" s="27" t="e">
        <f t="shared" si="2"/>
        <v>#NAME?</v>
      </c>
      <c r="F7" s="25"/>
      <c r="G7" s="25">
        <f t="shared" si="3"/>
        <v>0</v>
      </c>
      <c r="H7" s="25" t="e">
        <f t="shared" si="4"/>
        <v>#NAME?</v>
      </c>
      <c r="I7" s="27" t="e">
        <f t="shared" si="5"/>
        <v>#NAME?</v>
      </c>
      <c r="J7" s="25"/>
      <c r="K7" s="25">
        <f t="shared" si="6"/>
        <v>0</v>
      </c>
      <c r="L7" s="25" t="e">
        <f t="shared" si="7"/>
        <v>#NAME?</v>
      </c>
      <c r="M7" s="27" t="e">
        <f t="shared" si="8"/>
        <v>#NAME?</v>
      </c>
      <c r="N7" s="27"/>
      <c r="O7" s="26" t="str">
        <f t="shared" si="9"/>
        <v>Central</v>
      </c>
      <c r="P7" s="26" t="e">
        <f t="shared" si="10"/>
        <v>#NAME?</v>
      </c>
      <c r="Q7" s="27" t="e">
        <f t="shared" si="11"/>
        <v>#VALUE!</v>
      </c>
      <c r="R7" s="27"/>
      <c r="S7" s="26">
        <f t="shared" si="12"/>
        <v>104</v>
      </c>
      <c r="T7" s="26" t="e">
        <f t="shared" si="13"/>
        <v>#NAME?</v>
      </c>
      <c r="U7" s="27" t="e">
        <f t="shared" si="14"/>
        <v>#NAME?</v>
      </c>
      <c r="V7" s="27"/>
      <c r="W7" s="26">
        <f t="shared" si="15"/>
        <v>71</v>
      </c>
      <c r="X7" s="26" t="e">
        <f t="shared" si="16"/>
        <v>#NAME?</v>
      </c>
      <c r="Y7" s="27" t="e">
        <f t="shared" si="17"/>
        <v>#NAME?</v>
      </c>
    </row>
    <row r="8" spans="1:25" ht="16.5" customHeight="1" x14ac:dyDescent="0.3">
      <c r="A8" s="16" t="s">
        <v>20</v>
      </c>
      <c r="B8" s="16" t="s">
        <v>21</v>
      </c>
      <c r="C8" s="25">
        <f t="shared" si="0"/>
        <v>21</v>
      </c>
      <c r="D8" s="25" t="e">
        <f t="shared" si="1"/>
        <v>#NAME?</v>
      </c>
      <c r="E8" s="27" t="e">
        <f t="shared" si="2"/>
        <v>#NAME?</v>
      </c>
      <c r="F8" s="25"/>
      <c r="G8" s="25">
        <f t="shared" si="3"/>
        <v>0</v>
      </c>
      <c r="H8" s="25" t="e">
        <f t="shared" si="4"/>
        <v>#NAME?</v>
      </c>
      <c r="I8" s="27" t="e">
        <f t="shared" si="5"/>
        <v>#NAME?</v>
      </c>
      <c r="J8" s="25"/>
      <c r="K8" s="25">
        <f t="shared" si="6"/>
        <v>0</v>
      </c>
      <c r="L8" s="25" t="e">
        <f t="shared" si="7"/>
        <v>#NAME?</v>
      </c>
      <c r="M8" s="27" t="e">
        <f t="shared" si="8"/>
        <v>#NAME?</v>
      </c>
      <c r="N8" s="27"/>
      <c r="O8" s="26" t="str">
        <f t="shared" si="9"/>
        <v>Piedmont</v>
      </c>
      <c r="P8" s="26" t="e">
        <f t="shared" si="10"/>
        <v>#NAME?</v>
      </c>
      <c r="Q8" s="27" t="e">
        <f t="shared" si="11"/>
        <v>#VALUE!</v>
      </c>
      <c r="R8" s="27"/>
      <c r="S8" s="26">
        <f t="shared" si="12"/>
        <v>239</v>
      </c>
      <c r="T8" s="26" t="e">
        <f t="shared" si="13"/>
        <v>#NAME?</v>
      </c>
      <c r="U8" s="27" t="e">
        <f t="shared" si="14"/>
        <v>#NAME?</v>
      </c>
      <c r="V8" s="27"/>
      <c r="W8" s="26">
        <f t="shared" si="15"/>
        <v>183</v>
      </c>
      <c r="X8" s="26" t="e">
        <f t="shared" si="16"/>
        <v>#NAME?</v>
      </c>
      <c r="Y8" s="27" t="e">
        <f t="shared" si="17"/>
        <v>#NAME?</v>
      </c>
    </row>
    <row r="9" spans="1:25" ht="16.5" customHeight="1" x14ac:dyDescent="0.3">
      <c r="A9" s="16" t="s">
        <v>22</v>
      </c>
      <c r="B9" s="16" t="s">
        <v>23</v>
      </c>
      <c r="C9" s="25">
        <f t="shared" si="0"/>
        <v>15</v>
      </c>
      <c r="D9" s="25" t="e">
        <f t="shared" si="1"/>
        <v>#NAME?</v>
      </c>
      <c r="E9" s="27" t="e">
        <f t="shared" si="2"/>
        <v>#NAME?</v>
      </c>
      <c r="F9" s="25"/>
      <c r="G9" s="25">
        <f t="shared" si="3"/>
        <v>0</v>
      </c>
      <c r="H9" s="25" t="e">
        <f t="shared" si="4"/>
        <v>#NAME?</v>
      </c>
      <c r="I9" s="27" t="e">
        <f t="shared" si="5"/>
        <v>#NAME?</v>
      </c>
      <c r="J9" s="25"/>
      <c r="K9" s="25">
        <f t="shared" si="6"/>
        <v>0</v>
      </c>
      <c r="L9" s="25" t="e">
        <f t="shared" si="7"/>
        <v>#NAME?</v>
      </c>
      <c r="M9" s="27" t="e">
        <f t="shared" si="8"/>
        <v>#NAME?</v>
      </c>
      <c r="N9" s="27"/>
      <c r="O9" s="26" t="str">
        <f t="shared" si="9"/>
        <v>Piedmont</v>
      </c>
      <c r="P9" s="26" t="e">
        <f t="shared" si="10"/>
        <v>#NAME?</v>
      </c>
      <c r="Q9" s="27" t="e">
        <f t="shared" si="11"/>
        <v>#VALUE!</v>
      </c>
      <c r="R9" s="27"/>
      <c r="S9" s="26">
        <f t="shared" si="12"/>
        <v>174</v>
      </c>
      <c r="T9" s="26" t="e">
        <f t="shared" si="13"/>
        <v>#NAME?</v>
      </c>
      <c r="U9" s="27" t="e">
        <f t="shared" si="14"/>
        <v>#NAME?</v>
      </c>
      <c r="V9" s="27"/>
      <c r="W9" s="26">
        <f t="shared" si="15"/>
        <v>129</v>
      </c>
      <c r="X9" s="26" t="e">
        <f t="shared" si="16"/>
        <v>#NAME?</v>
      </c>
      <c r="Y9" s="27" t="e">
        <f t="shared" si="17"/>
        <v>#NAME?</v>
      </c>
    </row>
    <row r="10" spans="1:25" ht="16.5" customHeight="1" x14ac:dyDescent="0.3">
      <c r="A10" s="16" t="s">
        <v>24</v>
      </c>
      <c r="B10" s="16" t="s">
        <v>25</v>
      </c>
      <c r="C10" s="25">
        <f t="shared" si="0"/>
        <v>64</v>
      </c>
      <c r="D10" s="25" t="e">
        <f t="shared" si="1"/>
        <v>#NAME?</v>
      </c>
      <c r="E10" s="27" t="e">
        <f t="shared" si="2"/>
        <v>#NAME?</v>
      </c>
      <c r="F10" s="25"/>
      <c r="G10" s="25">
        <f t="shared" si="3"/>
        <v>0</v>
      </c>
      <c r="H10" s="25" t="e">
        <f t="shared" si="4"/>
        <v>#NAME?</v>
      </c>
      <c r="I10" s="27" t="e">
        <f t="shared" si="5"/>
        <v>#NAME?</v>
      </c>
      <c r="J10" s="25"/>
      <c r="K10" s="25">
        <f t="shared" si="6"/>
        <v>0</v>
      </c>
      <c r="L10" s="25" t="e">
        <f t="shared" si="7"/>
        <v>#NAME?</v>
      </c>
      <c r="M10" s="27" t="e">
        <f t="shared" si="8"/>
        <v>#NAME?</v>
      </c>
      <c r="N10" s="27"/>
      <c r="O10" s="26" t="str">
        <f t="shared" si="9"/>
        <v>Northern</v>
      </c>
      <c r="P10" s="26" t="e">
        <f t="shared" si="10"/>
        <v>#NAME?</v>
      </c>
      <c r="Q10" s="27" t="e">
        <f t="shared" si="11"/>
        <v>#VALUE!</v>
      </c>
      <c r="R10" s="27"/>
      <c r="S10" s="26">
        <f t="shared" si="12"/>
        <v>525</v>
      </c>
      <c r="T10" s="26" t="e">
        <f t="shared" si="13"/>
        <v>#NAME?</v>
      </c>
      <c r="U10" s="27" t="e">
        <f t="shared" si="14"/>
        <v>#NAME?</v>
      </c>
      <c r="V10" s="27"/>
      <c r="W10" s="26">
        <f t="shared" si="15"/>
        <v>350</v>
      </c>
      <c r="X10" s="26" t="e">
        <f t="shared" si="16"/>
        <v>#NAME?</v>
      </c>
      <c r="Y10" s="27" t="e">
        <f t="shared" si="17"/>
        <v>#NAME?</v>
      </c>
    </row>
    <row r="11" spans="1:25" ht="16.5" customHeight="1" x14ac:dyDescent="0.3">
      <c r="A11" s="16" t="s">
        <v>26</v>
      </c>
      <c r="B11" s="16" t="s">
        <v>286</v>
      </c>
      <c r="C11" s="25">
        <f t="shared" si="0"/>
        <v>155</v>
      </c>
      <c r="D11" s="25" t="e">
        <f t="shared" si="1"/>
        <v>#NAME?</v>
      </c>
      <c r="E11" s="27" t="e">
        <f t="shared" si="2"/>
        <v>#NAME?</v>
      </c>
      <c r="F11" s="25"/>
      <c r="G11" s="25">
        <f t="shared" si="3"/>
        <v>0</v>
      </c>
      <c r="H11" s="25" t="e">
        <f t="shared" si="4"/>
        <v>#NAME?</v>
      </c>
      <c r="I11" s="27" t="e">
        <f t="shared" si="5"/>
        <v>#NAME?</v>
      </c>
      <c r="J11" s="25"/>
      <c r="K11" s="25">
        <f t="shared" si="6"/>
        <v>0</v>
      </c>
      <c r="L11" s="25" t="e">
        <f t="shared" si="7"/>
        <v>#NAME?</v>
      </c>
      <c r="M11" s="27" t="e">
        <f t="shared" si="8"/>
        <v>#NAME?</v>
      </c>
      <c r="N11" s="27"/>
      <c r="O11" s="26" t="str">
        <f t="shared" si="9"/>
        <v>Piedmont</v>
      </c>
      <c r="P11" s="26" t="e">
        <f t="shared" si="10"/>
        <v>#NAME?</v>
      </c>
      <c r="Q11" s="27" t="e">
        <f t="shared" si="11"/>
        <v>#VALUE!</v>
      </c>
      <c r="R11" s="27"/>
      <c r="S11" s="26">
        <f t="shared" si="12"/>
        <v>1588</v>
      </c>
      <c r="T11" s="26" t="e">
        <f t="shared" si="13"/>
        <v>#NAME?</v>
      </c>
      <c r="U11" s="27" t="e">
        <f t="shared" si="14"/>
        <v>#NAME?</v>
      </c>
      <c r="V11" s="27"/>
      <c r="W11" s="26">
        <f t="shared" si="15"/>
        <v>1144</v>
      </c>
      <c r="X11" s="26" t="e">
        <f t="shared" si="16"/>
        <v>#NAME?</v>
      </c>
      <c r="Y11" s="27" t="e">
        <f t="shared" si="17"/>
        <v>#NAME?</v>
      </c>
    </row>
    <row r="12" spans="1:25" ht="16.5" customHeight="1" x14ac:dyDescent="0.3">
      <c r="A12" s="16" t="s">
        <v>27</v>
      </c>
      <c r="B12" s="16" t="s">
        <v>28</v>
      </c>
      <c r="C12" s="25">
        <f t="shared" si="0"/>
        <v>0</v>
      </c>
      <c r="D12" s="25" t="e">
        <f t="shared" si="1"/>
        <v>#NAME?</v>
      </c>
      <c r="E12" s="27" t="e">
        <f t="shared" si="2"/>
        <v>#NAME?</v>
      </c>
      <c r="F12" s="25"/>
      <c r="G12" s="25">
        <f t="shared" si="3"/>
        <v>0</v>
      </c>
      <c r="H12" s="25" t="e">
        <f t="shared" si="4"/>
        <v>#NAME?</v>
      </c>
      <c r="I12" s="27" t="e">
        <f t="shared" si="5"/>
        <v>#NAME?</v>
      </c>
      <c r="J12" s="25"/>
      <c r="K12" s="25">
        <f t="shared" si="6"/>
        <v>0</v>
      </c>
      <c r="L12" s="25" t="e">
        <f t="shared" si="7"/>
        <v>#NAME?</v>
      </c>
      <c r="M12" s="27" t="e">
        <f t="shared" si="8"/>
        <v>#NAME?</v>
      </c>
      <c r="N12" s="27"/>
      <c r="O12" s="26" t="str">
        <f t="shared" si="9"/>
        <v>Piedmont</v>
      </c>
      <c r="P12" s="26" t="e">
        <f t="shared" si="10"/>
        <v>#NAME?</v>
      </c>
      <c r="Q12" s="27" t="e">
        <f t="shared" si="11"/>
        <v>#VALUE!</v>
      </c>
      <c r="R12" s="27"/>
      <c r="S12" s="26">
        <f t="shared" si="12"/>
        <v>30</v>
      </c>
      <c r="T12" s="26" t="e">
        <f t="shared" si="13"/>
        <v>#NAME?</v>
      </c>
      <c r="U12" s="27" t="e">
        <f t="shared" si="14"/>
        <v>#NAME?</v>
      </c>
      <c r="V12" s="27"/>
      <c r="W12" s="26">
        <f t="shared" si="15"/>
        <v>28</v>
      </c>
      <c r="X12" s="26" t="e">
        <f t="shared" si="16"/>
        <v>#NAME?</v>
      </c>
      <c r="Y12" s="27" t="e">
        <f t="shared" si="17"/>
        <v>#NAME?</v>
      </c>
    </row>
    <row r="13" spans="1:25" ht="16.5" customHeight="1" x14ac:dyDescent="0.3">
      <c r="A13" s="16" t="s">
        <v>29</v>
      </c>
      <c r="B13" s="16" t="s">
        <v>295</v>
      </c>
      <c r="C13" s="25">
        <f t="shared" si="0"/>
        <v>31</v>
      </c>
      <c r="D13" s="25" t="e">
        <f t="shared" si="1"/>
        <v>#NAME?</v>
      </c>
      <c r="E13" s="27" t="e">
        <f t="shared" si="2"/>
        <v>#NAME?</v>
      </c>
      <c r="F13" s="25"/>
      <c r="G13" s="25">
        <f t="shared" si="3"/>
        <v>0</v>
      </c>
      <c r="H13" s="25" t="e">
        <f t="shared" si="4"/>
        <v>#NAME?</v>
      </c>
      <c r="I13" s="27" t="e">
        <f t="shared" si="5"/>
        <v>#NAME?</v>
      </c>
      <c r="J13" s="25"/>
      <c r="K13" s="25">
        <f t="shared" si="6"/>
        <v>0</v>
      </c>
      <c r="L13" s="25" t="e">
        <f t="shared" si="7"/>
        <v>#NAME?</v>
      </c>
      <c r="M13" s="27" t="e">
        <f t="shared" si="8"/>
        <v>#NAME?</v>
      </c>
      <c r="N13" s="27"/>
      <c r="O13" s="26" t="str">
        <f t="shared" si="9"/>
        <v>Piedmont</v>
      </c>
      <c r="P13" s="26" t="e">
        <f t="shared" si="10"/>
        <v>#NAME?</v>
      </c>
      <c r="Q13" s="27" t="e">
        <f t="shared" si="11"/>
        <v>#VALUE!</v>
      </c>
      <c r="R13" s="27"/>
      <c r="S13" s="26">
        <f t="shared" si="12"/>
        <v>470</v>
      </c>
      <c r="T13" s="26" t="e">
        <f t="shared" si="13"/>
        <v>#NAME?</v>
      </c>
      <c r="U13" s="27" t="e">
        <f t="shared" si="14"/>
        <v>#NAME?</v>
      </c>
      <c r="V13" s="27"/>
      <c r="W13" s="26">
        <f t="shared" si="15"/>
        <v>355</v>
      </c>
      <c r="X13" s="26" t="e">
        <f t="shared" si="16"/>
        <v>#NAME?</v>
      </c>
      <c r="Y13" s="27" t="e">
        <f t="shared" si="17"/>
        <v>#NAME?</v>
      </c>
    </row>
    <row r="14" spans="1:25" ht="16.5" customHeight="1" x14ac:dyDescent="0.3">
      <c r="A14" s="16" t="s">
        <v>30</v>
      </c>
      <c r="B14" s="16" t="s">
        <v>31</v>
      </c>
      <c r="C14" s="25">
        <f t="shared" si="0"/>
        <v>2</v>
      </c>
      <c r="D14" s="25" t="e">
        <f t="shared" si="1"/>
        <v>#NAME?</v>
      </c>
      <c r="E14" s="27" t="e">
        <f t="shared" si="2"/>
        <v>#NAME?</v>
      </c>
      <c r="F14" s="25"/>
      <c r="G14" s="25">
        <f t="shared" si="3"/>
        <v>0</v>
      </c>
      <c r="H14" s="25" t="e">
        <f t="shared" si="4"/>
        <v>#NAME?</v>
      </c>
      <c r="I14" s="27" t="e">
        <f t="shared" si="5"/>
        <v>#NAME?</v>
      </c>
      <c r="J14" s="25"/>
      <c r="K14" s="25">
        <f t="shared" si="6"/>
        <v>0</v>
      </c>
      <c r="L14" s="25" t="e">
        <f t="shared" si="7"/>
        <v>#NAME?</v>
      </c>
      <c r="M14" s="27" t="e">
        <f t="shared" si="8"/>
        <v>#NAME?</v>
      </c>
      <c r="N14" s="27"/>
      <c r="O14" s="26" t="str">
        <f t="shared" si="9"/>
        <v>Western</v>
      </c>
      <c r="P14" s="26" t="e">
        <f t="shared" si="10"/>
        <v>#NAME?</v>
      </c>
      <c r="Q14" s="27" t="e">
        <f t="shared" si="11"/>
        <v>#VALUE!</v>
      </c>
      <c r="R14" s="27"/>
      <c r="S14" s="26">
        <f t="shared" si="12"/>
        <v>48</v>
      </c>
      <c r="T14" s="26" t="e">
        <f t="shared" si="13"/>
        <v>#NAME?</v>
      </c>
      <c r="U14" s="27" t="e">
        <f t="shared" si="14"/>
        <v>#NAME?</v>
      </c>
      <c r="V14" s="27"/>
      <c r="W14" s="26">
        <f t="shared" si="15"/>
        <v>32</v>
      </c>
      <c r="X14" s="26" t="e">
        <f t="shared" si="16"/>
        <v>#NAME?</v>
      </c>
      <c r="Y14" s="27" t="e">
        <f t="shared" si="17"/>
        <v>#NAME?</v>
      </c>
    </row>
    <row r="15" spans="1:25" ht="16.5" customHeight="1" x14ac:dyDescent="0.3">
      <c r="A15" s="16" t="s">
        <v>32</v>
      </c>
      <c r="B15" s="16" t="s">
        <v>33</v>
      </c>
      <c r="C15" s="25">
        <f t="shared" si="0"/>
        <v>11</v>
      </c>
      <c r="D15" s="25" t="e">
        <f t="shared" si="1"/>
        <v>#NAME?</v>
      </c>
      <c r="E15" s="27" t="e">
        <f t="shared" si="2"/>
        <v>#NAME?</v>
      </c>
      <c r="F15" s="25"/>
      <c r="G15" s="25">
        <f t="shared" si="3"/>
        <v>0</v>
      </c>
      <c r="H15" s="25" t="e">
        <f t="shared" si="4"/>
        <v>#NAME?</v>
      </c>
      <c r="I15" s="27" t="e">
        <f t="shared" si="5"/>
        <v>#NAME?</v>
      </c>
      <c r="J15" s="25"/>
      <c r="K15" s="25">
        <f t="shared" si="6"/>
        <v>0</v>
      </c>
      <c r="L15" s="25" t="e">
        <f t="shared" si="7"/>
        <v>#NAME?</v>
      </c>
      <c r="M15" s="27" t="e">
        <f t="shared" si="8"/>
        <v>#NAME?</v>
      </c>
      <c r="N15" s="27"/>
      <c r="O15" s="26" t="str">
        <f t="shared" si="9"/>
        <v>Piedmont</v>
      </c>
      <c r="P15" s="26" t="e">
        <f t="shared" si="10"/>
        <v>#NAME?</v>
      </c>
      <c r="Q15" s="27" t="e">
        <f t="shared" si="11"/>
        <v>#VALUE!</v>
      </c>
      <c r="R15" s="27"/>
      <c r="S15" s="26">
        <f t="shared" si="12"/>
        <v>126</v>
      </c>
      <c r="T15" s="26" t="e">
        <f t="shared" si="13"/>
        <v>#NAME?</v>
      </c>
      <c r="U15" s="27" t="e">
        <f t="shared" si="14"/>
        <v>#NAME?</v>
      </c>
      <c r="V15" s="27"/>
      <c r="W15" s="26">
        <f t="shared" si="15"/>
        <v>98</v>
      </c>
      <c r="X15" s="26" t="e">
        <f t="shared" si="16"/>
        <v>#NAME?</v>
      </c>
      <c r="Y15" s="27" t="e">
        <f t="shared" si="17"/>
        <v>#NAME?</v>
      </c>
    </row>
    <row r="16" spans="1:25" ht="16.5" customHeight="1" x14ac:dyDescent="0.3">
      <c r="A16" s="16" t="s">
        <v>36</v>
      </c>
      <c r="B16" s="16" t="s">
        <v>37</v>
      </c>
      <c r="C16" s="25">
        <f t="shared" si="0"/>
        <v>17</v>
      </c>
      <c r="D16" s="25" t="e">
        <f t="shared" si="1"/>
        <v>#NAME?</v>
      </c>
      <c r="E16" s="27" t="e">
        <f t="shared" si="2"/>
        <v>#NAME?</v>
      </c>
      <c r="F16" s="25"/>
      <c r="G16" s="25">
        <f t="shared" si="3"/>
        <v>0</v>
      </c>
      <c r="H16" s="25" t="e">
        <f t="shared" si="4"/>
        <v>#NAME?</v>
      </c>
      <c r="I16" s="27" t="e">
        <f t="shared" si="5"/>
        <v>#NAME?</v>
      </c>
      <c r="J16" s="25"/>
      <c r="K16" s="25">
        <f t="shared" si="6"/>
        <v>0</v>
      </c>
      <c r="L16" s="25" t="e">
        <f t="shared" si="7"/>
        <v>#NAME?</v>
      </c>
      <c r="M16" s="27" t="e">
        <f t="shared" si="8"/>
        <v>#NAME?</v>
      </c>
      <c r="N16" s="27"/>
      <c r="O16" s="26" t="str">
        <f t="shared" si="9"/>
        <v>Eastern</v>
      </c>
      <c r="P16" s="26" t="e">
        <f t="shared" si="10"/>
        <v>#NAME?</v>
      </c>
      <c r="Q16" s="27" t="e">
        <f t="shared" si="11"/>
        <v>#VALUE!</v>
      </c>
      <c r="R16" s="27"/>
      <c r="S16" s="26">
        <f t="shared" si="12"/>
        <v>261</v>
      </c>
      <c r="T16" s="26" t="e">
        <f t="shared" si="13"/>
        <v>#NAME?</v>
      </c>
      <c r="U16" s="27" t="e">
        <f t="shared" si="14"/>
        <v>#NAME?</v>
      </c>
      <c r="V16" s="27"/>
      <c r="W16" s="26">
        <f t="shared" si="15"/>
        <v>174</v>
      </c>
      <c r="X16" s="26" t="e">
        <f t="shared" si="16"/>
        <v>#NAME?</v>
      </c>
      <c r="Y16" s="27" t="e">
        <f t="shared" si="17"/>
        <v>#NAME?</v>
      </c>
    </row>
    <row r="17" spans="1:25" ht="16.5" customHeight="1" x14ac:dyDescent="0.3">
      <c r="A17" s="16" t="s">
        <v>38</v>
      </c>
      <c r="B17" s="16" t="s">
        <v>39</v>
      </c>
      <c r="C17" s="25">
        <f t="shared" si="0"/>
        <v>36</v>
      </c>
      <c r="D17" s="25" t="e">
        <f t="shared" si="1"/>
        <v>#NAME?</v>
      </c>
      <c r="E17" s="27" t="e">
        <f t="shared" si="2"/>
        <v>#NAME?</v>
      </c>
      <c r="F17" s="25"/>
      <c r="G17" s="25">
        <f t="shared" si="3"/>
        <v>0</v>
      </c>
      <c r="H17" s="25" t="e">
        <f t="shared" si="4"/>
        <v>#NAME?</v>
      </c>
      <c r="I17" s="27" t="e">
        <f t="shared" si="5"/>
        <v>#NAME?</v>
      </c>
      <c r="J17" s="25"/>
      <c r="K17" s="25">
        <f t="shared" si="6"/>
        <v>0</v>
      </c>
      <c r="L17" s="25" t="e">
        <f t="shared" si="7"/>
        <v>#NAME?</v>
      </c>
      <c r="M17" s="27" t="e">
        <f t="shared" si="8"/>
        <v>#NAME?</v>
      </c>
      <c r="N17" s="27"/>
      <c r="O17" s="26" t="str">
        <f t="shared" si="9"/>
        <v>Western</v>
      </c>
      <c r="P17" s="26" t="e">
        <f t="shared" si="10"/>
        <v>#NAME?</v>
      </c>
      <c r="Q17" s="27" t="e">
        <f t="shared" si="11"/>
        <v>#VALUE!</v>
      </c>
      <c r="R17" s="27"/>
      <c r="S17" s="26">
        <f t="shared" si="12"/>
        <v>327</v>
      </c>
      <c r="T17" s="26" t="e">
        <f t="shared" si="13"/>
        <v>#NAME?</v>
      </c>
      <c r="U17" s="27" t="e">
        <f t="shared" si="14"/>
        <v>#NAME?</v>
      </c>
      <c r="V17" s="27"/>
      <c r="W17" s="26">
        <f t="shared" si="15"/>
        <v>226</v>
      </c>
      <c r="X17" s="26" t="e">
        <f t="shared" si="16"/>
        <v>#NAME?</v>
      </c>
      <c r="Y17" s="27" t="e">
        <f t="shared" si="17"/>
        <v>#NAME?</v>
      </c>
    </row>
    <row r="18" spans="1:25" ht="16.5" customHeight="1" x14ac:dyDescent="0.3">
      <c r="A18" s="16" t="s">
        <v>40</v>
      </c>
      <c r="B18" s="16" t="s">
        <v>41</v>
      </c>
      <c r="C18" s="25">
        <f t="shared" si="0"/>
        <v>18</v>
      </c>
      <c r="D18" s="25" t="e">
        <f t="shared" si="1"/>
        <v>#NAME?</v>
      </c>
      <c r="E18" s="27" t="e">
        <f t="shared" si="2"/>
        <v>#NAME?</v>
      </c>
      <c r="F18" s="25"/>
      <c r="G18" s="25">
        <f t="shared" si="3"/>
        <v>0</v>
      </c>
      <c r="H18" s="25" t="e">
        <f t="shared" si="4"/>
        <v>#NAME?</v>
      </c>
      <c r="I18" s="27" t="e">
        <f t="shared" si="5"/>
        <v>#NAME?</v>
      </c>
      <c r="J18" s="25"/>
      <c r="K18" s="25">
        <f t="shared" si="6"/>
        <v>0</v>
      </c>
      <c r="L18" s="25" t="e">
        <f t="shared" si="7"/>
        <v>#NAME?</v>
      </c>
      <c r="M18" s="27" t="e">
        <f t="shared" si="8"/>
        <v>#NAME?</v>
      </c>
      <c r="N18" s="27"/>
      <c r="O18" s="26" t="str">
        <f t="shared" si="9"/>
        <v>Central</v>
      </c>
      <c r="P18" s="26" t="e">
        <f t="shared" si="10"/>
        <v>#NAME?</v>
      </c>
      <c r="Q18" s="27" t="e">
        <f t="shared" si="11"/>
        <v>#VALUE!</v>
      </c>
      <c r="R18" s="27"/>
      <c r="S18" s="26">
        <f t="shared" si="12"/>
        <v>199</v>
      </c>
      <c r="T18" s="26" t="e">
        <f t="shared" si="13"/>
        <v>#NAME?</v>
      </c>
      <c r="U18" s="27" t="e">
        <f t="shared" si="14"/>
        <v>#NAME?</v>
      </c>
      <c r="V18" s="27"/>
      <c r="W18" s="26">
        <f t="shared" si="15"/>
        <v>138</v>
      </c>
      <c r="X18" s="26" t="e">
        <f t="shared" si="16"/>
        <v>#NAME?</v>
      </c>
      <c r="Y18" s="27" t="e">
        <f t="shared" si="17"/>
        <v>#NAME?</v>
      </c>
    </row>
    <row r="19" spans="1:25" ht="16.5" customHeight="1" x14ac:dyDescent="0.3">
      <c r="A19" s="16" t="s">
        <v>42</v>
      </c>
      <c r="B19" s="16" t="s">
        <v>43</v>
      </c>
      <c r="C19" s="25">
        <f t="shared" si="0"/>
        <v>47</v>
      </c>
      <c r="D19" s="25" t="e">
        <f t="shared" si="1"/>
        <v>#NAME?</v>
      </c>
      <c r="E19" s="27" t="e">
        <f t="shared" si="2"/>
        <v>#NAME?</v>
      </c>
      <c r="F19" s="25"/>
      <c r="G19" s="25">
        <f t="shared" si="3"/>
        <v>0</v>
      </c>
      <c r="H19" s="25" t="e">
        <f t="shared" si="4"/>
        <v>#NAME?</v>
      </c>
      <c r="I19" s="27" t="e">
        <f t="shared" si="5"/>
        <v>#NAME?</v>
      </c>
      <c r="J19" s="25"/>
      <c r="K19" s="25">
        <f t="shared" si="6"/>
        <v>0</v>
      </c>
      <c r="L19" s="25" t="e">
        <f t="shared" si="7"/>
        <v>#NAME?</v>
      </c>
      <c r="M19" s="27" t="e">
        <f t="shared" si="8"/>
        <v>#NAME?</v>
      </c>
      <c r="N19" s="27"/>
      <c r="O19" s="26" t="str">
        <f t="shared" si="9"/>
        <v>Piedmont</v>
      </c>
      <c r="P19" s="26" t="e">
        <f t="shared" si="10"/>
        <v>#NAME?</v>
      </c>
      <c r="Q19" s="27" t="e">
        <f t="shared" si="11"/>
        <v>#VALUE!</v>
      </c>
      <c r="R19" s="27"/>
      <c r="S19" s="26">
        <f t="shared" si="12"/>
        <v>564</v>
      </c>
      <c r="T19" s="26" t="e">
        <f t="shared" si="13"/>
        <v>#NAME?</v>
      </c>
      <c r="U19" s="27" t="e">
        <f t="shared" si="14"/>
        <v>#NAME?</v>
      </c>
      <c r="V19" s="27"/>
      <c r="W19" s="26">
        <f t="shared" si="15"/>
        <v>398</v>
      </c>
      <c r="X19" s="26" t="e">
        <f t="shared" si="16"/>
        <v>#NAME?</v>
      </c>
      <c r="Y19" s="27" t="e">
        <f t="shared" si="17"/>
        <v>#NAME?</v>
      </c>
    </row>
    <row r="20" spans="1:25" ht="16.5" customHeight="1" x14ac:dyDescent="0.3">
      <c r="A20" s="16" t="s">
        <v>44</v>
      </c>
      <c r="B20" s="16" t="s">
        <v>45</v>
      </c>
      <c r="C20" s="25">
        <f t="shared" si="0"/>
        <v>30</v>
      </c>
      <c r="D20" s="25" t="e">
        <f t="shared" si="1"/>
        <v>#NAME?</v>
      </c>
      <c r="E20" s="27" t="e">
        <f t="shared" si="2"/>
        <v>#NAME?</v>
      </c>
      <c r="F20" s="25"/>
      <c r="G20" s="25">
        <f t="shared" si="3"/>
        <v>0</v>
      </c>
      <c r="H20" s="25" t="e">
        <f t="shared" si="4"/>
        <v>#NAME?</v>
      </c>
      <c r="I20" s="27" t="e">
        <f t="shared" si="5"/>
        <v>#NAME?</v>
      </c>
      <c r="J20" s="25"/>
      <c r="K20" s="25">
        <f t="shared" si="6"/>
        <v>0</v>
      </c>
      <c r="L20" s="25" t="e">
        <f t="shared" si="7"/>
        <v>#NAME?</v>
      </c>
      <c r="M20" s="27" t="e">
        <f t="shared" si="8"/>
        <v>#NAME?</v>
      </c>
      <c r="N20" s="27"/>
      <c r="O20" s="26" t="str">
        <f t="shared" si="9"/>
        <v>Central</v>
      </c>
      <c r="P20" s="26" t="e">
        <f t="shared" si="10"/>
        <v>#NAME?</v>
      </c>
      <c r="Q20" s="27" t="e">
        <f t="shared" si="11"/>
        <v>#VALUE!</v>
      </c>
      <c r="R20" s="27"/>
      <c r="S20" s="26">
        <f t="shared" si="12"/>
        <v>328</v>
      </c>
      <c r="T20" s="26" t="e">
        <f t="shared" si="13"/>
        <v>#NAME?</v>
      </c>
      <c r="U20" s="27" t="e">
        <f t="shared" si="14"/>
        <v>#NAME?</v>
      </c>
      <c r="V20" s="27"/>
      <c r="W20" s="26">
        <f t="shared" si="15"/>
        <v>224</v>
      </c>
      <c r="X20" s="26" t="e">
        <f t="shared" si="16"/>
        <v>#NAME?</v>
      </c>
      <c r="Y20" s="27" t="e">
        <f t="shared" si="17"/>
        <v>#NAME?</v>
      </c>
    </row>
    <row r="21" spans="1:25" ht="16.5" customHeight="1" x14ac:dyDescent="0.3">
      <c r="A21" s="16" t="s">
        <v>46</v>
      </c>
      <c r="B21" s="16" t="s">
        <v>47</v>
      </c>
      <c r="C21" s="25">
        <f t="shared" si="0"/>
        <v>24</v>
      </c>
      <c r="D21" s="25" t="e">
        <f t="shared" si="1"/>
        <v>#NAME?</v>
      </c>
      <c r="E21" s="27" t="e">
        <f t="shared" si="2"/>
        <v>#NAME?</v>
      </c>
      <c r="F21" s="25"/>
      <c r="G21" s="25">
        <f t="shared" si="3"/>
        <v>0</v>
      </c>
      <c r="H21" s="25" t="e">
        <f t="shared" si="4"/>
        <v>#NAME?</v>
      </c>
      <c r="I21" s="27" t="e">
        <f t="shared" si="5"/>
        <v>#NAME?</v>
      </c>
      <c r="J21" s="25"/>
      <c r="K21" s="25">
        <f t="shared" si="6"/>
        <v>0</v>
      </c>
      <c r="L21" s="25" t="e">
        <f t="shared" si="7"/>
        <v>#NAME?</v>
      </c>
      <c r="M21" s="27" t="e">
        <f t="shared" si="8"/>
        <v>#NAME?</v>
      </c>
      <c r="N21" s="27"/>
      <c r="O21" s="26" t="str">
        <f t="shared" si="9"/>
        <v>Western</v>
      </c>
      <c r="P21" s="26" t="e">
        <f t="shared" si="10"/>
        <v>#NAME?</v>
      </c>
      <c r="Q21" s="27" t="e">
        <f t="shared" si="11"/>
        <v>#VALUE!</v>
      </c>
      <c r="R21" s="27"/>
      <c r="S21" s="26">
        <f t="shared" si="12"/>
        <v>335</v>
      </c>
      <c r="T21" s="26" t="e">
        <f t="shared" si="13"/>
        <v>#NAME?</v>
      </c>
      <c r="U21" s="27" t="e">
        <f t="shared" si="14"/>
        <v>#NAME?</v>
      </c>
      <c r="V21" s="27"/>
      <c r="W21" s="26">
        <f t="shared" si="15"/>
        <v>252</v>
      </c>
      <c r="X21" s="26" t="e">
        <f t="shared" si="16"/>
        <v>#NAME?</v>
      </c>
      <c r="Y21" s="27" t="e">
        <f t="shared" si="17"/>
        <v>#NAME?</v>
      </c>
    </row>
    <row r="22" spans="1:25" ht="16.5" customHeight="1" x14ac:dyDescent="0.3">
      <c r="A22" s="16" t="s">
        <v>48</v>
      </c>
      <c r="B22" s="16" t="s">
        <v>257</v>
      </c>
      <c r="C22" s="25">
        <f t="shared" si="0"/>
        <v>2</v>
      </c>
      <c r="D22" s="25" t="e">
        <f t="shared" si="1"/>
        <v>#NAME?</v>
      </c>
      <c r="E22" s="27" t="e">
        <f t="shared" si="2"/>
        <v>#NAME?</v>
      </c>
      <c r="F22" s="25"/>
      <c r="G22" s="25">
        <f t="shared" si="3"/>
        <v>0</v>
      </c>
      <c r="H22" s="25" t="e">
        <f t="shared" si="4"/>
        <v>#NAME?</v>
      </c>
      <c r="I22" s="27" t="e">
        <f t="shared" si="5"/>
        <v>#NAME?</v>
      </c>
      <c r="J22" s="25"/>
      <c r="K22" s="25">
        <f t="shared" si="6"/>
        <v>0</v>
      </c>
      <c r="L22" s="25" t="e">
        <f t="shared" si="7"/>
        <v>#NAME?</v>
      </c>
      <c r="M22" s="27" t="e">
        <f t="shared" si="8"/>
        <v>#NAME?</v>
      </c>
      <c r="N22" s="27"/>
      <c r="O22" s="26" t="str">
        <f t="shared" si="9"/>
        <v>Central</v>
      </c>
      <c r="P22" s="26" t="e">
        <f t="shared" si="10"/>
        <v>#NAME?</v>
      </c>
      <c r="Q22" s="27" t="e">
        <f t="shared" si="11"/>
        <v>#VALUE!</v>
      </c>
      <c r="R22" s="27"/>
      <c r="S22" s="26">
        <f t="shared" si="12"/>
        <v>42</v>
      </c>
      <c r="T22" s="26" t="e">
        <f t="shared" si="13"/>
        <v>#NAME?</v>
      </c>
      <c r="U22" s="27" t="e">
        <f t="shared" si="14"/>
        <v>#NAME?</v>
      </c>
      <c r="V22" s="27"/>
      <c r="W22" s="26">
        <f t="shared" si="15"/>
        <v>32</v>
      </c>
      <c r="X22" s="26" t="e">
        <f t="shared" si="16"/>
        <v>#NAME?</v>
      </c>
      <c r="Y22" s="27" t="e">
        <f t="shared" si="17"/>
        <v>#NAME?</v>
      </c>
    </row>
    <row r="23" spans="1:25" ht="16.5" customHeight="1" x14ac:dyDescent="0.3">
      <c r="A23" s="16" t="s">
        <v>50</v>
      </c>
      <c r="B23" s="16" t="s">
        <v>51</v>
      </c>
      <c r="C23" s="25">
        <f t="shared" si="0"/>
        <v>16</v>
      </c>
      <c r="D23" s="25" t="e">
        <f t="shared" si="1"/>
        <v>#NAME?</v>
      </c>
      <c r="E23" s="27" t="e">
        <f t="shared" si="2"/>
        <v>#NAME?</v>
      </c>
      <c r="F23" s="25"/>
      <c r="G23" s="25">
        <f t="shared" si="3"/>
        <v>0</v>
      </c>
      <c r="H23" s="25" t="e">
        <f t="shared" si="4"/>
        <v>#NAME?</v>
      </c>
      <c r="I23" s="27" t="e">
        <f t="shared" si="5"/>
        <v>#NAME?</v>
      </c>
      <c r="J23" s="25"/>
      <c r="K23" s="25">
        <f t="shared" si="6"/>
        <v>0</v>
      </c>
      <c r="L23" s="25" t="e">
        <f t="shared" si="7"/>
        <v>#NAME?</v>
      </c>
      <c r="M23" s="27" t="e">
        <f t="shared" si="8"/>
        <v>#NAME?</v>
      </c>
      <c r="N23" s="27"/>
      <c r="O23" s="26" t="str">
        <f t="shared" si="9"/>
        <v>Piedmont</v>
      </c>
      <c r="P23" s="26" t="e">
        <f t="shared" si="10"/>
        <v>#NAME?</v>
      </c>
      <c r="Q23" s="27" t="e">
        <f t="shared" si="11"/>
        <v>#VALUE!</v>
      </c>
      <c r="R23" s="27"/>
      <c r="S23" s="26">
        <f t="shared" si="12"/>
        <v>190</v>
      </c>
      <c r="T23" s="26" t="e">
        <f t="shared" si="13"/>
        <v>#NAME?</v>
      </c>
      <c r="U23" s="27" t="e">
        <f t="shared" si="14"/>
        <v>#NAME?</v>
      </c>
      <c r="V23" s="27"/>
      <c r="W23" s="26">
        <f t="shared" si="15"/>
        <v>134</v>
      </c>
      <c r="X23" s="26" t="e">
        <f t="shared" si="16"/>
        <v>#NAME?</v>
      </c>
      <c r="Y23" s="27" t="e">
        <f t="shared" si="17"/>
        <v>#NAME?</v>
      </c>
    </row>
    <row r="24" spans="1:25" ht="16.5" customHeight="1" x14ac:dyDescent="0.3">
      <c r="A24" s="16" t="s">
        <v>56</v>
      </c>
      <c r="B24" s="16" t="s">
        <v>283</v>
      </c>
      <c r="C24" s="25">
        <f t="shared" si="0"/>
        <v>222</v>
      </c>
      <c r="D24" s="25" t="e">
        <f t="shared" si="1"/>
        <v>#NAME?</v>
      </c>
      <c r="E24" s="27" t="e">
        <f t="shared" si="2"/>
        <v>#NAME?</v>
      </c>
      <c r="F24" s="25"/>
      <c r="G24" s="25">
        <f t="shared" si="3"/>
        <v>1</v>
      </c>
      <c r="H24" s="25" t="e">
        <f t="shared" si="4"/>
        <v>#NAME?</v>
      </c>
      <c r="I24" s="27" t="e">
        <f t="shared" si="5"/>
        <v>#NAME?</v>
      </c>
      <c r="J24" s="25"/>
      <c r="K24" s="25">
        <f t="shared" si="6"/>
        <v>1</v>
      </c>
      <c r="L24" s="25" t="e">
        <f t="shared" si="7"/>
        <v>#NAME?</v>
      </c>
      <c r="M24" s="27" t="e">
        <f t="shared" si="8"/>
        <v>#NAME?</v>
      </c>
      <c r="N24" s="27"/>
      <c r="O24" s="26" t="str">
        <f t="shared" si="9"/>
        <v>Central</v>
      </c>
      <c r="P24" s="26" t="e">
        <f t="shared" si="10"/>
        <v>#NAME?</v>
      </c>
      <c r="Q24" s="27" t="e">
        <f t="shared" si="11"/>
        <v>#VALUE!</v>
      </c>
      <c r="R24" s="27"/>
      <c r="S24" s="26">
        <f t="shared" si="12"/>
        <v>2343</v>
      </c>
      <c r="T24" s="26" t="e">
        <f t="shared" si="13"/>
        <v>#NAME?</v>
      </c>
      <c r="U24" s="27" t="e">
        <f t="shared" si="14"/>
        <v>#NAME?</v>
      </c>
      <c r="V24" s="27"/>
      <c r="W24" s="26">
        <f t="shared" si="15"/>
        <v>1693</v>
      </c>
      <c r="X24" s="26" t="e">
        <f t="shared" si="16"/>
        <v>#NAME?</v>
      </c>
      <c r="Y24" s="27" t="e">
        <f t="shared" si="17"/>
        <v>#NAME?</v>
      </c>
    </row>
    <row r="25" spans="1:25" ht="16.5" customHeight="1" x14ac:dyDescent="0.3">
      <c r="A25" s="16" t="s">
        <v>58</v>
      </c>
      <c r="B25" s="16" t="s">
        <v>59</v>
      </c>
      <c r="C25" s="25">
        <f t="shared" si="0"/>
        <v>5</v>
      </c>
      <c r="D25" s="25" t="e">
        <f t="shared" si="1"/>
        <v>#NAME?</v>
      </c>
      <c r="E25" s="27" t="e">
        <f t="shared" si="2"/>
        <v>#NAME?</v>
      </c>
      <c r="F25" s="25"/>
      <c r="G25" s="25">
        <f t="shared" si="3"/>
        <v>0</v>
      </c>
      <c r="H25" s="25" t="e">
        <f t="shared" si="4"/>
        <v>#NAME?</v>
      </c>
      <c r="I25" s="27" t="e">
        <f t="shared" si="5"/>
        <v>#NAME?</v>
      </c>
      <c r="J25" s="25"/>
      <c r="K25" s="25">
        <f t="shared" si="6"/>
        <v>0</v>
      </c>
      <c r="L25" s="25" t="e">
        <f t="shared" si="7"/>
        <v>#NAME?</v>
      </c>
      <c r="M25" s="27" t="e">
        <f t="shared" si="8"/>
        <v>#NAME?</v>
      </c>
      <c r="N25" s="27"/>
      <c r="O25" s="26" t="str">
        <f t="shared" si="9"/>
        <v>Northern</v>
      </c>
      <c r="P25" s="26" t="e">
        <f t="shared" si="10"/>
        <v>#NAME?</v>
      </c>
      <c r="Q25" s="27" t="e">
        <f t="shared" si="11"/>
        <v>#VALUE!</v>
      </c>
      <c r="R25" s="27"/>
      <c r="S25" s="26">
        <f t="shared" si="12"/>
        <v>46</v>
      </c>
      <c r="T25" s="26" t="e">
        <f t="shared" si="13"/>
        <v>#NAME?</v>
      </c>
      <c r="U25" s="27" t="e">
        <f t="shared" si="14"/>
        <v>#NAME?</v>
      </c>
      <c r="V25" s="27"/>
      <c r="W25" s="26">
        <f t="shared" si="15"/>
        <v>36</v>
      </c>
      <c r="X25" s="26" t="e">
        <f t="shared" si="16"/>
        <v>#NAME?</v>
      </c>
      <c r="Y25" s="27" t="e">
        <f t="shared" si="17"/>
        <v>#NAME?</v>
      </c>
    </row>
    <row r="26" spans="1:25" ht="16.5" customHeight="1" x14ac:dyDescent="0.3">
      <c r="A26" s="16" t="s">
        <v>60</v>
      </c>
      <c r="B26" s="16" t="s">
        <v>61</v>
      </c>
      <c r="C26" s="25">
        <f t="shared" si="0"/>
        <v>2</v>
      </c>
      <c r="D26" s="25" t="e">
        <f t="shared" si="1"/>
        <v>#NAME?</v>
      </c>
      <c r="E26" s="27" t="e">
        <f t="shared" si="2"/>
        <v>#NAME?</v>
      </c>
      <c r="F26" s="25"/>
      <c r="G26" s="25">
        <f t="shared" si="3"/>
        <v>0</v>
      </c>
      <c r="H26" s="25" t="e">
        <f t="shared" si="4"/>
        <v>#NAME?</v>
      </c>
      <c r="I26" s="27" t="e">
        <f t="shared" si="5"/>
        <v>#NAME?</v>
      </c>
      <c r="J26" s="25"/>
      <c r="K26" s="25">
        <f t="shared" si="6"/>
        <v>0</v>
      </c>
      <c r="L26" s="25" t="e">
        <f t="shared" si="7"/>
        <v>#NAME?</v>
      </c>
      <c r="M26" s="27" t="e">
        <f t="shared" si="8"/>
        <v>#NAME?</v>
      </c>
      <c r="N26" s="27"/>
      <c r="O26" s="26" t="str">
        <f t="shared" si="9"/>
        <v>Piedmont</v>
      </c>
      <c r="P26" s="26" t="e">
        <f t="shared" si="10"/>
        <v>#NAME?</v>
      </c>
      <c r="Q26" s="27" t="e">
        <f t="shared" si="11"/>
        <v>#VALUE!</v>
      </c>
      <c r="R26" s="27"/>
      <c r="S26" s="26">
        <f t="shared" si="12"/>
        <v>38</v>
      </c>
      <c r="T26" s="26" t="e">
        <f t="shared" si="13"/>
        <v>#NAME?</v>
      </c>
      <c r="U26" s="27" t="e">
        <f t="shared" si="14"/>
        <v>#NAME?</v>
      </c>
      <c r="V26" s="27"/>
      <c r="W26" s="26">
        <f t="shared" si="15"/>
        <v>32</v>
      </c>
      <c r="X26" s="26" t="e">
        <f t="shared" si="16"/>
        <v>#NAME?</v>
      </c>
      <c r="Y26" s="27" t="e">
        <f t="shared" si="17"/>
        <v>#NAME?</v>
      </c>
    </row>
    <row r="27" spans="1:25" ht="16.5" customHeight="1" x14ac:dyDescent="0.3">
      <c r="A27" s="16" t="s">
        <v>62</v>
      </c>
      <c r="B27" s="16" t="s">
        <v>63</v>
      </c>
      <c r="C27" s="25">
        <f t="shared" si="0"/>
        <v>41</v>
      </c>
      <c r="D27" s="25" t="e">
        <f t="shared" si="1"/>
        <v>#NAME?</v>
      </c>
      <c r="E27" s="27" t="e">
        <f t="shared" si="2"/>
        <v>#NAME?</v>
      </c>
      <c r="F27" s="25"/>
      <c r="G27" s="25">
        <f t="shared" si="3"/>
        <v>0</v>
      </c>
      <c r="H27" s="25" t="e">
        <f t="shared" si="4"/>
        <v>#NAME?</v>
      </c>
      <c r="I27" s="27" t="e">
        <f t="shared" si="5"/>
        <v>#NAME?</v>
      </c>
      <c r="J27" s="25"/>
      <c r="K27" s="25">
        <f t="shared" si="6"/>
        <v>0</v>
      </c>
      <c r="L27" s="25" t="e">
        <f t="shared" si="7"/>
        <v>#NAME?</v>
      </c>
      <c r="M27" s="27" t="e">
        <f t="shared" si="8"/>
        <v>#NAME?</v>
      </c>
      <c r="N27" s="27"/>
      <c r="O27" s="26" t="str">
        <f t="shared" si="9"/>
        <v>Northern</v>
      </c>
      <c r="P27" s="26" t="e">
        <f t="shared" si="10"/>
        <v>#NAME?</v>
      </c>
      <c r="Q27" s="27" t="e">
        <f t="shared" si="11"/>
        <v>#VALUE!</v>
      </c>
      <c r="R27" s="27"/>
      <c r="S27" s="26">
        <f t="shared" si="12"/>
        <v>464</v>
      </c>
      <c r="T27" s="26" t="e">
        <f t="shared" si="13"/>
        <v>#NAME?</v>
      </c>
      <c r="U27" s="27" t="e">
        <f t="shared" si="14"/>
        <v>#NAME?</v>
      </c>
      <c r="V27" s="27"/>
      <c r="W27" s="26">
        <f t="shared" si="15"/>
        <v>326</v>
      </c>
      <c r="X27" s="26" t="e">
        <f t="shared" si="16"/>
        <v>#NAME?</v>
      </c>
      <c r="Y27" s="27" t="e">
        <f t="shared" si="17"/>
        <v>#NAME?</v>
      </c>
    </row>
    <row r="28" spans="1:25" ht="16.5" customHeight="1" x14ac:dyDescent="0.3">
      <c r="A28" s="16" t="s">
        <v>64</v>
      </c>
      <c r="B28" s="16" t="s">
        <v>65</v>
      </c>
      <c r="C28" s="25">
        <f t="shared" si="0"/>
        <v>20</v>
      </c>
      <c r="D28" s="25" t="e">
        <f t="shared" si="1"/>
        <v>#NAME?</v>
      </c>
      <c r="E28" s="27" t="e">
        <f t="shared" si="2"/>
        <v>#NAME?</v>
      </c>
      <c r="F28" s="25"/>
      <c r="G28" s="25">
        <f t="shared" si="3"/>
        <v>0</v>
      </c>
      <c r="H28" s="25" t="e">
        <f t="shared" si="4"/>
        <v>#NAME?</v>
      </c>
      <c r="I28" s="27" t="e">
        <f t="shared" si="5"/>
        <v>#NAME?</v>
      </c>
      <c r="J28" s="25"/>
      <c r="K28" s="25">
        <f t="shared" si="6"/>
        <v>0</v>
      </c>
      <c r="L28" s="25" t="e">
        <f t="shared" si="7"/>
        <v>#NAME?</v>
      </c>
      <c r="M28" s="27" t="e">
        <f t="shared" si="8"/>
        <v>#NAME?</v>
      </c>
      <c r="N28" s="27"/>
      <c r="O28" s="26" t="str">
        <f t="shared" si="9"/>
        <v>Central</v>
      </c>
      <c r="P28" s="26" t="e">
        <f t="shared" si="10"/>
        <v>#NAME?</v>
      </c>
      <c r="Q28" s="27" t="e">
        <f t="shared" si="11"/>
        <v>#VALUE!</v>
      </c>
      <c r="R28" s="27"/>
      <c r="S28" s="26">
        <f t="shared" si="12"/>
        <v>196</v>
      </c>
      <c r="T28" s="26" t="e">
        <f t="shared" si="13"/>
        <v>#NAME?</v>
      </c>
      <c r="U28" s="27" t="e">
        <f t="shared" si="14"/>
        <v>#NAME?</v>
      </c>
      <c r="V28" s="27"/>
      <c r="W28" s="26">
        <f t="shared" si="15"/>
        <v>134</v>
      </c>
      <c r="X28" s="26" t="e">
        <f t="shared" si="16"/>
        <v>#NAME?</v>
      </c>
      <c r="Y28" s="27" t="e">
        <f t="shared" si="17"/>
        <v>#NAME?</v>
      </c>
    </row>
    <row r="29" spans="1:25" ht="16.5" customHeight="1" x14ac:dyDescent="0.3">
      <c r="A29" s="16" t="s">
        <v>68</v>
      </c>
      <c r="B29" s="16" t="s">
        <v>69</v>
      </c>
      <c r="C29" s="25">
        <f t="shared" si="0"/>
        <v>16</v>
      </c>
      <c r="D29" s="25" t="e">
        <f t="shared" si="1"/>
        <v>#NAME?</v>
      </c>
      <c r="E29" s="27" t="e">
        <f t="shared" si="2"/>
        <v>#NAME?</v>
      </c>
      <c r="F29" s="25"/>
      <c r="G29" s="25">
        <f t="shared" si="3"/>
        <v>0</v>
      </c>
      <c r="H29" s="25" t="e">
        <f t="shared" si="4"/>
        <v>#NAME?</v>
      </c>
      <c r="I29" s="27" t="e">
        <f t="shared" si="5"/>
        <v>#NAME?</v>
      </c>
      <c r="J29" s="25"/>
      <c r="K29" s="25">
        <f t="shared" si="6"/>
        <v>0</v>
      </c>
      <c r="L29" s="25" t="e">
        <f t="shared" si="7"/>
        <v>#NAME?</v>
      </c>
      <c r="M29" s="27" t="e">
        <f t="shared" si="8"/>
        <v>#NAME?</v>
      </c>
      <c r="N29" s="27"/>
      <c r="O29" s="26" t="str">
        <f t="shared" si="9"/>
        <v>Western</v>
      </c>
      <c r="P29" s="26" t="e">
        <f t="shared" si="10"/>
        <v>#NAME?</v>
      </c>
      <c r="Q29" s="27" t="e">
        <f t="shared" si="11"/>
        <v>#VALUE!</v>
      </c>
      <c r="R29" s="27"/>
      <c r="S29" s="26">
        <f t="shared" si="12"/>
        <v>155</v>
      </c>
      <c r="T29" s="26" t="e">
        <f t="shared" si="13"/>
        <v>#NAME?</v>
      </c>
      <c r="U29" s="27" t="e">
        <f t="shared" si="14"/>
        <v>#NAME?</v>
      </c>
      <c r="V29" s="27"/>
      <c r="W29" s="26">
        <f t="shared" si="15"/>
        <v>114</v>
      </c>
      <c r="X29" s="26" t="e">
        <f t="shared" si="16"/>
        <v>#NAME?</v>
      </c>
      <c r="Y29" s="27" t="e">
        <f t="shared" si="17"/>
        <v>#NAME?</v>
      </c>
    </row>
    <row r="30" spans="1:25" ht="16.5" customHeight="1" x14ac:dyDescent="0.3">
      <c r="A30" s="16" t="s">
        <v>70</v>
      </c>
      <c r="B30" s="16" t="s">
        <v>71</v>
      </c>
      <c r="C30" s="25">
        <f t="shared" si="0"/>
        <v>14</v>
      </c>
      <c r="D30" s="25" t="e">
        <f t="shared" si="1"/>
        <v>#NAME?</v>
      </c>
      <c r="E30" s="27" t="e">
        <f t="shared" si="2"/>
        <v>#NAME?</v>
      </c>
      <c r="F30" s="25"/>
      <c r="G30" s="25">
        <f t="shared" si="3"/>
        <v>0</v>
      </c>
      <c r="H30" s="25" t="e">
        <f t="shared" si="4"/>
        <v>#NAME?</v>
      </c>
      <c r="I30" s="27" t="e">
        <f t="shared" si="5"/>
        <v>#NAME?</v>
      </c>
      <c r="J30" s="25"/>
      <c r="K30" s="25">
        <f t="shared" si="6"/>
        <v>0</v>
      </c>
      <c r="L30" s="25" t="e">
        <f t="shared" si="7"/>
        <v>#NAME?</v>
      </c>
      <c r="M30" s="27" t="e">
        <f t="shared" si="8"/>
        <v>#NAME?</v>
      </c>
      <c r="N30" s="27"/>
      <c r="O30" s="26" t="str">
        <f t="shared" si="9"/>
        <v>Eastern</v>
      </c>
      <c r="P30" s="26" t="e">
        <f t="shared" si="10"/>
        <v>#NAME?</v>
      </c>
      <c r="Q30" s="27" t="e">
        <f t="shared" si="11"/>
        <v>#VALUE!</v>
      </c>
      <c r="R30" s="27"/>
      <c r="S30" s="26">
        <f t="shared" si="12"/>
        <v>201</v>
      </c>
      <c r="T30" s="26" t="e">
        <f t="shared" si="13"/>
        <v>#NAME?</v>
      </c>
      <c r="U30" s="27" t="e">
        <f t="shared" si="14"/>
        <v>#NAME?</v>
      </c>
      <c r="V30" s="27"/>
      <c r="W30" s="26">
        <f t="shared" si="15"/>
        <v>150</v>
      </c>
      <c r="X30" s="26" t="e">
        <f t="shared" si="16"/>
        <v>#NAME?</v>
      </c>
      <c r="Y30" s="27" t="e">
        <f t="shared" si="17"/>
        <v>#NAME?</v>
      </c>
    </row>
    <row r="31" spans="1:25" ht="16.5" customHeight="1" x14ac:dyDescent="0.3">
      <c r="A31" s="16" t="s">
        <v>72</v>
      </c>
      <c r="B31" s="16" t="s">
        <v>73</v>
      </c>
      <c r="C31" s="25">
        <f t="shared" si="0"/>
        <v>21</v>
      </c>
      <c r="D31" s="25" t="e">
        <f t="shared" si="1"/>
        <v>#NAME?</v>
      </c>
      <c r="E31" s="27" t="e">
        <f t="shared" si="2"/>
        <v>#NAME?</v>
      </c>
      <c r="F31" s="25"/>
      <c r="G31" s="25">
        <f t="shared" si="3"/>
        <v>0</v>
      </c>
      <c r="H31" s="25" t="e">
        <f t="shared" si="4"/>
        <v>#NAME?</v>
      </c>
      <c r="I31" s="27" t="e">
        <f t="shared" si="5"/>
        <v>#NAME?</v>
      </c>
      <c r="J31" s="25"/>
      <c r="K31" s="25">
        <f t="shared" si="6"/>
        <v>0</v>
      </c>
      <c r="L31" s="25" t="e">
        <f t="shared" si="7"/>
        <v>#NAME?</v>
      </c>
      <c r="M31" s="27" t="e">
        <f t="shared" si="8"/>
        <v>#NAME?</v>
      </c>
      <c r="N31" s="27"/>
      <c r="O31" s="26" t="str">
        <f t="shared" si="9"/>
        <v>Central</v>
      </c>
      <c r="P31" s="26" t="e">
        <f t="shared" si="10"/>
        <v>#NAME?</v>
      </c>
      <c r="Q31" s="27" t="e">
        <f t="shared" si="11"/>
        <v>#VALUE!</v>
      </c>
      <c r="R31" s="27"/>
      <c r="S31" s="26">
        <f t="shared" si="12"/>
        <v>246</v>
      </c>
      <c r="T31" s="26" t="e">
        <f t="shared" si="13"/>
        <v>#NAME?</v>
      </c>
      <c r="U31" s="27" t="e">
        <f t="shared" si="14"/>
        <v>#NAME?</v>
      </c>
      <c r="V31" s="27"/>
      <c r="W31" s="26">
        <f t="shared" si="15"/>
        <v>168</v>
      </c>
      <c r="X31" s="26" t="e">
        <f t="shared" si="16"/>
        <v>#NAME?</v>
      </c>
      <c r="Y31" s="27" t="e">
        <f t="shared" si="17"/>
        <v>#NAME?</v>
      </c>
    </row>
    <row r="32" spans="1:25" ht="16.5" customHeight="1" x14ac:dyDescent="0.3">
      <c r="A32" s="16" t="s">
        <v>74</v>
      </c>
      <c r="B32" s="16" t="s">
        <v>290</v>
      </c>
      <c r="C32" s="25">
        <f t="shared" si="0"/>
        <v>587</v>
      </c>
      <c r="D32" s="25" t="e">
        <f t="shared" si="1"/>
        <v>#NAME?</v>
      </c>
      <c r="E32" s="27" t="e">
        <f t="shared" si="2"/>
        <v>#NAME?</v>
      </c>
      <c r="F32" s="25"/>
      <c r="G32" s="25">
        <f t="shared" si="3"/>
        <v>1</v>
      </c>
      <c r="H32" s="25" t="e">
        <f t="shared" si="4"/>
        <v>#NAME?</v>
      </c>
      <c r="I32" s="27" t="e">
        <f t="shared" si="5"/>
        <v>#NAME?</v>
      </c>
      <c r="J32" s="25"/>
      <c r="K32" s="25">
        <f t="shared" si="6"/>
        <v>1</v>
      </c>
      <c r="L32" s="25" t="e">
        <f t="shared" si="7"/>
        <v>#NAME?</v>
      </c>
      <c r="M32" s="27" t="e">
        <f t="shared" si="8"/>
        <v>#NAME?</v>
      </c>
      <c r="N32" s="27"/>
      <c r="O32" s="26" t="str">
        <f t="shared" si="9"/>
        <v>Northern</v>
      </c>
      <c r="P32" s="26" t="e">
        <f t="shared" si="10"/>
        <v>#NAME?</v>
      </c>
      <c r="Q32" s="27" t="e">
        <f t="shared" si="11"/>
        <v>#VALUE!</v>
      </c>
      <c r="R32" s="27"/>
      <c r="S32" s="26">
        <f t="shared" si="12"/>
        <v>3889</v>
      </c>
      <c r="T32" s="26" t="e">
        <f t="shared" si="13"/>
        <v>#NAME?</v>
      </c>
      <c r="U32" s="27" t="e">
        <f t="shared" si="14"/>
        <v>#NAME?</v>
      </c>
      <c r="V32" s="27"/>
      <c r="W32" s="26">
        <f t="shared" si="15"/>
        <v>2581</v>
      </c>
      <c r="X32" s="26" t="e">
        <f t="shared" si="16"/>
        <v>#NAME?</v>
      </c>
      <c r="Y32" s="27" t="e">
        <f t="shared" si="17"/>
        <v>#NAME?</v>
      </c>
    </row>
    <row r="33" spans="1:25" ht="16.5" customHeight="1" x14ac:dyDescent="0.3">
      <c r="A33" s="16" t="s">
        <v>76</v>
      </c>
      <c r="B33" s="16" t="s">
        <v>77</v>
      </c>
      <c r="C33" s="25">
        <f t="shared" si="0"/>
        <v>25</v>
      </c>
      <c r="D33" s="25" t="e">
        <f t="shared" si="1"/>
        <v>#NAME?</v>
      </c>
      <c r="E33" s="27" t="e">
        <f t="shared" si="2"/>
        <v>#NAME?</v>
      </c>
      <c r="F33" s="25"/>
      <c r="G33" s="25">
        <f t="shared" si="3"/>
        <v>0</v>
      </c>
      <c r="H33" s="25" t="e">
        <f t="shared" si="4"/>
        <v>#NAME?</v>
      </c>
      <c r="I33" s="27" t="e">
        <f t="shared" si="5"/>
        <v>#NAME?</v>
      </c>
      <c r="J33" s="25"/>
      <c r="K33" s="25">
        <f t="shared" si="6"/>
        <v>0</v>
      </c>
      <c r="L33" s="25" t="e">
        <f t="shared" si="7"/>
        <v>#NAME?</v>
      </c>
      <c r="M33" s="27" t="e">
        <f t="shared" si="8"/>
        <v>#NAME?</v>
      </c>
      <c r="N33" s="27"/>
      <c r="O33" s="26" t="str">
        <f t="shared" si="9"/>
        <v>Northern</v>
      </c>
      <c r="P33" s="26" t="e">
        <f t="shared" si="10"/>
        <v>#NAME?</v>
      </c>
      <c r="Q33" s="27" t="e">
        <f t="shared" si="11"/>
        <v>#VALUE!</v>
      </c>
      <c r="R33" s="27"/>
      <c r="S33" s="26">
        <f t="shared" si="12"/>
        <v>288</v>
      </c>
      <c r="T33" s="26" t="e">
        <f t="shared" si="13"/>
        <v>#NAME?</v>
      </c>
      <c r="U33" s="27" t="e">
        <f t="shared" si="14"/>
        <v>#NAME?</v>
      </c>
      <c r="V33" s="27"/>
      <c r="W33" s="26">
        <f t="shared" si="15"/>
        <v>210</v>
      </c>
      <c r="X33" s="26" t="e">
        <f t="shared" si="16"/>
        <v>#NAME?</v>
      </c>
      <c r="Y33" s="27" t="e">
        <f t="shared" si="17"/>
        <v>#NAME?</v>
      </c>
    </row>
    <row r="34" spans="1:25" ht="16.5" customHeight="1" x14ac:dyDescent="0.3">
      <c r="A34" s="16" t="s">
        <v>78</v>
      </c>
      <c r="B34" s="16" t="s">
        <v>79</v>
      </c>
      <c r="C34" s="25">
        <f t="shared" si="0"/>
        <v>18</v>
      </c>
      <c r="D34" s="25" t="e">
        <f t="shared" si="1"/>
        <v>#NAME?</v>
      </c>
      <c r="E34" s="27" t="e">
        <f t="shared" si="2"/>
        <v>#NAME?</v>
      </c>
      <c r="F34" s="25"/>
      <c r="G34" s="25">
        <f t="shared" si="3"/>
        <v>1</v>
      </c>
      <c r="H34" s="25" t="e">
        <f t="shared" si="4"/>
        <v>#NAME?</v>
      </c>
      <c r="I34" s="27" t="e">
        <f t="shared" si="5"/>
        <v>#NAME?</v>
      </c>
      <c r="J34" s="25"/>
      <c r="K34" s="25">
        <f t="shared" si="6"/>
        <v>0</v>
      </c>
      <c r="L34" s="25" t="e">
        <f t="shared" si="7"/>
        <v>#NAME?</v>
      </c>
      <c r="M34" s="27" t="e">
        <f t="shared" si="8"/>
        <v>#NAME?</v>
      </c>
      <c r="N34" s="27"/>
      <c r="O34" s="26" t="str">
        <f t="shared" si="9"/>
        <v>Western</v>
      </c>
      <c r="P34" s="26" t="e">
        <f t="shared" si="10"/>
        <v>#NAME?</v>
      </c>
      <c r="Q34" s="27" t="e">
        <f t="shared" si="11"/>
        <v>#VALUE!</v>
      </c>
      <c r="R34" s="27"/>
      <c r="S34" s="26">
        <f t="shared" si="12"/>
        <v>161</v>
      </c>
      <c r="T34" s="26" t="e">
        <f t="shared" si="13"/>
        <v>#NAME?</v>
      </c>
      <c r="U34" s="27" t="e">
        <f t="shared" si="14"/>
        <v>#NAME?</v>
      </c>
      <c r="V34" s="27"/>
      <c r="W34" s="26">
        <f t="shared" si="15"/>
        <v>114</v>
      </c>
      <c r="X34" s="26" t="e">
        <f t="shared" si="16"/>
        <v>#NAME?</v>
      </c>
      <c r="Y34" s="27" t="e">
        <f t="shared" si="17"/>
        <v>#NAME?</v>
      </c>
    </row>
    <row r="35" spans="1:25" ht="16.5" customHeight="1" x14ac:dyDescent="0.3">
      <c r="A35" s="16" t="s">
        <v>80</v>
      </c>
      <c r="B35" s="16" t="s">
        <v>81</v>
      </c>
      <c r="C35" s="25">
        <f t="shared" si="0"/>
        <v>6</v>
      </c>
      <c r="D35" s="25" t="e">
        <f t="shared" si="1"/>
        <v>#NAME?</v>
      </c>
      <c r="E35" s="27" t="e">
        <f t="shared" si="2"/>
        <v>#NAME?</v>
      </c>
      <c r="F35" s="25"/>
      <c r="G35" s="25">
        <f t="shared" si="3"/>
        <v>0</v>
      </c>
      <c r="H35" s="25" t="e">
        <f t="shared" si="4"/>
        <v>#NAME?</v>
      </c>
      <c r="I35" s="27" t="e">
        <f t="shared" si="5"/>
        <v>#NAME?</v>
      </c>
      <c r="J35" s="25"/>
      <c r="K35" s="25">
        <f t="shared" si="6"/>
        <v>0</v>
      </c>
      <c r="L35" s="25" t="e">
        <f t="shared" si="7"/>
        <v>#NAME?</v>
      </c>
      <c r="M35" s="27" t="e">
        <f t="shared" si="8"/>
        <v>#NAME?</v>
      </c>
      <c r="N35" s="27"/>
      <c r="O35" s="26" t="str">
        <f t="shared" si="9"/>
        <v>Central</v>
      </c>
      <c r="P35" s="26" t="e">
        <f t="shared" si="10"/>
        <v>#NAME?</v>
      </c>
      <c r="Q35" s="27" t="e">
        <f t="shared" si="11"/>
        <v>#VALUE!</v>
      </c>
      <c r="R35" s="27"/>
      <c r="S35" s="26">
        <f t="shared" si="12"/>
        <v>89</v>
      </c>
      <c r="T35" s="26" t="e">
        <f t="shared" si="13"/>
        <v>#NAME?</v>
      </c>
      <c r="U35" s="27" t="e">
        <f t="shared" si="14"/>
        <v>#NAME?</v>
      </c>
      <c r="V35" s="27"/>
      <c r="W35" s="26">
        <f t="shared" si="15"/>
        <v>71</v>
      </c>
      <c r="X35" s="26" t="e">
        <f t="shared" si="16"/>
        <v>#NAME?</v>
      </c>
      <c r="Y35" s="27" t="e">
        <f t="shared" si="17"/>
        <v>#NAME?</v>
      </c>
    </row>
    <row r="36" spans="1:25" ht="16.5" customHeight="1" x14ac:dyDescent="0.3">
      <c r="A36" s="16" t="s">
        <v>84</v>
      </c>
      <c r="B36" s="16" t="s">
        <v>296</v>
      </c>
      <c r="C36" s="25">
        <f t="shared" ref="C36:C67" si="18">VLOOKUP(A36,TANFClient_Demo,7,FALSE)</f>
        <v>48</v>
      </c>
      <c r="D36" s="25" t="e">
        <f t="shared" ref="D36:D67" si="19">VLOOKUP(A36,Pop,14,FALSE)</f>
        <v>#NAME?</v>
      </c>
      <c r="E36" s="27" t="e">
        <f t="shared" ref="E36:E67" si="20">+C36/D36</f>
        <v>#NAME?</v>
      </c>
      <c r="F36" s="25"/>
      <c r="G36" s="25">
        <f t="shared" ref="G36:G67" si="21">VLOOKUP(A36,TANFClient_Demo,8,FALSE)</f>
        <v>0</v>
      </c>
      <c r="H36" s="25" t="e">
        <f t="shared" ref="H36:H67" si="22">VLOOKUP(A36,Pop,15,FALSE)</f>
        <v>#NAME?</v>
      </c>
      <c r="I36" s="27" t="e">
        <f t="shared" ref="I36:I67" si="23">+G36/H36</f>
        <v>#NAME?</v>
      </c>
      <c r="J36" s="25"/>
      <c r="K36" s="25">
        <f t="shared" ref="K36:K67" si="24">VLOOKUP(A36,TANFClient_Demo,9,FALSE)</f>
        <v>0</v>
      </c>
      <c r="L36" s="25" t="e">
        <f t="shared" ref="L36:L67" si="25">VLOOKUP(A36,Pop,16,FALSE)</f>
        <v>#NAME?</v>
      </c>
      <c r="M36" s="27" t="e">
        <f t="shared" ref="M36:M67" si="26">+K36/L36</f>
        <v>#NAME?</v>
      </c>
      <c r="N36" s="27"/>
      <c r="O36" s="26" t="str">
        <f t="shared" ref="O36:O67" si="27">VLOOKUP(A36,TANFClient_Demo,3,FALSE)</f>
        <v>Piedmont</v>
      </c>
      <c r="P36" s="26" t="e">
        <f t="shared" ref="P36:P67" si="28">VLOOKUP(A36,Pop,8,FALSE)</f>
        <v>#NAME?</v>
      </c>
      <c r="Q36" s="27" t="e">
        <f t="shared" ref="Q36:Q67" si="29">+O36/P36</f>
        <v>#VALUE!</v>
      </c>
      <c r="R36" s="27"/>
      <c r="S36" s="26">
        <f t="shared" ref="S36:S67" si="30">VLOOKUP(A36,TANFClient_Demo,4,FALSE)</f>
        <v>546</v>
      </c>
      <c r="T36" s="26" t="e">
        <f t="shared" ref="T36:T67" si="31">VLOOKUP(A36,Pop,9,FALSE)</f>
        <v>#NAME?</v>
      </c>
      <c r="U36" s="27" t="e">
        <f t="shared" ref="U36:U67" si="32">+S36/T36</f>
        <v>#NAME?</v>
      </c>
      <c r="V36" s="27"/>
      <c r="W36" s="26">
        <f t="shared" ref="W36:W67" si="33">VLOOKUP(A36,TANFClient_Demo,5,FALSE)</f>
        <v>395</v>
      </c>
      <c r="X36" s="26" t="e">
        <f t="shared" ref="X36:X67" si="34">VLOOKUP(A36,Pop,10,FALSE)</f>
        <v>#NAME?</v>
      </c>
      <c r="Y36" s="27" t="e">
        <f t="shared" ref="Y36:Y67" si="35">+W36/X36</f>
        <v>#NAME?</v>
      </c>
    </row>
    <row r="37" spans="1:25" ht="16.5" customHeight="1" x14ac:dyDescent="0.3">
      <c r="A37" s="16" t="s">
        <v>86</v>
      </c>
      <c r="B37" s="16" t="s">
        <v>87</v>
      </c>
      <c r="C37" s="25">
        <f t="shared" si="18"/>
        <v>30</v>
      </c>
      <c r="D37" s="25" t="e">
        <f t="shared" si="19"/>
        <v>#NAME?</v>
      </c>
      <c r="E37" s="27" t="e">
        <f t="shared" si="20"/>
        <v>#NAME?</v>
      </c>
      <c r="F37" s="25"/>
      <c r="G37" s="25">
        <f t="shared" si="21"/>
        <v>1</v>
      </c>
      <c r="H37" s="25" t="e">
        <f t="shared" si="22"/>
        <v>#NAME?</v>
      </c>
      <c r="I37" s="27" t="e">
        <f t="shared" si="23"/>
        <v>#NAME?</v>
      </c>
      <c r="J37" s="25"/>
      <c r="K37" s="25">
        <f t="shared" si="24"/>
        <v>0</v>
      </c>
      <c r="L37" s="25" t="e">
        <f t="shared" si="25"/>
        <v>#NAME?</v>
      </c>
      <c r="M37" s="27" t="e">
        <f t="shared" si="26"/>
        <v>#NAME?</v>
      </c>
      <c r="N37" s="27"/>
      <c r="O37" s="26" t="str">
        <f t="shared" si="27"/>
        <v>Northern</v>
      </c>
      <c r="P37" s="26" t="e">
        <f t="shared" si="28"/>
        <v>#NAME?</v>
      </c>
      <c r="Q37" s="27" t="e">
        <f t="shared" si="29"/>
        <v>#VALUE!</v>
      </c>
      <c r="R37" s="27"/>
      <c r="S37" s="26">
        <f t="shared" si="30"/>
        <v>346</v>
      </c>
      <c r="T37" s="26" t="e">
        <f t="shared" si="31"/>
        <v>#NAME?</v>
      </c>
      <c r="U37" s="27" t="e">
        <f t="shared" si="32"/>
        <v>#NAME?</v>
      </c>
      <c r="V37" s="27"/>
      <c r="W37" s="26">
        <f t="shared" si="33"/>
        <v>252</v>
      </c>
      <c r="X37" s="26" t="e">
        <f t="shared" si="34"/>
        <v>#NAME?</v>
      </c>
      <c r="Y37" s="27" t="e">
        <f t="shared" si="35"/>
        <v>#NAME?</v>
      </c>
    </row>
    <row r="38" spans="1:25" ht="16.5" customHeight="1" x14ac:dyDescent="0.3">
      <c r="A38" s="16" t="s">
        <v>92</v>
      </c>
      <c r="B38" s="16" t="s">
        <v>93</v>
      </c>
      <c r="C38" s="25">
        <f t="shared" si="18"/>
        <v>18</v>
      </c>
      <c r="D38" s="25" t="e">
        <f t="shared" si="19"/>
        <v>#NAME?</v>
      </c>
      <c r="E38" s="27" t="e">
        <f t="shared" si="20"/>
        <v>#NAME?</v>
      </c>
      <c r="F38" s="25"/>
      <c r="G38" s="25">
        <f t="shared" si="21"/>
        <v>0</v>
      </c>
      <c r="H38" s="25" t="e">
        <f t="shared" si="22"/>
        <v>#NAME?</v>
      </c>
      <c r="I38" s="27" t="e">
        <f t="shared" si="23"/>
        <v>#NAME?</v>
      </c>
      <c r="J38" s="25"/>
      <c r="K38" s="25">
        <f t="shared" si="24"/>
        <v>0</v>
      </c>
      <c r="L38" s="25" t="e">
        <f t="shared" si="25"/>
        <v>#NAME?</v>
      </c>
      <c r="M38" s="27" t="e">
        <f t="shared" si="26"/>
        <v>#NAME?</v>
      </c>
      <c r="N38" s="27"/>
      <c r="O38" s="26" t="str">
        <f t="shared" si="27"/>
        <v>Western</v>
      </c>
      <c r="P38" s="26" t="e">
        <f t="shared" si="28"/>
        <v>#NAME?</v>
      </c>
      <c r="Q38" s="27" t="e">
        <f t="shared" si="29"/>
        <v>#VALUE!</v>
      </c>
      <c r="R38" s="27"/>
      <c r="S38" s="26">
        <f t="shared" si="30"/>
        <v>191</v>
      </c>
      <c r="T38" s="26" t="e">
        <f t="shared" si="31"/>
        <v>#NAME?</v>
      </c>
      <c r="U38" s="27" t="e">
        <f t="shared" si="32"/>
        <v>#NAME?</v>
      </c>
      <c r="V38" s="27"/>
      <c r="W38" s="26">
        <f t="shared" si="33"/>
        <v>141</v>
      </c>
      <c r="X38" s="26" t="e">
        <f t="shared" si="34"/>
        <v>#NAME?</v>
      </c>
      <c r="Y38" s="27" t="e">
        <f t="shared" si="35"/>
        <v>#NAME?</v>
      </c>
    </row>
    <row r="39" spans="1:25" ht="16.5" customHeight="1" x14ac:dyDescent="0.3">
      <c r="A39" s="16" t="s">
        <v>94</v>
      </c>
      <c r="B39" s="16" t="s">
        <v>95</v>
      </c>
      <c r="C39" s="25">
        <f t="shared" si="18"/>
        <v>31</v>
      </c>
      <c r="D39" s="25" t="e">
        <f t="shared" si="19"/>
        <v>#NAME?</v>
      </c>
      <c r="E39" s="27" t="e">
        <f t="shared" si="20"/>
        <v>#NAME?</v>
      </c>
      <c r="F39" s="25"/>
      <c r="G39" s="25">
        <f t="shared" si="21"/>
        <v>0</v>
      </c>
      <c r="H39" s="25" t="e">
        <f t="shared" si="22"/>
        <v>#NAME?</v>
      </c>
      <c r="I39" s="27" t="e">
        <f t="shared" si="23"/>
        <v>#NAME?</v>
      </c>
      <c r="J39" s="25"/>
      <c r="K39" s="25">
        <f t="shared" si="24"/>
        <v>0</v>
      </c>
      <c r="L39" s="25" t="e">
        <f t="shared" si="25"/>
        <v>#NAME?</v>
      </c>
      <c r="M39" s="27" t="e">
        <f t="shared" si="26"/>
        <v>#NAME?</v>
      </c>
      <c r="N39" s="27"/>
      <c r="O39" s="26" t="str">
        <f t="shared" si="27"/>
        <v>Eastern</v>
      </c>
      <c r="P39" s="26" t="e">
        <f t="shared" si="28"/>
        <v>#NAME?</v>
      </c>
      <c r="Q39" s="27" t="e">
        <f t="shared" si="29"/>
        <v>#VALUE!</v>
      </c>
      <c r="R39" s="27"/>
      <c r="S39" s="26">
        <f t="shared" si="30"/>
        <v>287</v>
      </c>
      <c r="T39" s="26" t="e">
        <f t="shared" si="31"/>
        <v>#NAME?</v>
      </c>
      <c r="U39" s="27" t="e">
        <f t="shared" si="32"/>
        <v>#NAME?</v>
      </c>
      <c r="V39" s="27"/>
      <c r="W39" s="26">
        <f t="shared" si="33"/>
        <v>203</v>
      </c>
      <c r="X39" s="26" t="e">
        <f t="shared" si="34"/>
        <v>#NAME?</v>
      </c>
      <c r="Y39" s="27" t="e">
        <f t="shared" si="35"/>
        <v>#NAME?</v>
      </c>
    </row>
    <row r="40" spans="1:25" ht="16.5" customHeight="1" x14ac:dyDescent="0.3">
      <c r="A40" s="16" t="s">
        <v>96</v>
      </c>
      <c r="B40" s="16" t="s">
        <v>97</v>
      </c>
      <c r="C40" s="25">
        <f t="shared" si="18"/>
        <v>9</v>
      </c>
      <c r="D40" s="25" t="e">
        <f t="shared" si="19"/>
        <v>#NAME?</v>
      </c>
      <c r="E40" s="27" t="e">
        <f t="shared" si="20"/>
        <v>#NAME?</v>
      </c>
      <c r="F40" s="25"/>
      <c r="G40" s="25">
        <f t="shared" si="21"/>
        <v>0</v>
      </c>
      <c r="H40" s="25" t="e">
        <f t="shared" si="22"/>
        <v>#NAME?</v>
      </c>
      <c r="I40" s="27" t="e">
        <f t="shared" si="23"/>
        <v>#NAME?</v>
      </c>
      <c r="J40" s="25"/>
      <c r="K40" s="25">
        <f t="shared" si="24"/>
        <v>0</v>
      </c>
      <c r="L40" s="25" t="e">
        <f t="shared" si="25"/>
        <v>#NAME?</v>
      </c>
      <c r="M40" s="27" t="e">
        <f t="shared" si="26"/>
        <v>#NAME?</v>
      </c>
      <c r="N40" s="27"/>
      <c r="O40" s="26" t="str">
        <f t="shared" si="27"/>
        <v>Central</v>
      </c>
      <c r="P40" s="26" t="e">
        <f t="shared" si="28"/>
        <v>#NAME?</v>
      </c>
      <c r="Q40" s="27" t="e">
        <f t="shared" si="29"/>
        <v>#VALUE!</v>
      </c>
      <c r="R40" s="27"/>
      <c r="S40" s="26">
        <f t="shared" si="30"/>
        <v>62</v>
      </c>
      <c r="T40" s="26" t="e">
        <f t="shared" si="31"/>
        <v>#NAME?</v>
      </c>
      <c r="U40" s="27" t="e">
        <f t="shared" si="32"/>
        <v>#NAME?</v>
      </c>
      <c r="V40" s="27"/>
      <c r="W40" s="26">
        <f t="shared" si="33"/>
        <v>40</v>
      </c>
      <c r="X40" s="26" t="e">
        <f t="shared" si="34"/>
        <v>#NAME?</v>
      </c>
      <c r="Y40" s="27" t="e">
        <f t="shared" si="35"/>
        <v>#NAME?</v>
      </c>
    </row>
    <row r="41" spans="1:25" ht="16.5" customHeight="1" x14ac:dyDescent="0.3">
      <c r="A41" s="16" t="s">
        <v>98</v>
      </c>
      <c r="B41" s="16" t="s">
        <v>99</v>
      </c>
      <c r="C41" s="25">
        <f t="shared" si="18"/>
        <v>16</v>
      </c>
      <c r="D41" s="25" t="e">
        <f t="shared" si="19"/>
        <v>#NAME?</v>
      </c>
      <c r="E41" s="27" t="e">
        <f t="shared" si="20"/>
        <v>#NAME?</v>
      </c>
      <c r="F41" s="25"/>
      <c r="G41" s="25">
        <f t="shared" si="21"/>
        <v>0</v>
      </c>
      <c r="H41" s="25" t="e">
        <f t="shared" si="22"/>
        <v>#NAME?</v>
      </c>
      <c r="I41" s="27" t="e">
        <f t="shared" si="23"/>
        <v>#NAME?</v>
      </c>
      <c r="J41" s="25"/>
      <c r="K41" s="25">
        <f t="shared" si="24"/>
        <v>0</v>
      </c>
      <c r="L41" s="25" t="e">
        <f t="shared" si="25"/>
        <v>#NAME?</v>
      </c>
      <c r="M41" s="27" t="e">
        <f t="shared" si="26"/>
        <v>#NAME?</v>
      </c>
      <c r="N41" s="27"/>
      <c r="O41" s="26" t="str">
        <f t="shared" si="27"/>
        <v>Western</v>
      </c>
      <c r="P41" s="26" t="e">
        <f t="shared" si="28"/>
        <v>#NAME?</v>
      </c>
      <c r="Q41" s="27" t="e">
        <f t="shared" si="29"/>
        <v>#VALUE!</v>
      </c>
      <c r="R41" s="27"/>
      <c r="S41" s="26">
        <f t="shared" si="30"/>
        <v>133</v>
      </c>
      <c r="T41" s="26" t="e">
        <f t="shared" si="31"/>
        <v>#NAME?</v>
      </c>
      <c r="U41" s="27" t="e">
        <f t="shared" si="32"/>
        <v>#NAME?</v>
      </c>
      <c r="V41" s="27"/>
      <c r="W41" s="26">
        <f t="shared" si="33"/>
        <v>97</v>
      </c>
      <c r="X41" s="26" t="e">
        <f t="shared" si="34"/>
        <v>#NAME?</v>
      </c>
      <c r="Y41" s="27" t="e">
        <f t="shared" si="35"/>
        <v>#NAME?</v>
      </c>
    </row>
    <row r="42" spans="1:25" ht="16.5" customHeight="1" x14ac:dyDescent="0.3">
      <c r="A42" s="16" t="s">
        <v>100</v>
      </c>
      <c r="B42" s="16" t="s">
        <v>101</v>
      </c>
      <c r="C42" s="25">
        <f t="shared" si="18"/>
        <v>19</v>
      </c>
      <c r="D42" s="25" t="e">
        <f t="shared" si="19"/>
        <v>#NAME?</v>
      </c>
      <c r="E42" s="27" t="e">
        <f t="shared" si="20"/>
        <v>#NAME?</v>
      </c>
      <c r="F42" s="25"/>
      <c r="G42" s="25">
        <f t="shared" si="21"/>
        <v>0</v>
      </c>
      <c r="H42" s="25" t="e">
        <f t="shared" si="22"/>
        <v>#NAME?</v>
      </c>
      <c r="I42" s="27" t="e">
        <f t="shared" si="23"/>
        <v>#NAME?</v>
      </c>
      <c r="J42" s="25"/>
      <c r="K42" s="25">
        <f t="shared" si="24"/>
        <v>0</v>
      </c>
      <c r="L42" s="25" t="e">
        <f t="shared" si="25"/>
        <v>#NAME?</v>
      </c>
      <c r="M42" s="27" t="e">
        <f t="shared" si="26"/>
        <v>#NAME?</v>
      </c>
      <c r="N42" s="27"/>
      <c r="O42" s="26" t="str">
        <f t="shared" si="27"/>
        <v>Northern</v>
      </c>
      <c r="P42" s="26" t="e">
        <f t="shared" si="28"/>
        <v>#NAME?</v>
      </c>
      <c r="Q42" s="27" t="e">
        <f t="shared" si="29"/>
        <v>#VALUE!</v>
      </c>
      <c r="R42" s="27"/>
      <c r="S42" s="26">
        <f t="shared" si="30"/>
        <v>167</v>
      </c>
      <c r="T42" s="26" t="e">
        <f t="shared" si="31"/>
        <v>#NAME?</v>
      </c>
      <c r="U42" s="27" t="e">
        <f t="shared" si="32"/>
        <v>#NAME?</v>
      </c>
      <c r="V42" s="27"/>
      <c r="W42" s="26">
        <f t="shared" si="33"/>
        <v>121</v>
      </c>
      <c r="X42" s="26" t="e">
        <f t="shared" si="34"/>
        <v>#NAME?</v>
      </c>
      <c r="Y42" s="27" t="e">
        <f t="shared" si="35"/>
        <v>#NAME?</v>
      </c>
    </row>
    <row r="43" spans="1:25" ht="16.5" customHeight="1" x14ac:dyDescent="0.3">
      <c r="A43" s="16" t="s">
        <v>102</v>
      </c>
      <c r="B43" s="16" t="s">
        <v>103</v>
      </c>
      <c r="C43" s="25">
        <f t="shared" si="18"/>
        <v>27</v>
      </c>
      <c r="D43" s="25" t="e">
        <f t="shared" si="19"/>
        <v>#NAME?</v>
      </c>
      <c r="E43" s="27" t="e">
        <f t="shared" si="20"/>
        <v>#NAME?</v>
      </c>
      <c r="F43" s="25"/>
      <c r="G43" s="25">
        <f t="shared" si="21"/>
        <v>0</v>
      </c>
      <c r="H43" s="25" t="e">
        <f t="shared" si="22"/>
        <v>#NAME?</v>
      </c>
      <c r="I43" s="27" t="e">
        <f t="shared" si="23"/>
        <v>#NAME?</v>
      </c>
      <c r="J43" s="25"/>
      <c r="K43" s="25">
        <f t="shared" si="24"/>
        <v>0</v>
      </c>
      <c r="L43" s="25" t="e">
        <f t="shared" si="25"/>
        <v>#NAME?</v>
      </c>
      <c r="M43" s="27" t="e">
        <f t="shared" si="26"/>
        <v>#NAME?</v>
      </c>
      <c r="N43" s="27"/>
      <c r="O43" s="26" t="str">
        <f t="shared" si="27"/>
        <v>Eastern</v>
      </c>
      <c r="P43" s="26" t="e">
        <f t="shared" si="28"/>
        <v>#NAME?</v>
      </c>
      <c r="Q43" s="27" t="e">
        <f t="shared" si="29"/>
        <v>#VALUE!</v>
      </c>
      <c r="R43" s="27"/>
      <c r="S43" s="26">
        <f t="shared" si="30"/>
        <v>399</v>
      </c>
      <c r="T43" s="26" t="e">
        <f t="shared" si="31"/>
        <v>#NAME?</v>
      </c>
      <c r="U43" s="27" t="e">
        <f t="shared" si="32"/>
        <v>#NAME?</v>
      </c>
      <c r="V43" s="27"/>
      <c r="W43" s="26">
        <f t="shared" si="33"/>
        <v>290</v>
      </c>
      <c r="X43" s="26" t="e">
        <f t="shared" si="34"/>
        <v>#NAME?</v>
      </c>
      <c r="Y43" s="27" t="e">
        <f t="shared" si="35"/>
        <v>#NAME?</v>
      </c>
    </row>
    <row r="44" spans="1:25" ht="16.5" customHeight="1" x14ac:dyDescent="0.3">
      <c r="A44" s="16" t="s">
        <v>104</v>
      </c>
      <c r="B44" s="16" t="s">
        <v>297</v>
      </c>
      <c r="C44" s="25">
        <f t="shared" si="18"/>
        <v>22</v>
      </c>
      <c r="D44" s="25" t="e">
        <f t="shared" si="19"/>
        <v>#NAME?</v>
      </c>
      <c r="E44" s="27" t="e">
        <f t="shared" si="20"/>
        <v>#NAME?</v>
      </c>
      <c r="F44" s="25"/>
      <c r="G44" s="25">
        <f t="shared" si="21"/>
        <v>0</v>
      </c>
      <c r="H44" s="25" t="e">
        <f t="shared" si="22"/>
        <v>#NAME?</v>
      </c>
      <c r="I44" s="27" t="e">
        <f t="shared" si="23"/>
        <v>#NAME?</v>
      </c>
      <c r="J44" s="25"/>
      <c r="K44" s="25">
        <f t="shared" si="24"/>
        <v>0</v>
      </c>
      <c r="L44" s="25" t="e">
        <f t="shared" si="25"/>
        <v>#NAME?</v>
      </c>
      <c r="M44" s="27" t="e">
        <f t="shared" si="26"/>
        <v>#NAME?</v>
      </c>
      <c r="N44" s="27"/>
      <c r="O44" s="26" t="str">
        <f t="shared" si="27"/>
        <v>Piedmont</v>
      </c>
      <c r="P44" s="26" t="e">
        <f t="shared" si="28"/>
        <v>#NAME?</v>
      </c>
      <c r="Q44" s="27" t="e">
        <f t="shared" si="29"/>
        <v>#VALUE!</v>
      </c>
      <c r="R44" s="27"/>
      <c r="S44" s="26">
        <f t="shared" si="30"/>
        <v>390</v>
      </c>
      <c r="T44" s="26" t="e">
        <f t="shared" si="31"/>
        <v>#NAME?</v>
      </c>
      <c r="U44" s="27" t="e">
        <f t="shared" si="32"/>
        <v>#NAME?</v>
      </c>
      <c r="V44" s="27"/>
      <c r="W44" s="26">
        <f t="shared" si="33"/>
        <v>290</v>
      </c>
      <c r="X44" s="26" t="e">
        <f t="shared" si="34"/>
        <v>#NAME?</v>
      </c>
      <c r="Y44" s="27" t="e">
        <f t="shared" si="35"/>
        <v>#NAME?</v>
      </c>
    </row>
    <row r="45" spans="1:25" ht="16.5" customHeight="1" x14ac:dyDescent="0.3">
      <c r="A45" s="16" t="s">
        <v>108</v>
      </c>
      <c r="B45" s="16" t="s">
        <v>109</v>
      </c>
      <c r="C45" s="25">
        <f t="shared" si="18"/>
        <v>53</v>
      </c>
      <c r="D45" s="25" t="e">
        <f t="shared" si="19"/>
        <v>#NAME?</v>
      </c>
      <c r="E45" s="27" t="e">
        <f t="shared" si="20"/>
        <v>#NAME?</v>
      </c>
      <c r="F45" s="25"/>
      <c r="G45" s="25">
        <f t="shared" si="21"/>
        <v>0</v>
      </c>
      <c r="H45" s="25" t="e">
        <f t="shared" si="22"/>
        <v>#NAME?</v>
      </c>
      <c r="I45" s="27" t="e">
        <f t="shared" si="23"/>
        <v>#NAME?</v>
      </c>
      <c r="J45" s="25"/>
      <c r="K45" s="25">
        <f t="shared" si="24"/>
        <v>0</v>
      </c>
      <c r="L45" s="25" t="e">
        <f t="shared" si="25"/>
        <v>#NAME?</v>
      </c>
      <c r="M45" s="27" t="e">
        <f t="shared" si="26"/>
        <v>#NAME?</v>
      </c>
      <c r="N45" s="27"/>
      <c r="O45" s="26" t="str">
        <f t="shared" si="27"/>
        <v>Central</v>
      </c>
      <c r="P45" s="26" t="e">
        <f t="shared" si="28"/>
        <v>#NAME?</v>
      </c>
      <c r="Q45" s="27" t="e">
        <f t="shared" si="29"/>
        <v>#VALUE!</v>
      </c>
      <c r="R45" s="27"/>
      <c r="S45" s="26">
        <f t="shared" si="30"/>
        <v>438</v>
      </c>
      <c r="T45" s="26" t="e">
        <f t="shared" si="31"/>
        <v>#NAME?</v>
      </c>
      <c r="U45" s="27" t="e">
        <f t="shared" si="32"/>
        <v>#NAME?</v>
      </c>
      <c r="V45" s="27"/>
      <c r="W45" s="26">
        <f t="shared" si="33"/>
        <v>304</v>
      </c>
      <c r="X45" s="26" t="e">
        <f t="shared" si="34"/>
        <v>#NAME?</v>
      </c>
      <c r="Y45" s="27" t="e">
        <f t="shared" si="35"/>
        <v>#NAME?</v>
      </c>
    </row>
    <row r="46" spans="1:25" ht="16.5" customHeight="1" x14ac:dyDescent="0.3">
      <c r="A46" s="16" t="s">
        <v>110</v>
      </c>
      <c r="B46" s="16" t="s">
        <v>111</v>
      </c>
      <c r="C46" s="25">
        <f t="shared" si="18"/>
        <v>391</v>
      </c>
      <c r="D46" s="25" t="e">
        <f t="shared" si="19"/>
        <v>#NAME?</v>
      </c>
      <c r="E46" s="27" t="e">
        <f t="shared" si="20"/>
        <v>#NAME?</v>
      </c>
      <c r="F46" s="25"/>
      <c r="G46" s="25">
        <f t="shared" si="21"/>
        <v>2</v>
      </c>
      <c r="H46" s="25" t="e">
        <f t="shared" si="22"/>
        <v>#NAME?</v>
      </c>
      <c r="I46" s="27" t="e">
        <f t="shared" si="23"/>
        <v>#NAME?</v>
      </c>
      <c r="J46" s="25"/>
      <c r="K46" s="25">
        <f t="shared" si="24"/>
        <v>0</v>
      </c>
      <c r="L46" s="25" t="e">
        <f t="shared" si="25"/>
        <v>#NAME?</v>
      </c>
      <c r="M46" s="27" t="e">
        <f t="shared" si="26"/>
        <v>#NAME?</v>
      </c>
      <c r="N46" s="27"/>
      <c r="O46" s="26" t="str">
        <f t="shared" si="27"/>
        <v>Central</v>
      </c>
      <c r="P46" s="26" t="e">
        <f t="shared" si="28"/>
        <v>#NAME?</v>
      </c>
      <c r="Q46" s="27" t="e">
        <f t="shared" si="29"/>
        <v>#VALUE!</v>
      </c>
      <c r="R46" s="27"/>
      <c r="S46" s="26">
        <f t="shared" si="30"/>
        <v>3695</v>
      </c>
      <c r="T46" s="26" t="e">
        <f t="shared" si="31"/>
        <v>#NAME?</v>
      </c>
      <c r="U46" s="27" t="e">
        <f t="shared" si="32"/>
        <v>#NAME?</v>
      </c>
      <c r="V46" s="27"/>
      <c r="W46" s="26">
        <f t="shared" si="33"/>
        <v>2498</v>
      </c>
      <c r="X46" s="26" t="e">
        <f t="shared" si="34"/>
        <v>#NAME?</v>
      </c>
      <c r="Y46" s="27" t="e">
        <f t="shared" si="35"/>
        <v>#NAME?</v>
      </c>
    </row>
    <row r="47" spans="1:25" ht="16.5" customHeight="1" x14ac:dyDescent="0.3">
      <c r="A47" s="16" t="s">
        <v>112</v>
      </c>
      <c r="B47" s="16" t="s">
        <v>288</v>
      </c>
      <c r="C47" s="25">
        <f t="shared" si="18"/>
        <v>67</v>
      </c>
      <c r="D47" s="25" t="e">
        <f t="shared" si="19"/>
        <v>#NAME?</v>
      </c>
      <c r="E47" s="27" t="e">
        <f t="shared" si="20"/>
        <v>#NAME?</v>
      </c>
      <c r="F47" s="25"/>
      <c r="G47" s="25">
        <f t="shared" si="21"/>
        <v>0</v>
      </c>
      <c r="H47" s="25" t="e">
        <f t="shared" si="22"/>
        <v>#NAME?</v>
      </c>
      <c r="I47" s="27" t="e">
        <f t="shared" si="23"/>
        <v>#NAME?</v>
      </c>
      <c r="J47" s="25"/>
      <c r="K47" s="25">
        <f t="shared" si="24"/>
        <v>0</v>
      </c>
      <c r="L47" s="25" t="e">
        <f t="shared" si="25"/>
        <v>#NAME?</v>
      </c>
      <c r="M47" s="27" t="e">
        <f t="shared" si="26"/>
        <v>#NAME?</v>
      </c>
      <c r="N47" s="27"/>
      <c r="O47" s="26" t="str">
        <f t="shared" si="27"/>
        <v>Piedmont</v>
      </c>
      <c r="P47" s="26" t="e">
        <f t="shared" si="28"/>
        <v>#NAME?</v>
      </c>
      <c r="Q47" s="27" t="e">
        <f t="shared" si="29"/>
        <v>#VALUE!</v>
      </c>
      <c r="R47" s="27"/>
      <c r="S47" s="26">
        <f t="shared" si="30"/>
        <v>1012</v>
      </c>
      <c r="T47" s="26" t="e">
        <f t="shared" si="31"/>
        <v>#NAME?</v>
      </c>
      <c r="U47" s="27" t="e">
        <f t="shared" si="32"/>
        <v>#NAME?</v>
      </c>
      <c r="V47" s="27"/>
      <c r="W47" s="26">
        <f t="shared" si="33"/>
        <v>742</v>
      </c>
      <c r="X47" s="26" t="e">
        <f t="shared" si="34"/>
        <v>#NAME?</v>
      </c>
      <c r="Y47" s="27" t="e">
        <f t="shared" si="35"/>
        <v>#NAME?</v>
      </c>
    </row>
    <row r="48" spans="1:25" ht="16.5" customHeight="1" x14ac:dyDescent="0.3">
      <c r="A48" s="16" t="s">
        <v>114</v>
      </c>
      <c r="B48" s="16" t="s">
        <v>115</v>
      </c>
      <c r="C48" s="25">
        <f t="shared" si="18"/>
        <v>0</v>
      </c>
      <c r="D48" s="25" t="e">
        <f t="shared" si="19"/>
        <v>#NAME?</v>
      </c>
      <c r="E48" s="27" t="e">
        <f t="shared" si="20"/>
        <v>#NAME?</v>
      </c>
      <c r="F48" s="25"/>
      <c r="G48" s="25">
        <f t="shared" si="21"/>
        <v>0</v>
      </c>
      <c r="H48" s="25" t="e">
        <f t="shared" si="22"/>
        <v>#NAME?</v>
      </c>
      <c r="I48" s="27" t="e">
        <f t="shared" si="23"/>
        <v>#NAME?</v>
      </c>
      <c r="J48" s="25"/>
      <c r="K48" s="25">
        <f t="shared" si="24"/>
        <v>0</v>
      </c>
      <c r="L48" s="25" t="e">
        <f t="shared" si="25"/>
        <v>#NAME?</v>
      </c>
      <c r="M48" s="27" t="e">
        <f t="shared" si="26"/>
        <v>#NAME?</v>
      </c>
      <c r="N48" s="27"/>
      <c r="O48" s="26" t="str">
        <f t="shared" si="27"/>
        <v>Piedmont</v>
      </c>
      <c r="P48" s="26" t="e">
        <f t="shared" si="28"/>
        <v>#NAME?</v>
      </c>
      <c r="Q48" s="27" t="e">
        <f t="shared" si="29"/>
        <v>#VALUE!</v>
      </c>
      <c r="R48" s="27"/>
      <c r="S48" s="26">
        <f t="shared" si="30"/>
        <v>4</v>
      </c>
      <c r="T48" s="26" t="e">
        <f t="shared" si="31"/>
        <v>#NAME?</v>
      </c>
      <c r="U48" s="27" t="e">
        <f t="shared" si="32"/>
        <v>#NAME?</v>
      </c>
      <c r="V48" s="27"/>
      <c r="W48" s="26">
        <f t="shared" si="33"/>
        <v>3</v>
      </c>
      <c r="X48" s="26" t="e">
        <f t="shared" si="34"/>
        <v>#NAME?</v>
      </c>
      <c r="Y48" s="27" t="e">
        <f t="shared" si="35"/>
        <v>#NAME?</v>
      </c>
    </row>
    <row r="49" spans="1:25" ht="16.5" customHeight="1" x14ac:dyDescent="0.3">
      <c r="A49" s="16" t="s">
        <v>118</v>
      </c>
      <c r="B49" s="16" t="s">
        <v>119</v>
      </c>
      <c r="C49" s="25">
        <f t="shared" si="18"/>
        <v>26</v>
      </c>
      <c r="D49" s="25" t="e">
        <f t="shared" si="19"/>
        <v>#NAME?</v>
      </c>
      <c r="E49" s="27" t="e">
        <f t="shared" si="20"/>
        <v>#NAME?</v>
      </c>
      <c r="F49" s="25"/>
      <c r="G49" s="25">
        <f t="shared" si="21"/>
        <v>0</v>
      </c>
      <c r="H49" s="25" t="e">
        <f t="shared" si="22"/>
        <v>#NAME?</v>
      </c>
      <c r="I49" s="27" t="e">
        <f t="shared" si="23"/>
        <v>#NAME?</v>
      </c>
      <c r="J49" s="25"/>
      <c r="K49" s="25">
        <f t="shared" si="24"/>
        <v>0</v>
      </c>
      <c r="L49" s="25" t="e">
        <f t="shared" si="25"/>
        <v>#NAME?</v>
      </c>
      <c r="M49" s="27" t="e">
        <f t="shared" si="26"/>
        <v>#NAME?</v>
      </c>
      <c r="N49" s="27"/>
      <c r="O49" s="26" t="str">
        <f t="shared" si="27"/>
        <v>Eastern</v>
      </c>
      <c r="P49" s="26" t="e">
        <f t="shared" si="28"/>
        <v>#NAME?</v>
      </c>
      <c r="Q49" s="27" t="e">
        <f t="shared" si="29"/>
        <v>#VALUE!</v>
      </c>
      <c r="R49" s="27"/>
      <c r="S49" s="26">
        <f t="shared" si="30"/>
        <v>267</v>
      </c>
      <c r="T49" s="26" t="e">
        <f t="shared" si="31"/>
        <v>#NAME?</v>
      </c>
      <c r="U49" s="27" t="e">
        <f t="shared" si="32"/>
        <v>#NAME?</v>
      </c>
      <c r="V49" s="27"/>
      <c r="W49" s="26">
        <f t="shared" si="33"/>
        <v>185</v>
      </c>
      <c r="X49" s="26" t="e">
        <f t="shared" si="34"/>
        <v>#NAME?</v>
      </c>
      <c r="Y49" s="27" t="e">
        <f t="shared" si="35"/>
        <v>#NAME?</v>
      </c>
    </row>
    <row r="50" spans="1:25" ht="16.5" customHeight="1" x14ac:dyDescent="0.3">
      <c r="A50" s="16" t="s">
        <v>120</v>
      </c>
      <c r="B50" s="16" t="s">
        <v>121</v>
      </c>
      <c r="C50" s="25">
        <f t="shared" si="18"/>
        <v>43</v>
      </c>
      <c r="D50" s="25" t="e">
        <f t="shared" si="19"/>
        <v>#NAME?</v>
      </c>
      <c r="E50" s="27" t="e">
        <f t="shared" si="20"/>
        <v>#NAME?</v>
      </c>
      <c r="F50" s="25"/>
      <c r="G50" s="25">
        <f t="shared" si="21"/>
        <v>0</v>
      </c>
      <c r="H50" s="25" t="e">
        <f t="shared" si="22"/>
        <v>#NAME?</v>
      </c>
      <c r="I50" s="27" t="e">
        <f t="shared" si="23"/>
        <v>#NAME?</v>
      </c>
      <c r="J50" s="25"/>
      <c r="K50" s="25">
        <f t="shared" si="24"/>
        <v>0</v>
      </c>
      <c r="L50" s="25" t="e">
        <f t="shared" si="25"/>
        <v>#NAME?</v>
      </c>
      <c r="M50" s="27" t="e">
        <f t="shared" si="26"/>
        <v>#NAME?</v>
      </c>
      <c r="N50" s="27"/>
      <c r="O50" s="26" t="str">
        <f t="shared" si="27"/>
        <v>Eastern</v>
      </c>
      <c r="P50" s="26" t="e">
        <f t="shared" si="28"/>
        <v>#NAME?</v>
      </c>
      <c r="Q50" s="27" t="e">
        <f t="shared" si="29"/>
        <v>#VALUE!</v>
      </c>
      <c r="R50" s="27"/>
      <c r="S50" s="26">
        <f t="shared" si="30"/>
        <v>429</v>
      </c>
      <c r="T50" s="26" t="e">
        <f t="shared" si="31"/>
        <v>#NAME?</v>
      </c>
      <c r="U50" s="27" t="e">
        <f t="shared" si="32"/>
        <v>#NAME?</v>
      </c>
      <c r="V50" s="27"/>
      <c r="W50" s="26">
        <f t="shared" si="33"/>
        <v>296</v>
      </c>
      <c r="X50" s="26" t="e">
        <f t="shared" si="34"/>
        <v>#NAME?</v>
      </c>
      <c r="Y50" s="27" t="e">
        <f t="shared" si="35"/>
        <v>#NAME?</v>
      </c>
    </row>
    <row r="51" spans="1:25" ht="16.5" customHeight="1" x14ac:dyDescent="0.3">
      <c r="A51" s="16" t="s">
        <v>122</v>
      </c>
      <c r="B51" s="16" t="s">
        <v>259</v>
      </c>
      <c r="C51" s="25">
        <f t="shared" si="18"/>
        <v>9</v>
      </c>
      <c r="D51" s="25" t="e">
        <f t="shared" si="19"/>
        <v>#NAME?</v>
      </c>
      <c r="E51" s="27" t="e">
        <f t="shared" si="20"/>
        <v>#NAME?</v>
      </c>
      <c r="F51" s="25"/>
      <c r="G51" s="25">
        <f t="shared" si="21"/>
        <v>0</v>
      </c>
      <c r="H51" s="25" t="e">
        <f t="shared" si="22"/>
        <v>#NAME?</v>
      </c>
      <c r="I51" s="27" t="e">
        <f t="shared" si="23"/>
        <v>#NAME?</v>
      </c>
      <c r="J51" s="25"/>
      <c r="K51" s="25">
        <f t="shared" si="24"/>
        <v>0</v>
      </c>
      <c r="L51" s="25" t="e">
        <f t="shared" si="25"/>
        <v>#NAME?</v>
      </c>
      <c r="M51" s="27" t="e">
        <f t="shared" si="26"/>
        <v>#NAME?</v>
      </c>
      <c r="N51" s="27"/>
      <c r="O51" s="26" t="str">
        <f t="shared" si="27"/>
        <v>Central</v>
      </c>
      <c r="P51" s="26" t="e">
        <f t="shared" si="28"/>
        <v>#NAME?</v>
      </c>
      <c r="Q51" s="27" t="e">
        <f t="shared" si="29"/>
        <v>#VALUE!</v>
      </c>
      <c r="R51" s="27"/>
      <c r="S51" s="26">
        <f t="shared" si="30"/>
        <v>95</v>
      </c>
      <c r="T51" s="26" t="e">
        <f t="shared" si="31"/>
        <v>#NAME?</v>
      </c>
      <c r="U51" s="27" t="e">
        <f t="shared" si="32"/>
        <v>#NAME?</v>
      </c>
      <c r="V51" s="27"/>
      <c r="W51" s="26">
        <f t="shared" si="33"/>
        <v>68</v>
      </c>
      <c r="X51" s="26" t="e">
        <f t="shared" si="34"/>
        <v>#NAME?</v>
      </c>
      <c r="Y51" s="27" t="e">
        <f t="shared" si="35"/>
        <v>#NAME?</v>
      </c>
    </row>
    <row r="52" spans="1:25" ht="16.5" customHeight="1" x14ac:dyDescent="0.3">
      <c r="A52" s="16" t="s">
        <v>124</v>
      </c>
      <c r="B52" s="16" t="s">
        <v>125</v>
      </c>
      <c r="C52" s="25">
        <f t="shared" si="18"/>
        <v>16</v>
      </c>
      <c r="D52" s="25" t="e">
        <f t="shared" si="19"/>
        <v>#NAME?</v>
      </c>
      <c r="E52" s="27" t="e">
        <f t="shared" si="20"/>
        <v>#NAME?</v>
      </c>
      <c r="F52" s="25"/>
      <c r="G52" s="25">
        <f t="shared" si="21"/>
        <v>0</v>
      </c>
      <c r="H52" s="25" t="e">
        <f t="shared" si="22"/>
        <v>#NAME?</v>
      </c>
      <c r="I52" s="27" t="e">
        <f t="shared" si="23"/>
        <v>#NAME?</v>
      </c>
      <c r="J52" s="25"/>
      <c r="K52" s="25">
        <f t="shared" si="24"/>
        <v>0</v>
      </c>
      <c r="L52" s="25" t="e">
        <f t="shared" si="25"/>
        <v>#NAME?</v>
      </c>
      <c r="M52" s="27" t="e">
        <f t="shared" si="26"/>
        <v>#NAME?</v>
      </c>
      <c r="N52" s="27"/>
      <c r="O52" s="26" t="str">
        <f t="shared" si="27"/>
        <v>Northern</v>
      </c>
      <c r="P52" s="26" t="e">
        <f t="shared" si="28"/>
        <v>#NAME?</v>
      </c>
      <c r="Q52" s="27" t="e">
        <f t="shared" si="29"/>
        <v>#VALUE!</v>
      </c>
      <c r="R52" s="27"/>
      <c r="S52" s="26">
        <f t="shared" si="30"/>
        <v>170</v>
      </c>
      <c r="T52" s="26" t="e">
        <f t="shared" si="31"/>
        <v>#NAME?</v>
      </c>
      <c r="U52" s="27" t="e">
        <f t="shared" si="32"/>
        <v>#NAME?</v>
      </c>
      <c r="V52" s="27"/>
      <c r="W52" s="26">
        <f t="shared" si="33"/>
        <v>129</v>
      </c>
      <c r="X52" s="26" t="e">
        <f t="shared" si="34"/>
        <v>#NAME?</v>
      </c>
      <c r="Y52" s="27" t="e">
        <f t="shared" si="35"/>
        <v>#NAME?</v>
      </c>
    </row>
    <row r="53" spans="1:25" ht="16.5" customHeight="1" x14ac:dyDescent="0.3">
      <c r="A53" s="16" t="s">
        <v>126</v>
      </c>
      <c r="B53" s="16" t="s">
        <v>127</v>
      </c>
      <c r="C53" s="25">
        <f t="shared" si="18"/>
        <v>9</v>
      </c>
      <c r="D53" s="25" t="e">
        <f t="shared" si="19"/>
        <v>#NAME?</v>
      </c>
      <c r="E53" s="27" t="e">
        <f t="shared" si="20"/>
        <v>#NAME?</v>
      </c>
      <c r="F53" s="25"/>
      <c r="G53" s="25">
        <f t="shared" si="21"/>
        <v>0</v>
      </c>
      <c r="H53" s="25" t="e">
        <f t="shared" si="22"/>
        <v>#NAME?</v>
      </c>
      <c r="I53" s="27" t="e">
        <f t="shared" si="23"/>
        <v>#NAME?</v>
      </c>
      <c r="J53" s="25"/>
      <c r="K53" s="25">
        <f t="shared" si="24"/>
        <v>0</v>
      </c>
      <c r="L53" s="25" t="e">
        <f t="shared" si="25"/>
        <v>#NAME?</v>
      </c>
      <c r="M53" s="27" t="e">
        <f t="shared" si="26"/>
        <v>#NAME?</v>
      </c>
      <c r="N53" s="27"/>
      <c r="O53" s="26" t="str">
        <f t="shared" si="27"/>
        <v>Central</v>
      </c>
      <c r="P53" s="26" t="e">
        <f t="shared" si="28"/>
        <v>#NAME?</v>
      </c>
      <c r="Q53" s="27" t="e">
        <f t="shared" si="29"/>
        <v>#VALUE!</v>
      </c>
      <c r="R53" s="27"/>
      <c r="S53" s="26">
        <f t="shared" si="30"/>
        <v>95</v>
      </c>
      <c r="T53" s="26" t="e">
        <f t="shared" si="31"/>
        <v>#NAME?</v>
      </c>
      <c r="U53" s="27" t="e">
        <f t="shared" si="32"/>
        <v>#NAME?</v>
      </c>
      <c r="V53" s="27"/>
      <c r="W53" s="26">
        <f t="shared" si="33"/>
        <v>70</v>
      </c>
      <c r="X53" s="26" t="e">
        <f t="shared" si="34"/>
        <v>#NAME?</v>
      </c>
      <c r="Y53" s="27" t="e">
        <f t="shared" si="35"/>
        <v>#NAME?</v>
      </c>
    </row>
    <row r="54" spans="1:25" ht="16.5" customHeight="1" x14ac:dyDescent="0.3">
      <c r="A54" s="16" t="s">
        <v>128</v>
      </c>
      <c r="B54" s="16" t="s">
        <v>129</v>
      </c>
      <c r="C54" s="25">
        <f t="shared" si="18"/>
        <v>11</v>
      </c>
      <c r="D54" s="25" t="e">
        <f t="shared" si="19"/>
        <v>#NAME?</v>
      </c>
      <c r="E54" s="27" t="e">
        <f t="shared" si="20"/>
        <v>#NAME?</v>
      </c>
      <c r="F54" s="25"/>
      <c r="G54" s="25">
        <f t="shared" si="21"/>
        <v>0</v>
      </c>
      <c r="H54" s="25" t="e">
        <f t="shared" si="22"/>
        <v>#NAME?</v>
      </c>
      <c r="I54" s="27" t="e">
        <f t="shared" si="23"/>
        <v>#NAME?</v>
      </c>
      <c r="J54" s="25"/>
      <c r="K54" s="25">
        <f t="shared" si="24"/>
        <v>0</v>
      </c>
      <c r="L54" s="25" t="e">
        <f t="shared" si="25"/>
        <v>#NAME?</v>
      </c>
      <c r="M54" s="27" t="e">
        <f t="shared" si="26"/>
        <v>#NAME?</v>
      </c>
      <c r="N54" s="27"/>
      <c r="O54" s="26" t="str">
        <f t="shared" si="27"/>
        <v>Central</v>
      </c>
      <c r="P54" s="26" t="e">
        <f t="shared" si="28"/>
        <v>#NAME?</v>
      </c>
      <c r="Q54" s="27" t="e">
        <f t="shared" si="29"/>
        <v>#VALUE!</v>
      </c>
      <c r="R54" s="27"/>
      <c r="S54" s="26">
        <f t="shared" si="30"/>
        <v>142</v>
      </c>
      <c r="T54" s="26" t="e">
        <f t="shared" si="31"/>
        <v>#NAME?</v>
      </c>
      <c r="U54" s="27" t="e">
        <f t="shared" si="32"/>
        <v>#NAME?</v>
      </c>
      <c r="V54" s="27"/>
      <c r="W54" s="26">
        <f t="shared" si="33"/>
        <v>98</v>
      </c>
      <c r="X54" s="26" t="e">
        <f t="shared" si="34"/>
        <v>#NAME?</v>
      </c>
      <c r="Y54" s="27" t="e">
        <f t="shared" si="35"/>
        <v>#NAME?</v>
      </c>
    </row>
    <row r="55" spans="1:25" ht="16.5" customHeight="1" x14ac:dyDescent="0.3">
      <c r="A55" s="16" t="s">
        <v>130</v>
      </c>
      <c r="B55" s="16" t="s">
        <v>131</v>
      </c>
      <c r="C55" s="25">
        <f t="shared" si="18"/>
        <v>68</v>
      </c>
      <c r="D55" s="25" t="e">
        <f t="shared" si="19"/>
        <v>#NAME?</v>
      </c>
      <c r="E55" s="27" t="e">
        <f t="shared" si="20"/>
        <v>#NAME?</v>
      </c>
      <c r="F55" s="25"/>
      <c r="G55" s="25">
        <f t="shared" si="21"/>
        <v>0</v>
      </c>
      <c r="H55" s="25" t="e">
        <f t="shared" si="22"/>
        <v>#NAME?</v>
      </c>
      <c r="I55" s="27" t="e">
        <f t="shared" si="23"/>
        <v>#NAME?</v>
      </c>
      <c r="J55" s="25"/>
      <c r="K55" s="25">
        <f t="shared" si="24"/>
        <v>0</v>
      </c>
      <c r="L55" s="25" t="e">
        <f t="shared" si="25"/>
        <v>#NAME?</v>
      </c>
      <c r="M55" s="27" t="e">
        <f t="shared" si="26"/>
        <v>#NAME?</v>
      </c>
      <c r="N55" s="27"/>
      <c r="O55" s="26" t="str">
        <f t="shared" si="27"/>
        <v>Western</v>
      </c>
      <c r="P55" s="26" t="e">
        <f t="shared" si="28"/>
        <v>#NAME?</v>
      </c>
      <c r="Q55" s="27" t="e">
        <f t="shared" si="29"/>
        <v>#VALUE!</v>
      </c>
      <c r="R55" s="27"/>
      <c r="S55" s="26">
        <f t="shared" si="30"/>
        <v>701</v>
      </c>
      <c r="T55" s="26" t="e">
        <f t="shared" si="31"/>
        <v>#NAME?</v>
      </c>
      <c r="U55" s="27" t="e">
        <f t="shared" si="32"/>
        <v>#NAME?</v>
      </c>
      <c r="V55" s="27"/>
      <c r="W55" s="26">
        <f t="shared" si="33"/>
        <v>485</v>
      </c>
      <c r="X55" s="26" t="e">
        <f t="shared" si="34"/>
        <v>#NAME?</v>
      </c>
      <c r="Y55" s="27" t="e">
        <f t="shared" si="35"/>
        <v>#NAME?</v>
      </c>
    </row>
    <row r="56" spans="1:25" ht="16.5" customHeight="1" x14ac:dyDescent="0.3">
      <c r="A56" s="16" t="s">
        <v>132</v>
      </c>
      <c r="B56" s="16" t="s">
        <v>133</v>
      </c>
      <c r="C56" s="25">
        <f t="shared" si="18"/>
        <v>164</v>
      </c>
      <c r="D56" s="25" t="e">
        <f t="shared" si="19"/>
        <v>#NAME?</v>
      </c>
      <c r="E56" s="27" t="e">
        <f t="shared" si="20"/>
        <v>#NAME?</v>
      </c>
      <c r="F56" s="25"/>
      <c r="G56" s="25">
        <f t="shared" si="21"/>
        <v>0</v>
      </c>
      <c r="H56" s="25" t="e">
        <f t="shared" si="22"/>
        <v>#NAME?</v>
      </c>
      <c r="I56" s="27" t="e">
        <f t="shared" si="23"/>
        <v>#NAME?</v>
      </c>
      <c r="J56" s="25"/>
      <c r="K56" s="25">
        <f t="shared" si="24"/>
        <v>0</v>
      </c>
      <c r="L56" s="25" t="e">
        <f t="shared" si="25"/>
        <v>#NAME?</v>
      </c>
      <c r="M56" s="27" t="e">
        <f t="shared" si="26"/>
        <v>#NAME?</v>
      </c>
      <c r="N56" s="27"/>
      <c r="O56" s="26" t="str">
        <f t="shared" si="27"/>
        <v>Northern</v>
      </c>
      <c r="P56" s="26" t="e">
        <f t="shared" si="28"/>
        <v>#NAME?</v>
      </c>
      <c r="Q56" s="27" t="e">
        <f t="shared" si="29"/>
        <v>#VALUE!</v>
      </c>
      <c r="R56" s="27"/>
      <c r="S56" s="26">
        <f t="shared" si="30"/>
        <v>898</v>
      </c>
      <c r="T56" s="26" t="e">
        <f t="shared" si="31"/>
        <v>#NAME?</v>
      </c>
      <c r="U56" s="27" t="e">
        <f t="shared" si="32"/>
        <v>#NAME?</v>
      </c>
      <c r="V56" s="27"/>
      <c r="W56" s="26">
        <f t="shared" si="33"/>
        <v>576</v>
      </c>
      <c r="X56" s="26" t="e">
        <f t="shared" si="34"/>
        <v>#NAME?</v>
      </c>
      <c r="Y56" s="27" t="e">
        <f t="shared" si="35"/>
        <v>#NAME?</v>
      </c>
    </row>
    <row r="57" spans="1:25" ht="16.5" customHeight="1" x14ac:dyDescent="0.3">
      <c r="A57" s="16" t="s">
        <v>134</v>
      </c>
      <c r="B57" s="16" t="s">
        <v>135</v>
      </c>
      <c r="C57" s="25">
        <f t="shared" si="18"/>
        <v>29</v>
      </c>
      <c r="D57" s="25" t="e">
        <f t="shared" si="19"/>
        <v>#NAME?</v>
      </c>
      <c r="E57" s="27" t="e">
        <f t="shared" si="20"/>
        <v>#NAME?</v>
      </c>
      <c r="F57" s="25"/>
      <c r="G57" s="25">
        <f t="shared" si="21"/>
        <v>0</v>
      </c>
      <c r="H57" s="25" t="e">
        <f t="shared" si="22"/>
        <v>#NAME?</v>
      </c>
      <c r="I57" s="27" t="e">
        <f t="shared" si="23"/>
        <v>#NAME?</v>
      </c>
      <c r="J57" s="25"/>
      <c r="K57" s="25">
        <f t="shared" si="24"/>
        <v>0</v>
      </c>
      <c r="L57" s="25" t="e">
        <f t="shared" si="25"/>
        <v>#NAME?</v>
      </c>
      <c r="M57" s="27" t="e">
        <f t="shared" si="26"/>
        <v>#NAME?</v>
      </c>
      <c r="N57" s="27"/>
      <c r="O57" s="26" t="str">
        <f t="shared" si="27"/>
        <v>Northern</v>
      </c>
      <c r="P57" s="26" t="e">
        <f t="shared" si="28"/>
        <v>#NAME?</v>
      </c>
      <c r="Q57" s="27" t="e">
        <f t="shared" si="29"/>
        <v>#VALUE!</v>
      </c>
      <c r="R57" s="27"/>
      <c r="S57" s="26">
        <f t="shared" si="30"/>
        <v>300</v>
      </c>
      <c r="T57" s="26" t="e">
        <f t="shared" si="31"/>
        <v>#NAME?</v>
      </c>
      <c r="U57" s="27" t="e">
        <f t="shared" si="32"/>
        <v>#NAME?</v>
      </c>
      <c r="V57" s="27"/>
      <c r="W57" s="26">
        <f t="shared" si="33"/>
        <v>220</v>
      </c>
      <c r="X57" s="26" t="e">
        <f t="shared" si="34"/>
        <v>#NAME?</v>
      </c>
      <c r="Y57" s="27" t="e">
        <f t="shared" si="35"/>
        <v>#NAME?</v>
      </c>
    </row>
    <row r="58" spans="1:25" ht="16.5" customHeight="1" x14ac:dyDescent="0.3">
      <c r="A58" s="16" t="s">
        <v>136</v>
      </c>
      <c r="B58" s="16" t="s">
        <v>137</v>
      </c>
      <c r="C58" s="25">
        <f t="shared" si="18"/>
        <v>19</v>
      </c>
      <c r="D58" s="25" t="e">
        <f t="shared" si="19"/>
        <v>#NAME?</v>
      </c>
      <c r="E58" s="27" t="e">
        <f t="shared" si="20"/>
        <v>#NAME?</v>
      </c>
      <c r="F58" s="25"/>
      <c r="G58" s="25">
        <f t="shared" si="21"/>
        <v>0</v>
      </c>
      <c r="H58" s="25" t="e">
        <f t="shared" si="22"/>
        <v>#NAME?</v>
      </c>
      <c r="I58" s="27" t="e">
        <f t="shared" si="23"/>
        <v>#NAME?</v>
      </c>
      <c r="J58" s="25"/>
      <c r="K58" s="25">
        <f t="shared" si="24"/>
        <v>0</v>
      </c>
      <c r="L58" s="25" t="e">
        <f t="shared" si="25"/>
        <v>#NAME?</v>
      </c>
      <c r="M58" s="27" t="e">
        <f t="shared" si="26"/>
        <v>#NAME?</v>
      </c>
      <c r="N58" s="27"/>
      <c r="O58" s="26" t="str">
        <f t="shared" si="27"/>
        <v>Central</v>
      </c>
      <c r="P58" s="26" t="e">
        <f t="shared" si="28"/>
        <v>#NAME?</v>
      </c>
      <c r="Q58" s="27" t="e">
        <f t="shared" si="29"/>
        <v>#VALUE!</v>
      </c>
      <c r="R58" s="27"/>
      <c r="S58" s="26">
        <f t="shared" si="30"/>
        <v>205</v>
      </c>
      <c r="T58" s="26" t="e">
        <f t="shared" si="31"/>
        <v>#NAME?</v>
      </c>
      <c r="U58" s="27" t="e">
        <f t="shared" si="32"/>
        <v>#NAME?</v>
      </c>
      <c r="V58" s="27"/>
      <c r="W58" s="26">
        <f t="shared" si="33"/>
        <v>136</v>
      </c>
      <c r="X58" s="26" t="e">
        <f t="shared" si="34"/>
        <v>#NAME?</v>
      </c>
      <c r="Y58" s="27" t="e">
        <f t="shared" si="35"/>
        <v>#NAME?</v>
      </c>
    </row>
    <row r="59" spans="1:25" ht="16.5" customHeight="1" x14ac:dyDescent="0.3">
      <c r="A59" s="16" t="s">
        <v>140</v>
      </c>
      <c r="B59" s="16" t="s">
        <v>141</v>
      </c>
      <c r="C59" s="25">
        <f t="shared" si="18"/>
        <v>10</v>
      </c>
      <c r="D59" s="25" t="e">
        <f t="shared" si="19"/>
        <v>#NAME?</v>
      </c>
      <c r="E59" s="27" t="e">
        <f t="shared" si="20"/>
        <v>#NAME?</v>
      </c>
      <c r="F59" s="25"/>
      <c r="G59" s="25">
        <f t="shared" si="21"/>
        <v>0</v>
      </c>
      <c r="H59" s="25" t="e">
        <f t="shared" si="22"/>
        <v>#NAME?</v>
      </c>
      <c r="I59" s="27" t="e">
        <f t="shared" si="23"/>
        <v>#NAME?</v>
      </c>
      <c r="J59" s="25"/>
      <c r="K59" s="25">
        <f t="shared" si="24"/>
        <v>0</v>
      </c>
      <c r="L59" s="25" t="e">
        <f t="shared" si="25"/>
        <v>#NAME?</v>
      </c>
      <c r="M59" s="27" t="e">
        <f t="shared" si="26"/>
        <v>#NAME?</v>
      </c>
      <c r="N59" s="27"/>
      <c r="O59" s="26" t="str">
        <f t="shared" si="27"/>
        <v>Northern</v>
      </c>
      <c r="P59" s="26" t="e">
        <f t="shared" si="28"/>
        <v>#NAME?</v>
      </c>
      <c r="Q59" s="27" t="e">
        <f t="shared" si="29"/>
        <v>#VALUE!</v>
      </c>
      <c r="R59" s="27"/>
      <c r="S59" s="26">
        <f t="shared" si="30"/>
        <v>78</v>
      </c>
      <c r="T59" s="26" t="e">
        <f t="shared" si="31"/>
        <v>#NAME?</v>
      </c>
      <c r="U59" s="27" t="e">
        <f t="shared" si="32"/>
        <v>#NAME?</v>
      </c>
      <c r="V59" s="27"/>
      <c r="W59" s="26">
        <f t="shared" si="33"/>
        <v>58</v>
      </c>
      <c r="X59" s="26" t="e">
        <f t="shared" si="34"/>
        <v>#NAME?</v>
      </c>
      <c r="Y59" s="27" t="e">
        <f t="shared" si="35"/>
        <v>#NAME?</v>
      </c>
    </row>
    <row r="60" spans="1:25" ht="16.5" customHeight="1" x14ac:dyDescent="0.3">
      <c r="A60" s="16" t="s">
        <v>146</v>
      </c>
      <c r="B60" s="16" t="s">
        <v>147</v>
      </c>
      <c r="C60" s="25">
        <f t="shared" si="18"/>
        <v>8</v>
      </c>
      <c r="D60" s="25" t="e">
        <f t="shared" si="19"/>
        <v>#NAME?</v>
      </c>
      <c r="E60" s="27" t="e">
        <f t="shared" si="20"/>
        <v>#NAME?</v>
      </c>
      <c r="F60" s="25"/>
      <c r="G60" s="25">
        <f t="shared" si="21"/>
        <v>0</v>
      </c>
      <c r="H60" s="25" t="e">
        <f t="shared" si="22"/>
        <v>#NAME?</v>
      </c>
      <c r="I60" s="27" t="e">
        <f t="shared" si="23"/>
        <v>#NAME?</v>
      </c>
      <c r="J60" s="25"/>
      <c r="K60" s="25">
        <f t="shared" si="24"/>
        <v>0</v>
      </c>
      <c r="L60" s="25" t="e">
        <f t="shared" si="25"/>
        <v>#NAME?</v>
      </c>
      <c r="M60" s="27" t="e">
        <f t="shared" si="26"/>
        <v>#NAME?</v>
      </c>
      <c r="N60" s="27"/>
      <c r="O60" s="26" t="str">
        <f t="shared" si="27"/>
        <v>Eastern</v>
      </c>
      <c r="P60" s="26" t="e">
        <f t="shared" si="28"/>
        <v>#NAME?</v>
      </c>
      <c r="Q60" s="27" t="e">
        <f t="shared" si="29"/>
        <v>#VALUE!</v>
      </c>
      <c r="R60" s="27"/>
      <c r="S60" s="26">
        <f t="shared" si="30"/>
        <v>64</v>
      </c>
      <c r="T60" s="26" t="e">
        <f t="shared" si="31"/>
        <v>#NAME?</v>
      </c>
      <c r="U60" s="27" t="e">
        <f t="shared" si="32"/>
        <v>#NAME?</v>
      </c>
      <c r="V60" s="27"/>
      <c r="W60" s="26">
        <f t="shared" si="33"/>
        <v>50</v>
      </c>
      <c r="X60" s="26" t="e">
        <f t="shared" si="34"/>
        <v>#NAME?</v>
      </c>
      <c r="Y60" s="27" t="e">
        <f t="shared" si="35"/>
        <v>#NAME?</v>
      </c>
    </row>
    <row r="61" spans="1:25" ht="16.5" customHeight="1" x14ac:dyDescent="0.3">
      <c r="A61" s="16" t="s">
        <v>148</v>
      </c>
      <c r="B61" s="16" t="s">
        <v>149</v>
      </c>
      <c r="C61" s="25">
        <f t="shared" si="18"/>
        <v>22</v>
      </c>
      <c r="D61" s="25" t="e">
        <f t="shared" si="19"/>
        <v>#NAME?</v>
      </c>
      <c r="E61" s="27" t="e">
        <f t="shared" si="20"/>
        <v>#NAME?</v>
      </c>
      <c r="F61" s="25"/>
      <c r="G61" s="25">
        <f t="shared" si="21"/>
        <v>0</v>
      </c>
      <c r="H61" s="25" t="e">
        <f t="shared" si="22"/>
        <v>#NAME?</v>
      </c>
      <c r="I61" s="27" t="e">
        <f t="shared" si="23"/>
        <v>#NAME?</v>
      </c>
      <c r="J61" s="25"/>
      <c r="K61" s="25">
        <f t="shared" si="24"/>
        <v>0</v>
      </c>
      <c r="L61" s="25" t="e">
        <f t="shared" si="25"/>
        <v>#NAME?</v>
      </c>
      <c r="M61" s="27" t="e">
        <f t="shared" si="26"/>
        <v>#NAME?</v>
      </c>
      <c r="N61" s="27"/>
      <c r="O61" s="26" t="str">
        <f t="shared" si="27"/>
        <v>Piedmont</v>
      </c>
      <c r="P61" s="26" t="e">
        <f t="shared" si="28"/>
        <v>#NAME?</v>
      </c>
      <c r="Q61" s="27" t="e">
        <f t="shared" si="29"/>
        <v>#VALUE!</v>
      </c>
      <c r="R61" s="27"/>
      <c r="S61" s="26">
        <f t="shared" si="30"/>
        <v>361</v>
      </c>
      <c r="T61" s="26" t="e">
        <f t="shared" si="31"/>
        <v>#NAME?</v>
      </c>
      <c r="U61" s="27" t="e">
        <f t="shared" si="32"/>
        <v>#NAME?</v>
      </c>
      <c r="V61" s="27"/>
      <c r="W61" s="26">
        <f t="shared" si="33"/>
        <v>278</v>
      </c>
      <c r="X61" s="26" t="e">
        <f t="shared" si="34"/>
        <v>#NAME?</v>
      </c>
      <c r="Y61" s="27" t="e">
        <f t="shared" si="35"/>
        <v>#NAME?</v>
      </c>
    </row>
    <row r="62" spans="1:25" ht="16.5" customHeight="1" x14ac:dyDescent="0.3">
      <c r="A62" s="16" t="s">
        <v>150</v>
      </c>
      <c r="B62" s="16" t="s">
        <v>151</v>
      </c>
      <c r="C62" s="25">
        <f t="shared" si="18"/>
        <v>21</v>
      </c>
      <c r="D62" s="25" t="e">
        <f t="shared" si="19"/>
        <v>#NAME?</v>
      </c>
      <c r="E62" s="27" t="e">
        <f t="shared" si="20"/>
        <v>#NAME?</v>
      </c>
      <c r="F62" s="25"/>
      <c r="G62" s="25">
        <f t="shared" si="21"/>
        <v>0</v>
      </c>
      <c r="H62" s="25" t="e">
        <f t="shared" si="22"/>
        <v>#NAME?</v>
      </c>
      <c r="I62" s="27" t="e">
        <f t="shared" si="23"/>
        <v>#NAME?</v>
      </c>
      <c r="J62" s="25"/>
      <c r="K62" s="25">
        <f t="shared" si="24"/>
        <v>0</v>
      </c>
      <c r="L62" s="25" t="e">
        <f t="shared" si="25"/>
        <v>#NAME?</v>
      </c>
      <c r="M62" s="27" t="e">
        <f t="shared" si="26"/>
        <v>#NAME?</v>
      </c>
      <c r="N62" s="27"/>
      <c r="O62" s="26" t="str">
        <f t="shared" si="27"/>
        <v>Central</v>
      </c>
      <c r="P62" s="26" t="e">
        <f t="shared" si="28"/>
        <v>#NAME?</v>
      </c>
      <c r="Q62" s="27" t="e">
        <f t="shared" si="29"/>
        <v>#VALUE!</v>
      </c>
      <c r="R62" s="27"/>
      <c r="S62" s="26">
        <f t="shared" si="30"/>
        <v>150</v>
      </c>
      <c r="T62" s="26" t="e">
        <f t="shared" si="31"/>
        <v>#NAME?</v>
      </c>
      <c r="U62" s="27" t="e">
        <f t="shared" si="32"/>
        <v>#NAME?</v>
      </c>
      <c r="V62" s="27"/>
      <c r="W62" s="26">
        <f t="shared" si="33"/>
        <v>108</v>
      </c>
      <c r="X62" s="26" t="e">
        <f t="shared" si="34"/>
        <v>#NAME?</v>
      </c>
      <c r="Y62" s="27" t="e">
        <f t="shared" si="35"/>
        <v>#NAME?</v>
      </c>
    </row>
    <row r="63" spans="1:25" ht="16.5" customHeight="1" x14ac:dyDescent="0.3">
      <c r="A63" s="16" t="s">
        <v>152</v>
      </c>
      <c r="B63" s="16" t="s">
        <v>153</v>
      </c>
      <c r="C63" s="25">
        <f t="shared" si="18"/>
        <v>75</v>
      </c>
      <c r="D63" s="25" t="e">
        <f t="shared" si="19"/>
        <v>#NAME?</v>
      </c>
      <c r="E63" s="27" t="e">
        <f t="shared" si="20"/>
        <v>#NAME?</v>
      </c>
      <c r="F63" s="25"/>
      <c r="G63" s="25">
        <f t="shared" si="21"/>
        <v>0</v>
      </c>
      <c r="H63" s="25" t="e">
        <f t="shared" si="22"/>
        <v>#NAME?</v>
      </c>
      <c r="I63" s="27" t="e">
        <f t="shared" si="23"/>
        <v>#NAME?</v>
      </c>
      <c r="J63" s="25"/>
      <c r="K63" s="25">
        <f t="shared" si="24"/>
        <v>0</v>
      </c>
      <c r="L63" s="25" t="e">
        <f t="shared" si="25"/>
        <v>#NAME?</v>
      </c>
      <c r="M63" s="27" t="e">
        <f t="shared" si="26"/>
        <v>#NAME?</v>
      </c>
      <c r="N63" s="27"/>
      <c r="O63" s="26" t="str">
        <f t="shared" si="27"/>
        <v>Western</v>
      </c>
      <c r="P63" s="26" t="e">
        <f t="shared" si="28"/>
        <v>#NAME?</v>
      </c>
      <c r="Q63" s="27" t="e">
        <f t="shared" si="29"/>
        <v>#VALUE!</v>
      </c>
      <c r="R63" s="27"/>
      <c r="S63" s="26">
        <f t="shared" si="30"/>
        <v>853</v>
      </c>
      <c r="T63" s="26" t="e">
        <f t="shared" si="31"/>
        <v>#NAME?</v>
      </c>
      <c r="U63" s="27" t="e">
        <f t="shared" si="32"/>
        <v>#NAME?</v>
      </c>
      <c r="V63" s="27"/>
      <c r="W63" s="26">
        <f t="shared" si="33"/>
        <v>618</v>
      </c>
      <c r="X63" s="26" t="e">
        <f t="shared" si="34"/>
        <v>#NAME?</v>
      </c>
      <c r="Y63" s="27" t="e">
        <f t="shared" si="35"/>
        <v>#NAME?</v>
      </c>
    </row>
    <row r="64" spans="1:25" ht="16.5" customHeight="1" x14ac:dyDescent="0.3">
      <c r="A64" s="16" t="s">
        <v>154</v>
      </c>
      <c r="B64" s="16" t="s">
        <v>155</v>
      </c>
      <c r="C64" s="25">
        <f t="shared" si="18"/>
        <v>9</v>
      </c>
      <c r="D64" s="25" t="e">
        <f t="shared" si="19"/>
        <v>#NAME?</v>
      </c>
      <c r="E64" s="27" t="e">
        <f t="shared" si="20"/>
        <v>#NAME?</v>
      </c>
      <c r="F64" s="25"/>
      <c r="G64" s="25">
        <f t="shared" si="21"/>
        <v>0</v>
      </c>
      <c r="H64" s="25" t="e">
        <f t="shared" si="22"/>
        <v>#NAME?</v>
      </c>
      <c r="I64" s="27" t="e">
        <f t="shared" si="23"/>
        <v>#NAME?</v>
      </c>
      <c r="J64" s="25"/>
      <c r="K64" s="25">
        <f t="shared" si="24"/>
        <v>0</v>
      </c>
      <c r="L64" s="25" t="e">
        <f t="shared" si="25"/>
        <v>#NAME?</v>
      </c>
      <c r="M64" s="27" t="e">
        <f t="shared" si="26"/>
        <v>#NAME?</v>
      </c>
      <c r="N64" s="27"/>
      <c r="O64" s="26" t="str">
        <f t="shared" si="27"/>
        <v>Piedmont</v>
      </c>
      <c r="P64" s="26" t="e">
        <f t="shared" si="28"/>
        <v>#NAME?</v>
      </c>
      <c r="Q64" s="27" t="e">
        <f t="shared" si="29"/>
        <v>#VALUE!</v>
      </c>
      <c r="R64" s="27"/>
      <c r="S64" s="26">
        <f t="shared" si="30"/>
        <v>120</v>
      </c>
      <c r="T64" s="26" t="e">
        <f t="shared" si="31"/>
        <v>#NAME?</v>
      </c>
      <c r="U64" s="27" t="e">
        <f t="shared" si="32"/>
        <v>#NAME?</v>
      </c>
      <c r="V64" s="27"/>
      <c r="W64" s="26">
        <f t="shared" si="33"/>
        <v>91</v>
      </c>
      <c r="X64" s="26" t="e">
        <f t="shared" si="34"/>
        <v>#NAME?</v>
      </c>
      <c r="Y64" s="27" t="e">
        <f t="shared" si="35"/>
        <v>#NAME?</v>
      </c>
    </row>
    <row r="65" spans="1:25" ht="16.5" customHeight="1" x14ac:dyDescent="0.3">
      <c r="A65" s="16" t="s">
        <v>156</v>
      </c>
      <c r="B65" s="16" t="s">
        <v>157</v>
      </c>
      <c r="C65" s="25">
        <f t="shared" si="18"/>
        <v>12</v>
      </c>
      <c r="D65" s="25" t="e">
        <f t="shared" si="19"/>
        <v>#NAME?</v>
      </c>
      <c r="E65" s="27" t="e">
        <f t="shared" si="20"/>
        <v>#NAME?</v>
      </c>
      <c r="F65" s="25"/>
      <c r="G65" s="25">
        <f t="shared" si="21"/>
        <v>0</v>
      </c>
      <c r="H65" s="25" t="e">
        <f t="shared" si="22"/>
        <v>#NAME?</v>
      </c>
      <c r="I65" s="27" t="e">
        <f t="shared" si="23"/>
        <v>#NAME?</v>
      </c>
      <c r="J65" s="25"/>
      <c r="K65" s="25">
        <f t="shared" si="24"/>
        <v>0</v>
      </c>
      <c r="L65" s="25" t="e">
        <f t="shared" si="25"/>
        <v>#NAME?</v>
      </c>
      <c r="M65" s="27" t="e">
        <f t="shared" si="26"/>
        <v>#NAME?</v>
      </c>
      <c r="N65" s="27"/>
      <c r="O65" s="26" t="str">
        <f t="shared" si="27"/>
        <v>Central</v>
      </c>
      <c r="P65" s="26" t="e">
        <f t="shared" si="28"/>
        <v>#NAME?</v>
      </c>
      <c r="Q65" s="27" t="e">
        <f t="shared" si="29"/>
        <v>#VALUE!</v>
      </c>
      <c r="R65" s="27"/>
      <c r="S65" s="26">
        <f t="shared" si="30"/>
        <v>74</v>
      </c>
      <c r="T65" s="26" t="e">
        <f t="shared" si="31"/>
        <v>#NAME?</v>
      </c>
      <c r="U65" s="27" t="e">
        <f t="shared" si="32"/>
        <v>#NAME?</v>
      </c>
      <c r="V65" s="27"/>
      <c r="W65" s="26">
        <f t="shared" si="33"/>
        <v>51</v>
      </c>
      <c r="X65" s="26" t="e">
        <f t="shared" si="34"/>
        <v>#NAME?</v>
      </c>
      <c r="Y65" s="27" t="e">
        <f t="shared" si="35"/>
        <v>#NAME?</v>
      </c>
    </row>
    <row r="66" spans="1:25" ht="16.5" customHeight="1" x14ac:dyDescent="0.3">
      <c r="A66" s="16" t="s">
        <v>162</v>
      </c>
      <c r="B66" s="16" t="s">
        <v>163</v>
      </c>
      <c r="C66" s="25">
        <f t="shared" si="18"/>
        <v>12</v>
      </c>
      <c r="D66" s="25" t="e">
        <f t="shared" si="19"/>
        <v>#NAME?</v>
      </c>
      <c r="E66" s="27" t="e">
        <f t="shared" si="20"/>
        <v>#NAME?</v>
      </c>
      <c r="F66" s="25"/>
      <c r="G66" s="25">
        <f t="shared" si="21"/>
        <v>0</v>
      </c>
      <c r="H66" s="25" t="e">
        <f t="shared" si="22"/>
        <v>#NAME?</v>
      </c>
      <c r="I66" s="27" t="e">
        <f t="shared" si="23"/>
        <v>#NAME?</v>
      </c>
      <c r="J66" s="25"/>
      <c r="K66" s="25">
        <f t="shared" si="24"/>
        <v>0</v>
      </c>
      <c r="L66" s="25" t="e">
        <f t="shared" si="25"/>
        <v>#NAME?</v>
      </c>
      <c r="M66" s="27" t="e">
        <f t="shared" si="26"/>
        <v>#NAME?</v>
      </c>
      <c r="N66" s="27"/>
      <c r="O66" s="26" t="str">
        <f t="shared" si="27"/>
        <v>Eastern</v>
      </c>
      <c r="P66" s="26" t="e">
        <f t="shared" si="28"/>
        <v>#NAME?</v>
      </c>
      <c r="Q66" s="27" t="e">
        <f t="shared" si="29"/>
        <v>#VALUE!</v>
      </c>
      <c r="R66" s="27"/>
      <c r="S66" s="26">
        <f t="shared" si="30"/>
        <v>154</v>
      </c>
      <c r="T66" s="26" t="e">
        <f t="shared" si="31"/>
        <v>#NAME?</v>
      </c>
      <c r="U66" s="27" t="e">
        <f t="shared" si="32"/>
        <v>#NAME?</v>
      </c>
      <c r="V66" s="27"/>
      <c r="W66" s="26">
        <f t="shared" si="33"/>
        <v>104</v>
      </c>
      <c r="X66" s="26" t="e">
        <f t="shared" si="34"/>
        <v>#NAME?</v>
      </c>
      <c r="Y66" s="27" t="e">
        <f t="shared" si="35"/>
        <v>#NAME?</v>
      </c>
    </row>
    <row r="67" spans="1:25" ht="16.5" customHeight="1" x14ac:dyDescent="0.3">
      <c r="A67" s="16" t="s">
        <v>164</v>
      </c>
      <c r="B67" s="16" t="s">
        <v>165</v>
      </c>
      <c r="C67" s="25">
        <f t="shared" si="18"/>
        <v>9</v>
      </c>
      <c r="D67" s="25" t="e">
        <f t="shared" si="19"/>
        <v>#NAME?</v>
      </c>
      <c r="E67" s="27" t="e">
        <f t="shared" si="20"/>
        <v>#NAME?</v>
      </c>
      <c r="F67" s="25"/>
      <c r="G67" s="25">
        <f t="shared" si="21"/>
        <v>0</v>
      </c>
      <c r="H67" s="25" t="e">
        <f t="shared" si="22"/>
        <v>#NAME?</v>
      </c>
      <c r="I67" s="27" t="e">
        <f t="shared" si="23"/>
        <v>#NAME?</v>
      </c>
      <c r="J67" s="25"/>
      <c r="K67" s="25">
        <f t="shared" si="24"/>
        <v>0</v>
      </c>
      <c r="L67" s="25" t="e">
        <f t="shared" si="25"/>
        <v>#NAME?</v>
      </c>
      <c r="M67" s="27" t="e">
        <f t="shared" si="26"/>
        <v>#NAME?</v>
      </c>
      <c r="N67" s="27"/>
      <c r="O67" s="26" t="str">
        <f t="shared" si="27"/>
        <v>Central</v>
      </c>
      <c r="P67" s="26" t="e">
        <f t="shared" si="28"/>
        <v>#NAME?</v>
      </c>
      <c r="Q67" s="27" t="e">
        <f t="shared" si="29"/>
        <v>#VALUE!</v>
      </c>
      <c r="R67" s="27"/>
      <c r="S67" s="26">
        <f t="shared" si="30"/>
        <v>134</v>
      </c>
      <c r="T67" s="26" t="e">
        <f t="shared" si="31"/>
        <v>#NAME?</v>
      </c>
      <c r="U67" s="27" t="e">
        <f t="shared" si="32"/>
        <v>#NAME?</v>
      </c>
      <c r="V67" s="27"/>
      <c r="W67" s="26">
        <f t="shared" si="33"/>
        <v>102</v>
      </c>
      <c r="X67" s="26" t="e">
        <f t="shared" si="34"/>
        <v>#NAME?</v>
      </c>
      <c r="Y67" s="27" t="e">
        <f t="shared" si="35"/>
        <v>#NAME?</v>
      </c>
    </row>
    <row r="68" spans="1:25" ht="16.5" customHeight="1" x14ac:dyDescent="0.3">
      <c r="A68" s="16" t="s">
        <v>168</v>
      </c>
      <c r="B68" s="16" t="s">
        <v>169</v>
      </c>
      <c r="C68" s="25">
        <f t="shared" ref="C68:C99" si="36">VLOOKUP(A68,TANFClient_Demo,7,FALSE)</f>
        <v>30</v>
      </c>
      <c r="D68" s="25" t="e">
        <f t="shared" ref="D68:D99" si="37">VLOOKUP(A68,Pop,14,FALSE)</f>
        <v>#NAME?</v>
      </c>
      <c r="E68" s="27" t="e">
        <f t="shared" ref="E68:E99" si="38">+C68/D68</f>
        <v>#NAME?</v>
      </c>
      <c r="F68" s="25"/>
      <c r="G68" s="25">
        <f t="shared" ref="G68:G99" si="39">VLOOKUP(A68,TANFClient_Demo,8,FALSE)</f>
        <v>0</v>
      </c>
      <c r="H68" s="25" t="e">
        <f t="shared" ref="H68:H99" si="40">VLOOKUP(A68,Pop,15,FALSE)</f>
        <v>#NAME?</v>
      </c>
      <c r="I68" s="27" t="e">
        <f t="shared" ref="I68:I99" si="41">+G68/H68</f>
        <v>#NAME?</v>
      </c>
      <c r="J68" s="25"/>
      <c r="K68" s="25">
        <f t="shared" ref="K68:K99" si="42">VLOOKUP(A68,TANFClient_Demo,9,FALSE)</f>
        <v>0</v>
      </c>
      <c r="L68" s="25" t="e">
        <f t="shared" ref="L68:L99" si="43">VLOOKUP(A68,Pop,16,FALSE)</f>
        <v>#NAME?</v>
      </c>
      <c r="M68" s="27" t="e">
        <f t="shared" ref="M68:M99" si="44">+K68/L68</f>
        <v>#NAME?</v>
      </c>
      <c r="N68" s="27"/>
      <c r="O68" s="26" t="str">
        <f t="shared" ref="O68:O99" si="45">VLOOKUP(A68,TANFClient_Demo,3,FALSE)</f>
        <v>Central</v>
      </c>
      <c r="P68" s="26" t="e">
        <f t="shared" ref="P68:P99" si="46">VLOOKUP(A68,Pop,8,FALSE)</f>
        <v>#NAME?</v>
      </c>
      <c r="Q68" s="27" t="e">
        <f t="shared" ref="Q68:Q99" si="47">+O68/P68</f>
        <v>#VALUE!</v>
      </c>
      <c r="R68" s="27"/>
      <c r="S68" s="26">
        <f t="shared" ref="S68:S99" si="48">VLOOKUP(A68,TANFClient_Demo,4,FALSE)</f>
        <v>319</v>
      </c>
      <c r="T68" s="26" t="e">
        <f t="shared" ref="T68:T99" si="49">VLOOKUP(A68,Pop,9,FALSE)</f>
        <v>#NAME?</v>
      </c>
      <c r="U68" s="27" t="e">
        <f t="shared" ref="U68:U99" si="50">+S68/T68</f>
        <v>#NAME?</v>
      </c>
      <c r="V68" s="27"/>
      <c r="W68" s="26">
        <f t="shared" ref="W68:W99" si="51">VLOOKUP(A68,TANFClient_Demo,5,FALSE)</f>
        <v>222</v>
      </c>
      <c r="X68" s="26" t="e">
        <f t="shared" ref="X68:X99" si="52">VLOOKUP(A68,Pop,10,FALSE)</f>
        <v>#NAME?</v>
      </c>
      <c r="Y68" s="27" t="e">
        <f t="shared" ref="Y68:Y99" si="53">+W68/X68</f>
        <v>#NAME?</v>
      </c>
    </row>
    <row r="69" spans="1:25" ht="16.5" customHeight="1" x14ac:dyDescent="0.3">
      <c r="A69" s="16" t="s">
        <v>170</v>
      </c>
      <c r="B69" s="16" t="s">
        <v>171</v>
      </c>
      <c r="C69" s="25">
        <f t="shared" si="36"/>
        <v>14</v>
      </c>
      <c r="D69" s="25" t="e">
        <f t="shared" si="37"/>
        <v>#NAME?</v>
      </c>
      <c r="E69" s="27" t="e">
        <f t="shared" si="38"/>
        <v>#NAME?</v>
      </c>
      <c r="F69" s="25"/>
      <c r="G69" s="25">
        <f t="shared" si="39"/>
        <v>0</v>
      </c>
      <c r="H69" s="25" t="e">
        <f t="shared" si="40"/>
        <v>#NAME?</v>
      </c>
      <c r="I69" s="27" t="e">
        <f t="shared" si="41"/>
        <v>#NAME?</v>
      </c>
      <c r="J69" s="25"/>
      <c r="K69" s="25">
        <f t="shared" si="42"/>
        <v>0</v>
      </c>
      <c r="L69" s="25" t="e">
        <f t="shared" si="43"/>
        <v>#NAME?</v>
      </c>
      <c r="M69" s="27" t="e">
        <f t="shared" si="44"/>
        <v>#NAME?</v>
      </c>
      <c r="N69" s="27"/>
      <c r="O69" s="26" t="str">
        <f t="shared" si="45"/>
        <v>Northern</v>
      </c>
      <c r="P69" s="26" t="e">
        <f t="shared" si="46"/>
        <v>#NAME?</v>
      </c>
      <c r="Q69" s="27" t="e">
        <f t="shared" si="47"/>
        <v>#VALUE!</v>
      </c>
      <c r="R69" s="27"/>
      <c r="S69" s="26">
        <f t="shared" si="48"/>
        <v>205</v>
      </c>
      <c r="T69" s="26" t="e">
        <f t="shared" si="49"/>
        <v>#NAME?</v>
      </c>
      <c r="U69" s="27" t="e">
        <f t="shared" si="50"/>
        <v>#NAME?</v>
      </c>
      <c r="V69" s="27"/>
      <c r="W69" s="26">
        <f t="shared" si="51"/>
        <v>152</v>
      </c>
      <c r="X69" s="26" t="e">
        <f t="shared" si="52"/>
        <v>#NAME?</v>
      </c>
      <c r="Y69" s="27" t="e">
        <f t="shared" si="53"/>
        <v>#NAME?</v>
      </c>
    </row>
    <row r="70" spans="1:25" ht="16.5" customHeight="1" x14ac:dyDescent="0.3">
      <c r="A70" s="16" t="s">
        <v>172</v>
      </c>
      <c r="B70" s="16" t="s">
        <v>173</v>
      </c>
      <c r="C70" s="25">
        <f t="shared" si="36"/>
        <v>10</v>
      </c>
      <c r="D70" s="25" t="e">
        <f t="shared" si="37"/>
        <v>#NAME?</v>
      </c>
      <c r="E70" s="27" t="e">
        <f t="shared" si="38"/>
        <v>#NAME?</v>
      </c>
      <c r="F70" s="25"/>
      <c r="G70" s="25">
        <f t="shared" si="39"/>
        <v>0</v>
      </c>
      <c r="H70" s="25" t="e">
        <f t="shared" si="40"/>
        <v>#NAME?</v>
      </c>
      <c r="I70" s="27" t="e">
        <f t="shared" si="41"/>
        <v>#NAME?</v>
      </c>
      <c r="J70" s="25"/>
      <c r="K70" s="25">
        <f t="shared" si="42"/>
        <v>0</v>
      </c>
      <c r="L70" s="25" t="e">
        <f t="shared" si="43"/>
        <v>#NAME?</v>
      </c>
      <c r="M70" s="27" t="e">
        <f t="shared" si="44"/>
        <v>#NAME?</v>
      </c>
      <c r="N70" s="27"/>
      <c r="O70" s="26" t="str">
        <f t="shared" si="45"/>
        <v>Northern</v>
      </c>
      <c r="P70" s="26" t="e">
        <f t="shared" si="46"/>
        <v>#NAME?</v>
      </c>
      <c r="Q70" s="27" t="e">
        <f t="shared" si="47"/>
        <v>#VALUE!</v>
      </c>
      <c r="R70" s="27"/>
      <c r="S70" s="26">
        <f t="shared" si="48"/>
        <v>107</v>
      </c>
      <c r="T70" s="26" t="e">
        <f t="shared" si="49"/>
        <v>#NAME?</v>
      </c>
      <c r="U70" s="27" t="e">
        <f t="shared" si="50"/>
        <v>#NAME?</v>
      </c>
      <c r="V70" s="27"/>
      <c r="W70" s="26">
        <f t="shared" si="51"/>
        <v>80</v>
      </c>
      <c r="X70" s="26" t="e">
        <f t="shared" si="52"/>
        <v>#NAME?</v>
      </c>
      <c r="Y70" s="27" t="e">
        <f t="shared" si="53"/>
        <v>#NAME?</v>
      </c>
    </row>
    <row r="71" spans="1:25" ht="16.5" customHeight="1" x14ac:dyDescent="0.3">
      <c r="A71" s="16" t="s">
        <v>174</v>
      </c>
      <c r="B71" s="16" t="s">
        <v>175</v>
      </c>
      <c r="C71" s="25">
        <f t="shared" si="36"/>
        <v>26</v>
      </c>
      <c r="D71" s="25" t="e">
        <f t="shared" si="37"/>
        <v>#NAME?</v>
      </c>
      <c r="E71" s="27" t="e">
        <f t="shared" si="38"/>
        <v>#NAME?</v>
      </c>
      <c r="F71" s="25"/>
      <c r="G71" s="25">
        <f t="shared" si="39"/>
        <v>0</v>
      </c>
      <c r="H71" s="25" t="e">
        <f t="shared" si="40"/>
        <v>#NAME?</v>
      </c>
      <c r="I71" s="27" t="e">
        <f t="shared" si="41"/>
        <v>#NAME?</v>
      </c>
      <c r="J71" s="25"/>
      <c r="K71" s="25">
        <f t="shared" si="42"/>
        <v>0</v>
      </c>
      <c r="L71" s="25" t="e">
        <f t="shared" si="43"/>
        <v>#NAME?</v>
      </c>
      <c r="M71" s="27" t="e">
        <f t="shared" si="44"/>
        <v>#NAME?</v>
      </c>
      <c r="N71" s="27"/>
      <c r="O71" s="26" t="str">
        <f t="shared" si="45"/>
        <v>Western</v>
      </c>
      <c r="P71" s="26" t="e">
        <f t="shared" si="46"/>
        <v>#NAME?</v>
      </c>
      <c r="Q71" s="27" t="e">
        <f t="shared" si="47"/>
        <v>#VALUE!</v>
      </c>
      <c r="R71" s="27"/>
      <c r="S71" s="26">
        <f t="shared" si="48"/>
        <v>239</v>
      </c>
      <c r="T71" s="26" t="e">
        <f t="shared" si="49"/>
        <v>#NAME?</v>
      </c>
      <c r="U71" s="27" t="e">
        <f t="shared" si="50"/>
        <v>#NAME?</v>
      </c>
      <c r="V71" s="27"/>
      <c r="W71" s="26">
        <f t="shared" si="51"/>
        <v>162</v>
      </c>
      <c r="X71" s="26" t="e">
        <f t="shared" si="52"/>
        <v>#NAME?</v>
      </c>
      <c r="Y71" s="27" t="e">
        <f t="shared" si="53"/>
        <v>#NAME?</v>
      </c>
    </row>
    <row r="72" spans="1:25" ht="16.5" customHeight="1" x14ac:dyDescent="0.3">
      <c r="A72" s="16" t="s">
        <v>178</v>
      </c>
      <c r="B72" s="16" t="s">
        <v>179</v>
      </c>
      <c r="C72" s="25">
        <f t="shared" si="36"/>
        <v>34</v>
      </c>
      <c r="D72" s="25" t="e">
        <f t="shared" si="37"/>
        <v>#NAME?</v>
      </c>
      <c r="E72" s="27" t="e">
        <f t="shared" si="38"/>
        <v>#NAME?</v>
      </c>
      <c r="F72" s="25"/>
      <c r="G72" s="25">
        <f t="shared" si="39"/>
        <v>0</v>
      </c>
      <c r="H72" s="25" t="e">
        <f t="shared" si="40"/>
        <v>#NAME?</v>
      </c>
      <c r="I72" s="27" t="e">
        <f t="shared" si="41"/>
        <v>#NAME?</v>
      </c>
      <c r="J72" s="25"/>
      <c r="K72" s="25">
        <f t="shared" si="42"/>
        <v>0</v>
      </c>
      <c r="L72" s="25" t="e">
        <f t="shared" si="43"/>
        <v>#NAME?</v>
      </c>
      <c r="M72" s="27" t="e">
        <f t="shared" si="44"/>
        <v>#NAME?</v>
      </c>
      <c r="N72" s="27"/>
      <c r="O72" s="26" t="str">
        <f t="shared" si="45"/>
        <v>Piedmont</v>
      </c>
      <c r="P72" s="26" t="e">
        <f t="shared" si="46"/>
        <v>#NAME?</v>
      </c>
      <c r="Q72" s="27" t="e">
        <f t="shared" si="47"/>
        <v>#VALUE!</v>
      </c>
      <c r="R72" s="27"/>
      <c r="S72" s="26">
        <f t="shared" si="48"/>
        <v>511</v>
      </c>
      <c r="T72" s="26" t="e">
        <f t="shared" si="49"/>
        <v>#NAME?</v>
      </c>
      <c r="U72" s="27" t="e">
        <f t="shared" si="50"/>
        <v>#NAME?</v>
      </c>
      <c r="V72" s="27"/>
      <c r="W72" s="26">
        <f t="shared" si="51"/>
        <v>396</v>
      </c>
      <c r="X72" s="26" t="e">
        <f t="shared" si="52"/>
        <v>#NAME?</v>
      </c>
      <c r="Y72" s="27" t="e">
        <f t="shared" si="53"/>
        <v>#NAME?</v>
      </c>
    </row>
    <row r="73" spans="1:25" ht="16.5" customHeight="1" x14ac:dyDescent="0.3">
      <c r="A73" s="16" t="s">
        <v>182</v>
      </c>
      <c r="B73" s="16" t="s">
        <v>183</v>
      </c>
      <c r="C73" s="25">
        <f t="shared" si="36"/>
        <v>9</v>
      </c>
      <c r="D73" s="25" t="e">
        <f t="shared" si="37"/>
        <v>#NAME?</v>
      </c>
      <c r="E73" s="27" t="e">
        <f t="shared" si="38"/>
        <v>#NAME?</v>
      </c>
      <c r="F73" s="25"/>
      <c r="G73" s="25">
        <f t="shared" si="39"/>
        <v>0</v>
      </c>
      <c r="H73" s="25" t="e">
        <f t="shared" si="40"/>
        <v>#NAME?</v>
      </c>
      <c r="I73" s="27" t="e">
        <f t="shared" si="41"/>
        <v>#NAME?</v>
      </c>
      <c r="J73" s="25"/>
      <c r="K73" s="25">
        <f t="shared" si="42"/>
        <v>0</v>
      </c>
      <c r="L73" s="25" t="e">
        <f t="shared" si="43"/>
        <v>#NAME?</v>
      </c>
      <c r="M73" s="27" t="e">
        <f t="shared" si="44"/>
        <v>#NAME?</v>
      </c>
      <c r="N73" s="27"/>
      <c r="O73" s="26" t="str">
        <f t="shared" si="45"/>
        <v>Central</v>
      </c>
      <c r="P73" s="26" t="e">
        <f t="shared" si="46"/>
        <v>#NAME?</v>
      </c>
      <c r="Q73" s="27" t="e">
        <f t="shared" si="47"/>
        <v>#VALUE!</v>
      </c>
      <c r="R73" s="27"/>
      <c r="S73" s="26">
        <f t="shared" si="48"/>
        <v>98</v>
      </c>
      <c r="T73" s="26" t="e">
        <f t="shared" si="49"/>
        <v>#NAME?</v>
      </c>
      <c r="U73" s="27" t="e">
        <f t="shared" si="50"/>
        <v>#NAME?</v>
      </c>
      <c r="V73" s="27"/>
      <c r="W73" s="26">
        <f t="shared" si="51"/>
        <v>73</v>
      </c>
      <c r="X73" s="26" t="e">
        <f t="shared" si="52"/>
        <v>#NAME?</v>
      </c>
      <c r="Y73" s="27" t="e">
        <f t="shared" si="53"/>
        <v>#NAME?</v>
      </c>
    </row>
    <row r="74" spans="1:25" ht="16.5" customHeight="1" x14ac:dyDescent="0.3">
      <c r="A74" s="16" t="s">
        <v>184</v>
      </c>
      <c r="B74" s="16" t="s">
        <v>185</v>
      </c>
      <c r="C74" s="25">
        <f t="shared" si="36"/>
        <v>17</v>
      </c>
      <c r="D74" s="25" t="e">
        <f t="shared" si="37"/>
        <v>#NAME?</v>
      </c>
      <c r="E74" s="27" t="e">
        <f t="shared" si="38"/>
        <v>#NAME?</v>
      </c>
      <c r="F74" s="25"/>
      <c r="G74" s="25">
        <f t="shared" si="39"/>
        <v>0</v>
      </c>
      <c r="H74" s="25" t="e">
        <f t="shared" si="40"/>
        <v>#NAME?</v>
      </c>
      <c r="I74" s="27" t="e">
        <f t="shared" si="41"/>
        <v>#NAME?</v>
      </c>
      <c r="J74" s="25"/>
      <c r="K74" s="25">
        <f t="shared" si="42"/>
        <v>0</v>
      </c>
      <c r="L74" s="25" t="e">
        <f t="shared" si="43"/>
        <v>#NAME?</v>
      </c>
      <c r="M74" s="27" t="e">
        <f t="shared" si="44"/>
        <v>#NAME?</v>
      </c>
      <c r="N74" s="27"/>
      <c r="O74" s="26" t="str">
        <f t="shared" si="45"/>
        <v>Central</v>
      </c>
      <c r="P74" s="26" t="e">
        <f t="shared" si="46"/>
        <v>#NAME?</v>
      </c>
      <c r="Q74" s="27" t="e">
        <f t="shared" si="47"/>
        <v>#VALUE!</v>
      </c>
      <c r="R74" s="27"/>
      <c r="S74" s="26">
        <f t="shared" si="48"/>
        <v>298</v>
      </c>
      <c r="T74" s="26" t="e">
        <f t="shared" si="49"/>
        <v>#NAME?</v>
      </c>
      <c r="U74" s="27" t="e">
        <f t="shared" si="50"/>
        <v>#NAME?</v>
      </c>
      <c r="V74" s="27"/>
      <c r="W74" s="26">
        <f t="shared" si="51"/>
        <v>219</v>
      </c>
      <c r="X74" s="26" t="e">
        <f t="shared" si="52"/>
        <v>#NAME?</v>
      </c>
      <c r="Y74" s="27" t="e">
        <f t="shared" si="53"/>
        <v>#NAME?</v>
      </c>
    </row>
    <row r="75" spans="1:25" ht="16.5" customHeight="1" x14ac:dyDescent="0.3">
      <c r="A75" s="16" t="s">
        <v>186</v>
      </c>
      <c r="B75" s="16" t="s">
        <v>187</v>
      </c>
      <c r="C75" s="25">
        <f t="shared" si="36"/>
        <v>26</v>
      </c>
      <c r="D75" s="25" t="e">
        <f t="shared" si="37"/>
        <v>#NAME?</v>
      </c>
      <c r="E75" s="27" t="e">
        <f t="shared" si="38"/>
        <v>#NAME?</v>
      </c>
      <c r="F75" s="25"/>
      <c r="G75" s="25">
        <f t="shared" si="39"/>
        <v>0</v>
      </c>
      <c r="H75" s="25" t="e">
        <f t="shared" si="40"/>
        <v>#NAME?</v>
      </c>
      <c r="I75" s="27" t="e">
        <f t="shared" si="41"/>
        <v>#NAME?</v>
      </c>
      <c r="J75" s="25"/>
      <c r="K75" s="25">
        <f t="shared" si="42"/>
        <v>0</v>
      </c>
      <c r="L75" s="25" t="e">
        <f t="shared" si="43"/>
        <v>#NAME?</v>
      </c>
      <c r="M75" s="27" t="e">
        <f t="shared" si="44"/>
        <v>#NAME?</v>
      </c>
      <c r="N75" s="27"/>
      <c r="O75" s="26" t="str">
        <f t="shared" si="45"/>
        <v>Eastern</v>
      </c>
      <c r="P75" s="26" t="e">
        <f t="shared" si="46"/>
        <v>#NAME?</v>
      </c>
      <c r="Q75" s="27" t="e">
        <f t="shared" si="47"/>
        <v>#VALUE!</v>
      </c>
      <c r="R75" s="27"/>
      <c r="S75" s="26">
        <f t="shared" si="48"/>
        <v>303</v>
      </c>
      <c r="T75" s="26" t="e">
        <f t="shared" si="49"/>
        <v>#NAME?</v>
      </c>
      <c r="U75" s="27" t="e">
        <f t="shared" si="50"/>
        <v>#NAME?</v>
      </c>
      <c r="V75" s="27"/>
      <c r="W75" s="26">
        <f t="shared" si="51"/>
        <v>210</v>
      </c>
      <c r="X75" s="26" t="e">
        <f t="shared" si="52"/>
        <v>#NAME?</v>
      </c>
      <c r="Y75" s="27" t="e">
        <f t="shared" si="53"/>
        <v>#NAME?</v>
      </c>
    </row>
    <row r="76" spans="1:25" ht="16.5" customHeight="1" x14ac:dyDescent="0.3">
      <c r="A76" s="16" t="s">
        <v>188</v>
      </c>
      <c r="B76" s="16" t="s">
        <v>189</v>
      </c>
      <c r="C76" s="25">
        <f t="shared" si="36"/>
        <v>344</v>
      </c>
      <c r="D76" s="25" t="e">
        <f t="shared" si="37"/>
        <v>#NAME?</v>
      </c>
      <c r="E76" s="27" t="e">
        <f t="shared" si="38"/>
        <v>#NAME?</v>
      </c>
      <c r="F76" s="25"/>
      <c r="G76" s="25">
        <f t="shared" si="39"/>
        <v>1</v>
      </c>
      <c r="H76" s="25" t="e">
        <f t="shared" si="40"/>
        <v>#NAME?</v>
      </c>
      <c r="I76" s="27" t="e">
        <f t="shared" si="41"/>
        <v>#NAME?</v>
      </c>
      <c r="J76" s="25"/>
      <c r="K76" s="25">
        <f t="shared" si="42"/>
        <v>0</v>
      </c>
      <c r="L76" s="25" t="e">
        <f t="shared" si="43"/>
        <v>#NAME?</v>
      </c>
      <c r="M76" s="27" t="e">
        <f t="shared" si="44"/>
        <v>#NAME?</v>
      </c>
      <c r="N76" s="27"/>
      <c r="O76" s="26" t="str">
        <f t="shared" si="45"/>
        <v>Northern</v>
      </c>
      <c r="P76" s="26" t="e">
        <f t="shared" si="46"/>
        <v>#NAME?</v>
      </c>
      <c r="Q76" s="27" t="e">
        <f t="shared" si="47"/>
        <v>#VALUE!</v>
      </c>
      <c r="R76" s="27"/>
      <c r="S76" s="26">
        <f t="shared" si="48"/>
        <v>3009</v>
      </c>
      <c r="T76" s="26" t="e">
        <f t="shared" si="49"/>
        <v>#NAME?</v>
      </c>
      <c r="U76" s="27" t="e">
        <f t="shared" si="50"/>
        <v>#NAME?</v>
      </c>
      <c r="V76" s="27"/>
      <c r="W76" s="26">
        <f t="shared" si="51"/>
        <v>2066</v>
      </c>
      <c r="X76" s="26" t="e">
        <f t="shared" si="52"/>
        <v>#NAME?</v>
      </c>
      <c r="Y76" s="27" t="e">
        <f t="shared" si="53"/>
        <v>#NAME?</v>
      </c>
    </row>
    <row r="77" spans="1:25" ht="16.5" customHeight="1" x14ac:dyDescent="0.3">
      <c r="A77" s="16" t="s">
        <v>190</v>
      </c>
      <c r="B77" s="16" t="s">
        <v>191</v>
      </c>
      <c r="C77" s="25">
        <f t="shared" si="36"/>
        <v>29</v>
      </c>
      <c r="D77" s="25" t="e">
        <f t="shared" si="37"/>
        <v>#NAME?</v>
      </c>
      <c r="E77" s="27" t="e">
        <f t="shared" si="38"/>
        <v>#NAME?</v>
      </c>
      <c r="F77" s="25"/>
      <c r="G77" s="25">
        <f t="shared" si="39"/>
        <v>0</v>
      </c>
      <c r="H77" s="25" t="e">
        <f t="shared" si="40"/>
        <v>#NAME?</v>
      </c>
      <c r="I77" s="27" t="e">
        <f t="shared" si="41"/>
        <v>#NAME?</v>
      </c>
      <c r="J77" s="25"/>
      <c r="K77" s="25">
        <f t="shared" si="42"/>
        <v>0</v>
      </c>
      <c r="L77" s="25" t="e">
        <f t="shared" si="43"/>
        <v>#NAME?</v>
      </c>
      <c r="M77" s="27" t="e">
        <f t="shared" si="44"/>
        <v>#NAME?</v>
      </c>
      <c r="N77" s="27"/>
      <c r="O77" s="26" t="str">
        <f t="shared" si="45"/>
        <v>Western</v>
      </c>
      <c r="P77" s="26" t="e">
        <f t="shared" si="46"/>
        <v>#NAME?</v>
      </c>
      <c r="Q77" s="27" t="e">
        <f t="shared" si="47"/>
        <v>#VALUE!</v>
      </c>
      <c r="R77" s="27"/>
      <c r="S77" s="26">
        <f t="shared" si="48"/>
        <v>378</v>
      </c>
      <c r="T77" s="26" t="e">
        <f t="shared" si="49"/>
        <v>#NAME?</v>
      </c>
      <c r="U77" s="27" t="e">
        <f t="shared" si="50"/>
        <v>#NAME?</v>
      </c>
      <c r="V77" s="27"/>
      <c r="W77" s="26">
        <f t="shared" si="51"/>
        <v>284</v>
      </c>
      <c r="X77" s="26" t="e">
        <f t="shared" si="52"/>
        <v>#NAME?</v>
      </c>
      <c r="Y77" s="27" t="e">
        <f t="shared" si="53"/>
        <v>#NAME?</v>
      </c>
    </row>
    <row r="78" spans="1:25" ht="16.5" customHeight="1" x14ac:dyDescent="0.3">
      <c r="A78" s="16" t="s">
        <v>194</v>
      </c>
      <c r="B78" s="16" t="s">
        <v>195</v>
      </c>
      <c r="C78" s="25">
        <f t="shared" si="36"/>
        <v>0</v>
      </c>
      <c r="D78" s="25" t="e">
        <f t="shared" si="37"/>
        <v>#NAME?</v>
      </c>
      <c r="E78" s="27" t="e">
        <f t="shared" si="38"/>
        <v>#NAME?</v>
      </c>
      <c r="F78" s="25"/>
      <c r="G78" s="25">
        <f t="shared" si="39"/>
        <v>0</v>
      </c>
      <c r="H78" s="25" t="e">
        <f t="shared" si="40"/>
        <v>#NAME?</v>
      </c>
      <c r="I78" s="27" t="e">
        <f t="shared" si="41"/>
        <v>#NAME?</v>
      </c>
      <c r="J78" s="25"/>
      <c r="K78" s="25">
        <f t="shared" si="42"/>
        <v>0</v>
      </c>
      <c r="L78" s="25" t="e">
        <f t="shared" si="43"/>
        <v>#NAME?</v>
      </c>
      <c r="M78" s="27" t="e">
        <f t="shared" si="44"/>
        <v>#NAME?</v>
      </c>
      <c r="N78" s="27"/>
      <c r="O78" s="26" t="str">
        <f t="shared" si="45"/>
        <v>Northern</v>
      </c>
      <c r="P78" s="26" t="e">
        <f t="shared" si="46"/>
        <v>#NAME?</v>
      </c>
      <c r="Q78" s="27" t="e">
        <f t="shared" si="47"/>
        <v>#VALUE!</v>
      </c>
      <c r="R78" s="27"/>
      <c r="S78" s="26">
        <f t="shared" si="48"/>
        <v>9</v>
      </c>
      <c r="T78" s="26" t="e">
        <f t="shared" si="49"/>
        <v>#NAME?</v>
      </c>
      <c r="U78" s="27" t="e">
        <f t="shared" si="50"/>
        <v>#NAME?</v>
      </c>
      <c r="V78" s="27"/>
      <c r="W78" s="26">
        <f t="shared" si="51"/>
        <v>6</v>
      </c>
      <c r="X78" s="26" t="e">
        <f t="shared" si="52"/>
        <v>#NAME?</v>
      </c>
      <c r="Y78" s="27" t="e">
        <f t="shared" si="53"/>
        <v>#NAME?</v>
      </c>
    </row>
    <row r="79" spans="1:25" ht="16.5" customHeight="1" x14ac:dyDescent="0.3">
      <c r="A79" s="16" t="s">
        <v>198</v>
      </c>
      <c r="B79" s="16" t="s">
        <v>199</v>
      </c>
      <c r="C79" s="25">
        <f t="shared" si="36"/>
        <v>4</v>
      </c>
      <c r="D79" s="25" t="e">
        <f t="shared" si="37"/>
        <v>#NAME?</v>
      </c>
      <c r="E79" s="27" t="e">
        <f t="shared" si="38"/>
        <v>#NAME?</v>
      </c>
      <c r="F79" s="25"/>
      <c r="G79" s="25">
        <f t="shared" si="39"/>
        <v>0</v>
      </c>
      <c r="H79" s="25" t="e">
        <f t="shared" si="40"/>
        <v>#NAME?</v>
      </c>
      <c r="I79" s="27" t="e">
        <f t="shared" si="41"/>
        <v>#NAME?</v>
      </c>
      <c r="J79" s="25"/>
      <c r="K79" s="25">
        <f t="shared" si="42"/>
        <v>0</v>
      </c>
      <c r="L79" s="25" t="e">
        <f t="shared" si="43"/>
        <v>#NAME?</v>
      </c>
      <c r="M79" s="27" t="e">
        <f t="shared" si="44"/>
        <v>#NAME?</v>
      </c>
      <c r="N79" s="27"/>
      <c r="O79" s="26" t="str">
        <f t="shared" si="45"/>
        <v>Central</v>
      </c>
      <c r="P79" s="26" t="e">
        <f t="shared" si="46"/>
        <v>#NAME?</v>
      </c>
      <c r="Q79" s="27" t="e">
        <f t="shared" si="47"/>
        <v>#VALUE!</v>
      </c>
      <c r="R79" s="27"/>
      <c r="S79" s="26">
        <f t="shared" si="48"/>
        <v>102</v>
      </c>
      <c r="T79" s="26" t="e">
        <f t="shared" si="49"/>
        <v>#NAME?</v>
      </c>
      <c r="U79" s="27" t="e">
        <f t="shared" si="50"/>
        <v>#NAME?</v>
      </c>
      <c r="V79" s="27"/>
      <c r="W79" s="26">
        <f t="shared" si="51"/>
        <v>68</v>
      </c>
      <c r="X79" s="26" t="e">
        <f t="shared" si="52"/>
        <v>#NAME?</v>
      </c>
      <c r="Y79" s="27" t="e">
        <f t="shared" si="53"/>
        <v>#NAME?</v>
      </c>
    </row>
    <row r="80" spans="1:25" ht="16.5" customHeight="1" x14ac:dyDescent="0.3">
      <c r="A80" s="16" t="s">
        <v>202</v>
      </c>
      <c r="B80" s="16" t="s">
        <v>203</v>
      </c>
      <c r="C80" s="25">
        <f t="shared" si="36"/>
        <v>84</v>
      </c>
      <c r="D80" s="25" t="e">
        <f t="shared" si="37"/>
        <v>#NAME?</v>
      </c>
      <c r="E80" s="27" t="e">
        <f t="shared" si="38"/>
        <v>#NAME?</v>
      </c>
      <c r="F80" s="25"/>
      <c r="G80" s="25">
        <f t="shared" si="39"/>
        <v>0</v>
      </c>
      <c r="H80" s="25" t="e">
        <f t="shared" si="40"/>
        <v>#NAME?</v>
      </c>
      <c r="I80" s="27" t="e">
        <f t="shared" si="41"/>
        <v>#NAME?</v>
      </c>
      <c r="J80" s="25"/>
      <c r="K80" s="25">
        <f t="shared" si="42"/>
        <v>0</v>
      </c>
      <c r="L80" s="25" t="e">
        <f t="shared" si="43"/>
        <v>#NAME?</v>
      </c>
      <c r="M80" s="27" t="e">
        <f t="shared" si="44"/>
        <v>#NAME?</v>
      </c>
      <c r="N80" s="27"/>
      <c r="O80" s="26" t="str">
        <f t="shared" si="45"/>
        <v>Piedmont</v>
      </c>
      <c r="P80" s="26" t="e">
        <f t="shared" si="46"/>
        <v>#NAME?</v>
      </c>
      <c r="Q80" s="27" t="e">
        <f t="shared" si="47"/>
        <v>#VALUE!</v>
      </c>
      <c r="R80" s="27"/>
      <c r="S80" s="26">
        <f t="shared" si="48"/>
        <v>777</v>
      </c>
      <c r="T80" s="26" t="e">
        <f t="shared" si="49"/>
        <v>#NAME?</v>
      </c>
      <c r="U80" s="27" t="e">
        <f t="shared" si="50"/>
        <v>#NAME?</v>
      </c>
      <c r="V80" s="27"/>
      <c r="W80" s="26">
        <f t="shared" si="51"/>
        <v>572</v>
      </c>
      <c r="X80" s="26" t="e">
        <f t="shared" si="52"/>
        <v>#NAME?</v>
      </c>
      <c r="Y80" s="27" t="e">
        <f t="shared" si="53"/>
        <v>#NAME?</v>
      </c>
    </row>
    <row r="81" spans="1:25" ht="16.5" customHeight="1" x14ac:dyDescent="0.3">
      <c r="A81" s="16" t="s">
        <v>204</v>
      </c>
      <c r="B81" s="16" t="s">
        <v>205</v>
      </c>
      <c r="C81" s="25">
        <f t="shared" si="36"/>
        <v>38</v>
      </c>
      <c r="D81" s="25" t="e">
        <f t="shared" si="37"/>
        <v>#NAME?</v>
      </c>
      <c r="E81" s="27" t="e">
        <f t="shared" si="38"/>
        <v>#NAME?</v>
      </c>
      <c r="F81" s="25"/>
      <c r="G81" s="25">
        <f t="shared" si="39"/>
        <v>0</v>
      </c>
      <c r="H81" s="25" t="e">
        <f t="shared" si="40"/>
        <v>#NAME?</v>
      </c>
      <c r="I81" s="27" t="e">
        <f t="shared" si="41"/>
        <v>#NAME?</v>
      </c>
      <c r="J81" s="25"/>
      <c r="K81" s="25">
        <f t="shared" si="42"/>
        <v>0</v>
      </c>
      <c r="L81" s="25" t="e">
        <f t="shared" si="43"/>
        <v>#NAME?</v>
      </c>
      <c r="M81" s="27" t="e">
        <f t="shared" si="44"/>
        <v>#NAME?</v>
      </c>
      <c r="N81" s="27"/>
      <c r="O81" s="26" t="str">
        <f t="shared" si="45"/>
        <v>Piedmont</v>
      </c>
      <c r="P81" s="26" t="e">
        <f t="shared" si="46"/>
        <v>#NAME?</v>
      </c>
      <c r="Q81" s="27" t="e">
        <f t="shared" si="47"/>
        <v>#VALUE!</v>
      </c>
      <c r="R81" s="27"/>
      <c r="S81" s="26">
        <f t="shared" si="48"/>
        <v>359</v>
      </c>
      <c r="T81" s="26" t="e">
        <f t="shared" si="49"/>
        <v>#NAME?</v>
      </c>
      <c r="U81" s="27" t="e">
        <f t="shared" si="50"/>
        <v>#NAME?</v>
      </c>
      <c r="V81" s="27"/>
      <c r="W81" s="26">
        <f t="shared" si="51"/>
        <v>256</v>
      </c>
      <c r="X81" s="26" t="e">
        <f t="shared" si="52"/>
        <v>#NAME?</v>
      </c>
      <c r="Y81" s="27" t="e">
        <f t="shared" si="53"/>
        <v>#NAME?</v>
      </c>
    </row>
    <row r="82" spans="1:25" ht="16.5" customHeight="1" x14ac:dyDescent="0.3">
      <c r="A82" s="16" t="s">
        <v>206</v>
      </c>
      <c r="B82" s="16" t="s">
        <v>207</v>
      </c>
      <c r="C82" s="25">
        <f t="shared" si="36"/>
        <v>145</v>
      </c>
      <c r="D82" s="25" t="e">
        <f t="shared" si="37"/>
        <v>#NAME?</v>
      </c>
      <c r="E82" s="27" t="e">
        <f t="shared" si="38"/>
        <v>#NAME?</v>
      </c>
      <c r="F82" s="25"/>
      <c r="G82" s="25">
        <f t="shared" si="39"/>
        <v>2</v>
      </c>
      <c r="H82" s="25" t="e">
        <f t="shared" si="40"/>
        <v>#NAME?</v>
      </c>
      <c r="I82" s="27" t="e">
        <f t="shared" si="41"/>
        <v>#NAME?</v>
      </c>
      <c r="J82" s="25"/>
      <c r="K82" s="25">
        <f t="shared" si="42"/>
        <v>0</v>
      </c>
      <c r="L82" s="25" t="e">
        <f t="shared" si="43"/>
        <v>#NAME?</v>
      </c>
      <c r="M82" s="27" t="e">
        <f t="shared" si="44"/>
        <v>#NAME?</v>
      </c>
      <c r="N82" s="27"/>
      <c r="O82" s="26" t="str">
        <f t="shared" si="45"/>
        <v>Northern</v>
      </c>
      <c r="P82" s="26" t="e">
        <f t="shared" si="46"/>
        <v>#NAME?</v>
      </c>
      <c r="Q82" s="27" t="e">
        <f t="shared" si="47"/>
        <v>#VALUE!</v>
      </c>
      <c r="R82" s="27"/>
      <c r="S82" s="26">
        <f t="shared" si="48"/>
        <v>1263</v>
      </c>
      <c r="T82" s="26" t="e">
        <f t="shared" si="49"/>
        <v>#NAME?</v>
      </c>
      <c r="U82" s="27" t="e">
        <f t="shared" si="50"/>
        <v>#NAME?</v>
      </c>
      <c r="V82" s="27"/>
      <c r="W82" s="26">
        <f t="shared" si="51"/>
        <v>876</v>
      </c>
      <c r="X82" s="26" t="e">
        <f t="shared" si="52"/>
        <v>#NAME?</v>
      </c>
      <c r="Y82" s="27" t="e">
        <f t="shared" si="53"/>
        <v>#NAME?</v>
      </c>
    </row>
    <row r="83" spans="1:25" ht="16.5" customHeight="1" x14ac:dyDescent="0.3">
      <c r="A83" s="16" t="s">
        <v>208</v>
      </c>
      <c r="B83" s="29" t="s">
        <v>209</v>
      </c>
      <c r="C83" s="25">
        <f t="shared" si="36"/>
        <v>35</v>
      </c>
      <c r="D83" s="25" t="e">
        <f t="shared" si="37"/>
        <v>#NAME?</v>
      </c>
      <c r="E83" s="27" t="e">
        <f t="shared" si="38"/>
        <v>#NAME?</v>
      </c>
      <c r="F83" s="25"/>
      <c r="G83" s="25">
        <f t="shared" si="39"/>
        <v>0</v>
      </c>
      <c r="H83" s="25" t="e">
        <f t="shared" si="40"/>
        <v>#NAME?</v>
      </c>
      <c r="I83" s="27" t="e">
        <f t="shared" si="41"/>
        <v>#NAME?</v>
      </c>
      <c r="J83" s="25"/>
      <c r="K83" s="25">
        <f t="shared" si="42"/>
        <v>2</v>
      </c>
      <c r="L83" s="25" t="e">
        <f t="shared" si="43"/>
        <v>#NAME?</v>
      </c>
      <c r="M83" s="27" t="e">
        <f t="shared" si="44"/>
        <v>#NAME?</v>
      </c>
      <c r="N83" s="27"/>
      <c r="O83" s="26" t="str">
        <f t="shared" si="45"/>
        <v>Western</v>
      </c>
      <c r="P83" s="26" t="e">
        <f t="shared" si="46"/>
        <v>#NAME?</v>
      </c>
      <c r="Q83" s="27" t="e">
        <f t="shared" si="47"/>
        <v>#VALUE!</v>
      </c>
      <c r="R83" s="27"/>
      <c r="S83" s="26">
        <f t="shared" si="48"/>
        <v>389</v>
      </c>
      <c r="T83" s="26" t="e">
        <f t="shared" si="49"/>
        <v>#NAME?</v>
      </c>
      <c r="U83" s="27" t="e">
        <f t="shared" si="50"/>
        <v>#NAME?</v>
      </c>
      <c r="V83" s="27"/>
      <c r="W83" s="26">
        <f t="shared" si="51"/>
        <v>274</v>
      </c>
      <c r="X83" s="26" t="e">
        <f t="shared" si="52"/>
        <v>#NAME?</v>
      </c>
      <c r="Y83" s="27" t="e">
        <f t="shared" si="53"/>
        <v>#NAME?</v>
      </c>
    </row>
    <row r="84" spans="1:25" ht="16.5" customHeight="1" x14ac:dyDescent="0.3">
      <c r="A84" s="16" t="s">
        <v>210</v>
      </c>
      <c r="B84" s="16" t="s">
        <v>211</v>
      </c>
      <c r="C84" s="25">
        <f t="shared" si="36"/>
        <v>31</v>
      </c>
      <c r="D84" s="25" t="e">
        <f t="shared" si="37"/>
        <v>#NAME?</v>
      </c>
      <c r="E84" s="27" t="e">
        <f t="shared" si="38"/>
        <v>#NAME?</v>
      </c>
      <c r="F84" s="25"/>
      <c r="G84" s="25">
        <f t="shared" si="39"/>
        <v>0</v>
      </c>
      <c r="H84" s="25" t="e">
        <f t="shared" si="40"/>
        <v>#NAME?</v>
      </c>
      <c r="I84" s="27" t="e">
        <f t="shared" si="41"/>
        <v>#NAME?</v>
      </c>
      <c r="J84" s="25"/>
      <c r="K84" s="25">
        <f t="shared" si="42"/>
        <v>0</v>
      </c>
      <c r="L84" s="25" t="e">
        <f t="shared" si="43"/>
        <v>#NAME?</v>
      </c>
      <c r="M84" s="27" t="e">
        <f t="shared" si="44"/>
        <v>#NAME?</v>
      </c>
      <c r="N84" s="27"/>
      <c r="O84" s="26" t="str">
        <f t="shared" si="45"/>
        <v>Western</v>
      </c>
      <c r="P84" s="26" t="e">
        <f t="shared" si="46"/>
        <v>#NAME?</v>
      </c>
      <c r="Q84" s="27" t="e">
        <f t="shared" si="47"/>
        <v>#VALUE!</v>
      </c>
      <c r="R84" s="27"/>
      <c r="S84" s="26">
        <f t="shared" si="48"/>
        <v>346</v>
      </c>
      <c r="T84" s="26" t="e">
        <f t="shared" si="49"/>
        <v>#NAME?</v>
      </c>
      <c r="U84" s="27" t="e">
        <f t="shared" si="50"/>
        <v>#NAME?</v>
      </c>
      <c r="V84" s="27"/>
      <c r="W84" s="26">
        <f t="shared" si="51"/>
        <v>250</v>
      </c>
      <c r="X84" s="26" t="e">
        <f t="shared" si="52"/>
        <v>#NAME?</v>
      </c>
      <c r="Y84" s="27" t="e">
        <f t="shared" si="53"/>
        <v>#NAME?</v>
      </c>
    </row>
    <row r="85" spans="1:25" ht="16.5" customHeight="1" x14ac:dyDescent="0.3">
      <c r="A85" s="16" t="s">
        <v>212</v>
      </c>
      <c r="B85" s="16" t="s">
        <v>213</v>
      </c>
      <c r="C85" s="25">
        <f t="shared" si="36"/>
        <v>53</v>
      </c>
      <c r="D85" s="25" t="e">
        <f t="shared" si="37"/>
        <v>#NAME?</v>
      </c>
      <c r="E85" s="27" t="e">
        <f t="shared" si="38"/>
        <v>#NAME?</v>
      </c>
      <c r="F85" s="25"/>
      <c r="G85" s="25">
        <f t="shared" si="39"/>
        <v>0</v>
      </c>
      <c r="H85" s="25" t="e">
        <f t="shared" si="40"/>
        <v>#NAME?</v>
      </c>
      <c r="I85" s="27" t="e">
        <f t="shared" si="41"/>
        <v>#NAME?</v>
      </c>
      <c r="J85" s="25"/>
      <c r="K85" s="25">
        <f t="shared" si="42"/>
        <v>0</v>
      </c>
      <c r="L85" s="25" t="e">
        <f t="shared" si="43"/>
        <v>#NAME?</v>
      </c>
      <c r="M85" s="27" t="e">
        <f t="shared" si="44"/>
        <v>#NAME?</v>
      </c>
      <c r="N85" s="27"/>
      <c r="O85" s="26" t="str">
        <f t="shared" si="45"/>
        <v>Northern</v>
      </c>
      <c r="P85" s="26" t="e">
        <f t="shared" si="46"/>
        <v>#NAME?</v>
      </c>
      <c r="Q85" s="27" t="e">
        <f t="shared" si="47"/>
        <v>#VALUE!</v>
      </c>
      <c r="R85" s="27"/>
      <c r="S85" s="26">
        <f t="shared" si="48"/>
        <v>481</v>
      </c>
      <c r="T85" s="26" t="e">
        <f t="shared" si="49"/>
        <v>#NAME?</v>
      </c>
      <c r="U85" s="27" t="e">
        <f t="shared" si="50"/>
        <v>#NAME?</v>
      </c>
      <c r="V85" s="27"/>
      <c r="W85" s="26">
        <f t="shared" si="51"/>
        <v>332</v>
      </c>
      <c r="X85" s="26" t="e">
        <f t="shared" si="52"/>
        <v>#NAME?</v>
      </c>
      <c r="Y85" s="27" t="e">
        <f t="shared" si="53"/>
        <v>#NAME?</v>
      </c>
    </row>
    <row r="86" spans="1:25" ht="16.5" customHeight="1" x14ac:dyDescent="0.3">
      <c r="A86" s="16" t="s">
        <v>214</v>
      </c>
      <c r="B86" s="16" t="s">
        <v>215</v>
      </c>
      <c r="C86" s="25">
        <f t="shared" si="36"/>
        <v>59</v>
      </c>
      <c r="D86" s="25" t="e">
        <f t="shared" si="37"/>
        <v>#NAME?</v>
      </c>
      <c r="E86" s="27" t="e">
        <f t="shared" si="38"/>
        <v>#NAME?</v>
      </c>
      <c r="F86" s="25"/>
      <c r="G86" s="25">
        <f t="shared" si="39"/>
        <v>0</v>
      </c>
      <c r="H86" s="25" t="e">
        <f t="shared" si="40"/>
        <v>#NAME?</v>
      </c>
      <c r="I86" s="27" t="e">
        <f t="shared" si="41"/>
        <v>#NAME?</v>
      </c>
      <c r="J86" s="25"/>
      <c r="K86" s="25">
        <f t="shared" si="42"/>
        <v>0</v>
      </c>
      <c r="L86" s="25" t="e">
        <f t="shared" si="43"/>
        <v>#NAME?</v>
      </c>
      <c r="M86" s="27" t="e">
        <f t="shared" si="44"/>
        <v>#NAME?</v>
      </c>
      <c r="N86" s="27"/>
      <c r="O86" s="26" t="str">
        <f t="shared" si="45"/>
        <v>Western</v>
      </c>
      <c r="P86" s="26" t="e">
        <f t="shared" si="46"/>
        <v>#NAME?</v>
      </c>
      <c r="Q86" s="27" t="e">
        <f t="shared" si="47"/>
        <v>#VALUE!</v>
      </c>
      <c r="R86" s="27"/>
      <c r="S86" s="26">
        <f t="shared" si="48"/>
        <v>562</v>
      </c>
      <c r="T86" s="26" t="e">
        <f t="shared" si="49"/>
        <v>#NAME?</v>
      </c>
      <c r="U86" s="27" t="e">
        <f t="shared" si="50"/>
        <v>#NAME?</v>
      </c>
      <c r="V86" s="27"/>
      <c r="W86" s="26">
        <f t="shared" si="51"/>
        <v>410</v>
      </c>
      <c r="X86" s="26" t="e">
        <f t="shared" si="52"/>
        <v>#NAME?</v>
      </c>
      <c r="Y86" s="27" t="e">
        <f t="shared" si="53"/>
        <v>#NAME?</v>
      </c>
    </row>
    <row r="87" spans="1:25" ht="16.5" customHeight="1" x14ac:dyDescent="0.3">
      <c r="A87" s="16" t="s">
        <v>216</v>
      </c>
      <c r="B87" s="16" t="s">
        <v>217</v>
      </c>
      <c r="C87" s="25">
        <f t="shared" si="36"/>
        <v>21</v>
      </c>
      <c r="D87" s="25" t="e">
        <f t="shared" si="37"/>
        <v>#NAME?</v>
      </c>
      <c r="E87" s="27" t="e">
        <f t="shared" si="38"/>
        <v>#NAME?</v>
      </c>
      <c r="F87" s="25"/>
      <c r="G87" s="25">
        <f t="shared" si="39"/>
        <v>0</v>
      </c>
      <c r="H87" s="25" t="e">
        <f t="shared" si="40"/>
        <v>#NAME?</v>
      </c>
      <c r="I87" s="27" t="e">
        <f t="shared" si="41"/>
        <v>#NAME?</v>
      </c>
      <c r="J87" s="25"/>
      <c r="K87" s="25">
        <f t="shared" si="42"/>
        <v>0</v>
      </c>
      <c r="L87" s="25" t="e">
        <f t="shared" si="43"/>
        <v>#NAME?</v>
      </c>
      <c r="M87" s="27" t="e">
        <f t="shared" si="44"/>
        <v>#NAME?</v>
      </c>
      <c r="N87" s="27"/>
      <c r="O87" s="26" t="str">
        <f t="shared" si="45"/>
        <v>Eastern</v>
      </c>
      <c r="P87" s="26" t="e">
        <f t="shared" si="46"/>
        <v>#NAME?</v>
      </c>
      <c r="Q87" s="27" t="e">
        <f t="shared" si="47"/>
        <v>#VALUE!</v>
      </c>
      <c r="R87" s="27"/>
      <c r="S87" s="26">
        <f t="shared" si="48"/>
        <v>251</v>
      </c>
      <c r="T87" s="26" t="e">
        <f t="shared" si="49"/>
        <v>#NAME?</v>
      </c>
      <c r="U87" s="27" t="e">
        <f t="shared" si="50"/>
        <v>#NAME?</v>
      </c>
      <c r="V87" s="27"/>
      <c r="W87" s="26">
        <f t="shared" si="51"/>
        <v>177</v>
      </c>
      <c r="X87" s="26" t="e">
        <f t="shared" si="52"/>
        <v>#NAME?</v>
      </c>
      <c r="Y87" s="27" t="e">
        <f t="shared" si="53"/>
        <v>#NAME?</v>
      </c>
    </row>
    <row r="88" spans="1:25" ht="16.5" customHeight="1" x14ac:dyDescent="0.3">
      <c r="A88" s="16" t="s">
        <v>218</v>
      </c>
      <c r="B88" s="16" t="s">
        <v>219</v>
      </c>
      <c r="C88" s="25">
        <f t="shared" si="36"/>
        <v>144</v>
      </c>
      <c r="D88" s="25" t="e">
        <f t="shared" si="37"/>
        <v>#NAME?</v>
      </c>
      <c r="E88" s="27" t="e">
        <f t="shared" si="38"/>
        <v>#NAME?</v>
      </c>
      <c r="F88" s="25"/>
      <c r="G88" s="25">
        <f t="shared" si="39"/>
        <v>0</v>
      </c>
      <c r="H88" s="25" t="e">
        <f t="shared" si="40"/>
        <v>#NAME?</v>
      </c>
      <c r="I88" s="27" t="e">
        <f t="shared" si="41"/>
        <v>#NAME?</v>
      </c>
      <c r="J88" s="25"/>
      <c r="K88" s="25">
        <f t="shared" si="42"/>
        <v>0</v>
      </c>
      <c r="L88" s="25" t="e">
        <f t="shared" si="43"/>
        <v>#NAME?</v>
      </c>
      <c r="M88" s="27" t="e">
        <f t="shared" si="44"/>
        <v>#NAME?</v>
      </c>
      <c r="N88" s="27"/>
      <c r="O88" s="26" t="str">
        <f t="shared" si="45"/>
        <v>Northern</v>
      </c>
      <c r="P88" s="26" t="e">
        <f t="shared" si="46"/>
        <v>#NAME?</v>
      </c>
      <c r="Q88" s="27" t="e">
        <f t="shared" si="47"/>
        <v>#VALUE!</v>
      </c>
      <c r="R88" s="27"/>
      <c r="S88" s="26">
        <f t="shared" si="48"/>
        <v>1547</v>
      </c>
      <c r="T88" s="26" t="e">
        <f t="shared" si="49"/>
        <v>#NAME?</v>
      </c>
      <c r="U88" s="27" t="e">
        <f t="shared" si="50"/>
        <v>#NAME?</v>
      </c>
      <c r="V88" s="27"/>
      <c r="W88" s="26">
        <f t="shared" si="51"/>
        <v>1069</v>
      </c>
      <c r="X88" s="26" t="e">
        <f t="shared" si="52"/>
        <v>#NAME?</v>
      </c>
      <c r="Y88" s="27" t="e">
        <f t="shared" si="53"/>
        <v>#NAME?</v>
      </c>
    </row>
    <row r="89" spans="1:25" ht="16.5" customHeight="1" x14ac:dyDescent="0.3">
      <c r="A89" s="16" t="s">
        <v>220</v>
      </c>
      <c r="B89" s="16" t="s">
        <v>221</v>
      </c>
      <c r="C89" s="25">
        <f t="shared" si="36"/>
        <v>116</v>
      </c>
      <c r="D89" s="25" t="e">
        <f t="shared" si="37"/>
        <v>#NAME?</v>
      </c>
      <c r="E89" s="27" t="e">
        <f t="shared" si="38"/>
        <v>#NAME?</v>
      </c>
      <c r="F89" s="25"/>
      <c r="G89" s="25">
        <f t="shared" si="39"/>
        <v>1</v>
      </c>
      <c r="H89" s="25" t="e">
        <f t="shared" si="40"/>
        <v>#NAME?</v>
      </c>
      <c r="I89" s="27" t="e">
        <f t="shared" si="41"/>
        <v>#NAME?</v>
      </c>
      <c r="J89" s="25"/>
      <c r="K89" s="25">
        <f t="shared" si="42"/>
        <v>0</v>
      </c>
      <c r="L89" s="25" t="e">
        <f t="shared" si="43"/>
        <v>#NAME?</v>
      </c>
      <c r="M89" s="27" t="e">
        <f t="shared" si="44"/>
        <v>#NAME?</v>
      </c>
      <c r="N89" s="27"/>
      <c r="O89" s="26" t="str">
        <f t="shared" si="45"/>
        <v>Northern</v>
      </c>
      <c r="P89" s="26" t="e">
        <f t="shared" si="46"/>
        <v>#NAME?</v>
      </c>
      <c r="Q89" s="27" t="e">
        <f t="shared" si="47"/>
        <v>#VALUE!</v>
      </c>
      <c r="R89" s="27"/>
      <c r="S89" s="26">
        <f t="shared" si="48"/>
        <v>1340</v>
      </c>
      <c r="T89" s="26" t="e">
        <f t="shared" si="49"/>
        <v>#NAME?</v>
      </c>
      <c r="U89" s="27" t="e">
        <f t="shared" si="50"/>
        <v>#NAME?</v>
      </c>
      <c r="V89" s="27"/>
      <c r="W89" s="26">
        <f t="shared" si="51"/>
        <v>930</v>
      </c>
      <c r="X89" s="26" t="e">
        <f t="shared" si="52"/>
        <v>#NAME?</v>
      </c>
      <c r="Y89" s="27" t="e">
        <f t="shared" si="53"/>
        <v>#NAME?</v>
      </c>
    </row>
    <row r="90" spans="1:25" ht="16.5" customHeight="1" x14ac:dyDescent="0.3">
      <c r="A90" s="16" t="s">
        <v>224</v>
      </c>
      <c r="B90" s="16" t="s">
        <v>225</v>
      </c>
      <c r="C90" s="25">
        <f t="shared" si="36"/>
        <v>7</v>
      </c>
      <c r="D90" s="25" t="e">
        <f t="shared" si="37"/>
        <v>#NAME?</v>
      </c>
      <c r="E90" s="27" t="e">
        <f t="shared" si="38"/>
        <v>#NAME?</v>
      </c>
      <c r="F90" s="25"/>
      <c r="G90" s="25">
        <f t="shared" si="39"/>
        <v>0</v>
      </c>
      <c r="H90" s="25" t="e">
        <f t="shared" si="40"/>
        <v>#NAME?</v>
      </c>
      <c r="I90" s="27" t="e">
        <f t="shared" si="41"/>
        <v>#NAME?</v>
      </c>
      <c r="J90" s="25"/>
      <c r="K90" s="25">
        <f t="shared" si="42"/>
        <v>0</v>
      </c>
      <c r="L90" s="25" t="e">
        <f t="shared" si="43"/>
        <v>#NAME?</v>
      </c>
      <c r="M90" s="27" t="e">
        <f t="shared" si="44"/>
        <v>#NAME?</v>
      </c>
      <c r="N90" s="27"/>
      <c r="O90" s="26" t="str">
        <f t="shared" si="45"/>
        <v>Eastern</v>
      </c>
      <c r="P90" s="26" t="e">
        <f t="shared" si="46"/>
        <v>#NAME?</v>
      </c>
      <c r="Q90" s="27" t="e">
        <f t="shared" si="47"/>
        <v>#VALUE!</v>
      </c>
      <c r="R90" s="27"/>
      <c r="S90" s="26">
        <f t="shared" si="48"/>
        <v>84</v>
      </c>
      <c r="T90" s="26" t="e">
        <f t="shared" si="49"/>
        <v>#NAME?</v>
      </c>
      <c r="U90" s="27" t="e">
        <f t="shared" si="50"/>
        <v>#NAME?</v>
      </c>
      <c r="V90" s="27"/>
      <c r="W90" s="26">
        <f t="shared" si="51"/>
        <v>58</v>
      </c>
      <c r="X90" s="26" t="e">
        <f t="shared" si="52"/>
        <v>#NAME?</v>
      </c>
      <c r="Y90" s="27" t="e">
        <f t="shared" si="53"/>
        <v>#NAME?</v>
      </c>
    </row>
    <row r="91" spans="1:25" ht="16.5" customHeight="1" x14ac:dyDescent="0.3">
      <c r="A91" s="16" t="s">
        <v>226</v>
      </c>
      <c r="B91" s="16" t="s">
        <v>227</v>
      </c>
      <c r="C91" s="25">
        <f t="shared" si="36"/>
        <v>21</v>
      </c>
      <c r="D91" s="25" t="e">
        <f t="shared" si="37"/>
        <v>#NAME?</v>
      </c>
      <c r="E91" s="27" t="e">
        <f t="shared" si="38"/>
        <v>#NAME?</v>
      </c>
      <c r="F91" s="25"/>
      <c r="G91" s="25">
        <f t="shared" si="39"/>
        <v>0</v>
      </c>
      <c r="H91" s="25" t="e">
        <f t="shared" si="40"/>
        <v>#NAME?</v>
      </c>
      <c r="I91" s="27" t="e">
        <f t="shared" si="41"/>
        <v>#NAME?</v>
      </c>
      <c r="J91" s="25"/>
      <c r="K91" s="25">
        <f t="shared" si="42"/>
        <v>0</v>
      </c>
      <c r="L91" s="25" t="e">
        <f t="shared" si="43"/>
        <v>#NAME?</v>
      </c>
      <c r="M91" s="27" t="e">
        <f t="shared" si="44"/>
        <v>#NAME?</v>
      </c>
      <c r="N91" s="27"/>
      <c r="O91" s="26" t="str">
        <f t="shared" si="45"/>
        <v>Eastern</v>
      </c>
      <c r="P91" s="26" t="e">
        <f t="shared" si="46"/>
        <v>#NAME?</v>
      </c>
      <c r="Q91" s="27" t="e">
        <f t="shared" si="47"/>
        <v>#VALUE!</v>
      </c>
      <c r="R91" s="27"/>
      <c r="S91" s="26">
        <f t="shared" si="48"/>
        <v>238</v>
      </c>
      <c r="T91" s="26" t="e">
        <f t="shared" si="49"/>
        <v>#NAME?</v>
      </c>
      <c r="U91" s="27" t="e">
        <f t="shared" si="50"/>
        <v>#NAME?</v>
      </c>
      <c r="V91" s="27"/>
      <c r="W91" s="26">
        <f t="shared" si="51"/>
        <v>165</v>
      </c>
      <c r="X91" s="26" t="e">
        <f t="shared" si="52"/>
        <v>#NAME?</v>
      </c>
      <c r="Y91" s="27" t="e">
        <f t="shared" si="53"/>
        <v>#NAME?</v>
      </c>
    </row>
    <row r="92" spans="1:25" ht="16.5" customHeight="1" x14ac:dyDescent="0.3">
      <c r="A92" s="16" t="s">
        <v>228</v>
      </c>
      <c r="B92" s="16" t="s">
        <v>229</v>
      </c>
      <c r="C92" s="25">
        <f t="shared" si="36"/>
        <v>61</v>
      </c>
      <c r="D92" s="25" t="e">
        <f t="shared" si="37"/>
        <v>#NAME?</v>
      </c>
      <c r="E92" s="27" t="e">
        <f t="shared" si="38"/>
        <v>#NAME?</v>
      </c>
      <c r="F92" s="25"/>
      <c r="G92" s="25">
        <f t="shared" si="39"/>
        <v>0</v>
      </c>
      <c r="H92" s="25" t="e">
        <f t="shared" si="40"/>
        <v>#NAME?</v>
      </c>
      <c r="I92" s="27" t="e">
        <f t="shared" si="41"/>
        <v>#NAME?</v>
      </c>
      <c r="J92" s="25"/>
      <c r="K92" s="25">
        <f t="shared" si="42"/>
        <v>0</v>
      </c>
      <c r="L92" s="25" t="e">
        <f t="shared" si="43"/>
        <v>#NAME?</v>
      </c>
      <c r="M92" s="27" t="e">
        <f t="shared" si="44"/>
        <v>#NAME?</v>
      </c>
      <c r="N92" s="27"/>
      <c r="O92" s="26" t="str">
        <f t="shared" si="45"/>
        <v>Western</v>
      </c>
      <c r="P92" s="26" t="e">
        <f t="shared" si="46"/>
        <v>#NAME?</v>
      </c>
      <c r="Q92" s="27" t="e">
        <f t="shared" si="47"/>
        <v>#VALUE!</v>
      </c>
      <c r="R92" s="27"/>
      <c r="S92" s="26">
        <f t="shared" si="48"/>
        <v>547</v>
      </c>
      <c r="T92" s="26" t="e">
        <f t="shared" si="49"/>
        <v>#NAME?</v>
      </c>
      <c r="U92" s="27" t="e">
        <f t="shared" si="50"/>
        <v>#NAME?</v>
      </c>
      <c r="V92" s="27"/>
      <c r="W92" s="26">
        <f t="shared" si="51"/>
        <v>397</v>
      </c>
      <c r="X92" s="26" t="e">
        <f t="shared" si="52"/>
        <v>#NAME?</v>
      </c>
      <c r="Y92" s="27" t="e">
        <f t="shared" si="53"/>
        <v>#NAME?</v>
      </c>
    </row>
    <row r="93" spans="1:25" ht="16.5" customHeight="1" x14ac:dyDescent="0.3">
      <c r="A93" s="16" t="s">
        <v>232</v>
      </c>
      <c r="B93" s="16" t="s">
        <v>233</v>
      </c>
      <c r="C93" s="25">
        <f t="shared" si="36"/>
        <v>34</v>
      </c>
      <c r="D93" s="25" t="e">
        <f t="shared" si="37"/>
        <v>#NAME?</v>
      </c>
      <c r="E93" s="27" t="e">
        <f t="shared" si="38"/>
        <v>#NAME?</v>
      </c>
      <c r="F93" s="25"/>
      <c r="G93" s="25">
        <f t="shared" si="39"/>
        <v>0</v>
      </c>
      <c r="H93" s="25" t="e">
        <f t="shared" si="40"/>
        <v>#NAME?</v>
      </c>
      <c r="I93" s="27" t="e">
        <f t="shared" si="41"/>
        <v>#NAME?</v>
      </c>
      <c r="J93" s="25"/>
      <c r="K93" s="25">
        <f t="shared" si="42"/>
        <v>0</v>
      </c>
      <c r="L93" s="25" t="e">
        <f t="shared" si="43"/>
        <v>#NAME?</v>
      </c>
      <c r="M93" s="27" t="e">
        <f t="shared" si="44"/>
        <v>#NAME?</v>
      </c>
      <c r="N93" s="27"/>
      <c r="O93" s="26" t="str">
        <f t="shared" si="45"/>
        <v>Northern</v>
      </c>
      <c r="P93" s="26" t="e">
        <f t="shared" si="46"/>
        <v>#NAME?</v>
      </c>
      <c r="Q93" s="27" t="e">
        <f t="shared" si="47"/>
        <v>#VALUE!</v>
      </c>
      <c r="R93" s="27"/>
      <c r="S93" s="26">
        <f t="shared" si="48"/>
        <v>431</v>
      </c>
      <c r="T93" s="26" t="e">
        <f t="shared" si="49"/>
        <v>#NAME?</v>
      </c>
      <c r="U93" s="27" t="e">
        <f t="shared" si="50"/>
        <v>#NAME?</v>
      </c>
      <c r="V93" s="27"/>
      <c r="W93" s="26">
        <f t="shared" si="51"/>
        <v>305</v>
      </c>
      <c r="X93" s="26" t="e">
        <f t="shared" si="52"/>
        <v>#NAME?</v>
      </c>
      <c r="Y93" s="27" t="e">
        <f t="shared" si="53"/>
        <v>#NAME?</v>
      </c>
    </row>
    <row r="94" spans="1:25" ht="16.5" customHeight="1" x14ac:dyDescent="0.3">
      <c r="A94" s="16" t="s">
        <v>234</v>
      </c>
      <c r="B94" s="16" t="s">
        <v>235</v>
      </c>
      <c r="C94" s="25">
        <f t="shared" si="36"/>
        <v>64</v>
      </c>
      <c r="D94" s="25" t="e">
        <f t="shared" si="37"/>
        <v>#NAME?</v>
      </c>
      <c r="E94" s="27" t="e">
        <f t="shared" si="38"/>
        <v>#NAME?</v>
      </c>
      <c r="F94" s="25"/>
      <c r="G94" s="25">
        <f t="shared" si="39"/>
        <v>0</v>
      </c>
      <c r="H94" s="25" t="e">
        <f t="shared" si="40"/>
        <v>#NAME?</v>
      </c>
      <c r="I94" s="27" t="e">
        <f t="shared" si="41"/>
        <v>#NAME?</v>
      </c>
      <c r="J94" s="25"/>
      <c r="K94" s="25">
        <f t="shared" si="42"/>
        <v>0</v>
      </c>
      <c r="L94" s="25" t="e">
        <f t="shared" si="43"/>
        <v>#NAME?</v>
      </c>
      <c r="M94" s="27" t="e">
        <f t="shared" si="44"/>
        <v>#NAME?</v>
      </c>
      <c r="N94" s="27"/>
      <c r="O94" s="26" t="str">
        <f t="shared" si="45"/>
        <v>Western</v>
      </c>
      <c r="P94" s="26" t="e">
        <f t="shared" si="46"/>
        <v>#NAME?</v>
      </c>
      <c r="Q94" s="27" t="e">
        <f t="shared" si="47"/>
        <v>#VALUE!</v>
      </c>
      <c r="R94" s="27"/>
      <c r="S94" s="26">
        <f t="shared" si="48"/>
        <v>615</v>
      </c>
      <c r="T94" s="26" t="e">
        <f t="shared" si="49"/>
        <v>#NAME?</v>
      </c>
      <c r="U94" s="27" t="e">
        <f t="shared" si="50"/>
        <v>#NAME?</v>
      </c>
      <c r="V94" s="27"/>
      <c r="W94" s="26">
        <f t="shared" si="51"/>
        <v>441</v>
      </c>
      <c r="X94" s="26" t="e">
        <f t="shared" si="52"/>
        <v>#NAME?</v>
      </c>
      <c r="Y94" s="27" t="e">
        <f t="shared" si="53"/>
        <v>#NAME?</v>
      </c>
    </row>
    <row r="95" spans="1:25" ht="16.5" customHeight="1" x14ac:dyDescent="0.3">
      <c r="A95" s="16" t="s">
        <v>236</v>
      </c>
      <c r="B95" s="16" t="s">
        <v>237</v>
      </c>
      <c r="C95" s="25">
        <f t="shared" si="36"/>
        <v>20</v>
      </c>
      <c r="D95" s="25" t="e">
        <f t="shared" si="37"/>
        <v>#NAME?</v>
      </c>
      <c r="E95" s="27" t="e">
        <f t="shared" si="38"/>
        <v>#NAME?</v>
      </c>
      <c r="F95" s="25"/>
      <c r="G95" s="25">
        <f t="shared" si="39"/>
        <v>0</v>
      </c>
      <c r="H95" s="25" t="e">
        <f t="shared" si="40"/>
        <v>#NAME?</v>
      </c>
      <c r="I95" s="27" t="e">
        <f t="shared" si="41"/>
        <v>#NAME?</v>
      </c>
      <c r="J95" s="25"/>
      <c r="K95" s="25">
        <f t="shared" si="42"/>
        <v>0</v>
      </c>
      <c r="L95" s="25" t="e">
        <f t="shared" si="43"/>
        <v>#NAME?</v>
      </c>
      <c r="M95" s="27" t="e">
        <f t="shared" si="44"/>
        <v>#NAME?</v>
      </c>
      <c r="N95" s="27"/>
      <c r="O95" s="26" t="str">
        <f t="shared" si="45"/>
        <v>Central</v>
      </c>
      <c r="P95" s="26" t="e">
        <f t="shared" si="46"/>
        <v>#NAME?</v>
      </c>
      <c r="Q95" s="27" t="e">
        <f t="shared" si="47"/>
        <v>#VALUE!</v>
      </c>
      <c r="R95" s="27"/>
      <c r="S95" s="26">
        <f t="shared" si="48"/>
        <v>264</v>
      </c>
      <c r="T95" s="26" t="e">
        <f t="shared" si="49"/>
        <v>#NAME?</v>
      </c>
      <c r="U95" s="27" t="e">
        <f t="shared" si="50"/>
        <v>#NAME?</v>
      </c>
      <c r="V95" s="27"/>
      <c r="W95" s="26">
        <f t="shared" si="51"/>
        <v>188</v>
      </c>
      <c r="X95" s="26" t="e">
        <f t="shared" si="52"/>
        <v>#NAME?</v>
      </c>
      <c r="Y95" s="27" t="e">
        <f t="shared" si="53"/>
        <v>#NAME?</v>
      </c>
    </row>
    <row r="96" spans="1:25" ht="16.5" customHeight="1" x14ac:dyDescent="0.3">
      <c r="A96" s="16" t="s">
        <v>242</v>
      </c>
      <c r="B96" s="16" t="s">
        <v>243</v>
      </c>
      <c r="C96" s="25">
        <f t="shared" si="36"/>
        <v>78</v>
      </c>
      <c r="D96" s="25" t="e">
        <f t="shared" si="37"/>
        <v>#NAME?</v>
      </c>
      <c r="E96" s="27" t="e">
        <f t="shared" si="38"/>
        <v>#NAME?</v>
      </c>
      <c r="F96" s="25"/>
      <c r="G96" s="25">
        <f t="shared" si="39"/>
        <v>0</v>
      </c>
      <c r="H96" s="25" t="e">
        <f t="shared" si="40"/>
        <v>#NAME?</v>
      </c>
      <c r="I96" s="27" t="e">
        <f t="shared" si="41"/>
        <v>#NAME?</v>
      </c>
      <c r="J96" s="25"/>
      <c r="K96" s="25">
        <f t="shared" si="42"/>
        <v>0</v>
      </c>
      <c r="L96" s="25" t="e">
        <f t="shared" si="43"/>
        <v>#NAME?</v>
      </c>
      <c r="M96" s="27" t="e">
        <f t="shared" si="44"/>
        <v>#NAME?</v>
      </c>
      <c r="N96" s="27"/>
      <c r="O96" s="26" t="str">
        <f t="shared" si="45"/>
        <v>Western</v>
      </c>
      <c r="P96" s="26" t="e">
        <f t="shared" si="46"/>
        <v>#NAME?</v>
      </c>
      <c r="Q96" s="27" t="e">
        <f t="shared" si="47"/>
        <v>#VALUE!</v>
      </c>
      <c r="R96" s="27"/>
      <c r="S96" s="26">
        <f t="shared" si="48"/>
        <v>939</v>
      </c>
      <c r="T96" s="26" t="e">
        <f t="shared" si="49"/>
        <v>#NAME?</v>
      </c>
      <c r="U96" s="27" t="e">
        <f t="shared" si="50"/>
        <v>#NAME?</v>
      </c>
      <c r="V96" s="27"/>
      <c r="W96" s="26">
        <f t="shared" si="51"/>
        <v>681</v>
      </c>
      <c r="X96" s="26" t="e">
        <f t="shared" si="52"/>
        <v>#NAME?</v>
      </c>
      <c r="Y96" s="27" t="e">
        <f t="shared" si="53"/>
        <v>#NAME?</v>
      </c>
    </row>
    <row r="97" spans="1:25" ht="16.5" customHeight="1" x14ac:dyDescent="0.3">
      <c r="A97" s="16" t="s">
        <v>244</v>
      </c>
      <c r="B97" s="16" t="s">
        <v>245</v>
      </c>
      <c r="C97" s="25">
        <f t="shared" si="36"/>
        <v>26</v>
      </c>
      <c r="D97" s="25" t="e">
        <f t="shared" si="37"/>
        <v>#NAME?</v>
      </c>
      <c r="E97" s="27" t="e">
        <f t="shared" si="38"/>
        <v>#NAME?</v>
      </c>
      <c r="F97" s="25"/>
      <c r="G97" s="25">
        <f t="shared" si="39"/>
        <v>1</v>
      </c>
      <c r="H97" s="25" t="e">
        <f t="shared" si="40"/>
        <v>#NAME?</v>
      </c>
      <c r="I97" s="27" t="e">
        <f t="shared" si="41"/>
        <v>#NAME?</v>
      </c>
      <c r="J97" s="25"/>
      <c r="K97" s="25">
        <f t="shared" si="42"/>
        <v>0</v>
      </c>
      <c r="L97" s="25" t="e">
        <f t="shared" si="43"/>
        <v>#NAME?</v>
      </c>
      <c r="M97" s="27" t="e">
        <f t="shared" si="44"/>
        <v>#NAME?</v>
      </c>
      <c r="N97" s="27"/>
      <c r="O97" s="26" t="str">
        <f t="shared" si="45"/>
        <v>Western</v>
      </c>
      <c r="P97" s="26" t="e">
        <f t="shared" si="46"/>
        <v>#NAME?</v>
      </c>
      <c r="Q97" s="27" t="e">
        <f t="shared" si="47"/>
        <v>#VALUE!</v>
      </c>
      <c r="R97" s="27"/>
      <c r="S97" s="26">
        <f t="shared" si="48"/>
        <v>349</v>
      </c>
      <c r="T97" s="26" t="e">
        <f t="shared" si="49"/>
        <v>#NAME?</v>
      </c>
      <c r="U97" s="27" t="e">
        <f t="shared" si="50"/>
        <v>#NAME?</v>
      </c>
      <c r="V97" s="27"/>
      <c r="W97" s="26">
        <f t="shared" si="51"/>
        <v>257</v>
      </c>
      <c r="X97" s="26" t="e">
        <f t="shared" si="52"/>
        <v>#NAME?</v>
      </c>
      <c r="Y97" s="27" t="e">
        <f t="shared" si="53"/>
        <v>#NAME?</v>
      </c>
    </row>
    <row r="98" spans="1:25" ht="16.5" customHeight="1" x14ac:dyDescent="0.3">
      <c r="A98" s="16" t="s">
        <v>246</v>
      </c>
      <c r="B98" s="16" t="s">
        <v>298</v>
      </c>
      <c r="C98" s="25">
        <f t="shared" si="36"/>
        <v>50</v>
      </c>
      <c r="D98" s="25" t="e">
        <f t="shared" si="37"/>
        <v>#NAME?</v>
      </c>
      <c r="E98" s="27" t="e">
        <f t="shared" si="38"/>
        <v>#NAME?</v>
      </c>
      <c r="F98" s="25"/>
      <c r="G98" s="25">
        <f t="shared" si="39"/>
        <v>0</v>
      </c>
      <c r="H98" s="25" t="e">
        <f t="shared" si="40"/>
        <v>#NAME?</v>
      </c>
      <c r="I98" s="27" t="e">
        <f t="shared" si="41"/>
        <v>#NAME?</v>
      </c>
      <c r="J98" s="25"/>
      <c r="K98" s="25">
        <f t="shared" si="42"/>
        <v>0</v>
      </c>
      <c r="L98" s="25" t="e">
        <f t="shared" si="43"/>
        <v>#NAME?</v>
      </c>
      <c r="M98" s="27" t="e">
        <f t="shared" si="44"/>
        <v>#NAME?</v>
      </c>
      <c r="N98" s="27"/>
      <c r="O98" s="26" t="str">
        <f t="shared" si="45"/>
        <v>Eastern</v>
      </c>
      <c r="P98" s="26" t="e">
        <f t="shared" si="46"/>
        <v>#NAME?</v>
      </c>
      <c r="Q98" s="27" t="e">
        <f t="shared" si="47"/>
        <v>#VALUE!</v>
      </c>
      <c r="R98" s="27"/>
      <c r="S98" s="26">
        <f t="shared" si="48"/>
        <v>400</v>
      </c>
      <c r="T98" s="26" t="e">
        <f t="shared" si="49"/>
        <v>#NAME?</v>
      </c>
      <c r="U98" s="27" t="e">
        <f t="shared" si="50"/>
        <v>#NAME?</v>
      </c>
      <c r="V98" s="27"/>
      <c r="W98" s="26">
        <f t="shared" si="51"/>
        <v>272</v>
      </c>
      <c r="X98" s="26" t="e">
        <f t="shared" si="52"/>
        <v>#NAME?</v>
      </c>
      <c r="Y98" s="27" t="e">
        <f t="shared" si="53"/>
        <v>#NAME?</v>
      </c>
    </row>
    <row r="99" spans="1:25" ht="16.5" customHeight="1" x14ac:dyDescent="0.3">
      <c r="A99" s="16" t="s">
        <v>14</v>
      </c>
      <c r="B99" s="16" t="s">
        <v>15</v>
      </c>
      <c r="C99" s="25">
        <f t="shared" si="36"/>
        <v>264</v>
      </c>
      <c r="D99" s="25" t="e">
        <f t="shared" si="37"/>
        <v>#NAME?</v>
      </c>
      <c r="E99" s="27" t="e">
        <f t="shared" si="38"/>
        <v>#NAME?</v>
      </c>
      <c r="F99" s="25"/>
      <c r="G99" s="25">
        <f t="shared" si="39"/>
        <v>0</v>
      </c>
      <c r="H99" s="25" t="e">
        <f t="shared" si="40"/>
        <v>#NAME?</v>
      </c>
      <c r="I99" s="27" t="e">
        <f t="shared" si="41"/>
        <v>#NAME?</v>
      </c>
      <c r="J99" s="25"/>
      <c r="K99" s="25">
        <f t="shared" si="42"/>
        <v>0</v>
      </c>
      <c r="L99" s="25" t="e">
        <f t="shared" si="43"/>
        <v>#NAME?</v>
      </c>
      <c r="M99" s="27" t="e">
        <f t="shared" si="44"/>
        <v>#NAME?</v>
      </c>
      <c r="N99" s="27"/>
      <c r="O99" s="26" t="str">
        <f t="shared" si="45"/>
        <v>Northern</v>
      </c>
      <c r="P99" s="26" t="e">
        <f t="shared" si="46"/>
        <v>#NAME?</v>
      </c>
      <c r="Q99" s="27" t="e">
        <f t="shared" si="47"/>
        <v>#VALUE!</v>
      </c>
      <c r="R99" s="27"/>
      <c r="S99" s="26">
        <f t="shared" si="48"/>
        <v>1930</v>
      </c>
      <c r="T99" s="26" t="e">
        <f t="shared" si="49"/>
        <v>#NAME?</v>
      </c>
      <c r="U99" s="27" t="e">
        <f t="shared" si="50"/>
        <v>#NAME?</v>
      </c>
      <c r="V99" s="27"/>
      <c r="W99" s="26">
        <f t="shared" si="51"/>
        <v>1233</v>
      </c>
      <c r="X99" s="26" t="e">
        <f t="shared" si="52"/>
        <v>#NAME?</v>
      </c>
      <c r="Y99" s="27" t="e">
        <f t="shared" si="53"/>
        <v>#NAME?</v>
      </c>
    </row>
    <row r="100" spans="1:25" ht="16.5" customHeight="1" x14ac:dyDescent="0.3">
      <c r="A100" s="16" t="s">
        <v>34</v>
      </c>
      <c r="B100" s="16" t="s">
        <v>35</v>
      </c>
      <c r="C100" s="25">
        <f t="shared" ref="C100:C123" si="54">VLOOKUP(A100,TANFClient_Demo,7,FALSE)</f>
        <v>55</v>
      </c>
      <c r="D100" s="25" t="e">
        <f t="shared" ref="D100:D123" si="55">VLOOKUP(A100,Pop,14,FALSE)</f>
        <v>#NAME?</v>
      </c>
      <c r="E100" s="27" t="e">
        <f t="shared" ref="E100:E123" si="56">+C100/D100</f>
        <v>#NAME?</v>
      </c>
      <c r="F100" s="25"/>
      <c r="G100" s="25">
        <f t="shared" ref="G100:G123" si="57">VLOOKUP(A100,TANFClient_Demo,8,FALSE)</f>
        <v>0</v>
      </c>
      <c r="H100" s="25" t="e">
        <f t="shared" ref="H100:H123" si="58">VLOOKUP(A100,Pop,15,FALSE)</f>
        <v>#NAME?</v>
      </c>
      <c r="I100" s="27" t="e">
        <f t="shared" ref="I100:I123" si="59">+G100/H100</f>
        <v>#NAME?</v>
      </c>
      <c r="J100" s="25"/>
      <c r="K100" s="25">
        <f t="shared" ref="K100:K123" si="60">VLOOKUP(A100,TANFClient_Demo,9,FALSE)</f>
        <v>0</v>
      </c>
      <c r="L100" s="25" t="e">
        <f t="shared" ref="L100:L123" si="61">VLOOKUP(A100,Pop,16,FALSE)</f>
        <v>#NAME?</v>
      </c>
      <c r="M100" s="27" t="e">
        <f t="shared" ref="M100:M123" si="62">+K100/L100</f>
        <v>#NAME?</v>
      </c>
      <c r="N100" s="27"/>
      <c r="O100" s="26" t="str">
        <f t="shared" ref="O100:O123" si="63">VLOOKUP(A100,TANFClient_Demo,3,FALSE)</f>
        <v>Western</v>
      </c>
      <c r="P100" s="26" t="e">
        <f t="shared" ref="P100:P123" si="64">VLOOKUP(A100,Pop,8,FALSE)</f>
        <v>#NAME?</v>
      </c>
      <c r="Q100" s="27" t="e">
        <f t="shared" ref="Q100:Q123" si="65">+O100/P100</f>
        <v>#VALUE!</v>
      </c>
      <c r="R100" s="27"/>
      <c r="S100" s="26">
        <f t="shared" ref="S100:S123" si="66">VLOOKUP(A100,TANFClient_Demo,4,FALSE)</f>
        <v>607</v>
      </c>
      <c r="T100" s="26" t="e">
        <f t="shared" ref="T100:T123" si="67">VLOOKUP(A100,Pop,9,FALSE)</f>
        <v>#NAME?</v>
      </c>
      <c r="U100" s="27" t="e">
        <f t="shared" ref="U100:U123" si="68">+S100/T100</f>
        <v>#NAME?</v>
      </c>
      <c r="V100" s="27"/>
      <c r="W100" s="26">
        <f t="shared" ref="W100:W123" si="69">VLOOKUP(A100,TANFClient_Demo,5,FALSE)</f>
        <v>410</v>
      </c>
      <c r="X100" s="26" t="e">
        <f t="shared" ref="X100:X123" si="70">VLOOKUP(A100,Pop,10,FALSE)</f>
        <v>#NAME?</v>
      </c>
      <c r="Y100" s="27" t="e">
        <f t="shared" ref="Y100:Y123" si="71">+W100/X100</f>
        <v>#NAME?</v>
      </c>
    </row>
    <row r="101" spans="1:25" ht="16.5" customHeight="1" x14ac:dyDescent="0.3">
      <c r="A101" s="16" t="s">
        <v>52</v>
      </c>
      <c r="B101" s="16" t="s">
        <v>53</v>
      </c>
      <c r="C101" s="25">
        <f t="shared" si="54"/>
        <v>110</v>
      </c>
      <c r="D101" s="25" t="e">
        <f t="shared" si="55"/>
        <v>#NAME?</v>
      </c>
      <c r="E101" s="27" t="e">
        <f t="shared" si="56"/>
        <v>#NAME?</v>
      </c>
      <c r="F101" s="25"/>
      <c r="G101" s="25">
        <f t="shared" si="57"/>
        <v>0</v>
      </c>
      <c r="H101" s="25" t="e">
        <f t="shared" si="58"/>
        <v>#NAME?</v>
      </c>
      <c r="I101" s="27" t="e">
        <f t="shared" si="59"/>
        <v>#NAME?</v>
      </c>
      <c r="J101" s="25"/>
      <c r="K101" s="25">
        <f t="shared" si="60"/>
        <v>0</v>
      </c>
      <c r="L101" s="25" t="e">
        <f t="shared" si="61"/>
        <v>#NAME?</v>
      </c>
      <c r="M101" s="27" t="e">
        <f t="shared" si="62"/>
        <v>#NAME?</v>
      </c>
      <c r="N101" s="27"/>
      <c r="O101" s="26" t="str">
        <f t="shared" si="63"/>
        <v>Piedmont</v>
      </c>
      <c r="P101" s="26" t="e">
        <f t="shared" si="64"/>
        <v>#NAME?</v>
      </c>
      <c r="Q101" s="27" t="e">
        <f t="shared" si="65"/>
        <v>#VALUE!</v>
      </c>
      <c r="R101" s="27"/>
      <c r="S101" s="26">
        <f t="shared" si="66"/>
        <v>867</v>
      </c>
      <c r="T101" s="26" t="e">
        <f t="shared" si="67"/>
        <v>#NAME?</v>
      </c>
      <c r="U101" s="27" t="e">
        <f t="shared" si="68"/>
        <v>#NAME?</v>
      </c>
      <c r="V101" s="27"/>
      <c r="W101" s="26">
        <f t="shared" si="69"/>
        <v>564</v>
      </c>
      <c r="X101" s="26" t="e">
        <f t="shared" si="70"/>
        <v>#NAME?</v>
      </c>
      <c r="Y101" s="27" t="e">
        <f t="shared" si="71"/>
        <v>#NAME?</v>
      </c>
    </row>
    <row r="102" spans="1:25" ht="16.5" customHeight="1" x14ac:dyDescent="0.3">
      <c r="A102" s="16" t="s">
        <v>54</v>
      </c>
      <c r="B102" s="16" t="s">
        <v>55</v>
      </c>
      <c r="C102" s="25">
        <f t="shared" si="54"/>
        <v>176</v>
      </c>
      <c r="D102" s="25" t="e">
        <f t="shared" si="55"/>
        <v>#NAME?</v>
      </c>
      <c r="E102" s="27" t="e">
        <f t="shared" si="56"/>
        <v>#NAME?</v>
      </c>
      <c r="F102" s="25"/>
      <c r="G102" s="25">
        <f t="shared" si="57"/>
        <v>1</v>
      </c>
      <c r="H102" s="25" t="e">
        <f t="shared" si="58"/>
        <v>#NAME?</v>
      </c>
      <c r="I102" s="27" t="e">
        <f t="shared" si="59"/>
        <v>#NAME?</v>
      </c>
      <c r="J102" s="25"/>
      <c r="K102" s="25">
        <f t="shared" si="60"/>
        <v>1</v>
      </c>
      <c r="L102" s="25" t="e">
        <f t="shared" si="61"/>
        <v>#NAME?</v>
      </c>
      <c r="M102" s="27" t="e">
        <f t="shared" si="62"/>
        <v>#NAME?</v>
      </c>
      <c r="N102" s="27"/>
      <c r="O102" s="26" t="str">
        <f t="shared" si="63"/>
        <v>Eastern</v>
      </c>
      <c r="P102" s="26" t="e">
        <f t="shared" si="64"/>
        <v>#NAME?</v>
      </c>
      <c r="Q102" s="27" t="e">
        <f t="shared" si="65"/>
        <v>#VALUE!</v>
      </c>
      <c r="R102" s="27"/>
      <c r="S102" s="26">
        <f t="shared" si="66"/>
        <v>2156</v>
      </c>
      <c r="T102" s="26" t="e">
        <f t="shared" si="67"/>
        <v>#NAME?</v>
      </c>
      <c r="U102" s="27" t="e">
        <f t="shared" si="68"/>
        <v>#NAME?</v>
      </c>
      <c r="V102" s="27"/>
      <c r="W102" s="26">
        <f t="shared" si="69"/>
        <v>1524</v>
      </c>
      <c r="X102" s="26" t="e">
        <f t="shared" si="70"/>
        <v>#NAME?</v>
      </c>
      <c r="Y102" s="27" t="e">
        <f t="shared" si="71"/>
        <v>#NAME?</v>
      </c>
    </row>
    <row r="103" spans="1:25" ht="16.5" customHeight="1" x14ac:dyDescent="0.3">
      <c r="A103" s="16" t="s">
        <v>66</v>
      </c>
      <c r="B103" s="16" t="s">
        <v>67</v>
      </c>
      <c r="C103" s="25">
        <f t="shared" si="54"/>
        <v>66</v>
      </c>
      <c r="D103" s="25" t="e">
        <f t="shared" si="55"/>
        <v>#NAME?</v>
      </c>
      <c r="E103" s="27" t="e">
        <f t="shared" si="56"/>
        <v>#NAME?</v>
      </c>
      <c r="F103" s="25"/>
      <c r="G103" s="25">
        <f t="shared" si="57"/>
        <v>0</v>
      </c>
      <c r="H103" s="25" t="e">
        <f t="shared" si="58"/>
        <v>#NAME?</v>
      </c>
      <c r="I103" s="27" t="e">
        <f t="shared" si="59"/>
        <v>#NAME?</v>
      </c>
      <c r="J103" s="25"/>
      <c r="K103" s="25">
        <f t="shared" si="60"/>
        <v>0</v>
      </c>
      <c r="L103" s="25" t="e">
        <f t="shared" si="61"/>
        <v>#NAME?</v>
      </c>
      <c r="M103" s="27" t="e">
        <f t="shared" si="62"/>
        <v>#NAME?</v>
      </c>
      <c r="N103" s="27"/>
      <c r="O103" s="26" t="str">
        <f t="shared" si="63"/>
        <v>Piedmont</v>
      </c>
      <c r="P103" s="26" t="e">
        <f t="shared" si="64"/>
        <v>#NAME?</v>
      </c>
      <c r="Q103" s="27" t="e">
        <f t="shared" si="65"/>
        <v>#VALUE!</v>
      </c>
      <c r="R103" s="27"/>
      <c r="S103" s="26">
        <f t="shared" si="66"/>
        <v>1134</v>
      </c>
      <c r="T103" s="26" t="e">
        <f t="shared" si="67"/>
        <v>#NAME?</v>
      </c>
      <c r="U103" s="27" t="e">
        <f t="shared" si="68"/>
        <v>#NAME?</v>
      </c>
      <c r="V103" s="27"/>
      <c r="W103" s="26">
        <f t="shared" si="69"/>
        <v>843</v>
      </c>
      <c r="X103" s="26" t="e">
        <f t="shared" si="70"/>
        <v>#NAME?</v>
      </c>
      <c r="Y103" s="27" t="e">
        <f t="shared" si="71"/>
        <v>#NAME?</v>
      </c>
    </row>
    <row r="104" spans="1:25" ht="16.5" customHeight="1" x14ac:dyDescent="0.3">
      <c r="A104" s="16" t="s">
        <v>82</v>
      </c>
      <c r="B104" s="16" t="s">
        <v>299</v>
      </c>
      <c r="C104" s="25">
        <f t="shared" si="54"/>
        <v>12</v>
      </c>
      <c r="D104" s="25" t="e">
        <f t="shared" si="55"/>
        <v>#NAME?</v>
      </c>
      <c r="E104" s="27" t="e">
        <f t="shared" si="56"/>
        <v>#NAME?</v>
      </c>
      <c r="F104" s="25"/>
      <c r="G104" s="25">
        <f t="shared" si="57"/>
        <v>0</v>
      </c>
      <c r="H104" s="25" t="e">
        <f t="shared" si="58"/>
        <v>#NAME?</v>
      </c>
      <c r="I104" s="27" t="e">
        <f t="shared" si="59"/>
        <v>#NAME?</v>
      </c>
      <c r="J104" s="25"/>
      <c r="K104" s="25">
        <f t="shared" si="60"/>
        <v>0</v>
      </c>
      <c r="L104" s="25" t="e">
        <f t="shared" si="61"/>
        <v>#NAME?</v>
      </c>
      <c r="M104" s="27" t="e">
        <f t="shared" si="62"/>
        <v>#NAME?</v>
      </c>
      <c r="N104" s="27"/>
      <c r="O104" s="26" t="str">
        <f t="shared" si="63"/>
        <v>Eastern</v>
      </c>
      <c r="P104" s="26" t="e">
        <f t="shared" si="64"/>
        <v>#NAME?</v>
      </c>
      <c r="Q104" s="27" t="e">
        <f t="shared" si="65"/>
        <v>#VALUE!</v>
      </c>
      <c r="R104" s="27"/>
      <c r="S104" s="26">
        <f t="shared" si="66"/>
        <v>210</v>
      </c>
      <c r="T104" s="26" t="e">
        <f t="shared" si="67"/>
        <v>#NAME?</v>
      </c>
      <c r="U104" s="27" t="e">
        <f t="shared" si="68"/>
        <v>#NAME?</v>
      </c>
      <c r="V104" s="27"/>
      <c r="W104" s="26">
        <f t="shared" si="69"/>
        <v>156</v>
      </c>
      <c r="X104" s="26" t="e">
        <f t="shared" si="70"/>
        <v>#NAME?</v>
      </c>
      <c r="Y104" s="27" t="e">
        <f t="shared" si="71"/>
        <v>#NAME?</v>
      </c>
    </row>
    <row r="105" spans="1:25" ht="16.5" customHeight="1" x14ac:dyDescent="0.3">
      <c r="A105" s="16" t="s">
        <v>88</v>
      </c>
      <c r="B105" s="16" t="s">
        <v>89</v>
      </c>
      <c r="C105" s="25">
        <f t="shared" si="54"/>
        <v>61</v>
      </c>
      <c r="D105" s="25" t="e">
        <f t="shared" si="55"/>
        <v>#NAME?</v>
      </c>
      <c r="E105" s="27" t="e">
        <f t="shared" si="56"/>
        <v>#NAME?</v>
      </c>
      <c r="F105" s="25"/>
      <c r="G105" s="25">
        <f t="shared" si="57"/>
        <v>0</v>
      </c>
      <c r="H105" s="25" t="e">
        <f t="shared" si="58"/>
        <v>#NAME?</v>
      </c>
      <c r="I105" s="27" t="e">
        <f t="shared" si="59"/>
        <v>#NAME?</v>
      </c>
      <c r="J105" s="25"/>
      <c r="K105" s="25">
        <f t="shared" si="60"/>
        <v>0</v>
      </c>
      <c r="L105" s="25" t="e">
        <f t="shared" si="61"/>
        <v>#NAME?</v>
      </c>
      <c r="M105" s="27" t="e">
        <f t="shared" si="62"/>
        <v>#NAME?</v>
      </c>
      <c r="N105" s="27"/>
      <c r="O105" s="26" t="str">
        <f t="shared" si="63"/>
        <v>Northern</v>
      </c>
      <c r="P105" s="26" t="e">
        <f t="shared" si="64"/>
        <v>#NAME?</v>
      </c>
      <c r="Q105" s="27" t="e">
        <f t="shared" si="65"/>
        <v>#VALUE!</v>
      </c>
      <c r="R105" s="27"/>
      <c r="S105" s="26">
        <f t="shared" si="66"/>
        <v>762</v>
      </c>
      <c r="T105" s="26" t="e">
        <f t="shared" si="67"/>
        <v>#NAME?</v>
      </c>
      <c r="U105" s="27" t="e">
        <f t="shared" si="68"/>
        <v>#NAME?</v>
      </c>
      <c r="V105" s="27"/>
      <c r="W105" s="26">
        <f t="shared" si="69"/>
        <v>515</v>
      </c>
      <c r="X105" s="26" t="e">
        <f t="shared" si="70"/>
        <v>#NAME?</v>
      </c>
      <c r="Y105" s="27" t="e">
        <f t="shared" si="71"/>
        <v>#NAME?</v>
      </c>
    </row>
    <row r="106" spans="1:25" ht="16.5" customHeight="1" x14ac:dyDescent="0.3">
      <c r="A106" s="16" t="s">
        <v>90</v>
      </c>
      <c r="B106" s="16" t="s">
        <v>91</v>
      </c>
      <c r="C106" s="25">
        <f t="shared" si="54"/>
        <v>6</v>
      </c>
      <c r="D106" s="25" t="e">
        <f t="shared" si="55"/>
        <v>#NAME?</v>
      </c>
      <c r="E106" s="27" t="e">
        <f t="shared" si="56"/>
        <v>#NAME?</v>
      </c>
      <c r="F106" s="25"/>
      <c r="G106" s="25">
        <f t="shared" si="57"/>
        <v>0</v>
      </c>
      <c r="H106" s="25" t="e">
        <f t="shared" si="58"/>
        <v>#NAME?</v>
      </c>
      <c r="I106" s="27" t="e">
        <f t="shared" si="59"/>
        <v>#NAME?</v>
      </c>
      <c r="J106" s="25"/>
      <c r="K106" s="25">
        <f t="shared" si="60"/>
        <v>0</v>
      </c>
      <c r="L106" s="25" t="e">
        <f t="shared" si="61"/>
        <v>#NAME?</v>
      </c>
      <c r="M106" s="27" t="e">
        <f t="shared" si="62"/>
        <v>#NAME?</v>
      </c>
      <c r="N106" s="27"/>
      <c r="O106" s="26" t="str">
        <f t="shared" si="63"/>
        <v>Western</v>
      </c>
      <c r="P106" s="26" t="e">
        <f t="shared" si="64"/>
        <v>#NAME?</v>
      </c>
      <c r="Q106" s="27" t="e">
        <f t="shared" si="65"/>
        <v>#VALUE!</v>
      </c>
      <c r="R106" s="27"/>
      <c r="S106" s="26">
        <f t="shared" si="66"/>
        <v>87</v>
      </c>
      <c r="T106" s="26" t="e">
        <f t="shared" si="67"/>
        <v>#NAME?</v>
      </c>
      <c r="U106" s="27" t="e">
        <f t="shared" si="68"/>
        <v>#NAME?</v>
      </c>
      <c r="V106" s="27"/>
      <c r="W106" s="26">
        <f t="shared" si="69"/>
        <v>66</v>
      </c>
      <c r="X106" s="26" t="e">
        <f t="shared" si="70"/>
        <v>#NAME?</v>
      </c>
      <c r="Y106" s="27" t="e">
        <f t="shared" si="71"/>
        <v>#NAME?</v>
      </c>
    </row>
    <row r="107" spans="1:25" ht="16.5" customHeight="1" x14ac:dyDescent="0.3">
      <c r="A107" s="16" t="s">
        <v>106</v>
      </c>
      <c r="B107" s="16" t="s">
        <v>107</v>
      </c>
      <c r="C107" s="25">
        <f t="shared" si="54"/>
        <v>251</v>
      </c>
      <c r="D107" s="25" t="e">
        <f t="shared" si="55"/>
        <v>#NAME?</v>
      </c>
      <c r="E107" s="27" t="e">
        <f t="shared" si="56"/>
        <v>#NAME?</v>
      </c>
      <c r="F107" s="25"/>
      <c r="G107" s="25">
        <f t="shared" si="57"/>
        <v>0</v>
      </c>
      <c r="H107" s="25" t="e">
        <f t="shared" si="58"/>
        <v>#NAME?</v>
      </c>
      <c r="I107" s="27" t="e">
        <f t="shared" si="59"/>
        <v>#NAME?</v>
      </c>
      <c r="J107" s="25"/>
      <c r="K107" s="25">
        <f t="shared" si="60"/>
        <v>0</v>
      </c>
      <c r="L107" s="25" t="e">
        <f t="shared" si="61"/>
        <v>#NAME?</v>
      </c>
      <c r="M107" s="27" t="e">
        <f t="shared" si="62"/>
        <v>#NAME?</v>
      </c>
      <c r="N107" s="27"/>
      <c r="O107" s="26" t="str">
        <f t="shared" si="63"/>
        <v>Eastern</v>
      </c>
      <c r="P107" s="26" t="e">
        <f t="shared" si="64"/>
        <v>#NAME?</v>
      </c>
      <c r="Q107" s="27" t="e">
        <f t="shared" si="65"/>
        <v>#VALUE!</v>
      </c>
      <c r="R107" s="27"/>
      <c r="S107" s="26">
        <f t="shared" si="66"/>
        <v>2907</v>
      </c>
      <c r="T107" s="26" t="e">
        <f t="shared" si="67"/>
        <v>#NAME?</v>
      </c>
      <c r="U107" s="27" t="e">
        <f t="shared" si="68"/>
        <v>#NAME?</v>
      </c>
      <c r="V107" s="27"/>
      <c r="W107" s="26">
        <f t="shared" si="69"/>
        <v>2016</v>
      </c>
      <c r="X107" s="26" t="e">
        <f t="shared" si="70"/>
        <v>#NAME?</v>
      </c>
      <c r="Y107" s="27" t="e">
        <f t="shared" si="71"/>
        <v>#NAME?</v>
      </c>
    </row>
    <row r="108" spans="1:25" ht="16.5" customHeight="1" x14ac:dyDescent="0.3">
      <c r="A108" s="16" t="s">
        <v>116</v>
      </c>
      <c r="B108" s="16" t="s">
        <v>117</v>
      </c>
      <c r="C108" s="25">
        <f t="shared" si="54"/>
        <v>77</v>
      </c>
      <c r="D108" s="25" t="e">
        <f t="shared" si="55"/>
        <v>#NAME?</v>
      </c>
      <c r="E108" s="27" t="e">
        <f t="shared" si="56"/>
        <v>#NAME?</v>
      </c>
      <c r="F108" s="25"/>
      <c r="G108" s="25">
        <f t="shared" si="57"/>
        <v>1</v>
      </c>
      <c r="H108" s="25" t="e">
        <f t="shared" si="58"/>
        <v>#NAME?</v>
      </c>
      <c r="I108" s="27" t="e">
        <f t="shared" si="59"/>
        <v>#NAME?</v>
      </c>
      <c r="J108" s="25"/>
      <c r="K108" s="25">
        <f t="shared" si="60"/>
        <v>0</v>
      </c>
      <c r="L108" s="25" t="e">
        <f t="shared" si="61"/>
        <v>#NAME?</v>
      </c>
      <c r="M108" s="27" t="e">
        <f t="shared" si="62"/>
        <v>#NAME?</v>
      </c>
      <c r="N108" s="27"/>
      <c r="O108" s="26" t="str">
        <f t="shared" si="63"/>
        <v>Central</v>
      </c>
      <c r="P108" s="26" t="e">
        <f t="shared" si="64"/>
        <v>#NAME?</v>
      </c>
      <c r="Q108" s="27" t="e">
        <f t="shared" si="65"/>
        <v>#VALUE!</v>
      </c>
      <c r="R108" s="27"/>
      <c r="S108" s="26">
        <f t="shared" si="66"/>
        <v>916</v>
      </c>
      <c r="T108" s="26" t="e">
        <f t="shared" si="67"/>
        <v>#NAME?</v>
      </c>
      <c r="U108" s="27" t="e">
        <f t="shared" si="68"/>
        <v>#NAME?</v>
      </c>
      <c r="V108" s="27"/>
      <c r="W108" s="26">
        <f t="shared" si="69"/>
        <v>630</v>
      </c>
      <c r="X108" s="26" t="e">
        <f t="shared" si="70"/>
        <v>#NAME?</v>
      </c>
      <c r="Y108" s="27" t="e">
        <f t="shared" si="71"/>
        <v>#NAME?</v>
      </c>
    </row>
    <row r="109" spans="1:25" ht="16.5" customHeight="1" x14ac:dyDescent="0.3">
      <c r="A109" s="16" t="s">
        <v>138</v>
      </c>
      <c r="B109" s="16" t="s">
        <v>139</v>
      </c>
      <c r="C109" s="25">
        <f t="shared" si="54"/>
        <v>56</v>
      </c>
      <c r="D109" s="25" t="e">
        <f t="shared" si="55"/>
        <v>#NAME?</v>
      </c>
      <c r="E109" s="27" t="e">
        <f t="shared" si="56"/>
        <v>#NAME?</v>
      </c>
      <c r="F109" s="25"/>
      <c r="G109" s="25">
        <f t="shared" si="57"/>
        <v>0</v>
      </c>
      <c r="H109" s="25" t="e">
        <f t="shared" si="58"/>
        <v>#NAME?</v>
      </c>
      <c r="I109" s="27" t="e">
        <f t="shared" si="59"/>
        <v>#NAME?</v>
      </c>
      <c r="J109" s="25"/>
      <c r="K109" s="25">
        <f t="shared" si="60"/>
        <v>0</v>
      </c>
      <c r="L109" s="25" t="e">
        <f t="shared" si="61"/>
        <v>#NAME?</v>
      </c>
      <c r="M109" s="27" t="e">
        <f t="shared" si="62"/>
        <v>#NAME?</v>
      </c>
      <c r="N109" s="27"/>
      <c r="O109" s="26" t="str">
        <f t="shared" si="63"/>
        <v>Piedmont</v>
      </c>
      <c r="P109" s="26" t="e">
        <f t="shared" si="64"/>
        <v>#NAME?</v>
      </c>
      <c r="Q109" s="27" t="e">
        <f t="shared" si="65"/>
        <v>#VALUE!</v>
      </c>
      <c r="R109" s="27"/>
      <c r="S109" s="26">
        <f t="shared" si="66"/>
        <v>1056</v>
      </c>
      <c r="T109" s="26" t="e">
        <f t="shared" si="67"/>
        <v>#NAME?</v>
      </c>
      <c r="U109" s="27" t="e">
        <f t="shared" si="68"/>
        <v>#NAME?</v>
      </c>
      <c r="V109" s="27"/>
      <c r="W109" s="26">
        <f t="shared" si="69"/>
        <v>765</v>
      </c>
      <c r="X109" s="26" t="e">
        <f t="shared" si="70"/>
        <v>#NAME?</v>
      </c>
      <c r="Y109" s="27" t="e">
        <f t="shared" si="71"/>
        <v>#NAME?</v>
      </c>
    </row>
    <row r="110" spans="1:25" ht="16.5" customHeight="1" x14ac:dyDescent="0.3">
      <c r="A110" s="16" t="s">
        <v>142</v>
      </c>
      <c r="B110" s="16" t="s">
        <v>143</v>
      </c>
      <c r="C110" s="25">
        <f t="shared" si="54"/>
        <v>28</v>
      </c>
      <c r="D110" s="25" t="e">
        <f t="shared" si="55"/>
        <v>#NAME?</v>
      </c>
      <c r="E110" s="27" t="e">
        <f t="shared" si="56"/>
        <v>#NAME?</v>
      </c>
      <c r="F110" s="25"/>
      <c r="G110" s="25">
        <f t="shared" si="57"/>
        <v>0</v>
      </c>
      <c r="H110" s="25" t="e">
        <f t="shared" si="58"/>
        <v>#NAME?</v>
      </c>
      <c r="I110" s="27" t="e">
        <f t="shared" si="59"/>
        <v>#NAME?</v>
      </c>
      <c r="J110" s="25"/>
      <c r="K110" s="25">
        <f t="shared" si="60"/>
        <v>0</v>
      </c>
      <c r="L110" s="25" t="e">
        <f t="shared" si="61"/>
        <v>#NAME?</v>
      </c>
      <c r="M110" s="27" t="e">
        <f t="shared" si="62"/>
        <v>#NAME?</v>
      </c>
      <c r="N110" s="27"/>
      <c r="O110" s="26" t="str">
        <f t="shared" si="63"/>
        <v>Northern</v>
      </c>
      <c r="P110" s="26" t="e">
        <f t="shared" si="64"/>
        <v>#NAME?</v>
      </c>
      <c r="Q110" s="27" t="e">
        <f t="shared" si="65"/>
        <v>#VALUE!</v>
      </c>
      <c r="R110" s="27"/>
      <c r="S110" s="26">
        <f t="shared" si="66"/>
        <v>334</v>
      </c>
      <c r="T110" s="26" t="e">
        <f t="shared" si="67"/>
        <v>#NAME?</v>
      </c>
      <c r="U110" s="27" t="e">
        <f t="shared" si="68"/>
        <v>#NAME?</v>
      </c>
      <c r="V110" s="27"/>
      <c r="W110" s="26">
        <f t="shared" si="69"/>
        <v>248</v>
      </c>
      <c r="X110" s="26" t="e">
        <f t="shared" si="70"/>
        <v>#NAME?</v>
      </c>
      <c r="Y110" s="27" t="e">
        <f t="shared" si="71"/>
        <v>#NAME?</v>
      </c>
    </row>
    <row r="111" spans="1:25" ht="16.5" customHeight="1" x14ac:dyDescent="0.3">
      <c r="A111" s="16" t="s">
        <v>144</v>
      </c>
      <c r="B111" s="16" t="s">
        <v>145</v>
      </c>
      <c r="C111" s="25">
        <f t="shared" si="54"/>
        <v>11</v>
      </c>
      <c r="D111" s="25" t="e">
        <f t="shared" si="55"/>
        <v>#NAME?</v>
      </c>
      <c r="E111" s="27" t="e">
        <f t="shared" si="56"/>
        <v>#NAME?</v>
      </c>
      <c r="F111" s="25"/>
      <c r="G111" s="25">
        <f t="shared" si="57"/>
        <v>0</v>
      </c>
      <c r="H111" s="25" t="e">
        <f t="shared" si="58"/>
        <v>#NAME?</v>
      </c>
      <c r="I111" s="27" t="e">
        <f t="shared" si="59"/>
        <v>#NAME?</v>
      </c>
      <c r="J111" s="25"/>
      <c r="K111" s="25">
        <f t="shared" si="60"/>
        <v>0</v>
      </c>
      <c r="L111" s="25" t="e">
        <f t="shared" si="61"/>
        <v>#NAME?</v>
      </c>
      <c r="M111" s="27" t="e">
        <f t="shared" si="62"/>
        <v>#NAME?</v>
      </c>
      <c r="N111" s="27"/>
      <c r="O111" s="26" t="str">
        <f t="shared" si="63"/>
        <v>Northern</v>
      </c>
      <c r="P111" s="26" t="e">
        <f t="shared" si="64"/>
        <v>#NAME?</v>
      </c>
      <c r="Q111" s="27" t="e">
        <f t="shared" si="65"/>
        <v>#VALUE!</v>
      </c>
      <c r="R111" s="27"/>
      <c r="S111" s="26">
        <f t="shared" si="66"/>
        <v>66</v>
      </c>
      <c r="T111" s="26" t="e">
        <f t="shared" si="67"/>
        <v>#NAME?</v>
      </c>
      <c r="U111" s="27" t="e">
        <f t="shared" si="68"/>
        <v>#NAME?</v>
      </c>
      <c r="V111" s="27"/>
      <c r="W111" s="26">
        <f t="shared" si="69"/>
        <v>46</v>
      </c>
      <c r="X111" s="26" t="e">
        <f t="shared" si="70"/>
        <v>#NAME?</v>
      </c>
      <c r="Y111" s="27" t="e">
        <f t="shared" si="71"/>
        <v>#NAME?</v>
      </c>
    </row>
    <row r="112" spans="1:25" ht="16.5" customHeight="1" x14ac:dyDescent="0.3">
      <c r="A112" s="16" t="s">
        <v>158</v>
      </c>
      <c r="B112" s="16" t="s">
        <v>159</v>
      </c>
      <c r="C112" s="25">
        <f t="shared" si="54"/>
        <v>401</v>
      </c>
      <c r="D112" s="25" t="e">
        <f t="shared" si="55"/>
        <v>#NAME?</v>
      </c>
      <c r="E112" s="27" t="e">
        <f t="shared" si="56"/>
        <v>#NAME?</v>
      </c>
      <c r="F112" s="25"/>
      <c r="G112" s="25">
        <f t="shared" si="57"/>
        <v>2</v>
      </c>
      <c r="H112" s="25" t="e">
        <f t="shared" si="58"/>
        <v>#NAME?</v>
      </c>
      <c r="I112" s="27" t="e">
        <f t="shared" si="59"/>
        <v>#NAME?</v>
      </c>
      <c r="J112" s="25"/>
      <c r="K112" s="25">
        <f t="shared" si="60"/>
        <v>1</v>
      </c>
      <c r="L112" s="25" t="e">
        <f t="shared" si="61"/>
        <v>#NAME?</v>
      </c>
      <c r="M112" s="27" t="e">
        <f t="shared" si="62"/>
        <v>#NAME?</v>
      </c>
      <c r="N112" s="27"/>
      <c r="O112" s="26" t="str">
        <f t="shared" si="63"/>
        <v>Eastern</v>
      </c>
      <c r="P112" s="26" t="e">
        <f t="shared" si="64"/>
        <v>#NAME?</v>
      </c>
      <c r="Q112" s="27" t="e">
        <f t="shared" si="65"/>
        <v>#VALUE!</v>
      </c>
      <c r="R112" s="27"/>
      <c r="S112" s="26">
        <f t="shared" si="66"/>
        <v>4830</v>
      </c>
      <c r="T112" s="26" t="e">
        <f t="shared" si="67"/>
        <v>#NAME?</v>
      </c>
      <c r="U112" s="27" t="e">
        <f t="shared" si="68"/>
        <v>#NAME?</v>
      </c>
      <c r="V112" s="27"/>
      <c r="W112" s="26">
        <f t="shared" si="69"/>
        <v>3304</v>
      </c>
      <c r="X112" s="26" t="e">
        <f t="shared" si="70"/>
        <v>#NAME?</v>
      </c>
      <c r="Y112" s="27" t="e">
        <f t="shared" si="71"/>
        <v>#NAME?</v>
      </c>
    </row>
    <row r="113" spans="1:25" ht="16.5" customHeight="1" x14ac:dyDescent="0.3">
      <c r="A113" s="16" t="s">
        <v>160</v>
      </c>
      <c r="B113" s="16" t="s">
        <v>161</v>
      </c>
      <c r="C113" s="25">
        <f t="shared" si="54"/>
        <v>273</v>
      </c>
      <c r="D113" s="25" t="e">
        <f t="shared" si="55"/>
        <v>#NAME?</v>
      </c>
      <c r="E113" s="27" t="e">
        <f t="shared" si="56"/>
        <v>#NAME?</v>
      </c>
      <c r="F113" s="25"/>
      <c r="G113" s="25">
        <f t="shared" si="57"/>
        <v>0</v>
      </c>
      <c r="H113" s="25" t="e">
        <f t="shared" si="58"/>
        <v>#NAME?</v>
      </c>
      <c r="I113" s="27" t="e">
        <f t="shared" si="59"/>
        <v>#NAME?</v>
      </c>
      <c r="J113" s="25"/>
      <c r="K113" s="25">
        <f t="shared" si="60"/>
        <v>0</v>
      </c>
      <c r="L113" s="25" t="e">
        <f t="shared" si="61"/>
        <v>#NAME?</v>
      </c>
      <c r="M113" s="27" t="e">
        <f t="shared" si="62"/>
        <v>#NAME?</v>
      </c>
      <c r="N113" s="27"/>
      <c r="O113" s="26" t="str">
        <f t="shared" si="63"/>
        <v>Eastern</v>
      </c>
      <c r="P113" s="26" t="e">
        <f t="shared" si="64"/>
        <v>#NAME?</v>
      </c>
      <c r="Q113" s="27" t="e">
        <f t="shared" si="65"/>
        <v>#VALUE!</v>
      </c>
      <c r="R113" s="27"/>
      <c r="S113" s="26">
        <f t="shared" si="66"/>
        <v>4154</v>
      </c>
      <c r="T113" s="26" t="e">
        <f t="shared" si="67"/>
        <v>#NAME?</v>
      </c>
      <c r="U113" s="27" t="e">
        <f t="shared" si="68"/>
        <v>#NAME?</v>
      </c>
      <c r="V113" s="27"/>
      <c r="W113" s="26">
        <f t="shared" si="69"/>
        <v>3017</v>
      </c>
      <c r="X113" s="26" t="e">
        <f t="shared" si="70"/>
        <v>#NAME?</v>
      </c>
      <c r="Y113" s="27" t="e">
        <f t="shared" si="71"/>
        <v>#NAME?</v>
      </c>
    </row>
    <row r="114" spans="1:25" ht="16.5" customHeight="1" x14ac:dyDescent="0.3">
      <c r="A114" s="16" t="s">
        <v>166</v>
      </c>
      <c r="B114" s="16" t="s">
        <v>167</v>
      </c>
      <c r="C114" s="25">
        <f t="shared" si="54"/>
        <v>14</v>
      </c>
      <c r="D114" s="25" t="e">
        <f t="shared" si="55"/>
        <v>#NAME?</v>
      </c>
      <c r="E114" s="27" t="e">
        <f t="shared" si="56"/>
        <v>#NAME?</v>
      </c>
      <c r="F114" s="25"/>
      <c r="G114" s="25">
        <f t="shared" si="57"/>
        <v>0</v>
      </c>
      <c r="H114" s="25" t="e">
        <f t="shared" si="58"/>
        <v>#NAME?</v>
      </c>
      <c r="I114" s="27" t="e">
        <f t="shared" si="59"/>
        <v>#NAME?</v>
      </c>
      <c r="J114" s="25"/>
      <c r="K114" s="25">
        <f t="shared" si="60"/>
        <v>0</v>
      </c>
      <c r="L114" s="25" t="e">
        <f t="shared" si="61"/>
        <v>#NAME?</v>
      </c>
      <c r="M114" s="27" t="e">
        <f t="shared" si="62"/>
        <v>#NAME?</v>
      </c>
      <c r="N114" s="27"/>
      <c r="O114" s="26" t="str">
        <f t="shared" si="63"/>
        <v>Western</v>
      </c>
      <c r="P114" s="26" t="e">
        <f t="shared" si="64"/>
        <v>#NAME?</v>
      </c>
      <c r="Q114" s="27" t="e">
        <f t="shared" si="65"/>
        <v>#VALUE!</v>
      </c>
      <c r="R114" s="27"/>
      <c r="S114" s="26">
        <f t="shared" si="66"/>
        <v>133</v>
      </c>
      <c r="T114" s="26" t="e">
        <f t="shared" si="67"/>
        <v>#NAME?</v>
      </c>
      <c r="U114" s="27" t="e">
        <f t="shared" si="68"/>
        <v>#NAME?</v>
      </c>
      <c r="V114" s="27"/>
      <c r="W114" s="26">
        <f t="shared" si="69"/>
        <v>93</v>
      </c>
      <c r="X114" s="26" t="e">
        <f t="shared" si="70"/>
        <v>#NAME?</v>
      </c>
      <c r="Y114" s="27" t="e">
        <f t="shared" si="71"/>
        <v>#NAME?</v>
      </c>
    </row>
    <row r="115" spans="1:25" ht="16.5" customHeight="1" x14ac:dyDescent="0.3">
      <c r="A115" s="16" t="s">
        <v>176</v>
      </c>
      <c r="B115" s="16" t="s">
        <v>177</v>
      </c>
      <c r="C115" s="25">
        <f t="shared" si="54"/>
        <v>84</v>
      </c>
      <c r="D115" s="25" t="e">
        <f t="shared" si="55"/>
        <v>#NAME?</v>
      </c>
      <c r="E115" s="27" t="e">
        <f t="shared" si="56"/>
        <v>#NAME?</v>
      </c>
      <c r="F115" s="25"/>
      <c r="G115" s="25">
        <f t="shared" si="57"/>
        <v>0</v>
      </c>
      <c r="H115" s="25" t="e">
        <f t="shared" si="58"/>
        <v>#NAME?</v>
      </c>
      <c r="I115" s="27" t="e">
        <f t="shared" si="59"/>
        <v>#NAME?</v>
      </c>
      <c r="J115" s="25"/>
      <c r="K115" s="25">
        <f t="shared" si="60"/>
        <v>0</v>
      </c>
      <c r="L115" s="25" t="e">
        <f t="shared" si="61"/>
        <v>#NAME?</v>
      </c>
      <c r="M115" s="27" t="e">
        <f t="shared" si="62"/>
        <v>#NAME?</v>
      </c>
      <c r="N115" s="27"/>
      <c r="O115" s="26" t="str">
        <f t="shared" si="63"/>
        <v>Central</v>
      </c>
      <c r="P115" s="26" t="e">
        <f t="shared" si="64"/>
        <v>#NAME?</v>
      </c>
      <c r="Q115" s="27" t="e">
        <f t="shared" si="65"/>
        <v>#VALUE!</v>
      </c>
      <c r="R115" s="27"/>
      <c r="S115" s="26">
        <f t="shared" si="66"/>
        <v>1238</v>
      </c>
      <c r="T115" s="26" t="e">
        <f t="shared" si="67"/>
        <v>#NAME?</v>
      </c>
      <c r="U115" s="27" t="e">
        <f t="shared" si="68"/>
        <v>#NAME?</v>
      </c>
      <c r="V115" s="27"/>
      <c r="W115" s="26">
        <f t="shared" si="69"/>
        <v>855</v>
      </c>
      <c r="X115" s="26" t="e">
        <f t="shared" si="70"/>
        <v>#NAME?</v>
      </c>
      <c r="Y115" s="27" t="e">
        <f t="shared" si="71"/>
        <v>#NAME?</v>
      </c>
    </row>
    <row r="116" spans="1:25" ht="16.5" customHeight="1" x14ac:dyDescent="0.3">
      <c r="A116" s="16" t="s">
        <v>180</v>
      </c>
      <c r="B116" s="16" t="s">
        <v>181</v>
      </c>
      <c r="C116" s="25">
        <f t="shared" si="54"/>
        <v>130</v>
      </c>
      <c r="D116" s="25" t="e">
        <f t="shared" si="55"/>
        <v>#NAME?</v>
      </c>
      <c r="E116" s="27" t="e">
        <f t="shared" si="56"/>
        <v>#NAME?</v>
      </c>
      <c r="F116" s="25"/>
      <c r="G116" s="25">
        <f t="shared" si="57"/>
        <v>0</v>
      </c>
      <c r="H116" s="25" t="e">
        <f t="shared" si="58"/>
        <v>#NAME?</v>
      </c>
      <c r="I116" s="27" t="e">
        <f t="shared" si="59"/>
        <v>#NAME?</v>
      </c>
      <c r="J116" s="25"/>
      <c r="K116" s="25">
        <f t="shared" si="60"/>
        <v>2</v>
      </c>
      <c r="L116" s="25" t="e">
        <f t="shared" si="61"/>
        <v>#NAME?</v>
      </c>
      <c r="M116" s="27" t="e">
        <f t="shared" si="62"/>
        <v>#NAME?</v>
      </c>
      <c r="N116" s="27"/>
      <c r="O116" s="26" t="str">
        <f t="shared" si="63"/>
        <v>Eastern</v>
      </c>
      <c r="P116" s="26" t="e">
        <f t="shared" si="64"/>
        <v>#NAME?</v>
      </c>
      <c r="Q116" s="27" t="e">
        <f t="shared" si="65"/>
        <v>#VALUE!</v>
      </c>
      <c r="R116" s="27"/>
      <c r="S116" s="26">
        <f t="shared" si="66"/>
        <v>2541</v>
      </c>
      <c r="T116" s="26" t="e">
        <f t="shared" si="67"/>
        <v>#NAME?</v>
      </c>
      <c r="U116" s="27" t="e">
        <f t="shared" si="68"/>
        <v>#NAME?</v>
      </c>
      <c r="V116" s="27"/>
      <c r="W116" s="26">
        <f t="shared" si="69"/>
        <v>1826</v>
      </c>
      <c r="X116" s="26" t="e">
        <f t="shared" si="70"/>
        <v>#NAME?</v>
      </c>
      <c r="Y116" s="27" t="e">
        <f t="shared" si="71"/>
        <v>#NAME?</v>
      </c>
    </row>
    <row r="117" spans="1:25" ht="16.5" customHeight="1" x14ac:dyDescent="0.3">
      <c r="A117" s="16" t="s">
        <v>192</v>
      </c>
      <c r="B117" s="16" t="s">
        <v>193</v>
      </c>
      <c r="C117" s="25">
        <f t="shared" si="54"/>
        <v>9</v>
      </c>
      <c r="D117" s="25" t="e">
        <f t="shared" si="55"/>
        <v>#NAME?</v>
      </c>
      <c r="E117" s="27" t="e">
        <f t="shared" si="56"/>
        <v>#NAME?</v>
      </c>
      <c r="F117" s="25"/>
      <c r="G117" s="25">
        <f t="shared" si="57"/>
        <v>0</v>
      </c>
      <c r="H117" s="25" t="e">
        <f t="shared" si="58"/>
        <v>#NAME?</v>
      </c>
      <c r="I117" s="27" t="e">
        <f t="shared" si="59"/>
        <v>#NAME?</v>
      </c>
      <c r="J117" s="25"/>
      <c r="K117" s="25">
        <f t="shared" si="60"/>
        <v>0</v>
      </c>
      <c r="L117" s="25" t="e">
        <f t="shared" si="61"/>
        <v>#NAME?</v>
      </c>
      <c r="M117" s="27" t="e">
        <f t="shared" si="62"/>
        <v>#NAME?</v>
      </c>
      <c r="N117" s="27"/>
      <c r="O117" s="26" t="str">
        <f t="shared" si="63"/>
        <v>Western</v>
      </c>
      <c r="P117" s="26" t="e">
        <f t="shared" si="64"/>
        <v>#NAME?</v>
      </c>
      <c r="Q117" s="27" t="e">
        <f t="shared" si="65"/>
        <v>#VALUE!</v>
      </c>
      <c r="R117" s="27"/>
      <c r="S117" s="26">
        <f t="shared" si="66"/>
        <v>166</v>
      </c>
      <c r="T117" s="26" t="e">
        <f t="shared" si="67"/>
        <v>#NAME?</v>
      </c>
      <c r="U117" s="27" t="e">
        <f t="shared" si="68"/>
        <v>#NAME?</v>
      </c>
      <c r="V117" s="27"/>
      <c r="W117" s="26">
        <f t="shared" si="69"/>
        <v>126</v>
      </c>
      <c r="X117" s="26" t="e">
        <f t="shared" si="70"/>
        <v>#NAME?</v>
      </c>
      <c r="Y117" s="27" t="e">
        <f t="shared" si="71"/>
        <v>#NAME?</v>
      </c>
    </row>
    <row r="118" spans="1:25" ht="16.5" customHeight="1" x14ac:dyDescent="0.3">
      <c r="A118" s="16" t="s">
        <v>196</v>
      </c>
      <c r="B118" s="16" t="s">
        <v>300</v>
      </c>
      <c r="C118" s="25">
        <f t="shared" si="54"/>
        <v>282</v>
      </c>
      <c r="D118" s="25" t="e">
        <f t="shared" si="55"/>
        <v>#NAME?</v>
      </c>
      <c r="E118" s="27" t="e">
        <f t="shared" si="56"/>
        <v>#NAME?</v>
      </c>
      <c r="F118" s="25"/>
      <c r="G118" s="25">
        <f t="shared" si="57"/>
        <v>2</v>
      </c>
      <c r="H118" s="25" t="e">
        <f t="shared" si="58"/>
        <v>#NAME?</v>
      </c>
      <c r="I118" s="27" t="e">
        <f t="shared" si="59"/>
        <v>#NAME?</v>
      </c>
      <c r="J118" s="25"/>
      <c r="K118" s="25">
        <f t="shared" si="60"/>
        <v>1</v>
      </c>
      <c r="L118" s="25" t="e">
        <f t="shared" si="61"/>
        <v>#NAME?</v>
      </c>
      <c r="M118" s="27" t="e">
        <f t="shared" si="62"/>
        <v>#NAME?</v>
      </c>
      <c r="N118" s="27"/>
      <c r="O118" s="26" t="str">
        <f t="shared" si="63"/>
        <v>Central</v>
      </c>
      <c r="P118" s="26" t="e">
        <f t="shared" si="64"/>
        <v>#NAME?</v>
      </c>
      <c r="Q118" s="27" t="e">
        <f t="shared" si="65"/>
        <v>#VALUE!</v>
      </c>
      <c r="R118" s="27"/>
      <c r="S118" s="26">
        <f t="shared" si="66"/>
        <v>4891</v>
      </c>
      <c r="T118" s="26" t="e">
        <f t="shared" si="67"/>
        <v>#NAME?</v>
      </c>
      <c r="U118" s="27" t="e">
        <f t="shared" si="68"/>
        <v>#NAME?</v>
      </c>
      <c r="V118" s="27"/>
      <c r="W118" s="26">
        <f t="shared" si="69"/>
        <v>3466</v>
      </c>
      <c r="X118" s="26" t="e">
        <f t="shared" si="70"/>
        <v>#NAME?</v>
      </c>
      <c r="Y118" s="27" t="e">
        <f t="shared" si="71"/>
        <v>#NAME?</v>
      </c>
    </row>
    <row r="119" spans="1:25" ht="16.5" customHeight="1" x14ac:dyDescent="0.3">
      <c r="A119" s="16" t="s">
        <v>200</v>
      </c>
      <c r="B119" s="16" t="s">
        <v>301</v>
      </c>
      <c r="C119" s="25">
        <f t="shared" si="54"/>
        <v>192</v>
      </c>
      <c r="D119" s="25" t="e">
        <f t="shared" si="55"/>
        <v>#NAME?</v>
      </c>
      <c r="E119" s="27" t="e">
        <f t="shared" si="56"/>
        <v>#NAME?</v>
      </c>
      <c r="F119" s="25"/>
      <c r="G119" s="25">
        <f t="shared" si="57"/>
        <v>0</v>
      </c>
      <c r="H119" s="25" t="e">
        <f t="shared" si="58"/>
        <v>#NAME?</v>
      </c>
      <c r="I119" s="27" t="e">
        <f t="shared" si="59"/>
        <v>#NAME?</v>
      </c>
      <c r="J119" s="25"/>
      <c r="K119" s="25">
        <f t="shared" si="60"/>
        <v>1</v>
      </c>
      <c r="L119" s="25" t="e">
        <f t="shared" si="61"/>
        <v>#NAME?</v>
      </c>
      <c r="M119" s="27" t="e">
        <f t="shared" si="62"/>
        <v>#NAME?</v>
      </c>
      <c r="N119" s="27"/>
      <c r="O119" s="26" t="str">
        <f t="shared" si="63"/>
        <v>Piedmont</v>
      </c>
      <c r="P119" s="26" t="e">
        <f t="shared" si="64"/>
        <v>#NAME?</v>
      </c>
      <c r="Q119" s="27" t="e">
        <f t="shared" si="65"/>
        <v>#VALUE!</v>
      </c>
      <c r="R119" s="27"/>
      <c r="S119" s="26">
        <f t="shared" si="66"/>
        <v>2410</v>
      </c>
      <c r="T119" s="26" t="e">
        <f t="shared" si="67"/>
        <v>#NAME?</v>
      </c>
      <c r="U119" s="27" t="e">
        <f t="shared" si="68"/>
        <v>#NAME?</v>
      </c>
      <c r="V119" s="27"/>
      <c r="W119" s="26">
        <f t="shared" si="69"/>
        <v>1746</v>
      </c>
      <c r="X119" s="26" t="e">
        <f t="shared" si="70"/>
        <v>#NAME?</v>
      </c>
      <c r="Y119" s="27" t="e">
        <f t="shared" si="71"/>
        <v>#NAME?</v>
      </c>
    </row>
    <row r="120" spans="1:25" ht="16.5" customHeight="1" x14ac:dyDescent="0.3">
      <c r="A120" s="16" t="s">
        <v>222</v>
      </c>
      <c r="B120" s="16" t="s">
        <v>223</v>
      </c>
      <c r="C120" s="25">
        <f t="shared" si="54"/>
        <v>54</v>
      </c>
      <c r="D120" s="25" t="e">
        <f t="shared" si="55"/>
        <v>#NAME?</v>
      </c>
      <c r="E120" s="27" t="e">
        <f t="shared" si="56"/>
        <v>#NAME?</v>
      </c>
      <c r="F120" s="25"/>
      <c r="G120" s="25">
        <f t="shared" si="57"/>
        <v>0</v>
      </c>
      <c r="H120" s="25" t="e">
        <f t="shared" si="58"/>
        <v>#NAME?</v>
      </c>
      <c r="I120" s="27" t="e">
        <f t="shared" si="59"/>
        <v>#NAME?</v>
      </c>
      <c r="J120" s="25"/>
      <c r="K120" s="25">
        <f t="shared" si="60"/>
        <v>0</v>
      </c>
      <c r="L120" s="25" t="e">
        <f t="shared" si="61"/>
        <v>#NAME?</v>
      </c>
      <c r="M120" s="27" t="e">
        <f t="shared" si="62"/>
        <v>#NAME?</v>
      </c>
      <c r="N120" s="27"/>
      <c r="O120" s="26" t="str">
        <f t="shared" si="63"/>
        <v>Eastern</v>
      </c>
      <c r="P120" s="26" t="e">
        <f t="shared" si="64"/>
        <v>#NAME?</v>
      </c>
      <c r="Q120" s="27" t="e">
        <f t="shared" si="65"/>
        <v>#VALUE!</v>
      </c>
      <c r="R120" s="27"/>
      <c r="S120" s="26">
        <f t="shared" si="66"/>
        <v>1126</v>
      </c>
      <c r="T120" s="26" t="e">
        <f t="shared" si="67"/>
        <v>#NAME?</v>
      </c>
      <c r="U120" s="27" t="e">
        <f t="shared" si="68"/>
        <v>#NAME?</v>
      </c>
      <c r="V120" s="27"/>
      <c r="W120" s="26">
        <f t="shared" si="69"/>
        <v>821</v>
      </c>
      <c r="X120" s="26" t="e">
        <f t="shared" si="70"/>
        <v>#NAME?</v>
      </c>
      <c r="Y120" s="27" t="e">
        <f t="shared" si="71"/>
        <v>#NAME?</v>
      </c>
    </row>
    <row r="121" spans="1:25" ht="16.5" customHeight="1" x14ac:dyDescent="0.3">
      <c r="A121" s="16" t="s">
        <v>230</v>
      </c>
      <c r="B121" s="16" t="s">
        <v>231</v>
      </c>
      <c r="C121" s="25">
        <f t="shared" si="54"/>
        <v>157</v>
      </c>
      <c r="D121" s="25" t="e">
        <f t="shared" si="55"/>
        <v>#NAME?</v>
      </c>
      <c r="E121" s="27" t="e">
        <f t="shared" si="56"/>
        <v>#NAME?</v>
      </c>
      <c r="F121" s="25"/>
      <c r="G121" s="25">
        <f t="shared" si="57"/>
        <v>1</v>
      </c>
      <c r="H121" s="25" t="e">
        <f t="shared" si="58"/>
        <v>#NAME?</v>
      </c>
      <c r="I121" s="27" t="e">
        <f t="shared" si="59"/>
        <v>#NAME?</v>
      </c>
      <c r="J121" s="25"/>
      <c r="K121" s="25">
        <f t="shared" si="60"/>
        <v>1</v>
      </c>
      <c r="L121" s="25" t="e">
        <f t="shared" si="61"/>
        <v>#NAME?</v>
      </c>
      <c r="M121" s="27" t="e">
        <f t="shared" si="62"/>
        <v>#NAME?</v>
      </c>
      <c r="N121" s="27"/>
      <c r="O121" s="26" t="str">
        <f t="shared" si="63"/>
        <v>Eastern</v>
      </c>
      <c r="P121" s="26" t="e">
        <f t="shared" si="64"/>
        <v>#NAME?</v>
      </c>
      <c r="Q121" s="27" t="e">
        <f t="shared" si="65"/>
        <v>#VALUE!</v>
      </c>
      <c r="R121" s="27"/>
      <c r="S121" s="26">
        <f t="shared" si="66"/>
        <v>1884</v>
      </c>
      <c r="T121" s="26" t="e">
        <f t="shared" si="67"/>
        <v>#NAME?</v>
      </c>
      <c r="U121" s="27" t="e">
        <f t="shared" si="68"/>
        <v>#NAME?</v>
      </c>
      <c r="V121" s="27"/>
      <c r="W121" s="26">
        <f t="shared" si="69"/>
        <v>1377</v>
      </c>
      <c r="X121" s="26" t="e">
        <f t="shared" si="70"/>
        <v>#NAME?</v>
      </c>
      <c r="Y121" s="27" t="e">
        <f t="shared" si="71"/>
        <v>#NAME?</v>
      </c>
    </row>
    <row r="122" spans="1:25" ht="16.5" customHeight="1" x14ac:dyDescent="0.3">
      <c r="A122" s="16" t="s">
        <v>238</v>
      </c>
      <c r="B122" s="16" t="s">
        <v>239</v>
      </c>
      <c r="C122" s="25">
        <f t="shared" si="54"/>
        <v>14</v>
      </c>
      <c r="D122" s="25" t="e">
        <f t="shared" si="55"/>
        <v>#NAME?</v>
      </c>
      <c r="E122" s="27" t="e">
        <f t="shared" si="56"/>
        <v>#NAME?</v>
      </c>
      <c r="F122" s="25"/>
      <c r="G122" s="25">
        <f t="shared" si="57"/>
        <v>0</v>
      </c>
      <c r="H122" s="25" t="e">
        <f t="shared" si="58"/>
        <v>#NAME?</v>
      </c>
      <c r="I122" s="27" t="e">
        <f t="shared" si="59"/>
        <v>#NAME?</v>
      </c>
      <c r="J122" s="25"/>
      <c r="K122" s="25">
        <f t="shared" si="60"/>
        <v>0</v>
      </c>
      <c r="L122" s="25" t="e">
        <f t="shared" si="61"/>
        <v>#NAME?</v>
      </c>
      <c r="M122" s="27" t="e">
        <f t="shared" si="62"/>
        <v>#NAME?</v>
      </c>
      <c r="N122" s="27"/>
      <c r="O122" s="26" t="str">
        <f t="shared" si="63"/>
        <v>Eastern</v>
      </c>
      <c r="P122" s="26" t="e">
        <f t="shared" si="64"/>
        <v>#NAME?</v>
      </c>
      <c r="Q122" s="27" t="e">
        <f t="shared" si="65"/>
        <v>#VALUE!</v>
      </c>
      <c r="R122" s="27"/>
      <c r="S122" s="26">
        <f t="shared" si="66"/>
        <v>134</v>
      </c>
      <c r="T122" s="26" t="e">
        <f t="shared" si="67"/>
        <v>#NAME?</v>
      </c>
      <c r="U122" s="27" t="e">
        <f t="shared" si="68"/>
        <v>#NAME?</v>
      </c>
      <c r="V122" s="27"/>
      <c r="W122" s="26">
        <f t="shared" si="69"/>
        <v>92</v>
      </c>
      <c r="X122" s="26" t="e">
        <f t="shared" si="70"/>
        <v>#NAME?</v>
      </c>
      <c r="Y122" s="27" t="e">
        <f t="shared" si="71"/>
        <v>#NAME?</v>
      </c>
    </row>
    <row r="123" spans="1:25" ht="16.5" customHeight="1" x14ac:dyDescent="0.3">
      <c r="A123" s="16" t="s">
        <v>240</v>
      </c>
      <c r="B123" s="16" t="s">
        <v>241</v>
      </c>
      <c r="C123" s="25">
        <f t="shared" si="54"/>
        <v>38</v>
      </c>
      <c r="D123" s="25" t="e">
        <f t="shared" si="55"/>
        <v>#NAME?</v>
      </c>
      <c r="E123" s="27" t="e">
        <f t="shared" si="56"/>
        <v>#NAME?</v>
      </c>
      <c r="F123" s="25"/>
      <c r="G123" s="25">
        <f t="shared" si="57"/>
        <v>0</v>
      </c>
      <c r="H123" s="25" t="e">
        <f t="shared" si="58"/>
        <v>#NAME?</v>
      </c>
      <c r="I123" s="27" t="e">
        <f t="shared" si="59"/>
        <v>#NAME?</v>
      </c>
      <c r="J123" s="25"/>
      <c r="K123" s="25">
        <f t="shared" si="60"/>
        <v>0</v>
      </c>
      <c r="L123" s="25" t="e">
        <f t="shared" si="61"/>
        <v>#NAME?</v>
      </c>
      <c r="M123" s="27" t="e">
        <f t="shared" si="62"/>
        <v>#NAME?</v>
      </c>
      <c r="N123" s="27"/>
      <c r="O123" s="26" t="str">
        <f t="shared" si="63"/>
        <v>Northern</v>
      </c>
      <c r="P123" s="26" t="e">
        <f t="shared" si="64"/>
        <v>#NAME?</v>
      </c>
      <c r="Q123" s="27" t="e">
        <f t="shared" si="65"/>
        <v>#VALUE!</v>
      </c>
      <c r="R123" s="27"/>
      <c r="S123" s="26">
        <f t="shared" si="66"/>
        <v>358</v>
      </c>
      <c r="T123" s="26" t="e">
        <f t="shared" si="67"/>
        <v>#NAME?</v>
      </c>
      <c r="U123" s="27" t="e">
        <f t="shared" si="68"/>
        <v>#NAME?</v>
      </c>
      <c r="V123" s="27"/>
      <c r="W123" s="26">
        <f t="shared" si="69"/>
        <v>250</v>
      </c>
      <c r="X123" s="26" t="e">
        <f t="shared" si="70"/>
        <v>#NAME?</v>
      </c>
      <c r="Y123" s="27" t="e">
        <f t="shared" si="71"/>
        <v>#NAME?</v>
      </c>
    </row>
    <row r="124" spans="1:25" x14ac:dyDescent="0.25">
      <c r="C124" s="28"/>
      <c r="D124" s="28"/>
      <c r="E124" s="28"/>
      <c r="F124" s="28"/>
      <c r="G124" s="28"/>
      <c r="H124" s="28"/>
      <c r="I124" s="28"/>
      <c r="J124" s="28"/>
      <c r="K124" s="28"/>
      <c r="L124" s="28"/>
    </row>
    <row r="125" spans="1:25" x14ac:dyDescent="0.25">
      <c r="C125" s="28"/>
      <c r="D125" s="28"/>
      <c r="E125" s="28"/>
      <c r="F125" s="28"/>
      <c r="G125" s="28"/>
      <c r="H125" s="28"/>
      <c r="I125" s="28"/>
      <c r="J125" s="28"/>
      <c r="K125" s="28"/>
      <c r="L125" s="28"/>
    </row>
    <row r="126" spans="1:25" ht="12.75" customHeight="1" x14ac:dyDescent="0.25">
      <c r="A126" s="2777" t="s">
        <v>439</v>
      </c>
      <c r="B126" s="2777"/>
      <c r="C126" s="2778"/>
      <c r="D126" s="19"/>
      <c r="E126" s="19"/>
      <c r="F126" s="19"/>
      <c r="G126" s="19"/>
      <c r="H126" s="19"/>
      <c r="I126" s="19"/>
      <c r="J126" s="19"/>
      <c r="K126" s="19"/>
      <c r="L126" s="19"/>
    </row>
    <row r="127" spans="1:25" x14ac:dyDescent="0.25">
      <c r="A127" s="18" t="s">
        <v>440</v>
      </c>
    </row>
  </sheetData>
  <autoFilter ref="A3:Y127"/>
  <mergeCells count="9">
    <mergeCell ref="O2:Q2"/>
    <mergeCell ref="O1:Y1"/>
    <mergeCell ref="S2:U2"/>
    <mergeCell ref="W2:Y2"/>
    <mergeCell ref="A126:C126"/>
    <mergeCell ref="C2:E2"/>
    <mergeCell ref="C1:M1"/>
    <mergeCell ref="G2:I2"/>
    <mergeCell ref="K2:M2"/>
  </mergeCells>
  <conditionalFormatting sqref="Q4:R123 E4:E123">
    <cfRule type="cellIs" dxfId="1" priority="20" stopIfTrue="1" operator="greaterThan">
      <formula>"&gt;1"</formula>
    </cfRule>
  </conditionalFormatting>
  <conditionalFormatting sqref="Y4:Y123 M4:N123 U4:V123 Q4:R123 I4:I123 E4:E123">
    <cfRule type="cellIs" dxfId="0" priority="19" stopIfTrue="1" operator="greaterThan">
      <formula>1</formula>
    </cfRule>
  </conditionalFormatting>
  <pageMargins left="0.75" right="0.75" top="1" bottom="1" header="0.5" footer="0.5"/>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5"/>
  <sheetViews>
    <sheetView zoomScaleNormal="106" zoomScaleSheetLayoutView="116" workbookViewId="0">
      <pane ySplit="1" topLeftCell="A2" activePane="bottomLeft" state="frozen"/>
      <selection pane="bottomLeft" activeCell="C2" sqref="C2"/>
    </sheetView>
  </sheetViews>
  <sheetFormatPr defaultColWidth="9" defaultRowHeight="13.2" x14ac:dyDescent="0.25"/>
  <cols>
    <col min="1" max="1" width="12.19921875" style="18" customWidth="1"/>
    <col min="2" max="2" width="21.5" style="18" customWidth="1"/>
    <col min="3" max="3" width="17" style="18" customWidth="1"/>
    <col min="4" max="4" width="18.19921875" style="18" customWidth="1"/>
    <col min="5" max="5" width="19.59765625" style="18" customWidth="1"/>
    <col min="6" max="6" width="9.19921875" style="18" customWidth="1"/>
    <col min="7" max="16384" width="9" style="18"/>
  </cols>
  <sheetData>
    <row r="1" spans="1:6" s="15" customFormat="1" ht="71.25" customHeight="1" x14ac:dyDescent="0.3">
      <c r="A1" s="13" t="s">
        <v>293</v>
      </c>
      <c r="B1" s="13" t="s">
        <v>294</v>
      </c>
      <c r="C1" s="13" t="s">
        <v>435</v>
      </c>
      <c r="D1" s="13" t="s">
        <v>436</v>
      </c>
      <c r="E1" s="13" t="s">
        <v>437</v>
      </c>
      <c r="F1" s="14" t="s">
        <v>438</v>
      </c>
    </row>
    <row r="2" spans="1:6" ht="16.5" customHeight="1" x14ac:dyDescent="0.3">
      <c r="A2" s="16" t="s">
        <v>10</v>
      </c>
      <c r="B2" s="16" t="s">
        <v>11</v>
      </c>
      <c r="C2" s="17">
        <v>3</v>
      </c>
      <c r="D2" s="17">
        <v>4</v>
      </c>
      <c r="E2" s="17">
        <v>248</v>
      </c>
      <c r="F2" s="18">
        <f>ROUND(E2/12,0)</f>
        <v>21</v>
      </c>
    </row>
    <row r="3" spans="1:6" ht="16.5" customHeight="1" x14ac:dyDescent="0.3">
      <c r="A3" s="16" t="s">
        <v>12</v>
      </c>
      <c r="B3" s="16" t="s">
        <v>13</v>
      </c>
      <c r="C3" s="17">
        <v>7</v>
      </c>
      <c r="D3" s="17">
        <v>4</v>
      </c>
      <c r="E3" s="17">
        <v>729</v>
      </c>
      <c r="F3" s="18">
        <f t="shared" ref="F3:F66" si="0">ROUND(E3/12,0)</f>
        <v>61</v>
      </c>
    </row>
    <row r="4" spans="1:6" ht="16.5" customHeight="1" x14ac:dyDescent="0.3">
      <c r="A4" s="16" t="s">
        <v>16</v>
      </c>
      <c r="B4" s="16" t="s">
        <v>285</v>
      </c>
      <c r="C4" s="17">
        <v>3</v>
      </c>
      <c r="D4" s="17">
        <v>0</v>
      </c>
      <c r="E4" s="17">
        <v>123</v>
      </c>
      <c r="F4" s="18">
        <f t="shared" si="0"/>
        <v>10</v>
      </c>
    </row>
    <row r="5" spans="1:6" ht="16.5" customHeight="1" x14ac:dyDescent="0.3">
      <c r="A5" s="16" t="s">
        <v>18</v>
      </c>
      <c r="B5" s="16" t="s">
        <v>19</v>
      </c>
      <c r="C5" s="17">
        <v>1</v>
      </c>
      <c r="D5" s="17">
        <v>0</v>
      </c>
      <c r="E5" s="17">
        <v>41</v>
      </c>
      <c r="F5" s="18">
        <f t="shared" si="0"/>
        <v>3</v>
      </c>
    </row>
    <row r="6" spans="1:6" ht="16.5" customHeight="1" x14ac:dyDescent="0.3">
      <c r="A6" s="16" t="s">
        <v>20</v>
      </c>
      <c r="B6" s="16" t="s">
        <v>21</v>
      </c>
      <c r="C6" s="17">
        <v>0</v>
      </c>
      <c r="D6" s="17">
        <v>0</v>
      </c>
      <c r="E6" s="17">
        <v>132</v>
      </c>
      <c r="F6" s="18">
        <f t="shared" si="0"/>
        <v>11</v>
      </c>
    </row>
    <row r="7" spans="1:6" ht="16.5" customHeight="1" x14ac:dyDescent="0.3">
      <c r="A7" s="16" t="s">
        <v>22</v>
      </c>
      <c r="B7" s="16" t="s">
        <v>23</v>
      </c>
      <c r="C7" s="17">
        <v>0</v>
      </c>
      <c r="D7" s="17">
        <v>0</v>
      </c>
      <c r="E7" s="17">
        <v>12</v>
      </c>
      <c r="F7" s="18">
        <f t="shared" si="0"/>
        <v>1</v>
      </c>
    </row>
    <row r="8" spans="1:6" ht="16.5" customHeight="1" x14ac:dyDescent="0.3">
      <c r="A8" s="16" t="s">
        <v>24</v>
      </c>
      <c r="B8" s="16" t="s">
        <v>25</v>
      </c>
      <c r="C8" s="17">
        <v>13</v>
      </c>
      <c r="D8" s="17">
        <v>3</v>
      </c>
      <c r="E8" s="17">
        <v>1283</v>
      </c>
      <c r="F8" s="18">
        <f t="shared" si="0"/>
        <v>107</v>
      </c>
    </row>
    <row r="9" spans="1:6" ht="16.5" customHeight="1" x14ac:dyDescent="0.3">
      <c r="A9" s="16" t="s">
        <v>26</v>
      </c>
      <c r="B9" s="16" t="s">
        <v>286</v>
      </c>
      <c r="C9" s="17">
        <v>11</v>
      </c>
      <c r="D9" s="17">
        <v>0</v>
      </c>
      <c r="E9" s="17">
        <v>1681</v>
      </c>
      <c r="F9" s="18">
        <f t="shared" si="0"/>
        <v>140</v>
      </c>
    </row>
    <row r="10" spans="1:6" ht="16.5" customHeight="1" x14ac:dyDescent="0.3">
      <c r="A10" s="16" t="s">
        <v>27</v>
      </c>
      <c r="B10" s="16" t="s">
        <v>28</v>
      </c>
      <c r="C10" s="17">
        <v>0</v>
      </c>
      <c r="D10" s="17">
        <v>0</v>
      </c>
      <c r="E10" s="17">
        <v>24</v>
      </c>
      <c r="F10" s="18">
        <f t="shared" si="0"/>
        <v>2</v>
      </c>
    </row>
    <row r="11" spans="1:6" ht="16.5" customHeight="1" x14ac:dyDescent="0.3">
      <c r="A11" s="16" t="s">
        <v>29</v>
      </c>
      <c r="B11" s="16" t="s">
        <v>295</v>
      </c>
      <c r="C11" s="17">
        <v>5</v>
      </c>
      <c r="D11" s="17">
        <v>0</v>
      </c>
      <c r="E11" s="17">
        <v>589</v>
      </c>
      <c r="F11" s="18">
        <f t="shared" si="0"/>
        <v>49</v>
      </c>
    </row>
    <row r="12" spans="1:6" ht="16.5" customHeight="1" x14ac:dyDescent="0.3">
      <c r="A12" s="16" t="s">
        <v>30</v>
      </c>
      <c r="B12" s="16" t="s">
        <v>31</v>
      </c>
      <c r="C12" s="17">
        <v>3</v>
      </c>
      <c r="D12" s="17">
        <v>0</v>
      </c>
      <c r="E12" s="17">
        <v>89</v>
      </c>
      <c r="F12" s="18">
        <f t="shared" si="0"/>
        <v>7</v>
      </c>
    </row>
    <row r="13" spans="1:6" ht="16.5" customHeight="1" x14ac:dyDescent="0.3">
      <c r="A13" s="16" t="s">
        <v>32</v>
      </c>
      <c r="B13" s="16" t="s">
        <v>33</v>
      </c>
      <c r="C13" s="17">
        <v>1</v>
      </c>
      <c r="D13" s="17">
        <v>0</v>
      </c>
      <c r="E13" s="17">
        <v>91</v>
      </c>
      <c r="F13" s="18">
        <f t="shared" si="0"/>
        <v>8</v>
      </c>
    </row>
    <row r="14" spans="1:6" ht="16.5" customHeight="1" x14ac:dyDescent="0.3">
      <c r="A14" s="16" t="s">
        <v>36</v>
      </c>
      <c r="B14" s="16" t="s">
        <v>37</v>
      </c>
      <c r="C14" s="17">
        <v>0</v>
      </c>
      <c r="D14" s="17">
        <v>1</v>
      </c>
      <c r="E14" s="17">
        <v>17</v>
      </c>
      <c r="F14" s="18">
        <f t="shared" si="0"/>
        <v>1</v>
      </c>
    </row>
    <row r="15" spans="1:6" ht="16.5" customHeight="1" x14ac:dyDescent="0.3">
      <c r="A15" s="16" t="s">
        <v>38</v>
      </c>
      <c r="B15" s="16" t="s">
        <v>39</v>
      </c>
      <c r="C15" s="17">
        <v>4</v>
      </c>
      <c r="D15" s="17">
        <v>3</v>
      </c>
      <c r="E15" s="17">
        <v>566</v>
      </c>
      <c r="F15" s="18">
        <f t="shared" si="0"/>
        <v>47</v>
      </c>
    </row>
    <row r="16" spans="1:6" ht="16.5" customHeight="1" x14ac:dyDescent="0.3">
      <c r="A16" s="16" t="s">
        <v>40</v>
      </c>
      <c r="B16" s="16" t="s">
        <v>41</v>
      </c>
      <c r="C16" s="17">
        <v>3</v>
      </c>
      <c r="D16" s="17">
        <v>0</v>
      </c>
      <c r="E16" s="17">
        <v>113</v>
      </c>
      <c r="F16" s="18">
        <f t="shared" si="0"/>
        <v>9</v>
      </c>
    </row>
    <row r="17" spans="1:6" ht="16.5" customHeight="1" x14ac:dyDescent="0.3">
      <c r="A17" s="16" t="s">
        <v>42</v>
      </c>
      <c r="B17" s="16" t="s">
        <v>43</v>
      </c>
      <c r="C17" s="17">
        <v>8</v>
      </c>
      <c r="D17" s="17">
        <v>2</v>
      </c>
      <c r="E17" s="17">
        <v>716</v>
      </c>
      <c r="F17" s="18">
        <f t="shared" si="0"/>
        <v>60</v>
      </c>
    </row>
    <row r="18" spans="1:6" ht="16.5" customHeight="1" x14ac:dyDescent="0.3">
      <c r="A18" s="16" t="s">
        <v>44</v>
      </c>
      <c r="B18" s="16" t="s">
        <v>45</v>
      </c>
      <c r="C18" s="17">
        <v>1</v>
      </c>
      <c r="D18" s="17">
        <v>0</v>
      </c>
      <c r="E18" s="17">
        <v>86</v>
      </c>
      <c r="F18" s="18">
        <f t="shared" si="0"/>
        <v>7</v>
      </c>
    </row>
    <row r="19" spans="1:6" ht="16.5" customHeight="1" x14ac:dyDescent="0.3">
      <c r="A19" s="16" t="s">
        <v>46</v>
      </c>
      <c r="B19" s="16" t="s">
        <v>47</v>
      </c>
      <c r="C19" s="17">
        <v>1</v>
      </c>
      <c r="D19" s="17">
        <v>0</v>
      </c>
      <c r="E19" s="17">
        <v>152</v>
      </c>
      <c r="F19" s="18">
        <f t="shared" si="0"/>
        <v>13</v>
      </c>
    </row>
    <row r="20" spans="1:6" ht="16.5" customHeight="1" x14ac:dyDescent="0.3">
      <c r="A20" s="16" t="s">
        <v>48</v>
      </c>
      <c r="B20" s="16" t="s">
        <v>257</v>
      </c>
      <c r="C20" s="17">
        <v>1</v>
      </c>
      <c r="D20" s="17">
        <v>0</v>
      </c>
      <c r="E20" s="17">
        <v>24</v>
      </c>
      <c r="F20" s="18">
        <f t="shared" si="0"/>
        <v>2</v>
      </c>
    </row>
    <row r="21" spans="1:6" ht="16.5" customHeight="1" x14ac:dyDescent="0.3">
      <c r="A21" s="16" t="s">
        <v>50</v>
      </c>
      <c r="B21" s="16" t="s">
        <v>51</v>
      </c>
      <c r="C21" s="17">
        <v>0</v>
      </c>
      <c r="D21" s="17">
        <v>0</v>
      </c>
      <c r="E21" s="17">
        <v>132</v>
      </c>
      <c r="F21" s="18">
        <f t="shared" si="0"/>
        <v>11</v>
      </c>
    </row>
    <row r="22" spans="1:6" ht="16.5" customHeight="1" x14ac:dyDescent="0.3">
      <c r="A22" s="16" t="s">
        <v>56</v>
      </c>
      <c r="B22" s="16" t="s">
        <v>283</v>
      </c>
      <c r="C22" s="17">
        <v>18</v>
      </c>
      <c r="D22" s="17">
        <v>4</v>
      </c>
      <c r="E22" s="17">
        <v>1819</v>
      </c>
      <c r="F22" s="18">
        <f t="shared" si="0"/>
        <v>152</v>
      </c>
    </row>
    <row r="23" spans="1:6" ht="16.5" customHeight="1" x14ac:dyDescent="0.3">
      <c r="A23" s="16" t="s">
        <v>58</v>
      </c>
      <c r="B23" s="16" t="s">
        <v>59</v>
      </c>
      <c r="C23" s="17">
        <v>0</v>
      </c>
      <c r="D23" s="17">
        <v>0</v>
      </c>
      <c r="E23" s="17">
        <v>52</v>
      </c>
      <c r="F23" s="18">
        <f t="shared" si="0"/>
        <v>4</v>
      </c>
    </row>
    <row r="24" spans="1:6" ht="16.5" customHeight="1" x14ac:dyDescent="0.3">
      <c r="A24" s="16" t="s">
        <v>60</v>
      </c>
      <c r="B24" s="16" t="s">
        <v>61</v>
      </c>
      <c r="C24" s="17">
        <v>0</v>
      </c>
      <c r="D24" s="17">
        <v>0</v>
      </c>
      <c r="E24" s="17">
        <v>24</v>
      </c>
      <c r="F24" s="18">
        <f t="shared" si="0"/>
        <v>2</v>
      </c>
    </row>
    <row r="25" spans="1:6" ht="16.5" customHeight="1" x14ac:dyDescent="0.3">
      <c r="A25" s="16" t="s">
        <v>62</v>
      </c>
      <c r="B25" s="16" t="s">
        <v>63</v>
      </c>
      <c r="C25" s="17">
        <v>6</v>
      </c>
      <c r="D25" s="17">
        <v>1</v>
      </c>
      <c r="E25" s="17">
        <v>362</v>
      </c>
      <c r="F25" s="18">
        <f t="shared" si="0"/>
        <v>30</v>
      </c>
    </row>
    <row r="26" spans="1:6" ht="16.5" customHeight="1" x14ac:dyDescent="0.3">
      <c r="A26" s="16" t="s">
        <v>64</v>
      </c>
      <c r="B26" s="16" t="s">
        <v>65</v>
      </c>
      <c r="C26" s="17">
        <v>2</v>
      </c>
      <c r="D26" s="17">
        <v>0</v>
      </c>
      <c r="E26" s="17">
        <v>76</v>
      </c>
      <c r="F26" s="18">
        <f t="shared" si="0"/>
        <v>6</v>
      </c>
    </row>
    <row r="27" spans="1:6" ht="16.5" customHeight="1" x14ac:dyDescent="0.3">
      <c r="A27" s="16" t="s">
        <v>68</v>
      </c>
      <c r="B27" s="16" t="s">
        <v>69</v>
      </c>
      <c r="C27" s="17">
        <v>28</v>
      </c>
      <c r="D27" s="17">
        <v>0</v>
      </c>
      <c r="E27" s="17">
        <v>592</v>
      </c>
      <c r="F27" s="18">
        <f t="shared" si="0"/>
        <v>49</v>
      </c>
    </row>
    <row r="28" spans="1:6" ht="16.5" customHeight="1" x14ac:dyDescent="0.3">
      <c r="A28" s="16" t="s">
        <v>70</v>
      </c>
      <c r="B28" s="16" t="s">
        <v>71</v>
      </c>
      <c r="C28" s="17">
        <v>0</v>
      </c>
      <c r="D28" s="17">
        <v>0</v>
      </c>
      <c r="E28" s="17">
        <v>129</v>
      </c>
      <c r="F28" s="18">
        <f t="shared" si="0"/>
        <v>11</v>
      </c>
    </row>
    <row r="29" spans="1:6" ht="16.5" customHeight="1" x14ac:dyDescent="0.3">
      <c r="A29" s="16" t="s">
        <v>72</v>
      </c>
      <c r="B29" s="16" t="s">
        <v>73</v>
      </c>
      <c r="C29" s="17">
        <v>0</v>
      </c>
      <c r="D29" s="17">
        <v>1</v>
      </c>
      <c r="E29" s="17">
        <v>38</v>
      </c>
      <c r="F29" s="18">
        <f t="shared" si="0"/>
        <v>3</v>
      </c>
    </row>
    <row r="30" spans="1:6" ht="16.5" customHeight="1" x14ac:dyDescent="0.3">
      <c r="A30" s="16" t="s">
        <v>74</v>
      </c>
      <c r="B30" s="16" t="s">
        <v>290</v>
      </c>
      <c r="C30" s="17">
        <v>24</v>
      </c>
      <c r="D30" s="17">
        <v>21</v>
      </c>
      <c r="E30" s="17">
        <v>5651</v>
      </c>
      <c r="F30" s="18">
        <f t="shared" si="0"/>
        <v>471</v>
      </c>
    </row>
    <row r="31" spans="1:6" ht="16.5" customHeight="1" x14ac:dyDescent="0.3">
      <c r="A31" s="16" t="s">
        <v>76</v>
      </c>
      <c r="B31" s="16" t="s">
        <v>77</v>
      </c>
      <c r="C31" s="17">
        <v>3</v>
      </c>
      <c r="D31" s="17">
        <v>6</v>
      </c>
      <c r="E31" s="17">
        <v>294</v>
      </c>
      <c r="F31" s="18">
        <f t="shared" si="0"/>
        <v>25</v>
      </c>
    </row>
    <row r="32" spans="1:6" ht="16.5" customHeight="1" x14ac:dyDescent="0.3">
      <c r="A32" s="16" t="s">
        <v>78</v>
      </c>
      <c r="B32" s="16" t="s">
        <v>79</v>
      </c>
      <c r="C32" s="17">
        <v>0</v>
      </c>
      <c r="D32" s="17">
        <v>0</v>
      </c>
      <c r="E32" s="17">
        <v>12</v>
      </c>
      <c r="F32" s="18">
        <f t="shared" si="0"/>
        <v>1</v>
      </c>
    </row>
    <row r="33" spans="1:6" ht="16.5" customHeight="1" x14ac:dyDescent="0.3">
      <c r="A33" s="16" t="s">
        <v>80</v>
      </c>
      <c r="B33" s="16" t="s">
        <v>81</v>
      </c>
      <c r="C33" s="17">
        <v>4</v>
      </c>
      <c r="D33" s="17">
        <v>0</v>
      </c>
      <c r="E33" s="17">
        <v>102</v>
      </c>
      <c r="F33" s="18">
        <f t="shared" si="0"/>
        <v>9</v>
      </c>
    </row>
    <row r="34" spans="1:6" ht="16.5" customHeight="1" x14ac:dyDescent="0.3">
      <c r="A34" s="16" t="s">
        <v>84</v>
      </c>
      <c r="B34" s="16" t="s">
        <v>296</v>
      </c>
      <c r="C34" s="17">
        <v>3</v>
      </c>
      <c r="D34" s="17">
        <v>1</v>
      </c>
      <c r="E34" s="17">
        <v>432</v>
      </c>
      <c r="F34" s="18">
        <f t="shared" si="0"/>
        <v>36</v>
      </c>
    </row>
    <row r="35" spans="1:6" ht="16.5" customHeight="1" x14ac:dyDescent="0.3">
      <c r="A35" s="16" t="s">
        <v>86</v>
      </c>
      <c r="B35" s="16" t="s">
        <v>87</v>
      </c>
      <c r="C35" s="17">
        <v>11</v>
      </c>
      <c r="D35" s="17">
        <v>10</v>
      </c>
      <c r="E35" s="17">
        <v>479</v>
      </c>
      <c r="F35" s="18">
        <f t="shared" si="0"/>
        <v>40</v>
      </c>
    </row>
    <row r="36" spans="1:6" ht="16.5" customHeight="1" x14ac:dyDescent="0.3">
      <c r="A36" s="16" t="s">
        <v>92</v>
      </c>
      <c r="B36" s="16" t="s">
        <v>93</v>
      </c>
      <c r="C36" s="17">
        <v>3</v>
      </c>
      <c r="D36" s="17">
        <v>0</v>
      </c>
      <c r="E36" s="17">
        <v>213</v>
      </c>
      <c r="F36" s="18">
        <f t="shared" si="0"/>
        <v>18</v>
      </c>
    </row>
    <row r="37" spans="1:6" ht="16.5" customHeight="1" x14ac:dyDescent="0.3">
      <c r="A37" s="16" t="s">
        <v>94</v>
      </c>
      <c r="B37" s="16" t="s">
        <v>95</v>
      </c>
      <c r="C37" s="17">
        <v>2</v>
      </c>
      <c r="D37" s="17">
        <v>2</v>
      </c>
      <c r="E37" s="17">
        <v>270</v>
      </c>
      <c r="F37" s="18">
        <f t="shared" si="0"/>
        <v>23</v>
      </c>
    </row>
    <row r="38" spans="1:6" ht="16.5" customHeight="1" x14ac:dyDescent="0.3">
      <c r="A38" s="16" t="s">
        <v>96</v>
      </c>
      <c r="B38" s="16" t="s">
        <v>97</v>
      </c>
      <c r="C38" s="17">
        <v>1</v>
      </c>
      <c r="D38" s="17">
        <v>2</v>
      </c>
      <c r="E38" s="17">
        <v>133</v>
      </c>
      <c r="F38" s="18">
        <f t="shared" si="0"/>
        <v>11</v>
      </c>
    </row>
    <row r="39" spans="1:6" ht="16.5" customHeight="1" x14ac:dyDescent="0.3">
      <c r="A39" s="16" t="s">
        <v>98</v>
      </c>
      <c r="B39" s="16" t="s">
        <v>99</v>
      </c>
      <c r="C39" s="17">
        <v>1</v>
      </c>
      <c r="D39" s="17">
        <v>2</v>
      </c>
      <c r="E39" s="17">
        <v>126</v>
      </c>
      <c r="F39" s="18">
        <f t="shared" si="0"/>
        <v>11</v>
      </c>
    </row>
    <row r="40" spans="1:6" ht="16.5" customHeight="1" x14ac:dyDescent="0.3">
      <c r="A40" s="16" t="s">
        <v>100</v>
      </c>
      <c r="B40" s="16" t="s">
        <v>101</v>
      </c>
      <c r="C40" s="17">
        <v>0</v>
      </c>
      <c r="D40" s="17">
        <v>0</v>
      </c>
      <c r="E40" s="17">
        <v>60</v>
      </c>
      <c r="F40" s="18">
        <f t="shared" si="0"/>
        <v>5</v>
      </c>
    </row>
    <row r="41" spans="1:6" ht="16.5" customHeight="1" x14ac:dyDescent="0.3">
      <c r="A41" s="16" t="s">
        <v>102</v>
      </c>
      <c r="B41" s="16" t="s">
        <v>103</v>
      </c>
      <c r="C41" s="17">
        <v>2</v>
      </c>
      <c r="D41" s="17">
        <v>0</v>
      </c>
      <c r="E41" s="17">
        <v>60</v>
      </c>
      <c r="F41" s="18">
        <f t="shared" si="0"/>
        <v>5</v>
      </c>
    </row>
    <row r="42" spans="1:6" ht="16.5" customHeight="1" x14ac:dyDescent="0.3">
      <c r="A42" s="16" t="s">
        <v>104</v>
      </c>
      <c r="B42" s="16" t="s">
        <v>297</v>
      </c>
      <c r="C42" s="17">
        <v>0</v>
      </c>
      <c r="D42" s="17">
        <v>1</v>
      </c>
      <c r="E42" s="17">
        <v>223</v>
      </c>
      <c r="F42" s="18">
        <f t="shared" si="0"/>
        <v>19</v>
      </c>
    </row>
    <row r="43" spans="1:6" ht="16.5" customHeight="1" x14ac:dyDescent="0.3">
      <c r="A43" s="16" t="s">
        <v>108</v>
      </c>
      <c r="B43" s="16" t="s">
        <v>109</v>
      </c>
      <c r="C43" s="17">
        <v>3</v>
      </c>
      <c r="D43" s="17">
        <v>0</v>
      </c>
      <c r="E43" s="17">
        <v>264</v>
      </c>
      <c r="F43" s="18">
        <f t="shared" si="0"/>
        <v>22</v>
      </c>
    </row>
    <row r="44" spans="1:6" ht="16.5" customHeight="1" x14ac:dyDescent="0.3">
      <c r="A44" s="16" t="s">
        <v>110</v>
      </c>
      <c r="B44" s="16" t="s">
        <v>111</v>
      </c>
      <c r="C44" s="17">
        <v>7</v>
      </c>
      <c r="D44" s="17">
        <v>1</v>
      </c>
      <c r="E44" s="17">
        <v>1349</v>
      </c>
      <c r="F44" s="18">
        <f t="shared" si="0"/>
        <v>112</v>
      </c>
    </row>
    <row r="45" spans="1:6" ht="16.5" customHeight="1" x14ac:dyDescent="0.3">
      <c r="A45" s="16" t="s">
        <v>112</v>
      </c>
      <c r="B45" s="16" t="s">
        <v>288</v>
      </c>
      <c r="C45" s="17">
        <v>1</v>
      </c>
      <c r="D45" s="17">
        <v>0</v>
      </c>
      <c r="E45" s="17">
        <v>496</v>
      </c>
      <c r="F45" s="18">
        <f t="shared" si="0"/>
        <v>41</v>
      </c>
    </row>
    <row r="46" spans="1:6" ht="16.5" customHeight="1" x14ac:dyDescent="0.3">
      <c r="A46" s="16" t="s">
        <v>114</v>
      </c>
      <c r="B46" s="16" t="s">
        <v>115</v>
      </c>
      <c r="C46" s="17">
        <v>0</v>
      </c>
      <c r="D46" s="17">
        <v>0</v>
      </c>
      <c r="E46" s="17">
        <v>12</v>
      </c>
      <c r="F46" s="18">
        <f t="shared" si="0"/>
        <v>1</v>
      </c>
    </row>
    <row r="47" spans="1:6" ht="16.5" customHeight="1" x14ac:dyDescent="0.3">
      <c r="A47" s="16" t="s">
        <v>118</v>
      </c>
      <c r="B47" s="16" t="s">
        <v>119</v>
      </c>
      <c r="C47" s="17">
        <v>2</v>
      </c>
      <c r="D47" s="17">
        <v>1</v>
      </c>
      <c r="E47" s="17">
        <v>73</v>
      </c>
      <c r="F47" s="18">
        <f t="shared" si="0"/>
        <v>6</v>
      </c>
    </row>
    <row r="48" spans="1:6" ht="16.5" customHeight="1" x14ac:dyDescent="0.3">
      <c r="A48" s="16" t="s">
        <v>120</v>
      </c>
      <c r="B48" s="16" t="s">
        <v>121</v>
      </c>
      <c r="C48" s="17">
        <v>4</v>
      </c>
      <c r="D48" s="17">
        <v>3</v>
      </c>
      <c r="E48" s="17">
        <v>394</v>
      </c>
      <c r="F48" s="18">
        <f t="shared" si="0"/>
        <v>33</v>
      </c>
    </row>
    <row r="49" spans="1:6" ht="16.5" customHeight="1" x14ac:dyDescent="0.3">
      <c r="A49" s="16" t="s">
        <v>122</v>
      </c>
      <c r="B49" s="16" t="s">
        <v>259</v>
      </c>
      <c r="C49" s="17">
        <v>3</v>
      </c>
      <c r="D49" s="17">
        <v>0</v>
      </c>
      <c r="E49" s="17">
        <v>66</v>
      </c>
      <c r="F49" s="18">
        <f t="shared" si="0"/>
        <v>6</v>
      </c>
    </row>
    <row r="50" spans="1:6" ht="16.5" customHeight="1" x14ac:dyDescent="0.3">
      <c r="A50" s="16" t="s">
        <v>124</v>
      </c>
      <c r="B50" s="16" t="s">
        <v>125</v>
      </c>
      <c r="C50" s="17">
        <v>6</v>
      </c>
      <c r="D50" s="17">
        <v>0</v>
      </c>
      <c r="E50" s="17">
        <v>61</v>
      </c>
      <c r="F50" s="18">
        <f t="shared" si="0"/>
        <v>5</v>
      </c>
    </row>
    <row r="51" spans="1:6" ht="16.5" customHeight="1" x14ac:dyDescent="0.3">
      <c r="A51" s="16" t="s">
        <v>126</v>
      </c>
      <c r="B51" s="16" t="s">
        <v>127</v>
      </c>
      <c r="C51" s="17">
        <v>1</v>
      </c>
      <c r="D51" s="17">
        <v>0</v>
      </c>
      <c r="E51" s="17">
        <v>76</v>
      </c>
      <c r="F51" s="18">
        <f t="shared" si="0"/>
        <v>6</v>
      </c>
    </row>
    <row r="52" spans="1:6" ht="16.5" customHeight="1" x14ac:dyDescent="0.3">
      <c r="A52" s="16" t="s">
        <v>128</v>
      </c>
      <c r="B52" s="16" t="s">
        <v>129</v>
      </c>
      <c r="C52" s="17">
        <v>0</v>
      </c>
      <c r="D52" s="17">
        <v>1</v>
      </c>
      <c r="E52" s="17">
        <v>36</v>
      </c>
      <c r="F52" s="18">
        <f t="shared" si="0"/>
        <v>3</v>
      </c>
    </row>
    <row r="53" spans="1:6" ht="16.5" customHeight="1" x14ac:dyDescent="0.3">
      <c r="A53" s="16" t="s">
        <v>130</v>
      </c>
      <c r="B53" s="16" t="s">
        <v>131</v>
      </c>
      <c r="C53" s="17">
        <v>5</v>
      </c>
      <c r="D53" s="17">
        <v>0</v>
      </c>
      <c r="E53" s="17">
        <v>713</v>
      </c>
      <c r="F53" s="18">
        <f t="shared" si="0"/>
        <v>59</v>
      </c>
    </row>
    <row r="54" spans="1:6" ht="16.5" customHeight="1" x14ac:dyDescent="0.3">
      <c r="A54" s="16" t="s">
        <v>132</v>
      </c>
      <c r="B54" s="16" t="s">
        <v>133</v>
      </c>
      <c r="C54" s="17">
        <v>21</v>
      </c>
      <c r="D54" s="17">
        <v>6</v>
      </c>
      <c r="E54" s="17">
        <v>486</v>
      </c>
      <c r="F54" s="18">
        <f t="shared" si="0"/>
        <v>41</v>
      </c>
    </row>
    <row r="55" spans="1:6" ht="16.5" customHeight="1" x14ac:dyDescent="0.3">
      <c r="A55" s="16" t="s">
        <v>134</v>
      </c>
      <c r="B55" s="16" t="s">
        <v>135</v>
      </c>
      <c r="C55" s="17">
        <v>11</v>
      </c>
      <c r="D55" s="17">
        <v>0</v>
      </c>
      <c r="E55" s="17">
        <v>171</v>
      </c>
      <c r="F55" s="18">
        <f t="shared" si="0"/>
        <v>14</v>
      </c>
    </row>
    <row r="56" spans="1:6" ht="16.5" customHeight="1" x14ac:dyDescent="0.3">
      <c r="A56" s="16" t="s">
        <v>136</v>
      </c>
      <c r="B56" s="16" t="s">
        <v>137</v>
      </c>
      <c r="C56" s="17">
        <v>1</v>
      </c>
      <c r="D56" s="17">
        <v>0</v>
      </c>
      <c r="E56" s="17">
        <v>30</v>
      </c>
      <c r="F56" s="18">
        <f t="shared" si="0"/>
        <v>3</v>
      </c>
    </row>
    <row r="57" spans="1:6" ht="16.5" customHeight="1" x14ac:dyDescent="0.3">
      <c r="A57" s="16" t="s">
        <v>140</v>
      </c>
      <c r="B57" s="16" t="s">
        <v>141</v>
      </c>
      <c r="C57" s="17">
        <v>2</v>
      </c>
      <c r="D57" s="17">
        <v>0</v>
      </c>
      <c r="E57" s="17">
        <v>65</v>
      </c>
      <c r="F57" s="18">
        <f t="shared" si="0"/>
        <v>5</v>
      </c>
    </row>
    <row r="58" spans="1:6" ht="16.5" customHeight="1" x14ac:dyDescent="0.3">
      <c r="A58" s="16" t="s">
        <v>146</v>
      </c>
      <c r="B58" s="16" t="s">
        <v>147</v>
      </c>
      <c r="C58" s="17">
        <v>0</v>
      </c>
      <c r="D58" s="17">
        <v>0</v>
      </c>
      <c r="E58" s="17">
        <v>84</v>
      </c>
      <c r="F58" s="18">
        <f t="shared" si="0"/>
        <v>7</v>
      </c>
    </row>
    <row r="59" spans="1:6" ht="16.5" customHeight="1" x14ac:dyDescent="0.3">
      <c r="A59" s="16" t="s">
        <v>148</v>
      </c>
      <c r="B59" s="16" t="s">
        <v>149</v>
      </c>
      <c r="C59" s="17">
        <v>2</v>
      </c>
      <c r="D59" s="17">
        <v>3</v>
      </c>
      <c r="E59" s="17">
        <v>228</v>
      </c>
      <c r="F59" s="18">
        <f t="shared" si="0"/>
        <v>19</v>
      </c>
    </row>
    <row r="60" spans="1:6" ht="16.5" customHeight="1" x14ac:dyDescent="0.3">
      <c r="A60" s="16" t="s">
        <v>150</v>
      </c>
      <c r="B60" s="16" t="s">
        <v>151</v>
      </c>
      <c r="C60" s="17">
        <v>1</v>
      </c>
      <c r="D60" s="17">
        <v>0</v>
      </c>
      <c r="E60" s="17">
        <v>74</v>
      </c>
      <c r="F60" s="18">
        <f t="shared" si="0"/>
        <v>6</v>
      </c>
    </row>
    <row r="61" spans="1:6" ht="16.5" customHeight="1" x14ac:dyDescent="0.3">
      <c r="A61" s="16" t="s">
        <v>152</v>
      </c>
      <c r="B61" s="16" t="s">
        <v>153</v>
      </c>
      <c r="C61" s="17">
        <v>1</v>
      </c>
      <c r="D61" s="17">
        <v>2</v>
      </c>
      <c r="E61" s="17">
        <v>374</v>
      </c>
      <c r="F61" s="18">
        <f t="shared" si="0"/>
        <v>31</v>
      </c>
    </row>
    <row r="62" spans="1:6" ht="16.5" customHeight="1" x14ac:dyDescent="0.3">
      <c r="A62" s="16" t="s">
        <v>154</v>
      </c>
      <c r="B62" s="16" t="s">
        <v>155</v>
      </c>
      <c r="C62" s="17">
        <v>0</v>
      </c>
      <c r="D62" s="17">
        <v>0</v>
      </c>
      <c r="E62" s="17">
        <v>0</v>
      </c>
      <c r="F62" s="18">
        <f t="shared" si="0"/>
        <v>0</v>
      </c>
    </row>
    <row r="63" spans="1:6" ht="16.5" customHeight="1" x14ac:dyDescent="0.3">
      <c r="A63" s="16" t="s">
        <v>156</v>
      </c>
      <c r="B63" s="16" t="s">
        <v>157</v>
      </c>
      <c r="C63" s="17">
        <v>1</v>
      </c>
      <c r="D63" s="17">
        <v>0</v>
      </c>
      <c r="E63" s="17">
        <v>63</v>
      </c>
      <c r="F63" s="18">
        <f t="shared" si="0"/>
        <v>5</v>
      </c>
    </row>
    <row r="64" spans="1:6" ht="16.5" customHeight="1" x14ac:dyDescent="0.3">
      <c r="A64" s="16" t="s">
        <v>162</v>
      </c>
      <c r="B64" s="16" t="s">
        <v>163</v>
      </c>
      <c r="C64" s="17">
        <v>0</v>
      </c>
      <c r="D64" s="17">
        <v>0</v>
      </c>
      <c r="E64" s="17">
        <v>24</v>
      </c>
      <c r="F64" s="18">
        <f t="shared" si="0"/>
        <v>2</v>
      </c>
    </row>
    <row r="65" spans="1:6" ht="16.5" customHeight="1" x14ac:dyDescent="0.3">
      <c r="A65" s="16" t="s">
        <v>164</v>
      </c>
      <c r="B65" s="16" t="s">
        <v>165</v>
      </c>
      <c r="C65" s="17">
        <v>0</v>
      </c>
      <c r="D65" s="17">
        <v>0</v>
      </c>
      <c r="E65" s="17">
        <v>48</v>
      </c>
      <c r="F65" s="18">
        <f t="shared" si="0"/>
        <v>4</v>
      </c>
    </row>
    <row r="66" spans="1:6" ht="16.5" customHeight="1" x14ac:dyDescent="0.3">
      <c r="A66" s="16" t="s">
        <v>168</v>
      </c>
      <c r="B66" s="16" t="s">
        <v>169</v>
      </c>
      <c r="C66" s="17">
        <v>1</v>
      </c>
      <c r="D66" s="17">
        <v>0</v>
      </c>
      <c r="E66" s="17">
        <v>89</v>
      </c>
      <c r="F66" s="18">
        <f t="shared" si="0"/>
        <v>7</v>
      </c>
    </row>
    <row r="67" spans="1:6" ht="16.5" customHeight="1" x14ac:dyDescent="0.3">
      <c r="A67" s="16" t="s">
        <v>170</v>
      </c>
      <c r="B67" s="16" t="s">
        <v>171</v>
      </c>
      <c r="C67" s="17">
        <v>1</v>
      </c>
      <c r="D67" s="17">
        <v>1</v>
      </c>
      <c r="E67" s="17">
        <v>132</v>
      </c>
      <c r="F67" s="18">
        <f t="shared" ref="F67:F121" si="1">ROUND(E67/12,0)</f>
        <v>11</v>
      </c>
    </row>
    <row r="68" spans="1:6" ht="16.5" customHeight="1" x14ac:dyDescent="0.3">
      <c r="A68" s="16" t="s">
        <v>172</v>
      </c>
      <c r="B68" s="16" t="s">
        <v>173</v>
      </c>
      <c r="C68" s="17">
        <v>3</v>
      </c>
      <c r="D68" s="17">
        <v>1</v>
      </c>
      <c r="E68" s="17">
        <v>170</v>
      </c>
      <c r="F68" s="18">
        <f t="shared" si="1"/>
        <v>14</v>
      </c>
    </row>
    <row r="69" spans="1:6" ht="16.5" customHeight="1" x14ac:dyDescent="0.3">
      <c r="A69" s="16" t="s">
        <v>174</v>
      </c>
      <c r="B69" s="16" t="s">
        <v>175</v>
      </c>
      <c r="C69" s="17">
        <v>2</v>
      </c>
      <c r="D69" s="17">
        <v>1</v>
      </c>
      <c r="E69" s="17">
        <v>28</v>
      </c>
      <c r="F69" s="18">
        <f t="shared" si="1"/>
        <v>2</v>
      </c>
    </row>
    <row r="70" spans="1:6" ht="16.5" customHeight="1" x14ac:dyDescent="0.3">
      <c r="A70" s="16" t="s">
        <v>178</v>
      </c>
      <c r="B70" s="16" t="s">
        <v>179</v>
      </c>
      <c r="C70" s="17">
        <v>2</v>
      </c>
      <c r="D70" s="17">
        <v>0</v>
      </c>
      <c r="E70" s="17">
        <v>256</v>
      </c>
      <c r="F70" s="18">
        <f t="shared" si="1"/>
        <v>21</v>
      </c>
    </row>
    <row r="71" spans="1:6" ht="16.5" customHeight="1" x14ac:dyDescent="0.3">
      <c r="A71" s="16" t="s">
        <v>182</v>
      </c>
      <c r="B71" s="16" t="s">
        <v>183</v>
      </c>
      <c r="C71" s="17">
        <v>1</v>
      </c>
      <c r="D71" s="17">
        <v>1</v>
      </c>
      <c r="E71" s="17">
        <v>42</v>
      </c>
      <c r="F71" s="18">
        <f t="shared" si="1"/>
        <v>4</v>
      </c>
    </row>
    <row r="72" spans="1:6" ht="16.5" customHeight="1" x14ac:dyDescent="0.3">
      <c r="A72" s="16" t="s">
        <v>184</v>
      </c>
      <c r="B72" s="16" t="s">
        <v>185</v>
      </c>
      <c r="C72" s="17">
        <v>4</v>
      </c>
      <c r="D72" s="17">
        <v>1</v>
      </c>
      <c r="E72" s="17">
        <v>220</v>
      </c>
      <c r="F72" s="18">
        <f t="shared" si="1"/>
        <v>18</v>
      </c>
    </row>
    <row r="73" spans="1:6" ht="16.5" customHeight="1" x14ac:dyDescent="0.3">
      <c r="A73" s="16" t="s">
        <v>186</v>
      </c>
      <c r="B73" s="16" t="s">
        <v>187</v>
      </c>
      <c r="C73" s="17">
        <v>3</v>
      </c>
      <c r="D73" s="17">
        <v>3</v>
      </c>
      <c r="E73" s="17">
        <v>98</v>
      </c>
      <c r="F73" s="18">
        <f t="shared" si="1"/>
        <v>8</v>
      </c>
    </row>
    <row r="74" spans="1:6" ht="16.5" customHeight="1" x14ac:dyDescent="0.3">
      <c r="A74" s="16" t="s">
        <v>188</v>
      </c>
      <c r="B74" s="16" t="s">
        <v>189</v>
      </c>
      <c r="C74" s="17">
        <v>11</v>
      </c>
      <c r="D74" s="17">
        <v>3</v>
      </c>
      <c r="E74" s="17">
        <v>1021</v>
      </c>
      <c r="F74" s="18">
        <f t="shared" si="1"/>
        <v>85</v>
      </c>
    </row>
    <row r="75" spans="1:6" ht="16.5" customHeight="1" x14ac:dyDescent="0.3">
      <c r="A75" s="16" t="s">
        <v>190</v>
      </c>
      <c r="B75" s="16" t="s">
        <v>191</v>
      </c>
      <c r="C75" s="17">
        <v>4</v>
      </c>
      <c r="D75" s="17">
        <v>0</v>
      </c>
      <c r="E75" s="17">
        <v>261</v>
      </c>
      <c r="F75" s="18">
        <f t="shared" si="1"/>
        <v>22</v>
      </c>
    </row>
    <row r="76" spans="1:6" ht="16.5" customHeight="1" x14ac:dyDescent="0.3">
      <c r="A76" s="16" t="s">
        <v>194</v>
      </c>
      <c r="B76" s="16" t="s">
        <v>195</v>
      </c>
      <c r="C76" s="17">
        <v>1</v>
      </c>
      <c r="D76" s="17">
        <v>0</v>
      </c>
      <c r="E76" s="17">
        <v>83</v>
      </c>
      <c r="F76" s="18">
        <f t="shared" si="1"/>
        <v>7</v>
      </c>
    </row>
    <row r="77" spans="1:6" ht="16.5" customHeight="1" x14ac:dyDescent="0.3">
      <c r="A77" s="16" t="s">
        <v>198</v>
      </c>
      <c r="B77" s="16" t="s">
        <v>199</v>
      </c>
      <c r="C77" s="17">
        <v>0</v>
      </c>
      <c r="D77" s="17">
        <v>0</v>
      </c>
      <c r="E77" s="17">
        <v>36</v>
      </c>
      <c r="F77" s="18">
        <f t="shared" si="1"/>
        <v>3</v>
      </c>
    </row>
    <row r="78" spans="1:6" ht="16.5" customHeight="1" x14ac:dyDescent="0.3">
      <c r="A78" s="16" t="s">
        <v>202</v>
      </c>
      <c r="B78" s="16" t="s">
        <v>203</v>
      </c>
      <c r="C78" s="17">
        <v>7</v>
      </c>
      <c r="D78" s="17">
        <v>2</v>
      </c>
      <c r="E78" s="17">
        <v>767</v>
      </c>
      <c r="F78" s="18">
        <f t="shared" si="1"/>
        <v>64</v>
      </c>
    </row>
    <row r="79" spans="1:6" ht="16.5" customHeight="1" x14ac:dyDescent="0.3">
      <c r="A79" s="16" t="s">
        <v>204</v>
      </c>
      <c r="B79" s="16" t="s">
        <v>205</v>
      </c>
      <c r="C79" s="17">
        <v>3</v>
      </c>
      <c r="D79" s="17">
        <v>2</v>
      </c>
      <c r="E79" s="17">
        <v>157</v>
      </c>
      <c r="F79" s="18">
        <f t="shared" si="1"/>
        <v>13</v>
      </c>
    </row>
    <row r="80" spans="1:6" ht="16.5" customHeight="1" x14ac:dyDescent="0.3">
      <c r="A80" s="16" t="s">
        <v>206</v>
      </c>
      <c r="B80" s="16" t="s">
        <v>207</v>
      </c>
      <c r="C80" s="17">
        <v>26</v>
      </c>
      <c r="D80" s="17">
        <v>3</v>
      </c>
      <c r="E80" s="17">
        <v>1347</v>
      </c>
      <c r="F80" s="18">
        <f t="shared" si="1"/>
        <v>112</v>
      </c>
    </row>
    <row r="81" spans="1:6" ht="16.5" customHeight="1" x14ac:dyDescent="0.3">
      <c r="A81" s="16" t="s">
        <v>208</v>
      </c>
      <c r="B81" s="16" t="s">
        <v>209</v>
      </c>
      <c r="C81" s="17">
        <v>2</v>
      </c>
      <c r="D81" s="17">
        <v>0</v>
      </c>
      <c r="E81" s="17">
        <v>53</v>
      </c>
      <c r="F81" s="18">
        <f t="shared" si="1"/>
        <v>4</v>
      </c>
    </row>
    <row r="82" spans="1:6" ht="16.5" customHeight="1" x14ac:dyDescent="0.3">
      <c r="A82" s="16" t="s">
        <v>210</v>
      </c>
      <c r="B82" s="16" t="s">
        <v>211</v>
      </c>
      <c r="C82" s="17">
        <v>4</v>
      </c>
      <c r="D82" s="17">
        <v>1</v>
      </c>
      <c r="E82" s="17">
        <v>345</v>
      </c>
      <c r="F82" s="18">
        <f t="shared" si="1"/>
        <v>29</v>
      </c>
    </row>
    <row r="83" spans="1:6" ht="16.5" customHeight="1" x14ac:dyDescent="0.3">
      <c r="A83" s="16" t="s">
        <v>212</v>
      </c>
      <c r="B83" s="16" t="s">
        <v>213</v>
      </c>
      <c r="C83" s="17">
        <v>4</v>
      </c>
      <c r="D83" s="17">
        <v>0</v>
      </c>
      <c r="E83" s="17">
        <v>243</v>
      </c>
      <c r="F83" s="18">
        <f t="shared" si="1"/>
        <v>20</v>
      </c>
    </row>
    <row r="84" spans="1:6" ht="16.5" customHeight="1" x14ac:dyDescent="0.3">
      <c r="A84" s="16" t="s">
        <v>214</v>
      </c>
      <c r="B84" s="16" t="s">
        <v>215</v>
      </c>
      <c r="C84" s="17">
        <v>0</v>
      </c>
      <c r="D84" s="17">
        <v>2</v>
      </c>
      <c r="E84" s="17">
        <v>193</v>
      </c>
      <c r="F84" s="18">
        <f t="shared" si="1"/>
        <v>16</v>
      </c>
    </row>
    <row r="85" spans="1:6" ht="16.5" customHeight="1" x14ac:dyDescent="0.3">
      <c r="A85" s="16" t="s">
        <v>216</v>
      </c>
      <c r="B85" s="16" t="s">
        <v>217</v>
      </c>
      <c r="C85" s="17">
        <v>0</v>
      </c>
      <c r="D85" s="17">
        <v>0</v>
      </c>
      <c r="E85" s="17">
        <v>24</v>
      </c>
      <c r="F85" s="18">
        <f t="shared" si="1"/>
        <v>2</v>
      </c>
    </row>
    <row r="86" spans="1:6" ht="16.5" customHeight="1" x14ac:dyDescent="0.3">
      <c r="A86" s="16" t="s">
        <v>218</v>
      </c>
      <c r="B86" s="16" t="s">
        <v>219</v>
      </c>
      <c r="C86" s="17">
        <v>7</v>
      </c>
      <c r="D86" s="17">
        <v>1</v>
      </c>
      <c r="E86" s="17">
        <v>728</v>
      </c>
      <c r="F86" s="18">
        <f t="shared" si="1"/>
        <v>61</v>
      </c>
    </row>
    <row r="87" spans="1:6" ht="16.5" customHeight="1" x14ac:dyDescent="0.3">
      <c r="A87" s="16" t="s">
        <v>220</v>
      </c>
      <c r="B87" s="16" t="s">
        <v>221</v>
      </c>
      <c r="C87" s="17">
        <v>9</v>
      </c>
      <c r="D87" s="17">
        <v>1</v>
      </c>
      <c r="E87" s="17">
        <v>1167</v>
      </c>
      <c r="F87" s="18">
        <f t="shared" si="1"/>
        <v>97</v>
      </c>
    </row>
    <row r="88" spans="1:6" ht="16.5" customHeight="1" x14ac:dyDescent="0.3">
      <c r="A88" s="16" t="s">
        <v>224</v>
      </c>
      <c r="B88" s="16" t="s">
        <v>225</v>
      </c>
      <c r="C88" s="17">
        <v>0</v>
      </c>
      <c r="D88" s="17">
        <v>0</v>
      </c>
      <c r="E88" s="17">
        <v>36</v>
      </c>
      <c r="F88" s="18">
        <f t="shared" si="1"/>
        <v>3</v>
      </c>
    </row>
    <row r="89" spans="1:6" ht="16.5" customHeight="1" x14ac:dyDescent="0.3">
      <c r="A89" s="16" t="s">
        <v>226</v>
      </c>
      <c r="B89" s="16" t="s">
        <v>227</v>
      </c>
      <c r="C89" s="17">
        <v>0</v>
      </c>
      <c r="D89" s="17">
        <v>0</v>
      </c>
      <c r="E89" s="17">
        <v>60</v>
      </c>
      <c r="F89" s="18">
        <f t="shared" si="1"/>
        <v>5</v>
      </c>
    </row>
    <row r="90" spans="1:6" ht="16.5" customHeight="1" x14ac:dyDescent="0.3">
      <c r="A90" s="16" t="s">
        <v>228</v>
      </c>
      <c r="B90" s="16" t="s">
        <v>229</v>
      </c>
      <c r="C90" s="17">
        <v>7</v>
      </c>
      <c r="D90" s="17">
        <v>3</v>
      </c>
      <c r="E90" s="17">
        <v>766</v>
      </c>
      <c r="F90" s="18">
        <f t="shared" si="1"/>
        <v>64</v>
      </c>
    </row>
    <row r="91" spans="1:6" ht="16.5" customHeight="1" x14ac:dyDescent="0.3">
      <c r="A91" s="16" t="s">
        <v>232</v>
      </c>
      <c r="B91" s="16" t="s">
        <v>233</v>
      </c>
      <c r="C91" s="17">
        <v>3</v>
      </c>
      <c r="D91" s="17">
        <v>1</v>
      </c>
      <c r="E91" s="17">
        <v>557</v>
      </c>
      <c r="F91" s="18">
        <f t="shared" si="1"/>
        <v>46</v>
      </c>
    </row>
    <row r="92" spans="1:6" ht="16.5" customHeight="1" x14ac:dyDescent="0.3">
      <c r="A92" s="16" t="s">
        <v>234</v>
      </c>
      <c r="B92" s="16" t="s">
        <v>235</v>
      </c>
      <c r="C92" s="17">
        <v>3</v>
      </c>
      <c r="D92" s="17">
        <v>0</v>
      </c>
      <c r="E92" s="17">
        <v>282</v>
      </c>
      <c r="F92" s="18">
        <f t="shared" si="1"/>
        <v>24</v>
      </c>
    </row>
    <row r="93" spans="1:6" ht="16.5" customHeight="1" x14ac:dyDescent="0.3">
      <c r="A93" s="16" t="s">
        <v>236</v>
      </c>
      <c r="B93" s="16" t="s">
        <v>237</v>
      </c>
      <c r="C93" s="17">
        <v>1</v>
      </c>
      <c r="D93" s="17">
        <v>2</v>
      </c>
      <c r="E93" s="17">
        <v>97</v>
      </c>
      <c r="F93" s="18">
        <f t="shared" si="1"/>
        <v>8</v>
      </c>
    </row>
    <row r="94" spans="1:6" ht="16.5" customHeight="1" x14ac:dyDescent="0.3">
      <c r="A94" s="16" t="s">
        <v>242</v>
      </c>
      <c r="B94" s="16" t="s">
        <v>243</v>
      </c>
      <c r="C94" s="17">
        <v>10</v>
      </c>
      <c r="D94" s="17">
        <v>7</v>
      </c>
      <c r="E94" s="17">
        <v>892</v>
      </c>
      <c r="F94" s="18">
        <f t="shared" si="1"/>
        <v>74</v>
      </c>
    </row>
    <row r="95" spans="1:6" ht="16.5" customHeight="1" x14ac:dyDescent="0.3">
      <c r="A95" s="16" t="s">
        <v>244</v>
      </c>
      <c r="B95" s="16" t="s">
        <v>245</v>
      </c>
      <c r="C95" s="17">
        <v>1</v>
      </c>
      <c r="D95" s="17">
        <v>0</v>
      </c>
      <c r="E95" s="17">
        <v>151</v>
      </c>
      <c r="F95" s="18">
        <f t="shared" si="1"/>
        <v>13</v>
      </c>
    </row>
    <row r="96" spans="1:6" ht="16.5" customHeight="1" x14ac:dyDescent="0.3">
      <c r="A96" s="16" t="s">
        <v>246</v>
      </c>
      <c r="B96" s="16" t="s">
        <v>298</v>
      </c>
      <c r="C96" s="17">
        <v>5</v>
      </c>
      <c r="D96" s="17">
        <v>2</v>
      </c>
      <c r="E96" s="17">
        <v>207</v>
      </c>
      <c r="F96" s="18">
        <f t="shared" si="1"/>
        <v>17</v>
      </c>
    </row>
    <row r="97" spans="1:6" ht="16.5" customHeight="1" x14ac:dyDescent="0.3">
      <c r="A97" s="16" t="s">
        <v>14</v>
      </c>
      <c r="B97" s="16" t="s">
        <v>15</v>
      </c>
      <c r="C97" s="17">
        <v>21</v>
      </c>
      <c r="D97" s="17">
        <v>1</v>
      </c>
      <c r="E97" s="17">
        <v>1630</v>
      </c>
      <c r="F97" s="18">
        <f t="shared" si="1"/>
        <v>136</v>
      </c>
    </row>
    <row r="98" spans="1:6" ht="16.5" customHeight="1" x14ac:dyDescent="0.3">
      <c r="A98" s="16" t="s">
        <v>34</v>
      </c>
      <c r="B98" s="16" t="s">
        <v>35</v>
      </c>
      <c r="C98" s="17">
        <v>0</v>
      </c>
      <c r="D98" s="17">
        <v>0</v>
      </c>
      <c r="E98" s="17">
        <v>251</v>
      </c>
      <c r="F98" s="18">
        <f t="shared" si="1"/>
        <v>21</v>
      </c>
    </row>
    <row r="99" spans="1:6" ht="16.5" customHeight="1" x14ac:dyDescent="0.3">
      <c r="A99" s="16" t="s">
        <v>52</v>
      </c>
      <c r="B99" s="16" t="s">
        <v>53</v>
      </c>
      <c r="C99" s="17">
        <v>14</v>
      </c>
      <c r="D99" s="17">
        <v>0</v>
      </c>
      <c r="E99" s="17">
        <v>789</v>
      </c>
      <c r="F99" s="18">
        <f t="shared" si="1"/>
        <v>66</v>
      </c>
    </row>
    <row r="100" spans="1:6" ht="16.5" customHeight="1" x14ac:dyDescent="0.3">
      <c r="A100" s="16" t="s">
        <v>54</v>
      </c>
      <c r="B100" s="16" t="s">
        <v>55</v>
      </c>
      <c r="C100" s="17">
        <v>5</v>
      </c>
      <c r="D100" s="17">
        <v>3</v>
      </c>
      <c r="E100" s="17">
        <v>1198</v>
      </c>
      <c r="F100" s="18">
        <f t="shared" si="1"/>
        <v>100</v>
      </c>
    </row>
    <row r="101" spans="1:6" ht="16.5" customHeight="1" x14ac:dyDescent="0.3">
      <c r="A101" s="16" t="s">
        <v>66</v>
      </c>
      <c r="B101" s="16" t="s">
        <v>67</v>
      </c>
      <c r="C101" s="17">
        <v>1</v>
      </c>
      <c r="D101" s="17">
        <v>1</v>
      </c>
      <c r="E101" s="17">
        <v>521</v>
      </c>
      <c r="F101" s="18">
        <f t="shared" si="1"/>
        <v>43</v>
      </c>
    </row>
    <row r="102" spans="1:6" ht="16.5" customHeight="1" x14ac:dyDescent="0.3">
      <c r="A102" s="16" t="s">
        <v>82</v>
      </c>
      <c r="B102" s="16" t="s">
        <v>299</v>
      </c>
      <c r="C102" s="17">
        <v>0</v>
      </c>
      <c r="D102" s="17">
        <v>0</v>
      </c>
      <c r="E102" s="17">
        <v>24</v>
      </c>
      <c r="F102" s="18">
        <f t="shared" si="1"/>
        <v>2</v>
      </c>
    </row>
    <row r="103" spans="1:6" ht="16.5" customHeight="1" x14ac:dyDescent="0.3">
      <c r="A103" s="16" t="s">
        <v>88</v>
      </c>
      <c r="B103" s="16" t="s">
        <v>89</v>
      </c>
      <c r="C103" s="17">
        <v>5</v>
      </c>
      <c r="D103" s="17">
        <v>0</v>
      </c>
      <c r="E103" s="17">
        <v>528</v>
      </c>
      <c r="F103" s="18">
        <f t="shared" si="1"/>
        <v>44</v>
      </c>
    </row>
    <row r="104" spans="1:6" ht="16.5" customHeight="1" x14ac:dyDescent="0.3">
      <c r="A104" s="16" t="s">
        <v>90</v>
      </c>
      <c r="B104" s="16" t="s">
        <v>91</v>
      </c>
      <c r="C104" s="17">
        <v>2</v>
      </c>
      <c r="D104" s="17">
        <v>0</v>
      </c>
      <c r="E104" s="17">
        <v>132</v>
      </c>
      <c r="F104" s="18">
        <f t="shared" si="1"/>
        <v>11</v>
      </c>
    </row>
    <row r="105" spans="1:6" ht="16.5" customHeight="1" x14ac:dyDescent="0.3">
      <c r="A105" s="16" t="s">
        <v>106</v>
      </c>
      <c r="B105" s="16" t="s">
        <v>107</v>
      </c>
      <c r="C105" s="17">
        <v>12</v>
      </c>
      <c r="D105" s="17">
        <v>4</v>
      </c>
      <c r="E105" s="17">
        <v>1594</v>
      </c>
      <c r="F105" s="18">
        <f t="shared" si="1"/>
        <v>133</v>
      </c>
    </row>
    <row r="106" spans="1:6" ht="16.5" customHeight="1" x14ac:dyDescent="0.3">
      <c r="A106" s="16" t="s">
        <v>116</v>
      </c>
      <c r="B106" s="16" t="s">
        <v>117</v>
      </c>
      <c r="C106" s="17">
        <v>2</v>
      </c>
      <c r="D106" s="17">
        <v>1</v>
      </c>
      <c r="E106" s="17">
        <v>195</v>
      </c>
      <c r="F106" s="18">
        <f t="shared" si="1"/>
        <v>16</v>
      </c>
    </row>
    <row r="107" spans="1:6" ht="16.5" customHeight="1" x14ac:dyDescent="0.3">
      <c r="A107" s="16" t="s">
        <v>138</v>
      </c>
      <c r="B107" s="16" t="s">
        <v>139</v>
      </c>
      <c r="C107" s="17">
        <v>18</v>
      </c>
      <c r="D107" s="17">
        <v>3</v>
      </c>
      <c r="E107" s="17">
        <v>1411</v>
      </c>
      <c r="F107" s="18">
        <f t="shared" si="1"/>
        <v>118</v>
      </c>
    </row>
    <row r="108" spans="1:6" ht="16.5" customHeight="1" x14ac:dyDescent="0.3">
      <c r="A108" s="16" t="s">
        <v>142</v>
      </c>
      <c r="B108" s="16" t="s">
        <v>143</v>
      </c>
      <c r="C108" s="17">
        <v>4</v>
      </c>
      <c r="D108" s="17">
        <v>0</v>
      </c>
      <c r="E108" s="17">
        <v>194</v>
      </c>
      <c r="F108" s="18">
        <f t="shared" si="1"/>
        <v>16</v>
      </c>
    </row>
    <row r="109" spans="1:6" ht="16.5" customHeight="1" x14ac:dyDescent="0.3">
      <c r="A109" s="16" t="s">
        <v>144</v>
      </c>
      <c r="B109" s="16" t="s">
        <v>145</v>
      </c>
      <c r="C109" s="17">
        <v>0</v>
      </c>
      <c r="D109" s="17">
        <v>0</v>
      </c>
      <c r="E109" s="17">
        <v>48</v>
      </c>
      <c r="F109" s="18">
        <f t="shared" si="1"/>
        <v>4</v>
      </c>
    </row>
    <row r="110" spans="1:6" ht="16.5" customHeight="1" x14ac:dyDescent="0.3">
      <c r="A110" s="16" t="s">
        <v>158</v>
      </c>
      <c r="B110" s="16" t="s">
        <v>159</v>
      </c>
      <c r="C110" s="17">
        <v>16</v>
      </c>
      <c r="D110" s="17">
        <v>6</v>
      </c>
      <c r="E110" s="17">
        <v>3092</v>
      </c>
      <c r="F110" s="18">
        <f t="shared" si="1"/>
        <v>258</v>
      </c>
    </row>
    <row r="111" spans="1:6" ht="16.5" customHeight="1" x14ac:dyDescent="0.3">
      <c r="A111" s="16" t="s">
        <v>160</v>
      </c>
      <c r="B111" s="16" t="s">
        <v>161</v>
      </c>
      <c r="C111" s="17">
        <v>11</v>
      </c>
      <c r="D111" s="17">
        <v>5</v>
      </c>
      <c r="E111" s="17">
        <v>2057</v>
      </c>
      <c r="F111" s="18">
        <f t="shared" si="1"/>
        <v>171</v>
      </c>
    </row>
    <row r="112" spans="1:6" ht="16.5" customHeight="1" x14ac:dyDescent="0.3">
      <c r="A112" s="16" t="s">
        <v>166</v>
      </c>
      <c r="B112" s="16" t="s">
        <v>167</v>
      </c>
      <c r="C112" s="17">
        <v>0</v>
      </c>
      <c r="D112" s="17">
        <v>0</v>
      </c>
      <c r="E112" s="17">
        <v>144</v>
      </c>
      <c r="F112" s="18">
        <f t="shared" si="1"/>
        <v>12</v>
      </c>
    </row>
    <row r="113" spans="1:6" ht="16.5" customHeight="1" x14ac:dyDescent="0.3">
      <c r="A113" s="16" t="s">
        <v>176</v>
      </c>
      <c r="B113" s="16" t="s">
        <v>177</v>
      </c>
      <c r="C113" s="17">
        <v>10</v>
      </c>
      <c r="D113" s="17">
        <v>4</v>
      </c>
      <c r="E113" s="17">
        <v>890</v>
      </c>
      <c r="F113" s="18">
        <f t="shared" si="1"/>
        <v>74</v>
      </c>
    </row>
    <row r="114" spans="1:6" ht="16.5" customHeight="1" x14ac:dyDescent="0.3">
      <c r="A114" s="16" t="s">
        <v>180</v>
      </c>
      <c r="B114" s="16" t="s">
        <v>181</v>
      </c>
      <c r="C114" s="17">
        <v>9</v>
      </c>
      <c r="D114" s="17">
        <v>11</v>
      </c>
      <c r="E114" s="17">
        <v>1142</v>
      </c>
      <c r="F114" s="18">
        <f t="shared" si="1"/>
        <v>95</v>
      </c>
    </row>
    <row r="115" spans="1:6" ht="16.5" customHeight="1" x14ac:dyDescent="0.3">
      <c r="A115" s="16" t="s">
        <v>192</v>
      </c>
      <c r="B115" s="16" t="s">
        <v>193</v>
      </c>
      <c r="C115" s="17">
        <v>4</v>
      </c>
      <c r="D115" s="17">
        <v>0</v>
      </c>
      <c r="E115" s="17">
        <v>228</v>
      </c>
      <c r="F115" s="18">
        <f t="shared" si="1"/>
        <v>19</v>
      </c>
    </row>
    <row r="116" spans="1:6" ht="16.5" customHeight="1" x14ac:dyDescent="0.3">
      <c r="A116" s="16" t="s">
        <v>196</v>
      </c>
      <c r="B116" s="16" t="s">
        <v>300</v>
      </c>
      <c r="C116" s="17">
        <v>34</v>
      </c>
      <c r="D116" s="17">
        <v>6</v>
      </c>
      <c r="E116" s="17">
        <v>5651</v>
      </c>
      <c r="F116" s="18">
        <f t="shared" si="1"/>
        <v>471</v>
      </c>
    </row>
    <row r="117" spans="1:6" ht="16.5" customHeight="1" x14ac:dyDescent="0.3">
      <c r="A117" s="16" t="s">
        <v>200</v>
      </c>
      <c r="B117" s="16" t="s">
        <v>301</v>
      </c>
      <c r="C117" s="17">
        <v>43</v>
      </c>
      <c r="D117" s="17">
        <v>4</v>
      </c>
      <c r="E117" s="17">
        <v>3253</v>
      </c>
      <c r="F117" s="18">
        <f t="shared" si="1"/>
        <v>271</v>
      </c>
    </row>
    <row r="118" spans="1:6" ht="16.5" customHeight="1" x14ac:dyDescent="0.3">
      <c r="A118" s="16" t="s">
        <v>222</v>
      </c>
      <c r="B118" s="16" t="s">
        <v>223</v>
      </c>
      <c r="C118" s="17">
        <v>4</v>
      </c>
      <c r="D118" s="17">
        <v>3</v>
      </c>
      <c r="E118" s="17">
        <v>368</v>
      </c>
      <c r="F118" s="18">
        <f t="shared" si="1"/>
        <v>31</v>
      </c>
    </row>
    <row r="119" spans="1:6" ht="16.5" customHeight="1" x14ac:dyDescent="0.3">
      <c r="A119" s="16" t="s">
        <v>230</v>
      </c>
      <c r="B119" s="16" t="s">
        <v>231</v>
      </c>
      <c r="C119" s="17">
        <v>15</v>
      </c>
      <c r="D119" s="17">
        <v>2</v>
      </c>
      <c r="E119" s="17">
        <v>2399</v>
      </c>
      <c r="F119" s="18">
        <f t="shared" si="1"/>
        <v>200</v>
      </c>
    </row>
    <row r="120" spans="1:6" ht="16.5" customHeight="1" x14ac:dyDescent="0.3">
      <c r="A120" s="16" t="s">
        <v>238</v>
      </c>
      <c r="B120" s="16" t="s">
        <v>239</v>
      </c>
      <c r="C120" s="17">
        <v>1</v>
      </c>
      <c r="D120" s="17">
        <v>0</v>
      </c>
      <c r="E120" s="17">
        <v>80</v>
      </c>
      <c r="F120" s="18">
        <f t="shared" si="1"/>
        <v>7</v>
      </c>
    </row>
    <row r="121" spans="1:6" ht="16.5" customHeight="1" x14ac:dyDescent="0.3">
      <c r="A121" s="16" t="s">
        <v>240</v>
      </c>
      <c r="B121" s="16" t="s">
        <v>241</v>
      </c>
      <c r="C121" s="17">
        <v>5</v>
      </c>
      <c r="D121" s="17">
        <v>3</v>
      </c>
      <c r="E121" s="17">
        <v>492</v>
      </c>
      <c r="F121" s="18">
        <f t="shared" si="1"/>
        <v>41</v>
      </c>
    </row>
    <row r="122" spans="1:6" x14ac:dyDescent="0.25">
      <c r="C122" s="18">
        <f>SUM(C2:C121)</f>
        <v>606</v>
      </c>
      <c r="D122" s="18">
        <f>SUM(D2:D121)</f>
        <v>180</v>
      </c>
      <c r="E122" s="18">
        <f>SUM(E2:E121)</f>
        <v>62001</v>
      </c>
      <c r="F122" s="18">
        <f>SUM(F2:F121)</f>
        <v>5166</v>
      </c>
    </row>
    <row r="123" spans="1:6" x14ac:dyDescent="0.25">
      <c r="C123" s="18">
        <f>+C122/12</f>
        <v>50.5</v>
      </c>
      <c r="D123" s="18">
        <f>+D122/12</f>
        <v>15</v>
      </c>
      <c r="E123" s="18">
        <f>+E122/12</f>
        <v>5166.75</v>
      </c>
    </row>
    <row r="124" spans="1:6" ht="12.75" customHeight="1" x14ac:dyDescent="0.25">
      <c r="A124" s="2777" t="s">
        <v>439</v>
      </c>
      <c r="B124" s="2777"/>
      <c r="C124" s="2778"/>
    </row>
    <row r="125" spans="1:6" x14ac:dyDescent="0.25">
      <c r="A125" s="18" t="s">
        <v>440</v>
      </c>
    </row>
  </sheetData>
  <mergeCells count="1">
    <mergeCell ref="A124:C124"/>
  </mergeCells>
  <pageMargins left="0.75" right="0.75" top="1" bottom="1" header="0.5" footer="0.5"/>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25"/>
  <sheetViews>
    <sheetView topLeftCell="B1" zoomScaleNormal="132" zoomScaleSheetLayoutView="132"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ColWidth="9" defaultRowHeight="15.6" x14ac:dyDescent="0.3"/>
  <cols>
    <col min="1" max="2" width="9" style="5"/>
    <col min="3" max="3" width="20.69921875" style="5" customWidth="1"/>
    <col min="4" max="4" width="13.09765625" style="5" customWidth="1"/>
    <col min="5" max="5" width="10.69921875" style="5" bestFit="1" customWidth="1"/>
    <col min="6" max="6" width="7.796875" style="5" bestFit="1" customWidth="1"/>
    <col min="7" max="7" width="6.796875" style="5" bestFit="1" customWidth="1"/>
    <col min="8" max="8" width="11.19921875" style="5" customWidth="1"/>
    <col min="9" max="9" width="7.09765625" style="5" bestFit="1" customWidth="1"/>
    <col min="10" max="10" width="12.59765625" style="5" bestFit="1" customWidth="1"/>
    <col min="11" max="11" width="6.69921875" style="5" customWidth="1"/>
    <col min="12" max="12" width="6.796875" style="5" bestFit="1" customWidth="1"/>
    <col min="13" max="13" width="19.19921875" style="5" bestFit="1" customWidth="1"/>
    <col min="14" max="14" width="6.796875" style="5" bestFit="1" customWidth="1"/>
    <col min="15" max="15" width="9" style="5" customWidth="1"/>
    <col min="16" max="16" width="8.59765625" style="5" customWidth="1"/>
    <col min="17" max="17" width="11.796875" style="5" bestFit="1" customWidth="1"/>
    <col min="18" max="18" width="18.09765625" style="5" customWidth="1"/>
    <col min="19" max="19" width="15.59765625" style="5" bestFit="1" customWidth="1"/>
    <col min="20" max="20" width="18.296875" style="5" customWidth="1"/>
    <col min="21" max="21" width="17.59765625" style="5" customWidth="1"/>
    <col min="22" max="22" width="17.5" style="5" customWidth="1"/>
    <col min="23" max="23" width="16.59765625" style="5" customWidth="1"/>
    <col min="24" max="24" width="10.796875" style="5" bestFit="1" customWidth="1"/>
    <col min="25" max="16384" width="9" style="5"/>
  </cols>
  <sheetData>
    <row r="1" spans="2:24" x14ac:dyDescent="0.3">
      <c r="B1" s="5">
        <v>1</v>
      </c>
      <c r="C1" s="5">
        <f>+B1+1</f>
        <v>2</v>
      </c>
      <c r="D1" s="5">
        <f t="shared" ref="D1:O1" si="0">+C1+1</f>
        <v>3</v>
      </c>
      <c r="E1" s="5">
        <f t="shared" si="0"/>
        <v>4</v>
      </c>
      <c r="F1" s="5">
        <f t="shared" si="0"/>
        <v>5</v>
      </c>
      <c r="G1" s="5">
        <f t="shared" si="0"/>
        <v>6</v>
      </c>
      <c r="H1" s="5">
        <f t="shared" si="0"/>
        <v>7</v>
      </c>
      <c r="I1" s="5">
        <f t="shared" si="0"/>
        <v>8</v>
      </c>
      <c r="J1" s="5">
        <f t="shared" si="0"/>
        <v>9</v>
      </c>
      <c r="K1" s="5">
        <f t="shared" si="0"/>
        <v>10</v>
      </c>
      <c r="L1" s="5">
        <f t="shared" si="0"/>
        <v>11</v>
      </c>
      <c r="M1" s="5">
        <f t="shared" si="0"/>
        <v>12</v>
      </c>
      <c r="N1" s="5">
        <f t="shared" si="0"/>
        <v>13</v>
      </c>
      <c r="O1" s="5">
        <f t="shared" si="0"/>
        <v>14</v>
      </c>
    </row>
    <row r="2" spans="2:24" x14ac:dyDescent="0.3">
      <c r="B2" s="5" t="s">
        <v>413</v>
      </c>
    </row>
    <row r="3" spans="2:24" x14ac:dyDescent="0.3">
      <c r="B3" s="5" t="s">
        <v>414</v>
      </c>
    </row>
    <row r="4" spans="2:24" s="6" customFormat="1" ht="58.5" customHeight="1" x14ac:dyDescent="0.3">
      <c r="B4" s="6" t="s">
        <v>4</v>
      </c>
      <c r="C4" s="7" t="s">
        <v>415</v>
      </c>
      <c r="D4" s="7" t="s">
        <v>416</v>
      </c>
      <c r="E4" s="7" t="s">
        <v>318</v>
      </c>
      <c r="F4" s="7" t="s">
        <v>417</v>
      </c>
      <c r="G4" s="7" t="s">
        <v>418</v>
      </c>
      <c r="H4" s="7" t="s">
        <v>419</v>
      </c>
      <c r="I4" s="7" t="s">
        <v>420</v>
      </c>
      <c r="J4" s="7" t="s">
        <v>421</v>
      </c>
      <c r="K4" s="7" t="s">
        <v>411</v>
      </c>
      <c r="L4" s="7" t="s">
        <v>314</v>
      </c>
      <c r="M4" s="7" t="s">
        <v>422</v>
      </c>
      <c r="N4" s="7" t="s">
        <v>2</v>
      </c>
      <c r="O4" s="7" t="s">
        <v>431</v>
      </c>
      <c r="P4" s="7" t="s">
        <v>316</v>
      </c>
      <c r="Q4" s="7" t="s">
        <v>423</v>
      </c>
      <c r="R4" s="7" t="s">
        <v>424</v>
      </c>
      <c r="S4" s="7" t="s">
        <v>425</v>
      </c>
      <c r="T4" s="7" t="s">
        <v>426</v>
      </c>
      <c r="U4" s="7" t="s">
        <v>427</v>
      </c>
      <c r="V4" s="7" t="s">
        <v>428</v>
      </c>
      <c r="W4" s="7" t="s">
        <v>429</v>
      </c>
      <c r="X4" s="7" t="s">
        <v>430</v>
      </c>
    </row>
    <row r="5" spans="2:24" x14ac:dyDescent="0.3">
      <c r="B5" s="5" t="s">
        <v>10</v>
      </c>
      <c r="C5" s="8" t="s">
        <v>11</v>
      </c>
      <c r="D5" s="8" t="s">
        <v>252</v>
      </c>
      <c r="E5" s="9">
        <v>337</v>
      </c>
      <c r="F5" s="9">
        <v>163</v>
      </c>
      <c r="G5" s="9">
        <v>172</v>
      </c>
      <c r="H5" s="9">
        <v>2</v>
      </c>
      <c r="I5" s="9">
        <v>48</v>
      </c>
      <c r="J5" s="9">
        <v>2</v>
      </c>
      <c r="K5" s="9">
        <v>0</v>
      </c>
      <c r="L5" s="9">
        <v>117</v>
      </c>
      <c r="M5" s="9">
        <v>0</v>
      </c>
      <c r="N5" s="9">
        <v>207</v>
      </c>
      <c r="O5" s="9">
        <f>+M5+K5+J5</f>
        <v>2</v>
      </c>
      <c r="P5" s="9"/>
      <c r="Q5" s="9">
        <v>13</v>
      </c>
      <c r="R5" s="9">
        <v>18</v>
      </c>
      <c r="S5" s="9">
        <v>37</v>
      </c>
      <c r="T5" s="9">
        <v>88</v>
      </c>
      <c r="U5" s="9">
        <v>73</v>
      </c>
      <c r="V5" s="9">
        <v>55</v>
      </c>
      <c r="W5" s="9">
        <v>29</v>
      </c>
      <c r="X5" s="9">
        <v>37</v>
      </c>
    </row>
    <row r="6" spans="2:24" x14ac:dyDescent="0.3">
      <c r="B6" s="5" t="s">
        <v>12</v>
      </c>
      <c r="C6" s="8" t="s">
        <v>13</v>
      </c>
      <c r="D6" s="8" t="s">
        <v>253</v>
      </c>
      <c r="E6" s="9">
        <v>740</v>
      </c>
      <c r="F6" s="9">
        <v>336</v>
      </c>
      <c r="G6" s="9">
        <v>360</v>
      </c>
      <c r="H6" s="9">
        <v>44</v>
      </c>
      <c r="I6" s="9">
        <v>72</v>
      </c>
      <c r="J6" s="9">
        <v>0</v>
      </c>
      <c r="K6" s="9">
        <v>3</v>
      </c>
      <c r="L6" s="9">
        <v>173</v>
      </c>
      <c r="M6" s="9">
        <v>3</v>
      </c>
      <c r="N6" s="9">
        <v>458</v>
      </c>
      <c r="O6" s="9">
        <f t="shared" ref="O6:O69" si="1">+M6+K6+J6</f>
        <v>6</v>
      </c>
      <c r="P6" s="9"/>
      <c r="Q6" s="9">
        <v>135</v>
      </c>
      <c r="R6" s="9">
        <v>26</v>
      </c>
      <c r="S6" s="9">
        <v>100</v>
      </c>
      <c r="T6" s="9">
        <v>128</v>
      </c>
      <c r="U6" s="9">
        <v>104</v>
      </c>
      <c r="V6" s="9">
        <v>113</v>
      </c>
      <c r="W6" s="9">
        <v>57</v>
      </c>
      <c r="X6" s="9">
        <v>212</v>
      </c>
    </row>
    <row r="7" spans="2:24" x14ac:dyDescent="0.3">
      <c r="B7" s="5" t="s">
        <v>14</v>
      </c>
      <c r="C7" s="8" t="s">
        <v>15</v>
      </c>
      <c r="D7" s="8" t="s">
        <v>255</v>
      </c>
      <c r="E7" s="9">
        <v>1541</v>
      </c>
      <c r="F7" s="9">
        <v>803</v>
      </c>
      <c r="G7" s="9">
        <v>721</v>
      </c>
      <c r="H7" s="9">
        <v>17</v>
      </c>
      <c r="I7" s="9">
        <v>480</v>
      </c>
      <c r="J7" s="9">
        <v>4</v>
      </c>
      <c r="K7" s="9">
        <v>30</v>
      </c>
      <c r="L7" s="9">
        <v>836</v>
      </c>
      <c r="M7" s="9">
        <v>3</v>
      </c>
      <c r="N7" s="9">
        <v>642</v>
      </c>
      <c r="O7" s="9">
        <f t="shared" si="1"/>
        <v>37</v>
      </c>
      <c r="P7" s="9"/>
      <c r="Q7" s="9">
        <v>85</v>
      </c>
      <c r="R7" s="9">
        <v>139</v>
      </c>
      <c r="S7" s="9">
        <v>273</v>
      </c>
      <c r="T7" s="9">
        <v>382</v>
      </c>
      <c r="U7" s="9">
        <v>277</v>
      </c>
      <c r="V7" s="9">
        <v>203</v>
      </c>
      <c r="W7" s="9">
        <v>89</v>
      </c>
      <c r="X7" s="9">
        <v>178</v>
      </c>
    </row>
    <row r="8" spans="2:24" x14ac:dyDescent="0.3">
      <c r="B8" s="5" t="s">
        <v>16</v>
      </c>
      <c r="C8" s="1" t="s">
        <v>285</v>
      </c>
      <c r="D8" s="8" t="s">
        <v>253</v>
      </c>
      <c r="E8" s="10">
        <v>523</v>
      </c>
      <c r="F8" s="10">
        <v>251</v>
      </c>
      <c r="G8" s="10">
        <v>269</v>
      </c>
      <c r="H8" s="10">
        <v>3</v>
      </c>
      <c r="I8" s="10">
        <v>5</v>
      </c>
      <c r="J8" s="10">
        <v>0</v>
      </c>
      <c r="K8" s="10">
        <v>0</v>
      </c>
      <c r="L8" s="10">
        <v>65</v>
      </c>
      <c r="M8" s="10">
        <v>1</v>
      </c>
      <c r="N8" s="10">
        <v>468</v>
      </c>
      <c r="O8" s="9">
        <f t="shared" si="1"/>
        <v>1</v>
      </c>
      <c r="P8" s="10">
        <v>0</v>
      </c>
      <c r="Q8" s="10">
        <v>21</v>
      </c>
      <c r="R8" s="10">
        <v>24</v>
      </c>
      <c r="S8" s="10">
        <v>57</v>
      </c>
      <c r="T8" s="10">
        <v>84</v>
      </c>
      <c r="U8" s="10">
        <v>65</v>
      </c>
      <c r="V8" s="10">
        <v>71</v>
      </c>
      <c r="W8" s="10">
        <v>35</v>
      </c>
      <c r="X8" s="10">
        <v>187</v>
      </c>
    </row>
    <row r="9" spans="2:24" x14ac:dyDescent="0.3">
      <c r="B9" s="5" t="s">
        <v>18</v>
      </c>
      <c r="C9" s="8" t="s">
        <v>19</v>
      </c>
      <c r="D9" s="8" t="s">
        <v>254</v>
      </c>
      <c r="E9" s="9">
        <v>158</v>
      </c>
      <c r="F9" s="9">
        <v>79</v>
      </c>
      <c r="G9" s="9">
        <v>78</v>
      </c>
      <c r="H9" s="9">
        <v>1</v>
      </c>
      <c r="I9" s="9">
        <v>2</v>
      </c>
      <c r="J9" s="9">
        <v>0</v>
      </c>
      <c r="K9" s="9">
        <v>0</v>
      </c>
      <c r="L9" s="9">
        <v>40</v>
      </c>
      <c r="M9" s="9">
        <v>0</v>
      </c>
      <c r="N9" s="9">
        <v>114</v>
      </c>
      <c r="O9" s="9">
        <f t="shared" si="1"/>
        <v>0</v>
      </c>
      <c r="P9" s="9"/>
      <c r="Q9" s="9">
        <v>5</v>
      </c>
      <c r="R9" s="9">
        <v>10</v>
      </c>
      <c r="S9" s="9">
        <v>25</v>
      </c>
      <c r="T9" s="9">
        <v>28</v>
      </c>
      <c r="U9" s="9">
        <v>32</v>
      </c>
      <c r="V9" s="9">
        <v>24</v>
      </c>
      <c r="W9" s="9">
        <v>10</v>
      </c>
      <c r="X9" s="9">
        <v>29</v>
      </c>
    </row>
    <row r="10" spans="2:24" x14ac:dyDescent="0.3">
      <c r="B10" s="5" t="s">
        <v>20</v>
      </c>
      <c r="C10" s="8" t="s">
        <v>21</v>
      </c>
      <c r="D10" s="8" t="s">
        <v>253</v>
      </c>
      <c r="E10" s="9">
        <v>205</v>
      </c>
      <c r="F10" s="9">
        <v>95</v>
      </c>
      <c r="G10" s="9">
        <v>109</v>
      </c>
      <c r="H10" s="9">
        <v>1</v>
      </c>
      <c r="I10" s="9">
        <v>4</v>
      </c>
      <c r="J10" s="9">
        <v>3</v>
      </c>
      <c r="K10" s="9">
        <v>1</v>
      </c>
      <c r="L10" s="9">
        <v>54</v>
      </c>
      <c r="M10" s="9">
        <v>0</v>
      </c>
      <c r="N10" s="9">
        <v>161</v>
      </c>
      <c r="O10" s="9">
        <f t="shared" si="1"/>
        <v>4</v>
      </c>
      <c r="P10" s="9"/>
      <c r="Q10" s="9">
        <v>3</v>
      </c>
      <c r="R10" s="9">
        <v>13</v>
      </c>
      <c r="S10" s="9">
        <v>51</v>
      </c>
      <c r="T10" s="9">
        <v>44</v>
      </c>
      <c r="U10" s="9">
        <v>29</v>
      </c>
      <c r="V10" s="9">
        <v>32</v>
      </c>
      <c r="W10" s="9">
        <v>7</v>
      </c>
      <c r="X10" s="9">
        <v>29</v>
      </c>
    </row>
    <row r="11" spans="2:24" x14ac:dyDescent="0.3">
      <c r="B11" s="5" t="s">
        <v>22</v>
      </c>
      <c r="C11" s="8" t="s">
        <v>23</v>
      </c>
      <c r="D11" s="8" t="s">
        <v>253</v>
      </c>
      <c r="E11" s="9">
        <v>254</v>
      </c>
      <c r="F11" s="9">
        <v>119</v>
      </c>
      <c r="G11" s="9">
        <v>128</v>
      </c>
      <c r="H11" s="9">
        <v>7</v>
      </c>
      <c r="I11" s="9">
        <v>2</v>
      </c>
      <c r="J11" s="9">
        <v>0</v>
      </c>
      <c r="K11" s="9">
        <v>0</v>
      </c>
      <c r="L11" s="9">
        <v>91</v>
      </c>
      <c r="M11" s="9">
        <v>0</v>
      </c>
      <c r="N11" s="9">
        <v>171</v>
      </c>
      <c r="O11" s="9">
        <f t="shared" si="1"/>
        <v>0</v>
      </c>
      <c r="P11" s="9"/>
      <c r="Q11" s="9">
        <v>21</v>
      </c>
      <c r="R11" s="9">
        <v>18</v>
      </c>
      <c r="S11" s="9">
        <v>43</v>
      </c>
      <c r="T11" s="9">
        <v>31</v>
      </c>
      <c r="U11" s="9">
        <v>49</v>
      </c>
      <c r="V11" s="9">
        <v>43</v>
      </c>
      <c r="W11" s="9">
        <v>26</v>
      </c>
      <c r="X11" s="9">
        <v>44</v>
      </c>
    </row>
    <row r="12" spans="2:24" x14ac:dyDescent="0.3">
      <c r="B12" s="5" t="s">
        <v>24</v>
      </c>
      <c r="C12" s="8" t="s">
        <v>25</v>
      </c>
      <c r="D12" s="8" t="s">
        <v>255</v>
      </c>
      <c r="E12" s="9">
        <v>1234</v>
      </c>
      <c r="F12" s="9">
        <v>588</v>
      </c>
      <c r="G12" s="9">
        <v>628</v>
      </c>
      <c r="H12" s="9">
        <v>18</v>
      </c>
      <c r="I12" s="9">
        <v>577</v>
      </c>
      <c r="J12" s="9">
        <v>1</v>
      </c>
      <c r="K12" s="9">
        <v>78</v>
      </c>
      <c r="L12" s="9">
        <v>332</v>
      </c>
      <c r="M12" s="9">
        <v>0</v>
      </c>
      <c r="N12" s="9">
        <v>781</v>
      </c>
      <c r="O12" s="9">
        <f t="shared" si="1"/>
        <v>79</v>
      </c>
      <c r="P12" s="9"/>
      <c r="Q12" s="9">
        <v>72</v>
      </c>
      <c r="R12" s="9">
        <v>79</v>
      </c>
      <c r="S12" s="9">
        <v>183</v>
      </c>
      <c r="T12" s="9">
        <v>277</v>
      </c>
      <c r="U12" s="9">
        <v>234</v>
      </c>
      <c r="V12" s="9">
        <v>198</v>
      </c>
      <c r="W12" s="9">
        <v>76</v>
      </c>
      <c r="X12" s="9">
        <v>187</v>
      </c>
    </row>
    <row r="13" spans="2:24" ht="31.2" x14ac:dyDescent="0.3">
      <c r="B13" s="5" t="s">
        <v>26</v>
      </c>
      <c r="C13" s="1" t="s">
        <v>286</v>
      </c>
      <c r="D13" s="8" t="s">
        <v>253</v>
      </c>
      <c r="E13" s="10">
        <v>3155</v>
      </c>
      <c r="F13" s="10">
        <v>1547</v>
      </c>
      <c r="G13" s="10">
        <v>1513</v>
      </c>
      <c r="H13" s="10">
        <v>95</v>
      </c>
      <c r="I13" s="10">
        <v>133</v>
      </c>
      <c r="J13" s="10">
        <v>8</v>
      </c>
      <c r="K13" s="10">
        <v>9</v>
      </c>
      <c r="L13" s="10">
        <v>419</v>
      </c>
      <c r="M13" s="10">
        <v>6</v>
      </c>
      <c r="N13" s="10">
        <v>2691</v>
      </c>
      <c r="O13" s="9">
        <f t="shared" si="1"/>
        <v>23</v>
      </c>
      <c r="P13" s="10">
        <v>0</v>
      </c>
      <c r="Q13" s="10">
        <v>190</v>
      </c>
      <c r="R13" s="10">
        <v>135</v>
      </c>
      <c r="S13" s="10">
        <v>336</v>
      </c>
      <c r="T13" s="10">
        <v>532</v>
      </c>
      <c r="U13" s="10">
        <v>485</v>
      </c>
      <c r="V13" s="10">
        <v>368</v>
      </c>
      <c r="W13" s="10">
        <v>144</v>
      </c>
      <c r="X13" s="10">
        <v>1155</v>
      </c>
    </row>
    <row r="14" spans="2:24" x14ac:dyDescent="0.3">
      <c r="B14" s="5" t="s">
        <v>27</v>
      </c>
      <c r="C14" s="8" t="s">
        <v>28</v>
      </c>
      <c r="D14" s="8" t="s">
        <v>253</v>
      </c>
      <c r="E14" s="9">
        <v>23</v>
      </c>
      <c r="F14" s="9">
        <v>12</v>
      </c>
      <c r="G14" s="9">
        <v>11</v>
      </c>
      <c r="H14" s="9">
        <v>0</v>
      </c>
      <c r="I14" s="9">
        <v>0</v>
      </c>
      <c r="J14" s="9">
        <v>0</v>
      </c>
      <c r="K14" s="9">
        <v>0</v>
      </c>
      <c r="L14" s="9">
        <v>2</v>
      </c>
      <c r="M14" s="9">
        <v>0</v>
      </c>
      <c r="N14" s="9">
        <v>23</v>
      </c>
      <c r="O14" s="9">
        <f t="shared" si="1"/>
        <v>0</v>
      </c>
      <c r="P14" s="9"/>
      <c r="Q14" s="9">
        <v>0</v>
      </c>
      <c r="R14" s="9">
        <v>1</v>
      </c>
      <c r="S14" s="9">
        <v>5</v>
      </c>
      <c r="T14" s="9">
        <v>6</v>
      </c>
      <c r="U14" s="9">
        <v>4</v>
      </c>
      <c r="V14" s="9">
        <v>3</v>
      </c>
      <c r="W14" s="9">
        <v>1</v>
      </c>
      <c r="X14" s="9">
        <v>3</v>
      </c>
    </row>
    <row r="15" spans="2:24" x14ac:dyDescent="0.3">
      <c r="B15" s="5" t="s">
        <v>29</v>
      </c>
      <c r="C15" s="1" t="s">
        <v>287</v>
      </c>
      <c r="D15" s="8" t="s">
        <v>253</v>
      </c>
      <c r="E15" s="10">
        <v>1072</v>
      </c>
      <c r="F15" s="10">
        <v>517</v>
      </c>
      <c r="G15" s="10">
        <v>552</v>
      </c>
      <c r="H15" s="10">
        <v>3</v>
      </c>
      <c r="I15" s="10">
        <v>13</v>
      </c>
      <c r="J15" s="10">
        <v>0</v>
      </c>
      <c r="K15" s="10">
        <v>6</v>
      </c>
      <c r="L15" s="10">
        <v>105</v>
      </c>
      <c r="M15" s="10">
        <v>1</v>
      </c>
      <c r="N15" s="10">
        <v>987</v>
      </c>
      <c r="O15" s="9">
        <f t="shared" si="1"/>
        <v>7</v>
      </c>
      <c r="P15" s="10">
        <v>0</v>
      </c>
      <c r="Q15" s="10">
        <v>17</v>
      </c>
      <c r="R15" s="10">
        <v>86</v>
      </c>
      <c r="S15" s="10">
        <v>196</v>
      </c>
      <c r="T15" s="10">
        <v>231</v>
      </c>
      <c r="U15" s="10">
        <v>174</v>
      </c>
      <c r="V15" s="10">
        <v>202</v>
      </c>
      <c r="W15" s="10">
        <v>97</v>
      </c>
      <c r="X15" s="10">
        <v>86</v>
      </c>
    </row>
    <row r="16" spans="2:24" x14ac:dyDescent="0.3">
      <c r="B16" s="5" t="s">
        <v>30</v>
      </c>
      <c r="C16" s="8" t="s">
        <v>31</v>
      </c>
      <c r="D16" s="8" t="s">
        <v>256</v>
      </c>
      <c r="E16" s="9">
        <v>103</v>
      </c>
      <c r="F16" s="9">
        <v>52</v>
      </c>
      <c r="G16" s="9">
        <v>51</v>
      </c>
      <c r="H16" s="9">
        <v>0</v>
      </c>
      <c r="I16" s="9">
        <v>0</v>
      </c>
      <c r="J16" s="9">
        <v>0</v>
      </c>
      <c r="K16" s="9">
        <v>0</v>
      </c>
      <c r="L16" s="9">
        <v>17</v>
      </c>
      <c r="M16" s="9">
        <v>1</v>
      </c>
      <c r="N16" s="9">
        <v>91</v>
      </c>
      <c r="O16" s="9">
        <f t="shared" si="1"/>
        <v>1</v>
      </c>
      <c r="P16" s="9"/>
      <c r="Q16" s="9">
        <v>2</v>
      </c>
      <c r="R16" s="9">
        <v>6</v>
      </c>
      <c r="S16" s="9">
        <v>13</v>
      </c>
      <c r="T16" s="9">
        <v>31</v>
      </c>
      <c r="U16" s="9">
        <v>19</v>
      </c>
      <c r="V16" s="9">
        <v>27</v>
      </c>
      <c r="W16" s="9">
        <v>2</v>
      </c>
      <c r="X16" s="9">
        <v>5</v>
      </c>
    </row>
    <row r="17" spans="2:24" x14ac:dyDescent="0.3">
      <c r="B17" s="5" t="s">
        <v>32</v>
      </c>
      <c r="C17" s="8" t="s">
        <v>33</v>
      </c>
      <c r="D17" s="8" t="s">
        <v>253</v>
      </c>
      <c r="E17" s="9">
        <v>91</v>
      </c>
      <c r="F17" s="9">
        <v>47</v>
      </c>
      <c r="G17" s="9">
        <v>44</v>
      </c>
      <c r="H17" s="9">
        <v>0</v>
      </c>
      <c r="I17" s="9">
        <v>3</v>
      </c>
      <c r="J17" s="9">
        <v>0</v>
      </c>
      <c r="K17" s="9">
        <v>0</v>
      </c>
      <c r="L17" s="9">
        <v>5</v>
      </c>
      <c r="M17" s="9">
        <v>0</v>
      </c>
      <c r="N17" s="9">
        <v>86</v>
      </c>
      <c r="O17" s="9">
        <f t="shared" si="1"/>
        <v>0</v>
      </c>
      <c r="P17" s="9"/>
      <c r="Q17" s="9">
        <v>2</v>
      </c>
      <c r="R17" s="9">
        <v>8</v>
      </c>
      <c r="S17" s="9">
        <v>15</v>
      </c>
      <c r="T17" s="9">
        <v>15</v>
      </c>
      <c r="U17" s="9">
        <v>22</v>
      </c>
      <c r="V17" s="9">
        <v>14</v>
      </c>
      <c r="W17" s="9">
        <v>4</v>
      </c>
      <c r="X17" s="9">
        <v>13</v>
      </c>
    </row>
    <row r="18" spans="2:24" x14ac:dyDescent="0.3">
      <c r="B18" s="5" t="s">
        <v>34</v>
      </c>
      <c r="C18" s="8" t="s">
        <v>35</v>
      </c>
      <c r="D18" s="8" t="s">
        <v>256</v>
      </c>
      <c r="E18" s="9">
        <v>488</v>
      </c>
      <c r="F18" s="9">
        <v>239</v>
      </c>
      <c r="G18" s="9">
        <v>236</v>
      </c>
      <c r="H18" s="9">
        <v>13</v>
      </c>
      <c r="I18" s="9">
        <v>7</v>
      </c>
      <c r="J18" s="9">
        <v>0</v>
      </c>
      <c r="K18" s="9">
        <v>0</v>
      </c>
      <c r="L18" s="9">
        <v>31</v>
      </c>
      <c r="M18" s="9">
        <v>0</v>
      </c>
      <c r="N18" s="9">
        <v>367</v>
      </c>
      <c r="O18" s="9">
        <f t="shared" si="1"/>
        <v>0</v>
      </c>
      <c r="P18" s="9"/>
      <c r="Q18" s="9">
        <v>104</v>
      </c>
      <c r="R18" s="9">
        <v>46</v>
      </c>
      <c r="S18" s="9">
        <v>104</v>
      </c>
      <c r="T18" s="9">
        <v>109</v>
      </c>
      <c r="U18" s="9">
        <v>77</v>
      </c>
      <c r="V18" s="9">
        <v>53</v>
      </c>
      <c r="W18" s="9">
        <v>15</v>
      </c>
      <c r="X18" s="9">
        <v>84</v>
      </c>
    </row>
    <row r="19" spans="2:24" x14ac:dyDescent="0.3">
      <c r="B19" s="5" t="s">
        <v>36</v>
      </c>
      <c r="C19" s="8" t="s">
        <v>37</v>
      </c>
      <c r="D19" s="8" t="s">
        <v>252</v>
      </c>
      <c r="E19" s="9">
        <v>58</v>
      </c>
      <c r="F19" s="9">
        <v>25</v>
      </c>
      <c r="G19" s="9">
        <v>32</v>
      </c>
      <c r="H19" s="9">
        <v>1</v>
      </c>
      <c r="I19" s="9">
        <v>0</v>
      </c>
      <c r="J19" s="9">
        <v>0</v>
      </c>
      <c r="K19" s="9">
        <v>0</v>
      </c>
      <c r="L19" s="9">
        <v>30</v>
      </c>
      <c r="M19" s="9">
        <v>1</v>
      </c>
      <c r="N19" s="9">
        <v>28</v>
      </c>
      <c r="O19" s="9">
        <f t="shared" si="1"/>
        <v>1</v>
      </c>
      <c r="P19" s="9"/>
      <c r="Q19" s="9">
        <v>2</v>
      </c>
      <c r="R19" s="9">
        <v>6</v>
      </c>
      <c r="S19" s="9">
        <v>6</v>
      </c>
      <c r="T19" s="9">
        <v>14</v>
      </c>
      <c r="U19" s="9">
        <v>8</v>
      </c>
      <c r="V19" s="9">
        <v>10</v>
      </c>
      <c r="W19" s="9">
        <v>4</v>
      </c>
      <c r="X19" s="9">
        <v>10</v>
      </c>
    </row>
    <row r="20" spans="2:24" x14ac:dyDescent="0.3">
      <c r="B20" s="5" t="s">
        <v>38</v>
      </c>
      <c r="C20" s="8" t="s">
        <v>39</v>
      </c>
      <c r="D20" s="8" t="s">
        <v>256</v>
      </c>
      <c r="E20" s="9">
        <v>406</v>
      </c>
      <c r="F20" s="9">
        <v>187</v>
      </c>
      <c r="G20" s="9">
        <v>218</v>
      </c>
      <c r="H20" s="9">
        <v>1</v>
      </c>
      <c r="I20" s="9">
        <v>2</v>
      </c>
      <c r="J20" s="9">
        <v>0</v>
      </c>
      <c r="K20" s="9">
        <v>0</v>
      </c>
      <c r="L20" s="9">
        <v>2</v>
      </c>
      <c r="M20" s="9">
        <v>0</v>
      </c>
      <c r="N20" s="9">
        <v>403</v>
      </c>
      <c r="O20" s="9">
        <f t="shared" si="1"/>
        <v>0</v>
      </c>
      <c r="P20" s="9"/>
      <c r="Q20" s="9">
        <v>1</v>
      </c>
      <c r="R20" s="9">
        <v>43</v>
      </c>
      <c r="S20" s="9">
        <v>73</v>
      </c>
      <c r="T20" s="9">
        <v>111</v>
      </c>
      <c r="U20" s="9">
        <v>93</v>
      </c>
      <c r="V20" s="9">
        <v>44</v>
      </c>
      <c r="W20" s="9">
        <v>23</v>
      </c>
      <c r="X20" s="9">
        <v>19</v>
      </c>
    </row>
    <row r="21" spans="2:24" x14ac:dyDescent="0.3">
      <c r="B21" s="5" t="s">
        <v>40</v>
      </c>
      <c r="C21" s="8" t="s">
        <v>41</v>
      </c>
      <c r="D21" s="8" t="s">
        <v>254</v>
      </c>
      <c r="E21" s="9">
        <v>194</v>
      </c>
      <c r="F21" s="9">
        <v>82</v>
      </c>
      <c r="G21" s="9">
        <v>110</v>
      </c>
      <c r="H21" s="9">
        <v>2</v>
      </c>
      <c r="I21" s="9">
        <v>11</v>
      </c>
      <c r="J21" s="9">
        <v>0</v>
      </c>
      <c r="K21" s="9">
        <v>1</v>
      </c>
      <c r="L21" s="9">
        <v>56</v>
      </c>
      <c r="M21" s="9">
        <v>1</v>
      </c>
      <c r="N21" s="9">
        <v>139</v>
      </c>
      <c r="O21" s="9">
        <f t="shared" si="1"/>
        <v>2</v>
      </c>
      <c r="P21" s="9"/>
      <c r="Q21" s="9">
        <v>5</v>
      </c>
      <c r="R21" s="9">
        <v>8</v>
      </c>
      <c r="S21" s="9">
        <v>29</v>
      </c>
      <c r="T21" s="9">
        <v>40</v>
      </c>
      <c r="U21" s="9">
        <v>39</v>
      </c>
      <c r="V21" s="9">
        <v>40</v>
      </c>
      <c r="W21" s="9">
        <v>17</v>
      </c>
      <c r="X21" s="9">
        <v>21</v>
      </c>
    </row>
    <row r="22" spans="2:24" x14ac:dyDescent="0.3">
      <c r="B22" s="5" t="s">
        <v>42</v>
      </c>
      <c r="C22" s="8" t="s">
        <v>43</v>
      </c>
      <c r="D22" s="8" t="s">
        <v>253</v>
      </c>
      <c r="E22" s="9">
        <v>1302</v>
      </c>
      <c r="F22" s="9">
        <v>625</v>
      </c>
      <c r="G22" s="9">
        <v>645</v>
      </c>
      <c r="H22" s="9">
        <v>32</v>
      </c>
      <c r="I22" s="9">
        <v>31</v>
      </c>
      <c r="J22" s="9">
        <v>1</v>
      </c>
      <c r="K22" s="9">
        <v>1</v>
      </c>
      <c r="L22" s="9">
        <v>279</v>
      </c>
      <c r="M22" s="9">
        <v>2</v>
      </c>
      <c r="N22" s="9">
        <v>1065</v>
      </c>
      <c r="O22" s="9">
        <f t="shared" si="1"/>
        <v>4</v>
      </c>
      <c r="P22" s="9"/>
      <c r="Q22" s="9">
        <v>44</v>
      </c>
      <c r="R22" s="9">
        <v>65</v>
      </c>
      <c r="S22" s="9">
        <v>190</v>
      </c>
      <c r="T22" s="9">
        <v>276</v>
      </c>
      <c r="U22" s="9">
        <v>247</v>
      </c>
      <c r="V22" s="9">
        <v>213</v>
      </c>
      <c r="W22" s="9">
        <v>97</v>
      </c>
      <c r="X22" s="9">
        <v>214</v>
      </c>
    </row>
    <row r="23" spans="2:24" x14ac:dyDescent="0.3">
      <c r="B23" s="5" t="s">
        <v>44</v>
      </c>
      <c r="C23" s="8" t="s">
        <v>45</v>
      </c>
      <c r="D23" s="8" t="s">
        <v>254</v>
      </c>
      <c r="E23" s="9">
        <v>342</v>
      </c>
      <c r="F23" s="9">
        <v>157</v>
      </c>
      <c r="G23" s="9">
        <v>170</v>
      </c>
      <c r="H23" s="9">
        <v>15</v>
      </c>
      <c r="I23" s="9">
        <v>10</v>
      </c>
      <c r="J23" s="9">
        <v>0</v>
      </c>
      <c r="K23" s="9">
        <v>1</v>
      </c>
      <c r="L23" s="9">
        <v>86</v>
      </c>
      <c r="M23" s="9">
        <v>0</v>
      </c>
      <c r="N23" s="9">
        <v>237</v>
      </c>
      <c r="O23" s="9">
        <f t="shared" si="1"/>
        <v>1</v>
      </c>
      <c r="P23" s="9"/>
      <c r="Q23" s="9">
        <v>27</v>
      </c>
      <c r="R23" s="9">
        <v>16</v>
      </c>
      <c r="S23" s="9">
        <v>35</v>
      </c>
      <c r="T23" s="9">
        <v>53</v>
      </c>
      <c r="U23" s="9">
        <v>57</v>
      </c>
      <c r="V23" s="9">
        <v>53</v>
      </c>
      <c r="W23" s="9">
        <v>17</v>
      </c>
      <c r="X23" s="9">
        <v>111</v>
      </c>
    </row>
    <row r="24" spans="2:24" x14ac:dyDescent="0.3">
      <c r="B24" s="5" t="s">
        <v>46</v>
      </c>
      <c r="C24" s="8" t="s">
        <v>47</v>
      </c>
      <c r="D24" s="8" t="s">
        <v>256</v>
      </c>
      <c r="E24" s="9">
        <v>423</v>
      </c>
      <c r="F24" s="9">
        <v>205</v>
      </c>
      <c r="G24" s="9">
        <v>215</v>
      </c>
      <c r="H24" s="9">
        <v>3</v>
      </c>
      <c r="I24" s="9">
        <v>30</v>
      </c>
      <c r="J24" s="9">
        <v>1</v>
      </c>
      <c r="K24" s="9">
        <v>0</v>
      </c>
      <c r="L24" s="9">
        <v>3</v>
      </c>
      <c r="M24" s="9">
        <v>0</v>
      </c>
      <c r="N24" s="9">
        <v>414</v>
      </c>
      <c r="O24" s="9">
        <f t="shared" si="1"/>
        <v>1</v>
      </c>
      <c r="P24" s="9"/>
      <c r="Q24" s="9">
        <v>6</v>
      </c>
      <c r="R24" s="9">
        <v>25</v>
      </c>
      <c r="S24" s="9">
        <v>80</v>
      </c>
      <c r="T24" s="9">
        <v>83</v>
      </c>
      <c r="U24" s="9">
        <v>88</v>
      </c>
      <c r="V24" s="9">
        <v>72</v>
      </c>
      <c r="W24" s="9">
        <v>46</v>
      </c>
      <c r="X24" s="9">
        <v>29</v>
      </c>
    </row>
    <row r="25" spans="2:24" x14ac:dyDescent="0.3">
      <c r="B25" s="5" t="s">
        <v>48</v>
      </c>
      <c r="C25" s="8" t="s">
        <v>257</v>
      </c>
      <c r="D25" s="8" t="s">
        <v>254</v>
      </c>
      <c r="E25" s="9">
        <v>43</v>
      </c>
      <c r="F25" s="9">
        <v>21</v>
      </c>
      <c r="G25" s="9">
        <v>19</v>
      </c>
      <c r="H25" s="9">
        <v>3</v>
      </c>
      <c r="I25" s="9">
        <v>0</v>
      </c>
      <c r="J25" s="9">
        <v>6</v>
      </c>
      <c r="K25" s="9">
        <v>0</v>
      </c>
      <c r="L25" s="9">
        <v>9</v>
      </c>
      <c r="M25" s="9">
        <v>0</v>
      </c>
      <c r="N25" s="9">
        <v>24</v>
      </c>
      <c r="O25" s="9">
        <f t="shared" si="1"/>
        <v>6</v>
      </c>
      <c r="P25" s="9"/>
      <c r="Q25" s="9">
        <v>6</v>
      </c>
      <c r="R25" s="9">
        <v>1</v>
      </c>
      <c r="S25" s="9">
        <v>2</v>
      </c>
      <c r="T25" s="9">
        <v>9</v>
      </c>
      <c r="U25" s="9">
        <v>8</v>
      </c>
      <c r="V25" s="9">
        <v>7</v>
      </c>
      <c r="W25" s="9">
        <v>6</v>
      </c>
      <c r="X25" s="9">
        <v>10</v>
      </c>
    </row>
    <row r="26" spans="2:24" x14ac:dyDescent="0.3">
      <c r="B26" s="5" t="s">
        <v>50</v>
      </c>
      <c r="C26" s="8" t="s">
        <v>51</v>
      </c>
      <c r="D26" s="8" t="s">
        <v>253</v>
      </c>
      <c r="E26" s="9">
        <v>139</v>
      </c>
      <c r="F26" s="9">
        <v>63</v>
      </c>
      <c r="G26" s="9">
        <v>76</v>
      </c>
      <c r="H26" s="9">
        <v>0</v>
      </c>
      <c r="I26" s="9">
        <v>0</v>
      </c>
      <c r="J26" s="9">
        <v>0</v>
      </c>
      <c r="K26" s="9">
        <v>0</v>
      </c>
      <c r="L26" s="9">
        <v>48</v>
      </c>
      <c r="M26" s="9">
        <v>0</v>
      </c>
      <c r="N26" s="9">
        <v>101</v>
      </c>
      <c r="O26" s="9">
        <f t="shared" si="1"/>
        <v>0</v>
      </c>
      <c r="P26" s="9"/>
      <c r="Q26" s="9">
        <v>2</v>
      </c>
      <c r="R26" s="9">
        <v>9</v>
      </c>
      <c r="S26" s="9">
        <v>21</v>
      </c>
      <c r="T26" s="9">
        <v>35</v>
      </c>
      <c r="U26" s="9">
        <v>26</v>
      </c>
      <c r="V26" s="9">
        <v>26</v>
      </c>
      <c r="W26" s="9">
        <v>4</v>
      </c>
      <c r="X26" s="9">
        <v>18</v>
      </c>
    </row>
    <row r="27" spans="2:24" x14ac:dyDescent="0.3">
      <c r="B27" s="5" t="s">
        <v>52</v>
      </c>
      <c r="C27" s="8" t="s">
        <v>53</v>
      </c>
      <c r="D27" s="8" t="s">
        <v>253</v>
      </c>
      <c r="E27" s="9">
        <v>987</v>
      </c>
      <c r="F27" s="9">
        <v>475</v>
      </c>
      <c r="G27" s="9">
        <v>477</v>
      </c>
      <c r="H27" s="9">
        <v>35</v>
      </c>
      <c r="I27" s="9">
        <v>66</v>
      </c>
      <c r="J27" s="9">
        <v>1</v>
      </c>
      <c r="K27" s="9">
        <v>20</v>
      </c>
      <c r="L27" s="9">
        <v>609</v>
      </c>
      <c r="M27" s="9">
        <v>0</v>
      </c>
      <c r="N27" s="9">
        <v>386</v>
      </c>
      <c r="O27" s="9">
        <f t="shared" si="1"/>
        <v>21</v>
      </c>
      <c r="P27" s="9"/>
      <c r="Q27" s="9">
        <v>57</v>
      </c>
      <c r="R27" s="9">
        <v>47</v>
      </c>
      <c r="S27" s="9">
        <v>164</v>
      </c>
      <c r="T27" s="9">
        <v>187</v>
      </c>
      <c r="U27" s="9">
        <v>127</v>
      </c>
      <c r="V27" s="9">
        <v>121</v>
      </c>
      <c r="W27" s="9">
        <v>56</v>
      </c>
      <c r="X27" s="9">
        <v>285</v>
      </c>
    </row>
    <row r="28" spans="2:24" x14ac:dyDescent="0.3">
      <c r="B28" s="5" t="s">
        <v>54</v>
      </c>
      <c r="C28" s="8" t="s">
        <v>55</v>
      </c>
      <c r="D28" s="8" t="s">
        <v>252</v>
      </c>
      <c r="E28" s="9">
        <v>2358</v>
      </c>
      <c r="F28" s="9">
        <v>1143</v>
      </c>
      <c r="G28" s="9">
        <v>1172</v>
      </c>
      <c r="H28" s="9">
        <v>43</v>
      </c>
      <c r="I28" s="9">
        <v>113</v>
      </c>
      <c r="J28" s="9">
        <v>4</v>
      </c>
      <c r="K28" s="9">
        <v>39</v>
      </c>
      <c r="L28" s="9">
        <v>927</v>
      </c>
      <c r="M28" s="9">
        <v>5</v>
      </c>
      <c r="N28" s="9">
        <v>1354</v>
      </c>
      <c r="O28" s="9">
        <f t="shared" si="1"/>
        <v>48</v>
      </c>
      <c r="P28" s="9"/>
      <c r="Q28" s="9">
        <v>78</v>
      </c>
      <c r="R28" s="9">
        <v>135</v>
      </c>
      <c r="S28" s="9">
        <v>386</v>
      </c>
      <c r="T28" s="9">
        <v>496</v>
      </c>
      <c r="U28" s="9">
        <v>416</v>
      </c>
      <c r="V28" s="9">
        <v>420</v>
      </c>
      <c r="W28" s="9">
        <v>216</v>
      </c>
      <c r="X28" s="9">
        <v>289</v>
      </c>
    </row>
    <row r="29" spans="2:24" ht="31.2" x14ac:dyDescent="0.3">
      <c r="B29" s="5" t="s">
        <v>56</v>
      </c>
      <c r="C29" s="1" t="s">
        <v>283</v>
      </c>
      <c r="D29" s="8" t="s">
        <v>254</v>
      </c>
      <c r="E29" s="10">
        <v>3302</v>
      </c>
      <c r="F29" s="10">
        <v>1677</v>
      </c>
      <c r="G29" s="10">
        <v>1567</v>
      </c>
      <c r="H29" s="10">
        <v>58</v>
      </c>
      <c r="I29" s="10">
        <v>259</v>
      </c>
      <c r="J29" s="10">
        <v>4</v>
      </c>
      <c r="K29" s="10">
        <v>46</v>
      </c>
      <c r="L29" s="10">
        <v>1057</v>
      </c>
      <c r="M29" s="10">
        <v>10</v>
      </c>
      <c r="N29" s="10">
        <v>2175</v>
      </c>
      <c r="O29" s="9">
        <f t="shared" si="1"/>
        <v>60</v>
      </c>
      <c r="P29" s="10">
        <v>0</v>
      </c>
      <c r="Q29" s="10">
        <v>142</v>
      </c>
      <c r="R29" s="10">
        <v>159</v>
      </c>
      <c r="S29" s="10">
        <v>350</v>
      </c>
      <c r="T29" s="10">
        <v>561</v>
      </c>
      <c r="U29" s="10">
        <v>592</v>
      </c>
      <c r="V29" s="10">
        <v>511</v>
      </c>
      <c r="W29" s="10">
        <v>282</v>
      </c>
      <c r="X29" s="10">
        <v>847</v>
      </c>
    </row>
    <row r="30" spans="2:24" x14ac:dyDescent="0.3">
      <c r="B30" s="5" t="s">
        <v>58</v>
      </c>
      <c r="C30" s="8" t="s">
        <v>59</v>
      </c>
      <c r="D30" s="8" t="s">
        <v>255</v>
      </c>
      <c r="E30" s="9">
        <v>83</v>
      </c>
      <c r="F30" s="9">
        <v>47</v>
      </c>
      <c r="G30" s="9">
        <v>33</v>
      </c>
      <c r="H30" s="9">
        <v>3</v>
      </c>
      <c r="I30" s="9">
        <v>6</v>
      </c>
      <c r="J30" s="9">
        <v>3</v>
      </c>
      <c r="K30" s="9">
        <v>1</v>
      </c>
      <c r="L30" s="9">
        <v>13</v>
      </c>
      <c r="M30" s="9">
        <v>0</v>
      </c>
      <c r="N30" s="9">
        <v>58</v>
      </c>
      <c r="O30" s="9">
        <f t="shared" si="1"/>
        <v>4</v>
      </c>
      <c r="P30" s="9"/>
      <c r="Q30" s="9">
        <v>18</v>
      </c>
      <c r="R30" s="9">
        <v>6</v>
      </c>
      <c r="S30" s="9">
        <v>6</v>
      </c>
      <c r="T30" s="9">
        <v>12</v>
      </c>
      <c r="U30" s="9">
        <v>12</v>
      </c>
      <c r="V30" s="9">
        <v>20</v>
      </c>
      <c r="W30" s="9">
        <v>11</v>
      </c>
      <c r="X30" s="9">
        <v>16</v>
      </c>
    </row>
    <row r="31" spans="2:24" x14ac:dyDescent="0.3">
      <c r="B31" s="5" t="s">
        <v>60</v>
      </c>
      <c r="C31" s="8" t="s">
        <v>61</v>
      </c>
      <c r="D31" s="8" t="s">
        <v>253</v>
      </c>
      <c r="E31" s="9">
        <v>17</v>
      </c>
      <c r="F31" s="9">
        <v>10</v>
      </c>
      <c r="G31" s="9">
        <v>7</v>
      </c>
      <c r="H31" s="9">
        <v>0</v>
      </c>
      <c r="I31" s="9">
        <v>1</v>
      </c>
      <c r="J31" s="9">
        <v>0</v>
      </c>
      <c r="K31" s="9">
        <v>0</v>
      </c>
      <c r="L31" s="9">
        <v>0</v>
      </c>
      <c r="M31" s="9">
        <v>0</v>
      </c>
      <c r="N31" s="9">
        <v>17</v>
      </c>
      <c r="O31" s="9">
        <f t="shared" si="1"/>
        <v>0</v>
      </c>
      <c r="P31" s="9"/>
      <c r="Q31" s="9">
        <v>0</v>
      </c>
      <c r="R31" s="9">
        <v>1</v>
      </c>
      <c r="S31" s="9">
        <v>0</v>
      </c>
      <c r="T31" s="9">
        <v>2</v>
      </c>
      <c r="U31" s="9">
        <v>5</v>
      </c>
      <c r="V31" s="9">
        <v>5</v>
      </c>
      <c r="W31" s="9">
        <v>1</v>
      </c>
      <c r="X31" s="9">
        <v>3</v>
      </c>
    </row>
    <row r="32" spans="2:24" x14ac:dyDescent="0.3">
      <c r="B32" s="5" t="s">
        <v>62</v>
      </c>
      <c r="C32" s="8" t="s">
        <v>63</v>
      </c>
      <c r="D32" s="8" t="s">
        <v>255</v>
      </c>
      <c r="E32" s="9">
        <v>672</v>
      </c>
      <c r="F32" s="9">
        <v>302</v>
      </c>
      <c r="G32" s="9">
        <v>355</v>
      </c>
      <c r="H32" s="9">
        <v>15</v>
      </c>
      <c r="I32" s="9">
        <v>54</v>
      </c>
      <c r="J32" s="9">
        <v>0</v>
      </c>
      <c r="K32" s="9">
        <v>0</v>
      </c>
      <c r="L32" s="9">
        <v>91</v>
      </c>
      <c r="M32" s="9">
        <v>3</v>
      </c>
      <c r="N32" s="9">
        <v>348</v>
      </c>
      <c r="O32" s="9">
        <f t="shared" si="1"/>
        <v>3</v>
      </c>
      <c r="P32" s="9"/>
      <c r="Q32" s="9">
        <v>234</v>
      </c>
      <c r="R32" s="9">
        <v>48</v>
      </c>
      <c r="S32" s="9">
        <v>79</v>
      </c>
      <c r="T32" s="9">
        <v>112</v>
      </c>
      <c r="U32" s="9">
        <v>85</v>
      </c>
      <c r="V32" s="9">
        <v>93</v>
      </c>
      <c r="W32" s="9">
        <v>34</v>
      </c>
      <c r="X32" s="9">
        <v>221</v>
      </c>
    </row>
    <row r="33" spans="2:24" x14ac:dyDescent="0.3">
      <c r="B33" s="5" t="s">
        <v>64</v>
      </c>
      <c r="C33" s="8" t="s">
        <v>65</v>
      </c>
      <c r="D33" s="8" t="s">
        <v>254</v>
      </c>
      <c r="E33" s="9">
        <v>175</v>
      </c>
      <c r="F33" s="9">
        <v>79</v>
      </c>
      <c r="G33" s="9">
        <v>95</v>
      </c>
      <c r="H33" s="9">
        <v>1</v>
      </c>
      <c r="I33" s="9">
        <v>5</v>
      </c>
      <c r="J33" s="9">
        <v>0</v>
      </c>
      <c r="K33" s="9">
        <v>0</v>
      </c>
      <c r="L33" s="9">
        <v>78</v>
      </c>
      <c r="M33" s="9">
        <v>1</v>
      </c>
      <c r="N33" s="9">
        <v>94</v>
      </c>
      <c r="O33" s="9">
        <f t="shared" si="1"/>
        <v>1</v>
      </c>
      <c r="P33" s="9"/>
      <c r="Q33" s="9">
        <v>6</v>
      </c>
      <c r="R33" s="9">
        <v>11</v>
      </c>
      <c r="S33" s="9">
        <v>38</v>
      </c>
      <c r="T33" s="9">
        <v>46</v>
      </c>
      <c r="U33" s="9">
        <v>34</v>
      </c>
      <c r="V33" s="9">
        <v>29</v>
      </c>
      <c r="W33" s="9">
        <v>9</v>
      </c>
      <c r="X33" s="9">
        <v>8</v>
      </c>
    </row>
    <row r="34" spans="2:24" x14ac:dyDescent="0.3">
      <c r="B34" s="5" t="s">
        <v>66</v>
      </c>
      <c r="C34" s="8" t="s">
        <v>67</v>
      </c>
      <c r="D34" s="8" t="s">
        <v>253</v>
      </c>
      <c r="E34" s="9">
        <v>649</v>
      </c>
      <c r="F34" s="9">
        <v>319</v>
      </c>
      <c r="G34" s="9">
        <v>324</v>
      </c>
      <c r="H34" s="9">
        <v>6</v>
      </c>
      <c r="I34" s="9">
        <v>12</v>
      </c>
      <c r="J34" s="9">
        <v>2</v>
      </c>
      <c r="K34" s="9">
        <v>3</v>
      </c>
      <c r="L34" s="9">
        <v>415</v>
      </c>
      <c r="M34" s="9">
        <v>4</v>
      </c>
      <c r="N34" s="9">
        <v>217</v>
      </c>
      <c r="O34" s="9">
        <f t="shared" si="1"/>
        <v>9</v>
      </c>
      <c r="P34" s="9"/>
      <c r="Q34" s="9">
        <v>20</v>
      </c>
      <c r="R34" s="9">
        <v>64</v>
      </c>
      <c r="S34" s="9">
        <v>135</v>
      </c>
      <c r="T34" s="9">
        <v>143</v>
      </c>
      <c r="U34" s="9">
        <v>121</v>
      </c>
      <c r="V34" s="9">
        <v>97</v>
      </c>
      <c r="W34" s="9">
        <v>32</v>
      </c>
      <c r="X34" s="9">
        <v>57</v>
      </c>
    </row>
    <row r="35" spans="2:24" x14ac:dyDescent="0.3">
      <c r="B35" s="5" t="s">
        <v>68</v>
      </c>
      <c r="C35" s="8" t="s">
        <v>69</v>
      </c>
      <c r="D35" s="8" t="s">
        <v>256</v>
      </c>
      <c r="E35" s="9">
        <v>228</v>
      </c>
      <c r="F35" s="9">
        <v>107</v>
      </c>
      <c r="G35" s="9">
        <v>119</v>
      </c>
      <c r="H35" s="9">
        <v>2</v>
      </c>
      <c r="I35" s="9">
        <v>3</v>
      </c>
      <c r="J35" s="9">
        <v>0</v>
      </c>
      <c r="K35" s="9">
        <v>0</v>
      </c>
      <c r="L35" s="9">
        <v>2</v>
      </c>
      <c r="M35" s="9">
        <v>0</v>
      </c>
      <c r="N35" s="9">
        <v>226</v>
      </c>
      <c r="O35" s="9">
        <f t="shared" si="1"/>
        <v>0</v>
      </c>
      <c r="P35" s="9"/>
      <c r="Q35" s="9">
        <v>1</v>
      </c>
      <c r="R35" s="9">
        <v>18</v>
      </c>
      <c r="S35" s="9">
        <v>52</v>
      </c>
      <c r="T35" s="9">
        <v>62</v>
      </c>
      <c r="U35" s="9">
        <v>48</v>
      </c>
      <c r="V35" s="9">
        <v>32</v>
      </c>
      <c r="W35" s="9">
        <v>11</v>
      </c>
      <c r="X35" s="9">
        <v>5</v>
      </c>
    </row>
    <row r="36" spans="2:24" x14ac:dyDescent="0.3">
      <c r="B36" s="5" t="s">
        <v>70</v>
      </c>
      <c r="C36" s="8" t="s">
        <v>71</v>
      </c>
      <c r="D36" s="8" t="s">
        <v>252</v>
      </c>
      <c r="E36" s="9">
        <v>164</v>
      </c>
      <c r="F36" s="9">
        <v>71</v>
      </c>
      <c r="G36" s="9">
        <v>91</v>
      </c>
      <c r="H36" s="9">
        <v>2</v>
      </c>
      <c r="I36" s="9">
        <v>6</v>
      </c>
      <c r="J36" s="9">
        <v>0</v>
      </c>
      <c r="K36" s="9">
        <v>0</v>
      </c>
      <c r="L36" s="9">
        <v>49</v>
      </c>
      <c r="M36" s="9">
        <v>0</v>
      </c>
      <c r="N36" s="9">
        <v>115</v>
      </c>
      <c r="O36" s="9">
        <f t="shared" si="1"/>
        <v>0</v>
      </c>
      <c r="P36" s="9"/>
      <c r="Q36" s="9">
        <v>6</v>
      </c>
      <c r="R36" s="9">
        <v>9</v>
      </c>
      <c r="S36" s="9">
        <v>23</v>
      </c>
      <c r="T36" s="9">
        <v>22</v>
      </c>
      <c r="U36" s="9">
        <v>41</v>
      </c>
      <c r="V36" s="9">
        <v>31</v>
      </c>
      <c r="W36" s="9">
        <v>18</v>
      </c>
      <c r="X36" s="9">
        <v>20</v>
      </c>
    </row>
    <row r="37" spans="2:24" x14ac:dyDescent="0.3">
      <c r="B37" s="5" t="s">
        <v>72</v>
      </c>
      <c r="C37" s="8" t="s">
        <v>73</v>
      </c>
      <c r="D37" s="8" t="s">
        <v>254</v>
      </c>
      <c r="E37" s="9">
        <v>126</v>
      </c>
      <c r="F37" s="9">
        <v>64</v>
      </c>
      <c r="G37" s="9">
        <v>58</v>
      </c>
      <c r="H37" s="9">
        <v>4</v>
      </c>
      <c r="I37" s="9">
        <v>2</v>
      </c>
      <c r="J37" s="9">
        <v>0</v>
      </c>
      <c r="K37" s="9">
        <v>0</v>
      </c>
      <c r="L37" s="9">
        <v>47</v>
      </c>
      <c r="M37" s="9">
        <v>0</v>
      </c>
      <c r="N37" s="9">
        <v>66</v>
      </c>
      <c r="O37" s="9">
        <f t="shared" si="1"/>
        <v>0</v>
      </c>
      <c r="P37" s="9"/>
      <c r="Q37" s="9">
        <v>15</v>
      </c>
      <c r="R37" s="9">
        <v>7</v>
      </c>
      <c r="S37" s="9">
        <v>21</v>
      </c>
      <c r="T37" s="9">
        <v>21</v>
      </c>
      <c r="U37" s="9">
        <v>14</v>
      </c>
      <c r="V37" s="9">
        <v>25</v>
      </c>
      <c r="W37" s="9">
        <v>6</v>
      </c>
      <c r="X37" s="9">
        <v>32</v>
      </c>
    </row>
    <row r="38" spans="2:24" ht="46.8" x14ac:dyDescent="0.3">
      <c r="B38" s="5" t="s">
        <v>74</v>
      </c>
      <c r="C38" s="1" t="s">
        <v>284</v>
      </c>
      <c r="D38" s="8" t="s">
        <v>255</v>
      </c>
      <c r="E38" s="10">
        <v>7614</v>
      </c>
      <c r="F38" s="10">
        <v>3598</v>
      </c>
      <c r="G38" s="10">
        <v>3823</v>
      </c>
      <c r="H38" s="10">
        <v>193</v>
      </c>
      <c r="I38" s="10">
        <v>2484</v>
      </c>
      <c r="J38" s="10">
        <v>24</v>
      </c>
      <c r="K38" s="10">
        <v>456</v>
      </c>
      <c r="L38" s="10">
        <v>1979</v>
      </c>
      <c r="M38" s="10">
        <v>21</v>
      </c>
      <c r="N38" s="10">
        <v>5069</v>
      </c>
      <c r="O38" s="9">
        <f t="shared" si="1"/>
        <v>501</v>
      </c>
      <c r="P38" s="10">
        <v>0</v>
      </c>
      <c r="Q38" s="10">
        <v>427</v>
      </c>
      <c r="R38" s="10">
        <v>337</v>
      </c>
      <c r="S38" s="10">
        <v>940</v>
      </c>
      <c r="T38" s="10">
        <v>1622</v>
      </c>
      <c r="U38" s="10">
        <v>1449</v>
      </c>
      <c r="V38" s="10">
        <v>1363</v>
      </c>
      <c r="W38" s="10">
        <v>635</v>
      </c>
      <c r="X38" s="10">
        <v>1268</v>
      </c>
    </row>
    <row r="39" spans="2:24" x14ac:dyDescent="0.3">
      <c r="B39" s="5" t="s">
        <v>76</v>
      </c>
      <c r="C39" s="8" t="s">
        <v>77</v>
      </c>
      <c r="D39" s="8" t="s">
        <v>255</v>
      </c>
      <c r="E39" s="9">
        <v>633</v>
      </c>
      <c r="F39" s="9">
        <v>332</v>
      </c>
      <c r="G39" s="9">
        <v>288</v>
      </c>
      <c r="H39" s="9">
        <v>13</v>
      </c>
      <c r="I39" s="9">
        <v>38</v>
      </c>
      <c r="J39" s="9">
        <v>2</v>
      </c>
      <c r="K39" s="9">
        <v>3</v>
      </c>
      <c r="L39" s="9">
        <v>154</v>
      </c>
      <c r="M39" s="9">
        <v>0</v>
      </c>
      <c r="N39" s="9">
        <v>448</v>
      </c>
      <c r="O39" s="9">
        <f t="shared" si="1"/>
        <v>5</v>
      </c>
      <c r="P39" s="9"/>
      <c r="Q39" s="9">
        <v>60</v>
      </c>
      <c r="R39" s="9">
        <v>28</v>
      </c>
      <c r="S39" s="9">
        <v>72</v>
      </c>
      <c r="T39" s="9">
        <v>124</v>
      </c>
      <c r="U39" s="9">
        <v>127</v>
      </c>
      <c r="V39" s="9">
        <v>94</v>
      </c>
      <c r="W39" s="9">
        <v>43</v>
      </c>
      <c r="X39" s="9">
        <v>145</v>
      </c>
    </row>
    <row r="40" spans="2:24" x14ac:dyDescent="0.3">
      <c r="B40" s="5" t="s">
        <v>78</v>
      </c>
      <c r="C40" s="8" t="s">
        <v>79</v>
      </c>
      <c r="D40" s="8" t="s">
        <v>256</v>
      </c>
      <c r="E40" s="9">
        <v>126</v>
      </c>
      <c r="F40" s="9">
        <v>66</v>
      </c>
      <c r="G40" s="9">
        <v>58</v>
      </c>
      <c r="H40" s="9">
        <v>2</v>
      </c>
      <c r="I40" s="9">
        <v>8</v>
      </c>
      <c r="J40" s="9">
        <v>0</v>
      </c>
      <c r="K40" s="9">
        <v>2</v>
      </c>
      <c r="L40" s="9">
        <v>4</v>
      </c>
      <c r="M40" s="9">
        <v>0</v>
      </c>
      <c r="N40" s="9">
        <v>120</v>
      </c>
      <c r="O40" s="9">
        <f t="shared" si="1"/>
        <v>2</v>
      </c>
      <c r="P40" s="9"/>
      <c r="Q40" s="9">
        <v>3</v>
      </c>
      <c r="R40" s="9">
        <v>10</v>
      </c>
      <c r="S40" s="9">
        <v>22</v>
      </c>
      <c r="T40" s="9">
        <v>24</v>
      </c>
      <c r="U40" s="9">
        <v>24</v>
      </c>
      <c r="V40" s="9">
        <v>18</v>
      </c>
      <c r="W40" s="9">
        <v>10</v>
      </c>
      <c r="X40" s="9">
        <v>18</v>
      </c>
    </row>
    <row r="41" spans="2:24" x14ac:dyDescent="0.3">
      <c r="B41" s="5" t="s">
        <v>80</v>
      </c>
      <c r="C41" s="8" t="s">
        <v>81</v>
      </c>
      <c r="D41" s="8" t="s">
        <v>254</v>
      </c>
      <c r="E41" s="9">
        <v>201</v>
      </c>
      <c r="F41" s="9">
        <v>93</v>
      </c>
      <c r="G41" s="9">
        <v>106</v>
      </c>
      <c r="H41" s="9">
        <v>2</v>
      </c>
      <c r="I41" s="9">
        <v>5</v>
      </c>
      <c r="J41" s="9">
        <v>0</v>
      </c>
      <c r="K41" s="9">
        <v>0</v>
      </c>
      <c r="L41" s="9">
        <v>37</v>
      </c>
      <c r="M41" s="9">
        <v>0</v>
      </c>
      <c r="N41" s="9">
        <v>143</v>
      </c>
      <c r="O41" s="9">
        <f t="shared" si="1"/>
        <v>0</v>
      </c>
      <c r="P41" s="9"/>
      <c r="Q41" s="9">
        <v>21</v>
      </c>
      <c r="R41" s="9">
        <v>3</v>
      </c>
      <c r="S41" s="9">
        <v>21</v>
      </c>
      <c r="T41" s="9">
        <v>46</v>
      </c>
      <c r="U41" s="9">
        <v>46</v>
      </c>
      <c r="V41" s="9">
        <v>34</v>
      </c>
      <c r="W41" s="9">
        <v>7</v>
      </c>
      <c r="X41" s="9">
        <v>44</v>
      </c>
    </row>
    <row r="42" spans="2:24" x14ac:dyDescent="0.3">
      <c r="B42" s="5" t="s">
        <v>82</v>
      </c>
      <c r="C42" s="8" t="s">
        <v>83</v>
      </c>
      <c r="D42" s="8" t="s">
        <v>252</v>
      </c>
      <c r="E42" s="9">
        <v>137</v>
      </c>
      <c r="F42" s="9">
        <v>62</v>
      </c>
      <c r="G42" s="9">
        <v>75</v>
      </c>
      <c r="H42" s="9">
        <v>0</v>
      </c>
      <c r="I42" s="9">
        <v>0</v>
      </c>
      <c r="J42" s="9">
        <v>0</v>
      </c>
      <c r="K42" s="9">
        <v>0</v>
      </c>
      <c r="L42" s="9">
        <v>107</v>
      </c>
      <c r="M42" s="9">
        <v>0</v>
      </c>
      <c r="N42" s="9">
        <v>28</v>
      </c>
      <c r="O42" s="9">
        <f t="shared" si="1"/>
        <v>0</v>
      </c>
      <c r="P42" s="9"/>
      <c r="Q42" s="9">
        <v>3</v>
      </c>
      <c r="R42" s="9">
        <v>8</v>
      </c>
      <c r="S42" s="9">
        <v>22</v>
      </c>
      <c r="T42" s="9">
        <v>27</v>
      </c>
      <c r="U42" s="9">
        <v>12</v>
      </c>
      <c r="V42" s="9">
        <v>21</v>
      </c>
      <c r="W42" s="9">
        <v>10</v>
      </c>
      <c r="X42" s="9">
        <v>37</v>
      </c>
    </row>
    <row r="43" spans="2:24" x14ac:dyDescent="0.3">
      <c r="B43" s="5" t="s">
        <v>84</v>
      </c>
      <c r="C43" s="8" t="s">
        <v>85</v>
      </c>
      <c r="D43" s="8" t="s">
        <v>253</v>
      </c>
      <c r="E43" s="9">
        <v>1377</v>
      </c>
      <c r="F43" s="9">
        <v>663</v>
      </c>
      <c r="G43" s="9">
        <v>689</v>
      </c>
      <c r="H43" s="9">
        <v>25</v>
      </c>
      <c r="I43" s="9">
        <v>72</v>
      </c>
      <c r="J43" s="9">
        <v>0</v>
      </c>
      <c r="K43" s="9">
        <v>0</v>
      </c>
      <c r="L43" s="9">
        <v>137</v>
      </c>
      <c r="M43" s="9">
        <v>2</v>
      </c>
      <c r="N43" s="9">
        <v>1204</v>
      </c>
      <c r="O43" s="9">
        <f t="shared" si="1"/>
        <v>2</v>
      </c>
      <c r="P43" s="9"/>
      <c r="Q43" s="9">
        <v>103</v>
      </c>
      <c r="R43" s="9">
        <v>130</v>
      </c>
      <c r="S43" s="9">
        <v>255</v>
      </c>
      <c r="T43" s="9">
        <v>297</v>
      </c>
      <c r="U43" s="9">
        <v>244</v>
      </c>
      <c r="V43" s="9">
        <v>230</v>
      </c>
      <c r="W43" s="9">
        <v>85</v>
      </c>
      <c r="X43" s="9">
        <v>136</v>
      </c>
    </row>
    <row r="44" spans="2:24" x14ac:dyDescent="0.3">
      <c r="B44" s="5" t="s">
        <v>86</v>
      </c>
      <c r="C44" s="8" t="s">
        <v>87</v>
      </c>
      <c r="D44" s="8" t="s">
        <v>255</v>
      </c>
      <c r="E44" s="9">
        <v>1263</v>
      </c>
      <c r="F44" s="9">
        <v>587</v>
      </c>
      <c r="G44" s="9">
        <v>653</v>
      </c>
      <c r="H44" s="9">
        <v>23</v>
      </c>
      <c r="I44" s="9">
        <v>127</v>
      </c>
      <c r="J44" s="9">
        <v>5</v>
      </c>
      <c r="K44" s="9">
        <v>2</v>
      </c>
      <c r="L44" s="9">
        <v>78</v>
      </c>
      <c r="M44" s="9">
        <v>0</v>
      </c>
      <c r="N44" s="9">
        <v>845</v>
      </c>
      <c r="O44" s="9">
        <f t="shared" si="1"/>
        <v>7</v>
      </c>
      <c r="P44" s="9"/>
      <c r="Q44" s="9">
        <v>370</v>
      </c>
      <c r="R44" s="9">
        <v>87</v>
      </c>
      <c r="S44" s="9">
        <v>185</v>
      </c>
      <c r="T44" s="9">
        <v>257</v>
      </c>
      <c r="U44" s="9">
        <v>248</v>
      </c>
      <c r="V44" s="9">
        <v>206</v>
      </c>
      <c r="W44" s="9">
        <v>104</v>
      </c>
      <c r="X44" s="9">
        <v>176</v>
      </c>
    </row>
    <row r="45" spans="2:24" x14ac:dyDescent="0.3">
      <c r="B45" s="5" t="s">
        <v>88</v>
      </c>
      <c r="C45" s="8" t="s">
        <v>89</v>
      </c>
      <c r="D45" s="8" t="s">
        <v>255</v>
      </c>
      <c r="E45" s="9">
        <v>362</v>
      </c>
      <c r="F45" s="9">
        <v>178</v>
      </c>
      <c r="G45" s="9">
        <v>183</v>
      </c>
      <c r="H45" s="9">
        <v>1</v>
      </c>
      <c r="I45" s="9">
        <v>30</v>
      </c>
      <c r="J45" s="9">
        <v>0</v>
      </c>
      <c r="K45" s="9">
        <v>1</v>
      </c>
      <c r="L45" s="9">
        <v>160</v>
      </c>
      <c r="M45" s="9">
        <v>6</v>
      </c>
      <c r="N45" s="9">
        <v>187</v>
      </c>
      <c r="O45" s="9">
        <f t="shared" si="1"/>
        <v>7</v>
      </c>
      <c r="P45" s="9"/>
      <c r="Q45" s="9">
        <v>23</v>
      </c>
      <c r="R45" s="9">
        <v>43</v>
      </c>
      <c r="S45" s="9">
        <v>89</v>
      </c>
      <c r="T45" s="9">
        <v>81</v>
      </c>
      <c r="U45" s="9">
        <v>58</v>
      </c>
      <c r="V45" s="9">
        <v>43</v>
      </c>
      <c r="W45" s="9">
        <v>10</v>
      </c>
      <c r="X45" s="9">
        <v>38</v>
      </c>
    </row>
    <row r="46" spans="2:24" x14ac:dyDescent="0.3">
      <c r="B46" s="5" t="s">
        <v>90</v>
      </c>
      <c r="C46" s="8" t="s">
        <v>91</v>
      </c>
      <c r="D46" s="8" t="s">
        <v>256</v>
      </c>
      <c r="E46" s="9">
        <v>87</v>
      </c>
      <c r="F46" s="9">
        <v>50</v>
      </c>
      <c r="G46" s="9">
        <v>37</v>
      </c>
      <c r="H46" s="9">
        <v>0</v>
      </c>
      <c r="I46" s="9">
        <v>19</v>
      </c>
      <c r="J46" s="9">
        <v>0</v>
      </c>
      <c r="K46" s="9">
        <v>0</v>
      </c>
      <c r="L46" s="9">
        <v>18</v>
      </c>
      <c r="M46" s="9">
        <v>0</v>
      </c>
      <c r="N46" s="9">
        <v>79</v>
      </c>
      <c r="O46" s="9">
        <f t="shared" si="1"/>
        <v>0</v>
      </c>
      <c r="P46" s="9"/>
      <c r="Q46" s="9">
        <v>5</v>
      </c>
      <c r="R46" s="9">
        <v>9</v>
      </c>
      <c r="S46" s="9">
        <v>20</v>
      </c>
      <c r="T46" s="9">
        <v>21</v>
      </c>
      <c r="U46" s="9">
        <v>20</v>
      </c>
      <c r="V46" s="9">
        <v>9</v>
      </c>
      <c r="W46" s="9">
        <v>1</v>
      </c>
      <c r="X46" s="9">
        <v>7</v>
      </c>
    </row>
    <row r="47" spans="2:24" x14ac:dyDescent="0.3">
      <c r="B47" s="5" t="s">
        <v>92</v>
      </c>
      <c r="C47" s="8" t="s">
        <v>93</v>
      </c>
      <c r="D47" s="8" t="s">
        <v>256</v>
      </c>
      <c r="E47" s="9">
        <v>463</v>
      </c>
      <c r="F47" s="9">
        <v>220</v>
      </c>
      <c r="G47" s="9">
        <v>240</v>
      </c>
      <c r="H47" s="9">
        <v>3</v>
      </c>
      <c r="I47" s="9">
        <v>4</v>
      </c>
      <c r="J47" s="9">
        <v>0</v>
      </c>
      <c r="K47" s="9">
        <v>0</v>
      </c>
      <c r="L47" s="9">
        <v>10</v>
      </c>
      <c r="M47" s="9">
        <v>0</v>
      </c>
      <c r="N47" s="9">
        <v>447</v>
      </c>
      <c r="O47" s="9">
        <f t="shared" si="1"/>
        <v>0</v>
      </c>
      <c r="P47" s="9"/>
      <c r="Q47" s="9">
        <v>7</v>
      </c>
      <c r="R47" s="9">
        <v>29</v>
      </c>
      <c r="S47" s="9">
        <v>75</v>
      </c>
      <c r="T47" s="9">
        <v>129</v>
      </c>
      <c r="U47" s="9">
        <v>81</v>
      </c>
      <c r="V47" s="9">
        <v>57</v>
      </c>
      <c r="W47" s="9">
        <v>18</v>
      </c>
      <c r="X47" s="9">
        <v>74</v>
      </c>
    </row>
    <row r="48" spans="2:24" x14ac:dyDescent="0.3">
      <c r="B48" s="5" t="s">
        <v>94</v>
      </c>
      <c r="C48" s="8" t="s">
        <v>95</v>
      </c>
      <c r="D48" s="8" t="s">
        <v>252</v>
      </c>
      <c r="E48" s="9">
        <v>545</v>
      </c>
      <c r="F48" s="9">
        <v>258</v>
      </c>
      <c r="G48" s="9">
        <v>280</v>
      </c>
      <c r="H48" s="9">
        <v>7</v>
      </c>
      <c r="I48" s="9">
        <v>16</v>
      </c>
      <c r="J48" s="9">
        <v>0</v>
      </c>
      <c r="K48" s="9">
        <v>4</v>
      </c>
      <c r="L48" s="9">
        <v>60</v>
      </c>
      <c r="M48" s="9">
        <v>2</v>
      </c>
      <c r="N48" s="9">
        <v>430</v>
      </c>
      <c r="O48" s="9">
        <f t="shared" si="1"/>
        <v>6</v>
      </c>
      <c r="P48" s="9"/>
      <c r="Q48" s="9">
        <v>63</v>
      </c>
      <c r="R48" s="9">
        <v>24</v>
      </c>
      <c r="S48" s="9">
        <v>80</v>
      </c>
      <c r="T48" s="9">
        <v>121</v>
      </c>
      <c r="U48" s="9">
        <v>99</v>
      </c>
      <c r="V48" s="9">
        <v>102</v>
      </c>
      <c r="W48" s="9">
        <v>50</v>
      </c>
      <c r="X48" s="9">
        <v>69</v>
      </c>
    </row>
    <row r="49" spans="2:24" x14ac:dyDescent="0.3">
      <c r="B49" s="5" t="s">
        <v>96</v>
      </c>
      <c r="C49" s="8" t="s">
        <v>97</v>
      </c>
      <c r="D49" s="8" t="s">
        <v>254</v>
      </c>
      <c r="E49" s="9">
        <v>89</v>
      </c>
      <c r="F49" s="9">
        <v>46</v>
      </c>
      <c r="G49" s="9">
        <v>42</v>
      </c>
      <c r="H49" s="9">
        <v>1</v>
      </c>
      <c r="I49" s="9">
        <v>2</v>
      </c>
      <c r="J49" s="9">
        <v>0</v>
      </c>
      <c r="K49" s="9">
        <v>1</v>
      </c>
      <c r="L49" s="9">
        <v>36</v>
      </c>
      <c r="M49" s="9">
        <v>0</v>
      </c>
      <c r="N49" s="9">
        <v>44</v>
      </c>
      <c r="O49" s="9">
        <f t="shared" si="1"/>
        <v>1</v>
      </c>
      <c r="P49" s="9"/>
      <c r="Q49" s="9">
        <v>13</v>
      </c>
      <c r="R49" s="9">
        <v>5</v>
      </c>
      <c r="S49" s="9">
        <v>12</v>
      </c>
      <c r="T49" s="9">
        <v>19</v>
      </c>
      <c r="U49" s="9">
        <v>10</v>
      </c>
      <c r="V49" s="9">
        <v>12</v>
      </c>
      <c r="W49" s="9">
        <v>4</v>
      </c>
      <c r="X49" s="9">
        <v>27</v>
      </c>
    </row>
    <row r="50" spans="2:24" x14ac:dyDescent="0.3">
      <c r="B50" s="5" t="s">
        <v>98</v>
      </c>
      <c r="C50" s="8" t="s">
        <v>99</v>
      </c>
      <c r="D50" s="8" t="s">
        <v>256</v>
      </c>
      <c r="E50" s="9">
        <v>330</v>
      </c>
      <c r="F50" s="9">
        <v>156</v>
      </c>
      <c r="G50" s="9">
        <v>174</v>
      </c>
      <c r="H50" s="9">
        <v>0</v>
      </c>
      <c r="I50" s="9">
        <v>27</v>
      </c>
      <c r="J50" s="9">
        <v>0</v>
      </c>
      <c r="K50" s="9">
        <v>0</v>
      </c>
      <c r="L50" s="9">
        <v>14</v>
      </c>
      <c r="M50" s="9">
        <v>0</v>
      </c>
      <c r="N50" s="9">
        <v>318</v>
      </c>
      <c r="O50" s="9">
        <f t="shared" si="1"/>
        <v>0</v>
      </c>
      <c r="P50" s="9"/>
      <c r="Q50" s="9">
        <v>4</v>
      </c>
      <c r="R50" s="9">
        <v>22</v>
      </c>
      <c r="S50" s="9">
        <v>47</v>
      </c>
      <c r="T50" s="9">
        <v>80</v>
      </c>
      <c r="U50" s="9">
        <v>68</v>
      </c>
      <c r="V50" s="9">
        <v>66</v>
      </c>
      <c r="W50" s="9">
        <v>21</v>
      </c>
      <c r="X50" s="9">
        <v>26</v>
      </c>
    </row>
    <row r="51" spans="2:24" x14ac:dyDescent="0.3">
      <c r="B51" s="5" t="s">
        <v>100</v>
      </c>
      <c r="C51" s="8" t="s">
        <v>101</v>
      </c>
      <c r="D51" s="8" t="s">
        <v>255</v>
      </c>
      <c r="E51" s="9">
        <v>208</v>
      </c>
      <c r="F51" s="9">
        <v>101</v>
      </c>
      <c r="G51" s="9">
        <v>106</v>
      </c>
      <c r="H51" s="9">
        <v>1</v>
      </c>
      <c r="I51" s="9">
        <v>4</v>
      </c>
      <c r="J51" s="9">
        <v>0</v>
      </c>
      <c r="K51" s="9">
        <v>1</v>
      </c>
      <c r="L51" s="9">
        <v>24</v>
      </c>
      <c r="M51" s="9">
        <v>0</v>
      </c>
      <c r="N51" s="9">
        <v>167</v>
      </c>
      <c r="O51" s="9">
        <f t="shared" si="1"/>
        <v>1</v>
      </c>
      <c r="P51" s="9"/>
      <c r="Q51" s="9">
        <v>23</v>
      </c>
      <c r="R51" s="9">
        <v>9</v>
      </c>
      <c r="S51" s="9">
        <v>27</v>
      </c>
      <c r="T51" s="9">
        <v>58</v>
      </c>
      <c r="U51" s="9">
        <v>34</v>
      </c>
      <c r="V51" s="9">
        <v>21</v>
      </c>
      <c r="W51" s="9">
        <v>8</v>
      </c>
      <c r="X51" s="9">
        <v>51</v>
      </c>
    </row>
    <row r="52" spans="2:24" x14ac:dyDescent="0.3">
      <c r="B52" s="5" t="s">
        <v>102</v>
      </c>
      <c r="C52" s="1" t="s">
        <v>270</v>
      </c>
      <c r="D52" s="8" t="s">
        <v>252</v>
      </c>
      <c r="E52" s="10">
        <v>205</v>
      </c>
      <c r="F52" s="10">
        <v>101</v>
      </c>
      <c r="G52" s="10">
        <v>99</v>
      </c>
      <c r="H52" s="10">
        <v>5</v>
      </c>
      <c r="I52" s="10">
        <v>3</v>
      </c>
      <c r="J52" s="10">
        <v>0</v>
      </c>
      <c r="K52" s="10">
        <v>0</v>
      </c>
      <c r="L52" s="10">
        <v>153</v>
      </c>
      <c r="M52" s="10">
        <v>0</v>
      </c>
      <c r="N52" s="10">
        <v>42</v>
      </c>
      <c r="O52" s="9">
        <f t="shared" si="1"/>
        <v>0</v>
      </c>
      <c r="P52" s="10">
        <v>0</v>
      </c>
      <c r="Q52" s="10">
        <v>17</v>
      </c>
      <c r="R52" s="10">
        <v>19</v>
      </c>
      <c r="S52" s="10">
        <v>30</v>
      </c>
      <c r="T52" s="10">
        <v>41</v>
      </c>
      <c r="U52" s="10">
        <v>37</v>
      </c>
      <c r="V52" s="10">
        <v>36</v>
      </c>
      <c r="W52" s="10">
        <v>20</v>
      </c>
      <c r="X52" s="10">
        <v>22</v>
      </c>
    </row>
    <row r="53" spans="2:24" x14ac:dyDescent="0.3">
      <c r="B53" s="5" t="s">
        <v>104</v>
      </c>
      <c r="C53" s="8" t="s">
        <v>105</v>
      </c>
      <c r="D53" s="8" t="s">
        <v>253</v>
      </c>
      <c r="E53" s="9">
        <v>344</v>
      </c>
      <c r="F53" s="9">
        <v>176</v>
      </c>
      <c r="G53" s="9">
        <v>166</v>
      </c>
      <c r="H53" s="9">
        <v>2</v>
      </c>
      <c r="I53" s="9">
        <v>5</v>
      </c>
      <c r="J53" s="9">
        <v>1</v>
      </c>
      <c r="K53" s="9">
        <v>0</v>
      </c>
      <c r="L53" s="9">
        <v>171</v>
      </c>
      <c r="M53" s="9">
        <v>0</v>
      </c>
      <c r="N53" s="9">
        <v>179</v>
      </c>
      <c r="O53" s="9">
        <f t="shared" si="1"/>
        <v>1</v>
      </c>
      <c r="P53" s="9"/>
      <c r="Q53" s="9">
        <v>11</v>
      </c>
      <c r="R53" s="9">
        <v>17</v>
      </c>
      <c r="S53" s="9">
        <v>59</v>
      </c>
      <c r="T53" s="9">
        <v>87</v>
      </c>
      <c r="U53" s="9">
        <v>82</v>
      </c>
      <c r="V53" s="9">
        <v>69</v>
      </c>
      <c r="W53" s="9">
        <v>11</v>
      </c>
      <c r="X53" s="9">
        <v>19</v>
      </c>
    </row>
    <row r="54" spans="2:24" x14ac:dyDescent="0.3">
      <c r="B54" s="5" t="s">
        <v>106</v>
      </c>
      <c r="C54" s="8" t="s">
        <v>107</v>
      </c>
      <c r="D54" s="8" t="s">
        <v>252</v>
      </c>
      <c r="E54" s="9">
        <v>1587</v>
      </c>
      <c r="F54" s="9">
        <v>804</v>
      </c>
      <c r="G54" s="9">
        <v>756</v>
      </c>
      <c r="H54" s="9">
        <v>27</v>
      </c>
      <c r="I54" s="9">
        <v>56</v>
      </c>
      <c r="J54" s="9">
        <v>4</v>
      </c>
      <c r="K54" s="9">
        <v>8</v>
      </c>
      <c r="L54" s="9">
        <v>931</v>
      </c>
      <c r="M54" s="9">
        <v>1</v>
      </c>
      <c r="N54" s="9">
        <v>603</v>
      </c>
      <c r="O54" s="9">
        <f t="shared" si="1"/>
        <v>13</v>
      </c>
      <c r="P54" s="9"/>
      <c r="Q54" s="9">
        <v>120</v>
      </c>
      <c r="R54" s="9">
        <v>105</v>
      </c>
      <c r="S54" s="9">
        <v>254</v>
      </c>
      <c r="T54" s="9">
        <v>341</v>
      </c>
      <c r="U54" s="9">
        <v>271</v>
      </c>
      <c r="V54" s="9">
        <v>260</v>
      </c>
      <c r="W54" s="9">
        <v>95</v>
      </c>
      <c r="X54" s="9">
        <v>261</v>
      </c>
    </row>
    <row r="55" spans="2:24" x14ac:dyDescent="0.3">
      <c r="B55" s="5" t="s">
        <v>108</v>
      </c>
      <c r="C55" s="8" t="s">
        <v>109</v>
      </c>
      <c r="D55" s="8" t="s">
        <v>254</v>
      </c>
      <c r="E55" s="9">
        <v>745</v>
      </c>
      <c r="F55" s="9">
        <v>349</v>
      </c>
      <c r="G55" s="9">
        <v>384</v>
      </c>
      <c r="H55" s="9">
        <v>12</v>
      </c>
      <c r="I55" s="9">
        <v>34</v>
      </c>
      <c r="J55" s="9">
        <v>1</v>
      </c>
      <c r="K55" s="9">
        <v>9</v>
      </c>
      <c r="L55" s="9">
        <v>153</v>
      </c>
      <c r="M55" s="9">
        <v>0</v>
      </c>
      <c r="N55" s="9">
        <v>586</v>
      </c>
      <c r="O55" s="9">
        <f t="shared" si="1"/>
        <v>10</v>
      </c>
      <c r="P55" s="9"/>
      <c r="Q55" s="9">
        <v>41</v>
      </c>
      <c r="R55" s="9">
        <v>38</v>
      </c>
      <c r="S55" s="9">
        <v>103</v>
      </c>
      <c r="T55" s="9">
        <v>151</v>
      </c>
      <c r="U55" s="9">
        <v>128</v>
      </c>
      <c r="V55" s="9">
        <v>122</v>
      </c>
      <c r="W55" s="9">
        <v>73</v>
      </c>
      <c r="X55" s="9">
        <v>130</v>
      </c>
    </row>
    <row r="56" spans="2:24" x14ac:dyDescent="0.3">
      <c r="B56" s="5" t="s">
        <v>110</v>
      </c>
      <c r="C56" s="8" t="s">
        <v>111</v>
      </c>
      <c r="D56" s="8" t="s">
        <v>254</v>
      </c>
      <c r="E56" s="9">
        <v>2289</v>
      </c>
      <c r="F56" s="9">
        <v>1115</v>
      </c>
      <c r="G56" s="9">
        <v>1111</v>
      </c>
      <c r="H56" s="9">
        <v>63</v>
      </c>
      <c r="I56" s="9">
        <v>143</v>
      </c>
      <c r="J56" s="9">
        <v>11</v>
      </c>
      <c r="K56" s="9">
        <v>48</v>
      </c>
      <c r="L56" s="9">
        <v>1081</v>
      </c>
      <c r="M56" s="9">
        <v>5</v>
      </c>
      <c r="N56" s="9">
        <v>1101</v>
      </c>
      <c r="O56" s="9">
        <f t="shared" si="1"/>
        <v>64</v>
      </c>
      <c r="P56" s="9"/>
      <c r="Q56" s="9">
        <v>154</v>
      </c>
      <c r="R56" s="9">
        <v>127</v>
      </c>
      <c r="S56" s="9">
        <v>330</v>
      </c>
      <c r="T56" s="9">
        <v>440</v>
      </c>
      <c r="U56" s="9">
        <v>426</v>
      </c>
      <c r="V56" s="9">
        <v>345</v>
      </c>
      <c r="W56" s="9">
        <v>142</v>
      </c>
      <c r="X56" s="9">
        <v>479</v>
      </c>
    </row>
    <row r="57" spans="2:24" x14ac:dyDescent="0.3">
      <c r="B57" s="5" t="s">
        <v>112</v>
      </c>
      <c r="C57" s="1" t="s">
        <v>288</v>
      </c>
      <c r="D57" s="8" t="s">
        <v>253</v>
      </c>
      <c r="E57" s="10">
        <v>1263</v>
      </c>
      <c r="F57" s="10">
        <v>603</v>
      </c>
      <c r="G57" s="10">
        <v>608</v>
      </c>
      <c r="H57" s="10">
        <v>52</v>
      </c>
      <c r="I57" s="10">
        <v>58</v>
      </c>
      <c r="J57" s="10">
        <v>0</v>
      </c>
      <c r="K57" s="10">
        <v>3</v>
      </c>
      <c r="L57" s="10">
        <v>336</v>
      </c>
      <c r="M57" s="10">
        <v>23</v>
      </c>
      <c r="N57" s="10">
        <v>737</v>
      </c>
      <c r="O57" s="9">
        <f t="shared" si="1"/>
        <v>26</v>
      </c>
      <c r="P57" s="10">
        <v>0</v>
      </c>
      <c r="Q57" s="10">
        <v>174</v>
      </c>
      <c r="R57" s="10">
        <v>109</v>
      </c>
      <c r="S57" s="10">
        <v>211</v>
      </c>
      <c r="T57" s="10">
        <v>258</v>
      </c>
      <c r="U57" s="10">
        <v>204</v>
      </c>
      <c r="V57" s="10">
        <v>167</v>
      </c>
      <c r="W57" s="10">
        <v>62</v>
      </c>
      <c r="X57" s="10">
        <v>252</v>
      </c>
    </row>
    <row r="58" spans="2:24" x14ac:dyDescent="0.3">
      <c r="B58" s="5" t="s">
        <v>114</v>
      </c>
      <c r="C58" s="8" t="s">
        <v>115</v>
      </c>
      <c r="D58" s="8" t="s">
        <v>253</v>
      </c>
      <c r="E58" s="9">
        <v>49</v>
      </c>
      <c r="F58" s="9">
        <v>12</v>
      </c>
      <c r="G58" s="9">
        <v>34</v>
      </c>
      <c r="H58" s="9">
        <v>3</v>
      </c>
      <c r="I58" s="9">
        <v>1</v>
      </c>
      <c r="J58" s="9">
        <v>0</v>
      </c>
      <c r="K58" s="9">
        <v>0</v>
      </c>
      <c r="L58" s="9">
        <v>0</v>
      </c>
      <c r="M58" s="9">
        <v>0</v>
      </c>
      <c r="N58" s="9">
        <v>46</v>
      </c>
      <c r="O58" s="9">
        <f t="shared" si="1"/>
        <v>0</v>
      </c>
      <c r="P58" s="9"/>
      <c r="Q58" s="9">
        <v>3</v>
      </c>
      <c r="R58" s="9">
        <v>5</v>
      </c>
      <c r="S58" s="9">
        <v>2</v>
      </c>
      <c r="T58" s="9">
        <v>12</v>
      </c>
      <c r="U58" s="9">
        <v>4</v>
      </c>
      <c r="V58" s="9">
        <v>2</v>
      </c>
      <c r="W58" s="9">
        <v>2</v>
      </c>
      <c r="X58" s="9">
        <v>22</v>
      </c>
    </row>
    <row r="59" spans="2:24" x14ac:dyDescent="0.3">
      <c r="B59" s="5" t="s">
        <v>116</v>
      </c>
      <c r="C59" s="8" t="s">
        <v>117</v>
      </c>
      <c r="D59" s="8" t="s">
        <v>254</v>
      </c>
      <c r="E59" s="9">
        <v>538</v>
      </c>
      <c r="F59" s="9">
        <v>243</v>
      </c>
      <c r="G59" s="9">
        <v>288</v>
      </c>
      <c r="H59" s="9">
        <v>7</v>
      </c>
      <c r="I59" s="9">
        <v>27</v>
      </c>
      <c r="J59" s="9">
        <v>2</v>
      </c>
      <c r="K59" s="9">
        <v>9</v>
      </c>
      <c r="L59" s="9">
        <v>240</v>
      </c>
      <c r="M59" s="9">
        <v>4</v>
      </c>
      <c r="N59" s="9">
        <v>261</v>
      </c>
      <c r="O59" s="9">
        <f t="shared" si="1"/>
        <v>15</v>
      </c>
      <c r="P59" s="9"/>
      <c r="Q59" s="9">
        <v>58</v>
      </c>
      <c r="R59" s="9">
        <v>36</v>
      </c>
      <c r="S59" s="9">
        <v>92</v>
      </c>
      <c r="T59" s="9">
        <v>122</v>
      </c>
      <c r="U59" s="9">
        <v>83</v>
      </c>
      <c r="V59" s="9">
        <v>65</v>
      </c>
      <c r="W59" s="9">
        <v>26</v>
      </c>
      <c r="X59" s="9">
        <v>114</v>
      </c>
    </row>
    <row r="60" spans="2:24" x14ac:dyDescent="0.3">
      <c r="B60" s="5" t="s">
        <v>118</v>
      </c>
      <c r="C60" s="8" t="s">
        <v>119</v>
      </c>
      <c r="D60" s="8" t="s">
        <v>252</v>
      </c>
      <c r="E60" s="9">
        <v>285</v>
      </c>
      <c r="F60" s="9">
        <v>141</v>
      </c>
      <c r="G60" s="9">
        <v>144</v>
      </c>
      <c r="H60" s="9">
        <v>0</v>
      </c>
      <c r="I60" s="9">
        <v>13</v>
      </c>
      <c r="J60" s="9">
        <v>0</v>
      </c>
      <c r="K60" s="9">
        <v>0</v>
      </c>
      <c r="L60" s="9">
        <v>105</v>
      </c>
      <c r="M60" s="9">
        <v>0</v>
      </c>
      <c r="N60" s="9">
        <v>187</v>
      </c>
      <c r="O60" s="9">
        <f t="shared" si="1"/>
        <v>0</v>
      </c>
      <c r="P60" s="9"/>
      <c r="Q60" s="9">
        <v>2</v>
      </c>
      <c r="R60" s="9">
        <v>24</v>
      </c>
      <c r="S60" s="9">
        <v>53</v>
      </c>
      <c r="T60" s="9">
        <v>61</v>
      </c>
      <c r="U60" s="9">
        <v>50</v>
      </c>
      <c r="V60" s="9">
        <v>44</v>
      </c>
      <c r="W60" s="9">
        <v>20</v>
      </c>
      <c r="X60" s="9">
        <v>33</v>
      </c>
    </row>
    <row r="61" spans="2:24" x14ac:dyDescent="0.3">
      <c r="B61" s="5" t="s">
        <v>120</v>
      </c>
      <c r="C61" s="8" t="s">
        <v>121</v>
      </c>
      <c r="D61" s="8" t="s">
        <v>252</v>
      </c>
      <c r="E61" s="9">
        <v>596</v>
      </c>
      <c r="F61" s="9">
        <v>334</v>
      </c>
      <c r="G61" s="9">
        <v>259</v>
      </c>
      <c r="H61" s="9">
        <v>3</v>
      </c>
      <c r="I61" s="9">
        <v>44</v>
      </c>
      <c r="J61" s="9">
        <v>0</v>
      </c>
      <c r="K61" s="9">
        <v>3</v>
      </c>
      <c r="L61" s="9">
        <v>200</v>
      </c>
      <c r="M61" s="9">
        <v>2</v>
      </c>
      <c r="N61" s="9">
        <v>411</v>
      </c>
      <c r="O61" s="9">
        <f t="shared" si="1"/>
        <v>5</v>
      </c>
      <c r="P61" s="9"/>
      <c r="Q61" s="9">
        <v>36</v>
      </c>
      <c r="R61" s="9">
        <v>43</v>
      </c>
      <c r="S61" s="9">
        <v>136</v>
      </c>
      <c r="T61" s="9">
        <v>134</v>
      </c>
      <c r="U61" s="9">
        <v>124</v>
      </c>
      <c r="V61" s="9">
        <v>88</v>
      </c>
      <c r="W61" s="9">
        <v>37</v>
      </c>
      <c r="X61" s="9">
        <v>34</v>
      </c>
    </row>
    <row r="62" spans="2:24" x14ac:dyDescent="0.3">
      <c r="B62" s="5" t="s">
        <v>122</v>
      </c>
      <c r="C62" s="8" t="s">
        <v>123</v>
      </c>
      <c r="D62" s="8" t="s">
        <v>254</v>
      </c>
      <c r="E62" s="9">
        <v>83</v>
      </c>
      <c r="F62" s="9">
        <v>34</v>
      </c>
      <c r="G62" s="9">
        <v>48</v>
      </c>
      <c r="H62" s="9">
        <v>1</v>
      </c>
      <c r="I62" s="9">
        <v>3</v>
      </c>
      <c r="J62" s="9">
        <v>0</v>
      </c>
      <c r="K62" s="9">
        <v>0</v>
      </c>
      <c r="L62" s="9">
        <v>32</v>
      </c>
      <c r="M62" s="9">
        <v>1</v>
      </c>
      <c r="N62" s="9">
        <v>50</v>
      </c>
      <c r="O62" s="9">
        <f t="shared" si="1"/>
        <v>1</v>
      </c>
      <c r="P62" s="9"/>
      <c r="Q62" s="9">
        <v>4</v>
      </c>
      <c r="R62" s="9">
        <v>4</v>
      </c>
      <c r="S62" s="9">
        <v>19</v>
      </c>
      <c r="T62" s="9">
        <v>20</v>
      </c>
      <c r="U62" s="9">
        <v>13</v>
      </c>
      <c r="V62" s="9">
        <v>12</v>
      </c>
      <c r="W62" s="9">
        <v>5</v>
      </c>
      <c r="X62" s="9">
        <v>10</v>
      </c>
    </row>
    <row r="63" spans="2:24" x14ac:dyDescent="0.3">
      <c r="B63" s="5" t="s">
        <v>124</v>
      </c>
      <c r="C63" s="8" t="s">
        <v>125</v>
      </c>
      <c r="D63" s="8" t="s">
        <v>255</v>
      </c>
      <c r="E63" s="9">
        <v>155</v>
      </c>
      <c r="F63" s="9">
        <v>80</v>
      </c>
      <c r="G63" s="9">
        <v>74</v>
      </c>
      <c r="H63" s="9">
        <v>1</v>
      </c>
      <c r="I63" s="9">
        <v>4</v>
      </c>
      <c r="J63" s="9">
        <v>0</v>
      </c>
      <c r="K63" s="9">
        <v>2</v>
      </c>
      <c r="L63" s="9">
        <v>43</v>
      </c>
      <c r="M63" s="9">
        <v>0</v>
      </c>
      <c r="N63" s="9">
        <v>103</v>
      </c>
      <c r="O63" s="9">
        <f t="shared" si="1"/>
        <v>2</v>
      </c>
      <c r="P63" s="9"/>
      <c r="Q63" s="9">
        <v>14</v>
      </c>
      <c r="R63" s="9">
        <v>7</v>
      </c>
      <c r="S63" s="9">
        <v>23</v>
      </c>
      <c r="T63" s="9">
        <v>35</v>
      </c>
      <c r="U63" s="9">
        <v>29</v>
      </c>
      <c r="V63" s="9">
        <v>19</v>
      </c>
      <c r="W63" s="9">
        <v>8</v>
      </c>
      <c r="X63" s="9">
        <v>34</v>
      </c>
    </row>
    <row r="64" spans="2:24" x14ac:dyDescent="0.3">
      <c r="B64" s="5" t="s">
        <v>126</v>
      </c>
      <c r="C64" s="8" t="s">
        <v>127</v>
      </c>
      <c r="D64" s="8" t="s">
        <v>254</v>
      </c>
      <c r="E64" s="9">
        <v>100</v>
      </c>
      <c r="F64" s="9">
        <v>57</v>
      </c>
      <c r="G64" s="9">
        <v>43</v>
      </c>
      <c r="H64" s="9">
        <v>0</v>
      </c>
      <c r="I64" s="9">
        <v>1</v>
      </c>
      <c r="J64" s="9">
        <v>0</v>
      </c>
      <c r="K64" s="9">
        <v>0</v>
      </c>
      <c r="L64" s="9">
        <v>17</v>
      </c>
      <c r="M64" s="9">
        <v>0</v>
      </c>
      <c r="N64" s="9">
        <v>74</v>
      </c>
      <c r="O64" s="9">
        <f t="shared" si="1"/>
        <v>0</v>
      </c>
      <c r="P64" s="9"/>
      <c r="Q64" s="9">
        <v>13</v>
      </c>
      <c r="R64" s="9">
        <v>7</v>
      </c>
      <c r="S64" s="9">
        <v>15</v>
      </c>
      <c r="T64" s="9">
        <v>16</v>
      </c>
      <c r="U64" s="9">
        <v>14</v>
      </c>
      <c r="V64" s="9">
        <v>12</v>
      </c>
      <c r="W64" s="9">
        <v>2</v>
      </c>
      <c r="X64" s="9">
        <v>34</v>
      </c>
    </row>
    <row r="65" spans="2:24" x14ac:dyDescent="0.3">
      <c r="B65" s="5" t="s">
        <v>128</v>
      </c>
      <c r="C65" s="8" t="s">
        <v>129</v>
      </c>
      <c r="D65" s="8" t="s">
        <v>254</v>
      </c>
      <c r="E65" s="9">
        <v>75</v>
      </c>
      <c r="F65" s="9">
        <v>51</v>
      </c>
      <c r="G65" s="9">
        <v>23</v>
      </c>
      <c r="H65" s="9">
        <v>1</v>
      </c>
      <c r="I65" s="9">
        <v>0</v>
      </c>
      <c r="J65" s="9">
        <v>0</v>
      </c>
      <c r="K65" s="9">
        <v>0</v>
      </c>
      <c r="L65" s="9">
        <v>38</v>
      </c>
      <c r="M65" s="9">
        <v>0</v>
      </c>
      <c r="N65" s="9">
        <v>37</v>
      </c>
      <c r="O65" s="9">
        <f t="shared" si="1"/>
        <v>0</v>
      </c>
      <c r="P65" s="9"/>
      <c r="Q65" s="9">
        <v>2</v>
      </c>
      <c r="R65" s="9">
        <v>3</v>
      </c>
      <c r="S65" s="9">
        <v>5</v>
      </c>
      <c r="T65" s="9">
        <v>9</v>
      </c>
      <c r="U65" s="9">
        <v>12</v>
      </c>
      <c r="V65" s="9">
        <v>7</v>
      </c>
      <c r="W65" s="9">
        <v>1</v>
      </c>
      <c r="X65" s="9">
        <v>38</v>
      </c>
    </row>
    <row r="66" spans="2:24" x14ac:dyDescent="0.3">
      <c r="B66" s="5" t="s">
        <v>130</v>
      </c>
      <c r="C66" s="8" t="s">
        <v>131</v>
      </c>
      <c r="D66" s="8" t="s">
        <v>256</v>
      </c>
      <c r="E66" s="9">
        <v>645</v>
      </c>
      <c r="F66" s="9">
        <v>331</v>
      </c>
      <c r="G66" s="9">
        <v>311</v>
      </c>
      <c r="H66" s="9">
        <v>3</v>
      </c>
      <c r="I66" s="9">
        <v>12</v>
      </c>
      <c r="J66" s="9">
        <v>0</v>
      </c>
      <c r="K66" s="9">
        <v>0</v>
      </c>
      <c r="L66" s="9">
        <v>9</v>
      </c>
      <c r="M66" s="9">
        <v>5</v>
      </c>
      <c r="N66" s="9">
        <v>619</v>
      </c>
      <c r="O66" s="9">
        <f t="shared" si="1"/>
        <v>5</v>
      </c>
      <c r="P66" s="9"/>
      <c r="Q66" s="9">
        <v>14</v>
      </c>
      <c r="R66" s="9">
        <v>68</v>
      </c>
      <c r="S66" s="9">
        <v>152</v>
      </c>
      <c r="T66" s="9">
        <v>143</v>
      </c>
      <c r="U66" s="9">
        <v>117</v>
      </c>
      <c r="V66" s="9">
        <v>92</v>
      </c>
      <c r="W66" s="9">
        <v>37</v>
      </c>
      <c r="X66" s="9">
        <v>36</v>
      </c>
    </row>
    <row r="67" spans="2:24" x14ac:dyDescent="0.3">
      <c r="B67" s="5" t="s">
        <v>132</v>
      </c>
      <c r="C67" s="8" t="s">
        <v>133</v>
      </c>
      <c r="D67" s="8" t="s">
        <v>255</v>
      </c>
      <c r="E67" s="9">
        <v>2983</v>
      </c>
      <c r="F67" s="9">
        <v>1451</v>
      </c>
      <c r="G67" s="9">
        <v>1465</v>
      </c>
      <c r="H67" s="9">
        <v>67</v>
      </c>
      <c r="I67" s="9">
        <v>502</v>
      </c>
      <c r="J67" s="9">
        <v>0</v>
      </c>
      <c r="K67" s="9">
        <v>38</v>
      </c>
      <c r="L67" s="9">
        <v>104</v>
      </c>
      <c r="M67" s="9">
        <v>0</v>
      </c>
      <c r="N67" s="9">
        <v>305</v>
      </c>
      <c r="O67" s="9">
        <f t="shared" si="1"/>
        <v>38</v>
      </c>
      <c r="P67" s="9"/>
      <c r="Q67" s="9">
        <v>2557</v>
      </c>
      <c r="R67" s="9">
        <v>118</v>
      </c>
      <c r="S67" s="9">
        <v>277</v>
      </c>
      <c r="T67" s="9">
        <v>552</v>
      </c>
      <c r="U67" s="9">
        <v>615</v>
      </c>
      <c r="V67" s="9">
        <v>557</v>
      </c>
      <c r="W67" s="9">
        <v>224</v>
      </c>
      <c r="X67" s="9">
        <v>640</v>
      </c>
    </row>
    <row r="68" spans="2:24" x14ac:dyDescent="0.3">
      <c r="B68" s="5" t="s">
        <v>134</v>
      </c>
      <c r="C68" s="8" t="s">
        <v>135</v>
      </c>
      <c r="D68" s="8" t="s">
        <v>255</v>
      </c>
      <c r="E68" s="9">
        <v>524</v>
      </c>
      <c r="F68" s="9">
        <v>259</v>
      </c>
      <c r="G68" s="9">
        <v>256</v>
      </c>
      <c r="H68" s="9">
        <v>9</v>
      </c>
      <c r="I68" s="9">
        <v>9</v>
      </c>
      <c r="J68" s="9">
        <v>5</v>
      </c>
      <c r="K68" s="9">
        <v>2</v>
      </c>
      <c r="L68" s="9">
        <v>117</v>
      </c>
      <c r="M68" s="9">
        <v>0</v>
      </c>
      <c r="N68" s="9">
        <v>392</v>
      </c>
      <c r="O68" s="9">
        <f t="shared" si="1"/>
        <v>7</v>
      </c>
      <c r="P68" s="9"/>
      <c r="Q68" s="9">
        <v>42</v>
      </c>
      <c r="R68" s="9">
        <v>39</v>
      </c>
      <c r="S68" s="9">
        <v>75</v>
      </c>
      <c r="T68" s="9">
        <v>99</v>
      </c>
      <c r="U68" s="9">
        <v>101</v>
      </c>
      <c r="V68" s="9">
        <v>82</v>
      </c>
      <c r="W68" s="9">
        <v>15</v>
      </c>
      <c r="X68" s="9">
        <v>113</v>
      </c>
    </row>
    <row r="69" spans="2:24" x14ac:dyDescent="0.3">
      <c r="B69" s="5" t="s">
        <v>136</v>
      </c>
      <c r="C69" s="8" t="s">
        <v>137</v>
      </c>
      <c r="D69" s="8" t="s">
        <v>254</v>
      </c>
      <c r="E69" s="9">
        <v>102</v>
      </c>
      <c r="F69" s="9">
        <v>43</v>
      </c>
      <c r="G69" s="9">
        <v>59</v>
      </c>
      <c r="H69" s="9">
        <v>0</v>
      </c>
      <c r="I69" s="9">
        <v>3</v>
      </c>
      <c r="J69" s="9">
        <v>0</v>
      </c>
      <c r="K69" s="9">
        <v>0</v>
      </c>
      <c r="L69" s="9">
        <v>41</v>
      </c>
      <c r="M69" s="9">
        <v>0</v>
      </c>
      <c r="N69" s="9">
        <v>58</v>
      </c>
      <c r="O69" s="9">
        <f t="shared" si="1"/>
        <v>0</v>
      </c>
      <c r="P69" s="9"/>
      <c r="Q69" s="9">
        <v>3</v>
      </c>
      <c r="R69" s="9">
        <v>8</v>
      </c>
      <c r="S69" s="9">
        <v>13</v>
      </c>
      <c r="T69" s="9">
        <v>25</v>
      </c>
      <c r="U69" s="9">
        <v>14</v>
      </c>
      <c r="V69" s="9">
        <v>24</v>
      </c>
      <c r="W69" s="9">
        <v>3</v>
      </c>
      <c r="X69" s="9">
        <v>15</v>
      </c>
    </row>
    <row r="70" spans="2:24" x14ac:dyDescent="0.3">
      <c r="B70" s="5" t="s">
        <v>138</v>
      </c>
      <c r="C70" s="8" t="s">
        <v>139</v>
      </c>
      <c r="D70" s="8" t="s">
        <v>253</v>
      </c>
      <c r="E70" s="9">
        <v>1240</v>
      </c>
      <c r="F70" s="9">
        <v>569</v>
      </c>
      <c r="G70" s="9">
        <v>653</v>
      </c>
      <c r="H70" s="9">
        <v>18</v>
      </c>
      <c r="I70" s="9">
        <v>37</v>
      </c>
      <c r="J70" s="9">
        <v>3</v>
      </c>
      <c r="K70" s="9">
        <v>4</v>
      </c>
      <c r="L70" s="9">
        <v>766</v>
      </c>
      <c r="M70" s="9">
        <v>0</v>
      </c>
      <c r="N70" s="9">
        <v>503</v>
      </c>
      <c r="O70" s="9">
        <f t="shared" ref="O70:O125" si="2">+M70+K70+J70</f>
        <v>7</v>
      </c>
      <c r="P70" s="9"/>
      <c r="Q70" s="9">
        <v>38</v>
      </c>
      <c r="R70" s="9">
        <v>128</v>
      </c>
      <c r="S70" s="9">
        <v>244</v>
      </c>
      <c r="T70" s="9">
        <v>292</v>
      </c>
      <c r="U70" s="9">
        <v>186</v>
      </c>
      <c r="V70" s="9">
        <v>156</v>
      </c>
      <c r="W70" s="9">
        <v>54</v>
      </c>
      <c r="X70" s="9">
        <v>180</v>
      </c>
    </row>
    <row r="71" spans="2:24" x14ac:dyDescent="0.3">
      <c r="B71" s="5" t="s">
        <v>140</v>
      </c>
      <c r="C71" s="8" t="s">
        <v>141</v>
      </c>
      <c r="D71" s="8" t="s">
        <v>255</v>
      </c>
      <c r="E71" s="9">
        <v>128</v>
      </c>
      <c r="F71" s="9">
        <v>59</v>
      </c>
      <c r="G71" s="9">
        <v>68</v>
      </c>
      <c r="H71" s="9">
        <v>1</v>
      </c>
      <c r="I71" s="9">
        <v>8</v>
      </c>
      <c r="J71" s="9">
        <v>0</v>
      </c>
      <c r="K71" s="9">
        <v>2</v>
      </c>
      <c r="L71" s="9">
        <v>21</v>
      </c>
      <c r="M71" s="9">
        <v>1</v>
      </c>
      <c r="N71" s="9">
        <v>111</v>
      </c>
      <c r="O71" s="9">
        <f t="shared" si="2"/>
        <v>3</v>
      </c>
      <c r="P71" s="9"/>
      <c r="Q71" s="9">
        <v>4</v>
      </c>
      <c r="R71" s="9">
        <v>14</v>
      </c>
      <c r="S71" s="9">
        <v>13</v>
      </c>
      <c r="T71" s="9">
        <v>28</v>
      </c>
      <c r="U71" s="9">
        <v>24</v>
      </c>
      <c r="V71" s="9">
        <v>21</v>
      </c>
      <c r="W71" s="9">
        <v>10</v>
      </c>
      <c r="X71" s="9">
        <v>18</v>
      </c>
    </row>
    <row r="72" spans="2:24" x14ac:dyDescent="0.3">
      <c r="B72" s="5" t="s">
        <v>142</v>
      </c>
      <c r="C72" s="8" t="s">
        <v>143</v>
      </c>
      <c r="D72" s="8" t="s">
        <v>255</v>
      </c>
      <c r="E72" s="9">
        <v>343</v>
      </c>
      <c r="F72" s="9">
        <v>170</v>
      </c>
      <c r="G72" s="9">
        <v>169</v>
      </c>
      <c r="H72" s="9">
        <v>4</v>
      </c>
      <c r="I72" s="9">
        <v>129</v>
      </c>
      <c r="J72" s="9">
        <v>0</v>
      </c>
      <c r="K72" s="9">
        <v>4</v>
      </c>
      <c r="L72" s="9">
        <v>95</v>
      </c>
      <c r="M72" s="9">
        <v>1</v>
      </c>
      <c r="N72" s="9">
        <v>243</v>
      </c>
      <c r="O72" s="9">
        <f t="shared" si="2"/>
        <v>5</v>
      </c>
      <c r="P72" s="9"/>
      <c r="Q72" s="9">
        <v>19</v>
      </c>
      <c r="R72" s="9">
        <v>25</v>
      </c>
      <c r="S72" s="9">
        <v>51</v>
      </c>
      <c r="T72" s="9">
        <v>76</v>
      </c>
      <c r="U72" s="9">
        <v>77</v>
      </c>
      <c r="V72" s="9">
        <v>52</v>
      </c>
      <c r="W72" s="9">
        <v>9</v>
      </c>
      <c r="X72" s="9">
        <v>53</v>
      </c>
    </row>
    <row r="73" spans="2:24" x14ac:dyDescent="0.3">
      <c r="B73" s="5" t="s">
        <v>144</v>
      </c>
      <c r="C73" s="8" t="s">
        <v>145</v>
      </c>
      <c r="D73" s="8" t="s">
        <v>255</v>
      </c>
      <c r="E73" s="9">
        <v>145</v>
      </c>
      <c r="F73" s="9">
        <v>71</v>
      </c>
      <c r="G73" s="9">
        <v>70</v>
      </c>
      <c r="H73" s="9">
        <v>4</v>
      </c>
      <c r="I73" s="9">
        <v>46</v>
      </c>
      <c r="J73" s="9">
        <v>0</v>
      </c>
      <c r="K73" s="9">
        <v>6</v>
      </c>
      <c r="L73" s="9">
        <v>18</v>
      </c>
      <c r="M73" s="9">
        <v>0</v>
      </c>
      <c r="N73" s="9">
        <v>106</v>
      </c>
      <c r="O73" s="9">
        <f t="shared" si="2"/>
        <v>6</v>
      </c>
      <c r="P73" s="9"/>
      <c r="Q73" s="9">
        <v>22</v>
      </c>
      <c r="R73" s="9">
        <v>4</v>
      </c>
      <c r="S73" s="9">
        <v>16</v>
      </c>
      <c r="T73" s="9">
        <v>17</v>
      </c>
      <c r="U73" s="9">
        <v>21</v>
      </c>
      <c r="V73" s="9">
        <v>17</v>
      </c>
      <c r="W73" s="9">
        <v>8</v>
      </c>
      <c r="X73" s="9">
        <v>62</v>
      </c>
    </row>
    <row r="74" spans="2:24" x14ac:dyDescent="0.3">
      <c r="B74" s="5" t="s">
        <v>146</v>
      </c>
      <c r="C74" s="8" t="s">
        <v>147</v>
      </c>
      <c r="D74" s="8" t="s">
        <v>252</v>
      </c>
      <c r="E74" s="9">
        <v>162</v>
      </c>
      <c r="F74" s="9">
        <v>83</v>
      </c>
      <c r="G74" s="9">
        <v>78</v>
      </c>
      <c r="H74" s="9">
        <v>1</v>
      </c>
      <c r="I74" s="9">
        <v>5</v>
      </c>
      <c r="J74" s="9">
        <v>0</v>
      </c>
      <c r="K74" s="9">
        <v>2</v>
      </c>
      <c r="L74" s="9">
        <v>42</v>
      </c>
      <c r="M74" s="9">
        <v>0</v>
      </c>
      <c r="N74" s="9">
        <v>124</v>
      </c>
      <c r="O74" s="9">
        <f t="shared" si="2"/>
        <v>2</v>
      </c>
      <c r="P74" s="9"/>
      <c r="Q74" s="9">
        <v>12</v>
      </c>
      <c r="R74" s="9">
        <v>12</v>
      </c>
      <c r="S74" s="9">
        <v>20</v>
      </c>
      <c r="T74" s="9">
        <v>21</v>
      </c>
      <c r="U74" s="9">
        <v>33</v>
      </c>
      <c r="V74" s="9">
        <v>22</v>
      </c>
      <c r="W74" s="9">
        <v>13</v>
      </c>
      <c r="X74" s="9">
        <v>41</v>
      </c>
    </row>
    <row r="75" spans="2:24" x14ac:dyDescent="0.3">
      <c r="B75" s="5" t="s">
        <v>148</v>
      </c>
      <c r="C75" s="8" t="s">
        <v>149</v>
      </c>
      <c r="D75" s="8" t="s">
        <v>253</v>
      </c>
      <c r="E75" s="9">
        <v>390</v>
      </c>
      <c r="F75" s="9">
        <v>182</v>
      </c>
      <c r="G75" s="9">
        <v>208</v>
      </c>
      <c r="H75" s="9">
        <v>0</v>
      </c>
      <c r="I75" s="9">
        <v>5</v>
      </c>
      <c r="J75" s="9">
        <v>0</v>
      </c>
      <c r="K75" s="9">
        <v>0</v>
      </c>
      <c r="L75" s="9">
        <v>190</v>
      </c>
      <c r="M75" s="9">
        <v>0</v>
      </c>
      <c r="N75" s="9">
        <v>196</v>
      </c>
      <c r="O75" s="9">
        <f t="shared" si="2"/>
        <v>0</v>
      </c>
      <c r="P75" s="9"/>
      <c r="Q75" s="9">
        <v>11</v>
      </c>
      <c r="R75" s="9">
        <v>20</v>
      </c>
      <c r="S75" s="9">
        <v>44</v>
      </c>
      <c r="T75" s="9">
        <v>95</v>
      </c>
      <c r="U75" s="9">
        <v>82</v>
      </c>
      <c r="V75" s="9">
        <v>56</v>
      </c>
      <c r="W75" s="9">
        <v>19</v>
      </c>
      <c r="X75" s="9">
        <v>74</v>
      </c>
    </row>
    <row r="76" spans="2:24" x14ac:dyDescent="0.3">
      <c r="B76" s="5" t="s">
        <v>150</v>
      </c>
      <c r="C76" s="8" t="s">
        <v>151</v>
      </c>
      <c r="D76" s="8" t="s">
        <v>254</v>
      </c>
      <c r="E76" s="9">
        <v>164</v>
      </c>
      <c r="F76" s="9">
        <v>77</v>
      </c>
      <c r="G76" s="9">
        <v>82</v>
      </c>
      <c r="H76" s="9">
        <v>5</v>
      </c>
      <c r="I76" s="9">
        <v>2</v>
      </c>
      <c r="J76" s="9">
        <v>0</v>
      </c>
      <c r="K76" s="9">
        <v>0</v>
      </c>
      <c r="L76" s="9">
        <v>45</v>
      </c>
      <c r="M76" s="9">
        <v>0</v>
      </c>
      <c r="N76" s="9">
        <v>102</v>
      </c>
      <c r="O76" s="9">
        <f t="shared" si="2"/>
        <v>0</v>
      </c>
      <c r="P76" s="9"/>
      <c r="Q76" s="9">
        <v>19</v>
      </c>
      <c r="R76" s="9">
        <v>7</v>
      </c>
      <c r="S76" s="9">
        <v>22</v>
      </c>
      <c r="T76" s="9">
        <v>21</v>
      </c>
      <c r="U76" s="9">
        <v>28</v>
      </c>
      <c r="V76" s="9">
        <v>19</v>
      </c>
      <c r="W76" s="9">
        <v>10</v>
      </c>
      <c r="X76" s="9">
        <v>57</v>
      </c>
    </row>
    <row r="77" spans="2:24" x14ac:dyDescent="0.3">
      <c r="B77" s="5" t="s">
        <v>152</v>
      </c>
      <c r="C77" s="8" t="s">
        <v>153</v>
      </c>
      <c r="D77" s="8" t="s">
        <v>256</v>
      </c>
      <c r="E77" s="9">
        <v>573</v>
      </c>
      <c r="F77" s="9">
        <v>279</v>
      </c>
      <c r="G77" s="9">
        <v>291</v>
      </c>
      <c r="H77" s="9">
        <v>3</v>
      </c>
      <c r="I77" s="9">
        <v>9</v>
      </c>
      <c r="J77" s="9">
        <v>1</v>
      </c>
      <c r="K77" s="9">
        <v>1</v>
      </c>
      <c r="L77" s="9">
        <v>37</v>
      </c>
      <c r="M77" s="9">
        <v>0</v>
      </c>
      <c r="N77" s="9">
        <v>526</v>
      </c>
      <c r="O77" s="9">
        <f t="shared" si="2"/>
        <v>2</v>
      </c>
      <c r="P77" s="9"/>
      <c r="Q77" s="9">
        <v>21</v>
      </c>
      <c r="R77" s="9">
        <v>48</v>
      </c>
      <c r="S77" s="9">
        <v>108</v>
      </c>
      <c r="T77" s="9">
        <v>134</v>
      </c>
      <c r="U77" s="9">
        <v>118</v>
      </c>
      <c r="V77" s="9">
        <v>88</v>
      </c>
      <c r="W77" s="9">
        <v>26</v>
      </c>
      <c r="X77" s="9">
        <v>51</v>
      </c>
    </row>
    <row r="78" spans="2:24" x14ac:dyDescent="0.3">
      <c r="B78" s="5" t="s">
        <v>154</v>
      </c>
      <c r="C78" s="8" t="s">
        <v>155</v>
      </c>
      <c r="D78" s="8" t="s">
        <v>253</v>
      </c>
      <c r="E78" s="9">
        <v>172</v>
      </c>
      <c r="F78" s="9">
        <v>68</v>
      </c>
      <c r="G78" s="9">
        <v>103</v>
      </c>
      <c r="H78" s="9">
        <v>1</v>
      </c>
      <c r="I78" s="9">
        <v>2</v>
      </c>
      <c r="J78" s="9">
        <v>0</v>
      </c>
      <c r="K78" s="9">
        <v>0</v>
      </c>
      <c r="L78" s="9">
        <v>13</v>
      </c>
      <c r="M78" s="9">
        <v>0</v>
      </c>
      <c r="N78" s="9">
        <v>154</v>
      </c>
      <c r="O78" s="9">
        <f t="shared" si="2"/>
        <v>0</v>
      </c>
      <c r="P78" s="9"/>
      <c r="Q78" s="9">
        <v>10</v>
      </c>
      <c r="R78" s="9">
        <v>10</v>
      </c>
      <c r="S78" s="9">
        <v>30</v>
      </c>
      <c r="T78" s="9">
        <v>40</v>
      </c>
      <c r="U78" s="9">
        <v>26</v>
      </c>
      <c r="V78" s="9">
        <v>28</v>
      </c>
      <c r="W78" s="9">
        <v>18</v>
      </c>
      <c r="X78" s="9">
        <v>20</v>
      </c>
    </row>
    <row r="79" spans="2:24" x14ac:dyDescent="0.3">
      <c r="B79" s="5" t="s">
        <v>156</v>
      </c>
      <c r="C79" s="8" t="s">
        <v>157</v>
      </c>
      <c r="D79" s="8" t="s">
        <v>254</v>
      </c>
      <c r="E79" s="9">
        <v>165</v>
      </c>
      <c r="F79" s="9">
        <v>83</v>
      </c>
      <c r="G79" s="9">
        <v>77</v>
      </c>
      <c r="H79" s="9">
        <v>5</v>
      </c>
      <c r="I79" s="9">
        <v>1</v>
      </c>
      <c r="J79" s="9">
        <v>0</v>
      </c>
      <c r="K79" s="9">
        <v>0</v>
      </c>
      <c r="L79" s="9">
        <v>23</v>
      </c>
      <c r="M79" s="9">
        <v>0</v>
      </c>
      <c r="N79" s="9">
        <v>124</v>
      </c>
      <c r="O79" s="9">
        <f t="shared" si="2"/>
        <v>0</v>
      </c>
      <c r="P79" s="9"/>
      <c r="Q79" s="9">
        <v>23</v>
      </c>
      <c r="R79" s="9">
        <v>13</v>
      </c>
      <c r="S79" s="9">
        <v>15</v>
      </c>
      <c r="T79" s="9">
        <v>21</v>
      </c>
      <c r="U79" s="9">
        <v>22</v>
      </c>
      <c r="V79" s="9">
        <v>32</v>
      </c>
      <c r="W79" s="9">
        <v>15</v>
      </c>
      <c r="X79" s="9">
        <v>47</v>
      </c>
    </row>
    <row r="80" spans="2:24" x14ac:dyDescent="0.3">
      <c r="B80" s="5" t="s">
        <v>158</v>
      </c>
      <c r="C80" s="8" t="s">
        <v>159</v>
      </c>
      <c r="D80" s="8" t="s">
        <v>252</v>
      </c>
      <c r="E80" s="9">
        <v>2604</v>
      </c>
      <c r="F80" s="9">
        <v>1279</v>
      </c>
      <c r="G80" s="9">
        <v>1282</v>
      </c>
      <c r="H80" s="9">
        <v>43</v>
      </c>
      <c r="I80" s="9">
        <v>144</v>
      </c>
      <c r="J80" s="9">
        <v>4</v>
      </c>
      <c r="K80" s="9">
        <v>21</v>
      </c>
      <c r="L80" s="9">
        <v>1561</v>
      </c>
      <c r="M80" s="9">
        <v>14</v>
      </c>
      <c r="N80" s="9">
        <v>895</v>
      </c>
      <c r="O80" s="9">
        <f t="shared" si="2"/>
        <v>39</v>
      </c>
      <c r="P80" s="9"/>
      <c r="Q80" s="9">
        <v>283</v>
      </c>
      <c r="R80" s="9">
        <v>158</v>
      </c>
      <c r="S80" s="9">
        <v>399</v>
      </c>
      <c r="T80" s="9">
        <v>499</v>
      </c>
      <c r="U80" s="9">
        <v>412</v>
      </c>
      <c r="V80" s="9">
        <v>372</v>
      </c>
      <c r="W80" s="9">
        <v>145</v>
      </c>
      <c r="X80" s="9">
        <v>619</v>
      </c>
    </row>
    <row r="81" spans="2:24" x14ac:dyDescent="0.3">
      <c r="B81" s="5" t="s">
        <v>160</v>
      </c>
      <c r="C81" s="8" t="s">
        <v>161</v>
      </c>
      <c r="D81" s="8" t="s">
        <v>252</v>
      </c>
      <c r="E81" s="9">
        <v>3167</v>
      </c>
      <c r="F81" s="9">
        <v>1558</v>
      </c>
      <c r="G81" s="9">
        <v>1542</v>
      </c>
      <c r="H81" s="9">
        <v>67</v>
      </c>
      <c r="I81" s="9">
        <v>124</v>
      </c>
      <c r="J81" s="9">
        <v>11</v>
      </c>
      <c r="K81" s="9">
        <v>42</v>
      </c>
      <c r="L81" s="9">
        <v>2162</v>
      </c>
      <c r="M81" s="9">
        <v>8</v>
      </c>
      <c r="N81" s="9">
        <v>973</v>
      </c>
      <c r="O81" s="9">
        <f t="shared" si="2"/>
        <v>61</v>
      </c>
      <c r="P81" s="9"/>
      <c r="Q81" s="9">
        <v>139</v>
      </c>
      <c r="R81" s="9">
        <v>253</v>
      </c>
      <c r="S81" s="9">
        <v>502</v>
      </c>
      <c r="T81" s="9">
        <v>599</v>
      </c>
      <c r="U81" s="9">
        <v>561</v>
      </c>
      <c r="V81" s="9">
        <v>465</v>
      </c>
      <c r="W81" s="9">
        <v>214</v>
      </c>
      <c r="X81" s="9">
        <v>573</v>
      </c>
    </row>
    <row r="82" spans="2:24" x14ac:dyDescent="0.3">
      <c r="B82" s="5" t="s">
        <v>162</v>
      </c>
      <c r="C82" s="8" t="s">
        <v>163</v>
      </c>
      <c r="D82" s="8" t="s">
        <v>252</v>
      </c>
      <c r="E82" s="9">
        <v>91</v>
      </c>
      <c r="F82" s="9">
        <v>44</v>
      </c>
      <c r="G82" s="9">
        <v>47</v>
      </c>
      <c r="H82" s="9">
        <v>0</v>
      </c>
      <c r="I82" s="9">
        <v>6</v>
      </c>
      <c r="J82" s="9">
        <v>1</v>
      </c>
      <c r="K82" s="9">
        <v>2</v>
      </c>
      <c r="L82" s="9">
        <v>42</v>
      </c>
      <c r="M82" s="9">
        <v>2</v>
      </c>
      <c r="N82" s="9">
        <v>45</v>
      </c>
      <c r="O82" s="9">
        <f t="shared" si="2"/>
        <v>5</v>
      </c>
      <c r="P82" s="9"/>
      <c r="Q82" s="9">
        <v>0</v>
      </c>
      <c r="R82" s="9">
        <v>6</v>
      </c>
      <c r="S82" s="9">
        <v>10</v>
      </c>
      <c r="T82" s="9">
        <v>26</v>
      </c>
      <c r="U82" s="9">
        <v>19</v>
      </c>
      <c r="V82" s="9">
        <v>12</v>
      </c>
      <c r="W82" s="9">
        <v>6</v>
      </c>
      <c r="X82" s="9">
        <v>12</v>
      </c>
    </row>
    <row r="83" spans="2:24" x14ac:dyDescent="0.3">
      <c r="B83" s="5" t="s">
        <v>164</v>
      </c>
      <c r="C83" s="8" t="s">
        <v>165</v>
      </c>
      <c r="D83" s="8" t="s">
        <v>254</v>
      </c>
      <c r="E83" s="9">
        <v>98</v>
      </c>
      <c r="F83" s="9">
        <v>58</v>
      </c>
      <c r="G83" s="9">
        <v>39</v>
      </c>
      <c r="H83" s="9">
        <v>1</v>
      </c>
      <c r="I83" s="9">
        <v>5</v>
      </c>
      <c r="J83" s="9">
        <v>0</v>
      </c>
      <c r="K83" s="9">
        <v>0</v>
      </c>
      <c r="L83" s="9">
        <v>49</v>
      </c>
      <c r="M83" s="9">
        <v>0</v>
      </c>
      <c r="N83" s="9">
        <v>52</v>
      </c>
      <c r="O83" s="9">
        <f t="shared" si="2"/>
        <v>0</v>
      </c>
      <c r="P83" s="9"/>
      <c r="Q83" s="9">
        <v>2</v>
      </c>
      <c r="R83" s="9">
        <v>5</v>
      </c>
      <c r="S83" s="9">
        <v>11</v>
      </c>
      <c r="T83" s="9">
        <v>21</v>
      </c>
      <c r="U83" s="9">
        <v>29</v>
      </c>
      <c r="V83" s="9">
        <v>18</v>
      </c>
      <c r="W83" s="9">
        <v>1</v>
      </c>
      <c r="X83" s="9">
        <v>13</v>
      </c>
    </row>
    <row r="84" spans="2:24" x14ac:dyDescent="0.3">
      <c r="B84" s="5" t="s">
        <v>166</v>
      </c>
      <c r="C84" s="8" t="s">
        <v>167</v>
      </c>
      <c r="D84" s="8" t="s">
        <v>256</v>
      </c>
      <c r="E84" s="9">
        <v>49</v>
      </c>
      <c r="F84" s="9">
        <v>21</v>
      </c>
      <c r="G84" s="9">
        <v>28</v>
      </c>
      <c r="H84" s="9">
        <v>0</v>
      </c>
      <c r="I84" s="9">
        <v>0</v>
      </c>
      <c r="J84" s="9">
        <v>0</v>
      </c>
      <c r="K84" s="9">
        <v>0</v>
      </c>
      <c r="L84" s="9">
        <v>7</v>
      </c>
      <c r="M84" s="9">
        <v>0</v>
      </c>
      <c r="N84" s="9">
        <v>48</v>
      </c>
      <c r="O84" s="9">
        <f t="shared" si="2"/>
        <v>0</v>
      </c>
      <c r="P84" s="9"/>
      <c r="Q84" s="9">
        <v>0</v>
      </c>
      <c r="R84" s="9">
        <v>3</v>
      </c>
      <c r="S84" s="9">
        <v>8</v>
      </c>
      <c r="T84" s="9">
        <v>7</v>
      </c>
      <c r="U84" s="9">
        <v>14</v>
      </c>
      <c r="V84" s="9">
        <v>10</v>
      </c>
      <c r="W84" s="9">
        <v>1</v>
      </c>
      <c r="X84" s="9">
        <v>6</v>
      </c>
    </row>
    <row r="85" spans="2:24" x14ac:dyDescent="0.3">
      <c r="B85" s="5" t="s">
        <v>168</v>
      </c>
      <c r="C85" s="8" t="s">
        <v>169</v>
      </c>
      <c r="D85" s="8" t="s">
        <v>254</v>
      </c>
      <c r="E85" s="9">
        <v>72</v>
      </c>
      <c r="F85" s="9">
        <v>35</v>
      </c>
      <c r="G85" s="9">
        <v>37</v>
      </c>
      <c r="H85" s="9">
        <v>0</v>
      </c>
      <c r="I85" s="9">
        <v>1</v>
      </c>
      <c r="J85" s="9">
        <v>0</v>
      </c>
      <c r="K85" s="9">
        <v>0</v>
      </c>
      <c r="L85" s="9">
        <v>30</v>
      </c>
      <c r="M85" s="9">
        <v>0</v>
      </c>
      <c r="N85" s="9">
        <v>40</v>
      </c>
      <c r="O85" s="9">
        <f t="shared" si="2"/>
        <v>0</v>
      </c>
      <c r="P85" s="9"/>
      <c r="Q85" s="9">
        <v>2</v>
      </c>
      <c r="R85" s="9">
        <v>9</v>
      </c>
      <c r="S85" s="9">
        <v>5</v>
      </c>
      <c r="T85" s="9">
        <v>8</v>
      </c>
      <c r="U85" s="9">
        <v>13</v>
      </c>
      <c r="V85" s="9">
        <v>13</v>
      </c>
      <c r="W85" s="9">
        <v>8</v>
      </c>
      <c r="X85" s="9">
        <v>16</v>
      </c>
    </row>
    <row r="86" spans="2:24" x14ac:dyDescent="0.3">
      <c r="B86" s="5" t="s">
        <v>170</v>
      </c>
      <c r="C86" s="8" t="s">
        <v>171</v>
      </c>
      <c r="D86" s="8" t="s">
        <v>255</v>
      </c>
      <c r="E86" s="9">
        <v>370</v>
      </c>
      <c r="F86" s="9">
        <v>176</v>
      </c>
      <c r="G86" s="9">
        <v>192</v>
      </c>
      <c r="H86" s="9">
        <v>2</v>
      </c>
      <c r="I86" s="9">
        <v>26</v>
      </c>
      <c r="J86" s="9">
        <v>0</v>
      </c>
      <c r="K86" s="9">
        <v>2</v>
      </c>
      <c r="L86" s="9">
        <v>75</v>
      </c>
      <c r="M86" s="9">
        <v>1</v>
      </c>
      <c r="N86" s="9">
        <v>288</v>
      </c>
      <c r="O86" s="9">
        <f t="shared" si="2"/>
        <v>3</v>
      </c>
      <c r="P86" s="9"/>
      <c r="Q86" s="9">
        <v>17</v>
      </c>
      <c r="R86" s="9">
        <v>24</v>
      </c>
      <c r="S86" s="9">
        <v>74</v>
      </c>
      <c r="T86" s="9">
        <v>75</v>
      </c>
      <c r="U86" s="9">
        <v>61</v>
      </c>
      <c r="V86" s="9">
        <v>74</v>
      </c>
      <c r="W86" s="9">
        <v>31</v>
      </c>
      <c r="X86" s="9">
        <v>31</v>
      </c>
    </row>
    <row r="87" spans="2:24" x14ac:dyDescent="0.3">
      <c r="B87" s="5" t="s">
        <v>172</v>
      </c>
      <c r="C87" s="8" t="s">
        <v>173</v>
      </c>
      <c r="D87" s="8" t="s">
        <v>255</v>
      </c>
      <c r="E87" s="9">
        <v>286</v>
      </c>
      <c r="F87" s="9">
        <v>123</v>
      </c>
      <c r="G87" s="9">
        <v>159</v>
      </c>
      <c r="H87" s="9">
        <v>4</v>
      </c>
      <c r="I87" s="9">
        <v>5</v>
      </c>
      <c r="J87" s="9">
        <v>0</v>
      </c>
      <c r="K87" s="9">
        <v>0</v>
      </c>
      <c r="L87" s="9">
        <v>11</v>
      </c>
      <c r="M87" s="9">
        <v>0</v>
      </c>
      <c r="N87" s="9">
        <v>277</v>
      </c>
      <c r="O87" s="9">
        <f t="shared" si="2"/>
        <v>0</v>
      </c>
      <c r="P87" s="9"/>
      <c r="Q87" s="9">
        <v>0</v>
      </c>
      <c r="R87" s="9">
        <v>24</v>
      </c>
      <c r="S87" s="9">
        <v>34</v>
      </c>
      <c r="T87" s="9">
        <v>71</v>
      </c>
      <c r="U87" s="9">
        <v>47</v>
      </c>
      <c r="V87" s="9">
        <v>48</v>
      </c>
      <c r="W87" s="9">
        <v>18</v>
      </c>
      <c r="X87" s="9">
        <v>44</v>
      </c>
    </row>
    <row r="88" spans="2:24" x14ac:dyDescent="0.3">
      <c r="B88" s="5" t="s">
        <v>174</v>
      </c>
      <c r="C88" s="8" t="s">
        <v>175</v>
      </c>
      <c r="D88" s="8" t="s">
        <v>256</v>
      </c>
      <c r="E88" s="9">
        <v>179</v>
      </c>
      <c r="F88" s="9">
        <v>88</v>
      </c>
      <c r="G88" s="9">
        <v>88</v>
      </c>
      <c r="H88" s="9">
        <v>3</v>
      </c>
      <c r="I88" s="9">
        <v>9</v>
      </c>
      <c r="J88" s="9">
        <v>0</v>
      </c>
      <c r="K88" s="9">
        <v>0</v>
      </c>
      <c r="L88" s="9">
        <v>22</v>
      </c>
      <c r="M88" s="9">
        <v>0</v>
      </c>
      <c r="N88" s="9">
        <v>149</v>
      </c>
      <c r="O88" s="9">
        <f t="shared" si="2"/>
        <v>0</v>
      </c>
      <c r="P88" s="9"/>
      <c r="Q88" s="9">
        <v>10</v>
      </c>
      <c r="R88" s="9">
        <v>20</v>
      </c>
      <c r="S88" s="9">
        <v>38</v>
      </c>
      <c r="T88" s="9">
        <v>53</v>
      </c>
      <c r="U88" s="9">
        <v>28</v>
      </c>
      <c r="V88" s="9">
        <v>13</v>
      </c>
      <c r="W88" s="9">
        <v>14</v>
      </c>
      <c r="X88" s="9">
        <v>13</v>
      </c>
    </row>
    <row r="89" spans="2:24" x14ac:dyDescent="0.3">
      <c r="B89" s="5" t="s">
        <v>176</v>
      </c>
      <c r="C89" s="8" t="s">
        <v>177</v>
      </c>
      <c r="D89" s="8" t="s">
        <v>254</v>
      </c>
      <c r="E89" s="9">
        <v>321</v>
      </c>
      <c r="F89" s="9">
        <v>153</v>
      </c>
      <c r="G89" s="9">
        <v>161</v>
      </c>
      <c r="H89" s="9">
        <v>7</v>
      </c>
      <c r="I89" s="9">
        <v>11</v>
      </c>
      <c r="J89" s="9">
        <v>0</v>
      </c>
      <c r="K89" s="9">
        <v>0</v>
      </c>
      <c r="L89" s="9">
        <v>256</v>
      </c>
      <c r="M89" s="9">
        <v>2</v>
      </c>
      <c r="N89" s="9">
        <v>46</v>
      </c>
      <c r="O89" s="9">
        <f t="shared" si="2"/>
        <v>2</v>
      </c>
      <c r="P89" s="9"/>
      <c r="Q89" s="9">
        <v>23</v>
      </c>
      <c r="R89" s="9">
        <v>33</v>
      </c>
      <c r="S89" s="9">
        <v>60</v>
      </c>
      <c r="T89" s="9">
        <v>68</v>
      </c>
      <c r="U89" s="9">
        <v>40</v>
      </c>
      <c r="V89" s="9">
        <v>34</v>
      </c>
      <c r="W89" s="9">
        <v>18</v>
      </c>
      <c r="X89" s="9">
        <v>68</v>
      </c>
    </row>
    <row r="90" spans="2:24" x14ac:dyDescent="0.3">
      <c r="B90" s="5" t="s">
        <v>178</v>
      </c>
      <c r="C90" s="8" t="s">
        <v>179</v>
      </c>
      <c r="D90" s="8" t="s">
        <v>253</v>
      </c>
      <c r="E90" s="9">
        <v>614</v>
      </c>
      <c r="F90" s="9">
        <v>269</v>
      </c>
      <c r="G90" s="9">
        <v>330</v>
      </c>
      <c r="H90" s="9">
        <v>15</v>
      </c>
      <c r="I90" s="9">
        <v>19</v>
      </c>
      <c r="J90" s="9">
        <v>2</v>
      </c>
      <c r="K90" s="9">
        <v>0</v>
      </c>
      <c r="L90" s="9">
        <v>132</v>
      </c>
      <c r="M90" s="9">
        <v>5</v>
      </c>
      <c r="N90" s="9">
        <v>461</v>
      </c>
      <c r="O90" s="9">
        <f t="shared" si="2"/>
        <v>7</v>
      </c>
      <c r="P90" s="9"/>
      <c r="Q90" s="9">
        <v>55</v>
      </c>
      <c r="R90" s="9">
        <v>42</v>
      </c>
      <c r="S90" s="9">
        <v>91</v>
      </c>
      <c r="T90" s="9">
        <v>128</v>
      </c>
      <c r="U90" s="9">
        <v>79</v>
      </c>
      <c r="V90" s="9">
        <v>95</v>
      </c>
      <c r="W90" s="9">
        <v>31</v>
      </c>
      <c r="X90" s="9">
        <v>148</v>
      </c>
    </row>
    <row r="91" spans="2:24" x14ac:dyDescent="0.3">
      <c r="B91" s="5" t="s">
        <v>180</v>
      </c>
      <c r="C91" s="8" t="s">
        <v>181</v>
      </c>
      <c r="D91" s="8" t="s">
        <v>252</v>
      </c>
      <c r="E91" s="9">
        <v>1806</v>
      </c>
      <c r="F91" s="9">
        <v>884</v>
      </c>
      <c r="G91" s="9">
        <v>866</v>
      </c>
      <c r="H91" s="9">
        <v>56</v>
      </c>
      <c r="I91" s="9">
        <v>45</v>
      </c>
      <c r="J91" s="9">
        <v>1</v>
      </c>
      <c r="K91" s="9">
        <v>15</v>
      </c>
      <c r="L91" s="9">
        <v>1209</v>
      </c>
      <c r="M91" s="9">
        <v>4</v>
      </c>
      <c r="N91" s="9">
        <v>510</v>
      </c>
      <c r="O91" s="9">
        <f t="shared" si="2"/>
        <v>20</v>
      </c>
      <c r="P91" s="9"/>
      <c r="Q91" s="9">
        <v>114</v>
      </c>
      <c r="R91" s="9">
        <v>128</v>
      </c>
      <c r="S91" s="9">
        <v>348</v>
      </c>
      <c r="T91" s="9">
        <v>404</v>
      </c>
      <c r="U91" s="9">
        <v>275</v>
      </c>
      <c r="V91" s="9">
        <v>235</v>
      </c>
      <c r="W91" s="9">
        <v>106</v>
      </c>
      <c r="X91" s="9">
        <v>310</v>
      </c>
    </row>
    <row r="92" spans="2:24" x14ac:dyDescent="0.3">
      <c r="B92" s="5" t="s">
        <v>182</v>
      </c>
      <c r="C92" s="8" t="s">
        <v>183</v>
      </c>
      <c r="D92" s="8" t="s">
        <v>254</v>
      </c>
      <c r="E92" s="9">
        <v>104</v>
      </c>
      <c r="F92" s="9">
        <v>45</v>
      </c>
      <c r="G92" s="9">
        <v>57</v>
      </c>
      <c r="H92" s="9">
        <v>2</v>
      </c>
      <c r="I92" s="9">
        <v>1</v>
      </c>
      <c r="J92" s="9">
        <v>0</v>
      </c>
      <c r="K92" s="9">
        <v>3</v>
      </c>
      <c r="L92" s="9">
        <v>14</v>
      </c>
      <c r="M92" s="9">
        <v>0</v>
      </c>
      <c r="N92" s="9">
        <v>80</v>
      </c>
      <c r="O92" s="9">
        <f t="shared" si="2"/>
        <v>3</v>
      </c>
      <c r="P92" s="9"/>
      <c r="Q92" s="9">
        <v>13</v>
      </c>
      <c r="R92" s="9">
        <v>4</v>
      </c>
      <c r="S92" s="9">
        <v>18</v>
      </c>
      <c r="T92" s="9">
        <v>18</v>
      </c>
      <c r="U92" s="9">
        <v>23</v>
      </c>
      <c r="V92" s="9">
        <v>18</v>
      </c>
      <c r="W92" s="9">
        <v>3</v>
      </c>
      <c r="X92" s="9">
        <v>20</v>
      </c>
    </row>
    <row r="93" spans="2:24" x14ac:dyDescent="0.3">
      <c r="B93" s="5" t="s">
        <v>184</v>
      </c>
      <c r="C93" s="8" t="s">
        <v>185</v>
      </c>
      <c r="D93" s="8" t="s">
        <v>254</v>
      </c>
      <c r="E93" s="9">
        <v>186</v>
      </c>
      <c r="F93" s="9">
        <v>88</v>
      </c>
      <c r="G93" s="9">
        <v>94</v>
      </c>
      <c r="H93" s="9">
        <v>4</v>
      </c>
      <c r="I93" s="9">
        <v>6</v>
      </c>
      <c r="J93" s="9">
        <v>0</v>
      </c>
      <c r="K93" s="9">
        <v>0</v>
      </c>
      <c r="L93" s="9">
        <v>95</v>
      </c>
      <c r="M93" s="9">
        <v>1</v>
      </c>
      <c r="N93" s="9">
        <v>88</v>
      </c>
      <c r="O93" s="9">
        <f t="shared" si="2"/>
        <v>1</v>
      </c>
      <c r="P93" s="9"/>
      <c r="Q93" s="9">
        <v>11</v>
      </c>
      <c r="R93" s="9">
        <v>12</v>
      </c>
      <c r="S93" s="9">
        <v>33</v>
      </c>
      <c r="T93" s="9">
        <v>42</v>
      </c>
      <c r="U93" s="9">
        <v>40</v>
      </c>
      <c r="V93" s="9">
        <v>22</v>
      </c>
      <c r="W93" s="9">
        <v>16</v>
      </c>
      <c r="X93" s="9">
        <v>21</v>
      </c>
    </row>
    <row r="94" spans="2:24" x14ac:dyDescent="0.3">
      <c r="B94" s="5" t="s">
        <v>186</v>
      </c>
      <c r="C94" s="8" t="s">
        <v>187</v>
      </c>
      <c r="D94" s="8" t="s">
        <v>252</v>
      </c>
      <c r="E94" s="9">
        <v>171</v>
      </c>
      <c r="F94" s="9">
        <v>81</v>
      </c>
      <c r="G94" s="9">
        <v>90</v>
      </c>
      <c r="H94" s="9">
        <v>0</v>
      </c>
      <c r="I94" s="9">
        <v>6</v>
      </c>
      <c r="J94" s="9">
        <v>0</v>
      </c>
      <c r="K94" s="9">
        <v>3</v>
      </c>
      <c r="L94" s="9">
        <v>54</v>
      </c>
      <c r="M94" s="9">
        <v>0</v>
      </c>
      <c r="N94" s="9">
        <v>108</v>
      </c>
      <c r="O94" s="9">
        <f t="shared" si="2"/>
        <v>3</v>
      </c>
      <c r="P94" s="9"/>
      <c r="Q94" s="9">
        <v>14</v>
      </c>
      <c r="R94" s="9">
        <v>9</v>
      </c>
      <c r="S94" s="9">
        <v>30</v>
      </c>
      <c r="T94" s="9">
        <v>35</v>
      </c>
      <c r="U94" s="9">
        <v>26</v>
      </c>
      <c r="V94" s="9">
        <v>30</v>
      </c>
      <c r="W94" s="9">
        <v>14</v>
      </c>
      <c r="X94" s="9">
        <v>27</v>
      </c>
    </row>
    <row r="95" spans="2:24" x14ac:dyDescent="0.3">
      <c r="B95" s="5" t="s">
        <v>188</v>
      </c>
      <c r="C95" s="8" t="s">
        <v>189</v>
      </c>
      <c r="D95" s="8" t="s">
        <v>255</v>
      </c>
      <c r="E95" s="9">
        <v>5581</v>
      </c>
      <c r="F95" s="9">
        <v>2630</v>
      </c>
      <c r="G95" s="9">
        <v>2848</v>
      </c>
      <c r="H95" s="9">
        <v>103</v>
      </c>
      <c r="I95" s="9">
        <v>1176</v>
      </c>
      <c r="J95" s="9">
        <v>2</v>
      </c>
      <c r="K95" s="9">
        <v>124</v>
      </c>
      <c r="L95" s="9">
        <v>2026</v>
      </c>
      <c r="M95" s="9">
        <v>19</v>
      </c>
      <c r="N95" s="9">
        <v>2888</v>
      </c>
      <c r="O95" s="9">
        <f t="shared" si="2"/>
        <v>145</v>
      </c>
      <c r="P95" s="9"/>
      <c r="Q95" s="9">
        <v>852</v>
      </c>
      <c r="R95" s="9">
        <v>292</v>
      </c>
      <c r="S95" s="9">
        <v>778</v>
      </c>
      <c r="T95" s="9">
        <v>1086</v>
      </c>
      <c r="U95" s="9">
        <v>1032</v>
      </c>
      <c r="V95" s="9">
        <v>920</v>
      </c>
      <c r="W95" s="9">
        <v>399</v>
      </c>
      <c r="X95" s="9">
        <v>1074</v>
      </c>
    </row>
    <row r="96" spans="2:24" x14ac:dyDescent="0.3">
      <c r="B96" s="5" t="s">
        <v>190</v>
      </c>
      <c r="C96" s="8" t="s">
        <v>191</v>
      </c>
      <c r="D96" s="8" t="s">
        <v>256</v>
      </c>
      <c r="E96" s="9">
        <v>1051</v>
      </c>
      <c r="F96" s="9">
        <v>495</v>
      </c>
      <c r="G96" s="9">
        <v>515</v>
      </c>
      <c r="H96" s="9">
        <v>41</v>
      </c>
      <c r="I96" s="9">
        <v>20</v>
      </c>
      <c r="J96" s="9">
        <v>1</v>
      </c>
      <c r="K96" s="9">
        <v>3</v>
      </c>
      <c r="L96" s="9">
        <v>163</v>
      </c>
      <c r="M96" s="9">
        <v>1</v>
      </c>
      <c r="N96" s="9">
        <v>915</v>
      </c>
      <c r="O96" s="9">
        <f t="shared" si="2"/>
        <v>5</v>
      </c>
      <c r="P96" s="9"/>
      <c r="Q96" s="9">
        <v>69</v>
      </c>
      <c r="R96" s="9">
        <v>76</v>
      </c>
      <c r="S96" s="9">
        <v>231</v>
      </c>
      <c r="T96" s="9">
        <v>180</v>
      </c>
      <c r="U96" s="9">
        <v>169</v>
      </c>
      <c r="V96" s="9">
        <v>169</v>
      </c>
      <c r="W96" s="9">
        <v>97</v>
      </c>
      <c r="X96" s="9">
        <v>129</v>
      </c>
    </row>
    <row r="97" spans="2:24" x14ac:dyDescent="0.3">
      <c r="B97" s="5" t="s">
        <v>192</v>
      </c>
      <c r="C97" s="8" t="s">
        <v>193</v>
      </c>
      <c r="D97" s="8" t="s">
        <v>256</v>
      </c>
      <c r="E97" s="9">
        <v>230</v>
      </c>
      <c r="F97" s="9">
        <v>118</v>
      </c>
      <c r="G97" s="9">
        <v>96</v>
      </c>
      <c r="H97" s="9">
        <v>16</v>
      </c>
      <c r="I97" s="9">
        <v>4</v>
      </c>
      <c r="J97" s="9">
        <v>0</v>
      </c>
      <c r="K97" s="9">
        <v>2</v>
      </c>
      <c r="L97" s="9">
        <v>22</v>
      </c>
      <c r="M97" s="9">
        <v>0</v>
      </c>
      <c r="N97" s="9">
        <v>141</v>
      </c>
      <c r="O97" s="9">
        <f t="shared" si="2"/>
        <v>2</v>
      </c>
      <c r="P97" s="9"/>
      <c r="Q97" s="9">
        <v>71</v>
      </c>
      <c r="R97" s="9">
        <v>16</v>
      </c>
      <c r="S97" s="9">
        <v>39</v>
      </c>
      <c r="T97" s="9">
        <v>29</v>
      </c>
      <c r="U97" s="9">
        <v>23</v>
      </c>
      <c r="V97" s="9">
        <v>26</v>
      </c>
      <c r="W97" s="9">
        <v>16</v>
      </c>
      <c r="X97" s="9">
        <v>81</v>
      </c>
    </row>
    <row r="98" spans="2:24" x14ac:dyDescent="0.3">
      <c r="B98" s="5" t="s">
        <v>194</v>
      </c>
      <c r="C98" s="8" t="s">
        <v>195</v>
      </c>
      <c r="D98" s="8" t="s">
        <v>255</v>
      </c>
      <c r="E98" s="9">
        <v>36</v>
      </c>
      <c r="F98" s="9">
        <v>10</v>
      </c>
      <c r="G98" s="9">
        <v>21</v>
      </c>
      <c r="H98" s="9">
        <v>5</v>
      </c>
      <c r="I98" s="9">
        <v>0</v>
      </c>
      <c r="J98" s="9">
        <v>0</v>
      </c>
      <c r="K98" s="9">
        <v>0</v>
      </c>
      <c r="L98" s="9">
        <v>0</v>
      </c>
      <c r="M98" s="9">
        <v>0</v>
      </c>
      <c r="N98" s="9">
        <v>30</v>
      </c>
      <c r="O98" s="9">
        <f t="shared" si="2"/>
        <v>0</v>
      </c>
      <c r="P98" s="9"/>
      <c r="Q98" s="9">
        <v>6</v>
      </c>
      <c r="R98" s="9">
        <v>7</v>
      </c>
      <c r="S98" s="9">
        <v>5</v>
      </c>
      <c r="T98" s="9">
        <v>8</v>
      </c>
      <c r="U98" s="9">
        <v>0</v>
      </c>
      <c r="V98" s="9">
        <v>3</v>
      </c>
      <c r="W98" s="9">
        <v>2</v>
      </c>
      <c r="X98" s="9">
        <v>11</v>
      </c>
    </row>
    <row r="99" spans="2:24" x14ac:dyDescent="0.3">
      <c r="B99" s="5" t="s">
        <v>196</v>
      </c>
      <c r="C99" s="8" t="s">
        <v>197</v>
      </c>
      <c r="D99" s="8" t="s">
        <v>254</v>
      </c>
      <c r="E99" s="9">
        <v>3661</v>
      </c>
      <c r="F99" s="9">
        <v>1751</v>
      </c>
      <c r="G99" s="9">
        <v>1786</v>
      </c>
      <c r="H99" s="9">
        <v>124</v>
      </c>
      <c r="I99" s="9">
        <v>144</v>
      </c>
      <c r="J99" s="9">
        <v>0</v>
      </c>
      <c r="K99" s="9">
        <v>35</v>
      </c>
      <c r="L99" s="9">
        <v>3106</v>
      </c>
      <c r="M99" s="9">
        <v>4</v>
      </c>
      <c r="N99" s="9">
        <v>519</v>
      </c>
      <c r="O99" s="9">
        <f t="shared" si="2"/>
        <v>39</v>
      </c>
      <c r="P99" s="9"/>
      <c r="Q99" s="9">
        <v>123</v>
      </c>
      <c r="R99" s="9">
        <v>308</v>
      </c>
      <c r="S99" s="9">
        <v>644</v>
      </c>
      <c r="T99" s="9">
        <v>795</v>
      </c>
      <c r="U99" s="9">
        <v>642</v>
      </c>
      <c r="V99" s="9">
        <v>490</v>
      </c>
      <c r="W99" s="9">
        <v>273</v>
      </c>
      <c r="X99" s="9">
        <v>509</v>
      </c>
    </row>
    <row r="100" spans="2:24" x14ac:dyDescent="0.3">
      <c r="B100" s="5" t="s">
        <v>198</v>
      </c>
      <c r="C100" s="8" t="s">
        <v>260</v>
      </c>
      <c r="D100" s="8" t="s">
        <v>254</v>
      </c>
      <c r="E100" s="9">
        <v>42</v>
      </c>
      <c r="F100" s="9">
        <v>25</v>
      </c>
      <c r="G100" s="9">
        <v>17</v>
      </c>
      <c r="H100" s="9">
        <v>0</v>
      </c>
      <c r="I100" s="9">
        <v>6</v>
      </c>
      <c r="J100" s="9">
        <v>0</v>
      </c>
      <c r="K100" s="9">
        <v>0</v>
      </c>
      <c r="L100" s="9">
        <v>16</v>
      </c>
      <c r="M100" s="9">
        <v>0</v>
      </c>
      <c r="N100" s="9">
        <v>23</v>
      </c>
      <c r="O100" s="9">
        <f t="shared" si="2"/>
        <v>0</v>
      </c>
      <c r="P100" s="9"/>
      <c r="Q100" s="9">
        <v>3</v>
      </c>
      <c r="R100" s="9">
        <v>7</v>
      </c>
      <c r="S100" s="9">
        <v>7</v>
      </c>
      <c r="T100" s="9">
        <v>7</v>
      </c>
      <c r="U100" s="9">
        <v>3</v>
      </c>
      <c r="V100" s="9">
        <v>6</v>
      </c>
      <c r="W100" s="9">
        <v>3</v>
      </c>
      <c r="X100" s="9">
        <v>9</v>
      </c>
    </row>
    <row r="101" spans="2:24" x14ac:dyDescent="0.3">
      <c r="B101" s="5" t="s">
        <v>200</v>
      </c>
      <c r="C101" s="8" t="s">
        <v>201</v>
      </c>
      <c r="D101" s="8" t="s">
        <v>253</v>
      </c>
      <c r="E101" s="9">
        <v>1888</v>
      </c>
      <c r="F101" s="9">
        <v>954</v>
      </c>
      <c r="G101" s="9">
        <v>907</v>
      </c>
      <c r="H101" s="9">
        <v>27</v>
      </c>
      <c r="I101" s="9">
        <v>120</v>
      </c>
      <c r="J101" s="9">
        <v>0</v>
      </c>
      <c r="K101" s="9">
        <v>12</v>
      </c>
      <c r="L101" s="9">
        <v>814</v>
      </c>
      <c r="M101" s="9">
        <v>25</v>
      </c>
      <c r="N101" s="9">
        <v>1129</v>
      </c>
      <c r="O101" s="9">
        <f t="shared" si="2"/>
        <v>37</v>
      </c>
      <c r="P101" s="9"/>
      <c r="Q101" s="9">
        <v>70</v>
      </c>
      <c r="R101" s="9">
        <v>208</v>
      </c>
      <c r="S101" s="9">
        <v>369</v>
      </c>
      <c r="T101" s="9">
        <v>378</v>
      </c>
      <c r="U101" s="9">
        <v>309</v>
      </c>
      <c r="V101" s="9">
        <v>309</v>
      </c>
      <c r="W101" s="9">
        <v>112</v>
      </c>
      <c r="X101" s="9">
        <v>203</v>
      </c>
    </row>
    <row r="102" spans="2:24" x14ac:dyDescent="0.3">
      <c r="B102" s="5" t="s">
        <v>202</v>
      </c>
      <c r="C102" s="1" t="s">
        <v>289</v>
      </c>
      <c r="D102" s="8" t="s">
        <v>253</v>
      </c>
      <c r="E102" s="10">
        <v>1285</v>
      </c>
      <c r="F102" s="10">
        <v>622</v>
      </c>
      <c r="G102" s="10">
        <v>638</v>
      </c>
      <c r="H102" s="10">
        <v>25</v>
      </c>
      <c r="I102" s="10">
        <v>41</v>
      </c>
      <c r="J102" s="10">
        <v>2</v>
      </c>
      <c r="K102" s="10">
        <v>8</v>
      </c>
      <c r="L102" s="10">
        <v>189</v>
      </c>
      <c r="M102" s="10">
        <v>1</v>
      </c>
      <c r="N102" s="10">
        <v>1071</v>
      </c>
      <c r="O102" s="9">
        <f t="shared" si="2"/>
        <v>11</v>
      </c>
      <c r="P102" s="10">
        <v>0</v>
      </c>
      <c r="Q102" s="10">
        <v>75</v>
      </c>
      <c r="R102" s="10">
        <v>84</v>
      </c>
      <c r="S102" s="10">
        <v>183</v>
      </c>
      <c r="T102" s="10">
        <v>230</v>
      </c>
      <c r="U102" s="10">
        <v>251</v>
      </c>
      <c r="V102" s="10">
        <v>204</v>
      </c>
      <c r="W102" s="10">
        <v>107</v>
      </c>
      <c r="X102" s="10">
        <v>226</v>
      </c>
    </row>
    <row r="103" spans="2:24" ht="31.2" x14ac:dyDescent="0.3">
      <c r="B103" s="5" t="s">
        <v>204</v>
      </c>
      <c r="C103" s="1" t="s">
        <v>281</v>
      </c>
      <c r="D103" s="8" t="s">
        <v>253</v>
      </c>
      <c r="E103" s="10">
        <v>312</v>
      </c>
      <c r="F103" s="10">
        <v>151</v>
      </c>
      <c r="G103" s="10">
        <v>158</v>
      </c>
      <c r="H103" s="10">
        <v>3</v>
      </c>
      <c r="I103" s="10">
        <v>14</v>
      </c>
      <c r="J103" s="10">
        <v>0</v>
      </c>
      <c r="K103" s="10">
        <v>0</v>
      </c>
      <c r="L103" s="10">
        <v>33</v>
      </c>
      <c r="M103" s="10">
        <v>0</v>
      </c>
      <c r="N103" s="10">
        <v>287</v>
      </c>
      <c r="O103" s="9">
        <f t="shared" si="2"/>
        <v>0</v>
      </c>
      <c r="P103" s="10">
        <v>0</v>
      </c>
      <c r="Q103" s="10">
        <v>10</v>
      </c>
      <c r="R103" s="10">
        <v>25</v>
      </c>
      <c r="S103" s="10">
        <v>51</v>
      </c>
      <c r="T103" s="10">
        <v>80</v>
      </c>
      <c r="U103" s="10">
        <v>59</v>
      </c>
      <c r="V103" s="10">
        <v>39</v>
      </c>
      <c r="W103" s="10">
        <v>13</v>
      </c>
      <c r="X103" s="10">
        <v>45</v>
      </c>
    </row>
    <row r="104" spans="2:24" ht="31.2" x14ac:dyDescent="0.3">
      <c r="B104" s="5" t="s">
        <v>206</v>
      </c>
      <c r="C104" s="1" t="s">
        <v>282</v>
      </c>
      <c r="D104" s="8" t="s">
        <v>255</v>
      </c>
      <c r="E104" s="10">
        <v>2388</v>
      </c>
      <c r="F104" s="10">
        <v>1152</v>
      </c>
      <c r="G104" s="10">
        <v>1167</v>
      </c>
      <c r="H104" s="10">
        <v>69</v>
      </c>
      <c r="I104" s="10">
        <v>357</v>
      </c>
      <c r="J104" s="10">
        <v>0</v>
      </c>
      <c r="K104" s="10">
        <v>17</v>
      </c>
      <c r="L104" s="10">
        <v>160</v>
      </c>
      <c r="M104" s="10">
        <v>2</v>
      </c>
      <c r="N104" s="10">
        <v>2239</v>
      </c>
      <c r="O104" s="9">
        <f t="shared" si="2"/>
        <v>19</v>
      </c>
      <c r="P104" s="10">
        <v>0</v>
      </c>
      <c r="Q104" s="10">
        <v>22</v>
      </c>
      <c r="R104" s="10">
        <v>105</v>
      </c>
      <c r="S104" s="10">
        <v>265</v>
      </c>
      <c r="T104" s="10">
        <v>473</v>
      </c>
      <c r="U104" s="10">
        <v>369</v>
      </c>
      <c r="V104" s="10">
        <v>333</v>
      </c>
      <c r="W104" s="10">
        <v>129</v>
      </c>
      <c r="X104" s="10">
        <v>714</v>
      </c>
    </row>
    <row r="105" spans="2:24" x14ac:dyDescent="0.3">
      <c r="B105" s="5" t="s">
        <v>208</v>
      </c>
      <c r="C105" s="8" t="s">
        <v>209</v>
      </c>
      <c r="D105" s="8" t="s">
        <v>256</v>
      </c>
      <c r="E105" s="9">
        <v>451</v>
      </c>
      <c r="F105" s="9">
        <v>243</v>
      </c>
      <c r="G105" s="9">
        <v>207</v>
      </c>
      <c r="H105" s="9">
        <v>1</v>
      </c>
      <c r="I105" s="9">
        <v>9</v>
      </c>
      <c r="J105" s="9">
        <v>0</v>
      </c>
      <c r="K105" s="9">
        <v>2</v>
      </c>
      <c r="L105" s="9">
        <v>9</v>
      </c>
      <c r="M105" s="9">
        <v>0</v>
      </c>
      <c r="N105" s="9">
        <v>437</v>
      </c>
      <c r="O105" s="9">
        <f t="shared" si="2"/>
        <v>2</v>
      </c>
      <c r="P105" s="9"/>
      <c r="Q105" s="9">
        <v>3</v>
      </c>
      <c r="R105" s="9">
        <v>40</v>
      </c>
      <c r="S105" s="9">
        <v>95</v>
      </c>
      <c r="T105" s="9">
        <v>120</v>
      </c>
      <c r="U105" s="9">
        <v>98</v>
      </c>
      <c r="V105" s="9">
        <v>41</v>
      </c>
      <c r="W105" s="9">
        <v>25</v>
      </c>
      <c r="X105" s="9">
        <v>32</v>
      </c>
    </row>
    <row r="106" spans="2:24" x14ac:dyDescent="0.3">
      <c r="B106" s="5" t="s">
        <v>210</v>
      </c>
      <c r="C106" s="8" t="s">
        <v>211</v>
      </c>
      <c r="D106" s="8" t="s">
        <v>256</v>
      </c>
      <c r="E106" s="9">
        <v>319</v>
      </c>
      <c r="F106" s="9">
        <v>153</v>
      </c>
      <c r="G106" s="9">
        <v>166</v>
      </c>
      <c r="H106" s="9">
        <v>0</v>
      </c>
      <c r="I106" s="9">
        <v>2</v>
      </c>
      <c r="J106" s="9">
        <v>0</v>
      </c>
      <c r="K106" s="9">
        <v>0</v>
      </c>
      <c r="L106" s="9">
        <v>6</v>
      </c>
      <c r="M106" s="9">
        <v>1</v>
      </c>
      <c r="N106" s="9">
        <v>313</v>
      </c>
      <c r="O106" s="9">
        <f t="shared" si="2"/>
        <v>1</v>
      </c>
      <c r="P106" s="9"/>
      <c r="Q106" s="9">
        <v>3</v>
      </c>
      <c r="R106" s="9">
        <v>30</v>
      </c>
      <c r="S106" s="9">
        <v>70</v>
      </c>
      <c r="T106" s="9">
        <v>78</v>
      </c>
      <c r="U106" s="9">
        <v>57</v>
      </c>
      <c r="V106" s="9">
        <v>49</v>
      </c>
      <c r="W106" s="9">
        <v>13</v>
      </c>
      <c r="X106" s="9">
        <v>22</v>
      </c>
    </row>
    <row r="107" spans="2:24" x14ac:dyDescent="0.3">
      <c r="B107" s="5" t="s">
        <v>212</v>
      </c>
      <c r="C107" s="8" t="s">
        <v>213</v>
      </c>
      <c r="D107" s="8" t="s">
        <v>255</v>
      </c>
      <c r="E107" s="9">
        <v>675</v>
      </c>
      <c r="F107" s="9">
        <v>340</v>
      </c>
      <c r="G107" s="9">
        <v>324</v>
      </c>
      <c r="H107" s="9">
        <v>11</v>
      </c>
      <c r="I107" s="9">
        <v>65</v>
      </c>
      <c r="J107" s="9">
        <v>0</v>
      </c>
      <c r="K107" s="9">
        <v>1</v>
      </c>
      <c r="L107" s="9">
        <v>15</v>
      </c>
      <c r="M107" s="9">
        <v>0</v>
      </c>
      <c r="N107" s="9">
        <v>661</v>
      </c>
      <c r="O107" s="9">
        <f t="shared" si="2"/>
        <v>1</v>
      </c>
      <c r="P107" s="9"/>
      <c r="Q107" s="9">
        <v>8</v>
      </c>
      <c r="R107" s="9">
        <v>36</v>
      </c>
      <c r="S107" s="9">
        <v>128</v>
      </c>
      <c r="T107" s="9">
        <v>153</v>
      </c>
      <c r="U107" s="9">
        <v>97</v>
      </c>
      <c r="V107" s="9">
        <v>85</v>
      </c>
      <c r="W107" s="9">
        <v>43</v>
      </c>
      <c r="X107" s="9">
        <v>133</v>
      </c>
    </row>
    <row r="108" spans="2:24" x14ac:dyDescent="0.3">
      <c r="B108" s="5" t="s">
        <v>214</v>
      </c>
      <c r="C108" s="8" t="s">
        <v>215</v>
      </c>
      <c r="D108" s="8" t="s">
        <v>256</v>
      </c>
      <c r="E108" s="9">
        <v>904</v>
      </c>
      <c r="F108" s="9">
        <v>458</v>
      </c>
      <c r="G108" s="9">
        <v>437</v>
      </c>
      <c r="H108" s="9">
        <v>9</v>
      </c>
      <c r="I108" s="9">
        <v>15</v>
      </c>
      <c r="J108" s="9">
        <v>0</v>
      </c>
      <c r="K108" s="9">
        <v>0</v>
      </c>
      <c r="L108" s="9">
        <v>25</v>
      </c>
      <c r="M108" s="9">
        <v>1</v>
      </c>
      <c r="N108" s="9">
        <v>872</v>
      </c>
      <c r="O108" s="9">
        <f t="shared" si="2"/>
        <v>1</v>
      </c>
      <c r="P108" s="9"/>
      <c r="Q108" s="9">
        <v>15</v>
      </c>
      <c r="R108" s="9">
        <v>66</v>
      </c>
      <c r="S108" s="9">
        <v>154</v>
      </c>
      <c r="T108" s="9">
        <v>182</v>
      </c>
      <c r="U108" s="9">
        <v>139</v>
      </c>
      <c r="V108" s="9">
        <v>104</v>
      </c>
      <c r="W108" s="9">
        <v>40</v>
      </c>
      <c r="X108" s="9">
        <v>219</v>
      </c>
    </row>
    <row r="109" spans="2:24" x14ac:dyDescent="0.3">
      <c r="B109" s="5" t="s">
        <v>216</v>
      </c>
      <c r="C109" s="8" t="s">
        <v>217</v>
      </c>
      <c r="D109" s="8" t="s">
        <v>252</v>
      </c>
      <c r="E109" s="9">
        <v>108</v>
      </c>
      <c r="F109" s="9">
        <v>53</v>
      </c>
      <c r="G109" s="9">
        <v>55</v>
      </c>
      <c r="H109" s="9">
        <v>0</v>
      </c>
      <c r="I109" s="9">
        <v>3</v>
      </c>
      <c r="J109" s="9">
        <v>1</v>
      </c>
      <c r="K109" s="9">
        <v>0</v>
      </c>
      <c r="L109" s="9">
        <v>65</v>
      </c>
      <c r="M109" s="9">
        <v>0</v>
      </c>
      <c r="N109" s="9">
        <v>37</v>
      </c>
      <c r="O109" s="9">
        <f t="shared" si="2"/>
        <v>1</v>
      </c>
      <c r="P109" s="9"/>
      <c r="Q109" s="9">
        <v>8</v>
      </c>
      <c r="R109" s="9">
        <v>11</v>
      </c>
      <c r="S109" s="9">
        <v>23</v>
      </c>
      <c r="T109" s="9">
        <v>30</v>
      </c>
      <c r="U109" s="9">
        <v>18</v>
      </c>
      <c r="V109" s="9">
        <v>14</v>
      </c>
      <c r="W109" s="9">
        <v>9</v>
      </c>
      <c r="X109" s="9">
        <v>3</v>
      </c>
    </row>
    <row r="110" spans="2:24" x14ac:dyDescent="0.3">
      <c r="B110" s="5" t="s">
        <v>218</v>
      </c>
      <c r="C110" s="8" t="s">
        <v>219</v>
      </c>
      <c r="D110" s="8" t="s">
        <v>255</v>
      </c>
      <c r="E110" s="9">
        <v>1326</v>
      </c>
      <c r="F110" s="9">
        <v>618</v>
      </c>
      <c r="G110" s="9">
        <v>681</v>
      </c>
      <c r="H110" s="9">
        <v>27</v>
      </c>
      <c r="I110" s="9">
        <v>31</v>
      </c>
      <c r="J110" s="9">
        <v>0</v>
      </c>
      <c r="K110" s="9">
        <v>2</v>
      </c>
      <c r="L110" s="9">
        <v>155</v>
      </c>
      <c r="M110" s="9">
        <v>1</v>
      </c>
      <c r="N110" s="9">
        <v>481</v>
      </c>
      <c r="O110" s="9">
        <f t="shared" si="2"/>
        <v>3</v>
      </c>
      <c r="P110" s="9"/>
      <c r="Q110" s="9">
        <v>721</v>
      </c>
      <c r="R110" s="9">
        <v>83</v>
      </c>
      <c r="S110" s="9">
        <v>193</v>
      </c>
      <c r="T110" s="9">
        <v>226</v>
      </c>
      <c r="U110" s="9">
        <v>243</v>
      </c>
      <c r="V110" s="9">
        <v>223</v>
      </c>
      <c r="W110" s="9">
        <v>98</v>
      </c>
      <c r="X110" s="9">
        <v>260</v>
      </c>
    </row>
    <row r="111" spans="2:24" x14ac:dyDescent="0.3">
      <c r="B111" s="5" t="s">
        <v>220</v>
      </c>
      <c r="C111" s="8" t="s">
        <v>221</v>
      </c>
      <c r="D111" s="8" t="s">
        <v>255</v>
      </c>
      <c r="E111" s="9">
        <v>475</v>
      </c>
      <c r="F111" s="9">
        <v>234</v>
      </c>
      <c r="G111" s="9">
        <v>237</v>
      </c>
      <c r="H111" s="9">
        <v>4</v>
      </c>
      <c r="I111" s="9">
        <v>48</v>
      </c>
      <c r="J111" s="9">
        <v>1</v>
      </c>
      <c r="K111" s="9">
        <v>10</v>
      </c>
      <c r="L111" s="9">
        <v>149</v>
      </c>
      <c r="M111" s="9">
        <v>1</v>
      </c>
      <c r="N111" s="9">
        <v>321</v>
      </c>
      <c r="O111" s="9">
        <f t="shared" si="2"/>
        <v>12</v>
      </c>
      <c r="P111" s="9"/>
      <c r="Q111" s="9">
        <v>18</v>
      </c>
      <c r="R111" s="9">
        <v>41</v>
      </c>
      <c r="S111" s="9">
        <v>69</v>
      </c>
      <c r="T111" s="9">
        <v>103</v>
      </c>
      <c r="U111" s="9">
        <v>59</v>
      </c>
      <c r="V111" s="9">
        <v>68</v>
      </c>
      <c r="W111" s="9">
        <v>30</v>
      </c>
      <c r="X111" s="9">
        <v>105</v>
      </c>
    </row>
    <row r="112" spans="2:24" x14ac:dyDescent="0.3">
      <c r="B112" s="5" t="s">
        <v>222</v>
      </c>
      <c r="C112" s="8" t="s">
        <v>223</v>
      </c>
      <c r="D112" s="8" t="s">
        <v>252</v>
      </c>
      <c r="E112" s="9">
        <v>961</v>
      </c>
      <c r="F112" s="9">
        <v>438</v>
      </c>
      <c r="G112" s="9">
        <v>481</v>
      </c>
      <c r="H112" s="9">
        <v>42</v>
      </c>
      <c r="I112" s="9">
        <v>20</v>
      </c>
      <c r="J112" s="9">
        <v>0</v>
      </c>
      <c r="K112" s="9">
        <v>7</v>
      </c>
      <c r="L112" s="9">
        <v>590</v>
      </c>
      <c r="M112" s="9">
        <v>1</v>
      </c>
      <c r="N112" s="9">
        <v>324</v>
      </c>
      <c r="O112" s="9">
        <f t="shared" si="2"/>
        <v>8</v>
      </c>
      <c r="P112" s="9"/>
      <c r="Q112" s="9">
        <v>70</v>
      </c>
      <c r="R112" s="9">
        <v>53</v>
      </c>
      <c r="S112" s="9">
        <v>103</v>
      </c>
      <c r="T112" s="9">
        <v>168</v>
      </c>
      <c r="U112" s="9">
        <v>127</v>
      </c>
      <c r="V112" s="9">
        <v>149</v>
      </c>
      <c r="W112" s="9">
        <v>51</v>
      </c>
      <c r="X112" s="9">
        <v>310</v>
      </c>
    </row>
    <row r="113" spans="2:24" x14ac:dyDescent="0.3">
      <c r="B113" s="5" t="s">
        <v>224</v>
      </c>
      <c r="C113" s="8" t="s">
        <v>225</v>
      </c>
      <c r="D113" s="8" t="s">
        <v>252</v>
      </c>
      <c r="E113" s="9">
        <v>46</v>
      </c>
      <c r="F113" s="9">
        <v>17</v>
      </c>
      <c r="G113" s="9">
        <v>29</v>
      </c>
      <c r="H113" s="9">
        <v>0</v>
      </c>
      <c r="I113" s="9">
        <v>0</v>
      </c>
      <c r="J113" s="9">
        <v>0</v>
      </c>
      <c r="K113" s="9">
        <v>0</v>
      </c>
      <c r="L113" s="9">
        <v>19</v>
      </c>
      <c r="M113" s="9">
        <v>0</v>
      </c>
      <c r="N113" s="9">
        <v>26</v>
      </c>
      <c r="O113" s="9">
        <f t="shared" si="2"/>
        <v>0</v>
      </c>
      <c r="P113" s="9"/>
      <c r="Q113" s="9">
        <v>1</v>
      </c>
      <c r="R113" s="9">
        <v>1</v>
      </c>
      <c r="S113" s="9">
        <v>6</v>
      </c>
      <c r="T113" s="9">
        <v>5</v>
      </c>
      <c r="U113" s="9">
        <v>10</v>
      </c>
      <c r="V113" s="9">
        <v>9</v>
      </c>
      <c r="W113" s="9">
        <v>4</v>
      </c>
      <c r="X113" s="9">
        <v>11</v>
      </c>
    </row>
    <row r="114" spans="2:24" x14ac:dyDescent="0.3">
      <c r="B114" s="5" t="s">
        <v>226</v>
      </c>
      <c r="C114" s="8" t="s">
        <v>227</v>
      </c>
      <c r="D114" s="8" t="s">
        <v>252</v>
      </c>
      <c r="E114" s="9">
        <v>79</v>
      </c>
      <c r="F114" s="9">
        <v>40</v>
      </c>
      <c r="G114" s="9">
        <v>39</v>
      </c>
      <c r="H114" s="9">
        <v>0</v>
      </c>
      <c r="I114" s="9">
        <v>2</v>
      </c>
      <c r="J114" s="9">
        <v>0</v>
      </c>
      <c r="K114" s="9">
        <v>0</v>
      </c>
      <c r="L114" s="9">
        <v>42</v>
      </c>
      <c r="M114" s="9">
        <v>0</v>
      </c>
      <c r="N114" s="9">
        <v>32</v>
      </c>
      <c r="O114" s="9">
        <f t="shared" si="2"/>
        <v>0</v>
      </c>
      <c r="P114" s="9"/>
      <c r="Q114" s="9">
        <v>8</v>
      </c>
      <c r="R114" s="9">
        <v>12</v>
      </c>
      <c r="S114" s="9">
        <v>11</v>
      </c>
      <c r="T114" s="9">
        <v>16</v>
      </c>
      <c r="U114" s="9">
        <v>11</v>
      </c>
      <c r="V114" s="9">
        <v>19</v>
      </c>
      <c r="W114" s="9">
        <v>4</v>
      </c>
      <c r="X114" s="9">
        <v>6</v>
      </c>
    </row>
    <row r="115" spans="2:24" x14ac:dyDescent="0.3">
      <c r="B115" s="5" t="s">
        <v>228</v>
      </c>
      <c r="C115" s="8" t="s">
        <v>229</v>
      </c>
      <c r="D115" s="8" t="s">
        <v>256</v>
      </c>
      <c r="E115" s="9">
        <v>622</v>
      </c>
      <c r="F115" s="9">
        <v>304</v>
      </c>
      <c r="G115" s="9">
        <v>317</v>
      </c>
      <c r="H115" s="9">
        <v>1</v>
      </c>
      <c r="I115" s="9">
        <v>4</v>
      </c>
      <c r="J115" s="9">
        <v>0</v>
      </c>
      <c r="K115" s="9">
        <v>1</v>
      </c>
      <c r="L115" s="9">
        <v>22</v>
      </c>
      <c r="M115" s="9">
        <v>0</v>
      </c>
      <c r="N115" s="9">
        <v>602</v>
      </c>
      <c r="O115" s="9">
        <f t="shared" si="2"/>
        <v>1</v>
      </c>
      <c r="P115" s="9"/>
      <c r="Q115" s="9">
        <v>2</v>
      </c>
      <c r="R115" s="9">
        <v>52</v>
      </c>
      <c r="S115" s="9">
        <v>124</v>
      </c>
      <c r="T115" s="9">
        <v>167</v>
      </c>
      <c r="U115" s="9">
        <v>108</v>
      </c>
      <c r="V115" s="9">
        <v>89</v>
      </c>
      <c r="W115" s="9">
        <v>35</v>
      </c>
      <c r="X115" s="9">
        <v>47</v>
      </c>
    </row>
    <row r="116" spans="2:24" x14ac:dyDescent="0.3">
      <c r="B116" s="5" t="s">
        <v>230</v>
      </c>
      <c r="C116" s="8" t="s">
        <v>231</v>
      </c>
      <c r="D116" s="8" t="s">
        <v>252</v>
      </c>
      <c r="E116" s="9">
        <v>5244</v>
      </c>
      <c r="F116" s="9">
        <v>2568</v>
      </c>
      <c r="G116" s="9">
        <v>2586</v>
      </c>
      <c r="H116" s="9">
        <v>90</v>
      </c>
      <c r="I116" s="9">
        <v>446</v>
      </c>
      <c r="J116" s="9">
        <v>12</v>
      </c>
      <c r="K116" s="9">
        <v>77</v>
      </c>
      <c r="L116" s="9">
        <v>1724</v>
      </c>
      <c r="M116" s="9">
        <v>43</v>
      </c>
      <c r="N116" s="9">
        <v>2958</v>
      </c>
      <c r="O116" s="9">
        <f t="shared" si="2"/>
        <v>132</v>
      </c>
      <c r="P116" s="9"/>
      <c r="Q116" s="9">
        <v>689</v>
      </c>
      <c r="R116" s="9">
        <v>290</v>
      </c>
      <c r="S116" s="9">
        <v>820</v>
      </c>
      <c r="T116" s="9">
        <v>1075</v>
      </c>
      <c r="U116" s="9">
        <v>970</v>
      </c>
      <c r="V116" s="9">
        <v>864</v>
      </c>
      <c r="W116" s="9">
        <v>462</v>
      </c>
      <c r="X116" s="9">
        <v>763</v>
      </c>
    </row>
    <row r="117" spans="2:24" x14ac:dyDescent="0.3">
      <c r="B117" s="5" t="s">
        <v>232</v>
      </c>
      <c r="C117" s="8" t="s">
        <v>233</v>
      </c>
      <c r="D117" s="8" t="s">
        <v>255</v>
      </c>
      <c r="E117" s="9">
        <v>944</v>
      </c>
      <c r="F117" s="9">
        <v>458</v>
      </c>
      <c r="G117" s="9">
        <v>479</v>
      </c>
      <c r="H117" s="9">
        <v>7</v>
      </c>
      <c r="I117" s="9">
        <v>78</v>
      </c>
      <c r="J117" s="9">
        <v>2</v>
      </c>
      <c r="K117" s="9">
        <v>1</v>
      </c>
      <c r="L117" s="9">
        <v>110</v>
      </c>
      <c r="M117" s="9">
        <v>4</v>
      </c>
      <c r="N117" s="9">
        <v>903</v>
      </c>
      <c r="O117" s="9">
        <f t="shared" si="2"/>
        <v>7</v>
      </c>
      <c r="P117" s="9"/>
      <c r="Q117" s="9">
        <v>16</v>
      </c>
      <c r="R117" s="9">
        <v>73</v>
      </c>
      <c r="S117" s="9">
        <v>199</v>
      </c>
      <c r="T117" s="9">
        <v>213</v>
      </c>
      <c r="U117" s="9">
        <v>171</v>
      </c>
      <c r="V117" s="9">
        <v>141</v>
      </c>
      <c r="W117" s="9">
        <v>45</v>
      </c>
      <c r="X117" s="9">
        <v>102</v>
      </c>
    </row>
    <row r="118" spans="2:24" x14ac:dyDescent="0.3">
      <c r="B118" s="5" t="s">
        <v>234</v>
      </c>
      <c r="C118" s="8" t="s">
        <v>235</v>
      </c>
      <c r="D118" s="8" t="s">
        <v>256</v>
      </c>
      <c r="E118" s="9">
        <v>529</v>
      </c>
      <c r="F118" s="9">
        <v>253</v>
      </c>
      <c r="G118" s="9">
        <v>271</v>
      </c>
      <c r="H118" s="9">
        <v>5</v>
      </c>
      <c r="I118" s="9">
        <v>3</v>
      </c>
      <c r="J118" s="9">
        <v>0</v>
      </c>
      <c r="K118" s="9">
        <v>0</v>
      </c>
      <c r="L118" s="9">
        <v>15</v>
      </c>
      <c r="M118" s="9">
        <v>0</v>
      </c>
      <c r="N118" s="9">
        <v>508</v>
      </c>
      <c r="O118" s="9">
        <f t="shared" si="2"/>
        <v>0</v>
      </c>
      <c r="P118" s="9"/>
      <c r="Q118" s="9">
        <v>11</v>
      </c>
      <c r="R118" s="9">
        <v>39</v>
      </c>
      <c r="S118" s="9">
        <v>87</v>
      </c>
      <c r="T118" s="9">
        <v>112</v>
      </c>
      <c r="U118" s="9">
        <v>75</v>
      </c>
      <c r="V118" s="9">
        <v>72</v>
      </c>
      <c r="W118" s="9">
        <v>28</v>
      </c>
      <c r="X118" s="9">
        <v>116</v>
      </c>
    </row>
    <row r="119" spans="2:24" x14ac:dyDescent="0.3">
      <c r="B119" s="5" t="s">
        <v>236</v>
      </c>
      <c r="C119" s="8" t="s">
        <v>237</v>
      </c>
      <c r="D119" s="8" t="s">
        <v>254</v>
      </c>
      <c r="E119" s="9">
        <v>158</v>
      </c>
      <c r="F119" s="9">
        <v>72</v>
      </c>
      <c r="G119" s="9">
        <v>85</v>
      </c>
      <c r="H119" s="9">
        <v>1</v>
      </c>
      <c r="I119" s="9">
        <v>4</v>
      </c>
      <c r="J119" s="9">
        <v>0</v>
      </c>
      <c r="K119" s="9">
        <v>0</v>
      </c>
      <c r="L119" s="9">
        <v>48</v>
      </c>
      <c r="M119" s="9">
        <v>0</v>
      </c>
      <c r="N119" s="9">
        <v>58</v>
      </c>
      <c r="O119" s="9">
        <f t="shared" si="2"/>
        <v>0</v>
      </c>
      <c r="P119" s="9"/>
      <c r="Q119" s="9">
        <v>53</v>
      </c>
      <c r="R119" s="9">
        <v>12</v>
      </c>
      <c r="S119" s="9">
        <v>26</v>
      </c>
      <c r="T119" s="9">
        <v>34</v>
      </c>
      <c r="U119" s="9">
        <v>17</v>
      </c>
      <c r="V119" s="9">
        <v>23</v>
      </c>
      <c r="W119" s="9">
        <v>9</v>
      </c>
      <c r="X119" s="9">
        <v>37</v>
      </c>
    </row>
    <row r="120" spans="2:24" x14ac:dyDescent="0.3">
      <c r="B120" s="5" t="s">
        <v>238</v>
      </c>
      <c r="C120" s="8" t="s">
        <v>239</v>
      </c>
      <c r="D120" s="8" t="s">
        <v>252</v>
      </c>
      <c r="E120" s="9">
        <v>114</v>
      </c>
      <c r="F120" s="9">
        <v>46</v>
      </c>
      <c r="G120" s="9">
        <v>68</v>
      </c>
      <c r="H120" s="9">
        <v>0</v>
      </c>
      <c r="I120" s="9">
        <v>19</v>
      </c>
      <c r="J120" s="9">
        <v>2</v>
      </c>
      <c r="K120" s="9">
        <v>2</v>
      </c>
      <c r="L120" s="9">
        <v>43</v>
      </c>
      <c r="M120" s="9">
        <v>0</v>
      </c>
      <c r="N120" s="9">
        <v>72</v>
      </c>
      <c r="O120" s="9">
        <f t="shared" si="2"/>
        <v>4</v>
      </c>
      <c r="P120" s="9"/>
      <c r="Q120" s="9">
        <v>7</v>
      </c>
      <c r="R120" s="9">
        <v>11</v>
      </c>
      <c r="S120" s="9">
        <v>22</v>
      </c>
      <c r="T120" s="9">
        <v>25</v>
      </c>
      <c r="U120" s="9">
        <v>22</v>
      </c>
      <c r="V120" s="9">
        <v>19</v>
      </c>
      <c r="W120" s="9">
        <v>5</v>
      </c>
      <c r="X120" s="9">
        <v>10</v>
      </c>
    </row>
    <row r="121" spans="2:24" x14ac:dyDescent="0.3">
      <c r="B121" s="5" t="s">
        <v>240</v>
      </c>
      <c r="C121" s="8" t="s">
        <v>241</v>
      </c>
      <c r="D121" s="8" t="s">
        <v>255</v>
      </c>
      <c r="E121" s="9">
        <v>688</v>
      </c>
      <c r="F121" s="9">
        <v>342</v>
      </c>
      <c r="G121" s="9">
        <v>334</v>
      </c>
      <c r="H121" s="9">
        <v>12</v>
      </c>
      <c r="I121" s="9">
        <v>102</v>
      </c>
      <c r="J121" s="9">
        <v>1</v>
      </c>
      <c r="K121" s="9">
        <v>3</v>
      </c>
      <c r="L121" s="9">
        <v>195</v>
      </c>
      <c r="M121" s="9">
        <v>0</v>
      </c>
      <c r="N121" s="9">
        <v>529</v>
      </c>
      <c r="O121" s="9">
        <f t="shared" si="2"/>
        <v>4</v>
      </c>
      <c r="P121" s="9"/>
      <c r="Q121" s="9">
        <v>43</v>
      </c>
      <c r="R121" s="9">
        <v>74</v>
      </c>
      <c r="S121" s="9">
        <v>145</v>
      </c>
      <c r="T121" s="9">
        <v>157</v>
      </c>
      <c r="U121" s="9">
        <v>112</v>
      </c>
      <c r="V121" s="9">
        <v>99</v>
      </c>
      <c r="W121" s="9">
        <v>28</v>
      </c>
      <c r="X121" s="9">
        <v>73</v>
      </c>
    </row>
    <row r="122" spans="2:24" x14ac:dyDescent="0.3">
      <c r="B122" s="5" t="s">
        <v>242</v>
      </c>
      <c r="C122" s="8" t="s">
        <v>243</v>
      </c>
      <c r="D122" s="8" t="s">
        <v>256</v>
      </c>
      <c r="E122" s="9">
        <v>1359</v>
      </c>
      <c r="F122" s="9">
        <v>646</v>
      </c>
      <c r="G122" s="9">
        <v>701</v>
      </c>
      <c r="H122" s="9">
        <v>12</v>
      </c>
      <c r="I122" s="9">
        <v>5</v>
      </c>
      <c r="J122" s="9">
        <v>0</v>
      </c>
      <c r="K122" s="9">
        <v>0</v>
      </c>
      <c r="L122" s="9">
        <v>139</v>
      </c>
      <c r="M122" s="9">
        <v>2</v>
      </c>
      <c r="N122" s="9">
        <v>1282</v>
      </c>
      <c r="O122" s="9">
        <f t="shared" si="2"/>
        <v>2</v>
      </c>
      <c r="P122" s="9"/>
      <c r="Q122" s="9">
        <v>4</v>
      </c>
      <c r="R122" s="9">
        <v>133</v>
      </c>
      <c r="S122" s="9">
        <v>275</v>
      </c>
      <c r="T122" s="9">
        <v>287</v>
      </c>
      <c r="U122" s="9">
        <v>227</v>
      </c>
      <c r="V122" s="9">
        <v>205</v>
      </c>
      <c r="W122" s="9">
        <v>91</v>
      </c>
      <c r="X122" s="9">
        <v>141</v>
      </c>
    </row>
    <row r="123" spans="2:24" x14ac:dyDescent="0.3">
      <c r="B123" s="5" t="s">
        <v>244</v>
      </c>
      <c r="C123" s="8" t="s">
        <v>245</v>
      </c>
      <c r="D123" s="8" t="s">
        <v>256</v>
      </c>
      <c r="E123" s="9">
        <v>531</v>
      </c>
      <c r="F123" s="9">
        <v>278</v>
      </c>
      <c r="G123" s="9">
        <v>250</v>
      </c>
      <c r="H123" s="9">
        <v>3</v>
      </c>
      <c r="I123" s="9">
        <v>10</v>
      </c>
      <c r="J123" s="9">
        <v>0</v>
      </c>
      <c r="K123" s="9">
        <v>1</v>
      </c>
      <c r="L123" s="9">
        <v>23</v>
      </c>
      <c r="M123" s="9">
        <v>0</v>
      </c>
      <c r="N123" s="9">
        <v>508</v>
      </c>
      <c r="O123" s="9">
        <f t="shared" si="2"/>
        <v>1</v>
      </c>
      <c r="P123" s="9"/>
      <c r="Q123" s="9">
        <v>11</v>
      </c>
      <c r="R123" s="9">
        <v>34</v>
      </c>
      <c r="S123" s="9">
        <v>95</v>
      </c>
      <c r="T123" s="9">
        <v>139</v>
      </c>
      <c r="U123" s="9">
        <v>103</v>
      </c>
      <c r="V123" s="9">
        <v>82</v>
      </c>
      <c r="W123" s="9">
        <v>29</v>
      </c>
      <c r="X123" s="9">
        <v>49</v>
      </c>
    </row>
    <row r="124" spans="2:24" x14ac:dyDescent="0.3">
      <c r="B124" s="5" t="s">
        <v>246</v>
      </c>
      <c r="C124" s="1" t="s">
        <v>247</v>
      </c>
      <c r="D124" s="8" t="s">
        <v>252</v>
      </c>
      <c r="E124" s="10">
        <v>1013</v>
      </c>
      <c r="F124" s="10">
        <v>491</v>
      </c>
      <c r="G124" s="10">
        <v>494</v>
      </c>
      <c r="H124" s="10">
        <v>28</v>
      </c>
      <c r="I124" s="10">
        <v>28</v>
      </c>
      <c r="J124" s="10">
        <v>3</v>
      </c>
      <c r="K124" s="10">
        <v>11</v>
      </c>
      <c r="L124" s="10">
        <v>173</v>
      </c>
      <c r="M124" s="10">
        <v>3</v>
      </c>
      <c r="N124" s="10">
        <v>625</v>
      </c>
      <c r="O124" s="9">
        <f t="shared" si="2"/>
        <v>17</v>
      </c>
      <c r="P124" s="10">
        <v>0</v>
      </c>
      <c r="Q124" s="10">
        <v>221</v>
      </c>
      <c r="R124" s="10">
        <v>44</v>
      </c>
      <c r="S124" s="10">
        <v>125</v>
      </c>
      <c r="T124" s="10">
        <v>180</v>
      </c>
      <c r="U124" s="10">
        <v>190</v>
      </c>
      <c r="V124" s="10">
        <v>172</v>
      </c>
      <c r="W124" s="10">
        <v>59</v>
      </c>
      <c r="X124" s="10">
        <v>243</v>
      </c>
    </row>
    <row r="125" spans="2:24" ht="12" customHeight="1" x14ac:dyDescent="0.3">
      <c r="B125" s="11" t="s">
        <v>8</v>
      </c>
      <c r="C125" s="5" t="s">
        <v>9</v>
      </c>
      <c r="E125" s="9">
        <f>SUM($E$5:$E$124)</f>
        <v>94215</v>
      </c>
      <c r="F125" s="9">
        <f>SUM($F$5:$F$124)</f>
        <v>45604</v>
      </c>
      <c r="G125" s="9">
        <f>SUM($G$5:$G$124)</f>
        <v>46742</v>
      </c>
      <c r="H125" s="9">
        <f>SUM($H$5:$H$124)</f>
        <v>1869</v>
      </c>
      <c r="I125" s="9">
        <f>SUM($I$5:$I$124)</f>
        <v>9139</v>
      </c>
      <c r="J125" s="9">
        <f>SUM($J$5:$J$124)</f>
        <v>145</v>
      </c>
      <c r="K125" s="9">
        <f>SUM($K$5:$K$124)</f>
        <v>1257</v>
      </c>
      <c r="L125" s="9">
        <f>SUM($L$5:$L$124)</f>
        <v>29742</v>
      </c>
      <c r="M125" s="9">
        <f>SUM($M$5:$M$124)</f>
        <v>262</v>
      </c>
      <c r="N125" s="9">
        <f>SUM($N$5:$N$124)</f>
        <v>57074</v>
      </c>
      <c r="O125" s="9">
        <f t="shared" si="2"/>
        <v>1664</v>
      </c>
      <c r="P125" s="9"/>
      <c r="Q125" s="9">
        <f>SUM($Q$5:$Q$124)</f>
        <v>9805</v>
      </c>
      <c r="R125" s="9">
        <f>SUM($R$5:$R$124)</f>
        <v>6082</v>
      </c>
      <c r="S125" s="9">
        <f>SUM($S$5:$S$124)</f>
        <v>14410</v>
      </c>
      <c r="T125" s="9">
        <f>SUM($T$5:$T$124)</f>
        <v>19258</v>
      </c>
      <c r="U125" s="9">
        <f>SUM($U$5:$U$124)</f>
        <v>16544</v>
      </c>
      <c r="V125" s="9">
        <f>SUM($V$5:$V$124)</f>
        <v>14510</v>
      </c>
      <c r="W125" s="9">
        <f>SUM($W$5:$W$124)</f>
        <v>6338</v>
      </c>
      <c r="X125" s="9">
        <f>SUM($X$5:$X$124)</f>
        <v>17073</v>
      </c>
    </row>
  </sheetData>
  <pageMargins left="0.75" right="0.75" top="1" bottom="1" header="0.5" footer="0.5"/>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A136"/>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9.69921875" style="263" customWidth="1"/>
    <col min="2" max="2" width="28.796875" style="263" customWidth="1"/>
    <col min="3" max="3" width="14.796875" style="263" customWidth="1"/>
    <col min="4" max="9" width="15.296875" style="599" customWidth="1"/>
    <col min="10" max="11" width="16.19921875" style="599" customWidth="1"/>
    <col min="12" max="16384" width="9" style="263"/>
  </cols>
  <sheetData>
    <row r="1" spans="1:53" x14ac:dyDescent="0.3">
      <c r="A1" s="64" t="s">
        <v>1100</v>
      </c>
    </row>
    <row r="3" spans="1:53" ht="46.8" x14ac:dyDescent="0.3">
      <c r="A3" s="606" t="s">
        <v>4</v>
      </c>
      <c r="B3" s="607" t="s">
        <v>5</v>
      </c>
      <c r="C3" s="1457" t="s">
        <v>251</v>
      </c>
      <c r="D3" s="1458" t="s">
        <v>302</v>
      </c>
      <c r="E3" s="1459" t="s">
        <v>303</v>
      </c>
      <c r="F3" s="1459" t="s">
        <v>304</v>
      </c>
      <c r="G3" s="1459" t="s">
        <v>739</v>
      </c>
      <c r="H3" s="1459" t="s">
        <v>740</v>
      </c>
      <c r="I3" s="1460" t="s">
        <v>269</v>
      </c>
      <c r="J3" s="1425" t="s">
        <v>741</v>
      </c>
      <c r="K3" s="1425" t="s">
        <v>742</v>
      </c>
    </row>
    <row r="4" spans="1:53" x14ac:dyDescent="0.3">
      <c r="A4" s="600">
        <v>999</v>
      </c>
      <c r="B4" s="601" t="s">
        <v>9</v>
      </c>
      <c r="C4" s="774"/>
      <c r="D4" s="1461">
        <f t="shared" ref="D4:I4" si="0">SUM(D5:D124)</f>
        <v>319522161.70590001</v>
      </c>
      <c r="E4" s="1462">
        <f t="shared" si="0"/>
        <v>124318479.13409998</v>
      </c>
      <c r="F4" s="1462">
        <f t="shared" si="0"/>
        <v>195433601.77000001</v>
      </c>
      <c r="G4" s="1462">
        <f t="shared" si="0"/>
        <v>9579242.3500000052</v>
      </c>
      <c r="H4" s="1462">
        <f t="shared" si="0"/>
        <v>1122739.77</v>
      </c>
      <c r="I4" s="1463">
        <f t="shared" si="0"/>
        <v>649976224.72999978</v>
      </c>
      <c r="J4" s="1424">
        <f t="shared" ref="J4" si="1">G4+H4</f>
        <v>10701982.120000005</v>
      </c>
      <c r="K4" s="1424">
        <f t="shared" ref="K4" si="2">F4+J4</f>
        <v>206135583.89000002</v>
      </c>
      <c r="L4" s="604"/>
      <c r="M4" s="604"/>
      <c r="N4" s="604"/>
      <c r="O4" s="604"/>
      <c r="P4" s="602"/>
      <c r="Q4" s="602"/>
      <c r="R4" s="602"/>
      <c r="S4" s="602"/>
      <c r="T4" s="602"/>
      <c r="U4" s="602"/>
      <c r="V4" s="603"/>
      <c r="W4" s="603"/>
      <c r="X4" s="604"/>
      <c r="Y4" s="604"/>
      <c r="Z4" s="604"/>
      <c r="AA4" s="604"/>
      <c r="AB4" s="604"/>
      <c r="AC4" s="604"/>
      <c r="AD4" s="602"/>
      <c r="AE4" s="602"/>
      <c r="AF4" s="602"/>
      <c r="AG4" s="602"/>
      <c r="AH4" s="602"/>
      <c r="AI4" s="602"/>
      <c r="AJ4" s="603"/>
      <c r="AK4" s="603"/>
      <c r="AL4" s="604"/>
      <c r="AM4" s="604"/>
      <c r="AN4" s="604"/>
      <c r="AO4" s="604"/>
      <c r="AP4" s="604"/>
      <c r="AQ4" s="604"/>
      <c r="AR4" s="602"/>
      <c r="AS4" s="602"/>
      <c r="AT4" s="602"/>
      <c r="AU4" s="602"/>
      <c r="AV4" s="602"/>
      <c r="AW4" s="602"/>
      <c r="AX4" s="603"/>
      <c r="AY4" s="603"/>
      <c r="AZ4" s="604"/>
      <c r="BA4" s="604"/>
    </row>
    <row r="5" spans="1:53" ht="15" customHeight="1" x14ac:dyDescent="0.3">
      <c r="A5" s="1464" t="s">
        <v>10</v>
      </c>
      <c r="B5" s="1465" t="s">
        <v>11</v>
      </c>
      <c r="C5" s="1466" t="s">
        <v>252</v>
      </c>
      <c r="D5" s="1467">
        <v>1823160.2594016204</v>
      </c>
      <c r="E5" s="1468">
        <v>912748.93059837946</v>
      </c>
      <c r="F5" s="1468">
        <v>488969.84</v>
      </c>
      <c r="G5" s="1468">
        <v>123255.03</v>
      </c>
      <c r="H5" s="1468">
        <v>0</v>
      </c>
      <c r="I5" s="1469">
        <f t="shared" ref="I5:I36" si="3">SUM(D5:H5)</f>
        <v>3348134.0599999996</v>
      </c>
      <c r="J5" s="1470">
        <f t="shared" ref="J5:J36" si="4">G5+H5</f>
        <v>123255.03</v>
      </c>
      <c r="K5" s="1470">
        <f t="shared" ref="K5:K36" si="5">F5+J5</f>
        <v>612224.87</v>
      </c>
    </row>
    <row r="6" spans="1:53" ht="15" customHeight="1" x14ac:dyDescent="0.3">
      <c r="A6" s="1471" t="s">
        <v>12</v>
      </c>
      <c r="B6" s="1465" t="s">
        <v>13</v>
      </c>
      <c r="C6" s="1472" t="s">
        <v>253</v>
      </c>
      <c r="D6" s="1473">
        <v>4746054.6299459739</v>
      </c>
      <c r="E6" s="1474">
        <v>969116.13005402579</v>
      </c>
      <c r="F6" s="1474">
        <v>4915977.25</v>
      </c>
      <c r="G6" s="1474">
        <v>487600.7</v>
      </c>
      <c r="H6" s="1474">
        <v>0</v>
      </c>
      <c r="I6" s="1469">
        <f t="shared" si="3"/>
        <v>11118748.709999999</v>
      </c>
      <c r="J6" s="1475">
        <f t="shared" si="4"/>
        <v>487600.7</v>
      </c>
      <c r="K6" s="1475">
        <f t="shared" si="5"/>
        <v>5403577.9500000002</v>
      </c>
    </row>
    <row r="7" spans="1:53" ht="15" customHeight="1" x14ac:dyDescent="0.3">
      <c r="A7" s="1471" t="s">
        <v>16</v>
      </c>
      <c r="B7" s="1465" t="s">
        <v>285</v>
      </c>
      <c r="C7" s="1472" t="s">
        <v>253</v>
      </c>
      <c r="D7" s="1473">
        <v>1024816.028372757</v>
      </c>
      <c r="E7" s="1474">
        <v>506778.741627243</v>
      </c>
      <c r="F7" s="1474">
        <v>298408</v>
      </c>
      <c r="G7" s="1474">
        <v>829.66</v>
      </c>
      <c r="H7" s="1474">
        <v>0</v>
      </c>
      <c r="I7" s="1469">
        <f t="shared" si="3"/>
        <v>1830832.43</v>
      </c>
      <c r="J7" s="1475">
        <f t="shared" si="4"/>
        <v>829.66</v>
      </c>
      <c r="K7" s="1475">
        <f t="shared" si="5"/>
        <v>299237.65999999997</v>
      </c>
    </row>
    <row r="8" spans="1:53" ht="15" customHeight="1" x14ac:dyDescent="0.3">
      <c r="A8" s="1471" t="s">
        <v>18</v>
      </c>
      <c r="B8" s="1465" t="s">
        <v>19</v>
      </c>
      <c r="C8" s="1472" t="s">
        <v>254</v>
      </c>
      <c r="D8" s="1473">
        <v>595202.23553337331</v>
      </c>
      <c r="E8" s="1474">
        <v>265834.03446662676</v>
      </c>
      <c r="F8" s="1474">
        <v>267580.08999999997</v>
      </c>
      <c r="G8" s="1474">
        <v>131.06</v>
      </c>
      <c r="H8" s="1474">
        <v>0</v>
      </c>
      <c r="I8" s="1469">
        <f t="shared" si="3"/>
        <v>1128747.42</v>
      </c>
      <c r="J8" s="1475">
        <f t="shared" si="4"/>
        <v>131.06</v>
      </c>
      <c r="K8" s="1475">
        <f t="shared" si="5"/>
        <v>267711.14999999997</v>
      </c>
    </row>
    <row r="9" spans="1:53" ht="15" customHeight="1" x14ac:dyDescent="0.3">
      <c r="A9" s="1471" t="s">
        <v>20</v>
      </c>
      <c r="B9" s="1465" t="s">
        <v>21</v>
      </c>
      <c r="C9" s="1472" t="s">
        <v>253</v>
      </c>
      <c r="D9" s="1473">
        <v>1206177.5998785901</v>
      </c>
      <c r="E9" s="1474">
        <v>503308.2001214099</v>
      </c>
      <c r="F9" s="1474">
        <v>643627.14</v>
      </c>
      <c r="G9" s="1474">
        <v>48743.15</v>
      </c>
      <c r="H9" s="1474">
        <v>0</v>
      </c>
      <c r="I9" s="1469">
        <f t="shared" si="3"/>
        <v>2401856.09</v>
      </c>
      <c r="J9" s="1475">
        <f t="shared" si="4"/>
        <v>48743.15</v>
      </c>
      <c r="K9" s="1475">
        <f t="shared" si="5"/>
        <v>692370.29</v>
      </c>
    </row>
    <row r="10" spans="1:53" ht="15" customHeight="1" x14ac:dyDescent="0.3">
      <c r="A10" s="1471" t="s">
        <v>22</v>
      </c>
      <c r="B10" s="1465" t="s">
        <v>23</v>
      </c>
      <c r="C10" s="1472" t="s">
        <v>253</v>
      </c>
      <c r="D10" s="1473">
        <v>600482.44640386128</v>
      </c>
      <c r="E10" s="1474">
        <v>303253.69359613868</v>
      </c>
      <c r="F10" s="1474">
        <v>156746.81</v>
      </c>
      <c r="G10" s="1474">
        <v>27233.17</v>
      </c>
      <c r="H10" s="1474">
        <v>0</v>
      </c>
      <c r="I10" s="1469">
        <f t="shared" si="3"/>
        <v>1087716.1199999999</v>
      </c>
      <c r="J10" s="1475">
        <f t="shared" si="4"/>
        <v>27233.17</v>
      </c>
      <c r="K10" s="1475">
        <f t="shared" si="5"/>
        <v>183979.97999999998</v>
      </c>
    </row>
    <row r="11" spans="1:53" ht="15" customHeight="1" x14ac:dyDescent="0.3">
      <c r="A11" s="1471" t="s">
        <v>24</v>
      </c>
      <c r="B11" s="1465" t="s">
        <v>25</v>
      </c>
      <c r="C11" s="1472" t="s">
        <v>255</v>
      </c>
      <c r="D11" s="1473">
        <v>8042517.5155634526</v>
      </c>
      <c r="E11" s="1474">
        <v>2380786.4644365469</v>
      </c>
      <c r="F11" s="1474">
        <v>7153940.3599999994</v>
      </c>
      <c r="G11" s="1474">
        <v>-19.600000000000001</v>
      </c>
      <c r="H11" s="1474">
        <v>2537.5300000000002</v>
      </c>
      <c r="I11" s="1469">
        <f t="shared" si="3"/>
        <v>17579762.27</v>
      </c>
      <c r="J11" s="1475">
        <f t="shared" si="4"/>
        <v>2517.9300000000003</v>
      </c>
      <c r="K11" s="1475">
        <f t="shared" si="5"/>
        <v>7156458.2899999991</v>
      </c>
    </row>
    <row r="12" spans="1:53" ht="15" customHeight="1" x14ac:dyDescent="0.3">
      <c r="A12" s="1471" t="s">
        <v>26</v>
      </c>
      <c r="B12" s="1465" t="s">
        <v>547</v>
      </c>
      <c r="C12" s="1472" t="s">
        <v>253</v>
      </c>
      <c r="D12" s="1473">
        <v>4777137.3048320562</v>
      </c>
      <c r="E12" s="1474">
        <v>1931347.6751679431</v>
      </c>
      <c r="F12" s="1474">
        <v>2697673.4899999998</v>
      </c>
      <c r="G12" s="1474">
        <v>931.56</v>
      </c>
      <c r="H12" s="1474">
        <v>0</v>
      </c>
      <c r="I12" s="1469">
        <f t="shared" si="3"/>
        <v>9407090.0299999993</v>
      </c>
      <c r="J12" s="1475">
        <f t="shared" si="4"/>
        <v>931.56</v>
      </c>
      <c r="K12" s="1475">
        <f t="shared" si="5"/>
        <v>2698605.05</v>
      </c>
    </row>
    <row r="13" spans="1:53" ht="15" customHeight="1" x14ac:dyDescent="0.3">
      <c r="A13" s="1471" t="s">
        <v>27</v>
      </c>
      <c r="B13" s="1465" t="s">
        <v>28</v>
      </c>
      <c r="C13" s="1472" t="s">
        <v>253</v>
      </c>
      <c r="D13" s="1473">
        <v>291963.07987731072</v>
      </c>
      <c r="E13" s="1474">
        <v>135759.74012268928</v>
      </c>
      <c r="F13" s="1474">
        <v>117428.47</v>
      </c>
      <c r="G13" s="1474">
        <v>5732.47</v>
      </c>
      <c r="H13" s="1474">
        <v>0</v>
      </c>
      <c r="I13" s="1469">
        <f t="shared" si="3"/>
        <v>550883.76</v>
      </c>
      <c r="J13" s="1475">
        <f t="shared" si="4"/>
        <v>5732.47</v>
      </c>
      <c r="K13" s="1475">
        <f t="shared" si="5"/>
        <v>123160.94</v>
      </c>
    </row>
    <row r="14" spans="1:53" ht="15" customHeight="1" x14ac:dyDescent="0.3">
      <c r="A14" s="1471" t="s">
        <v>29</v>
      </c>
      <c r="B14" s="1465" t="s">
        <v>736</v>
      </c>
      <c r="C14" s="1472" t="s">
        <v>253</v>
      </c>
      <c r="D14" s="1473">
        <v>2702412.7312754923</v>
      </c>
      <c r="E14" s="1474">
        <v>808355.39872450731</v>
      </c>
      <c r="F14" s="1474">
        <v>2434601.1100000003</v>
      </c>
      <c r="G14" s="1474">
        <v>34350.479999999996</v>
      </c>
      <c r="H14" s="1474">
        <v>0</v>
      </c>
      <c r="I14" s="1469">
        <f t="shared" si="3"/>
        <v>5979719.7200000007</v>
      </c>
      <c r="J14" s="1475">
        <f t="shared" si="4"/>
        <v>34350.479999999996</v>
      </c>
      <c r="K14" s="1475">
        <f t="shared" si="5"/>
        <v>2468951.5900000003</v>
      </c>
    </row>
    <row r="15" spans="1:53" ht="15" customHeight="1" x14ac:dyDescent="0.3">
      <c r="A15" s="1471" t="s">
        <v>30</v>
      </c>
      <c r="B15" s="1465" t="s">
        <v>31</v>
      </c>
      <c r="C15" s="1472" t="s">
        <v>256</v>
      </c>
      <c r="D15" s="1473">
        <v>391535.03491762921</v>
      </c>
      <c r="E15" s="1474">
        <v>180690.05508237082</v>
      </c>
      <c r="F15" s="1474">
        <v>159186.58000000002</v>
      </c>
      <c r="G15" s="1474">
        <v>5566.6500000000005</v>
      </c>
      <c r="H15" s="1474">
        <v>0</v>
      </c>
      <c r="I15" s="1469">
        <f t="shared" si="3"/>
        <v>736978.32000000018</v>
      </c>
      <c r="J15" s="1475">
        <f t="shared" si="4"/>
        <v>5566.6500000000005</v>
      </c>
      <c r="K15" s="1475">
        <f t="shared" si="5"/>
        <v>164753.23000000001</v>
      </c>
    </row>
    <row r="16" spans="1:53" ht="15" customHeight="1" x14ac:dyDescent="0.3">
      <c r="A16" s="1471" t="s">
        <v>32</v>
      </c>
      <c r="B16" s="1465" t="s">
        <v>33</v>
      </c>
      <c r="C16" s="1472" t="s">
        <v>253</v>
      </c>
      <c r="D16" s="1473">
        <v>612096.56284611952</v>
      </c>
      <c r="E16" s="1474">
        <v>289340.4371538806</v>
      </c>
      <c r="F16" s="1474">
        <v>221799.53999999998</v>
      </c>
      <c r="G16" s="1474">
        <v>12761.970000000001</v>
      </c>
      <c r="H16" s="1474">
        <v>0</v>
      </c>
      <c r="I16" s="1469">
        <f t="shared" si="3"/>
        <v>1135998.51</v>
      </c>
      <c r="J16" s="1475">
        <f t="shared" si="4"/>
        <v>12761.970000000001</v>
      </c>
      <c r="K16" s="1475">
        <f t="shared" si="5"/>
        <v>234561.50999999998</v>
      </c>
    </row>
    <row r="17" spans="1:11" ht="15" customHeight="1" x14ac:dyDescent="0.3">
      <c r="A17" s="1471" t="s">
        <v>36</v>
      </c>
      <c r="B17" s="1465" t="s">
        <v>37</v>
      </c>
      <c r="C17" s="1472" t="s">
        <v>252</v>
      </c>
      <c r="D17" s="1473">
        <v>981256.7379361362</v>
      </c>
      <c r="E17" s="1474">
        <v>472269.83206386375</v>
      </c>
      <c r="F17" s="1474">
        <v>327156.17</v>
      </c>
      <c r="G17" s="1474">
        <v>15086.93</v>
      </c>
      <c r="H17" s="1474">
        <v>0</v>
      </c>
      <c r="I17" s="1469">
        <f t="shared" si="3"/>
        <v>1795769.6699999997</v>
      </c>
      <c r="J17" s="1475">
        <f t="shared" si="4"/>
        <v>15086.93</v>
      </c>
      <c r="K17" s="1475">
        <f t="shared" si="5"/>
        <v>342243.1</v>
      </c>
    </row>
    <row r="18" spans="1:11" ht="15" customHeight="1" x14ac:dyDescent="0.3">
      <c r="A18" s="1471" t="s">
        <v>38</v>
      </c>
      <c r="B18" s="1465" t="s">
        <v>39</v>
      </c>
      <c r="C18" s="1472" t="s">
        <v>256</v>
      </c>
      <c r="D18" s="1473">
        <v>2104041.8362420034</v>
      </c>
      <c r="E18" s="1474">
        <v>946154.47375799634</v>
      </c>
      <c r="F18" s="1474">
        <v>903406.86</v>
      </c>
      <c r="G18" s="1474">
        <v>-17459.09</v>
      </c>
      <c r="H18" s="1474">
        <v>0</v>
      </c>
      <c r="I18" s="1469">
        <f t="shared" si="3"/>
        <v>3936144.0799999996</v>
      </c>
      <c r="J18" s="1475">
        <f t="shared" si="4"/>
        <v>-17459.09</v>
      </c>
      <c r="K18" s="1475">
        <f t="shared" si="5"/>
        <v>885947.77</v>
      </c>
    </row>
    <row r="19" spans="1:11" ht="15" customHeight="1" x14ac:dyDescent="0.3">
      <c r="A19" s="1471" t="s">
        <v>40</v>
      </c>
      <c r="B19" s="1465" t="s">
        <v>41</v>
      </c>
      <c r="C19" s="1472" t="s">
        <v>254</v>
      </c>
      <c r="D19" s="1473">
        <v>707609.25442611717</v>
      </c>
      <c r="E19" s="1474">
        <v>345733.40557388269</v>
      </c>
      <c r="F19" s="1474">
        <v>224119.56</v>
      </c>
      <c r="G19" s="1474">
        <v>4016.94</v>
      </c>
      <c r="H19" s="1474">
        <v>0</v>
      </c>
      <c r="I19" s="1469">
        <f t="shared" si="3"/>
        <v>1281479.1599999999</v>
      </c>
      <c r="J19" s="1475">
        <f t="shared" si="4"/>
        <v>4016.94</v>
      </c>
      <c r="K19" s="1475">
        <f t="shared" si="5"/>
        <v>228136.5</v>
      </c>
    </row>
    <row r="20" spans="1:11" ht="15" customHeight="1" x14ac:dyDescent="0.3">
      <c r="A20" s="1471" t="s">
        <v>42</v>
      </c>
      <c r="B20" s="1465" t="s">
        <v>43</v>
      </c>
      <c r="C20" s="1472" t="s">
        <v>253</v>
      </c>
      <c r="D20" s="1473">
        <v>2331386.454085886</v>
      </c>
      <c r="E20" s="1474">
        <v>1071896.9159141139</v>
      </c>
      <c r="F20" s="1474">
        <v>926250.6399999999</v>
      </c>
      <c r="G20" s="1474">
        <v>135894.59</v>
      </c>
      <c r="H20" s="1474">
        <v>0</v>
      </c>
      <c r="I20" s="1469">
        <f t="shared" si="3"/>
        <v>4465428.5999999996</v>
      </c>
      <c r="J20" s="1475">
        <f t="shared" si="4"/>
        <v>135894.59</v>
      </c>
      <c r="K20" s="1475">
        <f t="shared" si="5"/>
        <v>1062145.23</v>
      </c>
    </row>
    <row r="21" spans="1:11" ht="15" customHeight="1" x14ac:dyDescent="0.3">
      <c r="A21" s="1471" t="s">
        <v>44</v>
      </c>
      <c r="B21" s="1465" t="s">
        <v>45</v>
      </c>
      <c r="C21" s="1472" t="s">
        <v>254</v>
      </c>
      <c r="D21" s="1473">
        <v>1146803.6220715214</v>
      </c>
      <c r="E21" s="1474">
        <v>500522.37792847864</v>
      </c>
      <c r="F21" s="1474">
        <v>552172.39</v>
      </c>
      <c r="G21" s="1474">
        <v>6628.62</v>
      </c>
      <c r="H21" s="1474">
        <v>0</v>
      </c>
      <c r="I21" s="1469">
        <f t="shared" si="3"/>
        <v>2206127.0100000002</v>
      </c>
      <c r="J21" s="1475">
        <f t="shared" si="4"/>
        <v>6628.62</v>
      </c>
      <c r="K21" s="1475">
        <f t="shared" si="5"/>
        <v>558801.01</v>
      </c>
    </row>
    <row r="22" spans="1:11" ht="15" customHeight="1" x14ac:dyDescent="0.3">
      <c r="A22" s="1471" t="s">
        <v>46</v>
      </c>
      <c r="B22" s="1465" t="s">
        <v>47</v>
      </c>
      <c r="C22" s="1472" t="s">
        <v>256</v>
      </c>
      <c r="D22" s="1473">
        <v>1262315.6114120525</v>
      </c>
      <c r="E22" s="1474">
        <v>593114.84858794732</v>
      </c>
      <c r="F22" s="1474">
        <v>465714.75</v>
      </c>
      <c r="G22" s="1474">
        <v>396.77000000000004</v>
      </c>
      <c r="H22" s="1474">
        <v>0</v>
      </c>
      <c r="I22" s="1469">
        <f t="shared" si="3"/>
        <v>2321541.98</v>
      </c>
      <c r="J22" s="1475">
        <f t="shared" si="4"/>
        <v>396.77000000000004</v>
      </c>
      <c r="K22" s="1475">
        <f t="shared" si="5"/>
        <v>466111.52</v>
      </c>
    </row>
    <row r="23" spans="1:11" ht="15" customHeight="1" x14ac:dyDescent="0.3">
      <c r="A23" s="1471" t="s">
        <v>48</v>
      </c>
      <c r="B23" s="1465" t="s">
        <v>257</v>
      </c>
      <c r="C23" s="1472" t="s">
        <v>254</v>
      </c>
      <c r="D23" s="1473">
        <v>392910.80269953469</v>
      </c>
      <c r="E23" s="1474">
        <v>199720.4373004653</v>
      </c>
      <c r="F23" s="1474">
        <v>100351.81</v>
      </c>
      <c r="G23" s="1474">
        <v>-15.370000000000001</v>
      </c>
      <c r="H23" s="1474">
        <v>0</v>
      </c>
      <c r="I23" s="1469">
        <f t="shared" si="3"/>
        <v>692967.68</v>
      </c>
      <c r="J23" s="1475">
        <f t="shared" si="4"/>
        <v>-15.370000000000001</v>
      </c>
      <c r="K23" s="1475">
        <f t="shared" si="5"/>
        <v>100336.44</v>
      </c>
    </row>
    <row r="24" spans="1:11" ht="15" customHeight="1" x14ac:dyDescent="0.3">
      <c r="A24" s="1471" t="s">
        <v>50</v>
      </c>
      <c r="B24" s="1465" t="s">
        <v>51</v>
      </c>
      <c r="C24" s="1472" t="s">
        <v>253</v>
      </c>
      <c r="D24" s="1473">
        <v>756651.78197026218</v>
      </c>
      <c r="E24" s="1474">
        <v>355723.218029738</v>
      </c>
      <c r="F24" s="1474">
        <v>270628.07</v>
      </c>
      <c r="G24" s="1474">
        <v>213002.53</v>
      </c>
      <c r="H24" s="1474">
        <v>0</v>
      </c>
      <c r="I24" s="1469">
        <f t="shared" si="3"/>
        <v>1596005.6000000003</v>
      </c>
      <c r="J24" s="1475">
        <f t="shared" si="4"/>
        <v>213002.53</v>
      </c>
      <c r="K24" s="1475">
        <f t="shared" si="5"/>
        <v>483630.6</v>
      </c>
    </row>
    <row r="25" spans="1:11" ht="15" customHeight="1" x14ac:dyDescent="0.3">
      <c r="A25" s="1471" t="s">
        <v>56</v>
      </c>
      <c r="B25" s="1465" t="s">
        <v>283</v>
      </c>
      <c r="C25" s="1472" t="s">
        <v>254</v>
      </c>
      <c r="D25" s="1473">
        <v>6915422.6671174327</v>
      </c>
      <c r="E25" s="1474">
        <v>2870707.7328825668</v>
      </c>
      <c r="F25" s="1474">
        <v>3851838.78</v>
      </c>
      <c r="G25" s="1474">
        <v>114290.45999999999</v>
      </c>
      <c r="H25" s="1474">
        <v>0</v>
      </c>
      <c r="I25" s="1469">
        <f t="shared" si="3"/>
        <v>13752259.639999999</v>
      </c>
      <c r="J25" s="1475">
        <f t="shared" si="4"/>
        <v>114290.45999999999</v>
      </c>
      <c r="K25" s="1475">
        <f t="shared" si="5"/>
        <v>3966129.2399999998</v>
      </c>
    </row>
    <row r="26" spans="1:11" ht="15" customHeight="1" x14ac:dyDescent="0.3">
      <c r="A26" s="1471" t="s">
        <v>58</v>
      </c>
      <c r="B26" s="1465" t="s">
        <v>59</v>
      </c>
      <c r="C26" s="1472" t="s">
        <v>255</v>
      </c>
      <c r="D26" s="1473">
        <v>549297.70950968552</v>
      </c>
      <c r="E26" s="1474">
        <v>180684.02049031455</v>
      </c>
      <c r="F26" s="1474">
        <v>447548.27</v>
      </c>
      <c r="G26" s="1474">
        <v>9833.0400000000009</v>
      </c>
      <c r="H26" s="1474">
        <v>0</v>
      </c>
      <c r="I26" s="1469">
        <f t="shared" si="3"/>
        <v>1187363.04</v>
      </c>
      <c r="J26" s="1475">
        <f t="shared" si="4"/>
        <v>9833.0400000000009</v>
      </c>
      <c r="K26" s="1475">
        <f t="shared" si="5"/>
        <v>457381.31</v>
      </c>
    </row>
    <row r="27" spans="1:11" ht="15" customHeight="1" x14ac:dyDescent="0.3">
      <c r="A27" s="1471" t="s">
        <v>60</v>
      </c>
      <c r="B27" s="1465" t="s">
        <v>61</v>
      </c>
      <c r="C27" s="1472" t="s">
        <v>253</v>
      </c>
      <c r="D27" s="1473">
        <v>260033.278710165</v>
      </c>
      <c r="E27" s="1474">
        <v>116122.13128983497</v>
      </c>
      <c r="F27" s="1474">
        <v>116768.7</v>
      </c>
      <c r="G27" s="1474">
        <v>2457.85</v>
      </c>
      <c r="H27" s="1474">
        <v>0</v>
      </c>
      <c r="I27" s="1469">
        <f t="shared" si="3"/>
        <v>495381.95999999996</v>
      </c>
      <c r="J27" s="1475">
        <f t="shared" si="4"/>
        <v>2457.85</v>
      </c>
      <c r="K27" s="1475">
        <f t="shared" si="5"/>
        <v>119226.55</v>
      </c>
    </row>
    <row r="28" spans="1:11" ht="15" customHeight="1" x14ac:dyDescent="0.3">
      <c r="A28" s="1471" t="s">
        <v>62</v>
      </c>
      <c r="B28" s="1465" t="s">
        <v>63</v>
      </c>
      <c r="C28" s="1472" t="s">
        <v>255</v>
      </c>
      <c r="D28" s="1473">
        <v>1875006.7287615929</v>
      </c>
      <c r="E28" s="1474">
        <v>680557.04123840737</v>
      </c>
      <c r="F28" s="1474">
        <v>1260620.9500000002</v>
      </c>
      <c r="G28" s="1474">
        <v>111824.8</v>
      </c>
      <c r="H28" s="1474">
        <v>0</v>
      </c>
      <c r="I28" s="1469">
        <f t="shared" si="3"/>
        <v>3928009.5200000005</v>
      </c>
      <c r="J28" s="1475">
        <f t="shared" si="4"/>
        <v>111824.8</v>
      </c>
      <c r="K28" s="1475">
        <f t="shared" si="5"/>
        <v>1372445.7500000002</v>
      </c>
    </row>
    <row r="29" spans="1:11" ht="15" customHeight="1" x14ac:dyDescent="0.3">
      <c r="A29" s="1471" t="s">
        <v>64</v>
      </c>
      <c r="B29" s="1465" t="s">
        <v>65</v>
      </c>
      <c r="C29" s="1472" t="s">
        <v>254</v>
      </c>
      <c r="D29" s="1473">
        <v>505153.3003834915</v>
      </c>
      <c r="E29" s="1474">
        <v>248524.3296165085</v>
      </c>
      <c r="F29" s="1474">
        <v>155915.54</v>
      </c>
      <c r="G29" s="1474">
        <v>62489.909999999996</v>
      </c>
      <c r="H29" s="1474">
        <v>0</v>
      </c>
      <c r="I29" s="1469">
        <f t="shared" si="3"/>
        <v>972083.08000000007</v>
      </c>
      <c r="J29" s="1475">
        <f t="shared" si="4"/>
        <v>62489.909999999996</v>
      </c>
      <c r="K29" s="1475">
        <f t="shared" si="5"/>
        <v>218405.45</v>
      </c>
    </row>
    <row r="30" spans="1:11" ht="15" customHeight="1" x14ac:dyDescent="0.3">
      <c r="A30" s="1471" t="s">
        <v>68</v>
      </c>
      <c r="B30" s="1465" t="s">
        <v>69</v>
      </c>
      <c r="C30" s="1472" t="s">
        <v>256</v>
      </c>
      <c r="D30" s="1473">
        <v>1517112.0899372634</v>
      </c>
      <c r="E30" s="1474">
        <v>653542.6100627369</v>
      </c>
      <c r="F30" s="1474">
        <v>751554.57000000007</v>
      </c>
      <c r="G30" s="1474">
        <v>27999.87</v>
      </c>
      <c r="H30" s="1474">
        <v>0</v>
      </c>
      <c r="I30" s="1469">
        <f t="shared" si="3"/>
        <v>2950209.1400000006</v>
      </c>
      <c r="J30" s="1475">
        <f t="shared" si="4"/>
        <v>27999.87</v>
      </c>
      <c r="K30" s="1475">
        <f t="shared" si="5"/>
        <v>779554.44000000006</v>
      </c>
    </row>
    <row r="31" spans="1:11" ht="15" customHeight="1" x14ac:dyDescent="0.3">
      <c r="A31" s="1471" t="s">
        <v>70</v>
      </c>
      <c r="B31" s="1465" t="s">
        <v>71</v>
      </c>
      <c r="C31" s="1472" t="s">
        <v>252</v>
      </c>
      <c r="D31" s="1473">
        <v>1089846.1959618744</v>
      </c>
      <c r="E31" s="1474">
        <v>513734.7740381257</v>
      </c>
      <c r="F31" s="1474">
        <v>399538.51</v>
      </c>
      <c r="G31" s="1474">
        <v>6276.32</v>
      </c>
      <c r="H31" s="1474">
        <v>0</v>
      </c>
      <c r="I31" s="1469">
        <f t="shared" si="3"/>
        <v>2009395.8000000003</v>
      </c>
      <c r="J31" s="1475">
        <f t="shared" si="4"/>
        <v>6276.32</v>
      </c>
      <c r="K31" s="1475">
        <f t="shared" si="5"/>
        <v>405814.83</v>
      </c>
    </row>
    <row r="32" spans="1:11" ht="15" customHeight="1" x14ac:dyDescent="0.3">
      <c r="A32" s="1471" t="s">
        <v>72</v>
      </c>
      <c r="B32" s="1465" t="s">
        <v>73</v>
      </c>
      <c r="C32" s="1472" t="s">
        <v>254</v>
      </c>
      <c r="D32" s="1473">
        <v>592341.36754211341</v>
      </c>
      <c r="E32" s="1474">
        <v>240690.73245788648</v>
      </c>
      <c r="F32" s="1474">
        <v>340183.68</v>
      </c>
      <c r="G32" s="1474">
        <v>7313.8200000000006</v>
      </c>
      <c r="H32" s="1474">
        <v>0</v>
      </c>
      <c r="I32" s="1469">
        <f t="shared" si="3"/>
        <v>1180529.5999999999</v>
      </c>
      <c r="J32" s="1475">
        <f t="shared" si="4"/>
        <v>7313.8200000000006</v>
      </c>
      <c r="K32" s="1475">
        <f t="shared" si="5"/>
        <v>347497.5</v>
      </c>
    </row>
    <row r="33" spans="1:11" ht="15" customHeight="1" x14ac:dyDescent="0.3">
      <c r="A33" s="1471" t="s">
        <v>74</v>
      </c>
      <c r="B33" s="1465" t="s">
        <v>290</v>
      </c>
      <c r="C33" s="1472" t="s">
        <v>255</v>
      </c>
      <c r="D33" s="1473">
        <v>32508696.42820286</v>
      </c>
      <c r="E33" s="1474">
        <v>7323194.1617971379</v>
      </c>
      <c r="F33" s="1474">
        <v>36564306.219999999</v>
      </c>
      <c r="G33" s="1474">
        <v>-14.6</v>
      </c>
      <c r="H33" s="1474">
        <v>0</v>
      </c>
      <c r="I33" s="1469">
        <f t="shared" si="3"/>
        <v>76396182.210000008</v>
      </c>
      <c r="J33" s="1475">
        <f t="shared" si="4"/>
        <v>-14.6</v>
      </c>
      <c r="K33" s="1475">
        <f t="shared" si="5"/>
        <v>36564291.619999997</v>
      </c>
    </row>
    <row r="34" spans="1:11" ht="15" customHeight="1" x14ac:dyDescent="0.3">
      <c r="A34" s="1471" t="s">
        <v>76</v>
      </c>
      <c r="B34" s="1465" t="s">
        <v>77</v>
      </c>
      <c r="C34" s="1472" t="s">
        <v>255</v>
      </c>
      <c r="D34" s="1473">
        <v>1929331.3789906802</v>
      </c>
      <c r="E34" s="1474">
        <v>578605.31100931985</v>
      </c>
      <c r="F34" s="1474">
        <v>1745182.25</v>
      </c>
      <c r="G34" s="1474">
        <v>472053.08999999997</v>
      </c>
      <c r="H34" s="1474">
        <v>0</v>
      </c>
      <c r="I34" s="1469">
        <f t="shared" si="3"/>
        <v>4725172.0299999993</v>
      </c>
      <c r="J34" s="1475">
        <f t="shared" si="4"/>
        <v>472053.08999999997</v>
      </c>
      <c r="K34" s="1475">
        <f t="shared" si="5"/>
        <v>2217235.34</v>
      </c>
    </row>
    <row r="35" spans="1:11" ht="15" customHeight="1" x14ac:dyDescent="0.3">
      <c r="A35" s="1471" t="s">
        <v>78</v>
      </c>
      <c r="B35" s="1465" t="s">
        <v>79</v>
      </c>
      <c r="C35" s="1472" t="s">
        <v>256</v>
      </c>
      <c r="D35" s="1473">
        <v>499489.42265076877</v>
      </c>
      <c r="E35" s="1474">
        <v>238100.40734923122</v>
      </c>
      <c r="F35" s="1474">
        <v>181055.66999999998</v>
      </c>
      <c r="G35" s="1474">
        <v>2160.5100000000002</v>
      </c>
      <c r="H35" s="1474">
        <v>0</v>
      </c>
      <c r="I35" s="1469">
        <f t="shared" si="3"/>
        <v>920806.01</v>
      </c>
      <c r="J35" s="1475">
        <f t="shared" si="4"/>
        <v>2160.5100000000002</v>
      </c>
      <c r="K35" s="1475">
        <f t="shared" si="5"/>
        <v>183216.18</v>
      </c>
    </row>
    <row r="36" spans="1:11" ht="15" customHeight="1" x14ac:dyDescent="0.3">
      <c r="A36" s="1471" t="s">
        <v>80</v>
      </c>
      <c r="B36" s="1465" t="s">
        <v>81</v>
      </c>
      <c r="C36" s="1472" t="s">
        <v>254</v>
      </c>
      <c r="D36" s="1473">
        <v>981084.49868891633</v>
      </c>
      <c r="E36" s="1474">
        <v>293536.93131108372</v>
      </c>
      <c r="F36" s="1474">
        <v>883799.99</v>
      </c>
      <c r="G36" s="1474">
        <v>11559.150000000001</v>
      </c>
      <c r="H36" s="1474">
        <v>0</v>
      </c>
      <c r="I36" s="1469">
        <f t="shared" si="3"/>
        <v>2169980.5699999998</v>
      </c>
      <c r="J36" s="1475">
        <f t="shared" si="4"/>
        <v>11559.150000000001</v>
      </c>
      <c r="K36" s="1475">
        <f t="shared" si="5"/>
        <v>895359.14</v>
      </c>
    </row>
    <row r="37" spans="1:11" ht="15" customHeight="1" x14ac:dyDescent="0.3">
      <c r="A37" s="1471" t="s">
        <v>84</v>
      </c>
      <c r="B37" s="1465" t="s">
        <v>296</v>
      </c>
      <c r="C37" s="1472" t="s">
        <v>253</v>
      </c>
      <c r="D37" s="1473">
        <v>2066175.7624380358</v>
      </c>
      <c r="E37" s="1474">
        <v>796095.69756196428</v>
      </c>
      <c r="F37" s="1474">
        <v>1313022.21</v>
      </c>
      <c r="G37" s="1474">
        <v>23267.62</v>
      </c>
      <c r="H37" s="1474">
        <v>0</v>
      </c>
      <c r="I37" s="1469">
        <f t="shared" ref="I37:I68" si="6">SUM(D37:H37)</f>
        <v>4198561.29</v>
      </c>
      <c r="J37" s="1475">
        <f t="shared" ref="J37:J68" si="7">G37+H37</f>
        <v>23267.62</v>
      </c>
      <c r="K37" s="1475">
        <f t="shared" ref="K37:K68" si="8">F37+J37</f>
        <v>1336289.83</v>
      </c>
    </row>
    <row r="38" spans="1:11" ht="15" customHeight="1" x14ac:dyDescent="0.3">
      <c r="A38" s="1471" t="s">
        <v>86</v>
      </c>
      <c r="B38" s="1465" t="s">
        <v>87</v>
      </c>
      <c r="C38" s="1472" t="s">
        <v>255</v>
      </c>
      <c r="D38" s="1473">
        <v>2672542.8062962145</v>
      </c>
      <c r="E38" s="1474">
        <v>765057.70370378555</v>
      </c>
      <c r="F38" s="1474">
        <v>2522281.0499999998</v>
      </c>
      <c r="G38" s="1474">
        <v>3137.34</v>
      </c>
      <c r="H38" s="1474">
        <v>0</v>
      </c>
      <c r="I38" s="1469">
        <f t="shared" si="6"/>
        <v>5963018.8999999994</v>
      </c>
      <c r="J38" s="1475">
        <f t="shared" si="7"/>
        <v>3137.34</v>
      </c>
      <c r="K38" s="1475">
        <f t="shared" si="8"/>
        <v>2525418.3899999997</v>
      </c>
    </row>
    <row r="39" spans="1:11" ht="15" customHeight="1" x14ac:dyDescent="0.3">
      <c r="A39" s="1471" t="s">
        <v>92</v>
      </c>
      <c r="B39" s="1465" t="s">
        <v>93</v>
      </c>
      <c r="C39" s="1472" t="s">
        <v>256</v>
      </c>
      <c r="D39" s="1473">
        <v>870574.93708488101</v>
      </c>
      <c r="E39" s="1474">
        <v>385748.71291511913</v>
      </c>
      <c r="F39" s="1474">
        <v>396661.31</v>
      </c>
      <c r="G39" s="1474">
        <v>13392.01</v>
      </c>
      <c r="H39" s="1474">
        <v>0</v>
      </c>
      <c r="I39" s="1469">
        <f t="shared" si="6"/>
        <v>1666376.9700000002</v>
      </c>
      <c r="J39" s="1475">
        <f t="shared" si="7"/>
        <v>13392.01</v>
      </c>
      <c r="K39" s="1475">
        <f t="shared" si="8"/>
        <v>410053.32</v>
      </c>
    </row>
    <row r="40" spans="1:11" ht="15" customHeight="1" x14ac:dyDescent="0.3">
      <c r="A40" s="1471" t="s">
        <v>94</v>
      </c>
      <c r="B40" s="1465" t="s">
        <v>95</v>
      </c>
      <c r="C40" s="1472" t="s">
        <v>252</v>
      </c>
      <c r="D40" s="1473">
        <v>1497848.9667326442</v>
      </c>
      <c r="E40" s="1474">
        <v>500157.95326735562</v>
      </c>
      <c r="F40" s="1474">
        <v>1193496.3900000001</v>
      </c>
      <c r="G40" s="1474">
        <v>11915.56</v>
      </c>
      <c r="H40" s="1474">
        <v>0</v>
      </c>
      <c r="I40" s="1469">
        <f t="shared" si="6"/>
        <v>3203418.87</v>
      </c>
      <c r="J40" s="1475">
        <f t="shared" si="7"/>
        <v>11915.56</v>
      </c>
      <c r="K40" s="1475">
        <f t="shared" si="8"/>
        <v>1205411.9500000002</v>
      </c>
    </row>
    <row r="41" spans="1:11" ht="15" customHeight="1" x14ac:dyDescent="0.3">
      <c r="A41" s="1471" t="s">
        <v>96</v>
      </c>
      <c r="B41" s="1465" t="s">
        <v>97</v>
      </c>
      <c r="C41" s="1472" t="s">
        <v>254</v>
      </c>
      <c r="D41" s="1473">
        <v>798230.57467026787</v>
      </c>
      <c r="E41" s="1474">
        <v>286883.09532973205</v>
      </c>
      <c r="F41" s="1474">
        <v>570243.17000000004</v>
      </c>
      <c r="G41" s="1474">
        <v>68939.76999999999</v>
      </c>
      <c r="H41" s="1474">
        <v>0</v>
      </c>
      <c r="I41" s="1469">
        <f t="shared" si="6"/>
        <v>1724296.6099999999</v>
      </c>
      <c r="J41" s="1475">
        <f t="shared" si="7"/>
        <v>68939.76999999999</v>
      </c>
      <c r="K41" s="1475">
        <f t="shared" si="8"/>
        <v>639182.94000000006</v>
      </c>
    </row>
    <row r="42" spans="1:11" ht="15" customHeight="1" x14ac:dyDescent="0.3">
      <c r="A42" s="1471" t="s">
        <v>98</v>
      </c>
      <c r="B42" s="1465" t="s">
        <v>99</v>
      </c>
      <c r="C42" s="1472" t="s">
        <v>256</v>
      </c>
      <c r="D42" s="1473">
        <v>772408.82698830008</v>
      </c>
      <c r="E42" s="1474">
        <v>368354.39301169995</v>
      </c>
      <c r="F42" s="1474">
        <v>271152.63</v>
      </c>
      <c r="G42" s="1474">
        <v>41176.480000000003</v>
      </c>
      <c r="H42" s="1474">
        <v>0</v>
      </c>
      <c r="I42" s="1469">
        <f t="shared" si="6"/>
        <v>1453092.33</v>
      </c>
      <c r="J42" s="1475">
        <f t="shared" si="7"/>
        <v>41176.480000000003</v>
      </c>
      <c r="K42" s="1475">
        <f t="shared" si="8"/>
        <v>312329.11</v>
      </c>
    </row>
    <row r="43" spans="1:11" ht="15" customHeight="1" x14ac:dyDescent="0.3">
      <c r="A43" s="1471" t="s">
        <v>100</v>
      </c>
      <c r="B43" s="1465" t="s">
        <v>101</v>
      </c>
      <c r="C43" s="1472" t="s">
        <v>255</v>
      </c>
      <c r="D43" s="1473">
        <v>666360.08235598309</v>
      </c>
      <c r="E43" s="1474">
        <v>259801.92764401692</v>
      </c>
      <c r="F43" s="1474">
        <v>417561.93</v>
      </c>
      <c r="G43" s="1474">
        <v>2944.12</v>
      </c>
      <c r="H43" s="1474">
        <v>0</v>
      </c>
      <c r="I43" s="1469">
        <f t="shared" si="6"/>
        <v>1346668.06</v>
      </c>
      <c r="J43" s="1475">
        <f t="shared" si="7"/>
        <v>2944.12</v>
      </c>
      <c r="K43" s="1475">
        <f t="shared" si="8"/>
        <v>420506.05</v>
      </c>
    </row>
    <row r="44" spans="1:11" ht="15" customHeight="1" x14ac:dyDescent="0.3">
      <c r="A44" s="1471" t="s">
        <v>102</v>
      </c>
      <c r="B44" s="1465" t="s">
        <v>103</v>
      </c>
      <c r="C44" s="1472" t="s">
        <v>252</v>
      </c>
      <c r="D44" s="1473">
        <v>1163540.9598491269</v>
      </c>
      <c r="E44" s="1474">
        <v>567292.31015087338</v>
      </c>
      <c r="F44" s="1474">
        <v>345315.07</v>
      </c>
      <c r="G44" s="1474">
        <v>117816.3</v>
      </c>
      <c r="H44" s="1474">
        <v>0</v>
      </c>
      <c r="I44" s="1469">
        <f t="shared" si="6"/>
        <v>2193964.64</v>
      </c>
      <c r="J44" s="1475">
        <f t="shared" si="7"/>
        <v>117816.3</v>
      </c>
      <c r="K44" s="1475">
        <f t="shared" si="8"/>
        <v>463131.37</v>
      </c>
    </row>
    <row r="45" spans="1:11" ht="15" customHeight="1" x14ac:dyDescent="0.3">
      <c r="A45" s="1471" t="s">
        <v>104</v>
      </c>
      <c r="B45" s="1465" t="s">
        <v>297</v>
      </c>
      <c r="C45" s="1472" t="s">
        <v>253</v>
      </c>
      <c r="D45" s="1473">
        <v>1766128.9955750098</v>
      </c>
      <c r="E45" s="1474">
        <v>861145.54442499008</v>
      </c>
      <c r="F45" s="1474">
        <v>522202.75</v>
      </c>
      <c r="G45" s="1474">
        <v>142052.94999999998</v>
      </c>
      <c r="H45" s="1474">
        <v>0</v>
      </c>
      <c r="I45" s="1469">
        <f t="shared" si="6"/>
        <v>3291530.24</v>
      </c>
      <c r="J45" s="1475">
        <f t="shared" si="7"/>
        <v>142052.94999999998</v>
      </c>
      <c r="K45" s="1475">
        <f t="shared" si="8"/>
        <v>664255.69999999995</v>
      </c>
    </row>
    <row r="46" spans="1:11" ht="15" customHeight="1" x14ac:dyDescent="0.3">
      <c r="A46" s="1471" t="s">
        <v>108</v>
      </c>
      <c r="B46" s="1465" t="s">
        <v>109</v>
      </c>
      <c r="C46" s="1472" t="s">
        <v>254</v>
      </c>
      <c r="D46" s="1473">
        <v>1984421.7771074316</v>
      </c>
      <c r="E46" s="1474">
        <v>666025.50289256871</v>
      </c>
      <c r="F46" s="1474">
        <v>1531744.38</v>
      </c>
      <c r="G46" s="1474">
        <v>52117</v>
      </c>
      <c r="H46" s="1474">
        <v>0</v>
      </c>
      <c r="I46" s="1469">
        <f t="shared" si="6"/>
        <v>4234308.66</v>
      </c>
      <c r="J46" s="1475">
        <f t="shared" si="7"/>
        <v>52117</v>
      </c>
      <c r="K46" s="1475">
        <f t="shared" si="8"/>
        <v>1583861.38</v>
      </c>
    </row>
    <row r="47" spans="1:11" ht="15" customHeight="1" x14ac:dyDescent="0.3">
      <c r="A47" s="1471" t="s">
        <v>110</v>
      </c>
      <c r="B47" s="1465" t="s">
        <v>111</v>
      </c>
      <c r="C47" s="1472" t="s">
        <v>254</v>
      </c>
      <c r="D47" s="1473">
        <v>7612934.626585979</v>
      </c>
      <c r="E47" s="1474">
        <v>2993026.5934140217</v>
      </c>
      <c r="F47" s="1474">
        <v>4411093.47</v>
      </c>
      <c r="G47" s="1474">
        <v>151755.55000000002</v>
      </c>
      <c r="H47" s="1474">
        <v>0</v>
      </c>
      <c r="I47" s="1469">
        <f t="shared" si="6"/>
        <v>15168810.240000002</v>
      </c>
      <c r="J47" s="1475">
        <f t="shared" si="7"/>
        <v>151755.55000000002</v>
      </c>
      <c r="K47" s="1475">
        <f t="shared" si="8"/>
        <v>4562849.0199999996</v>
      </c>
    </row>
    <row r="48" spans="1:11" ht="15" customHeight="1" x14ac:dyDescent="0.3">
      <c r="A48" s="1471" t="s">
        <v>112</v>
      </c>
      <c r="B48" s="1465" t="s">
        <v>288</v>
      </c>
      <c r="C48" s="1472" t="s">
        <v>253</v>
      </c>
      <c r="D48" s="1473">
        <v>3075800.3756529139</v>
      </c>
      <c r="E48" s="1474">
        <v>1534991.8043470867</v>
      </c>
      <c r="F48" s="1474">
        <v>798513.01</v>
      </c>
      <c r="G48" s="1474">
        <v>22156.16</v>
      </c>
      <c r="H48" s="1474">
        <v>0</v>
      </c>
      <c r="I48" s="1469">
        <f t="shared" si="6"/>
        <v>5431461.3500000006</v>
      </c>
      <c r="J48" s="1475">
        <f t="shared" si="7"/>
        <v>22156.16</v>
      </c>
      <c r="K48" s="1475">
        <f t="shared" si="8"/>
        <v>820669.17</v>
      </c>
    </row>
    <row r="49" spans="1:11" ht="15" customHeight="1" x14ac:dyDescent="0.3">
      <c r="A49" s="1471" t="s">
        <v>114</v>
      </c>
      <c r="B49" s="1465" t="s">
        <v>115</v>
      </c>
      <c r="C49" s="1472" t="s">
        <v>253</v>
      </c>
      <c r="D49" s="1473">
        <v>187617.44674689154</v>
      </c>
      <c r="E49" s="1474">
        <v>86711.103253108464</v>
      </c>
      <c r="F49" s="1474">
        <v>79173.290000000008</v>
      </c>
      <c r="G49" s="1474">
        <v>4713.6899999999996</v>
      </c>
      <c r="H49" s="1474">
        <v>0</v>
      </c>
      <c r="I49" s="1469">
        <f t="shared" si="6"/>
        <v>358215.52999999997</v>
      </c>
      <c r="J49" s="1475">
        <f t="shared" si="7"/>
        <v>4713.6899999999996</v>
      </c>
      <c r="K49" s="1475">
        <f t="shared" si="8"/>
        <v>83886.98000000001</v>
      </c>
    </row>
    <row r="50" spans="1:11" ht="15" customHeight="1" x14ac:dyDescent="0.3">
      <c r="A50" s="1471" t="s">
        <v>118</v>
      </c>
      <c r="B50" s="1465" t="s">
        <v>119</v>
      </c>
      <c r="C50" s="1472" t="s">
        <v>252</v>
      </c>
      <c r="D50" s="1473">
        <v>1339133.0084910414</v>
      </c>
      <c r="E50" s="1474">
        <v>571962.29150895867</v>
      </c>
      <c r="F50" s="1474">
        <v>676445.15</v>
      </c>
      <c r="G50" s="1474">
        <v>-5074.1499999999996</v>
      </c>
      <c r="H50" s="1474">
        <v>0</v>
      </c>
      <c r="I50" s="1469">
        <f t="shared" si="6"/>
        <v>2582466.3000000003</v>
      </c>
      <c r="J50" s="1475">
        <f t="shared" si="7"/>
        <v>-5074.1499999999996</v>
      </c>
      <c r="K50" s="1475">
        <f t="shared" si="8"/>
        <v>671371</v>
      </c>
    </row>
    <row r="51" spans="1:11" ht="15" customHeight="1" x14ac:dyDescent="0.3">
      <c r="A51" s="1471" t="s">
        <v>120</v>
      </c>
      <c r="B51" s="1465" t="s">
        <v>121</v>
      </c>
      <c r="C51" s="1472" t="s">
        <v>252</v>
      </c>
      <c r="D51" s="1473">
        <v>1723656.4122520133</v>
      </c>
      <c r="E51" s="1474">
        <v>650914.08774798678</v>
      </c>
      <c r="F51" s="1474">
        <v>1127929.49</v>
      </c>
      <c r="G51" s="1474">
        <v>325108.73</v>
      </c>
      <c r="H51" s="1474">
        <v>0</v>
      </c>
      <c r="I51" s="1469">
        <f t="shared" si="6"/>
        <v>3827608.72</v>
      </c>
      <c r="J51" s="1475">
        <f t="shared" si="7"/>
        <v>325108.73</v>
      </c>
      <c r="K51" s="1475">
        <f t="shared" si="8"/>
        <v>1453038.22</v>
      </c>
    </row>
    <row r="52" spans="1:11" ht="15" customHeight="1" x14ac:dyDescent="0.3">
      <c r="A52" s="1471" t="s">
        <v>122</v>
      </c>
      <c r="B52" s="1465" t="s">
        <v>259</v>
      </c>
      <c r="C52" s="1472" t="s">
        <v>254</v>
      </c>
      <c r="D52" s="1473">
        <v>493064.46198257501</v>
      </c>
      <c r="E52" s="1474">
        <v>225922.51801742506</v>
      </c>
      <c r="F52" s="1474">
        <v>203797.61</v>
      </c>
      <c r="G52" s="1474">
        <v>669.01</v>
      </c>
      <c r="H52" s="1474">
        <v>0</v>
      </c>
      <c r="I52" s="1469">
        <f t="shared" si="6"/>
        <v>923453.60000000009</v>
      </c>
      <c r="J52" s="1475">
        <f t="shared" si="7"/>
        <v>669.01</v>
      </c>
      <c r="K52" s="1475">
        <f t="shared" si="8"/>
        <v>204466.62</v>
      </c>
    </row>
    <row r="53" spans="1:11" ht="15" customHeight="1" x14ac:dyDescent="0.3">
      <c r="A53" s="1471" t="s">
        <v>124</v>
      </c>
      <c r="B53" s="1465" t="s">
        <v>125</v>
      </c>
      <c r="C53" s="1472" t="s">
        <v>255</v>
      </c>
      <c r="D53" s="1473">
        <v>764502.55417833617</v>
      </c>
      <c r="E53" s="1474">
        <v>283820.0258216639</v>
      </c>
      <c r="F53" s="1474">
        <v>517410.61</v>
      </c>
      <c r="G53" s="1474">
        <v>99761.47</v>
      </c>
      <c r="H53" s="1474">
        <v>0</v>
      </c>
      <c r="I53" s="1469">
        <f t="shared" si="6"/>
        <v>1665494.66</v>
      </c>
      <c r="J53" s="1475">
        <f t="shared" si="7"/>
        <v>99761.47</v>
      </c>
      <c r="K53" s="1475">
        <f t="shared" si="8"/>
        <v>617172.07999999996</v>
      </c>
    </row>
    <row r="54" spans="1:11" ht="15" customHeight="1" x14ac:dyDescent="0.3">
      <c r="A54" s="1471" t="s">
        <v>126</v>
      </c>
      <c r="B54" s="1465" t="s">
        <v>127</v>
      </c>
      <c r="C54" s="1472" t="s">
        <v>254</v>
      </c>
      <c r="D54" s="1473">
        <v>489705.39612375828</v>
      </c>
      <c r="E54" s="1474">
        <v>216184.06387624179</v>
      </c>
      <c r="F54" s="1474">
        <v>231151.45</v>
      </c>
      <c r="G54" s="1474">
        <v>4583.3200000000006</v>
      </c>
      <c r="H54" s="1474">
        <v>0</v>
      </c>
      <c r="I54" s="1469">
        <f t="shared" si="6"/>
        <v>941624.2300000001</v>
      </c>
      <c r="J54" s="1475">
        <f t="shared" si="7"/>
        <v>4583.3200000000006</v>
      </c>
      <c r="K54" s="1475">
        <f t="shared" si="8"/>
        <v>235734.77000000002</v>
      </c>
    </row>
    <row r="55" spans="1:11" ht="15" customHeight="1" x14ac:dyDescent="0.3">
      <c r="A55" s="1471" t="s">
        <v>128</v>
      </c>
      <c r="B55" s="1465" t="s">
        <v>129</v>
      </c>
      <c r="C55" s="1472" t="s">
        <v>254</v>
      </c>
      <c r="D55" s="1473">
        <v>716919.25995687174</v>
      </c>
      <c r="E55" s="1474">
        <v>327142.42004312814</v>
      </c>
      <c r="F55" s="1474">
        <v>298791.7</v>
      </c>
      <c r="G55" s="1474">
        <v>77326.099999999991</v>
      </c>
      <c r="H55" s="1474">
        <v>0</v>
      </c>
      <c r="I55" s="1469">
        <f t="shared" si="6"/>
        <v>1420179.48</v>
      </c>
      <c r="J55" s="1475">
        <f t="shared" si="7"/>
        <v>77326.099999999991</v>
      </c>
      <c r="K55" s="1475">
        <f t="shared" si="8"/>
        <v>376117.8</v>
      </c>
    </row>
    <row r="56" spans="1:11" ht="15" customHeight="1" x14ac:dyDescent="0.3">
      <c r="A56" s="1471" t="s">
        <v>130</v>
      </c>
      <c r="B56" s="1465" t="s">
        <v>131</v>
      </c>
      <c r="C56" s="1472" t="s">
        <v>256</v>
      </c>
      <c r="D56" s="1473">
        <v>1882125.2496950382</v>
      </c>
      <c r="E56" s="1474">
        <v>938019.5203049616</v>
      </c>
      <c r="F56" s="1474">
        <v>518835.65</v>
      </c>
      <c r="G56" s="1474">
        <v>12097.45</v>
      </c>
      <c r="H56" s="1474">
        <v>0</v>
      </c>
      <c r="I56" s="1469">
        <f t="shared" si="6"/>
        <v>3351077.8699999996</v>
      </c>
      <c r="J56" s="1475">
        <f t="shared" si="7"/>
        <v>12097.45</v>
      </c>
      <c r="K56" s="1475">
        <f t="shared" si="8"/>
        <v>530933.1</v>
      </c>
    </row>
    <row r="57" spans="1:11" ht="15" customHeight="1" x14ac:dyDescent="0.3">
      <c r="A57" s="1471" t="s">
        <v>132</v>
      </c>
      <c r="B57" s="1465" t="s">
        <v>133</v>
      </c>
      <c r="C57" s="1472" t="s">
        <v>255</v>
      </c>
      <c r="D57" s="1473">
        <v>5240673.8066969318</v>
      </c>
      <c r="E57" s="1474">
        <v>1117969.0233030675</v>
      </c>
      <c r="F57" s="1474">
        <v>6114290.7400000002</v>
      </c>
      <c r="G57" s="1474">
        <v>44058.7</v>
      </c>
      <c r="H57" s="1474">
        <v>0</v>
      </c>
      <c r="I57" s="1469">
        <f t="shared" si="6"/>
        <v>12516992.27</v>
      </c>
      <c r="J57" s="1475">
        <f t="shared" si="7"/>
        <v>44058.7</v>
      </c>
      <c r="K57" s="1475">
        <f t="shared" si="8"/>
        <v>6158349.4400000004</v>
      </c>
    </row>
    <row r="58" spans="1:11" ht="15" customHeight="1" x14ac:dyDescent="0.3">
      <c r="A58" s="1471" t="s">
        <v>134</v>
      </c>
      <c r="B58" s="1465" t="s">
        <v>135</v>
      </c>
      <c r="C58" s="1472" t="s">
        <v>255</v>
      </c>
      <c r="D58" s="1473">
        <v>1222888.2937294366</v>
      </c>
      <c r="E58" s="1474">
        <v>504835.06627056317</v>
      </c>
      <c r="F58" s="1474">
        <v>677989.42999999993</v>
      </c>
      <c r="G58" s="1474">
        <v>3038.1</v>
      </c>
      <c r="H58" s="1474">
        <v>0</v>
      </c>
      <c r="I58" s="1469">
        <f t="shared" si="6"/>
        <v>2408750.89</v>
      </c>
      <c r="J58" s="1475">
        <f t="shared" si="7"/>
        <v>3038.1</v>
      </c>
      <c r="K58" s="1475">
        <f t="shared" si="8"/>
        <v>681027.52999999991</v>
      </c>
    </row>
    <row r="59" spans="1:11" ht="15" customHeight="1" x14ac:dyDescent="0.3">
      <c r="A59" s="1471" t="s">
        <v>136</v>
      </c>
      <c r="B59" s="1465" t="s">
        <v>137</v>
      </c>
      <c r="C59" s="1472" t="s">
        <v>254</v>
      </c>
      <c r="D59" s="1473">
        <v>380893.33118552173</v>
      </c>
      <c r="E59" s="1474">
        <v>196570.52881447828</v>
      </c>
      <c r="F59" s="1474">
        <v>92152.92</v>
      </c>
      <c r="G59" s="1474">
        <v>392.39</v>
      </c>
      <c r="H59" s="1474">
        <v>0</v>
      </c>
      <c r="I59" s="1469">
        <f t="shared" si="6"/>
        <v>670009.17000000004</v>
      </c>
      <c r="J59" s="1475">
        <f t="shared" si="7"/>
        <v>392.39</v>
      </c>
      <c r="K59" s="1475">
        <f t="shared" si="8"/>
        <v>92545.31</v>
      </c>
    </row>
    <row r="60" spans="1:11" ht="15" customHeight="1" x14ac:dyDescent="0.3">
      <c r="A60" s="1471" t="s">
        <v>140</v>
      </c>
      <c r="B60" s="1465" t="s">
        <v>141</v>
      </c>
      <c r="C60" s="1472" t="s">
        <v>255</v>
      </c>
      <c r="D60" s="1473">
        <v>619720.09033365292</v>
      </c>
      <c r="E60" s="1474">
        <v>238022.83966634696</v>
      </c>
      <c r="F60" s="1474">
        <v>394836.99</v>
      </c>
      <c r="G60" s="1474">
        <v>17378.98</v>
      </c>
      <c r="H60" s="1474">
        <v>0</v>
      </c>
      <c r="I60" s="1469">
        <f t="shared" si="6"/>
        <v>1269958.8999999999</v>
      </c>
      <c r="J60" s="1475">
        <f t="shared" si="7"/>
        <v>17378.98</v>
      </c>
      <c r="K60" s="1475">
        <f t="shared" si="8"/>
        <v>412215.97</v>
      </c>
    </row>
    <row r="61" spans="1:11" ht="15" customHeight="1" x14ac:dyDescent="0.3">
      <c r="A61" s="1471" t="s">
        <v>146</v>
      </c>
      <c r="B61" s="1465" t="s">
        <v>147</v>
      </c>
      <c r="C61" s="1472" t="s">
        <v>252</v>
      </c>
      <c r="D61" s="1473">
        <v>480445.79144124489</v>
      </c>
      <c r="E61" s="1474">
        <v>199409.18855875518</v>
      </c>
      <c r="F61" s="1474">
        <v>265256.46999999997</v>
      </c>
      <c r="G61" s="1474">
        <v>4436.6499999999996</v>
      </c>
      <c r="H61" s="1474">
        <v>0</v>
      </c>
      <c r="I61" s="1469">
        <f t="shared" si="6"/>
        <v>949548.10000000009</v>
      </c>
      <c r="J61" s="1475">
        <f t="shared" si="7"/>
        <v>4436.6499999999996</v>
      </c>
      <c r="K61" s="1475">
        <f t="shared" si="8"/>
        <v>269693.12</v>
      </c>
    </row>
    <row r="62" spans="1:11" ht="15" customHeight="1" x14ac:dyDescent="0.3">
      <c r="A62" s="1471" t="s">
        <v>148</v>
      </c>
      <c r="B62" s="1465" t="s">
        <v>149</v>
      </c>
      <c r="C62" s="1472" t="s">
        <v>253</v>
      </c>
      <c r="D62" s="1473">
        <v>1186857.8200400765</v>
      </c>
      <c r="E62" s="1474">
        <v>581543.14995992347</v>
      </c>
      <c r="F62" s="1474">
        <v>369188.26</v>
      </c>
      <c r="G62" s="1474">
        <v>369841.33</v>
      </c>
      <c r="H62" s="1474">
        <v>0</v>
      </c>
      <c r="I62" s="1469">
        <f t="shared" si="6"/>
        <v>2507430.56</v>
      </c>
      <c r="J62" s="1475">
        <f t="shared" si="7"/>
        <v>369841.33</v>
      </c>
      <c r="K62" s="1475">
        <f t="shared" si="8"/>
        <v>739029.59000000008</v>
      </c>
    </row>
    <row r="63" spans="1:11" ht="15" customHeight="1" x14ac:dyDescent="0.3">
      <c r="A63" s="1471" t="s">
        <v>150</v>
      </c>
      <c r="B63" s="1465" t="s">
        <v>151</v>
      </c>
      <c r="C63" s="1472" t="s">
        <v>254</v>
      </c>
      <c r="D63" s="1473">
        <v>470991.74567720096</v>
      </c>
      <c r="E63" s="1474">
        <v>230742.76432279899</v>
      </c>
      <c r="F63" s="1474">
        <v>140594.60999999999</v>
      </c>
      <c r="G63" s="1474">
        <v>25710.81</v>
      </c>
      <c r="H63" s="1474">
        <v>0</v>
      </c>
      <c r="I63" s="1469">
        <f t="shared" si="6"/>
        <v>868039.93</v>
      </c>
      <c r="J63" s="1475">
        <f t="shared" si="7"/>
        <v>25710.81</v>
      </c>
      <c r="K63" s="1475">
        <f t="shared" si="8"/>
        <v>166305.41999999998</v>
      </c>
    </row>
    <row r="64" spans="1:11" ht="15" customHeight="1" x14ac:dyDescent="0.3">
      <c r="A64" s="1471" t="s">
        <v>152</v>
      </c>
      <c r="B64" s="1465" t="s">
        <v>153</v>
      </c>
      <c r="C64" s="1472" t="s">
        <v>256</v>
      </c>
      <c r="D64" s="1473">
        <v>2232642.4144666884</v>
      </c>
      <c r="E64" s="1474">
        <v>1052095.4955333115</v>
      </c>
      <c r="F64" s="1474">
        <v>812458.88</v>
      </c>
      <c r="G64" s="1474">
        <v>5513.9699999999993</v>
      </c>
      <c r="H64" s="1474">
        <v>0</v>
      </c>
      <c r="I64" s="1469">
        <f t="shared" si="6"/>
        <v>4102710.7600000002</v>
      </c>
      <c r="J64" s="1475">
        <f t="shared" si="7"/>
        <v>5513.9699999999993</v>
      </c>
      <c r="K64" s="1475">
        <f t="shared" si="8"/>
        <v>817972.85</v>
      </c>
    </row>
    <row r="65" spans="1:11" ht="15" customHeight="1" x14ac:dyDescent="0.3">
      <c r="A65" s="1471" t="s">
        <v>154</v>
      </c>
      <c r="B65" s="1465" t="s">
        <v>155</v>
      </c>
      <c r="C65" s="1472" t="s">
        <v>253</v>
      </c>
      <c r="D65" s="1473">
        <v>551634.32352705277</v>
      </c>
      <c r="E65" s="1474">
        <v>268786.70647294726</v>
      </c>
      <c r="F65" s="1474">
        <v>177609.71</v>
      </c>
      <c r="G65" s="1474">
        <v>40412.6</v>
      </c>
      <c r="H65" s="1474">
        <v>0</v>
      </c>
      <c r="I65" s="1469">
        <f t="shared" si="6"/>
        <v>1038443.34</v>
      </c>
      <c r="J65" s="1475">
        <f t="shared" si="7"/>
        <v>40412.6</v>
      </c>
      <c r="K65" s="1475">
        <f t="shared" si="8"/>
        <v>218022.31</v>
      </c>
    </row>
    <row r="66" spans="1:11" ht="15" customHeight="1" x14ac:dyDescent="0.3">
      <c r="A66" s="1471" t="s">
        <v>156</v>
      </c>
      <c r="B66" s="1465" t="s">
        <v>157</v>
      </c>
      <c r="C66" s="1472" t="s">
        <v>254</v>
      </c>
      <c r="D66" s="1473">
        <v>579794.17516427743</v>
      </c>
      <c r="E66" s="1474">
        <v>230335.37483572261</v>
      </c>
      <c r="F66" s="1474">
        <v>349093.33</v>
      </c>
      <c r="G66" s="1474">
        <v>372.10999999999996</v>
      </c>
      <c r="H66" s="1474">
        <v>0</v>
      </c>
      <c r="I66" s="1469">
        <f t="shared" si="6"/>
        <v>1159594.9900000002</v>
      </c>
      <c r="J66" s="1475">
        <f t="shared" si="7"/>
        <v>372.10999999999996</v>
      </c>
      <c r="K66" s="1475">
        <f t="shared" si="8"/>
        <v>349465.44</v>
      </c>
    </row>
    <row r="67" spans="1:11" ht="15" customHeight="1" x14ac:dyDescent="0.3">
      <c r="A67" s="1471" t="s">
        <v>162</v>
      </c>
      <c r="B67" s="1465" t="s">
        <v>163</v>
      </c>
      <c r="C67" s="1472" t="s">
        <v>252</v>
      </c>
      <c r="D67" s="1473">
        <v>1183406.6791986625</v>
      </c>
      <c r="E67" s="1474">
        <v>581065.07080133737</v>
      </c>
      <c r="F67" s="1474">
        <v>356948.29</v>
      </c>
      <c r="G67" s="1474">
        <v>16550.949999999997</v>
      </c>
      <c r="H67" s="1474">
        <v>0</v>
      </c>
      <c r="I67" s="1469">
        <f t="shared" si="6"/>
        <v>2137970.9900000002</v>
      </c>
      <c r="J67" s="1475">
        <f t="shared" si="7"/>
        <v>16550.949999999997</v>
      </c>
      <c r="K67" s="1475">
        <f t="shared" si="8"/>
        <v>373499.24</v>
      </c>
    </row>
    <row r="68" spans="1:11" ht="15" customHeight="1" x14ac:dyDescent="0.3">
      <c r="A68" s="1471" t="s">
        <v>164</v>
      </c>
      <c r="B68" s="1465" t="s">
        <v>165</v>
      </c>
      <c r="C68" s="1472" t="s">
        <v>254</v>
      </c>
      <c r="D68" s="1473">
        <v>599070.09724535036</v>
      </c>
      <c r="E68" s="1474">
        <v>237444.88275464962</v>
      </c>
      <c r="F68" s="1474">
        <v>360865.99</v>
      </c>
      <c r="G68" s="1474">
        <v>7241.24</v>
      </c>
      <c r="H68" s="1474">
        <v>0</v>
      </c>
      <c r="I68" s="1469">
        <f t="shared" si="6"/>
        <v>1204622.21</v>
      </c>
      <c r="J68" s="1475">
        <f t="shared" si="7"/>
        <v>7241.24</v>
      </c>
      <c r="K68" s="1475">
        <f t="shared" si="8"/>
        <v>368107.23</v>
      </c>
    </row>
    <row r="69" spans="1:11" ht="15" customHeight="1" x14ac:dyDescent="0.3">
      <c r="A69" s="1471" t="s">
        <v>168</v>
      </c>
      <c r="B69" s="1465" t="s">
        <v>169</v>
      </c>
      <c r="C69" s="1472" t="s">
        <v>254</v>
      </c>
      <c r="D69" s="1473">
        <v>656725.29929516907</v>
      </c>
      <c r="E69" s="1474">
        <v>330872.63070483098</v>
      </c>
      <c r="F69" s="1474">
        <v>169449.28</v>
      </c>
      <c r="G69" s="1474">
        <v>7904.9100000000008</v>
      </c>
      <c r="H69" s="1474">
        <v>0</v>
      </c>
      <c r="I69" s="1469">
        <f t="shared" ref="I69:I100" si="9">SUM(D69:H69)</f>
        <v>1164952.1199999999</v>
      </c>
      <c r="J69" s="1475">
        <f t="shared" ref="J69:J100" si="10">G69+H69</f>
        <v>7904.9100000000008</v>
      </c>
      <c r="K69" s="1475">
        <f t="shared" ref="K69:K100" si="11">F69+J69</f>
        <v>177354.19</v>
      </c>
    </row>
    <row r="70" spans="1:11" ht="15" customHeight="1" x14ac:dyDescent="0.3">
      <c r="A70" s="1471" t="s">
        <v>170</v>
      </c>
      <c r="B70" s="1465" t="s">
        <v>171</v>
      </c>
      <c r="C70" s="1472" t="s">
        <v>255</v>
      </c>
      <c r="D70" s="1473">
        <v>1166814.2535556634</v>
      </c>
      <c r="E70" s="1474">
        <v>428103.88644433639</v>
      </c>
      <c r="F70" s="1474">
        <v>807831.36</v>
      </c>
      <c r="G70" s="1474">
        <v>29742.7</v>
      </c>
      <c r="H70" s="1474">
        <v>0</v>
      </c>
      <c r="I70" s="1469">
        <f t="shared" si="9"/>
        <v>2432492.1999999997</v>
      </c>
      <c r="J70" s="1475">
        <f t="shared" si="10"/>
        <v>29742.7</v>
      </c>
      <c r="K70" s="1475">
        <f t="shared" si="11"/>
        <v>837574.05999999994</v>
      </c>
    </row>
    <row r="71" spans="1:11" ht="15" customHeight="1" x14ac:dyDescent="0.3">
      <c r="A71" s="1471" t="s">
        <v>172</v>
      </c>
      <c r="B71" s="1465" t="s">
        <v>173</v>
      </c>
      <c r="C71" s="1472" t="s">
        <v>255</v>
      </c>
      <c r="D71" s="1473">
        <v>923544.96007314511</v>
      </c>
      <c r="E71" s="1474">
        <v>419616.81992685481</v>
      </c>
      <c r="F71" s="1474">
        <v>392380.81</v>
      </c>
      <c r="G71" s="1474">
        <v>41695.530000000006</v>
      </c>
      <c r="H71" s="1474">
        <v>0</v>
      </c>
      <c r="I71" s="1469">
        <f t="shared" si="9"/>
        <v>1777238.1199999999</v>
      </c>
      <c r="J71" s="1475">
        <f t="shared" si="10"/>
        <v>41695.530000000006</v>
      </c>
      <c r="K71" s="1475">
        <f t="shared" si="11"/>
        <v>434076.34</v>
      </c>
    </row>
    <row r="72" spans="1:11" ht="15" customHeight="1" x14ac:dyDescent="0.3">
      <c r="A72" s="1471" t="s">
        <v>174</v>
      </c>
      <c r="B72" s="1465" t="s">
        <v>175</v>
      </c>
      <c r="C72" s="1472" t="s">
        <v>256</v>
      </c>
      <c r="D72" s="1473">
        <v>810867.12104051386</v>
      </c>
      <c r="E72" s="1474">
        <v>367532.55895948608</v>
      </c>
      <c r="F72" s="1474">
        <v>346960.31</v>
      </c>
      <c r="G72" s="1474">
        <v>18347.27</v>
      </c>
      <c r="H72" s="1474">
        <v>0</v>
      </c>
      <c r="I72" s="1469">
        <f t="shared" si="9"/>
        <v>1543707.26</v>
      </c>
      <c r="J72" s="1475">
        <f t="shared" si="10"/>
        <v>18347.27</v>
      </c>
      <c r="K72" s="1475">
        <f t="shared" si="11"/>
        <v>365307.58</v>
      </c>
    </row>
    <row r="73" spans="1:11" ht="15" customHeight="1" x14ac:dyDescent="0.3">
      <c r="A73" s="1471" t="s">
        <v>178</v>
      </c>
      <c r="B73" s="1465" t="s">
        <v>179</v>
      </c>
      <c r="C73" s="1472" t="s">
        <v>253</v>
      </c>
      <c r="D73" s="1473">
        <v>2118688.972911926</v>
      </c>
      <c r="E73" s="1474">
        <v>1047812.5170880738</v>
      </c>
      <c r="F73" s="1474">
        <v>551433.67999999993</v>
      </c>
      <c r="G73" s="1474">
        <v>98512.18</v>
      </c>
      <c r="H73" s="1474">
        <v>0</v>
      </c>
      <c r="I73" s="1469">
        <f t="shared" si="9"/>
        <v>3816447.35</v>
      </c>
      <c r="J73" s="1475">
        <f t="shared" si="10"/>
        <v>98512.18</v>
      </c>
      <c r="K73" s="1475">
        <f t="shared" si="11"/>
        <v>649945.85999999987</v>
      </c>
    </row>
    <row r="74" spans="1:11" ht="15" customHeight="1" x14ac:dyDescent="0.3">
      <c r="A74" s="1471" t="s">
        <v>182</v>
      </c>
      <c r="B74" s="1465" t="s">
        <v>183</v>
      </c>
      <c r="C74" s="1472" t="s">
        <v>254</v>
      </c>
      <c r="D74" s="1473">
        <v>654564.47656378453</v>
      </c>
      <c r="E74" s="1474">
        <v>213219.39343621535</v>
      </c>
      <c r="F74" s="1474">
        <v>540658.71</v>
      </c>
      <c r="G74" s="1474">
        <v>3182.45</v>
      </c>
      <c r="H74" s="1474">
        <v>0</v>
      </c>
      <c r="I74" s="1469">
        <f t="shared" si="9"/>
        <v>1411625.0299999998</v>
      </c>
      <c r="J74" s="1475">
        <f t="shared" si="10"/>
        <v>3182.45</v>
      </c>
      <c r="K74" s="1475">
        <f t="shared" si="11"/>
        <v>543841.15999999992</v>
      </c>
    </row>
    <row r="75" spans="1:11" ht="15" customHeight="1" x14ac:dyDescent="0.3">
      <c r="A75" s="1471" t="s">
        <v>184</v>
      </c>
      <c r="B75" s="1465" t="s">
        <v>185</v>
      </c>
      <c r="C75" s="1472" t="s">
        <v>254</v>
      </c>
      <c r="D75" s="1473">
        <v>1098944.4937653556</v>
      </c>
      <c r="E75" s="1474">
        <v>473378.46623464458</v>
      </c>
      <c r="F75" s="1474">
        <v>537142.46</v>
      </c>
      <c r="G75" s="1474">
        <v>16343.27</v>
      </c>
      <c r="H75" s="1474">
        <v>0</v>
      </c>
      <c r="I75" s="1469">
        <f t="shared" si="9"/>
        <v>2125808.69</v>
      </c>
      <c r="J75" s="1475">
        <f t="shared" si="10"/>
        <v>16343.27</v>
      </c>
      <c r="K75" s="1475">
        <f t="shared" si="11"/>
        <v>553485.73</v>
      </c>
    </row>
    <row r="76" spans="1:11" ht="15" customHeight="1" x14ac:dyDescent="0.3">
      <c r="A76" s="1471" t="s">
        <v>186</v>
      </c>
      <c r="B76" s="1465" t="s">
        <v>187</v>
      </c>
      <c r="C76" s="1472" t="s">
        <v>252</v>
      </c>
      <c r="D76" s="1473">
        <v>965541.71592840157</v>
      </c>
      <c r="E76" s="1474">
        <v>378807.6240715984</v>
      </c>
      <c r="F76" s="1474">
        <v>596873.05000000005</v>
      </c>
      <c r="G76" s="1474">
        <v>6123.51</v>
      </c>
      <c r="H76" s="1474">
        <v>0</v>
      </c>
      <c r="I76" s="1469">
        <f t="shared" si="9"/>
        <v>1947345.9</v>
      </c>
      <c r="J76" s="1475">
        <f t="shared" si="10"/>
        <v>6123.51</v>
      </c>
      <c r="K76" s="1475">
        <f t="shared" si="11"/>
        <v>602996.56000000006</v>
      </c>
    </row>
    <row r="77" spans="1:11" ht="15" customHeight="1" x14ac:dyDescent="0.3">
      <c r="A77" s="1471" t="s">
        <v>188</v>
      </c>
      <c r="B77" s="1465" t="s">
        <v>189</v>
      </c>
      <c r="C77" s="1472" t="s">
        <v>255</v>
      </c>
      <c r="D77" s="1473">
        <v>11154447.928883661</v>
      </c>
      <c r="E77" s="1474">
        <v>3485816.2211163417</v>
      </c>
      <c r="F77" s="1474">
        <v>9474736.959999999</v>
      </c>
      <c r="G77" s="1474">
        <v>167760.52000000002</v>
      </c>
      <c r="H77" s="1474">
        <v>24709.18</v>
      </c>
      <c r="I77" s="1469">
        <f t="shared" si="9"/>
        <v>24307470.809999999</v>
      </c>
      <c r="J77" s="1475">
        <f t="shared" si="10"/>
        <v>192469.7</v>
      </c>
      <c r="K77" s="1475">
        <f t="shared" si="11"/>
        <v>9667206.6599999983</v>
      </c>
    </row>
    <row r="78" spans="1:11" ht="15" customHeight="1" x14ac:dyDescent="0.3">
      <c r="A78" s="1471" t="s">
        <v>190</v>
      </c>
      <c r="B78" s="1465" t="s">
        <v>191</v>
      </c>
      <c r="C78" s="1472" t="s">
        <v>256</v>
      </c>
      <c r="D78" s="1473">
        <v>1960231.9743036411</v>
      </c>
      <c r="E78" s="1474">
        <v>982130.88569635851</v>
      </c>
      <c r="F78" s="1474">
        <v>529244.67999999993</v>
      </c>
      <c r="G78" s="1474">
        <v>49390.239999999998</v>
      </c>
      <c r="H78" s="1474">
        <v>0</v>
      </c>
      <c r="I78" s="1469">
        <f t="shared" si="9"/>
        <v>3520997.7799999993</v>
      </c>
      <c r="J78" s="1475">
        <f t="shared" si="10"/>
        <v>49390.239999999998</v>
      </c>
      <c r="K78" s="1475">
        <f t="shared" si="11"/>
        <v>578634.91999999993</v>
      </c>
    </row>
    <row r="79" spans="1:11" ht="15" customHeight="1" x14ac:dyDescent="0.3">
      <c r="A79" s="1471" t="s">
        <v>194</v>
      </c>
      <c r="B79" s="1465" t="s">
        <v>195</v>
      </c>
      <c r="C79" s="1472" t="s">
        <v>255</v>
      </c>
      <c r="D79" s="1473">
        <v>473849.52055606263</v>
      </c>
      <c r="E79" s="1474">
        <v>163556.27944393738</v>
      </c>
      <c r="F79" s="1474">
        <v>360761.43</v>
      </c>
      <c r="G79" s="1474">
        <v>2890.1400000000003</v>
      </c>
      <c r="H79" s="1474">
        <v>0</v>
      </c>
      <c r="I79" s="1469">
        <f t="shared" si="9"/>
        <v>1001057.37</v>
      </c>
      <c r="J79" s="1475">
        <f t="shared" si="10"/>
        <v>2890.1400000000003</v>
      </c>
      <c r="K79" s="1475">
        <f t="shared" si="11"/>
        <v>363651.57</v>
      </c>
    </row>
    <row r="80" spans="1:11" ht="15" customHeight="1" x14ac:dyDescent="0.3">
      <c r="A80" s="1471" t="s">
        <v>198</v>
      </c>
      <c r="B80" s="1465" t="s">
        <v>199</v>
      </c>
      <c r="C80" s="1472" t="s">
        <v>254</v>
      </c>
      <c r="D80" s="1473">
        <v>439107.37524885818</v>
      </c>
      <c r="E80" s="1474">
        <v>200275.9647511419</v>
      </c>
      <c r="F80" s="1474">
        <v>186795.28</v>
      </c>
      <c r="G80" s="1474">
        <v>1545.9099999999999</v>
      </c>
      <c r="H80" s="1474">
        <v>0</v>
      </c>
      <c r="I80" s="1469">
        <f t="shared" si="9"/>
        <v>827724.53000000014</v>
      </c>
      <c r="J80" s="1475">
        <f t="shared" si="10"/>
        <v>1545.9099999999999</v>
      </c>
      <c r="K80" s="1475">
        <f t="shared" si="11"/>
        <v>188341.19</v>
      </c>
    </row>
    <row r="81" spans="1:11" ht="15" customHeight="1" x14ac:dyDescent="0.3">
      <c r="A81" s="1471" t="s">
        <v>202</v>
      </c>
      <c r="B81" s="1465" t="s">
        <v>203</v>
      </c>
      <c r="C81" s="1472" t="s">
        <v>253</v>
      </c>
      <c r="D81" s="1473">
        <v>3152747.6836011922</v>
      </c>
      <c r="E81" s="1474">
        <v>1120931.8763988076</v>
      </c>
      <c r="F81" s="1474">
        <v>2295148.19</v>
      </c>
      <c r="G81" s="1474">
        <v>96826.62</v>
      </c>
      <c r="H81" s="1474">
        <v>0</v>
      </c>
      <c r="I81" s="1469">
        <f t="shared" si="9"/>
        <v>6665654.3700000001</v>
      </c>
      <c r="J81" s="1475">
        <f t="shared" si="10"/>
        <v>96826.62</v>
      </c>
      <c r="K81" s="1475">
        <f t="shared" si="11"/>
        <v>2391974.81</v>
      </c>
    </row>
    <row r="82" spans="1:11" ht="15" customHeight="1" x14ac:dyDescent="0.3">
      <c r="A82" s="1471" t="s">
        <v>204</v>
      </c>
      <c r="B82" s="1465" t="s">
        <v>205</v>
      </c>
      <c r="C82" s="1472" t="s">
        <v>253</v>
      </c>
      <c r="D82" s="1473">
        <v>1005193.6610964625</v>
      </c>
      <c r="E82" s="1474">
        <v>508987.95890353742</v>
      </c>
      <c r="F82" s="1474">
        <v>263787.03999999998</v>
      </c>
      <c r="G82" s="1474">
        <v>20769.149999999998</v>
      </c>
      <c r="H82" s="1474">
        <v>0</v>
      </c>
      <c r="I82" s="1469">
        <f t="shared" si="9"/>
        <v>1798737.8099999998</v>
      </c>
      <c r="J82" s="1475">
        <f t="shared" si="10"/>
        <v>20769.149999999998</v>
      </c>
      <c r="K82" s="1475">
        <f t="shared" si="11"/>
        <v>284556.19</v>
      </c>
    </row>
    <row r="83" spans="1:11" ht="15" customHeight="1" x14ac:dyDescent="0.3">
      <c r="A83" s="1471" t="s">
        <v>206</v>
      </c>
      <c r="B83" s="1465" t="s">
        <v>207</v>
      </c>
      <c r="C83" s="1472" t="s">
        <v>255</v>
      </c>
      <c r="D83" s="1473">
        <v>4172799.5220905291</v>
      </c>
      <c r="E83" s="1474">
        <v>1455440.4079094715</v>
      </c>
      <c r="F83" s="1474">
        <v>3155882.85</v>
      </c>
      <c r="G83" s="1474">
        <v>16127.12</v>
      </c>
      <c r="H83" s="1474">
        <v>0</v>
      </c>
      <c r="I83" s="1469">
        <f t="shared" si="9"/>
        <v>8800249.9000000004</v>
      </c>
      <c r="J83" s="1475">
        <f t="shared" si="10"/>
        <v>16127.12</v>
      </c>
      <c r="K83" s="1475">
        <f t="shared" si="11"/>
        <v>3172009.97</v>
      </c>
    </row>
    <row r="84" spans="1:11" ht="15" customHeight="1" x14ac:dyDescent="0.3">
      <c r="A84" s="1471" t="s">
        <v>208</v>
      </c>
      <c r="B84" s="1465" t="s">
        <v>209</v>
      </c>
      <c r="C84" s="1472" t="s">
        <v>256</v>
      </c>
      <c r="D84" s="1473">
        <v>1539808.8156529609</v>
      </c>
      <c r="E84" s="1474">
        <v>771861.87434703903</v>
      </c>
      <c r="F84" s="1474">
        <v>409565.98</v>
      </c>
      <c r="G84" s="1474">
        <v>23474.94</v>
      </c>
      <c r="H84" s="1474">
        <v>0</v>
      </c>
      <c r="I84" s="1469">
        <f t="shared" si="9"/>
        <v>2744711.61</v>
      </c>
      <c r="J84" s="1475">
        <f t="shared" si="10"/>
        <v>23474.94</v>
      </c>
      <c r="K84" s="1475">
        <f t="shared" si="11"/>
        <v>433040.92</v>
      </c>
    </row>
    <row r="85" spans="1:11" ht="15" customHeight="1" x14ac:dyDescent="0.3">
      <c r="A85" s="1471" t="s">
        <v>210</v>
      </c>
      <c r="B85" s="1465" t="s">
        <v>211</v>
      </c>
      <c r="C85" s="1472" t="s">
        <v>256</v>
      </c>
      <c r="D85" s="1473">
        <v>1279158.6113977565</v>
      </c>
      <c r="E85" s="1474">
        <v>636214.69860224356</v>
      </c>
      <c r="F85" s="1474">
        <v>359585.57</v>
      </c>
      <c r="G85" s="1474">
        <v>28750.760000000002</v>
      </c>
      <c r="H85" s="1474">
        <v>0</v>
      </c>
      <c r="I85" s="1469">
        <f t="shared" si="9"/>
        <v>2303709.6399999997</v>
      </c>
      <c r="J85" s="1475">
        <f t="shared" si="10"/>
        <v>28750.760000000002</v>
      </c>
      <c r="K85" s="1475">
        <f t="shared" si="11"/>
        <v>388336.33</v>
      </c>
    </row>
    <row r="86" spans="1:11" ht="15" customHeight="1" x14ac:dyDescent="0.3">
      <c r="A86" s="1471" t="s">
        <v>212</v>
      </c>
      <c r="B86" s="1465" t="s">
        <v>213</v>
      </c>
      <c r="C86" s="1472" t="s">
        <v>255</v>
      </c>
      <c r="D86" s="1473">
        <v>1503921.6335696946</v>
      </c>
      <c r="E86" s="1474">
        <v>546858.17643030535</v>
      </c>
      <c r="F86" s="1474">
        <v>1062555.31</v>
      </c>
      <c r="G86" s="1474">
        <v>146278.28000000003</v>
      </c>
      <c r="H86" s="1474">
        <v>0</v>
      </c>
      <c r="I86" s="1469">
        <f t="shared" si="9"/>
        <v>3259613.4000000004</v>
      </c>
      <c r="J86" s="1475">
        <f t="shared" si="10"/>
        <v>146278.28000000003</v>
      </c>
      <c r="K86" s="1475">
        <f t="shared" si="11"/>
        <v>1208833.5900000001</v>
      </c>
    </row>
    <row r="87" spans="1:11" ht="15" customHeight="1" x14ac:dyDescent="0.3">
      <c r="A87" s="1471" t="s">
        <v>214</v>
      </c>
      <c r="B87" s="1465" t="s">
        <v>215</v>
      </c>
      <c r="C87" s="1472" t="s">
        <v>256</v>
      </c>
      <c r="D87" s="1473">
        <v>1966605.107359454</v>
      </c>
      <c r="E87" s="1474">
        <v>951804.89264054608</v>
      </c>
      <c r="F87" s="1474">
        <v>624585.01</v>
      </c>
      <c r="G87" s="1474">
        <v>2062.73</v>
      </c>
      <c r="H87" s="1474">
        <v>0</v>
      </c>
      <c r="I87" s="1469">
        <f t="shared" si="9"/>
        <v>3545057.7399999998</v>
      </c>
      <c r="J87" s="1475">
        <f t="shared" si="10"/>
        <v>2062.73</v>
      </c>
      <c r="K87" s="1475">
        <f t="shared" si="11"/>
        <v>626647.74</v>
      </c>
    </row>
    <row r="88" spans="1:11" ht="15" customHeight="1" x14ac:dyDescent="0.3">
      <c r="A88" s="1471" t="s">
        <v>216</v>
      </c>
      <c r="B88" s="1465" t="s">
        <v>217</v>
      </c>
      <c r="C88" s="1472" t="s">
        <v>252</v>
      </c>
      <c r="D88" s="1473">
        <v>1108532.795283827</v>
      </c>
      <c r="E88" s="1474">
        <v>557519.94471617276</v>
      </c>
      <c r="F88" s="1474">
        <v>292847.24</v>
      </c>
      <c r="G88" s="1474">
        <v>13647.81</v>
      </c>
      <c r="H88" s="1474">
        <v>0</v>
      </c>
      <c r="I88" s="1469">
        <f t="shared" si="9"/>
        <v>1972547.7899999998</v>
      </c>
      <c r="J88" s="1475">
        <f t="shared" si="10"/>
        <v>13647.81</v>
      </c>
      <c r="K88" s="1475">
        <f t="shared" si="11"/>
        <v>306495.05</v>
      </c>
    </row>
    <row r="89" spans="1:11" ht="15" customHeight="1" x14ac:dyDescent="0.3">
      <c r="A89" s="1471" t="s">
        <v>218</v>
      </c>
      <c r="B89" s="1465" t="s">
        <v>219</v>
      </c>
      <c r="C89" s="1472" t="s">
        <v>255</v>
      </c>
      <c r="D89" s="1473">
        <v>3306727.7053798209</v>
      </c>
      <c r="E89" s="1474">
        <v>1158666.8546201787</v>
      </c>
      <c r="F89" s="1474">
        <v>2483883.48</v>
      </c>
      <c r="G89" s="1474">
        <v>30208.34</v>
      </c>
      <c r="H89" s="1474">
        <v>0</v>
      </c>
      <c r="I89" s="1469">
        <f t="shared" si="9"/>
        <v>6979486.379999999</v>
      </c>
      <c r="J89" s="1475">
        <f t="shared" si="10"/>
        <v>30208.34</v>
      </c>
      <c r="K89" s="1475">
        <f t="shared" si="11"/>
        <v>2514091.8199999998</v>
      </c>
    </row>
    <row r="90" spans="1:11" ht="15" customHeight="1" x14ac:dyDescent="0.3">
      <c r="A90" s="1471" t="s">
        <v>220</v>
      </c>
      <c r="B90" s="1465" t="s">
        <v>221</v>
      </c>
      <c r="C90" s="1472" t="s">
        <v>255</v>
      </c>
      <c r="D90" s="1473">
        <v>2667309.2552497936</v>
      </c>
      <c r="E90" s="1474">
        <v>1081427.0747502064</v>
      </c>
      <c r="F90" s="1474">
        <v>1551343.77</v>
      </c>
      <c r="G90" s="1474">
        <v>14637.539999999999</v>
      </c>
      <c r="H90" s="1474">
        <v>0</v>
      </c>
      <c r="I90" s="1469">
        <f t="shared" si="9"/>
        <v>5314717.6399999997</v>
      </c>
      <c r="J90" s="1475">
        <f t="shared" si="10"/>
        <v>14637.539999999999</v>
      </c>
      <c r="K90" s="1475">
        <f t="shared" si="11"/>
        <v>1565981.31</v>
      </c>
    </row>
    <row r="91" spans="1:11" ht="15" customHeight="1" x14ac:dyDescent="0.3">
      <c r="A91" s="1471" t="s">
        <v>224</v>
      </c>
      <c r="B91" s="1465" t="s">
        <v>225</v>
      </c>
      <c r="C91" s="1472" t="s">
        <v>252</v>
      </c>
      <c r="D91" s="1473">
        <v>657689.98617894959</v>
      </c>
      <c r="E91" s="1474">
        <v>317653.07382105029</v>
      </c>
      <c r="F91" s="1474">
        <v>219254.03</v>
      </c>
      <c r="G91" s="1474">
        <v>213074.08</v>
      </c>
      <c r="H91" s="1474">
        <v>0</v>
      </c>
      <c r="I91" s="1469">
        <f t="shared" si="9"/>
        <v>1407671.17</v>
      </c>
      <c r="J91" s="1475">
        <f t="shared" si="10"/>
        <v>213074.08</v>
      </c>
      <c r="K91" s="1475">
        <f t="shared" si="11"/>
        <v>432328.11</v>
      </c>
    </row>
    <row r="92" spans="1:11" ht="15" customHeight="1" x14ac:dyDescent="0.3">
      <c r="A92" s="1471" t="s">
        <v>226</v>
      </c>
      <c r="B92" s="1465" t="s">
        <v>227</v>
      </c>
      <c r="C92" s="1472" t="s">
        <v>252</v>
      </c>
      <c r="D92" s="1473">
        <v>767031.94725225726</v>
      </c>
      <c r="E92" s="1474">
        <v>387944.48274774279</v>
      </c>
      <c r="F92" s="1474">
        <v>199625.39</v>
      </c>
      <c r="G92" s="1474">
        <v>35987.67</v>
      </c>
      <c r="H92" s="1474">
        <v>0</v>
      </c>
      <c r="I92" s="1469">
        <f t="shared" si="9"/>
        <v>1390589.4900000002</v>
      </c>
      <c r="J92" s="1475">
        <f t="shared" si="10"/>
        <v>35987.67</v>
      </c>
      <c r="K92" s="1475">
        <f t="shared" si="11"/>
        <v>235613.06</v>
      </c>
    </row>
    <row r="93" spans="1:11" ht="15" customHeight="1" x14ac:dyDescent="0.3">
      <c r="A93" s="1471" t="s">
        <v>228</v>
      </c>
      <c r="B93" s="1465" t="s">
        <v>229</v>
      </c>
      <c r="C93" s="1472" t="s">
        <v>256</v>
      </c>
      <c r="D93" s="1473">
        <v>2431219.7823301838</v>
      </c>
      <c r="E93" s="1474">
        <v>1135202.3476698166</v>
      </c>
      <c r="F93" s="1474">
        <v>914709.72</v>
      </c>
      <c r="G93" s="1474">
        <v>31413.57</v>
      </c>
      <c r="H93" s="1474">
        <v>0</v>
      </c>
      <c r="I93" s="1469">
        <f t="shared" si="9"/>
        <v>4512545.4200000009</v>
      </c>
      <c r="J93" s="1475">
        <f t="shared" si="10"/>
        <v>31413.57</v>
      </c>
      <c r="K93" s="1475">
        <f t="shared" si="11"/>
        <v>946123.28999999992</v>
      </c>
    </row>
    <row r="94" spans="1:11" ht="15" customHeight="1" x14ac:dyDescent="0.3">
      <c r="A94" s="1471" t="s">
        <v>232</v>
      </c>
      <c r="B94" s="1465" t="s">
        <v>233</v>
      </c>
      <c r="C94" s="1472" t="s">
        <v>255</v>
      </c>
      <c r="D94" s="1473">
        <v>1399243.3948099806</v>
      </c>
      <c r="E94" s="1474">
        <v>559901.35519001947</v>
      </c>
      <c r="F94" s="1474">
        <v>811020.03999999992</v>
      </c>
      <c r="G94" s="1474">
        <v>26439.439999999999</v>
      </c>
      <c r="H94" s="1474">
        <v>0</v>
      </c>
      <c r="I94" s="1469">
        <f t="shared" si="9"/>
        <v>2796604.23</v>
      </c>
      <c r="J94" s="1475">
        <f t="shared" si="10"/>
        <v>26439.439999999999</v>
      </c>
      <c r="K94" s="1475">
        <f t="shared" si="11"/>
        <v>837459.47999999986</v>
      </c>
    </row>
    <row r="95" spans="1:11" ht="15" customHeight="1" x14ac:dyDescent="0.3">
      <c r="A95" s="1471" t="s">
        <v>234</v>
      </c>
      <c r="B95" s="1465" t="s">
        <v>235</v>
      </c>
      <c r="C95" s="1472" t="s">
        <v>256</v>
      </c>
      <c r="D95" s="1473">
        <v>1898805.6391829448</v>
      </c>
      <c r="E95" s="1474">
        <v>919996.68081705505</v>
      </c>
      <c r="F95" s="1474">
        <v>592170.69999999995</v>
      </c>
      <c r="G95" s="1474">
        <v>13222.529999999999</v>
      </c>
      <c r="H95" s="1474">
        <v>0</v>
      </c>
      <c r="I95" s="1469">
        <f t="shared" si="9"/>
        <v>3424195.5499999993</v>
      </c>
      <c r="J95" s="1475">
        <f t="shared" si="10"/>
        <v>13222.529999999999</v>
      </c>
      <c r="K95" s="1475">
        <f t="shared" si="11"/>
        <v>605393.23</v>
      </c>
    </row>
    <row r="96" spans="1:11" ht="15" customHeight="1" x14ac:dyDescent="0.3">
      <c r="A96" s="1471" t="s">
        <v>236</v>
      </c>
      <c r="B96" s="1465" t="s">
        <v>237</v>
      </c>
      <c r="C96" s="1472" t="s">
        <v>254</v>
      </c>
      <c r="D96" s="1473">
        <v>927803.14546033763</v>
      </c>
      <c r="E96" s="1474">
        <v>402856.52453966235</v>
      </c>
      <c r="F96" s="1474">
        <v>451515.43000000005</v>
      </c>
      <c r="G96" s="1474">
        <v>57994.52</v>
      </c>
      <c r="H96" s="1474">
        <v>0</v>
      </c>
      <c r="I96" s="1469">
        <f t="shared" si="9"/>
        <v>1840169.62</v>
      </c>
      <c r="J96" s="1475">
        <f t="shared" si="10"/>
        <v>57994.52</v>
      </c>
      <c r="K96" s="1475">
        <f t="shared" si="11"/>
        <v>509509.95000000007</v>
      </c>
    </row>
    <row r="97" spans="1:11" ht="15" customHeight="1" x14ac:dyDescent="0.3">
      <c r="A97" s="1471" t="s">
        <v>242</v>
      </c>
      <c r="B97" s="1465" t="s">
        <v>243</v>
      </c>
      <c r="C97" s="1472" t="s">
        <v>256</v>
      </c>
      <c r="D97" s="1473">
        <v>2723063.5809278339</v>
      </c>
      <c r="E97" s="1474">
        <v>1362687.6390721663</v>
      </c>
      <c r="F97" s="1474">
        <v>729025.02</v>
      </c>
      <c r="G97" s="1474">
        <v>110884.5</v>
      </c>
      <c r="H97" s="1474">
        <v>0</v>
      </c>
      <c r="I97" s="1469">
        <f t="shared" si="9"/>
        <v>4925660.74</v>
      </c>
      <c r="J97" s="1475">
        <f t="shared" si="10"/>
        <v>110884.5</v>
      </c>
      <c r="K97" s="1475">
        <f t="shared" si="11"/>
        <v>839909.52</v>
      </c>
    </row>
    <row r="98" spans="1:11" ht="15" customHeight="1" x14ac:dyDescent="0.3">
      <c r="A98" s="1471" t="s">
        <v>244</v>
      </c>
      <c r="B98" s="1465" t="s">
        <v>245</v>
      </c>
      <c r="C98" s="1472" t="s">
        <v>256</v>
      </c>
      <c r="D98" s="1473">
        <v>1514040.2034787009</v>
      </c>
      <c r="E98" s="1474">
        <v>667404.5565212993</v>
      </c>
      <c r="F98" s="1474">
        <v>694009.16999999993</v>
      </c>
      <c r="G98" s="1474">
        <v>22071.79</v>
      </c>
      <c r="H98" s="1474">
        <v>0</v>
      </c>
      <c r="I98" s="1469">
        <f t="shared" si="9"/>
        <v>2897525.72</v>
      </c>
      <c r="J98" s="1475">
        <f t="shared" si="10"/>
        <v>22071.79</v>
      </c>
      <c r="K98" s="1475">
        <f t="shared" si="11"/>
        <v>716080.96</v>
      </c>
    </row>
    <row r="99" spans="1:11" ht="15" customHeight="1" x14ac:dyDescent="0.3">
      <c r="A99" s="1471" t="s">
        <v>246</v>
      </c>
      <c r="B99" s="1465" t="s">
        <v>298</v>
      </c>
      <c r="C99" s="1472" t="s">
        <v>252</v>
      </c>
      <c r="D99" s="1473">
        <v>2441490.7130877115</v>
      </c>
      <c r="E99" s="1474">
        <v>801666.09691228881</v>
      </c>
      <c r="F99" s="1474">
        <v>1980936.71</v>
      </c>
      <c r="G99" s="1474">
        <v>11937.33</v>
      </c>
      <c r="H99" s="1474">
        <v>0</v>
      </c>
      <c r="I99" s="1469">
        <f t="shared" si="9"/>
        <v>5236030.8500000006</v>
      </c>
      <c r="J99" s="1475">
        <f t="shared" si="10"/>
        <v>11937.33</v>
      </c>
      <c r="K99" s="1475">
        <f t="shared" si="11"/>
        <v>1992874.04</v>
      </c>
    </row>
    <row r="100" spans="1:11" ht="15" customHeight="1" x14ac:dyDescent="0.3">
      <c r="A100" s="1471" t="s">
        <v>14</v>
      </c>
      <c r="B100" s="1465" t="s">
        <v>15</v>
      </c>
      <c r="C100" s="1472" t="s">
        <v>255</v>
      </c>
      <c r="D100" s="1473">
        <v>8269351.601202026</v>
      </c>
      <c r="E100" s="1474">
        <v>2393715.1687979726</v>
      </c>
      <c r="F100" s="1474">
        <v>7661079.1000000006</v>
      </c>
      <c r="G100" s="1474">
        <v>48196.01</v>
      </c>
      <c r="H100" s="1474">
        <v>820685.44</v>
      </c>
      <c r="I100" s="1469">
        <f t="shared" si="9"/>
        <v>19193027.320000004</v>
      </c>
      <c r="J100" s="1475">
        <f t="shared" si="10"/>
        <v>868881.45</v>
      </c>
      <c r="K100" s="1475">
        <f t="shared" si="11"/>
        <v>8529960.5500000007</v>
      </c>
    </row>
    <row r="101" spans="1:11" ht="15" customHeight="1" x14ac:dyDescent="0.3">
      <c r="A101" s="1471" t="s">
        <v>34</v>
      </c>
      <c r="B101" s="1465" t="s">
        <v>35</v>
      </c>
      <c r="C101" s="1472" t="s">
        <v>256</v>
      </c>
      <c r="D101" s="1473">
        <v>1439360.2396605369</v>
      </c>
      <c r="E101" s="1474">
        <v>722722.30033946305</v>
      </c>
      <c r="F101" s="1474">
        <v>381556.31</v>
      </c>
      <c r="G101" s="1474">
        <v>11778.04</v>
      </c>
      <c r="H101" s="1474">
        <v>0</v>
      </c>
      <c r="I101" s="1469">
        <f t="shared" ref="I101:I124" si="12">SUM(D101:H101)</f>
        <v>2555416.89</v>
      </c>
      <c r="J101" s="1475">
        <f t="shared" ref="J101:J124" si="13">G101+H101</f>
        <v>11778.04</v>
      </c>
      <c r="K101" s="1475">
        <f t="shared" ref="K101:K124" si="14">F101+J101</f>
        <v>393334.35</v>
      </c>
    </row>
    <row r="102" spans="1:11" ht="15" customHeight="1" x14ac:dyDescent="0.3">
      <c r="A102" s="1471" t="s">
        <v>52</v>
      </c>
      <c r="B102" s="1465" t="s">
        <v>53</v>
      </c>
      <c r="C102" s="1472" t="s">
        <v>253</v>
      </c>
      <c r="D102" s="1473">
        <v>4093814.3662320557</v>
      </c>
      <c r="E102" s="1474">
        <v>1412456.0337679447</v>
      </c>
      <c r="F102" s="1474">
        <v>3065275.35</v>
      </c>
      <c r="G102" s="1474">
        <v>107480.21</v>
      </c>
      <c r="H102" s="1474">
        <v>0</v>
      </c>
      <c r="I102" s="1469">
        <f t="shared" si="12"/>
        <v>8679025.9600000009</v>
      </c>
      <c r="J102" s="1475">
        <f t="shared" si="13"/>
        <v>107480.21</v>
      </c>
      <c r="K102" s="1475">
        <f t="shared" si="14"/>
        <v>3172755.56</v>
      </c>
    </row>
    <row r="103" spans="1:11" ht="15" customHeight="1" x14ac:dyDescent="0.3">
      <c r="A103" s="1471" t="s">
        <v>54</v>
      </c>
      <c r="B103" s="1465" t="s">
        <v>55</v>
      </c>
      <c r="C103" s="1472" t="s">
        <v>252</v>
      </c>
      <c r="D103" s="1473">
        <v>7772488.9184908196</v>
      </c>
      <c r="E103" s="1474">
        <v>2954934.9715091805</v>
      </c>
      <c r="F103" s="1474">
        <v>4969892.7200000007</v>
      </c>
      <c r="G103" s="1474">
        <v>292923.22000000003</v>
      </c>
      <c r="H103" s="1474">
        <v>155069</v>
      </c>
      <c r="I103" s="1469">
        <f t="shared" si="12"/>
        <v>16145308.830000002</v>
      </c>
      <c r="J103" s="1475">
        <f t="shared" si="13"/>
        <v>447992.22000000003</v>
      </c>
      <c r="K103" s="1475">
        <f t="shared" si="14"/>
        <v>5417884.9400000004</v>
      </c>
    </row>
    <row r="104" spans="1:11" ht="15" customHeight="1" x14ac:dyDescent="0.3">
      <c r="A104" s="1471" t="s">
        <v>66</v>
      </c>
      <c r="B104" s="1465" t="s">
        <v>67</v>
      </c>
      <c r="C104" s="1472" t="s">
        <v>253</v>
      </c>
      <c r="D104" s="1473">
        <v>2955291.6968258405</v>
      </c>
      <c r="E104" s="1474">
        <v>1456688.9531741592</v>
      </c>
      <c r="F104" s="1474">
        <v>839692.81</v>
      </c>
      <c r="G104" s="1474">
        <v>2966.46</v>
      </c>
      <c r="H104" s="1474">
        <v>0</v>
      </c>
      <c r="I104" s="1469">
        <f t="shared" si="12"/>
        <v>5254639.919999999</v>
      </c>
      <c r="J104" s="1475">
        <f t="shared" si="13"/>
        <v>2966.46</v>
      </c>
      <c r="K104" s="1475">
        <f t="shared" si="14"/>
        <v>842659.27</v>
      </c>
    </row>
    <row r="105" spans="1:11" ht="15" customHeight="1" x14ac:dyDescent="0.3">
      <c r="A105" s="1471" t="s">
        <v>82</v>
      </c>
      <c r="B105" s="1465" t="s">
        <v>299</v>
      </c>
      <c r="C105" s="1472" t="s">
        <v>252</v>
      </c>
      <c r="D105" s="1473">
        <v>773137.68937001284</v>
      </c>
      <c r="E105" s="1474">
        <v>339320.3506299872</v>
      </c>
      <c r="F105" s="1474">
        <v>362317.87</v>
      </c>
      <c r="G105" s="1474">
        <v>4204.4799999999996</v>
      </c>
      <c r="H105" s="1474">
        <v>0</v>
      </c>
      <c r="I105" s="1469">
        <f t="shared" si="12"/>
        <v>1478980.3900000001</v>
      </c>
      <c r="J105" s="1475">
        <f t="shared" si="13"/>
        <v>4204.4799999999996</v>
      </c>
      <c r="K105" s="1475">
        <f t="shared" si="14"/>
        <v>366522.35</v>
      </c>
    </row>
    <row r="106" spans="1:11" ht="15" customHeight="1" x14ac:dyDescent="0.3">
      <c r="A106" s="1471" t="s">
        <v>88</v>
      </c>
      <c r="B106" s="1465" t="s">
        <v>89</v>
      </c>
      <c r="C106" s="1472" t="s">
        <v>255</v>
      </c>
      <c r="D106" s="1473">
        <v>1644817.5550954959</v>
      </c>
      <c r="E106" s="1474">
        <v>624297.7949045042</v>
      </c>
      <c r="F106" s="1474">
        <v>915180.51</v>
      </c>
      <c r="G106" s="1474">
        <v>15221.11</v>
      </c>
      <c r="H106" s="1474">
        <v>0</v>
      </c>
      <c r="I106" s="1469">
        <f t="shared" si="12"/>
        <v>3199516.97</v>
      </c>
      <c r="J106" s="1475">
        <f t="shared" si="13"/>
        <v>15221.11</v>
      </c>
      <c r="K106" s="1475">
        <f t="shared" si="14"/>
        <v>930401.62</v>
      </c>
    </row>
    <row r="107" spans="1:11" ht="15" customHeight="1" x14ac:dyDescent="0.3">
      <c r="A107" s="1471" t="s">
        <v>90</v>
      </c>
      <c r="B107" s="1465" t="s">
        <v>91</v>
      </c>
      <c r="C107" s="1472" t="s">
        <v>256</v>
      </c>
      <c r="D107" s="1473">
        <v>552941.4825269077</v>
      </c>
      <c r="E107" s="1474">
        <v>271873.31747309235</v>
      </c>
      <c r="F107" s="1474">
        <v>167832.33000000002</v>
      </c>
      <c r="G107" s="1474">
        <v>37673.11</v>
      </c>
      <c r="H107" s="1474">
        <v>0</v>
      </c>
      <c r="I107" s="1469">
        <f t="shared" si="12"/>
        <v>1030320.2400000001</v>
      </c>
      <c r="J107" s="1475">
        <f t="shared" si="13"/>
        <v>37673.11</v>
      </c>
      <c r="K107" s="1475">
        <f t="shared" si="14"/>
        <v>205505.44</v>
      </c>
    </row>
    <row r="108" spans="1:11" ht="15" customHeight="1" x14ac:dyDescent="0.3">
      <c r="A108" s="1471" t="s">
        <v>106</v>
      </c>
      <c r="B108" s="1465" t="s">
        <v>107</v>
      </c>
      <c r="C108" s="1472" t="s">
        <v>252</v>
      </c>
      <c r="D108" s="1473">
        <v>6915541.5215737959</v>
      </c>
      <c r="E108" s="1474">
        <v>3239243.7684262046</v>
      </c>
      <c r="F108" s="1474">
        <v>2536143.5100000002</v>
      </c>
      <c r="G108" s="1474">
        <v>291147.36</v>
      </c>
      <c r="H108" s="1474">
        <v>0</v>
      </c>
      <c r="I108" s="1469">
        <f t="shared" si="12"/>
        <v>12982076.16</v>
      </c>
      <c r="J108" s="1475">
        <f t="shared" si="13"/>
        <v>291147.36</v>
      </c>
      <c r="K108" s="1475">
        <f t="shared" si="14"/>
        <v>2827290.87</v>
      </c>
    </row>
    <row r="109" spans="1:11" ht="15" customHeight="1" x14ac:dyDescent="0.3">
      <c r="A109" s="1471" t="s">
        <v>116</v>
      </c>
      <c r="B109" s="1465" t="s">
        <v>117</v>
      </c>
      <c r="C109" s="1472" t="s">
        <v>254</v>
      </c>
      <c r="D109" s="1473">
        <v>1939876.8174754377</v>
      </c>
      <c r="E109" s="1474">
        <v>892868.75252456206</v>
      </c>
      <c r="F109" s="1474">
        <v>773958.24</v>
      </c>
      <c r="G109" s="1474">
        <v>286.42</v>
      </c>
      <c r="H109" s="1474">
        <v>0</v>
      </c>
      <c r="I109" s="1469">
        <f t="shared" si="12"/>
        <v>3606990.2299999995</v>
      </c>
      <c r="J109" s="1475">
        <f t="shared" si="13"/>
        <v>286.42</v>
      </c>
      <c r="K109" s="1475">
        <f t="shared" si="14"/>
        <v>774244.66</v>
      </c>
    </row>
    <row r="110" spans="1:11" ht="15" customHeight="1" x14ac:dyDescent="0.3">
      <c r="A110" s="1471" t="s">
        <v>138</v>
      </c>
      <c r="B110" s="1465" t="s">
        <v>139</v>
      </c>
      <c r="C110" s="1472" t="s">
        <v>253</v>
      </c>
      <c r="D110" s="1473">
        <v>4586539.7018639492</v>
      </c>
      <c r="E110" s="1474">
        <v>1982550.4181360507</v>
      </c>
      <c r="F110" s="1474">
        <v>2226564.0599999996</v>
      </c>
      <c r="G110" s="1474">
        <v>69435.86</v>
      </c>
      <c r="H110" s="1474">
        <v>0</v>
      </c>
      <c r="I110" s="1469">
        <f t="shared" si="12"/>
        <v>8865090.0399999991</v>
      </c>
      <c r="J110" s="1475">
        <f t="shared" si="13"/>
        <v>69435.86</v>
      </c>
      <c r="K110" s="1475">
        <f t="shared" si="14"/>
        <v>2295999.9199999995</v>
      </c>
    </row>
    <row r="111" spans="1:11" ht="15" customHeight="1" x14ac:dyDescent="0.3">
      <c r="A111" s="1471" t="s">
        <v>142</v>
      </c>
      <c r="B111" s="1465" t="s">
        <v>143</v>
      </c>
      <c r="C111" s="1472" t="s">
        <v>255</v>
      </c>
      <c r="D111" s="1473">
        <v>1643196.6239748881</v>
      </c>
      <c r="E111" s="1474">
        <v>527614.66602511192</v>
      </c>
      <c r="F111" s="1474">
        <v>1377173</v>
      </c>
      <c r="G111" s="1474">
        <v>119720.91</v>
      </c>
      <c r="H111" s="1474">
        <v>0</v>
      </c>
      <c r="I111" s="1469">
        <f t="shared" si="12"/>
        <v>3667705.2</v>
      </c>
      <c r="J111" s="1475">
        <f t="shared" si="13"/>
        <v>119720.91</v>
      </c>
      <c r="K111" s="1475">
        <f t="shared" si="14"/>
        <v>1496893.91</v>
      </c>
    </row>
    <row r="112" spans="1:11" ht="15" customHeight="1" x14ac:dyDescent="0.3">
      <c r="A112" s="1471" t="s">
        <v>144</v>
      </c>
      <c r="B112" s="1465" t="s">
        <v>145</v>
      </c>
      <c r="C112" s="1472" t="s">
        <v>255</v>
      </c>
      <c r="D112" s="1473">
        <v>667321.67754478648</v>
      </c>
      <c r="E112" s="1474">
        <v>229662.72245521352</v>
      </c>
      <c r="F112" s="1474">
        <v>511231.01</v>
      </c>
      <c r="G112" s="1474">
        <v>14207.04</v>
      </c>
      <c r="H112" s="1474">
        <v>0</v>
      </c>
      <c r="I112" s="1469">
        <f t="shared" si="12"/>
        <v>1422422.4500000002</v>
      </c>
      <c r="J112" s="1475">
        <f t="shared" si="13"/>
        <v>14207.04</v>
      </c>
      <c r="K112" s="1475">
        <f t="shared" si="14"/>
        <v>525438.05000000005</v>
      </c>
    </row>
    <row r="113" spans="1:11" ht="15" customHeight="1" x14ac:dyDescent="0.3">
      <c r="A113" s="1471" t="s">
        <v>158</v>
      </c>
      <c r="B113" s="1465" t="s">
        <v>159</v>
      </c>
      <c r="C113" s="1472" t="s">
        <v>252</v>
      </c>
      <c r="D113" s="1473">
        <v>13628840.980840469</v>
      </c>
      <c r="E113" s="1474">
        <v>4976075.2891595289</v>
      </c>
      <c r="F113" s="1474">
        <v>9397185.629999999</v>
      </c>
      <c r="G113" s="1474">
        <v>-22.769999999999996</v>
      </c>
      <c r="H113" s="1474">
        <v>0</v>
      </c>
      <c r="I113" s="1469">
        <f t="shared" si="12"/>
        <v>28002079.129999995</v>
      </c>
      <c r="J113" s="1475">
        <f t="shared" si="13"/>
        <v>-22.769999999999996</v>
      </c>
      <c r="K113" s="1475">
        <f t="shared" si="14"/>
        <v>9397162.8599999994</v>
      </c>
    </row>
    <row r="114" spans="1:11" ht="15" customHeight="1" x14ac:dyDescent="0.3">
      <c r="A114" s="1471" t="s">
        <v>160</v>
      </c>
      <c r="B114" s="1465" t="s">
        <v>161</v>
      </c>
      <c r="C114" s="1472" t="s">
        <v>252</v>
      </c>
      <c r="D114" s="1473">
        <v>15287365.819526883</v>
      </c>
      <c r="E114" s="1474">
        <v>7583377.4704731172</v>
      </c>
      <c r="F114" s="1474">
        <v>4133386.0999999996</v>
      </c>
      <c r="G114" s="1474">
        <v>638039.3899999999</v>
      </c>
      <c r="H114" s="1474">
        <v>0</v>
      </c>
      <c r="I114" s="1469">
        <f t="shared" si="12"/>
        <v>27642168.780000001</v>
      </c>
      <c r="J114" s="1475">
        <f t="shared" si="13"/>
        <v>638039.3899999999</v>
      </c>
      <c r="K114" s="1475">
        <f t="shared" si="14"/>
        <v>4771425.4899999993</v>
      </c>
    </row>
    <row r="115" spans="1:11" ht="15" customHeight="1" x14ac:dyDescent="0.3">
      <c r="A115" s="1471" t="s">
        <v>166</v>
      </c>
      <c r="B115" s="1465" t="s">
        <v>167</v>
      </c>
      <c r="C115" s="1472" t="s">
        <v>256</v>
      </c>
      <c r="D115" s="1473">
        <v>436628.13846186176</v>
      </c>
      <c r="E115" s="1474">
        <v>211270.84153813822</v>
      </c>
      <c r="F115" s="1474">
        <v>146112.4</v>
      </c>
      <c r="G115" s="1474">
        <v>613.40000000000009</v>
      </c>
      <c r="H115" s="1474">
        <v>0</v>
      </c>
      <c r="I115" s="1469">
        <f t="shared" si="12"/>
        <v>794624.78</v>
      </c>
      <c r="J115" s="1475">
        <f t="shared" si="13"/>
        <v>613.40000000000009</v>
      </c>
      <c r="K115" s="1475">
        <f t="shared" si="14"/>
        <v>146725.79999999999</v>
      </c>
    </row>
    <row r="116" spans="1:11" ht="15" customHeight="1" x14ac:dyDescent="0.3">
      <c r="A116" s="1471" t="s">
        <v>176</v>
      </c>
      <c r="B116" s="1465" t="s">
        <v>177</v>
      </c>
      <c r="C116" s="1472" t="s">
        <v>254</v>
      </c>
      <c r="D116" s="1473">
        <v>3404553.2220850578</v>
      </c>
      <c r="E116" s="1474">
        <v>1704637.4579149426</v>
      </c>
      <c r="F116" s="1474">
        <v>907527.58</v>
      </c>
      <c r="G116" s="1474">
        <v>23461.66</v>
      </c>
      <c r="H116" s="1474">
        <v>119738.62</v>
      </c>
      <c r="I116" s="1469">
        <f t="shared" si="12"/>
        <v>6159918.540000001</v>
      </c>
      <c r="J116" s="1475">
        <f t="shared" si="13"/>
        <v>143200.28</v>
      </c>
      <c r="K116" s="1475">
        <f t="shared" si="14"/>
        <v>1050727.8599999999</v>
      </c>
    </row>
    <row r="117" spans="1:11" ht="15" customHeight="1" x14ac:dyDescent="0.3">
      <c r="A117" s="1471" t="s">
        <v>180</v>
      </c>
      <c r="B117" s="1465" t="s">
        <v>181</v>
      </c>
      <c r="C117" s="1472" t="s">
        <v>252</v>
      </c>
      <c r="D117" s="1473">
        <v>7616751.8184491377</v>
      </c>
      <c r="E117" s="1474">
        <v>3489520.5715508619</v>
      </c>
      <c r="F117" s="1474">
        <v>2984037.49</v>
      </c>
      <c r="G117" s="1474">
        <v>802244.79</v>
      </c>
      <c r="H117" s="1474">
        <v>0</v>
      </c>
      <c r="I117" s="1469">
        <f t="shared" si="12"/>
        <v>14892554.670000002</v>
      </c>
      <c r="J117" s="1475">
        <f t="shared" si="13"/>
        <v>802244.79</v>
      </c>
      <c r="K117" s="1475">
        <f t="shared" si="14"/>
        <v>3786282.2800000003</v>
      </c>
    </row>
    <row r="118" spans="1:11" ht="15" customHeight="1" x14ac:dyDescent="0.3">
      <c r="A118" s="1471" t="s">
        <v>192</v>
      </c>
      <c r="B118" s="1465" t="s">
        <v>193</v>
      </c>
      <c r="C118" s="1472" t="s">
        <v>256</v>
      </c>
      <c r="D118" s="1473">
        <v>621781.05890200799</v>
      </c>
      <c r="E118" s="1474">
        <v>274339.34109799197</v>
      </c>
      <c r="F118" s="1474">
        <v>289907.96999999997</v>
      </c>
      <c r="G118" s="1474">
        <v>10554.01</v>
      </c>
      <c r="H118" s="1474">
        <v>0</v>
      </c>
      <c r="I118" s="1469">
        <f t="shared" si="12"/>
        <v>1196582.3799999999</v>
      </c>
      <c r="J118" s="1475">
        <f t="shared" si="13"/>
        <v>10554.01</v>
      </c>
      <c r="K118" s="1475">
        <f t="shared" si="14"/>
        <v>300461.98</v>
      </c>
    </row>
    <row r="119" spans="1:11" ht="15" customHeight="1" x14ac:dyDescent="0.3">
      <c r="A119" s="1471" t="s">
        <v>196</v>
      </c>
      <c r="B119" s="1465" t="s">
        <v>300</v>
      </c>
      <c r="C119" s="1472" t="s">
        <v>254</v>
      </c>
      <c r="D119" s="1473">
        <v>16253617.742596151</v>
      </c>
      <c r="E119" s="1474">
        <v>8025664.0674038501</v>
      </c>
      <c r="F119" s="1474">
        <v>4401690.8899999997</v>
      </c>
      <c r="G119" s="1474">
        <v>841133.76</v>
      </c>
      <c r="H119" s="1474">
        <v>0</v>
      </c>
      <c r="I119" s="1469">
        <f t="shared" si="12"/>
        <v>29522106.460000005</v>
      </c>
      <c r="J119" s="1475">
        <f t="shared" si="13"/>
        <v>841133.76</v>
      </c>
      <c r="K119" s="1475">
        <f t="shared" si="14"/>
        <v>5242824.6499999994</v>
      </c>
    </row>
    <row r="120" spans="1:11" ht="15" customHeight="1" x14ac:dyDescent="0.3">
      <c r="A120" s="1471" t="s">
        <v>200</v>
      </c>
      <c r="B120" s="1465" t="s">
        <v>301</v>
      </c>
      <c r="C120" s="1472" t="s">
        <v>253</v>
      </c>
      <c r="D120" s="1473">
        <v>7336601.177130226</v>
      </c>
      <c r="E120" s="1474">
        <v>3361769.6728697736</v>
      </c>
      <c r="F120" s="1474">
        <v>2736932.4299999997</v>
      </c>
      <c r="G120" s="1474">
        <v>20484.689999999999</v>
      </c>
      <c r="H120" s="1474">
        <v>0</v>
      </c>
      <c r="I120" s="1469">
        <f t="shared" si="12"/>
        <v>13455787.969999999</v>
      </c>
      <c r="J120" s="1475">
        <f t="shared" si="13"/>
        <v>20484.689999999999</v>
      </c>
      <c r="K120" s="1475">
        <f t="shared" si="14"/>
        <v>2757417.1199999996</v>
      </c>
    </row>
    <row r="121" spans="1:11" ht="15" customHeight="1" x14ac:dyDescent="0.3">
      <c r="A121" s="1471" t="s">
        <v>222</v>
      </c>
      <c r="B121" s="1465" t="s">
        <v>223</v>
      </c>
      <c r="C121" s="1472" t="s">
        <v>252</v>
      </c>
      <c r="D121" s="1473">
        <v>4584710.2756666811</v>
      </c>
      <c r="E121" s="1474">
        <v>1908270.5143333192</v>
      </c>
      <c r="F121" s="1474">
        <v>2481811.6100000003</v>
      </c>
      <c r="G121" s="1474">
        <v>631682.13</v>
      </c>
      <c r="H121" s="1474">
        <v>0</v>
      </c>
      <c r="I121" s="1469">
        <f t="shared" si="12"/>
        <v>9606474.5300000012</v>
      </c>
      <c r="J121" s="1475">
        <f t="shared" si="13"/>
        <v>631682.13</v>
      </c>
      <c r="K121" s="1475">
        <f t="shared" si="14"/>
        <v>3113493.74</v>
      </c>
    </row>
    <row r="122" spans="1:11" ht="15" customHeight="1" x14ac:dyDescent="0.3">
      <c r="A122" s="1471" t="s">
        <v>230</v>
      </c>
      <c r="B122" s="1465" t="s">
        <v>231</v>
      </c>
      <c r="C122" s="1472" t="s">
        <v>252</v>
      </c>
      <c r="D122" s="1473">
        <v>12858661.644428411</v>
      </c>
      <c r="E122" s="1474">
        <v>4758486.3855715897</v>
      </c>
      <c r="F122" s="1474">
        <v>8721198.4699999988</v>
      </c>
      <c r="G122" s="1474">
        <v>115016.3</v>
      </c>
      <c r="H122" s="1474">
        <v>0</v>
      </c>
      <c r="I122" s="1469">
        <f t="shared" si="12"/>
        <v>26453362.800000001</v>
      </c>
      <c r="J122" s="1475">
        <f t="shared" si="13"/>
        <v>115016.3</v>
      </c>
      <c r="K122" s="1475">
        <f t="shared" si="14"/>
        <v>8836214.7699999996</v>
      </c>
    </row>
    <row r="123" spans="1:11" ht="15" customHeight="1" x14ac:dyDescent="0.3">
      <c r="A123" s="1471" t="s">
        <v>238</v>
      </c>
      <c r="B123" s="1465" t="s">
        <v>239</v>
      </c>
      <c r="C123" s="1472" t="s">
        <v>252</v>
      </c>
      <c r="D123" s="1473">
        <v>473244.98912626039</v>
      </c>
      <c r="E123" s="1474">
        <v>186949.35087373958</v>
      </c>
      <c r="F123" s="1474">
        <v>291142.90999999997</v>
      </c>
      <c r="G123" s="1474">
        <v>344327.95999999996</v>
      </c>
      <c r="H123" s="1474">
        <v>0</v>
      </c>
      <c r="I123" s="1469">
        <f t="shared" si="12"/>
        <v>1295665.21</v>
      </c>
      <c r="J123" s="1475">
        <f t="shared" si="13"/>
        <v>344327.95999999996</v>
      </c>
      <c r="K123" s="1475">
        <f t="shared" si="14"/>
        <v>635470.86999999988</v>
      </c>
    </row>
    <row r="124" spans="1:11" ht="15" customHeight="1" x14ac:dyDescent="0.3">
      <c r="A124" s="1471" t="s">
        <v>240</v>
      </c>
      <c r="B124" s="1465" t="s">
        <v>241</v>
      </c>
      <c r="C124" s="1472" t="s">
        <v>255</v>
      </c>
      <c r="D124" s="1473">
        <v>1867146.0257157269</v>
      </c>
      <c r="E124" s="1474">
        <v>619486.63428427302</v>
      </c>
      <c r="F124" s="1474">
        <v>1486892.81</v>
      </c>
      <c r="G124" s="1474">
        <v>139502.70000000001</v>
      </c>
      <c r="H124" s="1474">
        <v>0</v>
      </c>
      <c r="I124" s="1469">
        <f t="shared" si="12"/>
        <v>4113028.1700000004</v>
      </c>
      <c r="J124" s="1475">
        <f t="shared" si="13"/>
        <v>139502.70000000001</v>
      </c>
      <c r="K124" s="1475">
        <f t="shared" si="14"/>
        <v>1626395.51</v>
      </c>
    </row>
    <row r="125" spans="1:11" ht="15" customHeight="1" x14ac:dyDescent="0.3">
      <c r="A125" s="1098"/>
      <c r="B125" s="775"/>
      <c r="C125" s="775"/>
      <c r="D125" s="1099"/>
      <c r="E125" s="1099"/>
      <c r="F125" s="1099"/>
      <c r="G125" s="1099"/>
      <c r="H125" s="1099"/>
      <c r="I125" s="1099"/>
      <c r="J125" s="1053"/>
      <c r="K125" s="1053"/>
    </row>
    <row r="126" spans="1:11" ht="15" customHeight="1" x14ac:dyDescent="0.3">
      <c r="A126" s="1098" t="s">
        <v>254</v>
      </c>
      <c r="B126" s="775"/>
      <c r="C126" s="775"/>
      <c r="D126" s="1454">
        <v>51337745.766651869</v>
      </c>
      <c r="E126" s="1455">
        <v>22819320.983348116</v>
      </c>
      <c r="F126" s="1455">
        <v>22534228.34</v>
      </c>
      <c r="G126" s="1455">
        <v>1547374.7900000003</v>
      </c>
      <c r="H126" s="1455">
        <v>119738.62</v>
      </c>
      <c r="I126" s="1456">
        <f>SUM(D126:H126)</f>
        <v>98358408.5</v>
      </c>
      <c r="J126" s="1244">
        <f>G126+H126</f>
        <v>1667113.4100000001</v>
      </c>
      <c r="K126" s="1244">
        <f>F126+G126+H126</f>
        <v>24201341.75</v>
      </c>
    </row>
    <row r="127" spans="1:11" ht="15" customHeight="1" x14ac:dyDescent="0.3">
      <c r="A127" s="1098" t="s">
        <v>252</v>
      </c>
      <c r="B127" s="775"/>
      <c r="C127" s="775"/>
      <c r="D127" s="1454">
        <v>87133325.826467976</v>
      </c>
      <c r="E127" s="1455">
        <v>36849324.333531991</v>
      </c>
      <c r="F127" s="1455">
        <v>44347708.109999999</v>
      </c>
      <c r="G127" s="1455">
        <v>4015705.580000001</v>
      </c>
      <c r="H127" s="1455">
        <v>155069</v>
      </c>
      <c r="I127" s="1456">
        <f t="shared" ref="I127:I130" si="15">SUM(D127:H127)</f>
        <v>172501132.84999999</v>
      </c>
      <c r="J127" s="1244">
        <f t="shared" ref="J127:J130" si="16">G127+H127</f>
        <v>4170774.580000001</v>
      </c>
      <c r="K127" s="1244">
        <f t="shared" ref="K127:K130" si="17">F127+G127+H127</f>
        <v>48518482.689999998</v>
      </c>
    </row>
    <row r="128" spans="1:11" ht="15" customHeight="1" x14ac:dyDescent="0.3">
      <c r="A128" s="1098" t="s">
        <v>255</v>
      </c>
      <c r="B128" s="775"/>
      <c r="C128" s="775"/>
      <c r="D128" s="1454">
        <v>96952029.052320108</v>
      </c>
      <c r="E128" s="1455">
        <v>28007497.647679903</v>
      </c>
      <c r="F128" s="1455">
        <v>89867921.239999995</v>
      </c>
      <c r="G128" s="1455">
        <v>1576622.82</v>
      </c>
      <c r="H128" s="1455">
        <v>847932.15</v>
      </c>
      <c r="I128" s="1456">
        <f t="shared" si="15"/>
        <v>217252002.91</v>
      </c>
      <c r="J128" s="1244">
        <f t="shared" si="16"/>
        <v>2424554.9700000002</v>
      </c>
      <c r="K128" s="1244">
        <f t="shared" si="17"/>
        <v>92292476.209999993</v>
      </c>
    </row>
    <row r="129" spans="1:11" ht="15" customHeight="1" x14ac:dyDescent="0.3">
      <c r="A129" s="1098" t="s">
        <v>253</v>
      </c>
      <c r="B129" s="775"/>
      <c r="C129" s="775"/>
      <c r="D129" s="1454">
        <v>53392303.881840125</v>
      </c>
      <c r="E129" s="1455">
        <v>22011473.718159895</v>
      </c>
      <c r="F129" s="1455">
        <v>28038452.010000002</v>
      </c>
      <c r="G129" s="1455">
        <v>1988457.6500000004</v>
      </c>
      <c r="H129" s="1455">
        <v>0</v>
      </c>
      <c r="I129" s="1456">
        <f t="shared" si="15"/>
        <v>105430687.26000004</v>
      </c>
      <c r="J129" s="1244">
        <f t="shared" si="16"/>
        <v>1988457.6500000004</v>
      </c>
      <c r="K129" s="1244">
        <f t="shared" si="17"/>
        <v>30026909.660000004</v>
      </c>
    </row>
    <row r="130" spans="1:11" ht="15" customHeight="1" x14ac:dyDescent="0.3">
      <c r="A130" s="1098" t="s">
        <v>256</v>
      </c>
      <c r="B130" s="775"/>
      <c r="C130" s="775"/>
      <c r="D130" s="1454">
        <v>30706757.178619929</v>
      </c>
      <c r="E130" s="1455">
        <v>14630862.451380072</v>
      </c>
      <c r="F130" s="1455">
        <v>10645292.07</v>
      </c>
      <c r="G130" s="1455">
        <v>451081.51</v>
      </c>
      <c r="H130" s="1455">
        <v>0</v>
      </c>
      <c r="I130" s="1456">
        <f t="shared" si="15"/>
        <v>56433993.210000001</v>
      </c>
      <c r="J130" s="1244">
        <f t="shared" si="16"/>
        <v>451081.51</v>
      </c>
      <c r="K130" s="1244">
        <f t="shared" si="17"/>
        <v>11096373.58</v>
      </c>
    </row>
    <row r="131" spans="1:11" ht="15" customHeight="1" x14ac:dyDescent="0.3">
      <c r="A131" s="1098" t="s">
        <v>9</v>
      </c>
      <c r="B131" s="775"/>
      <c r="C131" s="1100"/>
      <c r="D131" s="1454">
        <f t="shared" ref="D131" si="18">SUM(D126:D130)</f>
        <v>319522161.70590001</v>
      </c>
      <c r="E131" s="1455">
        <f t="shared" ref="E131:H131" si="19">SUM(E126:E130)</f>
        <v>124318479.13409998</v>
      </c>
      <c r="F131" s="1455">
        <f t="shared" si="19"/>
        <v>195433601.76999998</v>
      </c>
      <c r="G131" s="1455">
        <f t="shared" si="19"/>
        <v>9579242.3500000015</v>
      </c>
      <c r="H131" s="1455">
        <f t="shared" si="19"/>
        <v>1122739.77</v>
      </c>
      <c r="I131" s="1456">
        <f>SUM(I126:I130)</f>
        <v>649976224.73000002</v>
      </c>
      <c r="J131" s="1244">
        <f>SUM(J126:J130)</f>
        <v>10701982.120000001</v>
      </c>
      <c r="K131" s="1244">
        <f>SUM(K126:K130)</f>
        <v>206135583.88999999</v>
      </c>
    </row>
    <row r="133" spans="1:11" s="339" customFormat="1" x14ac:dyDescent="0.3">
      <c r="A133" s="839" t="s">
        <v>1114</v>
      </c>
      <c r="B133" s="605"/>
      <c r="C133" s="605"/>
      <c r="D133" s="845"/>
      <c r="E133" s="845"/>
      <c r="F133" s="845"/>
      <c r="G133" s="845"/>
      <c r="H133" s="845"/>
      <c r="I133" s="845"/>
      <c r="J133" s="845"/>
      <c r="K133" s="845"/>
    </row>
    <row r="134" spans="1:11" s="339" customFormat="1" x14ac:dyDescent="0.3">
      <c r="D134" s="845"/>
      <c r="E134" s="845"/>
      <c r="F134" s="845"/>
      <c r="G134" s="845"/>
      <c r="H134" s="845"/>
      <c r="I134" s="845"/>
      <c r="J134" s="845"/>
      <c r="K134" s="845"/>
    </row>
    <row r="135" spans="1:11" s="359" customFormat="1" x14ac:dyDescent="0.3">
      <c r="A135" s="359" t="s">
        <v>248</v>
      </c>
      <c r="D135" s="846"/>
      <c r="E135" s="846"/>
      <c r="F135" s="846"/>
      <c r="G135" s="846"/>
      <c r="H135" s="846"/>
      <c r="I135" s="846"/>
      <c r="J135" s="846"/>
      <c r="K135" s="846"/>
    </row>
    <row r="136" spans="1:11" x14ac:dyDescent="0.3">
      <c r="A136" s="360" t="s">
        <v>249</v>
      </c>
      <c r="B136" s="361" t="s">
        <v>250</v>
      </c>
      <c r="C136" s="361"/>
    </row>
  </sheetData>
  <autoFilter ref="A3:C124"/>
  <sortState ref="A5:BA124">
    <sortCondition ref="A5:A124"/>
  </sortState>
  <hyperlinks>
    <hyperlink ref="B136" r:id="rId1"/>
  </hyperlinks>
  <pageMargins left="0.7" right="0.7" top="0.75" bottom="0.75" header="0.3" footer="0.3"/>
  <pageSetup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6"/>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9.296875" style="263" customWidth="1"/>
    <col min="2" max="2" width="29.69921875" style="263" customWidth="1"/>
    <col min="3" max="3" width="18.59765625" style="263" customWidth="1"/>
    <col min="4" max="4" width="12.69921875" style="263" customWidth="1"/>
    <col min="5" max="5" width="8.296875" style="263" bestFit="1" customWidth="1"/>
    <col min="6" max="6" width="11.5" style="263" bestFit="1" customWidth="1"/>
    <col min="7" max="7" width="13.296875" style="263" customWidth="1"/>
    <col min="8" max="8" width="11.796875" style="263" customWidth="1"/>
    <col min="9" max="9" width="13.296875" style="263" customWidth="1"/>
    <col min="10" max="11" width="13.59765625" style="263" customWidth="1"/>
    <col min="12" max="16384" width="9" style="263"/>
  </cols>
  <sheetData>
    <row r="1" spans="1:11" x14ac:dyDescent="0.3">
      <c r="A1" s="64" t="s">
        <v>1101</v>
      </c>
      <c r="J1" s="611"/>
      <c r="K1" s="611"/>
    </row>
    <row r="2" spans="1:11" x14ac:dyDescent="0.3">
      <c r="J2" s="611"/>
      <c r="K2" s="611"/>
    </row>
    <row r="3" spans="1:11" s="612" customFormat="1" ht="46.8" x14ac:dyDescent="0.3">
      <c r="A3" s="615" t="s">
        <v>4</v>
      </c>
      <c r="B3" s="616" t="s">
        <v>5</v>
      </c>
      <c r="C3" s="776" t="s">
        <v>251</v>
      </c>
      <c r="D3" s="617" t="s">
        <v>302</v>
      </c>
      <c r="E3" s="618" t="s">
        <v>303</v>
      </c>
      <c r="F3" s="610" t="s">
        <v>304</v>
      </c>
      <c r="G3" s="619" t="s">
        <v>739</v>
      </c>
      <c r="H3" s="1054" t="s">
        <v>740</v>
      </c>
      <c r="I3" s="1054" t="s">
        <v>269</v>
      </c>
      <c r="J3" s="844" t="s">
        <v>741</v>
      </c>
      <c r="K3" s="844" t="s">
        <v>742</v>
      </c>
    </row>
    <row r="4" spans="1:11" x14ac:dyDescent="0.3">
      <c r="A4" s="608">
        <v>999</v>
      </c>
      <c r="B4" s="613" t="s">
        <v>9</v>
      </c>
      <c r="C4" s="777"/>
      <c r="D4" s="847">
        <f t="shared" ref="D4:K4" si="0">SUM(D5:D124)</f>
        <v>21651547.409999996</v>
      </c>
      <c r="E4" s="848">
        <f t="shared" si="0"/>
        <v>0</v>
      </c>
      <c r="F4" s="849">
        <f t="shared" si="0"/>
        <v>21651547.409999996</v>
      </c>
      <c r="G4" s="850">
        <f t="shared" si="0"/>
        <v>588082.58999999985</v>
      </c>
      <c r="H4" s="850">
        <f t="shared" si="0"/>
        <v>28980972.120000001</v>
      </c>
      <c r="I4" s="850">
        <f t="shared" si="0"/>
        <v>72872149.530000001</v>
      </c>
      <c r="J4" s="849">
        <f t="shared" si="0"/>
        <v>29569054.709999997</v>
      </c>
      <c r="K4" s="849">
        <f t="shared" si="0"/>
        <v>51220602.120000005</v>
      </c>
    </row>
    <row r="5" spans="1:11" ht="15" customHeight="1" x14ac:dyDescent="0.3">
      <c r="A5" s="609" t="s">
        <v>10</v>
      </c>
      <c r="B5" s="614" t="s">
        <v>11</v>
      </c>
      <c r="C5" s="778" t="s">
        <v>252</v>
      </c>
      <c r="D5" s="851">
        <v>54434.1</v>
      </c>
      <c r="E5" s="851">
        <v>0</v>
      </c>
      <c r="F5" s="851">
        <v>54434.1</v>
      </c>
      <c r="G5" s="853">
        <v>0</v>
      </c>
      <c r="H5" s="853">
        <v>72860.800000000017</v>
      </c>
      <c r="I5" s="1055">
        <f t="shared" ref="I5:I36" si="1">SUM(D5:H5)</f>
        <v>181729</v>
      </c>
      <c r="J5" s="852">
        <f t="shared" ref="J5:J36" si="2">G5+H5</f>
        <v>72860.800000000017</v>
      </c>
      <c r="K5" s="1055">
        <f t="shared" ref="K5:K36" si="3">F5+J5</f>
        <v>127294.90000000002</v>
      </c>
    </row>
    <row r="6" spans="1:11" ht="15" customHeight="1" x14ac:dyDescent="0.3">
      <c r="A6" s="609" t="s">
        <v>12</v>
      </c>
      <c r="B6" s="614" t="s">
        <v>13</v>
      </c>
      <c r="C6" s="778" t="s">
        <v>253</v>
      </c>
      <c r="D6" s="851">
        <v>489959.06</v>
      </c>
      <c r="E6" s="851">
        <v>0</v>
      </c>
      <c r="F6" s="851">
        <v>489959.06</v>
      </c>
      <c r="G6" s="853">
        <v>35761.19</v>
      </c>
      <c r="H6" s="853">
        <v>655816.88</v>
      </c>
      <c r="I6" s="1055">
        <f t="shared" si="1"/>
        <v>1671496.19</v>
      </c>
      <c r="J6" s="852">
        <f t="shared" si="2"/>
        <v>691578.07000000007</v>
      </c>
      <c r="K6" s="1055">
        <f t="shared" si="3"/>
        <v>1181537.1300000001</v>
      </c>
    </row>
    <row r="7" spans="1:11" ht="15" customHeight="1" x14ac:dyDescent="0.3">
      <c r="A7" s="609" t="s">
        <v>16</v>
      </c>
      <c r="B7" s="614" t="s">
        <v>285</v>
      </c>
      <c r="C7" s="778" t="s">
        <v>253</v>
      </c>
      <c r="D7" s="851">
        <v>87566.82</v>
      </c>
      <c r="E7" s="851">
        <v>0</v>
      </c>
      <c r="F7" s="851">
        <v>87566.82</v>
      </c>
      <c r="G7" s="853">
        <v>17.739999999999998</v>
      </c>
      <c r="H7" s="853">
        <v>117209.35999999999</v>
      </c>
      <c r="I7" s="1055">
        <f t="shared" si="1"/>
        <v>292360.74</v>
      </c>
      <c r="J7" s="852">
        <f t="shared" si="2"/>
        <v>117227.09999999999</v>
      </c>
      <c r="K7" s="1055">
        <f t="shared" si="3"/>
        <v>204793.91999999998</v>
      </c>
    </row>
    <row r="8" spans="1:11" ht="15" customHeight="1" x14ac:dyDescent="0.3">
      <c r="A8" s="609" t="s">
        <v>18</v>
      </c>
      <c r="B8" s="614" t="s">
        <v>19</v>
      </c>
      <c r="C8" s="778" t="s">
        <v>254</v>
      </c>
      <c r="D8" s="851">
        <v>55259.32</v>
      </c>
      <c r="E8" s="851">
        <v>0</v>
      </c>
      <c r="F8" s="851">
        <v>55259.32</v>
      </c>
      <c r="G8" s="853">
        <v>0</v>
      </c>
      <c r="H8" s="853">
        <v>73965.359999999986</v>
      </c>
      <c r="I8" s="1055">
        <f t="shared" si="1"/>
        <v>184484</v>
      </c>
      <c r="J8" s="852">
        <f t="shared" si="2"/>
        <v>73965.359999999986</v>
      </c>
      <c r="K8" s="1055">
        <f t="shared" si="3"/>
        <v>129224.68</v>
      </c>
    </row>
    <row r="9" spans="1:11" ht="15" customHeight="1" x14ac:dyDescent="0.3">
      <c r="A9" s="609" t="s">
        <v>20</v>
      </c>
      <c r="B9" s="614" t="s">
        <v>21</v>
      </c>
      <c r="C9" s="778" t="s">
        <v>253</v>
      </c>
      <c r="D9" s="851">
        <v>65547.429999999993</v>
      </c>
      <c r="E9" s="851">
        <v>0</v>
      </c>
      <c r="F9" s="851">
        <v>65547.429999999993</v>
      </c>
      <c r="G9" s="853">
        <v>0</v>
      </c>
      <c r="H9" s="853">
        <v>87736.140000000014</v>
      </c>
      <c r="I9" s="1055">
        <f t="shared" si="1"/>
        <v>218831</v>
      </c>
      <c r="J9" s="852">
        <f t="shared" si="2"/>
        <v>87736.140000000014</v>
      </c>
      <c r="K9" s="1055">
        <f t="shared" si="3"/>
        <v>153283.57</v>
      </c>
    </row>
    <row r="10" spans="1:11" ht="15" customHeight="1" x14ac:dyDescent="0.3">
      <c r="A10" s="609" t="s">
        <v>22</v>
      </c>
      <c r="B10" s="614" t="s">
        <v>23</v>
      </c>
      <c r="C10" s="778" t="s">
        <v>253</v>
      </c>
      <c r="D10" s="851">
        <v>42402.41</v>
      </c>
      <c r="E10" s="851">
        <v>0</v>
      </c>
      <c r="F10" s="851">
        <v>42402.41</v>
      </c>
      <c r="G10" s="853">
        <v>0</v>
      </c>
      <c r="H10" s="853">
        <v>56756.180000000008</v>
      </c>
      <c r="I10" s="1055">
        <f t="shared" si="1"/>
        <v>141561</v>
      </c>
      <c r="J10" s="852">
        <f t="shared" si="2"/>
        <v>56756.180000000008</v>
      </c>
      <c r="K10" s="1055">
        <f t="shared" si="3"/>
        <v>99158.590000000011</v>
      </c>
    </row>
    <row r="11" spans="1:11" ht="15" customHeight="1" x14ac:dyDescent="0.3">
      <c r="A11" s="609" t="s">
        <v>24</v>
      </c>
      <c r="B11" s="614" t="s">
        <v>25</v>
      </c>
      <c r="C11" s="778" t="s">
        <v>255</v>
      </c>
      <c r="D11" s="851">
        <v>1172070.4099999999</v>
      </c>
      <c r="E11" s="851">
        <v>0</v>
      </c>
      <c r="F11" s="851">
        <v>1172070.4099999999</v>
      </c>
      <c r="G11" s="853">
        <v>0</v>
      </c>
      <c r="H11" s="853">
        <v>1568832.1800000002</v>
      </c>
      <c r="I11" s="1055">
        <f t="shared" si="1"/>
        <v>3912973</v>
      </c>
      <c r="J11" s="852">
        <f t="shared" si="2"/>
        <v>1568832.1800000002</v>
      </c>
      <c r="K11" s="1055">
        <f t="shared" si="3"/>
        <v>2740902.59</v>
      </c>
    </row>
    <row r="12" spans="1:11" ht="15" customHeight="1" x14ac:dyDescent="0.3">
      <c r="A12" s="609" t="s">
        <v>26</v>
      </c>
      <c r="B12" s="614" t="s">
        <v>547</v>
      </c>
      <c r="C12" s="778" t="s">
        <v>253</v>
      </c>
      <c r="D12" s="851">
        <v>188905.32</v>
      </c>
      <c r="E12" s="851">
        <v>0</v>
      </c>
      <c r="F12" s="851">
        <v>188905.32</v>
      </c>
      <c r="G12" s="853">
        <v>5369.06</v>
      </c>
      <c r="H12" s="853">
        <v>252852.36</v>
      </c>
      <c r="I12" s="1055">
        <f t="shared" si="1"/>
        <v>636032.06000000006</v>
      </c>
      <c r="J12" s="852">
        <f t="shared" si="2"/>
        <v>258221.41999999998</v>
      </c>
      <c r="K12" s="1055">
        <f t="shared" si="3"/>
        <v>447126.74</v>
      </c>
    </row>
    <row r="13" spans="1:11" ht="15" customHeight="1" x14ac:dyDescent="0.3">
      <c r="A13" s="609" t="s">
        <v>27</v>
      </c>
      <c r="B13" s="614" t="s">
        <v>28</v>
      </c>
      <c r="C13" s="778" t="s">
        <v>253</v>
      </c>
      <c r="D13" s="851">
        <v>25734.21</v>
      </c>
      <c r="E13" s="851">
        <v>0</v>
      </c>
      <c r="F13" s="851">
        <v>25734.21</v>
      </c>
      <c r="G13" s="853">
        <v>0</v>
      </c>
      <c r="H13" s="853">
        <v>34445.58</v>
      </c>
      <c r="I13" s="1055">
        <f t="shared" si="1"/>
        <v>85914</v>
      </c>
      <c r="J13" s="852">
        <f t="shared" si="2"/>
        <v>34445.58</v>
      </c>
      <c r="K13" s="1055">
        <f t="shared" si="3"/>
        <v>60179.79</v>
      </c>
    </row>
    <row r="14" spans="1:11" ht="15" customHeight="1" x14ac:dyDescent="0.3">
      <c r="A14" s="609" t="s">
        <v>29</v>
      </c>
      <c r="B14" s="614" t="s">
        <v>736</v>
      </c>
      <c r="C14" s="778" t="s">
        <v>253</v>
      </c>
      <c r="D14" s="851">
        <v>79117.850000000006</v>
      </c>
      <c r="E14" s="851">
        <v>0</v>
      </c>
      <c r="F14" s="851">
        <v>79117.850000000006</v>
      </c>
      <c r="G14" s="853">
        <v>0</v>
      </c>
      <c r="H14" s="853">
        <v>105900.30000000002</v>
      </c>
      <c r="I14" s="1055">
        <f t="shared" si="1"/>
        <v>264136</v>
      </c>
      <c r="J14" s="852">
        <f t="shared" si="2"/>
        <v>105900.30000000002</v>
      </c>
      <c r="K14" s="1055">
        <f t="shared" si="3"/>
        <v>185018.15000000002</v>
      </c>
    </row>
    <row r="15" spans="1:11" ht="15" customHeight="1" x14ac:dyDescent="0.3">
      <c r="A15" s="609" t="s">
        <v>30</v>
      </c>
      <c r="B15" s="614" t="s">
        <v>31</v>
      </c>
      <c r="C15" s="778" t="s">
        <v>256</v>
      </c>
      <c r="D15" s="851">
        <v>44521.599999999999</v>
      </c>
      <c r="E15" s="851">
        <v>0</v>
      </c>
      <c r="F15" s="851">
        <v>44521.599999999999</v>
      </c>
      <c r="G15" s="853">
        <v>0</v>
      </c>
      <c r="H15" s="853">
        <v>59592.800000000003</v>
      </c>
      <c r="I15" s="1055">
        <f t="shared" si="1"/>
        <v>148636</v>
      </c>
      <c r="J15" s="852">
        <f t="shared" si="2"/>
        <v>59592.800000000003</v>
      </c>
      <c r="K15" s="1055">
        <f t="shared" si="3"/>
        <v>104114.4</v>
      </c>
    </row>
    <row r="16" spans="1:11" ht="15" customHeight="1" x14ac:dyDescent="0.3">
      <c r="A16" s="609" t="s">
        <v>32</v>
      </c>
      <c r="B16" s="614" t="s">
        <v>33</v>
      </c>
      <c r="C16" s="778" t="s">
        <v>253</v>
      </c>
      <c r="D16" s="851">
        <v>23449.66</v>
      </c>
      <c r="E16" s="851">
        <v>0</v>
      </c>
      <c r="F16" s="851">
        <v>23449.66</v>
      </c>
      <c r="G16" s="853">
        <v>0</v>
      </c>
      <c r="H16" s="853">
        <v>31387.68</v>
      </c>
      <c r="I16" s="1055">
        <f t="shared" si="1"/>
        <v>78287</v>
      </c>
      <c r="J16" s="852">
        <f t="shared" si="2"/>
        <v>31387.68</v>
      </c>
      <c r="K16" s="1055">
        <f t="shared" si="3"/>
        <v>54837.34</v>
      </c>
    </row>
    <row r="17" spans="1:11" ht="15" customHeight="1" x14ac:dyDescent="0.3">
      <c r="A17" s="609" t="s">
        <v>36</v>
      </c>
      <c r="B17" s="614" t="s">
        <v>37</v>
      </c>
      <c r="C17" s="778" t="s">
        <v>252</v>
      </c>
      <c r="D17" s="851">
        <v>60707.86</v>
      </c>
      <c r="E17" s="851">
        <v>0</v>
      </c>
      <c r="F17" s="851">
        <v>60707.86</v>
      </c>
      <c r="G17" s="853">
        <v>0</v>
      </c>
      <c r="H17" s="853">
        <v>81258.280000000013</v>
      </c>
      <c r="I17" s="1055">
        <f t="shared" si="1"/>
        <v>202674</v>
      </c>
      <c r="J17" s="852">
        <f t="shared" si="2"/>
        <v>81258.280000000013</v>
      </c>
      <c r="K17" s="1055">
        <f t="shared" si="3"/>
        <v>141966.14000000001</v>
      </c>
    </row>
    <row r="18" spans="1:11" ht="15" customHeight="1" x14ac:dyDescent="0.3">
      <c r="A18" s="609" t="s">
        <v>38</v>
      </c>
      <c r="B18" s="614" t="s">
        <v>39</v>
      </c>
      <c r="C18" s="778" t="s">
        <v>256</v>
      </c>
      <c r="D18" s="851">
        <v>79323.03</v>
      </c>
      <c r="E18" s="851">
        <v>0</v>
      </c>
      <c r="F18" s="851">
        <v>79323.03</v>
      </c>
      <c r="G18" s="853">
        <v>0</v>
      </c>
      <c r="H18" s="853">
        <v>106174.94</v>
      </c>
      <c r="I18" s="1055">
        <f t="shared" si="1"/>
        <v>264821</v>
      </c>
      <c r="J18" s="852">
        <f t="shared" si="2"/>
        <v>106174.94</v>
      </c>
      <c r="K18" s="1055">
        <f t="shared" si="3"/>
        <v>185497.97</v>
      </c>
    </row>
    <row r="19" spans="1:11" ht="15" customHeight="1" x14ac:dyDescent="0.3">
      <c r="A19" s="609" t="s">
        <v>40</v>
      </c>
      <c r="B19" s="614" t="s">
        <v>41</v>
      </c>
      <c r="C19" s="778" t="s">
        <v>254</v>
      </c>
      <c r="D19" s="851">
        <v>61192.79</v>
      </c>
      <c r="E19" s="851">
        <v>0</v>
      </c>
      <c r="F19" s="851">
        <v>61192.79</v>
      </c>
      <c r="G19" s="853">
        <v>0</v>
      </c>
      <c r="H19" s="853">
        <v>81907.420000000013</v>
      </c>
      <c r="I19" s="1055">
        <f t="shared" si="1"/>
        <v>204293</v>
      </c>
      <c r="J19" s="852">
        <f t="shared" si="2"/>
        <v>81907.420000000013</v>
      </c>
      <c r="K19" s="1055">
        <f t="shared" si="3"/>
        <v>143100.21000000002</v>
      </c>
    </row>
    <row r="20" spans="1:11" ht="15" customHeight="1" x14ac:dyDescent="0.3">
      <c r="A20" s="609" t="s">
        <v>42</v>
      </c>
      <c r="B20" s="614" t="s">
        <v>43</v>
      </c>
      <c r="C20" s="778" t="s">
        <v>253</v>
      </c>
      <c r="D20" s="851">
        <v>170918.87</v>
      </c>
      <c r="E20" s="851">
        <v>0</v>
      </c>
      <c r="F20" s="851">
        <v>170918.87</v>
      </c>
      <c r="G20" s="853">
        <v>12007.63</v>
      </c>
      <c r="H20" s="853">
        <v>228777.26</v>
      </c>
      <c r="I20" s="1055">
        <f t="shared" si="1"/>
        <v>582622.63</v>
      </c>
      <c r="J20" s="852">
        <f t="shared" si="2"/>
        <v>240784.89</v>
      </c>
      <c r="K20" s="1055">
        <f t="shared" si="3"/>
        <v>411703.76</v>
      </c>
    </row>
    <row r="21" spans="1:11" ht="15" customHeight="1" x14ac:dyDescent="0.3">
      <c r="A21" s="609" t="s">
        <v>44</v>
      </c>
      <c r="B21" s="614" t="s">
        <v>45</v>
      </c>
      <c r="C21" s="778" t="s">
        <v>254</v>
      </c>
      <c r="D21" s="851">
        <v>87223.55</v>
      </c>
      <c r="E21" s="851">
        <v>0</v>
      </c>
      <c r="F21" s="851">
        <v>87223.55</v>
      </c>
      <c r="G21" s="853">
        <v>57.41</v>
      </c>
      <c r="H21" s="853">
        <v>116749.9</v>
      </c>
      <c r="I21" s="1055">
        <f t="shared" si="1"/>
        <v>291254.41000000003</v>
      </c>
      <c r="J21" s="852">
        <f t="shared" si="2"/>
        <v>116807.31</v>
      </c>
      <c r="K21" s="1055">
        <f t="shared" si="3"/>
        <v>204030.86</v>
      </c>
    </row>
    <row r="22" spans="1:11" ht="15" customHeight="1" x14ac:dyDescent="0.3">
      <c r="A22" s="609" t="s">
        <v>46</v>
      </c>
      <c r="B22" s="614" t="s">
        <v>47</v>
      </c>
      <c r="C22" s="778" t="s">
        <v>256</v>
      </c>
      <c r="D22" s="851">
        <v>81385.91</v>
      </c>
      <c r="E22" s="851">
        <v>0</v>
      </c>
      <c r="F22" s="851">
        <v>81385.91</v>
      </c>
      <c r="G22" s="853">
        <v>0</v>
      </c>
      <c r="H22" s="853">
        <v>108936.18</v>
      </c>
      <c r="I22" s="1055">
        <f t="shared" si="1"/>
        <v>271708</v>
      </c>
      <c r="J22" s="852">
        <f t="shared" si="2"/>
        <v>108936.18</v>
      </c>
      <c r="K22" s="1055">
        <f t="shared" si="3"/>
        <v>190322.09</v>
      </c>
    </row>
    <row r="23" spans="1:11" ht="15" customHeight="1" x14ac:dyDescent="0.3">
      <c r="A23" s="609" t="s">
        <v>48</v>
      </c>
      <c r="B23" s="614" t="s">
        <v>257</v>
      </c>
      <c r="C23" s="778" t="s">
        <v>254</v>
      </c>
      <c r="D23" s="851">
        <v>64725.21</v>
      </c>
      <c r="E23" s="851">
        <v>0</v>
      </c>
      <c r="F23" s="851">
        <v>64725.21</v>
      </c>
      <c r="G23" s="853">
        <v>0</v>
      </c>
      <c r="H23" s="853">
        <v>86635.579999999987</v>
      </c>
      <c r="I23" s="1055">
        <f t="shared" si="1"/>
        <v>216086</v>
      </c>
      <c r="J23" s="852">
        <f t="shared" si="2"/>
        <v>86635.579999999987</v>
      </c>
      <c r="K23" s="1055">
        <f t="shared" si="3"/>
        <v>151360.78999999998</v>
      </c>
    </row>
    <row r="24" spans="1:11" ht="15" customHeight="1" x14ac:dyDescent="0.3">
      <c r="A24" s="609" t="s">
        <v>50</v>
      </c>
      <c r="B24" s="614" t="s">
        <v>51</v>
      </c>
      <c r="C24" s="778" t="s">
        <v>253</v>
      </c>
      <c r="D24" s="851">
        <v>48942.44</v>
      </c>
      <c r="E24" s="851">
        <v>0</v>
      </c>
      <c r="F24" s="851">
        <v>48942.44</v>
      </c>
      <c r="G24" s="853">
        <v>0</v>
      </c>
      <c r="H24" s="853">
        <v>65510.119999999995</v>
      </c>
      <c r="I24" s="1055">
        <f t="shared" si="1"/>
        <v>163395</v>
      </c>
      <c r="J24" s="852">
        <f t="shared" si="2"/>
        <v>65510.119999999995</v>
      </c>
      <c r="K24" s="1055">
        <f t="shared" si="3"/>
        <v>114452.56</v>
      </c>
    </row>
    <row r="25" spans="1:11" ht="15" customHeight="1" x14ac:dyDescent="0.3">
      <c r="A25" s="609" t="s">
        <v>56</v>
      </c>
      <c r="B25" s="614" t="s">
        <v>283</v>
      </c>
      <c r="C25" s="778" t="s">
        <v>254</v>
      </c>
      <c r="D25" s="851">
        <v>644958.29</v>
      </c>
      <c r="E25" s="851">
        <v>0</v>
      </c>
      <c r="F25" s="851">
        <v>644958.29</v>
      </c>
      <c r="G25" s="853">
        <v>102494.09999999999</v>
      </c>
      <c r="H25" s="853">
        <v>863285.41999999993</v>
      </c>
      <c r="I25" s="1055">
        <f t="shared" si="1"/>
        <v>2255696.1</v>
      </c>
      <c r="J25" s="852">
        <f t="shared" si="2"/>
        <v>965779.5199999999</v>
      </c>
      <c r="K25" s="1055">
        <f t="shared" si="3"/>
        <v>1610737.81</v>
      </c>
    </row>
    <row r="26" spans="1:11" ht="15" customHeight="1" x14ac:dyDescent="0.3">
      <c r="A26" s="609" t="s">
        <v>58</v>
      </c>
      <c r="B26" s="614" t="s">
        <v>59</v>
      </c>
      <c r="C26" s="778" t="s">
        <v>255</v>
      </c>
      <c r="D26" s="851">
        <v>53438.75</v>
      </c>
      <c r="E26" s="851">
        <v>0</v>
      </c>
      <c r="F26" s="851">
        <v>53438.75</v>
      </c>
      <c r="G26" s="853">
        <v>0</v>
      </c>
      <c r="H26" s="853">
        <v>71528.5</v>
      </c>
      <c r="I26" s="1055">
        <f t="shared" si="1"/>
        <v>178406</v>
      </c>
      <c r="J26" s="852">
        <f t="shared" si="2"/>
        <v>71528.5</v>
      </c>
      <c r="K26" s="1055">
        <f t="shared" si="3"/>
        <v>124967.25</v>
      </c>
    </row>
    <row r="27" spans="1:11" ht="15" customHeight="1" x14ac:dyDescent="0.3">
      <c r="A27" s="609" t="s">
        <v>60</v>
      </c>
      <c r="B27" s="614" t="s">
        <v>61</v>
      </c>
      <c r="C27" s="778" t="s">
        <v>253</v>
      </c>
      <c r="D27" s="851">
        <v>16826.36</v>
      </c>
      <c r="E27" s="851">
        <v>0</v>
      </c>
      <c r="F27" s="851">
        <v>16826.36</v>
      </c>
      <c r="G27" s="853">
        <v>0</v>
      </c>
      <c r="H27" s="853">
        <v>22522.28</v>
      </c>
      <c r="I27" s="1055">
        <f t="shared" si="1"/>
        <v>56175</v>
      </c>
      <c r="J27" s="852">
        <f t="shared" si="2"/>
        <v>22522.28</v>
      </c>
      <c r="K27" s="1055">
        <f t="shared" si="3"/>
        <v>39348.639999999999</v>
      </c>
    </row>
    <row r="28" spans="1:11" ht="15" customHeight="1" x14ac:dyDescent="0.3">
      <c r="A28" s="609" t="s">
        <v>62</v>
      </c>
      <c r="B28" s="614" t="s">
        <v>63</v>
      </c>
      <c r="C28" s="778" t="s">
        <v>255</v>
      </c>
      <c r="D28" s="851">
        <v>80312.69</v>
      </c>
      <c r="E28" s="851">
        <v>0</v>
      </c>
      <c r="F28" s="851">
        <v>80312.69</v>
      </c>
      <c r="G28" s="853">
        <v>0</v>
      </c>
      <c r="H28" s="853">
        <v>107499.62</v>
      </c>
      <c r="I28" s="1055">
        <f t="shared" si="1"/>
        <v>268125</v>
      </c>
      <c r="J28" s="852">
        <f t="shared" si="2"/>
        <v>107499.62</v>
      </c>
      <c r="K28" s="1055">
        <f t="shared" si="3"/>
        <v>187812.31</v>
      </c>
    </row>
    <row r="29" spans="1:11" ht="15" customHeight="1" x14ac:dyDescent="0.3">
      <c r="A29" s="609" t="s">
        <v>64</v>
      </c>
      <c r="B29" s="614" t="s">
        <v>65</v>
      </c>
      <c r="C29" s="778" t="s">
        <v>254</v>
      </c>
      <c r="D29" s="851">
        <v>49408.81</v>
      </c>
      <c r="E29" s="851">
        <v>0</v>
      </c>
      <c r="F29" s="851">
        <v>49408.81</v>
      </c>
      <c r="G29" s="853">
        <v>0</v>
      </c>
      <c r="H29" s="853">
        <v>66134.380000000019</v>
      </c>
      <c r="I29" s="1055">
        <f t="shared" si="1"/>
        <v>164952</v>
      </c>
      <c r="J29" s="852">
        <f t="shared" si="2"/>
        <v>66134.380000000019</v>
      </c>
      <c r="K29" s="1055">
        <f t="shared" si="3"/>
        <v>115543.19000000002</v>
      </c>
    </row>
    <row r="30" spans="1:11" ht="15" customHeight="1" x14ac:dyDescent="0.3">
      <c r="A30" s="609" t="s">
        <v>68</v>
      </c>
      <c r="B30" s="614" t="s">
        <v>69</v>
      </c>
      <c r="C30" s="778" t="s">
        <v>256</v>
      </c>
      <c r="D30" s="851">
        <v>82014.039999999994</v>
      </c>
      <c r="E30" s="851">
        <v>0</v>
      </c>
      <c r="F30" s="851">
        <v>82014.039999999994</v>
      </c>
      <c r="G30" s="853">
        <v>0</v>
      </c>
      <c r="H30" s="853">
        <v>109776.92000000001</v>
      </c>
      <c r="I30" s="1055">
        <f t="shared" si="1"/>
        <v>273805</v>
      </c>
      <c r="J30" s="852">
        <f t="shared" si="2"/>
        <v>109776.92000000001</v>
      </c>
      <c r="K30" s="1055">
        <f t="shared" si="3"/>
        <v>191790.96000000002</v>
      </c>
    </row>
    <row r="31" spans="1:11" ht="15" customHeight="1" x14ac:dyDescent="0.3">
      <c r="A31" s="609" t="s">
        <v>70</v>
      </c>
      <c r="B31" s="614" t="s">
        <v>71</v>
      </c>
      <c r="C31" s="778" t="s">
        <v>252</v>
      </c>
      <c r="D31" s="851">
        <v>40672.589999999997</v>
      </c>
      <c r="E31" s="851">
        <v>0</v>
      </c>
      <c r="F31" s="851">
        <v>40672.589999999997</v>
      </c>
      <c r="G31" s="853">
        <v>0</v>
      </c>
      <c r="H31" s="853">
        <v>54440.819999999992</v>
      </c>
      <c r="I31" s="1055">
        <f t="shared" si="1"/>
        <v>135786</v>
      </c>
      <c r="J31" s="852">
        <f t="shared" si="2"/>
        <v>54440.819999999992</v>
      </c>
      <c r="K31" s="1055">
        <f t="shared" si="3"/>
        <v>95113.409999999989</v>
      </c>
    </row>
    <row r="32" spans="1:11" ht="15" customHeight="1" x14ac:dyDescent="0.3">
      <c r="A32" s="609" t="s">
        <v>72</v>
      </c>
      <c r="B32" s="614" t="s">
        <v>73</v>
      </c>
      <c r="C32" s="778" t="s">
        <v>254</v>
      </c>
      <c r="D32" s="851">
        <v>31336.11</v>
      </c>
      <c r="E32" s="851">
        <v>0</v>
      </c>
      <c r="F32" s="851">
        <v>31336.11</v>
      </c>
      <c r="G32" s="853">
        <v>0</v>
      </c>
      <c r="H32" s="853">
        <v>41943.78</v>
      </c>
      <c r="I32" s="1055">
        <f t="shared" si="1"/>
        <v>104616</v>
      </c>
      <c r="J32" s="852">
        <f t="shared" si="2"/>
        <v>41943.78</v>
      </c>
      <c r="K32" s="1055">
        <f t="shared" si="3"/>
        <v>73279.89</v>
      </c>
    </row>
    <row r="33" spans="1:11" ht="15" customHeight="1" x14ac:dyDescent="0.3">
      <c r="A33" s="609" t="s">
        <v>74</v>
      </c>
      <c r="B33" s="614" t="s">
        <v>290</v>
      </c>
      <c r="C33" s="778" t="s">
        <v>255</v>
      </c>
      <c r="D33" s="851">
        <v>1751591.94</v>
      </c>
      <c r="E33" s="851">
        <v>0</v>
      </c>
      <c r="F33" s="851">
        <v>1751591.94</v>
      </c>
      <c r="G33" s="853">
        <v>0</v>
      </c>
      <c r="H33" s="853">
        <v>2344529.62</v>
      </c>
      <c r="I33" s="1055">
        <f t="shared" si="1"/>
        <v>5847713.5</v>
      </c>
      <c r="J33" s="852">
        <f t="shared" si="2"/>
        <v>2344529.62</v>
      </c>
      <c r="K33" s="1055">
        <f t="shared" si="3"/>
        <v>4096121.56</v>
      </c>
    </row>
    <row r="34" spans="1:11" ht="15" customHeight="1" x14ac:dyDescent="0.3">
      <c r="A34" s="609" t="s">
        <v>76</v>
      </c>
      <c r="B34" s="614" t="s">
        <v>77</v>
      </c>
      <c r="C34" s="778" t="s">
        <v>255</v>
      </c>
      <c r="D34" s="851">
        <v>59485.75</v>
      </c>
      <c r="E34" s="851">
        <v>0</v>
      </c>
      <c r="F34" s="851">
        <v>59485.75</v>
      </c>
      <c r="G34" s="853">
        <v>40720.9</v>
      </c>
      <c r="H34" s="853">
        <v>79622.5</v>
      </c>
      <c r="I34" s="1055">
        <f t="shared" si="1"/>
        <v>239314.9</v>
      </c>
      <c r="J34" s="852">
        <f t="shared" si="2"/>
        <v>120343.4</v>
      </c>
      <c r="K34" s="1055">
        <f t="shared" si="3"/>
        <v>179829.15</v>
      </c>
    </row>
    <row r="35" spans="1:11" ht="15" customHeight="1" x14ac:dyDescent="0.3">
      <c r="A35" s="609" t="s">
        <v>78</v>
      </c>
      <c r="B35" s="614" t="s">
        <v>79</v>
      </c>
      <c r="C35" s="778" t="s">
        <v>256</v>
      </c>
      <c r="D35" s="851">
        <v>34415.019999999997</v>
      </c>
      <c r="E35" s="851">
        <v>0</v>
      </c>
      <c r="F35" s="851">
        <v>34415.019999999997</v>
      </c>
      <c r="G35" s="853">
        <v>0</v>
      </c>
      <c r="H35" s="853">
        <v>46064.959999999992</v>
      </c>
      <c r="I35" s="1055">
        <f t="shared" si="1"/>
        <v>114894.99999999999</v>
      </c>
      <c r="J35" s="852">
        <f t="shared" si="2"/>
        <v>46064.959999999992</v>
      </c>
      <c r="K35" s="1055">
        <f t="shared" si="3"/>
        <v>80479.979999999981</v>
      </c>
    </row>
    <row r="36" spans="1:11" ht="15" customHeight="1" x14ac:dyDescent="0.3">
      <c r="A36" s="609" t="s">
        <v>80</v>
      </c>
      <c r="B36" s="614" t="s">
        <v>81</v>
      </c>
      <c r="C36" s="778" t="s">
        <v>254</v>
      </c>
      <c r="D36" s="851">
        <v>100482.45</v>
      </c>
      <c r="E36" s="851">
        <v>0</v>
      </c>
      <c r="F36" s="851">
        <v>100482.45</v>
      </c>
      <c r="G36" s="853">
        <v>0</v>
      </c>
      <c r="H36" s="853">
        <v>134497.09999999998</v>
      </c>
      <c r="I36" s="1055">
        <f t="shared" si="1"/>
        <v>335462</v>
      </c>
      <c r="J36" s="852">
        <f t="shared" si="2"/>
        <v>134497.09999999998</v>
      </c>
      <c r="K36" s="1055">
        <f t="shared" si="3"/>
        <v>234979.55</v>
      </c>
    </row>
    <row r="37" spans="1:11" ht="15" customHeight="1" x14ac:dyDescent="0.3">
      <c r="A37" s="609" t="s">
        <v>84</v>
      </c>
      <c r="B37" s="614" t="s">
        <v>296</v>
      </c>
      <c r="C37" s="778" t="s">
        <v>253</v>
      </c>
      <c r="D37" s="851">
        <v>115964.79</v>
      </c>
      <c r="E37" s="851">
        <v>0</v>
      </c>
      <c r="F37" s="851">
        <v>115964.79</v>
      </c>
      <c r="G37" s="853">
        <v>0</v>
      </c>
      <c r="H37" s="853">
        <v>155220.42000000001</v>
      </c>
      <c r="I37" s="1055">
        <f t="shared" ref="I37:I68" si="4">SUM(D37:H37)</f>
        <v>387150</v>
      </c>
      <c r="J37" s="852">
        <f t="shared" ref="J37:J68" si="5">G37+H37</f>
        <v>155220.42000000001</v>
      </c>
      <c r="K37" s="1055">
        <f t="shared" ref="K37:K68" si="6">F37+J37</f>
        <v>271185.21000000002</v>
      </c>
    </row>
    <row r="38" spans="1:11" ht="15" customHeight="1" x14ac:dyDescent="0.3">
      <c r="A38" s="609" t="s">
        <v>86</v>
      </c>
      <c r="B38" s="614" t="s">
        <v>87</v>
      </c>
      <c r="C38" s="778" t="s">
        <v>255</v>
      </c>
      <c r="D38" s="851">
        <v>137974.28</v>
      </c>
      <c r="E38" s="851">
        <v>0</v>
      </c>
      <c r="F38" s="851">
        <v>137974.28</v>
      </c>
      <c r="G38" s="853">
        <v>0</v>
      </c>
      <c r="H38" s="853">
        <v>184680.44</v>
      </c>
      <c r="I38" s="1055">
        <f t="shared" si="4"/>
        <v>460629</v>
      </c>
      <c r="J38" s="852">
        <f t="shared" si="5"/>
        <v>184680.44</v>
      </c>
      <c r="K38" s="1055">
        <f t="shared" si="6"/>
        <v>322654.71999999997</v>
      </c>
    </row>
    <row r="39" spans="1:11" ht="15" customHeight="1" x14ac:dyDescent="0.3">
      <c r="A39" s="609" t="s">
        <v>92</v>
      </c>
      <c r="B39" s="614" t="s">
        <v>93</v>
      </c>
      <c r="C39" s="778" t="s">
        <v>256</v>
      </c>
      <c r="D39" s="851">
        <v>27546.400000000001</v>
      </c>
      <c r="E39" s="851">
        <v>0</v>
      </c>
      <c r="F39" s="851">
        <v>27546.400000000001</v>
      </c>
      <c r="G39" s="853">
        <v>0</v>
      </c>
      <c r="H39" s="853">
        <v>36871.199999999997</v>
      </c>
      <c r="I39" s="1055">
        <f t="shared" si="4"/>
        <v>91964</v>
      </c>
      <c r="J39" s="852">
        <f t="shared" si="5"/>
        <v>36871.199999999997</v>
      </c>
      <c r="K39" s="1055">
        <f t="shared" si="6"/>
        <v>64417.599999999999</v>
      </c>
    </row>
    <row r="40" spans="1:11" ht="15" customHeight="1" x14ac:dyDescent="0.3">
      <c r="A40" s="609" t="s">
        <v>94</v>
      </c>
      <c r="B40" s="614" t="s">
        <v>95</v>
      </c>
      <c r="C40" s="778" t="s">
        <v>252</v>
      </c>
      <c r="D40" s="851">
        <v>126837.88</v>
      </c>
      <c r="E40" s="851">
        <v>0</v>
      </c>
      <c r="F40" s="851">
        <v>126837.88</v>
      </c>
      <c r="G40" s="853">
        <v>562.72</v>
      </c>
      <c r="H40" s="853">
        <v>169774.24</v>
      </c>
      <c r="I40" s="1055">
        <f t="shared" si="4"/>
        <v>424012.72</v>
      </c>
      <c r="J40" s="852">
        <f t="shared" si="5"/>
        <v>170336.96</v>
      </c>
      <c r="K40" s="1055">
        <f t="shared" si="6"/>
        <v>297174.83999999997</v>
      </c>
    </row>
    <row r="41" spans="1:11" ht="15" customHeight="1" x14ac:dyDescent="0.3">
      <c r="A41" s="609" t="s">
        <v>96</v>
      </c>
      <c r="B41" s="614" t="s">
        <v>97</v>
      </c>
      <c r="C41" s="778" t="s">
        <v>254</v>
      </c>
      <c r="D41" s="851">
        <v>103121.04</v>
      </c>
      <c r="E41" s="851">
        <v>0</v>
      </c>
      <c r="F41" s="851">
        <v>103121.04</v>
      </c>
      <c r="G41" s="853">
        <v>0</v>
      </c>
      <c r="H41" s="853">
        <v>138028.92000000001</v>
      </c>
      <c r="I41" s="1055">
        <f t="shared" si="4"/>
        <v>344271</v>
      </c>
      <c r="J41" s="852">
        <f t="shared" si="5"/>
        <v>138028.92000000001</v>
      </c>
      <c r="K41" s="1055">
        <f t="shared" si="6"/>
        <v>241149.96000000002</v>
      </c>
    </row>
    <row r="42" spans="1:11" ht="15" customHeight="1" x14ac:dyDescent="0.3">
      <c r="A42" s="609" t="s">
        <v>98</v>
      </c>
      <c r="B42" s="614" t="s">
        <v>99</v>
      </c>
      <c r="C42" s="778" t="s">
        <v>256</v>
      </c>
      <c r="D42" s="851">
        <v>80390.559999999998</v>
      </c>
      <c r="E42" s="851">
        <v>0</v>
      </c>
      <c r="F42" s="851">
        <v>80390.559999999998</v>
      </c>
      <c r="G42" s="853">
        <v>0</v>
      </c>
      <c r="H42" s="853">
        <v>107603.88</v>
      </c>
      <c r="I42" s="1055">
        <f t="shared" si="4"/>
        <v>268385</v>
      </c>
      <c r="J42" s="852">
        <f t="shared" si="5"/>
        <v>107603.88</v>
      </c>
      <c r="K42" s="1055">
        <f t="shared" si="6"/>
        <v>187994.44</v>
      </c>
    </row>
    <row r="43" spans="1:11" ht="15" customHeight="1" x14ac:dyDescent="0.3">
      <c r="A43" s="609" t="s">
        <v>100</v>
      </c>
      <c r="B43" s="614" t="s">
        <v>101</v>
      </c>
      <c r="C43" s="778" t="s">
        <v>255</v>
      </c>
      <c r="D43" s="851">
        <v>36371.58</v>
      </c>
      <c r="E43" s="851">
        <v>0</v>
      </c>
      <c r="F43" s="851">
        <v>36371.58</v>
      </c>
      <c r="G43" s="853">
        <v>0</v>
      </c>
      <c r="H43" s="853">
        <v>48683.839999999997</v>
      </c>
      <c r="I43" s="1055">
        <f t="shared" si="4"/>
        <v>121427</v>
      </c>
      <c r="J43" s="852">
        <f t="shared" si="5"/>
        <v>48683.839999999997</v>
      </c>
      <c r="K43" s="1055">
        <f t="shared" si="6"/>
        <v>85055.42</v>
      </c>
    </row>
    <row r="44" spans="1:11" ht="15" customHeight="1" x14ac:dyDescent="0.3">
      <c r="A44" s="609" t="s">
        <v>102</v>
      </c>
      <c r="B44" s="614" t="s">
        <v>103</v>
      </c>
      <c r="C44" s="778" t="s">
        <v>252</v>
      </c>
      <c r="D44" s="851">
        <v>53394.12</v>
      </c>
      <c r="E44" s="851">
        <v>0</v>
      </c>
      <c r="F44" s="851">
        <v>53394.12</v>
      </c>
      <c r="G44" s="853">
        <v>0</v>
      </c>
      <c r="H44" s="853">
        <v>71468.759999999995</v>
      </c>
      <c r="I44" s="1055">
        <f t="shared" si="4"/>
        <v>178257</v>
      </c>
      <c r="J44" s="852">
        <f t="shared" si="5"/>
        <v>71468.759999999995</v>
      </c>
      <c r="K44" s="1055">
        <f t="shared" si="6"/>
        <v>124862.88</v>
      </c>
    </row>
    <row r="45" spans="1:11" ht="15" customHeight="1" x14ac:dyDescent="0.3">
      <c r="A45" s="609" t="s">
        <v>104</v>
      </c>
      <c r="B45" s="614" t="s">
        <v>297</v>
      </c>
      <c r="C45" s="778" t="s">
        <v>253</v>
      </c>
      <c r="D45" s="851">
        <v>114796.89</v>
      </c>
      <c r="E45" s="851">
        <v>0</v>
      </c>
      <c r="F45" s="851">
        <v>114796.89</v>
      </c>
      <c r="G45" s="853">
        <v>0</v>
      </c>
      <c r="H45" s="853">
        <v>153657.22</v>
      </c>
      <c r="I45" s="1055">
        <f t="shared" si="4"/>
        <v>383251</v>
      </c>
      <c r="J45" s="852">
        <f t="shared" si="5"/>
        <v>153657.22</v>
      </c>
      <c r="K45" s="1055">
        <f t="shared" si="6"/>
        <v>268454.11</v>
      </c>
    </row>
    <row r="46" spans="1:11" ht="15" customHeight="1" x14ac:dyDescent="0.3">
      <c r="A46" s="609" t="s">
        <v>108</v>
      </c>
      <c r="B46" s="614" t="s">
        <v>109</v>
      </c>
      <c r="C46" s="778" t="s">
        <v>254</v>
      </c>
      <c r="D46" s="851">
        <v>206447.25</v>
      </c>
      <c r="E46" s="851">
        <v>0</v>
      </c>
      <c r="F46" s="851">
        <v>206447.25</v>
      </c>
      <c r="G46" s="853">
        <v>0</v>
      </c>
      <c r="H46" s="853">
        <v>276332.5</v>
      </c>
      <c r="I46" s="1055">
        <f t="shared" si="4"/>
        <v>689227</v>
      </c>
      <c r="J46" s="852">
        <f t="shared" si="5"/>
        <v>276332.5</v>
      </c>
      <c r="K46" s="1055">
        <f t="shared" si="6"/>
        <v>482779.75</v>
      </c>
    </row>
    <row r="47" spans="1:11" ht="15" customHeight="1" x14ac:dyDescent="0.3">
      <c r="A47" s="609" t="s">
        <v>110</v>
      </c>
      <c r="B47" s="614" t="s">
        <v>111</v>
      </c>
      <c r="C47" s="778" t="s">
        <v>254</v>
      </c>
      <c r="D47" s="851">
        <v>504987.31</v>
      </c>
      <c r="E47" s="851">
        <v>0</v>
      </c>
      <c r="F47" s="851">
        <v>504987.31</v>
      </c>
      <c r="G47" s="853">
        <v>59575.47</v>
      </c>
      <c r="H47" s="853">
        <v>675932.38000000012</v>
      </c>
      <c r="I47" s="1055">
        <f t="shared" si="4"/>
        <v>1745482.4700000002</v>
      </c>
      <c r="J47" s="852">
        <f t="shared" si="5"/>
        <v>735507.85000000009</v>
      </c>
      <c r="K47" s="1055">
        <f t="shared" si="6"/>
        <v>1240495.1600000001</v>
      </c>
    </row>
    <row r="48" spans="1:11" ht="15" customHeight="1" x14ac:dyDescent="0.3">
      <c r="A48" s="609" t="s">
        <v>112</v>
      </c>
      <c r="B48" s="614" t="s">
        <v>288</v>
      </c>
      <c r="C48" s="778" t="s">
        <v>253</v>
      </c>
      <c r="D48" s="851">
        <v>25066.54</v>
      </c>
      <c r="E48" s="851">
        <v>0</v>
      </c>
      <c r="F48" s="851">
        <v>25066.54</v>
      </c>
      <c r="G48" s="853">
        <v>53889.42</v>
      </c>
      <c r="H48" s="853">
        <v>33551.919999999998</v>
      </c>
      <c r="I48" s="1055">
        <f t="shared" si="4"/>
        <v>137574.41999999998</v>
      </c>
      <c r="J48" s="852">
        <f t="shared" si="5"/>
        <v>87441.34</v>
      </c>
      <c r="K48" s="1055">
        <f t="shared" si="6"/>
        <v>112507.88</v>
      </c>
    </row>
    <row r="49" spans="1:11" ht="15" customHeight="1" x14ac:dyDescent="0.3">
      <c r="A49" s="609" t="s">
        <v>114</v>
      </c>
      <c r="B49" s="614" t="s">
        <v>115</v>
      </c>
      <c r="C49" s="778" t="s">
        <v>253</v>
      </c>
      <c r="D49" s="851">
        <v>22598.68</v>
      </c>
      <c r="E49" s="851">
        <v>0</v>
      </c>
      <c r="F49" s="851">
        <v>22598.68</v>
      </c>
      <c r="G49" s="853">
        <v>0</v>
      </c>
      <c r="H49" s="853">
        <v>30248.639999999999</v>
      </c>
      <c r="I49" s="1055">
        <f t="shared" si="4"/>
        <v>75446</v>
      </c>
      <c r="J49" s="852">
        <f t="shared" si="5"/>
        <v>30248.639999999999</v>
      </c>
      <c r="K49" s="1055">
        <f t="shared" si="6"/>
        <v>52847.32</v>
      </c>
    </row>
    <row r="50" spans="1:11" ht="15" customHeight="1" x14ac:dyDescent="0.3">
      <c r="A50" s="609" t="s">
        <v>118</v>
      </c>
      <c r="B50" s="614" t="s">
        <v>119</v>
      </c>
      <c r="C50" s="778" t="s">
        <v>252</v>
      </c>
      <c r="D50" s="851">
        <v>112073.53</v>
      </c>
      <c r="E50" s="851">
        <v>0</v>
      </c>
      <c r="F50" s="851">
        <v>112073.53</v>
      </c>
      <c r="G50" s="853">
        <v>0</v>
      </c>
      <c r="H50" s="853">
        <v>150011.94</v>
      </c>
      <c r="I50" s="1055">
        <f t="shared" si="4"/>
        <v>374159</v>
      </c>
      <c r="J50" s="852">
        <f t="shared" si="5"/>
        <v>150011.94</v>
      </c>
      <c r="K50" s="1055">
        <f t="shared" si="6"/>
        <v>262085.47</v>
      </c>
    </row>
    <row r="51" spans="1:11" ht="15" customHeight="1" x14ac:dyDescent="0.3">
      <c r="A51" s="609" t="s">
        <v>120</v>
      </c>
      <c r="B51" s="614" t="s">
        <v>121</v>
      </c>
      <c r="C51" s="778" t="s">
        <v>252</v>
      </c>
      <c r="D51" s="851">
        <v>226421.72</v>
      </c>
      <c r="E51" s="851">
        <v>0</v>
      </c>
      <c r="F51" s="851">
        <v>226421.72</v>
      </c>
      <c r="G51" s="853">
        <v>29180.87</v>
      </c>
      <c r="H51" s="853">
        <v>303068.56000000006</v>
      </c>
      <c r="I51" s="1055">
        <f t="shared" si="4"/>
        <v>785092.87000000011</v>
      </c>
      <c r="J51" s="852">
        <f t="shared" si="5"/>
        <v>332249.43000000005</v>
      </c>
      <c r="K51" s="1055">
        <f t="shared" si="6"/>
        <v>558671.15</v>
      </c>
    </row>
    <row r="52" spans="1:11" ht="15" customHeight="1" x14ac:dyDescent="0.3">
      <c r="A52" s="609" t="s">
        <v>122</v>
      </c>
      <c r="B52" s="614" t="s">
        <v>259</v>
      </c>
      <c r="C52" s="778" t="s">
        <v>254</v>
      </c>
      <c r="D52" s="851">
        <v>47766.76</v>
      </c>
      <c r="E52" s="851">
        <v>0</v>
      </c>
      <c r="F52" s="851">
        <v>47766.76</v>
      </c>
      <c r="G52" s="853">
        <v>0</v>
      </c>
      <c r="H52" s="853">
        <v>63936.479999999996</v>
      </c>
      <c r="I52" s="1055">
        <f t="shared" si="4"/>
        <v>159470</v>
      </c>
      <c r="J52" s="852">
        <f t="shared" si="5"/>
        <v>63936.479999999996</v>
      </c>
      <c r="K52" s="1055">
        <f t="shared" si="6"/>
        <v>111703.23999999999</v>
      </c>
    </row>
    <row r="53" spans="1:11" ht="15" customHeight="1" x14ac:dyDescent="0.3">
      <c r="A53" s="609" t="s">
        <v>124</v>
      </c>
      <c r="B53" s="614" t="s">
        <v>125</v>
      </c>
      <c r="C53" s="778" t="s">
        <v>255</v>
      </c>
      <c r="D53" s="851">
        <v>29980.1</v>
      </c>
      <c r="E53" s="851">
        <v>0</v>
      </c>
      <c r="F53" s="851">
        <v>29980.1</v>
      </c>
      <c r="G53" s="853">
        <v>0</v>
      </c>
      <c r="H53" s="853">
        <v>40128.800000000003</v>
      </c>
      <c r="I53" s="1055">
        <f t="shared" si="4"/>
        <v>100089</v>
      </c>
      <c r="J53" s="852">
        <f t="shared" si="5"/>
        <v>40128.800000000003</v>
      </c>
      <c r="K53" s="1055">
        <f t="shared" si="6"/>
        <v>70108.899999999994</v>
      </c>
    </row>
    <row r="54" spans="1:11" ht="15" customHeight="1" x14ac:dyDescent="0.3">
      <c r="A54" s="609" t="s">
        <v>126</v>
      </c>
      <c r="B54" s="614" t="s">
        <v>127</v>
      </c>
      <c r="C54" s="778" t="s">
        <v>254</v>
      </c>
      <c r="D54" s="851">
        <v>34065.75</v>
      </c>
      <c r="E54" s="851">
        <v>0</v>
      </c>
      <c r="F54" s="851">
        <v>34065.75</v>
      </c>
      <c r="G54" s="853">
        <v>0</v>
      </c>
      <c r="H54" s="853">
        <v>45597.5</v>
      </c>
      <c r="I54" s="1055">
        <f t="shared" si="4"/>
        <v>113729</v>
      </c>
      <c r="J54" s="852">
        <f t="shared" si="5"/>
        <v>45597.5</v>
      </c>
      <c r="K54" s="1055">
        <f t="shared" si="6"/>
        <v>79663.25</v>
      </c>
    </row>
    <row r="55" spans="1:11" ht="15" customHeight="1" x14ac:dyDescent="0.3">
      <c r="A55" s="609" t="s">
        <v>128</v>
      </c>
      <c r="B55" s="614" t="s">
        <v>129</v>
      </c>
      <c r="C55" s="778" t="s">
        <v>254</v>
      </c>
      <c r="D55" s="851">
        <v>44647.4</v>
      </c>
      <c r="E55" s="851">
        <v>0</v>
      </c>
      <c r="F55" s="851">
        <v>44647.4</v>
      </c>
      <c r="G55" s="853">
        <v>10.92</v>
      </c>
      <c r="H55" s="853">
        <v>59761.2</v>
      </c>
      <c r="I55" s="1055">
        <f t="shared" si="4"/>
        <v>149066.91999999998</v>
      </c>
      <c r="J55" s="852">
        <f t="shared" si="5"/>
        <v>59772.119999999995</v>
      </c>
      <c r="K55" s="1055">
        <f t="shared" si="6"/>
        <v>104419.51999999999</v>
      </c>
    </row>
    <row r="56" spans="1:11" ht="15" customHeight="1" x14ac:dyDescent="0.3">
      <c r="A56" s="609" t="s">
        <v>130</v>
      </c>
      <c r="B56" s="614" t="s">
        <v>131</v>
      </c>
      <c r="C56" s="778" t="s">
        <v>256</v>
      </c>
      <c r="D56" s="851">
        <v>66607.78</v>
      </c>
      <c r="E56" s="851">
        <v>0</v>
      </c>
      <c r="F56" s="851">
        <v>66607.78</v>
      </c>
      <c r="G56" s="853">
        <v>0</v>
      </c>
      <c r="H56" s="853">
        <v>89155.44</v>
      </c>
      <c r="I56" s="1055">
        <f t="shared" si="4"/>
        <v>222371</v>
      </c>
      <c r="J56" s="852">
        <f t="shared" si="5"/>
        <v>89155.44</v>
      </c>
      <c r="K56" s="1055">
        <f t="shared" si="6"/>
        <v>155763.22</v>
      </c>
    </row>
    <row r="57" spans="1:11" ht="15" customHeight="1" x14ac:dyDescent="0.3">
      <c r="A57" s="609" t="s">
        <v>132</v>
      </c>
      <c r="B57" s="614" t="s">
        <v>133</v>
      </c>
      <c r="C57" s="778" t="s">
        <v>255</v>
      </c>
      <c r="D57" s="851">
        <v>779859.64</v>
      </c>
      <c r="E57" s="851">
        <v>0</v>
      </c>
      <c r="F57" s="851">
        <v>779859.64</v>
      </c>
      <c r="G57" s="853">
        <v>0</v>
      </c>
      <c r="H57" s="853">
        <v>1043852.72</v>
      </c>
      <c r="I57" s="1055">
        <f t="shared" si="4"/>
        <v>2603572</v>
      </c>
      <c r="J57" s="852">
        <f t="shared" si="5"/>
        <v>1043852.72</v>
      </c>
      <c r="K57" s="1055">
        <f t="shared" si="6"/>
        <v>1823712.3599999999</v>
      </c>
    </row>
    <row r="58" spans="1:11" ht="15" customHeight="1" x14ac:dyDescent="0.3">
      <c r="A58" s="609" t="s">
        <v>134</v>
      </c>
      <c r="B58" s="614" t="s">
        <v>135</v>
      </c>
      <c r="C58" s="778" t="s">
        <v>255</v>
      </c>
      <c r="D58" s="851">
        <v>90160.49</v>
      </c>
      <c r="E58" s="851">
        <v>0</v>
      </c>
      <c r="F58" s="851">
        <v>90160.49</v>
      </c>
      <c r="G58" s="853">
        <v>1384.35</v>
      </c>
      <c r="H58" s="853">
        <v>120681.01999999999</v>
      </c>
      <c r="I58" s="1055">
        <f t="shared" si="4"/>
        <v>302386.34999999998</v>
      </c>
      <c r="J58" s="852">
        <f t="shared" si="5"/>
        <v>122065.37</v>
      </c>
      <c r="K58" s="1055">
        <f t="shared" si="6"/>
        <v>212225.86</v>
      </c>
    </row>
    <row r="59" spans="1:11" ht="15" customHeight="1" x14ac:dyDescent="0.3">
      <c r="A59" s="609" t="s">
        <v>136</v>
      </c>
      <c r="B59" s="614" t="s">
        <v>137</v>
      </c>
      <c r="C59" s="778" t="s">
        <v>254</v>
      </c>
      <c r="D59" s="851">
        <v>29891.75</v>
      </c>
      <c r="E59" s="851">
        <v>0</v>
      </c>
      <c r="F59" s="851">
        <v>29891.75</v>
      </c>
      <c r="G59" s="853">
        <v>0</v>
      </c>
      <c r="H59" s="853">
        <v>40010.499999999993</v>
      </c>
      <c r="I59" s="1055">
        <f t="shared" si="4"/>
        <v>99794</v>
      </c>
      <c r="J59" s="852">
        <f t="shared" si="5"/>
        <v>40010.499999999993</v>
      </c>
      <c r="K59" s="1055">
        <f t="shared" si="6"/>
        <v>69902.25</v>
      </c>
    </row>
    <row r="60" spans="1:11" ht="15" customHeight="1" x14ac:dyDescent="0.3">
      <c r="A60" s="609" t="s">
        <v>140</v>
      </c>
      <c r="B60" s="614" t="s">
        <v>141</v>
      </c>
      <c r="C60" s="778" t="s">
        <v>255</v>
      </c>
      <c r="D60" s="851">
        <v>20729.580000000002</v>
      </c>
      <c r="E60" s="851">
        <v>0</v>
      </c>
      <c r="F60" s="851">
        <v>20729.580000000002</v>
      </c>
      <c r="G60" s="853">
        <v>0</v>
      </c>
      <c r="H60" s="853">
        <v>27746.840000000004</v>
      </c>
      <c r="I60" s="1055">
        <f t="shared" si="4"/>
        <v>69206</v>
      </c>
      <c r="J60" s="852">
        <f t="shared" si="5"/>
        <v>27746.840000000004</v>
      </c>
      <c r="K60" s="1055">
        <f t="shared" si="6"/>
        <v>48476.420000000006</v>
      </c>
    </row>
    <row r="61" spans="1:11" ht="15" customHeight="1" x14ac:dyDescent="0.3">
      <c r="A61" s="609" t="s">
        <v>146</v>
      </c>
      <c r="B61" s="614" t="s">
        <v>147</v>
      </c>
      <c r="C61" s="778" t="s">
        <v>252</v>
      </c>
      <c r="D61" s="851">
        <v>49155.71</v>
      </c>
      <c r="E61" s="851">
        <v>0</v>
      </c>
      <c r="F61" s="851">
        <v>49155.71</v>
      </c>
      <c r="G61" s="853">
        <v>0</v>
      </c>
      <c r="H61" s="853">
        <v>65795.579999999987</v>
      </c>
      <c r="I61" s="1055">
        <f t="shared" si="4"/>
        <v>164107</v>
      </c>
      <c r="J61" s="852">
        <f t="shared" si="5"/>
        <v>65795.579999999987</v>
      </c>
      <c r="K61" s="1055">
        <f t="shared" si="6"/>
        <v>114951.28999999998</v>
      </c>
    </row>
    <row r="62" spans="1:11" ht="15" customHeight="1" x14ac:dyDescent="0.3">
      <c r="A62" s="609" t="s">
        <v>148</v>
      </c>
      <c r="B62" s="614" t="s">
        <v>149</v>
      </c>
      <c r="C62" s="778" t="s">
        <v>253</v>
      </c>
      <c r="D62" s="851">
        <v>102897.29</v>
      </c>
      <c r="E62" s="851">
        <v>0</v>
      </c>
      <c r="F62" s="851">
        <v>102897.29</v>
      </c>
      <c r="G62" s="853">
        <v>1005</v>
      </c>
      <c r="H62" s="853">
        <v>137729.42000000001</v>
      </c>
      <c r="I62" s="1055">
        <f t="shared" si="4"/>
        <v>344529</v>
      </c>
      <c r="J62" s="852">
        <f t="shared" si="5"/>
        <v>138734.42000000001</v>
      </c>
      <c r="K62" s="1055">
        <f t="shared" si="6"/>
        <v>241631.71000000002</v>
      </c>
    </row>
    <row r="63" spans="1:11" ht="15" customHeight="1" x14ac:dyDescent="0.3">
      <c r="A63" s="609" t="s">
        <v>150</v>
      </c>
      <c r="B63" s="614" t="s">
        <v>151</v>
      </c>
      <c r="C63" s="778" t="s">
        <v>254</v>
      </c>
      <c r="D63" s="851">
        <v>38381.15</v>
      </c>
      <c r="E63" s="851">
        <v>0</v>
      </c>
      <c r="F63" s="851">
        <v>38381.15</v>
      </c>
      <c r="G63" s="853">
        <v>0</v>
      </c>
      <c r="H63" s="853">
        <v>51373.7</v>
      </c>
      <c r="I63" s="1055">
        <f t="shared" si="4"/>
        <v>128136</v>
      </c>
      <c r="J63" s="852">
        <f t="shared" si="5"/>
        <v>51373.7</v>
      </c>
      <c r="K63" s="1055">
        <f t="shared" si="6"/>
        <v>89754.85</v>
      </c>
    </row>
    <row r="64" spans="1:11" ht="15" customHeight="1" x14ac:dyDescent="0.3">
      <c r="A64" s="609" t="s">
        <v>152</v>
      </c>
      <c r="B64" s="614" t="s">
        <v>153</v>
      </c>
      <c r="C64" s="778" t="s">
        <v>256</v>
      </c>
      <c r="D64" s="851">
        <v>166609.47</v>
      </c>
      <c r="E64" s="851">
        <v>0</v>
      </c>
      <c r="F64" s="851">
        <v>166609.47</v>
      </c>
      <c r="G64" s="853">
        <v>730.64</v>
      </c>
      <c r="H64" s="853">
        <v>223009.06</v>
      </c>
      <c r="I64" s="1055">
        <f t="shared" si="4"/>
        <v>556958.64</v>
      </c>
      <c r="J64" s="852">
        <f t="shared" si="5"/>
        <v>223739.7</v>
      </c>
      <c r="K64" s="1055">
        <f t="shared" si="6"/>
        <v>390349.17000000004</v>
      </c>
    </row>
    <row r="65" spans="1:11" ht="15" customHeight="1" x14ac:dyDescent="0.3">
      <c r="A65" s="609" t="s">
        <v>154</v>
      </c>
      <c r="B65" s="614" t="s">
        <v>155</v>
      </c>
      <c r="C65" s="778" t="s">
        <v>253</v>
      </c>
      <c r="D65" s="851"/>
      <c r="E65" s="851"/>
      <c r="F65" s="851"/>
      <c r="G65" s="853"/>
      <c r="H65" s="853"/>
      <c r="I65" s="1055">
        <f t="shared" si="4"/>
        <v>0</v>
      </c>
      <c r="J65" s="852">
        <f t="shared" si="5"/>
        <v>0</v>
      </c>
      <c r="K65" s="1055">
        <f t="shared" si="6"/>
        <v>0</v>
      </c>
    </row>
    <row r="66" spans="1:11" ht="15" customHeight="1" x14ac:dyDescent="0.3">
      <c r="A66" s="609" t="s">
        <v>156</v>
      </c>
      <c r="B66" s="614" t="s">
        <v>157</v>
      </c>
      <c r="C66" s="778" t="s">
        <v>254</v>
      </c>
      <c r="D66" s="851">
        <v>44862.47</v>
      </c>
      <c r="E66" s="851">
        <v>0</v>
      </c>
      <c r="F66" s="851">
        <v>44862.47</v>
      </c>
      <c r="G66" s="853">
        <v>9850.56</v>
      </c>
      <c r="H66" s="853">
        <v>60049.06</v>
      </c>
      <c r="I66" s="1055">
        <f t="shared" si="4"/>
        <v>159624.56</v>
      </c>
      <c r="J66" s="852">
        <f t="shared" si="5"/>
        <v>69899.62</v>
      </c>
      <c r="K66" s="1055">
        <f t="shared" si="6"/>
        <v>114762.09</v>
      </c>
    </row>
    <row r="67" spans="1:11" ht="15" customHeight="1" x14ac:dyDescent="0.3">
      <c r="A67" s="609" t="s">
        <v>162</v>
      </c>
      <c r="B67" s="614" t="s">
        <v>163</v>
      </c>
      <c r="C67" s="778" t="s">
        <v>252</v>
      </c>
      <c r="D67" s="851">
        <v>101851.31</v>
      </c>
      <c r="E67" s="851">
        <v>0</v>
      </c>
      <c r="F67" s="851">
        <v>101851.31</v>
      </c>
      <c r="G67" s="853">
        <v>0</v>
      </c>
      <c r="H67" s="853">
        <v>136329.38</v>
      </c>
      <c r="I67" s="1055">
        <f t="shared" si="4"/>
        <v>340032</v>
      </c>
      <c r="J67" s="852">
        <f t="shared" si="5"/>
        <v>136329.38</v>
      </c>
      <c r="K67" s="1055">
        <f t="shared" si="6"/>
        <v>238180.69</v>
      </c>
    </row>
    <row r="68" spans="1:11" ht="15" customHeight="1" x14ac:dyDescent="0.3">
      <c r="A68" s="609" t="s">
        <v>164</v>
      </c>
      <c r="B68" s="614" t="s">
        <v>165</v>
      </c>
      <c r="C68" s="778" t="s">
        <v>254</v>
      </c>
      <c r="D68" s="851">
        <v>23220.81</v>
      </c>
      <c r="E68" s="851">
        <v>0</v>
      </c>
      <c r="F68" s="851">
        <v>23220.81</v>
      </c>
      <c r="G68" s="853">
        <v>0</v>
      </c>
      <c r="H68" s="853">
        <v>31081.380000000005</v>
      </c>
      <c r="I68" s="1055">
        <f t="shared" si="4"/>
        <v>77523</v>
      </c>
      <c r="J68" s="852">
        <f t="shared" si="5"/>
        <v>31081.380000000005</v>
      </c>
      <c r="K68" s="1055">
        <f t="shared" si="6"/>
        <v>54302.19</v>
      </c>
    </row>
    <row r="69" spans="1:11" ht="15" customHeight="1" x14ac:dyDescent="0.3">
      <c r="A69" s="609" t="s">
        <v>168</v>
      </c>
      <c r="B69" s="614" t="s">
        <v>169</v>
      </c>
      <c r="C69" s="778" t="s">
        <v>254</v>
      </c>
      <c r="D69" s="851">
        <v>25156.1</v>
      </c>
      <c r="E69" s="851">
        <v>0</v>
      </c>
      <c r="F69" s="851">
        <v>25156.1</v>
      </c>
      <c r="G69" s="853">
        <v>0</v>
      </c>
      <c r="H69" s="853">
        <v>33671.799999999996</v>
      </c>
      <c r="I69" s="1055">
        <f t="shared" ref="I69:I100" si="7">SUM(D69:H69)</f>
        <v>83984</v>
      </c>
      <c r="J69" s="852">
        <f t="shared" ref="J69:J100" si="8">G69+H69</f>
        <v>33671.799999999996</v>
      </c>
      <c r="K69" s="1055">
        <f t="shared" ref="K69:K100" si="9">F69+J69</f>
        <v>58827.899999999994</v>
      </c>
    </row>
    <row r="70" spans="1:11" ht="15" customHeight="1" x14ac:dyDescent="0.3">
      <c r="A70" s="609" t="s">
        <v>170</v>
      </c>
      <c r="B70" s="614" t="s">
        <v>171</v>
      </c>
      <c r="C70" s="778" t="s">
        <v>255</v>
      </c>
      <c r="D70" s="851">
        <v>53235.67</v>
      </c>
      <c r="E70" s="851">
        <v>0</v>
      </c>
      <c r="F70" s="851">
        <v>53235.67</v>
      </c>
      <c r="G70" s="853">
        <v>0</v>
      </c>
      <c r="H70" s="853">
        <v>71256.66</v>
      </c>
      <c r="I70" s="1055">
        <f t="shared" si="7"/>
        <v>177728</v>
      </c>
      <c r="J70" s="852">
        <f t="shared" si="8"/>
        <v>71256.66</v>
      </c>
      <c r="K70" s="1055">
        <f t="shared" si="9"/>
        <v>124492.33</v>
      </c>
    </row>
    <row r="71" spans="1:11" ht="15" customHeight="1" x14ac:dyDescent="0.3">
      <c r="A71" s="609" t="s">
        <v>172</v>
      </c>
      <c r="B71" s="614" t="s">
        <v>173</v>
      </c>
      <c r="C71" s="778" t="s">
        <v>255</v>
      </c>
      <c r="D71" s="851">
        <v>23648.55</v>
      </c>
      <c r="E71" s="851">
        <v>0</v>
      </c>
      <c r="F71" s="851">
        <v>23648.55</v>
      </c>
      <c r="G71" s="853">
        <v>0</v>
      </c>
      <c r="H71" s="853">
        <v>31653.9</v>
      </c>
      <c r="I71" s="1055">
        <f t="shared" si="7"/>
        <v>78951</v>
      </c>
      <c r="J71" s="852">
        <f t="shared" si="8"/>
        <v>31653.9</v>
      </c>
      <c r="K71" s="1055">
        <f t="shared" si="9"/>
        <v>55302.45</v>
      </c>
    </row>
    <row r="72" spans="1:11" ht="15" customHeight="1" x14ac:dyDescent="0.3">
      <c r="A72" s="609" t="s">
        <v>174</v>
      </c>
      <c r="B72" s="614" t="s">
        <v>175</v>
      </c>
      <c r="C72" s="778" t="s">
        <v>256</v>
      </c>
      <c r="D72" s="851">
        <v>25219.01</v>
      </c>
      <c r="E72" s="851">
        <v>0</v>
      </c>
      <c r="F72" s="851">
        <v>25219.01</v>
      </c>
      <c r="G72" s="853">
        <v>0</v>
      </c>
      <c r="H72" s="853">
        <v>33755.979999999996</v>
      </c>
      <c r="I72" s="1055">
        <f t="shared" si="7"/>
        <v>84194</v>
      </c>
      <c r="J72" s="852">
        <f t="shared" si="8"/>
        <v>33755.979999999996</v>
      </c>
      <c r="K72" s="1055">
        <f t="shared" si="9"/>
        <v>58974.989999999991</v>
      </c>
    </row>
    <row r="73" spans="1:11" ht="15" customHeight="1" x14ac:dyDescent="0.3">
      <c r="A73" s="609" t="s">
        <v>178</v>
      </c>
      <c r="B73" s="614" t="s">
        <v>179</v>
      </c>
      <c r="C73" s="778" t="s">
        <v>253</v>
      </c>
      <c r="D73" s="851">
        <v>93473.04</v>
      </c>
      <c r="E73" s="851">
        <v>0</v>
      </c>
      <c r="F73" s="851">
        <v>93473.04</v>
      </c>
      <c r="G73" s="853">
        <v>0</v>
      </c>
      <c r="H73" s="853">
        <v>125114.91999999998</v>
      </c>
      <c r="I73" s="1055">
        <f t="shared" si="7"/>
        <v>312061</v>
      </c>
      <c r="J73" s="852">
        <f t="shared" si="8"/>
        <v>125114.91999999998</v>
      </c>
      <c r="K73" s="1055">
        <f t="shared" si="9"/>
        <v>218587.95999999996</v>
      </c>
    </row>
    <row r="74" spans="1:11" ht="15" customHeight="1" x14ac:dyDescent="0.3">
      <c r="A74" s="609" t="s">
        <v>182</v>
      </c>
      <c r="B74" s="614" t="s">
        <v>183</v>
      </c>
      <c r="C74" s="778" t="s">
        <v>254</v>
      </c>
      <c r="D74" s="851">
        <v>58286.42</v>
      </c>
      <c r="E74" s="851">
        <v>0</v>
      </c>
      <c r="F74" s="851">
        <v>58286.42</v>
      </c>
      <c r="G74" s="853">
        <v>0</v>
      </c>
      <c r="H74" s="853">
        <v>78017.16</v>
      </c>
      <c r="I74" s="1055">
        <f t="shared" si="7"/>
        <v>194590</v>
      </c>
      <c r="J74" s="852">
        <f t="shared" si="8"/>
        <v>78017.16</v>
      </c>
      <c r="K74" s="1055">
        <f t="shared" si="9"/>
        <v>136303.58000000002</v>
      </c>
    </row>
    <row r="75" spans="1:11" ht="15" customHeight="1" x14ac:dyDescent="0.3">
      <c r="A75" s="609" t="s">
        <v>184</v>
      </c>
      <c r="B75" s="614" t="s">
        <v>185</v>
      </c>
      <c r="C75" s="778" t="s">
        <v>254</v>
      </c>
      <c r="D75" s="851">
        <v>61300.93</v>
      </c>
      <c r="E75" s="851">
        <v>0</v>
      </c>
      <c r="F75" s="851">
        <v>61300.93</v>
      </c>
      <c r="G75" s="853">
        <v>0</v>
      </c>
      <c r="H75" s="853">
        <v>82052.14</v>
      </c>
      <c r="I75" s="1055">
        <f t="shared" si="7"/>
        <v>204654</v>
      </c>
      <c r="J75" s="852">
        <f t="shared" si="8"/>
        <v>82052.14</v>
      </c>
      <c r="K75" s="1055">
        <f t="shared" si="9"/>
        <v>143353.07</v>
      </c>
    </row>
    <row r="76" spans="1:11" ht="15" customHeight="1" x14ac:dyDescent="0.3">
      <c r="A76" s="609" t="s">
        <v>186</v>
      </c>
      <c r="B76" s="614" t="s">
        <v>187</v>
      </c>
      <c r="C76" s="778" t="s">
        <v>252</v>
      </c>
      <c r="D76" s="851">
        <v>76560.73</v>
      </c>
      <c r="E76" s="851">
        <v>0</v>
      </c>
      <c r="F76" s="851">
        <v>76560.73</v>
      </c>
      <c r="G76" s="853">
        <v>0</v>
      </c>
      <c r="H76" s="853">
        <v>102477.53999999998</v>
      </c>
      <c r="I76" s="1055">
        <f t="shared" si="7"/>
        <v>255598.99999999997</v>
      </c>
      <c r="J76" s="852">
        <f t="shared" si="8"/>
        <v>102477.53999999998</v>
      </c>
      <c r="K76" s="1055">
        <f t="shared" si="9"/>
        <v>179038.26999999996</v>
      </c>
    </row>
    <row r="77" spans="1:11" ht="15" customHeight="1" x14ac:dyDescent="0.3">
      <c r="A77" s="609" t="s">
        <v>188</v>
      </c>
      <c r="B77" s="614" t="s">
        <v>189</v>
      </c>
      <c r="C77" s="778" t="s">
        <v>255</v>
      </c>
      <c r="D77" s="851">
        <v>1151664.6200000001</v>
      </c>
      <c r="E77" s="851">
        <v>0</v>
      </c>
      <c r="F77" s="851">
        <v>1151664.6200000001</v>
      </c>
      <c r="G77" s="853">
        <v>0</v>
      </c>
      <c r="H77" s="853">
        <v>1541518.7600000002</v>
      </c>
      <c r="I77" s="1055">
        <f t="shared" si="7"/>
        <v>3844848.0000000005</v>
      </c>
      <c r="J77" s="852">
        <f t="shared" si="8"/>
        <v>1541518.7600000002</v>
      </c>
      <c r="K77" s="1055">
        <f t="shared" si="9"/>
        <v>2693183.3800000004</v>
      </c>
    </row>
    <row r="78" spans="1:11" ht="15" customHeight="1" x14ac:dyDescent="0.3">
      <c r="A78" s="609" t="s">
        <v>190</v>
      </c>
      <c r="B78" s="614" t="s">
        <v>191</v>
      </c>
      <c r="C78" s="778" t="s">
        <v>256</v>
      </c>
      <c r="D78" s="851">
        <v>50488.33</v>
      </c>
      <c r="E78" s="851">
        <v>0</v>
      </c>
      <c r="F78" s="851">
        <v>50488.33</v>
      </c>
      <c r="G78" s="853">
        <v>0</v>
      </c>
      <c r="H78" s="853">
        <v>67579.34</v>
      </c>
      <c r="I78" s="1055">
        <f t="shared" si="7"/>
        <v>168556</v>
      </c>
      <c r="J78" s="852">
        <f t="shared" si="8"/>
        <v>67579.34</v>
      </c>
      <c r="K78" s="1055">
        <f t="shared" si="9"/>
        <v>118067.67</v>
      </c>
    </row>
    <row r="79" spans="1:11" ht="15" customHeight="1" x14ac:dyDescent="0.3">
      <c r="A79" s="609" t="s">
        <v>194</v>
      </c>
      <c r="B79" s="614" t="s">
        <v>195</v>
      </c>
      <c r="C79" s="778" t="s">
        <v>255</v>
      </c>
      <c r="D79" s="851">
        <v>31086.89</v>
      </c>
      <c r="E79" s="851">
        <v>0</v>
      </c>
      <c r="F79" s="851">
        <v>31086.89</v>
      </c>
      <c r="G79" s="853">
        <v>0</v>
      </c>
      <c r="H79" s="853">
        <v>41610.22</v>
      </c>
      <c r="I79" s="1055">
        <f t="shared" si="7"/>
        <v>103784</v>
      </c>
      <c r="J79" s="852">
        <f t="shared" si="8"/>
        <v>41610.22</v>
      </c>
      <c r="K79" s="1055">
        <f t="shared" si="9"/>
        <v>72697.11</v>
      </c>
    </row>
    <row r="80" spans="1:11" ht="15" customHeight="1" x14ac:dyDescent="0.3">
      <c r="A80" s="609" t="s">
        <v>198</v>
      </c>
      <c r="B80" s="614" t="s">
        <v>199</v>
      </c>
      <c r="C80" s="778" t="s">
        <v>254</v>
      </c>
      <c r="D80" s="851">
        <v>16200.33</v>
      </c>
      <c r="E80" s="851">
        <v>0</v>
      </c>
      <c r="F80" s="851">
        <v>16200.33</v>
      </c>
      <c r="G80" s="853">
        <v>0</v>
      </c>
      <c r="H80" s="853">
        <v>21684.339999999997</v>
      </c>
      <c r="I80" s="1055">
        <f t="shared" si="7"/>
        <v>54085</v>
      </c>
      <c r="J80" s="852">
        <f t="shared" si="8"/>
        <v>21684.339999999997</v>
      </c>
      <c r="K80" s="1055">
        <f t="shared" si="9"/>
        <v>37884.67</v>
      </c>
    </row>
    <row r="81" spans="1:11" ht="15" customHeight="1" x14ac:dyDescent="0.3">
      <c r="A81" s="609" t="s">
        <v>202</v>
      </c>
      <c r="B81" s="614" t="s">
        <v>203</v>
      </c>
      <c r="C81" s="778" t="s">
        <v>253</v>
      </c>
      <c r="D81" s="851">
        <v>361994.63</v>
      </c>
      <c r="E81" s="851">
        <v>0</v>
      </c>
      <c r="F81" s="851">
        <v>361994.63</v>
      </c>
      <c r="G81" s="853">
        <v>0</v>
      </c>
      <c r="H81" s="853">
        <v>484534.74</v>
      </c>
      <c r="I81" s="1055">
        <f t="shared" si="7"/>
        <v>1208524</v>
      </c>
      <c r="J81" s="852">
        <f t="shared" si="8"/>
        <v>484534.74</v>
      </c>
      <c r="K81" s="1055">
        <f t="shared" si="9"/>
        <v>846529.37</v>
      </c>
    </row>
    <row r="82" spans="1:11" ht="15" customHeight="1" x14ac:dyDescent="0.3">
      <c r="A82" s="609" t="s">
        <v>204</v>
      </c>
      <c r="B82" s="614" t="s">
        <v>205</v>
      </c>
      <c r="C82" s="778" t="s">
        <v>253</v>
      </c>
      <c r="D82" s="851">
        <v>30544.13</v>
      </c>
      <c r="E82" s="851">
        <v>0</v>
      </c>
      <c r="F82" s="851">
        <v>30544.13</v>
      </c>
      <c r="G82" s="853">
        <v>0</v>
      </c>
      <c r="H82" s="853">
        <v>40883.74</v>
      </c>
      <c r="I82" s="1055">
        <f t="shared" si="7"/>
        <v>101972</v>
      </c>
      <c r="J82" s="852">
        <f t="shared" si="8"/>
        <v>40883.74</v>
      </c>
      <c r="K82" s="1055">
        <f t="shared" si="9"/>
        <v>71427.87</v>
      </c>
    </row>
    <row r="83" spans="1:11" ht="15" customHeight="1" x14ac:dyDescent="0.3">
      <c r="A83" s="609" t="s">
        <v>206</v>
      </c>
      <c r="B83" s="614" t="s">
        <v>207</v>
      </c>
      <c r="C83" s="778" t="s">
        <v>255</v>
      </c>
      <c r="D83" s="851">
        <v>284781.52</v>
      </c>
      <c r="E83" s="851">
        <v>0</v>
      </c>
      <c r="F83" s="851">
        <v>284781.52</v>
      </c>
      <c r="G83" s="853">
        <v>0</v>
      </c>
      <c r="H83" s="853">
        <v>381183.96000000008</v>
      </c>
      <c r="I83" s="1055">
        <f t="shared" si="7"/>
        <v>950747.00000000012</v>
      </c>
      <c r="J83" s="852">
        <f t="shared" si="8"/>
        <v>381183.96000000008</v>
      </c>
      <c r="K83" s="1055">
        <f t="shared" si="9"/>
        <v>665965.4800000001</v>
      </c>
    </row>
    <row r="84" spans="1:11" ht="15" customHeight="1" x14ac:dyDescent="0.3">
      <c r="A84" s="609" t="s">
        <v>208</v>
      </c>
      <c r="B84" s="614" t="s">
        <v>209</v>
      </c>
      <c r="C84" s="778" t="s">
        <v>256</v>
      </c>
      <c r="D84" s="851">
        <v>55320.43</v>
      </c>
      <c r="E84" s="851">
        <v>0</v>
      </c>
      <c r="F84" s="851">
        <v>55320.43</v>
      </c>
      <c r="G84" s="853">
        <v>0</v>
      </c>
      <c r="H84" s="853">
        <v>74047.140000000014</v>
      </c>
      <c r="I84" s="1055">
        <f t="shared" si="7"/>
        <v>184688</v>
      </c>
      <c r="J84" s="852">
        <f t="shared" si="8"/>
        <v>74047.140000000014</v>
      </c>
      <c r="K84" s="1055">
        <f t="shared" si="9"/>
        <v>129367.57</v>
      </c>
    </row>
    <row r="85" spans="1:11" ht="15" customHeight="1" x14ac:dyDescent="0.3">
      <c r="A85" s="609" t="s">
        <v>210</v>
      </c>
      <c r="B85" s="614" t="s">
        <v>211</v>
      </c>
      <c r="C85" s="778" t="s">
        <v>256</v>
      </c>
      <c r="D85" s="851">
        <v>49571.16</v>
      </c>
      <c r="E85" s="851">
        <v>0</v>
      </c>
      <c r="F85" s="851">
        <v>49571.16</v>
      </c>
      <c r="G85" s="853">
        <v>0</v>
      </c>
      <c r="H85" s="853">
        <v>66351.680000000008</v>
      </c>
      <c r="I85" s="1055">
        <f t="shared" si="7"/>
        <v>165494</v>
      </c>
      <c r="J85" s="852">
        <f t="shared" si="8"/>
        <v>66351.680000000008</v>
      </c>
      <c r="K85" s="1055">
        <f t="shared" si="9"/>
        <v>115922.84000000001</v>
      </c>
    </row>
    <row r="86" spans="1:11" ht="15" customHeight="1" x14ac:dyDescent="0.3">
      <c r="A86" s="609" t="s">
        <v>212</v>
      </c>
      <c r="B86" s="614" t="s">
        <v>213</v>
      </c>
      <c r="C86" s="778" t="s">
        <v>255</v>
      </c>
      <c r="D86" s="851">
        <v>50992.160000000003</v>
      </c>
      <c r="E86" s="851">
        <v>0</v>
      </c>
      <c r="F86" s="851">
        <v>50992.160000000003</v>
      </c>
      <c r="G86" s="853">
        <v>0</v>
      </c>
      <c r="H86" s="853">
        <v>68253.680000000008</v>
      </c>
      <c r="I86" s="1055">
        <f t="shared" si="7"/>
        <v>170238</v>
      </c>
      <c r="J86" s="852">
        <f t="shared" si="8"/>
        <v>68253.680000000008</v>
      </c>
      <c r="K86" s="1055">
        <f t="shared" si="9"/>
        <v>119245.84000000001</v>
      </c>
    </row>
    <row r="87" spans="1:11" ht="15" customHeight="1" x14ac:dyDescent="0.3">
      <c r="A87" s="609" t="s">
        <v>214</v>
      </c>
      <c r="B87" s="614" t="s">
        <v>215</v>
      </c>
      <c r="C87" s="778" t="s">
        <v>256</v>
      </c>
      <c r="D87" s="851">
        <v>79390.720000000001</v>
      </c>
      <c r="E87" s="851">
        <v>0</v>
      </c>
      <c r="F87" s="851">
        <v>79390.720000000001</v>
      </c>
      <c r="G87" s="853">
        <v>0</v>
      </c>
      <c r="H87" s="853">
        <v>106265.56</v>
      </c>
      <c r="I87" s="1055">
        <f t="shared" si="7"/>
        <v>265047</v>
      </c>
      <c r="J87" s="852">
        <f t="shared" si="8"/>
        <v>106265.56</v>
      </c>
      <c r="K87" s="1055">
        <f t="shared" si="9"/>
        <v>185656.28</v>
      </c>
    </row>
    <row r="88" spans="1:11" ht="15" customHeight="1" x14ac:dyDescent="0.3">
      <c r="A88" s="609" t="s">
        <v>216</v>
      </c>
      <c r="B88" s="614" t="s">
        <v>217</v>
      </c>
      <c r="C88" s="778" t="s">
        <v>252</v>
      </c>
      <c r="D88" s="851">
        <v>54995.14</v>
      </c>
      <c r="E88" s="851">
        <v>0</v>
      </c>
      <c r="F88" s="851">
        <v>54995.14</v>
      </c>
      <c r="G88" s="853">
        <v>0</v>
      </c>
      <c r="H88" s="853">
        <v>73611.72</v>
      </c>
      <c r="I88" s="1055">
        <f t="shared" si="7"/>
        <v>183602</v>
      </c>
      <c r="J88" s="852">
        <f t="shared" si="8"/>
        <v>73611.72</v>
      </c>
      <c r="K88" s="1055">
        <f t="shared" si="9"/>
        <v>128606.86</v>
      </c>
    </row>
    <row r="89" spans="1:11" ht="15" customHeight="1" x14ac:dyDescent="0.3">
      <c r="A89" s="609" t="s">
        <v>218</v>
      </c>
      <c r="B89" s="614" t="s">
        <v>219</v>
      </c>
      <c r="C89" s="778" t="s">
        <v>255</v>
      </c>
      <c r="D89" s="851">
        <v>300213.84999999998</v>
      </c>
      <c r="E89" s="851">
        <v>0</v>
      </c>
      <c r="F89" s="851">
        <v>300213.84999999998</v>
      </c>
      <c r="G89" s="853">
        <v>-11792</v>
      </c>
      <c r="H89" s="853">
        <v>401840.29999999993</v>
      </c>
      <c r="I89" s="1055">
        <f t="shared" si="7"/>
        <v>990475.99999999988</v>
      </c>
      <c r="J89" s="852">
        <f t="shared" si="8"/>
        <v>390048.29999999993</v>
      </c>
      <c r="K89" s="1055">
        <f t="shared" si="9"/>
        <v>690262.14999999991</v>
      </c>
    </row>
    <row r="90" spans="1:11" ht="15" customHeight="1" x14ac:dyDescent="0.3">
      <c r="A90" s="609" t="s">
        <v>220</v>
      </c>
      <c r="B90" s="614" t="s">
        <v>221</v>
      </c>
      <c r="C90" s="778" t="s">
        <v>255</v>
      </c>
      <c r="D90" s="851">
        <v>178762.79</v>
      </c>
      <c r="E90" s="851">
        <v>0</v>
      </c>
      <c r="F90" s="851">
        <v>178762.79</v>
      </c>
      <c r="G90" s="853">
        <v>0</v>
      </c>
      <c r="H90" s="853">
        <v>239276.41999999998</v>
      </c>
      <c r="I90" s="1055">
        <f t="shared" si="7"/>
        <v>596802</v>
      </c>
      <c r="J90" s="852">
        <f t="shared" si="8"/>
        <v>239276.41999999998</v>
      </c>
      <c r="K90" s="1055">
        <f t="shared" si="9"/>
        <v>418039.20999999996</v>
      </c>
    </row>
    <row r="91" spans="1:11" ht="15" customHeight="1" x14ac:dyDescent="0.3">
      <c r="A91" s="609" t="s">
        <v>224</v>
      </c>
      <c r="B91" s="614" t="s">
        <v>225</v>
      </c>
      <c r="C91" s="778" t="s">
        <v>252</v>
      </c>
      <c r="D91" s="851">
        <v>70707.81</v>
      </c>
      <c r="E91" s="851">
        <v>0</v>
      </c>
      <c r="F91" s="851">
        <v>70707.81</v>
      </c>
      <c r="G91" s="853">
        <v>0</v>
      </c>
      <c r="H91" s="853">
        <v>94643.38</v>
      </c>
      <c r="I91" s="1055">
        <f t="shared" si="7"/>
        <v>236059</v>
      </c>
      <c r="J91" s="852">
        <f t="shared" si="8"/>
        <v>94643.38</v>
      </c>
      <c r="K91" s="1055">
        <f t="shared" si="9"/>
        <v>165351.19</v>
      </c>
    </row>
    <row r="92" spans="1:11" ht="15" customHeight="1" x14ac:dyDescent="0.3">
      <c r="A92" s="609" t="s">
        <v>226</v>
      </c>
      <c r="B92" s="614" t="s">
        <v>227</v>
      </c>
      <c r="C92" s="778" t="s">
        <v>252</v>
      </c>
      <c r="D92" s="851">
        <v>80190.179999999993</v>
      </c>
      <c r="E92" s="851">
        <v>0</v>
      </c>
      <c r="F92" s="851">
        <v>80190.179999999993</v>
      </c>
      <c r="G92" s="853">
        <v>0</v>
      </c>
      <c r="H92" s="853">
        <v>107335.64000000001</v>
      </c>
      <c r="I92" s="1055">
        <f t="shared" si="7"/>
        <v>267716</v>
      </c>
      <c r="J92" s="852">
        <f t="shared" si="8"/>
        <v>107335.64000000001</v>
      </c>
      <c r="K92" s="1055">
        <f t="shared" si="9"/>
        <v>187525.82</v>
      </c>
    </row>
    <row r="93" spans="1:11" ht="15" customHeight="1" x14ac:dyDescent="0.3">
      <c r="A93" s="609" t="s">
        <v>228</v>
      </c>
      <c r="B93" s="614" t="s">
        <v>229</v>
      </c>
      <c r="C93" s="778" t="s">
        <v>256</v>
      </c>
      <c r="D93" s="851">
        <v>173125.86</v>
      </c>
      <c r="E93" s="851">
        <v>0</v>
      </c>
      <c r="F93" s="851">
        <v>173125.86</v>
      </c>
      <c r="G93" s="853">
        <v>4879.8</v>
      </c>
      <c r="H93" s="853">
        <v>231731.27999999997</v>
      </c>
      <c r="I93" s="1055">
        <f t="shared" si="7"/>
        <v>582862.79999999993</v>
      </c>
      <c r="J93" s="852">
        <f t="shared" si="8"/>
        <v>236611.07999999996</v>
      </c>
      <c r="K93" s="1055">
        <f t="shared" si="9"/>
        <v>409736.93999999994</v>
      </c>
    </row>
    <row r="94" spans="1:11" ht="15" customHeight="1" x14ac:dyDescent="0.3">
      <c r="A94" s="609" t="s">
        <v>232</v>
      </c>
      <c r="B94" s="614" t="s">
        <v>233</v>
      </c>
      <c r="C94" s="778" t="s">
        <v>255</v>
      </c>
      <c r="D94" s="851">
        <v>49299.49</v>
      </c>
      <c r="E94" s="851">
        <v>0</v>
      </c>
      <c r="F94" s="851">
        <v>49299.49</v>
      </c>
      <c r="G94" s="853">
        <v>16377</v>
      </c>
      <c r="H94" s="853">
        <v>65988.01999999999</v>
      </c>
      <c r="I94" s="1055">
        <f t="shared" si="7"/>
        <v>180964</v>
      </c>
      <c r="J94" s="852">
        <f t="shared" si="8"/>
        <v>82365.01999999999</v>
      </c>
      <c r="K94" s="1055">
        <f t="shared" si="9"/>
        <v>131664.50999999998</v>
      </c>
    </row>
    <row r="95" spans="1:11" ht="15" customHeight="1" x14ac:dyDescent="0.3">
      <c r="A95" s="609" t="s">
        <v>234</v>
      </c>
      <c r="B95" s="614" t="s">
        <v>235</v>
      </c>
      <c r="C95" s="778" t="s">
        <v>256</v>
      </c>
      <c r="D95" s="851">
        <v>54064.78</v>
      </c>
      <c r="E95" s="851">
        <v>0</v>
      </c>
      <c r="F95" s="851">
        <v>54064.78</v>
      </c>
      <c r="G95" s="853">
        <v>26167.61</v>
      </c>
      <c r="H95" s="853">
        <v>72366.439999999988</v>
      </c>
      <c r="I95" s="1055">
        <f t="shared" si="7"/>
        <v>206663.61</v>
      </c>
      <c r="J95" s="852">
        <f t="shared" si="8"/>
        <v>98534.049999999988</v>
      </c>
      <c r="K95" s="1055">
        <f t="shared" si="9"/>
        <v>152598.82999999999</v>
      </c>
    </row>
    <row r="96" spans="1:11" ht="15" customHeight="1" x14ac:dyDescent="0.3">
      <c r="A96" s="609" t="s">
        <v>236</v>
      </c>
      <c r="B96" s="614" t="s">
        <v>237</v>
      </c>
      <c r="C96" s="778" t="s">
        <v>254</v>
      </c>
      <c r="D96" s="851">
        <v>52506</v>
      </c>
      <c r="E96" s="851">
        <v>0</v>
      </c>
      <c r="F96" s="851">
        <v>52506</v>
      </c>
      <c r="G96" s="853">
        <v>16116.59</v>
      </c>
      <c r="H96" s="853">
        <v>70279.999999999985</v>
      </c>
      <c r="I96" s="1055">
        <f t="shared" si="7"/>
        <v>191408.58999999997</v>
      </c>
      <c r="J96" s="852">
        <f t="shared" si="8"/>
        <v>86396.589999999982</v>
      </c>
      <c r="K96" s="1055">
        <f t="shared" si="9"/>
        <v>138902.58999999997</v>
      </c>
    </row>
    <row r="97" spans="1:11" ht="15" customHeight="1" x14ac:dyDescent="0.3">
      <c r="A97" s="609" t="s">
        <v>242</v>
      </c>
      <c r="B97" s="614" t="s">
        <v>243</v>
      </c>
      <c r="C97" s="778" t="s">
        <v>256</v>
      </c>
      <c r="D97" s="851">
        <v>86337.23</v>
      </c>
      <c r="E97" s="851">
        <v>0</v>
      </c>
      <c r="F97" s="851">
        <v>86337.23</v>
      </c>
      <c r="G97" s="853">
        <v>3745.72</v>
      </c>
      <c r="H97" s="853">
        <v>115563.54000000001</v>
      </c>
      <c r="I97" s="1055">
        <f t="shared" si="7"/>
        <v>291983.71999999997</v>
      </c>
      <c r="J97" s="852">
        <f t="shared" si="8"/>
        <v>119309.26000000001</v>
      </c>
      <c r="K97" s="1055">
        <f t="shared" si="9"/>
        <v>205646.49</v>
      </c>
    </row>
    <row r="98" spans="1:11" ht="15" customHeight="1" x14ac:dyDescent="0.3">
      <c r="A98" s="609" t="s">
        <v>244</v>
      </c>
      <c r="B98" s="614" t="s">
        <v>245</v>
      </c>
      <c r="C98" s="778" t="s">
        <v>256</v>
      </c>
      <c r="D98" s="851">
        <v>91291.83</v>
      </c>
      <c r="E98" s="851">
        <v>0</v>
      </c>
      <c r="F98" s="851">
        <v>91291.83</v>
      </c>
      <c r="G98" s="853">
        <v>0</v>
      </c>
      <c r="H98" s="853">
        <v>122195.34000000003</v>
      </c>
      <c r="I98" s="1055">
        <f t="shared" si="7"/>
        <v>304779</v>
      </c>
      <c r="J98" s="852">
        <f t="shared" si="8"/>
        <v>122195.34000000003</v>
      </c>
      <c r="K98" s="1055">
        <f t="shared" si="9"/>
        <v>213487.17000000004</v>
      </c>
    </row>
    <row r="99" spans="1:11" ht="15" customHeight="1" x14ac:dyDescent="0.3">
      <c r="A99" s="609" t="s">
        <v>246</v>
      </c>
      <c r="B99" s="614" t="s">
        <v>298</v>
      </c>
      <c r="C99" s="778" t="s">
        <v>252</v>
      </c>
      <c r="D99" s="851">
        <v>173822.26</v>
      </c>
      <c r="E99" s="851">
        <v>0</v>
      </c>
      <c r="F99" s="851">
        <v>173822.26</v>
      </c>
      <c r="G99" s="853">
        <v>-1343.82</v>
      </c>
      <c r="H99" s="853">
        <v>232663.48000000004</v>
      </c>
      <c r="I99" s="1055">
        <f t="shared" si="7"/>
        <v>578964.18000000005</v>
      </c>
      <c r="J99" s="852">
        <f t="shared" si="8"/>
        <v>231319.66000000003</v>
      </c>
      <c r="K99" s="1055">
        <f t="shared" si="9"/>
        <v>405141.92000000004</v>
      </c>
    </row>
    <row r="100" spans="1:11" ht="15" customHeight="1" x14ac:dyDescent="0.3">
      <c r="A100" s="609" t="s">
        <v>14</v>
      </c>
      <c r="B100" s="614" t="s">
        <v>15</v>
      </c>
      <c r="C100" s="778" t="s">
        <v>255</v>
      </c>
      <c r="D100" s="851">
        <v>1058394.68</v>
      </c>
      <c r="E100" s="851">
        <v>0</v>
      </c>
      <c r="F100" s="851">
        <v>1058394.68</v>
      </c>
      <c r="G100" s="853">
        <v>0</v>
      </c>
      <c r="H100" s="853">
        <v>1416675.6400000001</v>
      </c>
      <c r="I100" s="1055">
        <f t="shared" si="7"/>
        <v>3533465</v>
      </c>
      <c r="J100" s="852">
        <f t="shared" si="8"/>
        <v>1416675.6400000001</v>
      </c>
      <c r="K100" s="1055">
        <f t="shared" si="9"/>
        <v>2475070.3200000003</v>
      </c>
    </row>
    <row r="101" spans="1:11" ht="15" customHeight="1" x14ac:dyDescent="0.3">
      <c r="A101" s="609" t="s">
        <v>34</v>
      </c>
      <c r="B101" s="614" t="s">
        <v>35</v>
      </c>
      <c r="C101" s="778" t="s">
        <v>256</v>
      </c>
      <c r="D101" s="851">
        <v>52579.99</v>
      </c>
      <c r="E101" s="851">
        <v>0</v>
      </c>
      <c r="F101" s="851">
        <v>52579.99</v>
      </c>
      <c r="G101" s="853">
        <v>0</v>
      </c>
      <c r="H101" s="853">
        <v>70379.02</v>
      </c>
      <c r="I101" s="1055">
        <f t="shared" ref="I101:I124" si="10">SUM(D101:H101)</f>
        <v>175539</v>
      </c>
      <c r="J101" s="852">
        <f t="shared" ref="J101:J124" si="11">G101+H101</f>
        <v>70379.02</v>
      </c>
      <c r="K101" s="1055">
        <f t="shared" ref="K101:K124" si="12">F101+J101</f>
        <v>122959.01000000001</v>
      </c>
    </row>
    <row r="102" spans="1:11" ht="15" customHeight="1" x14ac:dyDescent="0.3">
      <c r="A102" s="609" t="s">
        <v>52</v>
      </c>
      <c r="B102" s="614" t="s">
        <v>53</v>
      </c>
      <c r="C102" s="778" t="s">
        <v>253</v>
      </c>
      <c r="D102" s="851">
        <v>109257.75</v>
      </c>
      <c r="E102" s="851">
        <v>0</v>
      </c>
      <c r="F102" s="851">
        <v>109257.75</v>
      </c>
      <c r="G102" s="853">
        <v>0</v>
      </c>
      <c r="H102" s="853">
        <v>146242.99</v>
      </c>
      <c r="I102" s="1055">
        <f t="shared" si="10"/>
        <v>364758.49</v>
      </c>
      <c r="J102" s="852">
        <f t="shared" si="11"/>
        <v>146242.99</v>
      </c>
      <c r="K102" s="1055">
        <f t="shared" si="12"/>
        <v>255500.74</v>
      </c>
    </row>
    <row r="103" spans="1:11" ht="15" customHeight="1" x14ac:dyDescent="0.3">
      <c r="A103" s="609" t="s">
        <v>54</v>
      </c>
      <c r="B103" s="614" t="s">
        <v>55</v>
      </c>
      <c r="C103" s="778" t="s">
        <v>252</v>
      </c>
      <c r="D103" s="851">
        <v>262287.68</v>
      </c>
      <c r="E103" s="851">
        <v>0</v>
      </c>
      <c r="F103" s="851">
        <v>262287.68</v>
      </c>
      <c r="G103" s="853">
        <v>37410.480000000003</v>
      </c>
      <c r="H103" s="853">
        <v>351075.64</v>
      </c>
      <c r="I103" s="1055">
        <f t="shared" si="10"/>
        <v>913061.48</v>
      </c>
      <c r="J103" s="852">
        <f t="shared" si="11"/>
        <v>388486.12</v>
      </c>
      <c r="K103" s="1055">
        <f t="shared" si="12"/>
        <v>650773.80000000005</v>
      </c>
    </row>
    <row r="104" spans="1:11" ht="15" customHeight="1" x14ac:dyDescent="0.3">
      <c r="A104" s="609" t="s">
        <v>66</v>
      </c>
      <c r="B104" s="614" t="s">
        <v>67</v>
      </c>
      <c r="C104" s="778" t="s">
        <v>253</v>
      </c>
      <c r="D104" s="851">
        <v>216425.66</v>
      </c>
      <c r="E104" s="851">
        <v>0</v>
      </c>
      <c r="F104" s="851">
        <v>216425.66</v>
      </c>
      <c r="G104" s="853">
        <v>0</v>
      </c>
      <c r="H104" s="853">
        <v>289688.68</v>
      </c>
      <c r="I104" s="1055">
        <f t="shared" si="10"/>
        <v>722540</v>
      </c>
      <c r="J104" s="852">
        <f t="shared" si="11"/>
        <v>289688.68</v>
      </c>
      <c r="K104" s="1055">
        <f t="shared" si="12"/>
        <v>506114.33999999997</v>
      </c>
    </row>
    <row r="105" spans="1:11" ht="15" customHeight="1" x14ac:dyDescent="0.3">
      <c r="A105" s="609" t="s">
        <v>82</v>
      </c>
      <c r="B105" s="614" t="s">
        <v>299</v>
      </c>
      <c r="C105" s="778" t="s">
        <v>252</v>
      </c>
      <c r="D105" s="851">
        <v>21225.3</v>
      </c>
      <c r="E105" s="851">
        <v>0</v>
      </c>
      <c r="F105" s="851">
        <v>21225.3</v>
      </c>
      <c r="G105" s="853">
        <v>0</v>
      </c>
      <c r="H105" s="853">
        <v>28410.400000000001</v>
      </c>
      <c r="I105" s="1055">
        <f t="shared" si="10"/>
        <v>70861</v>
      </c>
      <c r="J105" s="852">
        <f t="shared" si="11"/>
        <v>28410.400000000001</v>
      </c>
      <c r="K105" s="1055">
        <f t="shared" si="12"/>
        <v>49635.7</v>
      </c>
    </row>
    <row r="106" spans="1:11" ht="15" customHeight="1" x14ac:dyDescent="0.3">
      <c r="A106" s="609" t="s">
        <v>88</v>
      </c>
      <c r="B106" s="614" t="s">
        <v>89</v>
      </c>
      <c r="C106" s="778" t="s">
        <v>255</v>
      </c>
      <c r="D106" s="851">
        <v>94526.2</v>
      </c>
      <c r="E106" s="851">
        <v>0</v>
      </c>
      <c r="F106" s="851">
        <v>94526.2</v>
      </c>
      <c r="G106" s="853">
        <v>0</v>
      </c>
      <c r="H106" s="853">
        <v>126524.6</v>
      </c>
      <c r="I106" s="1055">
        <f t="shared" si="10"/>
        <v>315577</v>
      </c>
      <c r="J106" s="852">
        <f t="shared" si="11"/>
        <v>126524.6</v>
      </c>
      <c r="K106" s="1055">
        <f t="shared" si="12"/>
        <v>221050.8</v>
      </c>
    </row>
    <row r="107" spans="1:11" ht="15" customHeight="1" x14ac:dyDescent="0.3">
      <c r="A107" s="609" t="s">
        <v>90</v>
      </c>
      <c r="B107" s="614" t="s">
        <v>91</v>
      </c>
      <c r="C107" s="778" t="s">
        <v>256</v>
      </c>
      <c r="D107" s="851">
        <v>29708.42</v>
      </c>
      <c r="E107" s="851">
        <v>0</v>
      </c>
      <c r="F107" s="851">
        <v>29708.42</v>
      </c>
      <c r="G107" s="853">
        <v>0</v>
      </c>
      <c r="H107" s="853">
        <v>39765.159999999996</v>
      </c>
      <c r="I107" s="1055">
        <f t="shared" si="10"/>
        <v>99182</v>
      </c>
      <c r="J107" s="852">
        <f t="shared" si="11"/>
        <v>39765.159999999996</v>
      </c>
      <c r="K107" s="1055">
        <f t="shared" si="12"/>
        <v>69473.579999999987</v>
      </c>
    </row>
    <row r="108" spans="1:11" ht="15" customHeight="1" x14ac:dyDescent="0.3">
      <c r="A108" s="609" t="s">
        <v>106</v>
      </c>
      <c r="B108" s="614" t="s">
        <v>107</v>
      </c>
      <c r="C108" s="778" t="s">
        <v>252</v>
      </c>
      <c r="D108" s="851">
        <v>224662.56</v>
      </c>
      <c r="E108" s="851">
        <v>0</v>
      </c>
      <c r="F108" s="851">
        <v>224662.56</v>
      </c>
      <c r="G108" s="853">
        <v>0</v>
      </c>
      <c r="H108" s="853">
        <v>300713.88</v>
      </c>
      <c r="I108" s="1055">
        <f t="shared" si="10"/>
        <v>750039</v>
      </c>
      <c r="J108" s="852">
        <f t="shared" si="11"/>
        <v>300713.88</v>
      </c>
      <c r="K108" s="1055">
        <f t="shared" si="12"/>
        <v>525376.43999999994</v>
      </c>
    </row>
    <row r="109" spans="1:11" ht="15" customHeight="1" x14ac:dyDescent="0.3">
      <c r="A109" s="609" t="s">
        <v>116</v>
      </c>
      <c r="B109" s="614" t="s">
        <v>117</v>
      </c>
      <c r="C109" s="778" t="s">
        <v>254</v>
      </c>
      <c r="D109" s="851">
        <v>154192.57</v>
      </c>
      <c r="E109" s="851">
        <v>0</v>
      </c>
      <c r="F109" s="851">
        <v>154192.57</v>
      </c>
      <c r="G109" s="853">
        <v>0.01</v>
      </c>
      <c r="H109" s="853">
        <v>206388.86</v>
      </c>
      <c r="I109" s="1055">
        <f t="shared" si="10"/>
        <v>514774.01</v>
      </c>
      <c r="J109" s="852">
        <f t="shared" si="11"/>
        <v>206388.87</v>
      </c>
      <c r="K109" s="1055">
        <f t="shared" si="12"/>
        <v>360581.44</v>
      </c>
    </row>
    <row r="110" spans="1:11" ht="15" customHeight="1" x14ac:dyDescent="0.3">
      <c r="A110" s="609" t="s">
        <v>138</v>
      </c>
      <c r="B110" s="614" t="s">
        <v>139</v>
      </c>
      <c r="C110" s="778" t="s">
        <v>253</v>
      </c>
      <c r="D110" s="851">
        <v>572494.30000000005</v>
      </c>
      <c r="E110" s="851">
        <v>0</v>
      </c>
      <c r="F110" s="851">
        <v>572494.30000000005</v>
      </c>
      <c r="G110" s="853">
        <v>0</v>
      </c>
      <c r="H110" s="853">
        <v>766291.39999999991</v>
      </c>
      <c r="I110" s="1055">
        <f t="shared" si="10"/>
        <v>1911280</v>
      </c>
      <c r="J110" s="852">
        <f t="shared" si="11"/>
        <v>766291.39999999991</v>
      </c>
      <c r="K110" s="1055">
        <f t="shared" si="12"/>
        <v>1338785.7</v>
      </c>
    </row>
    <row r="111" spans="1:11" ht="15" customHeight="1" x14ac:dyDescent="0.3">
      <c r="A111" s="609" t="s">
        <v>142</v>
      </c>
      <c r="B111" s="614" t="s">
        <v>143</v>
      </c>
      <c r="C111" s="778" t="s">
        <v>255</v>
      </c>
      <c r="D111" s="851">
        <v>69232.91</v>
      </c>
      <c r="E111" s="851">
        <v>0</v>
      </c>
      <c r="F111" s="851">
        <v>69232.91</v>
      </c>
      <c r="G111" s="853">
        <v>0</v>
      </c>
      <c r="H111" s="853">
        <v>92669.18</v>
      </c>
      <c r="I111" s="1055">
        <f t="shared" si="10"/>
        <v>231135</v>
      </c>
      <c r="J111" s="852">
        <f t="shared" si="11"/>
        <v>92669.18</v>
      </c>
      <c r="K111" s="1055">
        <f t="shared" si="12"/>
        <v>161902.09</v>
      </c>
    </row>
    <row r="112" spans="1:11" ht="15" customHeight="1" x14ac:dyDescent="0.3">
      <c r="A112" s="609" t="s">
        <v>144</v>
      </c>
      <c r="B112" s="614" t="s">
        <v>145</v>
      </c>
      <c r="C112" s="778" t="s">
        <v>255</v>
      </c>
      <c r="D112" s="851">
        <v>81558.179999999993</v>
      </c>
      <c r="E112" s="851">
        <v>0</v>
      </c>
      <c r="F112" s="851">
        <v>81558.179999999993</v>
      </c>
      <c r="G112" s="853">
        <v>0</v>
      </c>
      <c r="H112" s="853">
        <v>109248.07999999999</v>
      </c>
      <c r="I112" s="1055">
        <f t="shared" si="10"/>
        <v>272364.43999999994</v>
      </c>
      <c r="J112" s="852">
        <f t="shared" si="11"/>
        <v>109248.07999999999</v>
      </c>
      <c r="K112" s="1055">
        <f t="shared" si="12"/>
        <v>190806.25999999998</v>
      </c>
    </row>
    <row r="113" spans="1:11" ht="15" customHeight="1" x14ac:dyDescent="0.3">
      <c r="A113" s="609" t="s">
        <v>158</v>
      </c>
      <c r="B113" s="614" t="s">
        <v>159</v>
      </c>
      <c r="C113" s="778" t="s">
        <v>252</v>
      </c>
      <c r="D113" s="851">
        <v>984900.59</v>
      </c>
      <c r="E113" s="851">
        <v>0</v>
      </c>
      <c r="F113" s="851">
        <v>984900.59</v>
      </c>
      <c r="G113" s="853">
        <v>0</v>
      </c>
      <c r="H113" s="853">
        <v>1318302.82</v>
      </c>
      <c r="I113" s="1055">
        <f t="shared" si="10"/>
        <v>3288104</v>
      </c>
      <c r="J113" s="852">
        <f t="shared" si="11"/>
        <v>1318302.82</v>
      </c>
      <c r="K113" s="1055">
        <f t="shared" si="12"/>
        <v>2303203.41</v>
      </c>
    </row>
    <row r="114" spans="1:11" ht="15" customHeight="1" x14ac:dyDescent="0.3">
      <c r="A114" s="609" t="s">
        <v>160</v>
      </c>
      <c r="B114" s="614" t="s">
        <v>161</v>
      </c>
      <c r="C114" s="778" t="s">
        <v>252</v>
      </c>
      <c r="D114" s="851">
        <v>725652.13</v>
      </c>
      <c r="E114" s="851">
        <v>0</v>
      </c>
      <c r="F114" s="851">
        <v>725652.13</v>
      </c>
      <c r="G114" s="853">
        <v>0</v>
      </c>
      <c r="H114" s="853">
        <v>971295.24999999977</v>
      </c>
      <c r="I114" s="1055">
        <f t="shared" si="10"/>
        <v>2422599.5099999998</v>
      </c>
      <c r="J114" s="852">
        <f t="shared" si="11"/>
        <v>971295.24999999977</v>
      </c>
      <c r="K114" s="1055">
        <f t="shared" si="12"/>
        <v>1696947.38</v>
      </c>
    </row>
    <row r="115" spans="1:11" ht="15" customHeight="1" x14ac:dyDescent="0.3">
      <c r="A115" s="609" t="s">
        <v>166</v>
      </c>
      <c r="B115" s="614" t="s">
        <v>167</v>
      </c>
      <c r="C115" s="778" t="s">
        <v>256</v>
      </c>
      <c r="D115" s="851">
        <v>25328.04</v>
      </c>
      <c r="E115" s="851">
        <v>0</v>
      </c>
      <c r="F115" s="851">
        <v>25328.04</v>
      </c>
      <c r="G115" s="853">
        <v>0</v>
      </c>
      <c r="H115" s="853">
        <v>33901.920000000006</v>
      </c>
      <c r="I115" s="1055">
        <f t="shared" si="10"/>
        <v>84558</v>
      </c>
      <c r="J115" s="852">
        <f t="shared" si="11"/>
        <v>33901.920000000006</v>
      </c>
      <c r="K115" s="1055">
        <f t="shared" si="12"/>
        <v>59229.960000000006</v>
      </c>
    </row>
    <row r="116" spans="1:11" ht="15" customHeight="1" x14ac:dyDescent="0.3">
      <c r="A116" s="609" t="s">
        <v>176</v>
      </c>
      <c r="B116" s="614" t="s">
        <v>177</v>
      </c>
      <c r="C116" s="778" t="s">
        <v>254</v>
      </c>
      <c r="D116" s="851">
        <v>266357.15999999997</v>
      </c>
      <c r="E116" s="851">
        <v>0</v>
      </c>
      <c r="F116" s="851">
        <v>266357.15999999997</v>
      </c>
      <c r="G116" s="853">
        <v>-11118</v>
      </c>
      <c r="H116" s="853">
        <v>356522.67999999993</v>
      </c>
      <c r="I116" s="1055">
        <f t="shared" si="10"/>
        <v>878118.99999999988</v>
      </c>
      <c r="J116" s="852">
        <f t="shared" si="11"/>
        <v>345404.67999999993</v>
      </c>
      <c r="K116" s="1055">
        <f t="shared" si="12"/>
        <v>611761.83999999985</v>
      </c>
    </row>
    <row r="117" spans="1:11" ht="15" customHeight="1" x14ac:dyDescent="0.3">
      <c r="A117" s="609" t="s">
        <v>180</v>
      </c>
      <c r="B117" s="614" t="s">
        <v>181</v>
      </c>
      <c r="C117" s="778" t="s">
        <v>252</v>
      </c>
      <c r="D117" s="851">
        <v>259681.13</v>
      </c>
      <c r="E117" s="851">
        <v>0</v>
      </c>
      <c r="F117" s="851">
        <v>259681.13</v>
      </c>
      <c r="G117" s="853">
        <v>125640.54</v>
      </c>
      <c r="H117" s="853">
        <v>347586.74</v>
      </c>
      <c r="I117" s="1055">
        <f t="shared" si="10"/>
        <v>992589.54</v>
      </c>
      <c r="J117" s="852">
        <f t="shared" si="11"/>
        <v>473227.27999999997</v>
      </c>
      <c r="K117" s="1055">
        <f t="shared" si="12"/>
        <v>732908.40999999992</v>
      </c>
    </row>
    <row r="118" spans="1:11" ht="15" customHeight="1" x14ac:dyDescent="0.3">
      <c r="A118" s="609" t="s">
        <v>192</v>
      </c>
      <c r="B118" s="614" t="s">
        <v>193</v>
      </c>
      <c r="C118" s="778" t="s">
        <v>256</v>
      </c>
      <c r="D118" s="851">
        <v>29027.89</v>
      </c>
      <c r="E118" s="851">
        <v>0</v>
      </c>
      <c r="F118" s="851">
        <v>29027.89</v>
      </c>
      <c r="G118" s="853">
        <v>0</v>
      </c>
      <c r="H118" s="853">
        <v>38854.22</v>
      </c>
      <c r="I118" s="1055">
        <f t="shared" si="10"/>
        <v>96910</v>
      </c>
      <c r="J118" s="852">
        <f t="shared" si="11"/>
        <v>38854.22</v>
      </c>
      <c r="K118" s="1055">
        <f t="shared" si="12"/>
        <v>67882.11</v>
      </c>
    </row>
    <row r="119" spans="1:11" ht="15" customHeight="1" x14ac:dyDescent="0.3">
      <c r="A119" s="609" t="s">
        <v>196</v>
      </c>
      <c r="B119" s="614" t="s">
        <v>300</v>
      </c>
      <c r="C119" s="778" t="s">
        <v>254</v>
      </c>
      <c r="D119" s="851">
        <v>973100.13</v>
      </c>
      <c r="E119" s="851">
        <v>0</v>
      </c>
      <c r="F119" s="851">
        <v>973100.13</v>
      </c>
      <c r="G119" s="853">
        <v>22552.959999999999</v>
      </c>
      <c r="H119" s="853">
        <v>1302507.7399999998</v>
      </c>
      <c r="I119" s="1055">
        <f t="shared" si="10"/>
        <v>3271260.96</v>
      </c>
      <c r="J119" s="852">
        <f t="shared" si="11"/>
        <v>1325060.6999999997</v>
      </c>
      <c r="K119" s="1055">
        <f t="shared" si="12"/>
        <v>2298160.8299999996</v>
      </c>
    </row>
    <row r="120" spans="1:11" ht="15" customHeight="1" x14ac:dyDescent="0.3">
      <c r="A120" s="609" t="s">
        <v>200</v>
      </c>
      <c r="B120" s="614" t="s">
        <v>301</v>
      </c>
      <c r="C120" s="778" t="s">
        <v>253</v>
      </c>
      <c r="D120" s="851">
        <v>704166.37</v>
      </c>
      <c r="E120" s="851">
        <v>0</v>
      </c>
      <c r="F120" s="851">
        <v>704166.37</v>
      </c>
      <c r="G120" s="853">
        <v>0</v>
      </c>
      <c r="H120" s="853">
        <v>942536.25999999978</v>
      </c>
      <c r="I120" s="1055">
        <f t="shared" si="10"/>
        <v>2350869</v>
      </c>
      <c r="J120" s="852">
        <f t="shared" si="11"/>
        <v>942536.25999999978</v>
      </c>
      <c r="K120" s="1055">
        <f t="shared" si="12"/>
        <v>1646702.63</v>
      </c>
    </row>
    <row r="121" spans="1:11" ht="15" customHeight="1" x14ac:dyDescent="0.3">
      <c r="A121" s="609" t="s">
        <v>222</v>
      </c>
      <c r="B121" s="614" t="s">
        <v>223</v>
      </c>
      <c r="C121" s="778" t="s">
        <v>252</v>
      </c>
      <c r="D121" s="851">
        <v>183471.47</v>
      </c>
      <c r="E121" s="851">
        <v>0</v>
      </c>
      <c r="F121" s="851">
        <v>183471.47</v>
      </c>
      <c r="G121" s="853">
        <v>3616.84</v>
      </c>
      <c r="H121" s="853">
        <v>245579.06000000006</v>
      </c>
      <c r="I121" s="1055">
        <f t="shared" si="10"/>
        <v>616138.84000000008</v>
      </c>
      <c r="J121" s="852">
        <f t="shared" si="11"/>
        <v>249195.90000000005</v>
      </c>
      <c r="K121" s="1055">
        <f t="shared" si="12"/>
        <v>432667.37000000005</v>
      </c>
    </row>
    <row r="122" spans="1:11" ht="15" customHeight="1" x14ac:dyDescent="0.3">
      <c r="A122" s="609" t="s">
        <v>230</v>
      </c>
      <c r="B122" s="614" t="s">
        <v>231</v>
      </c>
      <c r="C122" s="778" t="s">
        <v>252</v>
      </c>
      <c r="D122" s="851">
        <v>927906.06</v>
      </c>
      <c r="E122" s="851">
        <v>0</v>
      </c>
      <c r="F122" s="851">
        <v>927906.06</v>
      </c>
      <c r="G122" s="853">
        <v>0</v>
      </c>
      <c r="H122" s="853">
        <v>1242014.8799999999</v>
      </c>
      <c r="I122" s="1055">
        <f t="shared" si="10"/>
        <v>3097827</v>
      </c>
      <c r="J122" s="852">
        <f t="shared" si="11"/>
        <v>1242014.8799999999</v>
      </c>
      <c r="K122" s="1055">
        <f t="shared" si="12"/>
        <v>2169920.94</v>
      </c>
    </row>
    <row r="123" spans="1:11" ht="15" customHeight="1" x14ac:dyDescent="0.3">
      <c r="A123" s="609" t="s">
        <v>238</v>
      </c>
      <c r="B123" s="614" t="s">
        <v>239</v>
      </c>
      <c r="C123" s="778" t="s">
        <v>252</v>
      </c>
      <c r="D123" s="851">
        <v>99647.63</v>
      </c>
      <c r="E123" s="851">
        <v>0</v>
      </c>
      <c r="F123" s="851">
        <v>99647.63</v>
      </c>
      <c r="G123" s="853">
        <v>0</v>
      </c>
      <c r="H123" s="853">
        <v>133379.74</v>
      </c>
      <c r="I123" s="1055">
        <f t="shared" si="10"/>
        <v>332675</v>
      </c>
      <c r="J123" s="852">
        <f t="shared" si="11"/>
        <v>133379.74</v>
      </c>
      <c r="K123" s="1055">
        <f t="shared" si="12"/>
        <v>233027.37</v>
      </c>
    </row>
    <row r="124" spans="1:11" ht="15" customHeight="1" x14ac:dyDescent="0.3">
      <c r="A124" s="609" t="s">
        <v>240</v>
      </c>
      <c r="B124" s="614" t="s">
        <v>241</v>
      </c>
      <c r="C124" s="778" t="s">
        <v>255</v>
      </c>
      <c r="D124" s="851">
        <v>88519.34</v>
      </c>
      <c r="E124" s="851">
        <v>0</v>
      </c>
      <c r="F124" s="851">
        <v>88519.34</v>
      </c>
      <c r="G124" s="853">
        <v>3210.88</v>
      </c>
      <c r="H124" s="853">
        <v>118484.32</v>
      </c>
      <c r="I124" s="1055">
        <f t="shared" si="10"/>
        <v>298733.88</v>
      </c>
      <c r="J124" s="852">
        <f t="shared" si="11"/>
        <v>121695.20000000001</v>
      </c>
      <c r="K124" s="1055">
        <f t="shared" si="12"/>
        <v>210214.54</v>
      </c>
    </row>
    <row r="126" spans="1:11" x14ac:dyDescent="0.3">
      <c r="A126" s="263" t="s">
        <v>254</v>
      </c>
      <c r="D126" s="1244">
        <v>3779077.86</v>
      </c>
      <c r="E126" s="1244">
        <v>0</v>
      </c>
      <c r="F126" s="1244">
        <v>3779077.86</v>
      </c>
      <c r="G126" s="1244">
        <v>199540.02000000002</v>
      </c>
      <c r="H126" s="1244">
        <v>5058347.28</v>
      </c>
      <c r="I126" s="1244">
        <f>SUM(D126:H126)</f>
        <v>12816043.02</v>
      </c>
      <c r="J126" s="1244">
        <f>G126+H126</f>
        <v>5257887.3000000007</v>
      </c>
      <c r="K126" s="1244">
        <f>F126+G126+H126</f>
        <v>9036965.1600000001</v>
      </c>
    </row>
    <row r="127" spans="1:11" x14ac:dyDescent="0.3">
      <c r="A127" s="263" t="s">
        <v>252</v>
      </c>
      <c r="D127" s="1244">
        <v>4971259.4899999993</v>
      </c>
      <c r="E127" s="1244">
        <v>0</v>
      </c>
      <c r="F127" s="1244">
        <v>4971259.4899999993</v>
      </c>
      <c r="G127" s="1244">
        <v>195067.62999999998</v>
      </c>
      <c r="H127" s="1244">
        <v>6654098.5300000003</v>
      </c>
      <c r="I127" s="1244">
        <f t="shared" ref="I127:I130" si="13">SUM(D127:H127)</f>
        <v>16791685.140000001</v>
      </c>
      <c r="J127" s="1244">
        <f t="shared" ref="J127:J130" si="14">G127+H127</f>
        <v>6849166.1600000001</v>
      </c>
      <c r="K127" s="1244">
        <f t="shared" ref="K127:K130" si="15">F127+G127+H127</f>
        <v>11820425.649999999</v>
      </c>
    </row>
    <row r="128" spans="1:11" x14ac:dyDescent="0.3">
      <c r="A128" s="263" t="s">
        <v>255</v>
      </c>
      <c r="D128" s="1244">
        <v>7727892.0600000015</v>
      </c>
      <c r="E128" s="1244">
        <v>0</v>
      </c>
      <c r="F128" s="1244">
        <v>7727892.0600000015</v>
      </c>
      <c r="G128" s="1244">
        <v>49901.13</v>
      </c>
      <c r="H128" s="1244">
        <v>10343969.819999998</v>
      </c>
      <c r="I128" s="1244">
        <f t="shared" si="13"/>
        <v>25849655.07</v>
      </c>
      <c r="J128" s="1244">
        <f t="shared" si="14"/>
        <v>10393870.949999999</v>
      </c>
      <c r="K128" s="1244">
        <f t="shared" si="15"/>
        <v>18121763.009999998</v>
      </c>
    </row>
    <row r="129" spans="1:11" x14ac:dyDescent="0.3">
      <c r="A129" s="263" t="s">
        <v>253</v>
      </c>
      <c r="D129" s="1244">
        <v>3709050.5000000009</v>
      </c>
      <c r="E129" s="1244">
        <v>0</v>
      </c>
      <c r="F129" s="1244">
        <v>3709050.5000000009</v>
      </c>
      <c r="G129" s="1244">
        <v>108050.04</v>
      </c>
      <c r="H129" s="1244">
        <v>4964614.49</v>
      </c>
      <c r="I129" s="1244">
        <f t="shared" si="13"/>
        <v>12490765.530000001</v>
      </c>
      <c r="J129" s="1244">
        <f t="shared" si="14"/>
        <v>5072664.53</v>
      </c>
      <c r="K129" s="1244">
        <f t="shared" si="15"/>
        <v>8781715.0300000012</v>
      </c>
    </row>
    <row r="130" spans="1:11" x14ac:dyDescent="0.3">
      <c r="A130" s="263" t="s">
        <v>256</v>
      </c>
      <c r="D130" s="1244">
        <v>1464267.5</v>
      </c>
      <c r="E130" s="1244">
        <v>0</v>
      </c>
      <c r="F130" s="1244">
        <v>1464267.5</v>
      </c>
      <c r="G130" s="1244">
        <v>35523.770000000004</v>
      </c>
      <c r="H130" s="1244">
        <v>1959941.9999999998</v>
      </c>
      <c r="I130" s="1244">
        <f t="shared" si="13"/>
        <v>4924000.7699999996</v>
      </c>
      <c r="J130" s="1244">
        <f t="shared" si="14"/>
        <v>1995465.7699999998</v>
      </c>
      <c r="K130" s="1244">
        <f t="shared" si="15"/>
        <v>3459733.2699999996</v>
      </c>
    </row>
    <row r="131" spans="1:11" x14ac:dyDescent="0.3">
      <c r="A131" s="263" t="s">
        <v>9</v>
      </c>
      <c r="D131" s="1245">
        <f>SUM(D126:D130)</f>
        <v>21651547.41</v>
      </c>
      <c r="E131" s="1245">
        <f t="shared" ref="E131:H131" si="16">SUM(E126:E130)</f>
        <v>0</v>
      </c>
      <c r="F131" s="1245">
        <f t="shared" si="16"/>
        <v>21651547.41</v>
      </c>
      <c r="G131" s="1245">
        <f t="shared" si="16"/>
        <v>588082.59000000008</v>
      </c>
      <c r="H131" s="1245">
        <f t="shared" si="16"/>
        <v>28980972.119999997</v>
      </c>
      <c r="I131" s="1245">
        <f>SUM(I126:I130)</f>
        <v>72872149.530000001</v>
      </c>
      <c r="J131" s="1245">
        <f>SUM(J126:J130)</f>
        <v>29569054.710000001</v>
      </c>
      <c r="K131" s="1245">
        <f>SUM(K126:K130)</f>
        <v>51220602.11999999</v>
      </c>
    </row>
    <row r="133" spans="1:11" s="339" customFormat="1" x14ac:dyDescent="0.3">
      <c r="A133" s="839" t="s">
        <v>1115</v>
      </c>
      <c r="B133" s="605"/>
      <c r="C133" s="605"/>
      <c r="D133" s="558"/>
    </row>
    <row r="134" spans="1:11" s="339" customFormat="1" x14ac:dyDescent="0.3"/>
    <row r="135" spans="1:11" s="359" customFormat="1" x14ac:dyDescent="0.3">
      <c r="A135" s="359" t="s">
        <v>248</v>
      </c>
    </row>
    <row r="136" spans="1:11" x14ac:dyDescent="0.3">
      <c r="A136" s="360" t="s">
        <v>249</v>
      </c>
      <c r="B136" s="361" t="s">
        <v>250</v>
      </c>
      <c r="C136" s="361"/>
    </row>
  </sheetData>
  <autoFilter ref="A3:C124"/>
  <sortState ref="A5:K124">
    <sortCondition ref="A5:A124"/>
  </sortState>
  <hyperlinks>
    <hyperlink ref="B136" r:id="rId1"/>
  </hyperlinks>
  <pageMargins left="0.7" right="0.7" top="0.75" bottom="0.75" header="0.3" footer="0.3"/>
  <pageSetup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6"/>
  <sheetViews>
    <sheetView zoomScale="110" zoomScaleNormal="110" workbookViewId="0">
      <pane xSplit="3" ySplit="4" topLeftCell="D5" activePane="bottomRight" state="frozen"/>
      <selection pane="topRight" activeCell="D1" sqref="D1"/>
      <selection pane="bottomLeft" activeCell="A6" sqref="A6"/>
      <selection pane="bottomRight" activeCell="A124" sqref="A5:XFD124"/>
    </sheetView>
  </sheetViews>
  <sheetFormatPr defaultColWidth="9" defaultRowHeight="15.6" x14ac:dyDescent="0.3"/>
  <cols>
    <col min="1" max="1" width="9.5" style="263" customWidth="1"/>
    <col min="2" max="2" width="30.69921875" style="263" customWidth="1"/>
    <col min="3" max="3" width="16" style="263" customWidth="1"/>
    <col min="4" max="11" width="12.796875" style="263" customWidth="1"/>
    <col min="12" max="16384" width="9" style="263"/>
  </cols>
  <sheetData>
    <row r="1" spans="1:11" x14ac:dyDescent="0.3">
      <c r="A1" s="64" t="s">
        <v>1132</v>
      </c>
      <c r="D1" s="611"/>
    </row>
    <row r="2" spans="1:11" x14ac:dyDescent="0.3">
      <c r="F2" s="611"/>
      <c r="G2" s="611"/>
    </row>
    <row r="3" spans="1:11" s="1605" customFormat="1" ht="34.5" customHeight="1" x14ac:dyDescent="0.3">
      <c r="A3" s="1599" t="s">
        <v>4</v>
      </c>
      <c r="B3" s="1600" t="s">
        <v>5</v>
      </c>
      <c r="C3" s="1600" t="s">
        <v>251</v>
      </c>
      <c r="D3" s="1601" t="s">
        <v>302</v>
      </c>
      <c r="E3" s="1602" t="s">
        <v>303</v>
      </c>
      <c r="F3" s="1602" t="s">
        <v>304</v>
      </c>
      <c r="G3" s="1602" t="s">
        <v>739</v>
      </c>
      <c r="H3" s="1602" t="s">
        <v>740</v>
      </c>
      <c r="I3" s="1602" t="s">
        <v>269</v>
      </c>
      <c r="J3" s="1603" t="s">
        <v>311</v>
      </c>
      <c r="K3" s="1604" t="s">
        <v>742</v>
      </c>
    </row>
    <row r="4" spans="1:11" s="1605" customFormat="1" ht="14.4" x14ac:dyDescent="0.3">
      <c r="A4" s="1606">
        <v>999</v>
      </c>
      <c r="B4" s="1607" t="s">
        <v>9</v>
      </c>
      <c r="C4" s="1607"/>
      <c r="D4" s="1608">
        <f t="shared" ref="D4:K4" si="0">SUM(D5:D124)</f>
        <v>12276416.75</v>
      </c>
      <c r="E4" s="1609">
        <f t="shared" si="0"/>
        <v>8133023.4600000009</v>
      </c>
      <c r="F4" s="1609">
        <f t="shared" si="0"/>
        <v>4138339.3400000012</v>
      </c>
      <c r="G4" s="1609">
        <f t="shared" si="0"/>
        <v>1253778.7699999998</v>
      </c>
      <c r="H4" s="1609">
        <f t="shared" si="0"/>
        <v>3235963.3800000004</v>
      </c>
      <c r="I4" s="1609">
        <f t="shared" si="0"/>
        <v>29037521.699999999</v>
      </c>
      <c r="J4" s="1609">
        <f t="shared" si="0"/>
        <v>4489742.1500000041</v>
      </c>
      <c r="K4" s="1610">
        <f t="shared" si="0"/>
        <v>8628081.4900000002</v>
      </c>
    </row>
    <row r="5" spans="1:11" s="1605" customFormat="1" ht="15" customHeight="1" x14ac:dyDescent="0.3">
      <c r="A5" s="1611" t="s">
        <v>10</v>
      </c>
      <c r="B5" s="1612" t="s">
        <v>11</v>
      </c>
      <c r="C5" s="1613" t="s">
        <v>252</v>
      </c>
      <c r="D5" s="1614">
        <v>62569.990782588786</v>
      </c>
      <c r="E5" s="1615">
        <v>7810.7092174112195</v>
      </c>
      <c r="F5" s="1615">
        <v>18677.370000000003</v>
      </c>
      <c r="G5" s="1615">
        <v>-0.17</v>
      </c>
      <c r="H5" s="1615">
        <v>0</v>
      </c>
      <c r="I5" s="1615">
        <f t="shared" ref="I5:I36" si="1">SUM(D5:H5)</f>
        <v>89057.900000000009</v>
      </c>
      <c r="J5" s="1615">
        <f t="shared" ref="J5:J36" si="2">G5+H5</f>
        <v>-0.17</v>
      </c>
      <c r="K5" s="1616">
        <f t="shared" ref="K5:K36" si="3">F5+J5</f>
        <v>18677.200000000004</v>
      </c>
    </row>
    <row r="6" spans="1:11" s="1605" customFormat="1" ht="15" customHeight="1" x14ac:dyDescent="0.3">
      <c r="A6" s="1617" t="s">
        <v>12</v>
      </c>
      <c r="B6" s="1618" t="s">
        <v>13</v>
      </c>
      <c r="C6" s="1619" t="s">
        <v>253</v>
      </c>
      <c r="D6" s="1620">
        <v>182777.05894758142</v>
      </c>
      <c r="E6" s="1621">
        <v>68490.481052418574</v>
      </c>
      <c r="F6" s="1621">
        <v>50189.69</v>
      </c>
      <c r="G6" s="1621">
        <v>31923.14</v>
      </c>
      <c r="H6" s="1621">
        <v>3882.45</v>
      </c>
      <c r="I6" s="1621">
        <f t="shared" si="1"/>
        <v>337262.82</v>
      </c>
      <c r="J6" s="1621">
        <f t="shared" si="2"/>
        <v>35805.589999999997</v>
      </c>
      <c r="K6" s="1622">
        <f t="shared" si="3"/>
        <v>85995.28</v>
      </c>
    </row>
    <row r="7" spans="1:11" s="1605" customFormat="1" ht="15" customHeight="1" x14ac:dyDescent="0.3">
      <c r="A7" s="1617" t="s">
        <v>16</v>
      </c>
      <c r="B7" s="1618" t="s">
        <v>285</v>
      </c>
      <c r="C7" s="1619" t="s">
        <v>253</v>
      </c>
      <c r="D7" s="1620">
        <v>67416.715841006779</v>
      </c>
      <c r="E7" s="1621">
        <v>10322.494158993211</v>
      </c>
      <c r="F7" s="1621">
        <v>17197.11</v>
      </c>
      <c r="G7" s="1621">
        <v>-5.2041704279304213E-18</v>
      </c>
      <c r="H7" s="1621">
        <v>0</v>
      </c>
      <c r="I7" s="1621">
        <f t="shared" si="1"/>
        <v>94936.319999999992</v>
      </c>
      <c r="J7" s="1621">
        <f t="shared" si="2"/>
        <v>-5.2041704279304213E-18</v>
      </c>
      <c r="K7" s="1622">
        <f t="shared" si="3"/>
        <v>17197.11</v>
      </c>
    </row>
    <row r="8" spans="1:11" s="1605" customFormat="1" ht="15" customHeight="1" x14ac:dyDescent="0.3">
      <c r="A8" s="1617" t="s">
        <v>18</v>
      </c>
      <c r="B8" s="1618" t="s">
        <v>19</v>
      </c>
      <c r="C8" s="1619" t="s">
        <v>254</v>
      </c>
      <c r="D8" s="1620">
        <v>12511.365356243461</v>
      </c>
      <c r="E8" s="1621">
        <v>6881.9346437565382</v>
      </c>
      <c r="F8" s="1621">
        <v>3589.9499999999994</v>
      </c>
      <c r="G8" s="1621">
        <v>9.9999999999999967E-3</v>
      </c>
      <c r="H8" s="1621">
        <v>0</v>
      </c>
      <c r="I8" s="1621">
        <f t="shared" si="1"/>
        <v>22983.26</v>
      </c>
      <c r="J8" s="1621">
        <f t="shared" si="2"/>
        <v>9.9999999999999967E-3</v>
      </c>
      <c r="K8" s="1622">
        <f t="shared" si="3"/>
        <v>3589.9599999999996</v>
      </c>
    </row>
    <row r="9" spans="1:11" s="1605" customFormat="1" ht="15" customHeight="1" x14ac:dyDescent="0.3">
      <c r="A9" s="1617" t="s">
        <v>20</v>
      </c>
      <c r="B9" s="1618" t="s">
        <v>21</v>
      </c>
      <c r="C9" s="1619" t="s">
        <v>253</v>
      </c>
      <c r="D9" s="1620">
        <v>41626.535426389572</v>
      </c>
      <c r="E9" s="1621">
        <v>10360.054573610427</v>
      </c>
      <c r="F9" s="1621">
        <v>10997.05</v>
      </c>
      <c r="G9" s="1621">
        <v>-4.9999999999999996E-2</v>
      </c>
      <c r="H9" s="1621">
        <v>0</v>
      </c>
      <c r="I9" s="1621">
        <f t="shared" si="1"/>
        <v>62983.59</v>
      </c>
      <c r="J9" s="1621">
        <f t="shared" si="2"/>
        <v>-4.9999999999999996E-2</v>
      </c>
      <c r="K9" s="1622">
        <f t="shared" si="3"/>
        <v>10997</v>
      </c>
    </row>
    <row r="10" spans="1:11" s="1605" customFormat="1" ht="15" customHeight="1" x14ac:dyDescent="0.3">
      <c r="A10" s="1617" t="s">
        <v>22</v>
      </c>
      <c r="B10" s="1618" t="s">
        <v>23</v>
      </c>
      <c r="C10" s="1619" t="s">
        <v>253</v>
      </c>
      <c r="D10" s="1620">
        <v>20448.404174830892</v>
      </c>
      <c r="E10" s="1621">
        <v>27158.995825169106</v>
      </c>
      <c r="F10" s="1621">
        <v>8420.4600000000009</v>
      </c>
      <c r="G10" s="1621">
        <v>-0.06</v>
      </c>
      <c r="H10" s="1621">
        <v>0</v>
      </c>
      <c r="I10" s="1621">
        <f t="shared" si="1"/>
        <v>56027.799999999996</v>
      </c>
      <c r="J10" s="1621">
        <f t="shared" si="2"/>
        <v>-0.06</v>
      </c>
      <c r="K10" s="1622">
        <f t="shared" si="3"/>
        <v>8420.4000000000015</v>
      </c>
    </row>
    <row r="11" spans="1:11" s="1605" customFormat="1" ht="15" customHeight="1" x14ac:dyDescent="0.3">
      <c r="A11" s="1617" t="s">
        <v>24</v>
      </c>
      <c r="B11" s="1618" t="s">
        <v>25</v>
      </c>
      <c r="C11" s="1619" t="s">
        <v>255</v>
      </c>
      <c r="D11" s="1620">
        <v>362672.81437970704</v>
      </c>
      <c r="E11" s="1621">
        <v>77750.385620292975</v>
      </c>
      <c r="F11" s="1621">
        <v>103785.57</v>
      </c>
      <c r="G11" s="1621">
        <v>882621.88</v>
      </c>
      <c r="H11" s="1621">
        <v>0</v>
      </c>
      <c r="I11" s="1621">
        <f t="shared" si="1"/>
        <v>1426830.65</v>
      </c>
      <c r="J11" s="1621">
        <f t="shared" si="2"/>
        <v>882621.88</v>
      </c>
      <c r="K11" s="1622">
        <f t="shared" si="3"/>
        <v>986407.45</v>
      </c>
    </row>
    <row r="12" spans="1:11" s="1605" customFormat="1" ht="15" customHeight="1" x14ac:dyDescent="0.3">
      <c r="A12" s="1617" t="s">
        <v>26</v>
      </c>
      <c r="B12" s="1618" t="s">
        <v>547</v>
      </c>
      <c r="C12" s="1619" t="s">
        <v>253</v>
      </c>
      <c r="D12" s="1620">
        <v>151709.43519693473</v>
      </c>
      <c r="E12" s="1621">
        <v>182549.17480306528</v>
      </c>
      <c r="F12" s="1621">
        <v>60485.22</v>
      </c>
      <c r="G12" s="1621">
        <v>-0.18999999999999997</v>
      </c>
      <c r="H12" s="1621">
        <v>0</v>
      </c>
      <c r="I12" s="1621">
        <f t="shared" si="1"/>
        <v>394743.63999999996</v>
      </c>
      <c r="J12" s="1621">
        <f t="shared" si="2"/>
        <v>-0.18999999999999997</v>
      </c>
      <c r="K12" s="1622">
        <f t="shared" si="3"/>
        <v>60485.03</v>
      </c>
    </row>
    <row r="13" spans="1:11" s="1605" customFormat="1" ht="15" customHeight="1" x14ac:dyDescent="0.3">
      <c r="A13" s="1617" t="s">
        <v>27</v>
      </c>
      <c r="B13" s="1618" t="s">
        <v>28</v>
      </c>
      <c r="C13" s="1619" t="s">
        <v>253</v>
      </c>
      <c r="D13" s="1620">
        <v>6461.27</v>
      </c>
      <c r="E13" s="1621">
        <v>1026.67</v>
      </c>
      <c r="F13" s="1621">
        <v>1373.52</v>
      </c>
      <c r="G13" s="1621">
        <v>0.01</v>
      </c>
      <c r="H13" s="1621">
        <v>0</v>
      </c>
      <c r="I13" s="1621">
        <f t="shared" si="1"/>
        <v>8861.4700000000012</v>
      </c>
      <c r="J13" s="1621">
        <f t="shared" si="2"/>
        <v>0.01</v>
      </c>
      <c r="K13" s="1622">
        <f t="shared" si="3"/>
        <v>1373.53</v>
      </c>
    </row>
    <row r="14" spans="1:11" s="1605" customFormat="1" ht="15" customHeight="1" x14ac:dyDescent="0.3">
      <c r="A14" s="1617" t="s">
        <v>29</v>
      </c>
      <c r="B14" s="1618" t="s">
        <v>736</v>
      </c>
      <c r="C14" s="1619" t="s">
        <v>253</v>
      </c>
      <c r="D14" s="1620">
        <v>116651.5070814519</v>
      </c>
      <c r="E14" s="1621">
        <v>91503.032918548095</v>
      </c>
      <c r="F14" s="1621">
        <v>37152.32</v>
      </c>
      <c r="G14" s="1621">
        <v>-0.12000000000000001</v>
      </c>
      <c r="H14" s="1621">
        <v>254.6</v>
      </c>
      <c r="I14" s="1621">
        <f t="shared" si="1"/>
        <v>245561.34</v>
      </c>
      <c r="J14" s="1621">
        <f t="shared" si="2"/>
        <v>254.48</v>
      </c>
      <c r="K14" s="1622">
        <f t="shared" si="3"/>
        <v>37406.800000000003</v>
      </c>
    </row>
    <row r="15" spans="1:11" s="1605" customFormat="1" ht="15" customHeight="1" x14ac:dyDescent="0.3">
      <c r="A15" s="1617" t="s">
        <v>30</v>
      </c>
      <c r="B15" s="1618" t="s">
        <v>31</v>
      </c>
      <c r="C15" s="1619" t="s">
        <v>256</v>
      </c>
      <c r="D15" s="1620">
        <v>43944.289584246202</v>
      </c>
      <c r="E15" s="1621">
        <v>5279.430415753799</v>
      </c>
      <c r="F15" s="1621">
        <v>11308.810000000001</v>
      </c>
      <c r="G15" s="1621">
        <v>-0.04</v>
      </c>
      <c r="H15" s="1621">
        <v>1649.37</v>
      </c>
      <c r="I15" s="1621">
        <f t="shared" si="1"/>
        <v>62181.86</v>
      </c>
      <c r="J15" s="1621">
        <f t="shared" si="2"/>
        <v>1649.33</v>
      </c>
      <c r="K15" s="1622">
        <f t="shared" si="3"/>
        <v>12958.140000000001</v>
      </c>
    </row>
    <row r="16" spans="1:11" s="1605" customFormat="1" ht="15" customHeight="1" x14ac:dyDescent="0.3">
      <c r="A16" s="1617" t="s">
        <v>32</v>
      </c>
      <c r="B16" s="1618" t="s">
        <v>33</v>
      </c>
      <c r="C16" s="1619" t="s">
        <v>253</v>
      </c>
      <c r="D16" s="1620">
        <v>36845.770544606181</v>
      </c>
      <c r="E16" s="1621">
        <v>10202.319455393817</v>
      </c>
      <c r="F16" s="1621">
        <v>9590.73</v>
      </c>
      <c r="G16" s="1621">
        <v>0.03</v>
      </c>
      <c r="H16" s="1621">
        <v>0</v>
      </c>
      <c r="I16" s="1621">
        <f t="shared" si="1"/>
        <v>56638.849999999991</v>
      </c>
      <c r="J16" s="1621">
        <f t="shared" si="2"/>
        <v>0.03</v>
      </c>
      <c r="K16" s="1622">
        <f t="shared" si="3"/>
        <v>9590.76</v>
      </c>
    </row>
    <row r="17" spans="1:11" s="1605" customFormat="1" ht="15" customHeight="1" x14ac:dyDescent="0.3">
      <c r="A17" s="1617" t="s">
        <v>36</v>
      </c>
      <c r="B17" s="1618" t="s">
        <v>37</v>
      </c>
      <c r="C17" s="1619" t="s">
        <v>252</v>
      </c>
      <c r="D17" s="1620">
        <v>52808.191709979481</v>
      </c>
      <c r="E17" s="1621">
        <v>26543.208290020517</v>
      </c>
      <c r="F17" s="1621">
        <v>16357.08</v>
      </c>
      <c r="G17" s="1621">
        <v>-3.9999999999999994E-2</v>
      </c>
      <c r="H17" s="1621">
        <v>0</v>
      </c>
      <c r="I17" s="1621">
        <f t="shared" si="1"/>
        <v>95708.44</v>
      </c>
      <c r="J17" s="1621">
        <f t="shared" si="2"/>
        <v>-3.9999999999999994E-2</v>
      </c>
      <c r="K17" s="1622">
        <f t="shared" si="3"/>
        <v>16357.039999999999</v>
      </c>
    </row>
    <row r="18" spans="1:11" s="1605" customFormat="1" ht="15" customHeight="1" x14ac:dyDescent="0.3">
      <c r="A18" s="1617" t="s">
        <v>38</v>
      </c>
      <c r="B18" s="1618" t="s">
        <v>39</v>
      </c>
      <c r="C18" s="1619" t="s">
        <v>256</v>
      </c>
      <c r="D18" s="1620">
        <v>130114.29560593584</v>
      </c>
      <c r="E18" s="1621">
        <v>26996.614394064156</v>
      </c>
      <c r="F18" s="1621">
        <v>33619.949999999997</v>
      </c>
      <c r="G18" s="1621">
        <v>-0.04</v>
      </c>
      <c r="H18" s="1621">
        <v>0</v>
      </c>
      <c r="I18" s="1621">
        <f t="shared" si="1"/>
        <v>190730.81999999998</v>
      </c>
      <c r="J18" s="1621">
        <f t="shared" si="2"/>
        <v>-0.04</v>
      </c>
      <c r="K18" s="1622">
        <f t="shared" si="3"/>
        <v>33619.909999999996</v>
      </c>
    </row>
    <row r="19" spans="1:11" s="1605" customFormat="1" ht="15" customHeight="1" x14ac:dyDescent="0.3">
      <c r="A19" s="1617" t="s">
        <v>40</v>
      </c>
      <c r="B19" s="1618" t="s">
        <v>41</v>
      </c>
      <c r="C19" s="1619" t="s">
        <v>254</v>
      </c>
      <c r="D19" s="1620">
        <v>19680.043114698885</v>
      </c>
      <c r="E19" s="1621">
        <v>11592.606885301117</v>
      </c>
      <c r="F19" s="1621">
        <v>6199.24</v>
      </c>
      <c r="G19" s="1621">
        <v>3.4694469519536142E-18</v>
      </c>
      <c r="H19" s="1621">
        <v>0</v>
      </c>
      <c r="I19" s="1621">
        <f t="shared" si="1"/>
        <v>37471.89</v>
      </c>
      <c r="J19" s="1621">
        <f t="shared" si="2"/>
        <v>3.4694469519536142E-18</v>
      </c>
      <c r="K19" s="1622">
        <f t="shared" si="3"/>
        <v>6199.24</v>
      </c>
    </row>
    <row r="20" spans="1:11" s="1605" customFormat="1" ht="15" customHeight="1" x14ac:dyDescent="0.3">
      <c r="A20" s="1617" t="s">
        <v>42</v>
      </c>
      <c r="B20" s="1618" t="s">
        <v>43</v>
      </c>
      <c r="C20" s="1619" t="s">
        <v>253</v>
      </c>
      <c r="D20" s="1620">
        <v>154350.02468098525</v>
      </c>
      <c r="E20" s="1621">
        <v>68434.615319014745</v>
      </c>
      <c r="F20" s="1621">
        <v>46544.14</v>
      </c>
      <c r="G20" s="1621">
        <v>1370.81</v>
      </c>
      <c r="H20" s="1621">
        <v>40082.65</v>
      </c>
      <c r="I20" s="1621">
        <f t="shared" si="1"/>
        <v>310782.24000000005</v>
      </c>
      <c r="J20" s="1621">
        <f t="shared" si="2"/>
        <v>41453.46</v>
      </c>
      <c r="K20" s="1622">
        <f t="shared" si="3"/>
        <v>87997.6</v>
      </c>
    </row>
    <row r="21" spans="1:11" s="1605" customFormat="1" ht="15" customHeight="1" x14ac:dyDescent="0.3">
      <c r="A21" s="1617" t="s">
        <v>44</v>
      </c>
      <c r="B21" s="1618" t="s">
        <v>45</v>
      </c>
      <c r="C21" s="1619" t="s">
        <v>254</v>
      </c>
      <c r="D21" s="1620">
        <v>36828.451526379329</v>
      </c>
      <c r="E21" s="1621">
        <v>43785.138473620667</v>
      </c>
      <c r="F21" s="1621">
        <v>15638.130000000001</v>
      </c>
      <c r="G21" s="1621">
        <v>-0.13</v>
      </c>
      <c r="H21" s="1621">
        <v>0</v>
      </c>
      <c r="I21" s="1621">
        <f t="shared" si="1"/>
        <v>96251.59</v>
      </c>
      <c r="J21" s="1621">
        <f t="shared" si="2"/>
        <v>-0.13</v>
      </c>
      <c r="K21" s="1622">
        <f t="shared" si="3"/>
        <v>15638.000000000002</v>
      </c>
    </row>
    <row r="22" spans="1:11" s="1605" customFormat="1" ht="15" customHeight="1" x14ac:dyDescent="0.3">
      <c r="A22" s="1617" t="s">
        <v>46</v>
      </c>
      <c r="B22" s="1618" t="s">
        <v>47</v>
      </c>
      <c r="C22" s="1619" t="s">
        <v>256</v>
      </c>
      <c r="D22" s="1620">
        <v>54878.354394750095</v>
      </c>
      <c r="E22" s="1621">
        <v>60147.375605249908</v>
      </c>
      <c r="F22" s="1621">
        <v>21964.65</v>
      </c>
      <c r="G22" s="1621">
        <v>-0.26</v>
      </c>
      <c r="H22" s="1621">
        <v>0</v>
      </c>
      <c r="I22" s="1621">
        <f t="shared" si="1"/>
        <v>136990.12</v>
      </c>
      <c r="J22" s="1621">
        <f t="shared" si="2"/>
        <v>-0.26</v>
      </c>
      <c r="K22" s="1622">
        <f t="shared" si="3"/>
        <v>21964.390000000003</v>
      </c>
    </row>
    <row r="23" spans="1:11" s="1605" customFormat="1" ht="15" customHeight="1" x14ac:dyDescent="0.3">
      <c r="A23" s="1617" t="s">
        <v>48</v>
      </c>
      <c r="B23" s="1618" t="s">
        <v>257</v>
      </c>
      <c r="C23" s="1619" t="s">
        <v>254</v>
      </c>
      <c r="D23" s="1620">
        <v>36555.107017371731</v>
      </c>
      <c r="E23" s="1621">
        <v>5241.8629826282677</v>
      </c>
      <c r="F23" s="1621">
        <v>9068.4699999999993</v>
      </c>
      <c r="G23" s="1621">
        <v>-0.01</v>
      </c>
      <c r="H23" s="1621">
        <v>0</v>
      </c>
      <c r="I23" s="1621">
        <f t="shared" si="1"/>
        <v>50865.43</v>
      </c>
      <c r="J23" s="1621">
        <f t="shared" si="2"/>
        <v>-0.01</v>
      </c>
      <c r="K23" s="1622">
        <f t="shared" si="3"/>
        <v>9068.4599999999991</v>
      </c>
    </row>
    <row r="24" spans="1:11" s="1605" customFormat="1" ht="15" customHeight="1" x14ac:dyDescent="0.3">
      <c r="A24" s="1617" t="s">
        <v>50</v>
      </c>
      <c r="B24" s="1618" t="s">
        <v>51</v>
      </c>
      <c r="C24" s="1619" t="s">
        <v>253</v>
      </c>
      <c r="D24" s="1620">
        <v>43034.89125057256</v>
      </c>
      <c r="E24" s="1621">
        <v>2927.5687494274366</v>
      </c>
      <c r="F24" s="1621">
        <v>11130.18</v>
      </c>
      <c r="G24" s="1621">
        <v>0</v>
      </c>
      <c r="H24" s="1621">
        <v>0</v>
      </c>
      <c r="I24" s="1621">
        <f t="shared" si="1"/>
        <v>57092.639999999999</v>
      </c>
      <c r="J24" s="1621">
        <f t="shared" si="2"/>
        <v>0</v>
      </c>
      <c r="K24" s="1622">
        <f t="shared" si="3"/>
        <v>11130.18</v>
      </c>
    </row>
    <row r="25" spans="1:11" s="1605" customFormat="1" ht="15" customHeight="1" x14ac:dyDescent="0.3">
      <c r="A25" s="1617" t="s">
        <v>56</v>
      </c>
      <c r="B25" s="1618" t="s">
        <v>283</v>
      </c>
      <c r="C25" s="1619" t="s">
        <v>254</v>
      </c>
      <c r="D25" s="1620">
        <v>268321.57823494554</v>
      </c>
      <c r="E25" s="1621">
        <v>321146.10176505445</v>
      </c>
      <c r="F25" s="1621">
        <v>110354.8</v>
      </c>
      <c r="G25" s="1621">
        <v>-2247.3700000000008</v>
      </c>
      <c r="H25" s="1621">
        <v>794.47</v>
      </c>
      <c r="I25" s="1621">
        <f t="shared" si="1"/>
        <v>698369.58</v>
      </c>
      <c r="J25" s="1621">
        <f t="shared" si="2"/>
        <v>-1452.9000000000008</v>
      </c>
      <c r="K25" s="1622">
        <f t="shared" si="3"/>
        <v>108901.90000000001</v>
      </c>
    </row>
    <row r="26" spans="1:11" s="1605" customFormat="1" ht="15" customHeight="1" x14ac:dyDescent="0.3">
      <c r="A26" s="1617" t="s">
        <v>58</v>
      </c>
      <c r="B26" s="1618" t="s">
        <v>59</v>
      </c>
      <c r="C26" s="1619" t="s">
        <v>255</v>
      </c>
      <c r="D26" s="1620">
        <v>17431.024951188003</v>
      </c>
      <c r="E26" s="1621">
        <v>4272.595048811997</v>
      </c>
      <c r="F26" s="1621">
        <v>4501.51</v>
      </c>
      <c r="G26" s="1621">
        <v>7883.1500000000005</v>
      </c>
      <c r="H26" s="1621">
        <v>0</v>
      </c>
      <c r="I26" s="1621">
        <f t="shared" si="1"/>
        <v>34088.28</v>
      </c>
      <c r="J26" s="1621">
        <f t="shared" si="2"/>
        <v>7883.1500000000005</v>
      </c>
      <c r="K26" s="1622">
        <f t="shared" si="3"/>
        <v>12384.66</v>
      </c>
    </row>
    <row r="27" spans="1:11" s="1605" customFormat="1" ht="15" customHeight="1" x14ac:dyDescent="0.3">
      <c r="A27" s="1617" t="s">
        <v>60</v>
      </c>
      <c r="B27" s="1618" t="s">
        <v>61</v>
      </c>
      <c r="C27" s="1619" t="s">
        <v>253</v>
      </c>
      <c r="D27" s="1620">
        <v>13526.602503089587</v>
      </c>
      <c r="E27" s="1621">
        <v>3014.8574969104129</v>
      </c>
      <c r="F27" s="1621">
        <v>3061.5899999999997</v>
      </c>
      <c r="G27" s="1621">
        <v>-6.0000000000000005E-2</v>
      </c>
      <c r="H27" s="1621">
        <v>39.96</v>
      </c>
      <c r="I27" s="1621">
        <f t="shared" si="1"/>
        <v>19642.949999999997</v>
      </c>
      <c r="J27" s="1621">
        <f t="shared" si="2"/>
        <v>39.9</v>
      </c>
      <c r="K27" s="1622">
        <f t="shared" si="3"/>
        <v>3101.49</v>
      </c>
    </row>
    <row r="28" spans="1:11" s="1605" customFormat="1" ht="15" customHeight="1" x14ac:dyDescent="0.3">
      <c r="A28" s="1617" t="s">
        <v>62</v>
      </c>
      <c r="B28" s="1618" t="s">
        <v>63</v>
      </c>
      <c r="C28" s="1619" t="s">
        <v>255</v>
      </c>
      <c r="D28" s="1620">
        <v>52784.473038417244</v>
      </c>
      <c r="E28" s="1621">
        <v>40387.926961582758</v>
      </c>
      <c r="F28" s="1621">
        <v>22252.48</v>
      </c>
      <c r="G28" s="1621">
        <v>-4.0000000000000008E-2</v>
      </c>
      <c r="H28" s="1621">
        <v>0</v>
      </c>
      <c r="I28" s="1621">
        <f t="shared" si="1"/>
        <v>115424.84</v>
      </c>
      <c r="J28" s="1621">
        <f t="shared" si="2"/>
        <v>-4.0000000000000008E-2</v>
      </c>
      <c r="K28" s="1622">
        <f t="shared" si="3"/>
        <v>22252.44</v>
      </c>
    </row>
    <row r="29" spans="1:11" s="1605" customFormat="1" ht="15" customHeight="1" x14ac:dyDescent="0.3">
      <c r="A29" s="1617" t="s">
        <v>64</v>
      </c>
      <c r="B29" s="1618" t="s">
        <v>65</v>
      </c>
      <c r="C29" s="1619" t="s">
        <v>254</v>
      </c>
      <c r="D29" s="1620">
        <v>23190.287589982428</v>
      </c>
      <c r="E29" s="1621">
        <v>63481.292410017573</v>
      </c>
      <c r="F29" s="1621">
        <v>16151.44</v>
      </c>
      <c r="G29" s="1621">
        <v>-0.1</v>
      </c>
      <c r="H29" s="1621">
        <v>0</v>
      </c>
      <c r="I29" s="1621">
        <f t="shared" si="1"/>
        <v>102822.92</v>
      </c>
      <c r="J29" s="1621">
        <f t="shared" si="2"/>
        <v>-0.1</v>
      </c>
      <c r="K29" s="1622">
        <f t="shared" si="3"/>
        <v>16151.34</v>
      </c>
    </row>
    <row r="30" spans="1:11" s="1605" customFormat="1" ht="15" customHeight="1" x14ac:dyDescent="0.3">
      <c r="A30" s="1617" t="s">
        <v>68</v>
      </c>
      <c r="B30" s="1618" t="s">
        <v>69</v>
      </c>
      <c r="C30" s="1619" t="s">
        <v>256</v>
      </c>
      <c r="D30" s="1620">
        <v>53326.272265168947</v>
      </c>
      <c r="E30" s="1621">
        <v>22904.007734831051</v>
      </c>
      <c r="F30" s="1621">
        <v>15025.869999999999</v>
      </c>
      <c r="G30" s="1621">
        <v>-4.9999999999999996E-2</v>
      </c>
      <c r="H30" s="1621">
        <v>0</v>
      </c>
      <c r="I30" s="1621">
        <f t="shared" si="1"/>
        <v>91256.099999999991</v>
      </c>
      <c r="J30" s="1621">
        <f t="shared" si="2"/>
        <v>-4.9999999999999996E-2</v>
      </c>
      <c r="K30" s="1622">
        <f t="shared" si="3"/>
        <v>15025.82</v>
      </c>
    </row>
    <row r="31" spans="1:11" s="1605" customFormat="1" ht="15" customHeight="1" x14ac:dyDescent="0.3">
      <c r="A31" s="1617" t="s">
        <v>70</v>
      </c>
      <c r="B31" s="1618" t="s">
        <v>71</v>
      </c>
      <c r="C31" s="1619" t="s">
        <v>252</v>
      </c>
      <c r="D31" s="1620">
        <v>57585.112157947791</v>
      </c>
      <c r="E31" s="1621">
        <v>12854.297842052209</v>
      </c>
      <c r="F31" s="1621">
        <v>15181.36</v>
      </c>
      <c r="G31" s="1621">
        <v>81290.58</v>
      </c>
      <c r="H31" s="1621">
        <v>0</v>
      </c>
      <c r="I31" s="1621">
        <f t="shared" si="1"/>
        <v>166911.35</v>
      </c>
      <c r="J31" s="1621">
        <f t="shared" si="2"/>
        <v>81290.58</v>
      </c>
      <c r="K31" s="1622">
        <f t="shared" si="3"/>
        <v>96471.94</v>
      </c>
    </row>
    <row r="32" spans="1:11" s="1605" customFormat="1" ht="15" customHeight="1" x14ac:dyDescent="0.3">
      <c r="A32" s="1617" t="s">
        <v>72</v>
      </c>
      <c r="B32" s="1618" t="s">
        <v>73</v>
      </c>
      <c r="C32" s="1619" t="s">
        <v>254</v>
      </c>
      <c r="D32" s="1620">
        <v>16944.772321438319</v>
      </c>
      <c r="E32" s="1621">
        <v>16072.927678561686</v>
      </c>
      <c r="F32" s="1621">
        <v>6051.9100000000008</v>
      </c>
      <c r="G32" s="1621">
        <v>-0.1</v>
      </c>
      <c r="H32" s="1621">
        <v>0</v>
      </c>
      <c r="I32" s="1621">
        <f t="shared" si="1"/>
        <v>39069.510000000009</v>
      </c>
      <c r="J32" s="1621">
        <f t="shared" si="2"/>
        <v>-0.1</v>
      </c>
      <c r="K32" s="1622">
        <f t="shared" si="3"/>
        <v>6051.81</v>
      </c>
    </row>
    <row r="33" spans="1:11" s="1605" customFormat="1" ht="15" customHeight="1" x14ac:dyDescent="0.3">
      <c r="A33" s="1617" t="s">
        <v>74</v>
      </c>
      <c r="B33" s="1618" t="s">
        <v>290</v>
      </c>
      <c r="C33" s="1619" t="s">
        <v>255</v>
      </c>
      <c r="D33" s="1620">
        <v>1078154.3552991813</v>
      </c>
      <c r="E33" s="1621">
        <v>682656.23470081855</v>
      </c>
      <c r="F33" s="1621">
        <v>411983.20000000007</v>
      </c>
      <c r="G33" s="1621">
        <v>-4460.3700000000008</v>
      </c>
      <c r="H33" s="1621">
        <v>1923095.32</v>
      </c>
      <c r="I33" s="1621">
        <f t="shared" si="1"/>
        <v>4091428.74</v>
      </c>
      <c r="J33" s="1621">
        <f t="shared" si="2"/>
        <v>1918634.95</v>
      </c>
      <c r="K33" s="1622">
        <f t="shared" si="3"/>
        <v>2330618.15</v>
      </c>
    </row>
    <row r="34" spans="1:11" s="1605" customFormat="1" ht="15" customHeight="1" x14ac:dyDescent="0.3">
      <c r="A34" s="1617" t="s">
        <v>76</v>
      </c>
      <c r="B34" s="1618" t="s">
        <v>77</v>
      </c>
      <c r="C34" s="1619" t="s">
        <v>255</v>
      </c>
      <c r="D34" s="1620">
        <v>83546.301177407368</v>
      </c>
      <c r="E34" s="1621">
        <v>33335.208822592635</v>
      </c>
      <c r="F34" s="1621">
        <v>24059.82</v>
      </c>
      <c r="G34" s="1621">
        <v>1397.8000000000002</v>
      </c>
      <c r="H34" s="1621">
        <v>0</v>
      </c>
      <c r="I34" s="1621">
        <f t="shared" si="1"/>
        <v>142339.13</v>
      </c>
      <c r="J34" s="1621">
        <f t="shared" si="2"/>
        <v>1397.8000000000002</v>
      </c>
      <c r="K34" s="1622">
        <f t="shared" si="3"/>
        <v>25457.62</v>
      </c>
    </row>
    <row r="35" spans="1:11" s="1605" customFormat="1" ht="15" customHeight="1" x14ac:dyDescent="0.3">
      <c r="A35" s="1617" t="s">
        <v>78</v>
      </c>
      <c r="B35" s="1618" t="s">
        <v>79</v>
      </c>
      <c r="C35" s="1619" t="s">
        <v>256</v>
      </c>
      <c r="D35" s="1620">
        <v>10319.727101176513</v>
      </c>
      <c r="E35" s="1621">
        <v>14986.742898823486</v>
      </c>
      <c r="F35" s="1621">
        <v>4641.71</v>
      </c>
      <c r="G35" s="1621">
        <v>1.0408340855860843E-17</v>
      </c>
      <c r="H35" s="1621">
        <v>0</v>
      </c>
      <c r="I35" s="1621">
        <f t="shared" si="1"/>
        <v>29948.18</v>
      </c>
      <c r="J35" s="1621">
        <f t="shared" si="2"/>
        <v>1.0408340855860843E-17</v>
      </c>
      <c r="K35" s="1622">
        <f t="shared" si="3"/>
        <v>4641.71</v>
      </c>
    </row>
    <row r="36" spans="1:11" s="1605" customFormat="1" ht="15" customHeight="1" x14ac:dyDescent="0.3">
      <c r="A36" s="1617" t="s">
        <v>80</v>
      </c>
      <c r="B36" s="1618" t="s">
        <v>81</v>
      </c>
      <c r="C36" s="1619" t="s">
        <v>254</v>
      </c>
      <c r="D36" s="1620">
        <v>46141.60327613874</v>
      </c>
      <c r="E36" s="1621">
        <v>20391.03672386126</v>
      </c>
      <c r="F36" s="1621">
        <v>9283.67</v>
      </c>
      <c r="G36" s="1621">
        <v>6.9388939039072284E-18</v>
      </c>
      <c r="H36" s="1621">
        <v>0</v>
      </c>
      <c r="I36" s="1621">
        <f t="shared" si="1"/>
        <v>75816.31</v>
      </c>
      <c r="J36" s="1621">
        <f t="shared" si="2"/>
        <v>6.9388939039072284E-18</v>
      </c>
      <c r="K36" s="1622">
        <f t="shared" si="3"/>
        <v>9283.67</v>
      </c>
    </row>
    <row r="37" spans="1:11" s="1605" customFormat="1" ht="15" customHeight="1" x14ac:dyDescent="0.3">
      <c r="A37" s="1617" t="s">
        <v>84</v>
      </c>
      <c r="B37" s="1618" t="s">
        <v>296</v>
      </c>
      <c r="C37" s="1619" t="s">
        <v>253</v>
      </c>
      <c r="D37" s="1620">
        <v>90636.902672465381</v>
      </c>
      <c r="E37" s="1621">
        <v>52391.327327534636</v>
      </c>
      <c r="F37" s="1621">
        <v>26221.510000000002</v>
      </c>
      <c r="G37" s="1621">
        <v>-0.2</v>
      </c>
      <c r="H37" s="1621">
        <v>0</v>
      </c>
      <c r="I37" s="1621">
        <f t="shared" ref="I37:I68" si="4">SUM(D37:H37)</f>
        <v>169249.54</v>
      </c>
      <c r="J37" s="1621">
        <f t="shared" ref="J37:J68" si="5">G37+H37</f>
        <v>-0.2</v>
      </c>
      <c r="K37" s="1622">
        <f t="shared" ref="K37:K68" si="6">F37+J37</f>
        <v>26221.31</v>
      </c>
    </row>
    <row r="38" spans="1:11" s="1605" customFormat="1" ht="15" customHeight="1" x14ac:dyDescent="0.3">
      <c r="A38" s="1617" t="s">
        <v>86</v>
      </c>
      <c r="B38" s="1618" t="s">
        <v>87</v>
      </c>
      <c r="C38" s="1619" t="s">
        <v>255</v>
      </c>
      <c r="D38" s="1620">
        <v>132078.52907702926</v>
      </c>
      <c r="E38" s="1621">
        <v>49722.800922970731</v>
      </c>
      <c r="F38" s="1621">
        <v>38544.75</v>
      </c>
      <c r="G38" s="1621">
        <v>10387.479999999998</v>
      </c>
      <c r="H38" s="1621">
        <v>0</v>
      </c>
      <c r="I38" s="1621">
        <f t="shared" si="4"/>
        <v>230733.56</v>
      </c>
      <c r="J38" s="1621">
        <f t="shared" si="5"/>
        <v>10387.479999999998</v>
      </c>
      <c r="K38" s="1622">
        <f t="shared" si="6"/>
        <v>48932.229999999996</v>
      </c>
    </row>
    <row r="39" spans="1:11" s="1605" customFormat="1" ht="15" customHeight="1" x14ac:dyDescent="0.3">
      <c r="A39" s="1617" t="s">
        <v>92</v>
      </c>
      <c r="B39" s="1618" t="s">
        <v>93</v>
      </c>
      <c r="C39" s="1619" t="s">
        <v>256</v>
      </c>
      <c r="D39" s="1620">
        <v>40354.209666444083</v>
      </c>
      <c r="E39" s="1621">
        <v>16724.450333555917</v>
      </c>
      <c r="F39" s="1621">
        <v>11046.890000000001</v>
      </c>
      <c r="G39" s="1621">
        <v>-0.09</v>
      </c>
      <c r="H39" s="1621">
        <v>0</v>
      </c>
      <c r="I39" s="1621">
        <f t="shared" si="4"/>
        <v>68125.460000000006</v>
      </c>
      <c r="J39" s="1621">
        <f t="shared" si="5"/>
        <v>-0.09</v>
      </c>
      <c r="K39" s="1622">
        <f t="shared" si="6"/>
        <v>11046.800000000001</v>
      </c>
    </row>
    <row r="40" spans="1:11" s="1605" customFormat="1" ht="15" customHeight="1" x14ac:dyDescent="0.3">
      <c r="A40" s="1617" t="s">
        <v>94</v>
      </c>
      <c r="B40" s="1618" t="s">
        <v>95</v>
      </c>
      <c r="C40" s="1619" t="s">
        <v>252</v>
      </c>
      <c r="D40" s="1620">
        <v>37497.420763101152</v>
      </c>
      <c r="E40" s="1621">
        <v>15881.279236898845</v>
      </c>
      <c r="F40" s="1621">
        <v>10021.32</v>
      </c>
      <c r="G40" s="1621">
        <v>-0.14000000000000001</v>
      </c>
      <c r="H40" s="1621">
        <v>0</v>
      </c>
      <c r="I40" s="1621">
        <f t="shared" si="4"/>
        <v>63399.88</v>
      </c>
      <c r="J40" s="1621">
        <f t="shared" si="5"/>
        <v>-0.14000000000000001</v>
      </c>
      <c r="K40" s="1622">
        <f t="shared" si="6"/>
        <v>10021.18</v>
      </c>
    </row>
    <row r="41" spans="1:11" s="1605" customFormat="1" ht="15" customHeight="1" x14ac:dyDescent="0.3">
      <c r="A41" s="1617" t="s">
        <v>96</v>
      </c>
      <c r="B41" s="1618" t="s">
        <v>97</v>
      </c>
      <c r="C41" s="1619" t="s">
        <v>254</v>
      </c>
      <c r="D41" s="1620">
        <v>54607.621598586178</v>
      </c>
      <c r="E41" s="1621">
        <v>6475.9784014138186</v>
      </c>
      <c r="F41" s="1621">
        <v>16438.66</v>
      </c>
      <c r="G41" s="1621">
        <v>-0.04</v>
      </c>
      <c r="H41" s="1621">
        <v>19942.03</v>
      </c>
      <c r="I41" s="1621">
        <f t="shared" si="4"/>
        <v>97464.25</v>
      </c>
      <c r="J41" s="1621">
        <f t="shared" si="5"/>
        <v>19941.989999999998</v>
      </c>
      <c r="K41" s="1622">
        <f t="shared" si="6"/>
        <v>36380.649999999994</v>
      </c>
    </row>
    <row r="42" spans="1:11" s="1605" customFormat="1" ht="15" customHeight="1" x14ac:dyDescent="0.3">
      <c r="A42" s="1617" t="s">
        <v>98</v>
      </c>
      <c r="B42" s="1618" t="s">
        <v>99</v>
      </c>
      <c r="C42" s="1619" t="s">
        <v>256</v>
      </c>
      <c r="D42" s="1620">
        <v>25145.048506783452</v>
      </c>
      <c r="E42" s="1621">
        <v>15565.06149321655</v>
      </c>
      <c r="F42" s="1621">
        <v>6557.6600000000008</v>
      </c>
      <c r="G42" s="1621">
        <v>-7.0000000000000007E-2</v>
      </c>
      <c r="H42" s="1621">
        <v>0</v>
      </c>
      <c r="I42" s="1621">
        <f t="shared" si="4"/>
        <v>47267.700000000004</v>
      </c>
      <c r="J42" s="1621">
        <f t="shared" si="5"/>
        <v>-7.0000000000000007E-2</v>
      </c>
      <c r="K42" s="1622">
        <f t="shared" si="6"/>
        <v>6557.5900000000011</v>
      </c>
    </row>
    <row r="43" spans="1:11" s="1605" customFormat="1" ht="15" customHeight="1" x14ac:dyDescent="0.3">
      <c r="A43" s="1617" t="s">
        <v>100</v>
      </c>
      <c r="B43" s="1618" t="s">
        <v>101</v>
      </c>
      <c r="C43" s="1619" t="s">
        <v>255</v>
      </c>
      <c r="D43" s="1620">
        <v>10090.636302620494</v>
      </c>
      <c r="E43" s="1621">
        <v>8362.5336973795074</v>
      </c>
      <c r="F43" s="1621">
        <v>3138.39</v>
      </c>
      <c r="G43" s="1621">
        <v>2.0000000000000004E-2</v>
      </c>
      <c r="H43" s="1621">
        <v>0</v>
      </c>
      <c r="I43" s="1621">
        <f t="shared" si="4"/>
        <v>21591.58</v>
      </c>
      <c r="J43" s="1621">
        <f t="shared" si="5"/>
        <v>2.0000000000000004E-2</v>
      </c>
      <c r="K43" s="1622">
        <f t="shared" si="6"/>
        <v>3138.41</v>
      </c>
    </row>
    <row r="44" spans="1:11" s="1605" customFormat="1" ht="15" customHeight="1" x14ac:dyDescent="0.3">
      <c r="A44" s="1617" t="s">
        <v>102</v>
      </c>
      <c r="B44" s="1618" t="s">
        <v>103</v>
      </c>
      <c r="C44" s="1619" t="s">
        <v>252</v>
      </c>
      <c r="D44" s="1620">
        <v>64786.598962628937</v>
      </c>
      <c r="E44" s="1621">
        <v>78214.751037371039</v>
      </c>
      <c r="F44" s="1621">
        <v>27763.760000000002</v>
      </c>
      <c r="G44" s="1621">
        <v>-0.08</v>
      </c>
      <c r="H44" s="1621">
        <v>0</v>
      </c>
      <c r="I44" s="1621">
        <f t="shared" si="4"/>
        <v>170765.03</v>
      </c>
      <c r="J44" s="1621">
        <f t="shared" si="5"/>
        <v>-0.08</v>
      </c>
      <c r="K44" s="1622">
        <f t="shared" si="6"/>
        <v>27763.68</v>
      </c>
    </row>
    <row r="45" spans="1:11" s="1605" customFormat="1" ht="15" customHeight="1" x14ac:dyDescent="0.3">
      <c r="A45" s="1617" t="s">
        <v>104</v>
      </c>
      <c r="B45" s="1618" t="s">
        <v>297</v>
      </c>
      <c r="C45" s="1619" t="s">
        <v>253</v>
      </c>
      <c r="D45" s="1620">
        <v>19697.619708353111</v>
      </c>
      <c r="E45" s="1621">
        <v>17775.750291646887</v>
      </c>
      <c r="F45" s="1621">
        <v>7021.5499999999993</v>
      </c>
      <c r="G45" s="1621">
        <v>-0.05</v>
      </c>
      <c r="H45" s="1621">
        <v>0</v>
      </c>
      <c r="I45" s="1621">
        <f t="shared" si="4"/>
        <v>44494.869999999995</v>
      </c>
      <c r="J45" s="1621">
        <f t="shared" si="5"/>
        <v>-0.05</v>
      </c>
      <c r="K45" s="1622">
        <f t="shared" si="6"/>
        <v>7021.4999999999991</v>
      </c>
    </row>
    <row r="46" spans="1:11" s="1605" customFormat="1" ht="15" customHeight="1" x14ac:dyDescent="0.3">
      <c r="A46" s="1617" t="s">
        <v>108</v>
      </c>
      <c r="B46" s="1618" t="s">
        <v>109</v>
      </c>
      <c r="C46" s="1619" t="s">
        <v>254</v>
      </c>
      <c r="D46" s="1620">
        <v>52248.924039265228</v>
      </c>
      <c r="E46" s="1621">
        <v>66791.975960734766</v>
      </c>
      <c r="F46" s="1621">
        <v>22268.97</v>
      </c>
      <c r="G46" s="1621">
        <v>-0.10999999999999999</v>
      </c>
      <c r="H46" s="1621">
        <v>0</v>
      </c>
      <c r="I46" s="1621">
        <f t="shared" si="4"/>
        <v>141309.76000000001</v>
      </c>
      <c r="J46" s="1621">
        <f t="shared" si="5"/>
        <v>-0.10999999999999999</v>
      </c>
      <c r="K46" s="1622">
        <f t="shared" si="6"/>
        <v>22268.86</v>
      </c>
    </row>
    <row r="47" spans="1:11" s="1605" customFormat="1" ht="15" customHeight="1" x14ac:dyDescent="0.3">
      <c r="A47" s="1617" t="s">
        <v>110</v>
      </c>
      <c r="B47" s="1618" t="s">
        <v>111</v>
      </c>
      <c r="C47" s="1619" t="s">
        <v>254</v>
      </c>
      <c r="D47" s="1620">
        <v>638912.23054185219</v>
      </c>
      <c r="E47" s="1621">
        <v>1046708.2394581479</v>
      </c>
      <c r="F47" s="1621">
        <v>317721.58</v>
      </c>
      <c r="G47" s="1621">
        <v>-0.37999999999999995</v>
      </c>
      <c r="H47" s="1621">
        <v>0</v>
      </c>
      <c r="I47" s="1621">
        <f t="shared" si="4"/>
        <v>2003341.6700000004</v>
      </c>
      <c r="J47" s="1621">
        <f t="shared" si="5"/>
        <v>-0.37999999999999995</v>
      </c>
      <c r="K47" s="1622">
        <f t="shared" si="6"/>
        <v>317721.2</v>
      </c>
    </row>
    <row r="48" spans="1:11" s="1605" customFormat="1" ht="15" customHeight="1" x14ac:dyDescent="0.3">
      <c r="A48" s="1617" t="s">
        <v>112</v>
      </c>
      <c r="B48" s="1618" t="s">
        <v>288</v>
      </c>
      <c r="C48" s="1619" t="s">
        <v>253</v>
      </c>
      <c r="D48" s="1620">
        <v>77051.310916495204</v>
      </c>
      <c r="E48" s="1621">
        <v>102196.02908350481</v>
      </c>
      <c r="F48" s="1621">
        <v>32921.11</v>
      </c>
      <c r="G48" s="1621">
        <v>-0.41</v>
      </c>
      <c r="H48" s="1621">
        <v>0</v>
      </c>
      <c r="I48" s="1621">
        <f t="shared" si="4"/>
        <v>212168.04</v>
      </c>
      <c r="J48" s="1621">
        <f t="shared" si="5"/>
        <v>-0.41</v>
      </c>
      <c r="K48" s="1622">
        <f t="shared" si="6"/>
        <v>32920.699999999997</v>
      </c>
    </row>
    <row r="49" spans="1:11" s="1605" customFormat="1" ht="15" customHeight="1" x14ac:dyDescent="0.3">
      <c r="A49" s="1617" t="s">
        <v>114</v>
      </c>
      <c r="B49" s="1618" t="s">
        <v>115</v>
      </c>
      <c r="C49" s="1619" t="s">
        <v>253</v>
      </c>
      <c r="D49" s="1620">
        <v>20268.330000000002</v>
      </c>
      <c r="E49" s="1621">
        <v>1716.99</v>
      </c>
      <c r="F49" s="1621">
        <v>4310.54</v>
      </c>
      <c r="G49" s="1621">
        <v>-0.04</v>
      </c>
      <c r="H49" s="1621">
        <v>0</v>
      </c>
      <c r="I49" s="1621">
        <f t="shared" si="4"/>
        <v>26295.820000000003</v>
      </c>
      <c r="J49" s="1621">
        <f t="shared" si="5"/>
        <v>-0.04</v>
      </c>
      <c r="K49" s="1622">
        <f t="shared" si="6"/>
        <v>4310.5</v>
      </c>
    </row>
    <row r="50" spans="1:11" s="1605" customFormat="1" ht="15" customHeight="1" x14ac:dyDescent="0.3">
      <c r="A50" s="1617" t="s">
        <v>118</v>
      </c>
      <c r="B50" s="1618" t="s">
        <v>119</v>
      </c>
      <c r="C50" s="1619" t="s">
        <v>252</v>
      </c>
      <c r="D50" s="1620">
        <v>47726.451966597568</v>
      </c>
      <c r="E50" s="1621">
        <v>11217.418033402426</v>
      </c>
      <c r="F50" s="1621">
        <v>12836.73</v>
      </c>
      <c r="G50" s="1621">
        <v>1485.14</v>
      </c>
      <c r="H50" s="1621">
        <v>24866.81</v>
      </c>
      <c r="I50" s="1621">
        <f t="shared" si="4"/>
        <v>98132.549999999988</v>
      </c>
      <c r="J50" s="1621">
        <f t="shared" si="5"/>
        <v>26351.95</v>
      </c>
      <c r="K50" s="1622">
        <f t="shared" si="6"/>
        <v>39188.68</v>
      </c>
    </row>
    <row r="51" spans="1:11" s="1605" customFormat="1" ht="15" customHeight="1" x14ac:dyDescent="0.3">
      <c r="A51" s="1617" t="s">
        <v>120</v>
      </c>
      <c r="B51" s="1618" t="s">
        <v>121</v>
      </c>
      <c r="C51" s="1619" t="s">
        <v>252</v>
      </c>
      <c r="D51" s="1620">
        <v>72171.903236012411</v>
      </c>
      <c r="E51" s="1621">
        <v>69843.926763987591</v>
      </c>
      <c r="F51" s="1621">
        <v>32384.38</v>
      </c>
      <c r="G51" s="1621">
        <v>-0.2</v>
      </c>
      <c r="H51" s="1621">
        <v>0</v>
      </c>
      <c r="I51" s="1621">
        <f t="shared" si="4"/>
        <v>174400.01</v>
      </c>
      <c r="J51" s="1621">
        <f t="shared" si="5"/>
        <v>-0.2</v>
      </c>
      <c r="K51" s="1622">
        <f t="shared" si="6"/>
        <v>32384.18</v>
      </c>
    </row>
    <row r="52" spans="1:11" s="1605" customFormat="1" ht="15" customHeight="1" x14ac:dyDescent="0.3">
      <c r="A52" s="1617" t="s">
        <v>122</v>
      </c>
      <c r="B52" s="1618" t="s">
        <v>259</v>
      </c>
      <c r="C52" s="1619" t="s">
        <v>254</v>
      </c>
      <c r="D52" s="1620">
        <v>13005.538081730214</v>
      </c>
      <c r="E52" s="1621">
        <v>2490.1319182697848</v>
      </c>
      <c r="F52" s="1621">
        <v>2842.12</v>
      </c>
      <c r="G52" s="1621">
        <v>6.9999999999999993E-2</v>
      </c>
      <c r="H52" s="1621">
        <v>492.16</v>
      </c>
      <c r="I52" s="1621">
        <f t="shared" si="4"/>
        <v>18830.019999999997</v>
      </c>
      <c r="J52" s="1621">
        <f t="shared" si="5"/>
        <v>492.23</v>
      </c>
      <c r="K52" s="1622">
        <f t="shared" si="6"/>
        <v>3334.35</v>
      </c>
    </row>
    <row r="53" spans="1:11" s="1605" customFormat="1" ht="15" customHeight="1" x14ac:dyDescent="0.3">
      <c r="A53" s="1617" t="s">
        <v>124</v>
      </c>
      <c r="B53" s="1618" t="s">
        <v>125</v>
      </c>
      <c r="C53" s="1619" t="s">
        <v>255</v>
      </c>
      <c r="D53" s="1620">
        <v>25140.259241022308</v>
      </c>
      <c r="E53" s="1621">
        <v>6111.5707589776875</v>
      </c>
      <c r="F53" s="1621">
        <v>6037.03</v>
      </c>
      <c r="G53" s="1621">
        <v>-0.04</v>
      </c>
      <c r="H53" s="1621">
        <v>0</v>
      </c>
      <c r="I53" s="1621">
        <f t="shared" si="4"/>
        <v>37288.819999999992</v>
      </c>
      <c r="J53" s="1621">
        <f t="shared" si="5"/>
        <v>-0.04</v>
      </c>
      <c r="K53" s="1622">
        <f t="shared" si="6"/>
        <v>6036.99</v>
      </c>
    </row>
    <row r="54" spans="1:11" s="1605" customFormat="1" ht="15" customHeight="1" x14ac:dyDescent="0.3">
      <c r="A54" s="1617" t="s">
        <v>126</v>
      </c>
      <c r="B54" s="1618" t="s">
        <v>127</v>
      </c>
      <c r="C54" s="1619" t="s">
        <v>254</v>
      </c>
      <c r="D54" s="1620">
        <v>19852.000118829157</v>
      </c>
      <c r="E54" s="1621">
        <v>6700.1398811708432</v>
      </c>
      <c r="F54" s="1621">
        <v>4745.29</v>
      </c>
      <c r="G54" s="1621">
        <v>-5.000000000000001E-2</v>
      </c>
      <c r="H54" s="1621">
        <v>0</v>
      </c>
      <c r="I54" s="1621">
        <f t="shared" si="4"/>
        <v>31297.38</v>
      </c>
      <c r="J54" s="1621">
        <f t="shared" si="5"/>
        <v>-5.000000000000001E-2</v>
      </c>
      <c r="K54" s="1622">
        <f t="shared" si="6"/>
        <v>4745.24</v>
      </c>
    </row>
    <row r="55" spans="1:11" s="1605" customFormat="1" ht="15" customHeight="1" x14ac:dyDescent="0.3">
      <c r="A55" s="1617" t="s">
        <v>128</v>
      </c>
      <c r="B55" s="1618" t="s">
        <v>129</v>
      </c>
      <c r="C55" s="1619" t="s">
        <v>254</v>
      </c>
      <c r="D55" s="1620">
        <v>21287.585840159081</v>
      </c>
      <c r="E55" s="1621">
        <v>3534.9241598409162</v>
      </c>
      <c r="F55" s="1621">
        <v>4885.41</v>
      </c>
      <c r="G55" s="1621">
        <v>3000.0099999999998</v>
      </c>
      <c r="H55" s="1621">
        <v>0</v>
      </c>
      <c r="I55" s="1621">
        <f t="shared" si="4"/>
        <v>32707.929999999997</v>
      </c>
      <c r="J55" s="1621">
        <f t="shared" si="5"/>
        <v>3000.0099999999998</v>
      </c>
      <c r="K55" s="1622">
        <f t="shared" si="6"/>
        <v>7885.42</v>
      </c>
    </row>
    <row r="56" spans="1:11" s="1605" customFormat="1" ht="15" customHeight="1" x14ac:dyDescent="0.3">
      <c r="A56" s="1617" t="s">
        <v>130</v>
      </c>
      <c r="B56" s="1618" t="s">
        <v>131</v>
      </c>
      <c r="C56" s="1619" t="s">
        <v>256</v>
      </c>
      <c r="D56" s="1620">
        <v>118559.01639064931</v>
      </c>
      <c r="E56" s="1621">
        <v>86429.393609350693</v>
      </c>
      <c r="F56" s="1621">
        <v>40965.430000000008</v>
      </c>
      <c r="G56" s="1621">
        <v>-0.22</v>
      </c>
      <c r="H56" s="1621">
        <v>0</v>
      </c>
      <c r="I56" s="1621">
        <f t="shared" si="4"/>
        <v>245953.62000000002</v>
      </c>
      <c r="J56" s="1621">
        <f t="shared" si="5"/>
        <v>-0.22</v>
      </c>
      <c r="K56" s="1622">
        <f t="shared" si="6"/>
        <v>40965.210000000006</v>
      </c>
    </row>
    <row r="57" spans="1:11" s="1605" customFormat="1" ht="15" customHeight="1" x14ac:dyDescent="0.3">
      <c r="A57" s="1617" t="s">
        <v>132</v>
      </c>
      <c r="B57" s="1618" t="s">
        <v>133</v>
      </c>
      <c r="C57" s="1619" t="s">
        <v>255</v>
      </c>
      <c r="D57" s="1620">
        <v>335247.66099538386</v>
      </c>
      <c r="E57" s="1621">
        <v>208060.70900461604</v>
      </c>
      <c r="F57" s="1621">
        <v>121593.16</v>
      </c>
      <c r="G57" s="1621">
        <v>-1705.2</v>
      </c>
      <c r="H57" s="1621">
        <v>868000</v>
      </c>
      <c r="I57" s="1621">
        <f t="shared" si="4"/>
        <v>1531196.33</v>
      </c>
      <c r="J57" s="1621">
        <f t="shared" si="5"/>
        <v>866294.8</v>
      </c>
      <c r="K57" s="1622">
        <f t="shared" si="6"/>
        <v>987887.96000000008</v>
      </c>
    </row>
    <row r="58" spans="1:11" s="1605" customFormat="1" ht="15" customHeight="1" x14ac:dyDescent="0.3">
      <c r="A58" s="1617" t="s">
        <v>134</v>
      </c>
      <c r="B58" s="1618" t="s">
        <v>135</v>
      </c>
      <c r="C58" s="1619" t="s">
        <v>255</v>
      </c>
      <c r="D58" s="1620">
        <v>38929.118318442241</v>
      </c>
      <c r="E58" s="1621">
        <v>39795.541681557748</v>
      </c>
      <c r="F58" s="1621">
        <v>15959.810000000001</v>
      </c>
      <c r="G58" s="1621">
        <v>-6.0000000000000005E-2</v>
      </c>
      <c r="H58" s="1621">
        <v>0</v>
      </c>
      <c r="I58" s="1621">
        <f t="shared" si="4"/>
        <v>94684.409999999989</v>
      </c>
      <c r="J58" s="1621">
        <f t="shared" si="5"/>
        <v>-6.0000000000000005E-2</v>
      </c>
      <c r="K58" s="1622">
        <f t="shared" si="6"/>
        <v>15959.750000000002</v>
      </c>
    </row>
    <row r="59" spans="1:11" s="1605" customFormat="1" ht="15" customHeight="1" x14ac:dyDescent="0.3">
      <c r="A59" s="1617" t="s">
        <v>136</v>
      </c>
      <c r="B59" s="1618" t="s">
        <v>137</v>
      </c>
      <c r="C59" s="1619" t="s">
        <v>254</v>
      </c>
      <c r="D59" s="1620">
        <v>3842.0232166998185</v>
      </c>
      <c r="E59" s="1621">
        <v>6126.8067833001824</v>
      </c>
      <c r="F59" s="1621">
        <v>1683.2699999999998</v>
      </c>
      <c r="G59" s="1621">
        <v>-0.02</v>
      </c>
      <c r="H59" s="1621">
        <v>0</v>
      </c>
      <c r="I59" s="1621">
        <f t="shared" si="4"/>
        <v>11652.080000000002</v>
      </c>
      <c r="J59" s="1621">
        <f t="shared" si="5"/>
        <v>-0.02</v>
      </c>
      <c r="K59" s="1622">
        <f t="shared" si="6"/>
        <v>1683.2499999999998</v>
      </c>
    </row>
    <row r="60" spans="1:11" s="1605" customFormat="1" ht="15" customHeight="1" x14ac:dyDescent="0.3">
      <c r="A60" s="1617" t="s">
        <v>140</v>
      </c>
      <c r="B60" s="1618" t="s">
        <v>141</v>
      </c>
      <c r="C60" s="1619" t="s">
        <v>255</v>
      </c>
      <c r="D60" s="1620">
        <v>32464.930567281062</v>
      </c>
      <c r="E60" s="1621">
        <v>9892.42943271894</v>
      </c>
      <c r="F60" s="1621">
        <v>4519.99</v>
      </c>
      <c r="G60" s="1621">
        <v>4.9999999999999996E-2</v>
      </c>
      <c r="H60" s="1621">
        <v>0</v>
      </c>
      <c r="I60" s="1621">
        <f t="shared" si="4"/>
        <v>46877.4</v>
      </c>
      <c r="J60" s="1621">
        <f t="shared" si="5"/>
        <v>4.9999999999999996E-2</v>
      </c>
      <c r="K60" s="1622">
        <f t="shared" si="6"/>
        <v>4520.04</v>
      </c>
    </row>
    <row r="61" spans="1:11" s="1605" customFormat="1" ht="15" customHeight="1" x14ac:dyDescent="0.3">
      <c r="A61" s="1617" t="s">
        <v>146</v>
      </c>
      <c r="B61" s="1618" t="s">
        <v>147</v>
      </c>
      <c r="C61" s="1619" t="s">
        <v>252</v>
      </c>
      <c r="D61" s="1620">
        <v>32766.859293221318</v>
      </c>
      <c r="E61" s="1621">
        <v>5251.9807067786824</v>
      </c>
      <c r="F61" s="1621">
        <v>8557.89</v>
      </c>
      <c r="G61" s="1621">
        <v>1165.2199999999998</v>
      </c>
      <c r="H61" s="1621">
        <v>0</v>
      </c>
      <c r="I61" s="1621">
        <f t="shared" si="4"/>
        <v>47741.95</v>
      </c>
      <c r="J61" s="1621">
        <f t="shared" si="5"/>
        <v>1165.2199999999998</v>
      </c>
      <c r="K61" s="1622">
        <f t="shared" si="6"/>
        <v>9723.1099999999988</v>
      </c>
    </row>
    <row r="62" spans="1:11" s="1605" customFormat="1" ht="15" customHeight="1" x14ac:dyDescent="0.3">
      <c r="A62" s="1617" t="s">
        <v>148</v>
      </c>
      <c r="B62" s="1618" t="s">
        <v>149</v>
      </c>
      <c r="C62" s="1619" t="s">
        <v>253</v>
      </c>
      <c r="D62" s="1620">
        <v>29787.176292761007</v>
      </c>
      <c r="E62" s="1621">
        <v>23098.293707238994</v>
      </c>
      <c r="F62" s="1621">
        <v>9807.5299999999988</v>
      </c>
      <c r="G62" s="1621">
        <v>-0.13</v>
      </c>
      <c r="H62" s="1621">
        <v>0</v>
      </c>
      <c r="I62" s="1621">
        <f t="shared" si="4"/>
        <v>62692.87</v>
      </c>
      <c r="J62" s="1621">
        <f t="shared" si="5"/>
        <v>-0.13</v>
      </c>
      <c r="K62" s="1622">
        <f t="shared" si="6"/>
        <v>9807.4</v>
      </c>
    </row>
    <row r="63" spans="1:11" s="1605" customFormat="1" ht="15" customHeight="1" x14ac:dyDescent="0.3">
      <c r="A63" s="1617" t="s">
        <v>150</v>
      </c>
      <c r="B63" s="1618" t="s">
        <v>151</v>
      </c>
      <c r="C63" s="1619" t="s">
        <v>254</v>
      </c>
      <c r="D63" s="1620">
        <v>47815.303261090005</v>
      </c>
      <c r="E63" s="1621">
        <v>24049.706738909994</v>
      </c>
      <c r="F63" s="1621">
        <v>14852.68</v>
      </c>
      <c r="G63" s="1621">
        <v>-7.0000000000000007E-2</v>
      </c>
      <c r="H63" s="1621">
        <v>0</v>
      </c>
      <c r="I63" s="1621">
        <f t="shared" si="4"/>
        <v>86717.62</v>
      </c>
      <c r="J63" s="1621">
        <f t="shared" si="5"/>
        <v>-7.0000000000000007E-2</v>
      </c>
      <c r="K63" s="1622">
        <f t="shared" si="6"/>
        <v>14852.61</v>
      </c>
    </row>
    <row r="64" spans="1:11" s="1605" customFormat="1" ht="15" customHeight="1" x14ac:dyDescent="0.3">
      <c r="A64" s="1617" t="s">
        <v>152</v>
      </c>
      <c r="B64" s="1618" t="s">
        <v>153</v>
      </c>
      <c r="C64" s="1619" t="s">
        <v>256</v>
      </c>
      <c r="D64" s="1620">
        <v>70712.901464245602</v>
      </c>
      <c r="E64" s="1621">
        <v>55760.468535754393</v>
      </c>
      <c r="F64" s="1621">
        <v>23955.100000000002</v>
      </c>
      <c r="G64" s="1621">
        <v>-0.14000000000000001</v>
      </c>
      <c r="H64" s="1621">
        <v>0</v>
      </c>
      <c r="I64" s="1621">
        <f t="shared" si="4"/>
        <v>150428.32999999999</v>
      </c>
      <c r="J64" s="1621">
        <f t="shared" si="5"/>
        <v>-0.14000000000000001</v>
      </c>
      <c r="K64" s="1622">
        <f t="shared" si="6"/>
        <v>23954.960000000003</v>
      </c>
    </row>
    <row r="65" spans="1:11" s="1605" customFormat="1" ht="15" customHeight="1" x14ac:dyDescent="0.3">
      <c r="A65" s="1617" t="s">
        <v>154</v>
      </c>
      <c r="B65" s="1618" t="s">
        <v>155</v>
      </c>
      <c r="C65" s="1619" t="s">
        <v>253</v>
      </c>
      <c r="D65" s="1620">
        <v>16028.857576662536</v>
      </c>
      <c r="E65" s="1621">
        <v>6613.612423337464</v>
      </c>
      <c r="F65" s="1621">
        <v>2410.42</v>
      </c>
      <c r="G65" s="1621">
        <v>-0.01</v>
      </c>
      <c r="H65" s="1621">
        <v>0</v>
      </c>
      <c r="I65" s="1621">
        <f t="shared" si="4"/>
        <v>25052.880000000001</v>
      </c>
      <c r="J65" s="1621">
        <f t="shared" si="5"/>
        <v>-0.01</v>
      </c>
      <c r="K65" s="1622">
        <f t="shared" si="6"/>
        <v>2410.41</v>
      </c>
    </row>
    <row r="66" spans="1:11" s="1605" customFormat="1" ht="15" customHeight="1" x14ac:dyDescent="0.3">
      <c r="A66" s="1617" t="s">
        <v>156</v>
      </c>
      <c r="B66" s="1618" t="s">
        <v>157</v>
      </c>
      <c r="C66" s="1619" t="s">
        <v>254</v>
      </c>
      <c r="D66" s="1620">
        <v>11191.961999757146</v>
      </c>
      <c r="E66" s="1621">
        <v>16684.418000242855</v>
      </c>
      <c r="F66" s="1621">
        <v>5475.3200000000006</v>
      </c>
      <c r="G66" s="1621">
        <v>0</v>
      </c>
      <c r="H66" s="1621">
        <v>0</v>
      </c>
      <c r="I66" s="1621">
        <f t="shared" si="4"/>
        <v>33351.700000000004</v>
      </c>
      <c r="J66" s="1621">
        <f t="shared" si="5"/>
        <v>0</v>
      </c>
      <c r="K66" s="1622">
        <f t="shared" si="6"/>
        <v>5475.3200000000006</v>
      </c>
    </row>
    <row r="67" spans="1:11" s="1605" customFormat="1" ht="15" customHeight="1" x14ac:dyDescent="0.3">
      <c r="A67" s="1617" t="s">
        <v>162</v>
      </c>
      <c r="B67" s="1618" t="s">
        <v>163</v>
      </c>
      <c r="C67" s="1619" t="s">
        <v>252</v>
      </c>
      <c r="D67" s="1620">
        <v>58631.856858342238</v>
      </c>
      <c r="E67" s="1621">
        <v>8669.0831416577657</v>
      </c>
      <c r="F67" s="1621">
        <v>13954.400000000001</v>
      </c>
      <c r="G67" s="1621">
        <v>-0.13</v>
      </c>
      <c r="H67" s="1621">
        <v>0</v>
      </c>
      <c r="I67" s="1621">
        <f t="shared" si="4"/>
        <v>81255.209999999992</v>
      </c>
      <c r="J67" s="1621">
        <f t="shared" si="5"/>
        <v>-0.13</v>
      </c>
      <c r="K67" s="1622">
        <f t="shared" si="6"/>
        <v>13954.270000000002</v>
      </c>
    </row>
    <row r="68" spans="1:11" s="1605" customFormat="1" ht="15" customHeight="1" x14ac:dyDescent="0.3">
      <c r="A68" s="1617" t="s">
        <v>164</v>
      </c>
      <c r="B68" s="1618" t="s">
        <v>165</v>
      </c>
      <c r="C68" s="1619" t="s">
        <v>254</v>
      </c>
      <c r="D68" s="1620">
        <v>23497.831143737643</v>
      </c>
      <c r="E68" s="1621">
        <v>5598.1588562623547</v>
      </c>
      <c r="F68" s="1621">
        <v>5824.65</v>
      </c>
      <c r="G68" s="1621">
        <v>-0.01</v>
      </c>
      <c r="H68" s="1621">
        <v>0</v>
      </c>
      <c r="I68" s="1621">
        <f t="shared" si="4"/>
        <v>34920.629999999997</v>
      </c>
      <c r="J68" s="1621">
        <f t="shared" si="5"/>
        <v>-0.01</v>
      </c>
      <c r="K68" s="1622">
        <f t="shared" si="6"/>
        <v>5824.6399999999994</v>
      </c>
    </row>
    <row r="69" spans="1:11" s="1605" customFormat="1" ht="15" customHeight="1" x14ac:dyDescent="0.3">
      <c r="A69" s="1617" t="s">
        <v>168</v>
      </c>
      <c r="B69" s="1618" t="s">
        <v>169</v>
      </c>
      <c r="C69" s="1619" t="s">
        <v>254</v>
      </c>
      <c r="D69" s="1620">
        <v>43327.411271177843</v>
      </c>
      <c r="E69" s="1621">
        <v>33459.808728822158</v>
      </c>
      <c r="F69" s="1621">
        <v>15417.260000000002</v>
      </c>
      <c r="G69" s="1621">
        <v>-0.05</v>
      </c>
      <c r="H69" s="1621">
        <v>0</v>
      </c>
      <c r="I69" s="1621">
        <f t="shared" ref="I69:I100" si="7">SUM(D69:H69)</f>
        <v>92204.430000000008</v>
      </c>
      <c r="J69" s="1621">
        <f t="shared" ref="J69:J100" si="8">G69+H69</f>
        <v>-0.05</v>
      </c>
      <c r="K69" s="1622">
        <f t="shared" ref="K69:K100" si="9">F69+J69</f>
        <v>15417.210000000003</v>
      </c>
    </row>
    <row r="70" spans="1:11" s="1605" customFormat="1" ht="15" customHeight="1" x14ac:dyDescent="0.3">
      <c r="A70" s="1617" t="s">
        <v>170</v>
      </c>
      <c r="B70" s="1618" t="s">
        <v>171</v>
      </c>
      <c r="C70" s="1619" t="s">
        <v>255</v>
      </c>
      <c r="D70" s="1620">
        <v>46143.013156532681</v>
      </c>
      <c r="E70" s="1621">
        <v>16509.036843467322</v>
      </c>
      <c r="F70" s="1621">
        <v>12329.579999999998</v>
      </c>
      <c r="G70" s="1621">
        <v>-1.999999999999999E-2</v>
      </c>
      <c r="H70" s="1621">
        <v>0</v>
      </c>
      <c r="I70" s="1621">
        <f t="shared" si="7"/>
        <v>74981.61</v>
      </c>
      <c r="J70" s="1621">
        <f t="shared" si="8"/>
        <v>-1.999999999999999E-2</v>
      </c>
      <c r="K70" s="1622">
        <f t="shared" si="9"/>
        <v>12329.559999999998</v>
      </c>
    </row>
    <row r="71" spans="1:11" s="1605" customFormat="1" ht="15" customHeight="1" x14ac:dyDescent="0.3">
      <c r="A71" s="1617" t="s">
        <v>172</v>
      </c>
      <c r="B71" s="1618" t="s">
        <v>173</v>
      </c>
      <c r="C71" s="1619" t="s">
        <v>255</v>
      </c>
      <c r="D71" s="1620">
        <v>28555.3983177595</v>
      </c>
      <c r="E71" s="1621">
        <v>7972.5316822405002</v>
      </c>
      <c r="F71" s="1621">
        <v>8946.01</v>
      </c>
      <c r="G71" s="1621">
        <v>765.74</v>
      </c>
      <c r="H71" s="1621">
        <v>0</v>
      </c>
      <c r="I71" s="1621">
        <f t="shared" si="7"/>
        <v>46239.68</v>
      </c>
      <c r="J71" s="1621">
        <f t="shared" si="8"/>
        <v>765.74</v>
      </c>
      <c r="K71" s="1622">
        <f t="shared" si="9"/>
        <v>9711.75</v>
      </c>
    </row>
    <row r="72" spans="1:11" s="1605" customFormat="1" ht="15" customHeight="1" x14ac:dyDescent="0.3">
      <c r="A72" s="1617" t="s">
        <v>174</v>
      </c>
      <c r="B72" s="1618" t="s">
        <v>175</v>
      </c>
      <c r="C72" s="1619" t="s">
        <v>256</v>
      </c>
      <c r="D72" s="1620">
        <v>41697.787523069048</v>
      </c>
      <c r="E72" s="1621">
        <v>28622.162476930949</v>
      </c>
      <c r="F72" s="1621">
        <v>13153.3</v>
      </c>
      <c r="G72" s="1621">
        <v>-0.14000000000000001</v>
      </c>
      <c r="H72" s="1621">
        <v>0</v>
      </c>
      <c r="I72" s="1621">
        <f t="shared" si="7"/>
        <v>83473.11</v>
      </c>
      <c r="J72" s="1621">
        <f t="shared" si="8"/>
        <v>-0.14000000000000001</v>
      </c>
      <c r="K72" s="1622">
        <f t="shared" si="9"/>
        <v>13153.16</v>
      </c>
    </row>
    <row r="73" spans="1:11" s="1605" customFormat="1" ht="15" customHeight="1" x14ac:dyDescent="0.3">
      <c r="A73" s="1617" t="s">
        <v>178</v>
      </c>
      <c r="B73" s="1618" t="s">
        <v>179</v>
      </c>
      <c r="C73" s="1619" t="s">
        <v>253</v>
      </c>
      <c r="D73" s="1620">
        <v>78866.854026038258</v>
      </c>
      <c r="E73" s="1621">
        <v>25197.125973961738</v>
      </c>
      <c r="F73" s="1621">
        <v>20836.490000000002</v>
      </c>
      <c r="G73" s="1621">
        <v>-0.21000000000000002</v>
      </c>
      <c r="H73" s="1621">
        <v>0</v>
      </c>
      <c r="I73" s="1621">
        <f t="shared" si="7"/>
        <v>124900.26</v>
      </c>
      <c r="J73" s="1621">
        <f t="shared" si="8"/>
        <v>-0.21000000000000002</v>
      </c>
      <c r="K73" s="1622">
        <f t="shared" si="9"/>
        <v>20836.280000000002</v>
      </c>
    </row>
    <row r="74" spans="1:11" s="1605" customFormat="1" ht="15" customHeight="1" x14ac:dyDescent="0.3">
      <c r="A74" s="1617" t="s">
        <v>182</v>
      </c>
      <c r="B74" s="1618" t="s">
        <v>183</v>
      </c>
      <c r="C74" s="1619" t="s">
        <v>254</v>
      </c>
      <c r="D74" s="1620">
        <v>17968.682240443399</v>
      </c>
      <c r="E74" s="1621">
        <v>7948.9077595566005</v>
      </c>
      <c r="F74" s="1621">
        <v>4772.84</v>
      </c>
      <c r="G74" s="1621">
        <v>-0.04</v>
      </c>
      <c r="H74" s="1621">
        <v>430.34999999999997</v>
      </c>
      <c r="I74" s="1621">
        <f t="shared" si="7"/>
        <v>31120.739999999998</v>
      </c>
      <c r="J74" s="1621">
        <f t="shared" si="8"/>
        <v>430.30999999999995</v>
      </c>
      <c r="K74" s="1622">
        <f t="shared" si="9"/>
        <v>5203.1499999999996</v>
      </c>
    </row>
    <row r="75" spans="1:11" s="1605" customFormat="1" ht="15" customHeight="1" x14ac:dyDescent="0.3">
      <c r="A75" s="1617" t="s">
        <v>184</v>
      </c>
      <c r="B75" s="1618" t="s">
        <v>185</v>
      </c>
      <c r="C75" s="1619" t="s">
        <v>254</v>
      </c>
      <c r="D75" s="1620">
        <v>25350.310748251573</v>
      </c>
      <c r="E75" s="1621">
        <v>42731.319251748435</v>
      </c>
      <c r="F75" s="1621">
        <v>12691.51</v>
      </c>
      <c r="G75" s="1621">
        <v>-0.05</v>
      </c>
      <c r="H75" s="1621">
        <v>0</v>
      </c>
      <c r="I75" s="1621">
        <f t="shared" si="7"/>
        <v>80773.09</v>
      </c>
      <c r="J75" s="1621">
        <f t="shared" si="8"/>
        <v>-0.05</v>
      </c>
      <c r="K75" s="1622">
        <f t="shared" si="9"/>
        <v>12691.460000000001</v>
      </c>
    </row>
    <row r="76" spans="1:11" s="1605" customFormat="1" ht="15" customHeight="1" x14ac:dyDescent="0.3">
      <c r="A76" s="1617" t="s">
        <v>186</v>
      </c>
      <c r="B76" s="1618" t="s">
        <v>187</v>
      </c>
      <c r="C76" s="1619" t="s">
        <v>252</v>
      </c>
      <c r="D76" s="1620">
        <v>17105.679077194232</v>
      </c>
      <c r="E76" s="1621">
        <v>10299.710922805767</v>
      </c>
      <c r="F76" s="1621">
        <v>5044.8500000000004</v>
      </c>
      <c r="G76" s="1621">
        <v>-7.0000000000000007E-2</v>
      </c>
      <c r="H76" s="1621">
        <v>0</v>
      </c>
      <c r="I76" s="1621">
        <f t="shared" si="7"/>
        <v>32450.17</v>
      </c>
      <c r="J76" s="1621">
        <f t="shared" si="8"/>
        <v>-7.0000000000000007E-2</v>
      </c>
      <c r="K76" s="1622">
        <f t="shared" si="9"/>
        <v>5044.7800000000007</v>
      </c>
    </row>
    <row r="77" spans="1:11" s="1605" customFormat="1" ht="15" customHeight="1" x14ac:dyDescent="0.3">
      <c r="A77" s="1617" t="s">
        <v>188</v>
      </c>
      <c r="B77" s="1618" t="s">
        <v>189</v>
      </c>
      <c r="C77" s="1619" t="s">
        <v>255</v>
      </c>
      <c r="D77" s="1620">
        <v>376145.10974365257</v>
      </c>
      <c r="E77" s="1621">
        <v>215246.31025634741</v>
      </c>
      <c r="F77" s="1621">
        <v>123119.65</v>
      </c>
      <c r="G77" s="1621">
        <v>-0.15000000000000002</v>
      </c>
      <c r="H77" s="1621">
        <v>98599.22</v>
      </c>
      <c r="I77" s="1621">
        <f t="shared" si="7"/>
        <v>813110.1399999999</v>
      </c>
      <c r="J77" s="1621">
        <f t="shared" si="8"/>
        <v>98599.07</v>
      </c>
      <c r="K77" s="1622">
        <f t="shared" si="9"/>
        <v>221718.72</v>
      </c>
    </row>
    <row r="78" spans="1:11" s="1605" customFormat="1" ht="15" customHeight="1" x14ac:dyDescent="0.3">
      <c r="A78" s="1617" t="s">
        <v>190</v>
      </c>
      <c r="B78" s="1618" t="s">
        <v>191</v>
      </c>
      <c r="C78" s="1619" t="s">
        <v>256</v>
      </c>
      <c r="D78" s="1620">
        <v>40695.363042528654</v>
      </c>
      <c r="E78" s="1621">
        <v>15219.916957471345</v>
      </c>
      <c r="F78" s="1621">
        <v>9618.93</v>
      </c>
      <c r="G78" s="1621">
        <v>83.110000000000014</v>
      </c>
      <c r="H78" s="1621">
        <v>0</v>
      </c>
      <c r="I78" s="1621">
        <f t="shared" si="7"/>
        <v>65617.319999999992</v>
      </c>
      <c r="J78" s="1621">
        <f t="shared" si="8"/>
        <v>83.110000000000014</v>
      </c>
      <c r="K78" s="1622">
        <f t="shared" si="9"/>
        <v>9702.0400000000009</v>
      </c>
    </row>
    <row r="79" spans="1:11" s="1605" customFormat="1" ht="15" customHeight="1" x14ac:dyDescent="0.3">
      <c r="A79" s="1617" t="s">
        <v>194</v>
      </c>
      <c r="B79" s="1618" t="s">
        <v>195</v>
      </c>
      <c r="C79" s="1619" t="s">
        <v>255</v>
      </c>
      <c r="D79" s="1620">
        <v>17010.080986248668</v>
      </c>
      <c r="E79" s="1621">
        <v>3248.719013751333</v>
      </c>
      <c r="F79" s="1621">
        <v>3264.2200000000003</v>
      </c>
      <c r="G79" s="1621">
        <v>-7.0000000000000007E-2</v>
      </c>
      <c r="H79" s="1621">
        <v>0</v>
      </c>
      <c r="I79" s="1621">
        <f t="shared" si="7"/>
        <v>23522.95</v>
      </c>
      <c r="J79" s="1621">
        <f t="shared" si="8"/>
        <v>-7.0000000000000007E-2</v>
      </c>
      <c r="K79" s="1622">
        <f t="shared" si="9"/>
        <v>3264.15</v>
      </c>
    </row>
    <row r="80" spans="1:11" s="1605" customFormat="1" ht="15" customHeight="1" x14ac:dyDescent="0.3">
      <c r="A80" s="1617" t="s">
        <v>198</v>
      </c>
      <c r="B80" s="1618" t="s">
        <v>199</v>
      </c>
      <c r="C80" s="1619" t="s">
        <v>254</v>
      </c>
      <c r="D80" s="1620">
        <v>7268.2100000000009</v>
      </c>
      <c r="E80" s="1621">
        <v>1255.8900000000001</v>
      </c>
      <c r="F80" s="1621">
        <v>1554.08</v>
      </c>
      <c r="G80" s="1621">
        <v>-0.02</v>
      </c>
      <c r="H80" s="1621">
        <v>0</v>
      </c>
      <c r="I80" s="1621">
        <f t="shared" si="7"/>
        <v>10078.16</v>
      </c>
      <c r="J80" s="1621">
        <f t="shared" si="8"/>
        <v>-0.02</v>
      </c>
      <c r="K80" s="1622">
        <f t="shared" si="9"/>
        <v>1554.06</v>
      </c>
    </row>
    <row r="81" spans="1:11" s="1605" customFormat="1" ht="15" customHeight="1" x14ac:dyDescent="0.3">
      <c r="A81" s="1617" t="s">
        <v>202</v>
      </c>
      <c r="B81" s="1618" t="s">
        <v>203</v>
      </c>
      <c r="C81" s="1619" t="s">
        <v>253</v>
      </c>
      <c r="D81" s="1620">
        <v>187566.63556432212</v>
      </c>
      <c r="E81" s="1621">
        <v>127658.26443567788</v>
      </c>
      <c r="F81" s="1621">
        <v>62131.069999999992</v>
      </c>
      <c r="G81" s="1621">
        <v>23.570000000000004</v>
      </c>
      <c r="H81" s="1621">
        <v>0</v>
      </c>
      <c r="I81" s="1621">
        <f t="shared" si="7"/>
        <v>377379.54000000004</v>
      </c>
      <c r="J81" s="1621">
        <f t="shared" si="8"/>
        <v>23.570000000000004</v>
      </c>
      <c r="K81" s="1622">
        <f t="shared" si="9"/>
        <v>62154.639999999992</v>
      </c>
    </row>
    <row r="82" spans="1:11" s="1605" customFormat="1" ht="15" customHeight="1" x14ac:dyDescent="0.3">
      <c r="A82" s="1617" t="s">
        <v>204</v>
      </c>
      <c r="B82" s="1618" t="s">
        <v>205</v>
      </c>
      <c r="C82" s="1619" t="s">
        <v>253</v>
      </c>
      <c r="D82" s="1620">
        <v>27365.664171457771</v>
      </c>
      <c r="E82" s="1621">
        <v>13317.495828542229</v>
      </c>
      <c r="F82" s="1621">
        <v>8008.6100000000006</v>
      </c>
      <c r="G82" s="1621">
        <v>-0.08</v>
      </c>
      <c r="H82" s="1621">
        <v>0</v>
      </c>
      <c r="I82" s="1621">
        <f t="shared" si="7"/>
        <v>48691.69</v>
      </c>
      <c r="J82" s="1621">
        <f t="shared" si="8"/>
        <v>-0.08</v>
      </c>
      <c r="K82" s="1622">
        <f t="shared" si="9"/>
        <v>8008.5300000000007</v>
      </c>
    </row>
    <row r="83" spans="1:11" s="1605" customFormat="1" ht="15" customHeight="1" x14ac:dyDescent="0.3">
      <c r="A83" s="1617" t="s">
        <v>206</v>
      </c>
      <c r="B83" s="1618" t="s">
        <v>207</v>
      </c>
      <c r="C83" s="1619" t="s">
        <v>255</v>
      </c>
      <c r="D83" s="1620">
        <v>137895.77354792581</v>
      </c>
      <c r="E83" s="1621">
        <v>160602.59645207421</v>
      </c>
      <c r="F83" s="1621">
        <v>55713.49</v>
      </c>
      <c r="G83" s="1621">
        <v>-0.27</v>
      </c>
      <c r="H83" s="1621">
        <v>0</v>
      </c>
      <c r="I83" s="1621">
        <f t="shared" si="7"/>
        <v>354211.58999999997</v>
      </c>
      <c r="J83" s="1621">
        <f t="shared" si="8"/>
        <v>-0.27</v>
      </c>
      <c r="K83" s="1622">
        <f t="shared" si="9"/>
        <v>55713.22</v>
      </c>
    </row>
    <row r="84" spans="1:11" s="1605" customFormat="1" ht="15" customHeight="1" x14ac:dyDescent="0.3">
      <c r="A84" s="1617" t="s">
        <v>208</v>
      </c>
      <c r="B84" s="1618" t="s">
        <v>209</v>
      </c>
      <c r="C84" s="1619" t="s">
        <v>256</v>
      </c>
      <c r="D84" s="1620">
        <v>74682.627605498274</v>
      </c>
      <c r="E84" s="1621">
        <v>32069.072394501723</v>
      </c>
      <c r="F84" s="1621">
        <v>19770.53</v>
      </c>
      <c r="G84" s="1621">
        <v>-9.9999999999999978E-2</v>
      </c>
      <c r="H84" s="1621">
        <v>0</v>
      </c>
      <c r="I84" s="1621">
        <f t="shared" si="7"/>
        <v>126522.12999999999</v>
      </c>
      <c r="J84" s="1621">
        <f t="shared" si="8"/>
        <v>-9.9999999999999978E-2</v>
      </c>
      <c r="K84" s="1622">
        <f t="shared" si="9"/>
        <v>19770.43</v>
      </c>
    </row>
    <row r="85" spans="1:11" s="1605" customFormat="1" ht="15" customHeight="1" x14ac:dyDescent="0.3">
      <c r="A85" s="1617" t="s">
        <v>210</v>
      </c>
      <c r="B85" s="1618" t="s">
        <v>211</v>
      </c>
      <c r="C85" s="1619" t="s">
        <v>256</v>
      </c>
      <c r="D85" s="1620">
        <v>36273.751577805859</v>
      </c>
      <c r="E85" s="1621">
        <v>44678.308422194139</v>
      </c>
      <c r="F85" s="1621">
        <v>14198.85</v>
      </c>
      <c r="G85" s="1621">
        <v>-0.01</v>
      </c>
      <c r="H85" s="1621">
        <v>0</v>
      </c>
      <c r="I85" s="1621">
        <f t="shared" si="7"/>
        <v>95150.900000000009</v>
      </c>
      <c r="J85" s="1621">
        <f t="shared" si="8"/>
        <v>-0.01</v>
      </c>
      <c r="K85" s="1622">
        <f t="shared" si="9"/>
        <v>14198.84</v>
      </c>
    </row>
    <row r="86" spans="1:11" s="1605" customFormat="1" ht="15" customHeight="1" x14ac:dyDescent="0.3">
      <c r="A86" s="1617" t="s">
        <v>212</v>
      </c>
      <c r="B86" s="1618" t="s">
        <v>213</v>
      </c>
      <c r="C86" s="1619" t="s">
        <v>255</v>
      </c>
      <c r="D86" s="1620">
        <v>48212.575010009343</v>
      </c>
      <c r="E86" s="1621">
        <v>40981.11498999066</v>
      </c>
      <c r="F86" s="1621">
        <v>16520.419999999998</v>
      </c>
      <c r="G86" s="1621">
        <v>-0.13</v>
      </c>
      <c r="H86" s="1621">
        <v>0</v>
      </c>
      <c r="I86" s="1621">
        <f t="shared" si="7"/>
        <v>105713.98</v>
      </c>
      <c r="J86" s="1621">
        <f t="shared" si="8"/>
        <v>-0.13</v>
      </c>
      <c r="K86" s="1622">
        <f t="shared" si="9"/>
        <v>16520.289999999997</v>
      </c>
    </row>
    <row r="87" spans="1:11" s="1605" customFormat="1" ht="15" customHeight="1" x14ac:dyDescent="0.3">
      <c r="A87" s="1617" t="s">
        <v>214</v>
      </c>
      <c r="B87" s="1618" t="s">
        <v>215</v>
      </c>
      <c r="C87" s="1619" t="s">
        <v>256</v>
      </c>
      <c r="D87" s="1620">
        <v>88291.042824756252</v>
      </c>
      <c r="E87" s="1621">
        <v>40678.437175243736</v>
      </c>
      <c r="F87" s="1621">
        <v>27148.03</v>
      </c>
      <c r="G87" s="1621">
        <v>0.01</v>
      </c>
      <c r="H87" s="1621">
        <v>0</v>
      </c>
      <c r="I87" s="1621">
        <f t="shared" si="7"/>
        <v>156117.51999999999</v>
      </c>
      <c r="J87" s="1621">
        <f t="shared" si="8"/>
        <v>0.01</v>
      </c>
      <c r="K87" s="1622">
        <f t="shared" si="9"/>
        <v>27148.039999999997</v>
      </c>
    </row>
    <row r="88" spans="1:11" s="1605" customFormat="1" ht="15" customHeight="1" x14ac:dyDescent="0.3">
      <c r="A88" s="1617" t="s">
        <v>216</v>
      </c>
      <c r="B88" s="1618" t="s">
        <v>217</v>
      </c>
      <c r="C88" s="1619" t="s">
        <v>252</v>
      </c>
      <c r="D88" s="1620">
        <v>55867.842113405917</v>
      </c>
      <c r="E88" s="1621">
        <v>22206.117886594082</v>
      </c>
      <c r="F88" s="1621">
        <v>16092.93</v>
      </c>
      <c r="G88" s="1621">
        <v>3389.95</v>
      </c>
      <c r="H88" s="1621">
        <v>0</v>
      </c>
      <c r="I88" s="1621">
        <f t="shared" si="7"/>
        <v>97556.839999999982</v>
      </c>
      <c r="J88" s="1621">
        <f t="shared" si="8"/>
        <v>3389.95</v>
      </c>
      <c r="K88" s="1622">
        <f t="shared" si="9"/>
        <v>19482.88</v>
      </c>
    </row>
    <row r="89" spans="1:11" s="1605" customFormat="1" ht="15" customHeight="1" x14ac:dyDescent="0.3">
      <c r="A89" s="1617" t="s">
        <v>218</v>
      </c>
      <c r="B89" s="1618" t="s">
        <v>219</v>
      </c>
      <c r="C89" s="1619" t="s">
        <v>255</v>
      </c>
      <c r="D89" s="1620">
        <v>143969.58231291335</v>
      </c>
      <c r="E89" s="1621">
        <v>111412.63768708667</v>
      </c>
      <c r="F89" s="1621">
        <v>49840.89</v>
      </c>
      <c r="G89" s="1621">
        <v>862.81000000000006</v>
      </c>
      <c r="H89" s="1621">
        <v>0</v>
      </c>
      <c r="I89" s="1621">
        <f t="shared" si="7"/>
        <v>306085.92000000004</v>
      </c>
      <c r="J89" s="1621">
        <f t="shared" si="8"/>
        <v>862.81000000000006</v>
      </c>
      <c r="K89" s="1622">
        <f t="shared" si="9"/>
        <v>50703.7</v>
      </c>
    </row>
    <row r="90" spans="1:11" s="1605" customFormat="1" ht="15" customHeight="1" x14ac:dyDescent="0.3">
      <c r="A90" s="1617" t="s">
        <v>220</v>
      </c>
      <c r="B90" s="1618" t="s">
        <v>221</v>
      </c>
      <c r="C90" s="1619" t="s">
        <v>255</v>
      </c>
      <c r="D90" s="1620">
        <v>20705.803434537378</v>
      </c>
      <c r="E90" s="1621">
        <v>27488.45656546262</v>
      </c>
      <c r="F90" s="1621">
        <v>9604.119999999999</v>
      </c>
      <c r="G90" s="1621">
        <v>24916.720000000001</v>
      </c>
      <c r="H90" s="1621">
        <v>0</v>
      </c>
      <c r="I90" s="1621">
        <f t="shared" si="7"/>
        <v>82715.099999999991</v>
      </c>
      <c r="J90" s="1621">
        <f t="shared" si="8"/>
        <v>24916.720000000001</v>
      </c>
      <c r="K90" s="1622">
        <f t="shared" si="9"/>
        <v>34520.839999999997</v>
      </c>
    </row>
    <row r="91" spans="1:11" s="1605" customFormat="1" ht="15" customHeight="1" x14ac:dyDescent="0.3">
      <c r="A91" s="1617" t="s">
        <v>224</v>
      </c>
      <c r="B91" s="1618" t="s">
        <v>225</v>
      </c>
      <c r="C91" s="1619" t="s">
        <v>252</v>
      </c>
      <c r="D91" s="1620">
        <v>77100.40002321158</v>
      </c>
      <c r="E91" s="1621">
        <v>13623.199976788423</v>
      </c>
      <c r="F91" s="1621">
        <v>20251.88</v>
      </c>
      <c r="G91" s="1621">
        <v>1658.53</v>
      </c>
      <c r="H91" s="1621">
        <v>0</v>
      </c>
      <c r="I91" s="1621">
        <f t="shared" si="7"/>
        <v>112634.01000000001</v>
      </c>
      <c r="J91" s="1621">
        <f t="shared" si="8"/>
        <v>1658.53</v>
      </c>
      <c r="K91" s="1622">
        <f t="shared" si="9"/>
        <v>21910.41</v>
      </c>
    </row>
    <row r="92" spans="1:11" s="1605" customFormat="1" ht="15" customHeight="1" x14ac:dyDescent="0.3">
      <c r="A92" s="1617" t="s">
        <v>226</v>
      </c>
      <c r="B92" s="1618" t="s">
        <v>227</v>
      </c>
      <c r="C92" s="1619" t="s">
        <v>252</v>
      </c>
      <c r="D92" s="1620">
        <v>42701.736085878467</v>
      </c>
      <c r="E92" s="1621">
        <v>21572.323914121534</v>
      </c>
      <c r="F92" s="1621">
        <v>12785.759999999998</v>
      </c>
      <c r="G92" s="1621">
        <v>-0.03</v>
      </c>
      <c r="H92" s="1621">
        <v>0</v>
      </c>
      <c r="I92" s="1621">
        <f t="shared" si="7"/>
        <v>77059.789999999994</v>
      </c>
      <c r="J92" s="1621">
        <f t="shared" si="8"/>
        <v>-0.03</v>
      </c>
      <c r="K92" s="1622">
        <f t="shared" si="9"/>
        <v>12785.729999999998</v>
      </c>
    </row>
    <row r="93" spans="1:11" s="1605" customFormat="1" ht="15" customHeight="1" x14ac:dyDescent="0.3">
      <c r="A93" s="1617" t="s">
        <v>228</v>
      </c>
      <c r="B93" s="1618" t="s">
        <v>229</v>
      </c>
      <c r="C93" s="1619" t="s">
        <v>256</v>
      </c>
      <c r="D93" s="1620">
        <v>94573.687266654524</v>
      </c>
      <c r="E93" s="1621">
        <v>79160.632733345454</v>
      </c>
      <c r="F93" s="1621">
        <v>30906.270000000004</v>
      </c>
      <c r="G93" s="1621">
        <v>-0.13</v>
      </c>
      <c r="H93" s="1621">
        <v>0</v>
      </c>
      <c r="I93" s="1621">
        <f t="shared" si="7"/>
        <v>204640.45999999996</v>
      </c>
      <c r="J93" s="1621">
        <f t="shared" si="8"/>
        <v>-0.13</v>
      </c>
      <c r="K93" s="1622">
        <f t="shared" si="9"/>
        <v>30906.140000000003</v>
      </c>
    </row>
    <row r="94" spans="1:11" s="1605" customFormat="1" ht="15" customHeight="1" x14ac:dyDescent="0.3">
      <c r="A94" s="1617" t="s">
        <v>232</v>
      </c>
      <c r="B94" s="1618" t="s">
        <v>233</v>
      </c>
      <c r="C94" s="1619" t="s">
        <v>255</v>
      </c>
      <c r="D94" s="1620">
        <v>33220.638500531626</v>
      </c>
      <c r="E94" s="1621">
        <v>68688.051499468376</v>
      </c>
      <c r="F94" s="1621">
        <v>18830.68</v>
      </c>
      <c r="G94" s="1621">
        <v>-0.10999999999999999</v>
      </c>
      <c r="H94" s="1621">
        <v>0</v>
      </c>
      <c r="I94" s="1621">
        <f t="shared" si="7"/>
        <v>120739.26</v>
      </c>
      <c r="J94" s="1621">
        <f t="shared" si="8"/>
        <v>-0.10999999999999999</v>
      </c>
      <c r="K94" s="1622">
        <f t="shared" si="9"/>
        <v>18830.57</v>
      </c>
    </row>
    <row r="95" spans="1:11" s="1605" customFormat="1" ht="15" customHeight="1" x14ac:dyDescent="0.3">
      <c r="A95" s="1617" t="s">
        <v>234</v>
      </c>
      <c r="B95" s="1618" t="s">
        <v>235</v>
      </c>
      <c r="C95" s="1619" t="s">
        <v>256</v>
      </c>
      <c r="D95" s="1620">
        <v>81833.136864876054</v>
      </c>
      <c r="E95" s="1621">
        <v>35920.503135123945</v>
      </c>
      <c r="F95" s="1621">
        <v>24203.9</v>
      </c>
      <c r="G95" s="1621">
        <v>53.989999999999995</v>
      </c>
      <c r="H95" s="1621">
        <v>0</v>
      </c>
      <c r="I95" s="1621">
        <f t="shared" si="7"/>
        <v>142011.53</v>
      </c>
      <c r="J95" s="1621">
        <f t="shared" si="8"/>
        <v>53.989999999999995</v>
      </c>
      <c r="K95" s="1622">
        <f t="shared" si="9"/>
        <v>24257.890000000003</v>
      </c>
    </row>
    <row r="96" spans="1:11" s="1605" customFormat="1" ht="15" customHeight="1" x14ac:dyDescent="0.3">
      <c r="A96" s="1617" t="s">
        <v>236</v>
      </c>
      <c r="B96" s="1618" t="s">
        <v>237</v>
      </c>
      <c r="C96" s="1619" t="s">
        <v>254</v>
      </c>
      <c r="D96" s="1620">
        <v>30919.432133377133</v>
      </c>
      <c r="E96" s="1621">
        <v>26328.787866622861</v>
      </c>
      <c r="F96" s="1621">
        <v>10872.29</v>
      </c>
      <c r="G96" s="1621">
        <v>-0.2</v>
      </c>
      <c r="H96" s="1621">
        <v>0</v>
      </c>
      <c r="I96" s="1621">
        <f t="shared" si="7"/>
        <v>68120.31</v>
      </c>
      <c r="J96" s="1621">
        <f t="shared" si="8"/>
        <v>-0.2</v>
      </c>
      <c r="K96" s="1622">
        <f t="shared" si="9"/>
        <v>10872.09</v>
      </c>
    </row>
    <row r="97" spans="1:11" s="1605" customFormat="1" ht="15" customHeight="1" x14ac:dyDescent="0.3">
      <c r="A97" s="1617" t="s">
        <v>242</v>
      </c>
      <c r="B97" s="1618" t="s">
        <v>243</v>
      </c>
      <c r="C97" s="1619" t="s">
        <v>256</v>
      </c>
      <c r="D97" s="1620">
        <v>223415.23261744963</v>
      </c>
      <c r="E97" s="1621">
        <v>140166.01738255034</v>
      </c>
      <c r="F97" s="1621">
        <v>73691.399999999994</v>
      </c>
      <c r="G97" s="1621">
        <v>-0.17</v>
      </c>
      <c r="H97" s="1621">
        <v>0</v>
      </c>
      <c r="I97" s="1621">
        <f t="shared" si="7"/>
        <v>437272.48000000004</v>
      </c>
      <c r="J97" s="1621">
        <f t="shared" si="8"/>
        <v>-0.17</v>
      </c>
      <c r="K97" s="1622">
        <f t="shared" si="9"/>
        <v>73691.23</v>
      </c>
    </row>
    <row r="98" spans="1:11" s="1605" customFormat="1" ht="15" customHeight="1" x14ac:dyDescent="0.3">
      <c r="A98" s="1617" t="s">
        <v>244</v>
      </c>
      <c r="B98" s="1618" t="s">
        <v>245</v>
      </c>
      <c r="C98" s="1619" t="s">
        <v>256</v>
      </c>
      <c r="D98" s="1620">
        <v>95696.448648766658</v>
      </c>
      <c r="E98" s="1621">
        <v>35585.901351233348</v>
      </c>
      <c r="F98" s="1621">
        <v>24386.79</v>
      </c>
      <c r="G98" s="1621">
        <v>894.31000000000006</v>
      </c>
      <c r="H98" s="1621">
        <v>0</v>
      </c>
      <c r="I98" s="1621">
        <f t="shared" si="7"/>
        <v>156563.45000000001</v>
      </c>
      <c r="J98" s="1621">
        <f t="shared" si="8"/>
        <v>894.31000000000006</v>
      </c>
      <c r="K98" s="1622">
        <f t="shared" si="9"/>
        <v>25281.100000000002</v>
      </c>
    </row>
    <row r="99" spans="1:11" s="1605" customFormat="1" ht="15" customHeight="1" x14ac:dyDescent="0.3">
      <c r="A99" s="1617" t="s">
        <v>246</v>
      </c>
      <c r="B99" s="1618" t="s">
        <v>298</v>
      </c>
      <c r="C99" s="1619" t="s">
        <v>252</v>
      </c>
      <c r="D99" s="1620">
        <v>95140.673449562775</v>
      </c>
      <c r="E99" s="1621">
        <v>60310.446550437249</v>
      </c>
      <c r="F99" s="1621">
        <v>35380.26</v>
      </c>
      <c r="G99" s="1621">
        <v>-509.53000000000003</v>
      </c>
      <c r="H99" s="1621">
        <v>509.48</v>
      </c>
      <c r="I99" s="1621">
        <f t="shared" si="7"/>
        <v>190831.33000000005</v>
      </c>
      <c r="J99" s="1621">
        <f t="shared" si="8"/>
        <v>-5.0000000000011369E-2</v>
      </c>
      <c r="K99" s="1622">
        <f t="shared" si="9"/>
        <v>35380.21</v>
      </c>
    </row>
    <row r="100" spans="1:11" s="1605" customFormat="1" ht="15" customHeight="1" x14ac:dyDescent="0.3">
      <c r="A100" s="1617" t="s">
        <v>14</v>
      </c>
      <c r="B100" s="1618" t="s">
        <v>15</v>
      </c>
      <c r="C100" s="1619" t="s">
        <v>255</v>
      </c>
      <c r="D100" s="1620">
        <v>309458.66032464796</v>
      </c>
      <c r="E100" s="1621">
        <v>131799.26967535212</v>
      </c>
      <c r="F100" s="1621">
        <v>94053.180000000008</v>
      </c>
      <c r="G100" s="1621">
        <v>-0.21</v>
      </c>
      <c r="H100" s="1621">
        <v>200679.79</v>
      </c>
      <c r="I100" s="1621">
        <f t="shared" si="7"/>
        <v>735990.69000000018</v>
      </c>
      <c r="J100" s="1621">
        <f t="shared" si="8"/>
        <v>200679.58000000002</v>
      </c>
      <c r="K100" s="1622">
        <f t="shared" si="9"/>
        <v>294732.76</v>
      </c>
    </row>
    <row r="101" spans="1:11" s="1605" customFormat="1" ht="15" customHeight="1" x14ac:dyDescent="0.3">
      <c r="A101" s="1617" t="s">
        <v>34</v>
      </c>
      <c r="B101" s="1618" t="s">
        <v>35</v>
      </c>
      <c r="C101" s="1619" t="s">
        <v>256</v>
      </c>
      <c r="D101" s="1620">
        <v>75444.187600151708</v>
      </c>
      <c r="E101" s="1621">
        <v>93578.22239984828</v>
      </c>
      <c r="F101" s="1621">
        <v>31678.17</v>
      </c>
      <c r="G101" s="1621">
        <v>-0.27</v>
      </c>
      <c r="H101" s="1621">
        <v>0</v>
      </c>
      <c r="I101" s="1621">
        <f t="shared" ref="I101:I124" si="10">SUM(D101:H101)</f>
        <v>200700.30999999997</v>
      </c>
      <c r="J101" s="1621">
        <f t="shared" ref="J101:J124" si="11">G101+H101</f>
        <v>-0.27</v>
      </c>
      <c r="K101" s="1622">
        <f t="shared" ref="K101:K124" si="12">F101+J101</f>
        <v>31677.899999999998</v>
      </c>
    </row>
    <row r="102" spans="1:11" s="1605" customFormat="1" ht="15" customHeight="1" x14ac:dyDescent="0.3">
      <c r="A102" s="1617" t="s">
        <v>52</v>
      </c>
      <c r="B102" s="1618" t="s">
        <v>53</v>
      </c>
      <c r="C102" s="1619" t="s">
        <v>253</v>
      </c>
      <c r="D102" s="1620">
        <v>153824.80612975286</v>
      </c>
      <c r="E102" s="1621">
        <v>95009.723870247137</v>
      </c>
      <c r="F102" s="1621">
        <v>54430.889999999992</v>
      </c>
      <c r="G102" s="1621">
        <v>-0.32</v>
      </c>
      <c r="H102" s="1621">
        <v>0</v>
      </c>
      <c r="I102" s="1621">
        <f t="shared" si="10"/>
        <v>303265.09999999998</v>
      </c>
      <c r="J102" s="1621">
        <f t="shared" si="11"/>
        <v>-0.32</v>
      </c>
      <c r="K102" s="1622">
        <f t="shared" si="12"/>
        <v>54430.569999999992</v>
      </c>
    </row>
    <row r="103" spans="1:11" s="1605" customFormat="1" ht="15" customHeight="1" x14ac:dyDescent="0.3">
      <c r="A103" s="1617" t="s">
        <v>54</v>
      </c>
      <c r="B103" s="1618" t="s">
        <v>55</v>
      </c>
      <c r="C103" s="1619" t="s">
        <v>252</v>
      </c>
      <c r="D103" s="1620">
        <v>213329.71310049418</v>
      </c>
      <c r="E103" s="1621">
        <v>175775.1368995058</v>
      </c>
      <c r="F103" s="1621">
        <v>74364.62</v>
      </c>
      <c r="G103" s="1621">
        <v>-0.13</v>
      </c>
      <c r="H103" s="1621">
        <v>0</v>
      </c>
      <c r="I103" s="1621">
        <f t="shared" si="10"/>
        <v>463469.33999999997</v>
      </c>
      <c r="J103" s="1621">
        <f t="shared" si="11"/>
        <v>-0.13</v>
      </c>
      <c r="K103" s="1622">
        <f t="shared" si="12"/>
        <v>74364.489999999991</v>
      </c>
    </row>
    <row r="104" spans="1:11" s="1605" customFormat="1" ht="15" customHeight="1" x14ac:dyDescent="0.3">
      <c r="A104" s="1617" t="s">
        <v>66</v>
      </c>
      <c r="B104" s="1618" t="s">
        <v>67</v>
      </c>
      <c r="C104" s="1619" t="s">
        <v>253</v>
      </c>
      <c r="D104" s="1620">
        <v>99038.545867085762</v>
      </c>
      <c r="E104" s="1621">
        <v>41347.95413291423</v>
      </c>
      <c r="F104" s="1621">
        <v>25589.870000000003</v>
      </c>
      <c r="G104" s="1621">
        <v>-0.16</v>
      </c>
      <c r="H104" s="1621">
        <v>0</v>
      </c>
      <c r="I104" s="1621">
        <f t="shared" si="10"/>
        <v>165976.21</v>
      </c>
      <c r="J104" s="1621">
        <f t="shared" si="11"/>
        <v>-0.16</v>
      </c>
      <c r="K104" s="1622">
        <f t="shared" si="12"/>
        <v>25589.710000000003</v>
      </c>
    </row>
    <row r="105" spans="1:11" s="1605" customFormat="1" ht="15" customHeight="1" x14ac:dyDescent="0.3">
      <c r="A105" s="1617" t="s">
        <v>82</v>
      </c>
      <c r="B105" s="1618" t="s">
        <v>299</v>
      </c>
      <c r="C105" s="1619" t="s">
        <v>252</v>
      </c>
      <c r="D105" s="1620">
        <v>16301.88929895169</v>
      </c>
      <c r="E105" s="1621">
        <v>19212.300701048312</v>
      </c>
      <c r="F105" s="1621">
        <v>6703.6800000000012</v>
      </c>
      <c r="G105" s="1621">
        <v>-7.9999999999999988E-2</v>
      </c>
      <c r="H105" s="1621">
        <v>0</v>
      </c>
      <c r="I105" s="1621">
        <f t="shared" si="10"/>
        <v>42217.79</v>
      </c>
      <c r="J105" s="1621">
        <f t="shared" si="11"/>
        <v>-7.9999999999999988E-2</v>
      </c>
      <c r="K105" s="1622">
        <f t="shared" si="12"/>
        <v>6703.6000000000013</v>
      </c>
    </row>
    <row r="106" spans="1:11" s="1605" customFormat="1" ht="15" customHeight="1" x14ac:dyDescent="0.3">
      <c r="A106" s="1617" t="s">
        <v>88</v>
      </c>
      <c r="B106" s="1618" t="s">
        <v>89</v>
      </c>
      <c r="C106" s="1619" t="s">
        <v>255</v>
      </c>
      <c r="D106" s="1620">
        <v>65908.112251913</v>
      </c>
      <c r="E106" s="1621">
        <v>49660.50774808701</v>
      </c>
      <c r="F106" s="1621">
        <v>26915</v>
      </c>
      <c r="G106" s="1621">
        <v>-0.18</v>
      </c>
      <c r="H106" s="1621">
        <v>0</v>
      </c>
      <c r="I106" s="1621">
        <f t="shared" si="10"/>
        <v>142483.44</v>
      </c>
      <c r="J106" s="1621">
        <f t="shared" si="11"/>
        <v>-0.18</v>
      </c>
      <c r="K106" s="1622">
        <f t="shared" si="12"/>
        <v>26914.82</v>
      </c>
    </row>
    <row r="107" spans="1:11" s="1605" customFormat="1" ht="15" customHeight="1" x14ac:dyDescent="0.3">
      <c r="A107" s="1617" t="s">
        <v>90</v>
      </c>
      <c r="B107" s="1618" t="s">
        <v>91</v>
      </c>
      <c r="C107" s="1619" t="s">
        <v>256</v>
      </c>
      <c r="D107" s="1620">
        <v>14984.727163270411</v>
      </c>
      <c r="E107" s="1621">
        <v>8174.6928367295895</v>
      </c>
      <c r="F107" s="1621">
        <v>4203.87</v>
      </c>
      <c r="G107" s="1621">
        <v>-1.0000000000000002E-2</v>
      </c>
      <c r="H107" s="1621">
        <v>0</v>
      </c>
      <c r="I107" s="1621">
        <f t="shared" si="10"/>
        <v>27363.279999999999</v>
      </c>
      <c r="J107" s="1621">
        <f t="shared" si="11"/>
        <v>-1.0000000000000002E-2</v>
      </c>
      <c r="K107" s="1622">
        <f t="shared" si="12"/>
        <v>4203.8599999999997</v>
      </c>
    </row>
    <row r="108" spans="1:11" s="1605" customFormat="1" ht="15" customHeight="1" x14ac:dyDescent="0.3">
      <c r="A108" s="1617" t="s">
        <v>106</v>
      </c>
      <c r="B108" s="1618" t="s">
        <v>107</v>
      </c>
      <c r="C108" s="1619" t="s">
        <v>252</v>
      </c>
      <c r="D108" s="1620">
        <v>413463.84706312564</v>
      </c>
      <c r="E108" s="1621">
        <v>301540.68293687428</v>
      </c>
      <c r="F108" s="1621">
        <v>145961.39000000001</v>
      </c>
      <c r="G108" s="1621">
        <v>-870.08999999999992</v>
      </c>
      <c r="H108" s="1621">
        <v>0</v>
      </c>
      <c r="I108" s="1621">
        <f t="shared" si="10"/>
        <v>860095.83</v>
      </c>
      <c r="J108" s="1621">
        <f t="shared" si="11"/>
        <v>-870.08999999999992</v>
      </c>
      <c r="K108" s="1622">
        <f t="shared" si="12"/>
        <v>145091.30000000002</v>
      </c>
    </row>
    <row r="109" spans="1:11" s="1605" customFormat="1" ht="15" customHeight="1" x14ac:dyDescent="0.3">
      <c r="A109" s="1617" t="s">
        <v>116</v>
      </c>
      <c r="B109" s="1618" t="s">
        <v>117</v>
      </c>
      <c r="C109" s="1619" t="s">
        <v>254</v>
      </c>
      <c r="D109" s="1620">
        <v>61852.064128117636</v>
      </c>
      <c r="E109" s="1621">
        <v>63090.255871882371</v>
      </c>
      <c r="F109" s="1621">
        <v>24726.330000000005</v>
      </c>
      <c r="G109" s="1621">
        <v>-0.18999999999999997</v>
      </c>
      <c r="H109" s="1621">
        <v>0</v>
      </c>
      <c r="I109" s="1621">
        <f t="shared" si="10"/>
        <v>149668.46000000002</v>
      </c>
      <c r="J109" s="1621">
        <f t="shared" si="11"/>
        <v>-0.18999999999999997</v>
      </c>
      <c r="K109" s="1622">
        <f t="shared" si="12"/>
        <v>24726.140000000007</v>
      </c>
    </row>
    <row r="110" spans="1:11" s="1605" customFormat="1" ht="15" customHeight="1" x14ac:dyDescent="0.3">
      <c r="A110" s="1617" t="s">
        <v>138</v>
      </c>
      <c r="B110" s="1618" t="s">
        <v>139</v>
      </c>
      <c r="C110" s="1619" t="s">
        <v>253</v>
      </c>
      <c r="D110" s="1620">
        <v>194652.78017566056</v>
      </c>
      <c r="E110" s="1621">
        <v>100236.13982433945</v>
      </c>
      <c r="F110" s="1621">
        <v>55909.78</v>
      </c>
      <c r="G110" s="1621">
        <v>-4.0000000000000008E-2</v>
      </c>
      <c r="H110" s="1621">
        <v>0</v>
      </c>
      <c r="I110" s="1621">
        <f t="shared" si="10"/>
        <v>350798.66000000009</v>
      </c>
      <c r="J110" s="1621">
        <f t="shared" si="11"/>
        <v>-4.0000000000000008E-2</v>
      </c>
      <c r="K110" s="1622">
        <f t="shared" si="12"/>
        <v>55909.74</v>
      </c>
    </row>
    <row r="111" spans="1:11" s="1605" customFormat="1" ht="15" customHeight="1" x14ac:dyDescent="0.3">
      <c r="A111" s="1617" t="s">
        <v>142</v>
      </c>
      <c r="B111" s="1618" t="s">
        <v>143</v>
      </c>
      <c r="C111" s="1619" t="s">
        <v>255</v>
      </c>
      <c r="D111" s="1620">
        <v>29702.38706925531</v>
      </c>
      <c r="E111" s="1621">
        <v>15987.402930744691</v>
      </c>
      <c r="F111" s="1621">
        <v>8721.6400000000012</v>
      </c>
      <c r="G111" s="1621">
        <v>-4.9999999999999996E-2</v>
      </c>
      <c r="H111" s="1621">
        <v>0</v>
      </c>
      <c r="I111" s="1621">
        <f t="shared" si="10"/>
        <v>54411.38</v>
      </c>
      <c r="J111" s="1621">
        <f t="shared" si="11"/>
        <v>-4.9999999999999996E-2</v>
      </c>
      <c r="K111" s="1622">
        <f t="shared" si="12"/>
        <v>8721.590000000002</v>
      </c>
    </row>
    <row r="112" spans="1:11" s="1605" customFormat="1" ht="15" customHeight="1" x14ac:dyDescent="0.3">
      <c r="A112" s="1617" t="s">
        <v>144</v>
      </c>
      <c r="B112" s="1618" t="s">
        <v>145</v>
      </c>
      <c r="C112" s="1619" t="s">
        <v>255</v>
      </c>
      <c r="D112" s="1620">
        <v>16634.190604760046</v>
      </c>
      <c r="E112" s="1621">
        <v>3129.3693952399544</v>
      </c>
      <c r="F112" s="1621">
        <v>3920.9799999999996</v>
      </c>
      <c r="G112" s="1621">
        <v>-0.04</v>
      </c>
      <c r="H112" s="1621">
        <v>0</v>
      </c>
      <c r="I112" s="1621">
        <f t="shared" si="10"/>
        <v>23684.5</v>
      </c>
      <c r="J112" s="1621">
        <f t="shared" si="11"/>
        <v>-0.04</v>
      </c>
      <c r="K112" s="1622">
        <f t="shared" si="12"/>
        <v>3920.9399999999996</v>
      </c>
    </row>
    <row r="113" spans="1:11" s="1605" customFormat="1" ht="15" customHeight="1" x14ac:dyDescent="0.3">
      <c r="A113" s="1617" t="s">
        <v>158</v>
      </c>
      <c r="B113" s="1618" t="s">
        <v>159</v>
      </c>
      <c r="C113" s="1619" t="s">
        <v>252</v>
      </c>
      <c r="D113" s="1620">
        <v>487626.84564038285</v>
      </c>
      <c r="E113" s="1621">
        <v>398364.18435961724</v>
      </c>
      <c r="F113" s="1621">
        <v>180322.38999999998</v>
      </c>
      <c r="G113" s="1621">
        <v>-0.30000000000000004</v>
      </c>
      <c r="H113" s="1621">
        <v>0</v>
      </c>
      <c r="I113" s="1621">
        <f t="shared" si="10"/>
        <v>1066313.1199999999</v>
      </c>
      <c r="J113" s="1621">
        <f t="shared" si="11"/>
        <v>-0.30000000000000004</v>
      </c>
      <c r="K113" s="1622">
        <f t="shared" si="12"/>
        <v>180322.09</v>
      </c>
    </row>
    <row r="114" spans="1:11" s="1605" customFormat="1" ht="15" customHeight="1" x14ac:dyDescent="0.3">
      <c r="A114" s="1617" t="s">
        <v>160</v>
      </c>
      <c r="B114" s="1618" t="s">
        <v>161</v>
      </c>
      <c r="C114" s="1619" t="s">
        <v>252</v>
      </c>
      <c r="D114" s="1620">
        <v>409763.27277136472</v>
      </c>
      <c r="E114" s="1621">
        <v>350176.22722863534</v>
      </c>
      <c r="F114" s="1621">
        <v>143496.4</v>
      </c>
      <c r="G114" s="1621">
        <v>-0.43</v>
      </c>
      <c r="H114" s="1621">
        <v>0</v>
      </c>
      <c r="I114" s="1621">
        <f t="shared" si="10"/>
        <v>903435.47</v>
      </c>
      <c r="J114" s="1621">
        <f t="shared" si="11"/>
        <v>-0.43</v>
      </c>
      <c r="K114" s="1622">
        <f t="shared" si="12"/>
        <v>143495.97</v>
      </c>
    </row>
    <row r="115" spans="1:11" s="1605" customFormat="1" ht="15" customHeight="1" x14ac:dyDescent="0.3">
      <c r="A115" s="1617" t="s">
        <v>166</v>
      </c>
      <c r="B115" s="1618" t="s">
        <v>167</v>
      </c>
      <c r="C115" s="1619" t="s">
        <v>256</v>
      </c>
      <c r="D115" s="1620">
        <v>22439.996024472959</v>
      </c>
      <c r="E115" s="1621">
        <v>18657.473975527038</v>
      </c>
      <c r="F115" s="1621">
        <v>8007.18</v>
      </c>
      <c r="G115" s="1621">
        <v>115</v>
      </c>
      <c r="H115" s="1621">
        <v>0</v>
      </c>
      <c r="I115" s="1621">
        <f t="shared" si="10"/>
        <v>49219.65</v>
      </c>
      <c r="J115" s="1621">
        <f t="shared" si="11"/>
        <v>115</v>
      </c>
      <c r="K115" s="1622">
        <f t="shared" si="12"/>
        <v>8122.18</v>
      </c>
    </row>
    <row r="116" spans="1:11" s="1605" customFormat="1" ht="15" customHeight="1" x14ac:dyDescent="0.3">
      <c r="A116" s="1617" t="s">
        <v>176</v>
      </c>
      <c r="B116" s="1618" t="s">
        <v>177</v>
      </c>
      <c r="C116" s="1619" t="s">
        <v>254</v>
      </c>
      <c r="D116" s="1620">
        <v>99133.415615765116</v>
      </c>
      <c r="E116" s="1621">
        <v>135488.11438423488</v>
      </c>
      <c r="F116" s="1621">
        <v>45448.19</v>
      </c>
      <c r="G116" s="1621">
        <v>-0.1</v>
      </c>
      <c r="H116" s="1621">
        <v>0</v>
      </c>
      <c r="I116" s="1621">
        <f t="shared" si="10"/>
        <v>280069.62</v>
      </c>
      <c r="J116" s="1621">
        <f t="shared" si="11"/>
        <v>-0.1</v>
      </c>
      <c r="K116" s="1622">
        <f t="shared" si="12"/>
        <v>45448.090000000004</v>
      </c>
    </row>
    <row r="117" spans="1:11" s="1605" customFormat="1" ht="15" customHeight="1" x14ac:dyDescent="0.3">
      <c r="A117" s="1617" t="s">
        <v>180</v>
      </c>
      <c r="B117" s="1618" t="s">
        <v>181</v>
      </c>
      <c r="C117" s="1619" t="s">
        <v>252</v>
      </c>
      <c r="D117" s="1620">
        <v>139676.52114672452</v>
      </c>
      <c r="E117" s="1621">
        <v>53315.678853275465</v>
      </c>
      <c r="F117" s="1621">
        <v>35513.440000000002</v>
      </c>
      <c r="G117" s="1621">
        <v>-0.14000000000000001</v>
      </c>
      <c r="H117" s="1621">
        <v>0</v>
      </c>
      <c r="I117" s="1621">
        <f t="shared" si="10"/>
        <v>228505.49999999997</v>
      </c>
      <c r="J117" s="1621">
        <f t="shared" si="11"/>
        <v>-0.14000000000000001</v>
      </c>
      <c r="K117" s="1622">
        <f t="shared" si="12"/>
        <v>35513.300000000003</v>
      </c>
    </row>
    <row r="118" spans="1:11" s="1605" customFormat="1" ht="15" customHeight="1" x14ac:dyDescent="0.3">
      <c r="A118" s="1617" t="s">
        <v>192</v>
      </c>
      <c r="B118" s="1618" t="s">
        <v>193</v>
      </c>
      <c r="C118" s="1619" t="s">
        <v>256</v>
      </c>
      <c r="D118" s="1620">
        <v>11009.483295266678</v>
      </c>
      <c r="E118" s="1621">
        <v>12294.846704733322</v>
      </c>
      <c r="F118" s="1621">
        <v>4115.67</v>
      </c>
      <c r="G118" s="1621">
        <v>-0.12</v>
      </c>
      <c r="H118" s="1621">
        <v>0</v>
      </c>
      <c r="I118" s="1621">
        <f t="shared" si="10"/>
        <v>27419.88</v>
      </c>
      <c r="J118" s="1621">
        <f t="shared" si="11"/>
        <v>-0.12</v>
      </c>
      <c r="K118" s="1622">
        <f t="shared" si="12"/>
        <v>4115.55</v>
      </c>
    </row>
    <row r="119" spans="1:11" s="1605" customFormat="1" ht="15" customHeight="1" x14ac:dyDescent="0.3">
      <c r="A119" s="1617" t="s">
        <v>196</v>
      </c>
      <c r="B119" s="1618" t="s">
        <v>300</v>
      </c>
      <c r="C119" s="1619" t="s">
        <v>254</v>
      </c>
      <c r="D119" s="1620">
        <v>485595.86338979955</v>
      </c>
      <c r="E119" s="1621">
        <v>106581.12661020043</v>
      </c>
      <c r="F119" s="1621">
        <v>111942.7</v>
      </c>
      <c r="G119" s="1621">
        <v>-0.30000000000000004</v>
      </c>
      <c r="H119" s="1621">
        <v>0</v>
      </c>
      <c r="I119" s="1621">
        <f t="shared" si="10"/>
        <v>704119.3899999999</v>
      </c>
      <c r="J119" s="1621">
        <f t="shared" si="11"/>
        <v>-0.30000000000000004</v>
      </c>
      <c r="K119" s="1622">
        <f t="shared" si="12"/>
        <v>111942.39999999999</v>
      </c>
    </row>
    <row r="120" spans="1:11" s="1605" customFormat="1" ht="15" customHeight="1" x14ac:dyDescent="0.3">
      <c r="A120" s="1617" t="s">
        <v>200</v>
      </c>
      <c r="B120" s="1618" t="s">
        <v>301</v>
      </c>
      <c r="C120" s="1619" t="s">
        <v>253</v>
      </c>
      <c r="D120" s="1620">
        <v>238401.95872911057</v>
      </c>
      <c r="E120" s="1621">
        <v>162291.40127088942</v>
      </c>
      <c r="F120" s="1621">
        <v>76944.789999999979</v>
      </c>
      <c r="G120" s="1621">
        <v>6498.46</v>
      </c>
      <c r="H120" s="1621">
        <v>0</v>
      </c>
      <c r="I120" s="1621">
        <f t="shared" si="10"/>
        <v>484136.61</v>
      </c>
      <c r="J120" s="1621">
        <f t="shared" si="11"/>
        <v>6498.46</v>
      </c>
      <c r="K120" s="1622">
        <f t="shared" si="12"/>
        <v>83443.249999999985</v>
      </c>
    </row>
    <row r="121" spans="1:11" s="1605" customFormat="1" ht="15" customHeight="1" x14ac:dyDescent="0.3">
      <c r="A121" s="1617" t="s">
        <v>222</v>
      </c>
      <c r="B121" s="1618" t="s">
        <v>223</v>
      </c>
      <c r="C121" s="1619" t="s">
        <v>252</v>
      </c>
      <c r="D121" s="1620">
        <v>170996.44791773718</v>
      </c>
      <c r="E121" s="1621">
        <v>42385.762082262823</v>
      </c>
      <c r="F121" s="1621">
        <v>53200.44</v>
      </c>
      <c r="G121" s="1621">
        <v>2.0000000000000004E-2</v>
      </c>
      <c r="H121" s="1621">
        <v>45390.61</v>
      </c>
      <c r="I121" s="1621">
        <f t="shared" si="10"/>
        <v>311973.28000000003</v>
      </c>
      <c r="J121" s="1621">
        <f t="shared" si="11"/>
        <v>45390.63</v>
      </c>
      <c r="K121" s="1622">
        <f t="shared" si="12"/>
        <v>98591.07</v>
      </c>
    </row>
    <row r="122" spans="1:11" s="1605" customFormat="1" ht="15" customHeight="1" x14ac:dyDescent="0.3">
      <c r="A122" s="1617" t="s">
        <v>230</v>
      </c>
      <c r="B122" s="1618" t="s">
        <v>231</v>
      </c>
      <c r="C122" s="1619" t="s">
        <v>252</v>
      </c>
      <c r="D122" s="1620">
        <v>508651.19044966245</v>
      </c>
      <c r="E122" s="1621">
        <v>113527.0395503375</v>
      </c>
      <c r="F122" s="1621">
        <v>140901.85</v>
      </c>
      <c r="G122" s="1621">
        <v>193910.12000000002</v>
      </c>
      <c r="H122" s="1621">
        <v>0</v>
      </c>
      <c r="I122" s="1621">
        <f t="shared" si="10"/>
        <v>956990.2</v>
      </c>
      <c r="J122" s="1621">
        <f t="shared" si="11"/>
        <v>193910.12000000002</v>
      </c>
      <c r="K122" s="1622">
        <f t="shared" si="12"/>
        <v>334811.97000000003</v>
      </c>
    </row>
    <row r="123" spans="1:11" s="1605" customFormat="1" ht="15" customHeight="1" x14ac:dyDescent="0.3">
      <c r="A123" s="1617" t="s">
        <v>238</v>
      </c>
      <c r="B123" s="1618" t="s">
        <v>239</v>
      </c>
      <c r="C123" s="1619" t="s">
        <v>252</v>
      </c>
      <c r="D123" s="1620">
        <v>24272.613920561198</v>
      </c>
      <c r="E123" s="1621">
        <v>31282.966079438804</v>
      </c>
      <c r="F123" s="1621">
        <v>11082.45</v>
      </c>
      <c r="G123" s="1621">
        <v>-0.06</v>
      </c>
      <c r="H123" s="1621">
        <v>0</v>
      </c>
      <c r="I123" s="1621">
        <f t="shared" si="10"/>
        <v>66637.97</v>
      </c>
      <c r="J123" s="1621">
        <f t="shared" si="11"/>
        <v>-0.06</v>
      </c>
      <c r="K123" s="1622">
        <f t="shared" si="12"/>
        <v>11082.390000000001</v>
      </c>
    </row>
    <row r="124" spans="1:11" s="1605" customFormat="1" ht="15" customHeight="1" x14ac:dyDescent="0.3">
      <c r="A124" s="1623" t="s">
        <v>240</v>
      </c>
      <c r="B124" s="1624" t="s">
        <v>241</v>
      </c>
      <c r="C124" s="1625" t="s">
        <v>255</v>
      </c>
      <c r="D124" s="1626">
        <v>41495.401285538181</v>
      </c>
      <c r="E124" s="1627">
        <v>44993.38871446182</v>
      </c>
      <c r="F124" s="1627">
        <v>15991.25</v>
      </c>
      <c r="G124" s="1627">
        <v>7882.920000000001</v>
      </c>
      <c r="H124" s="1627">
        <v>7254.11</v>
      </c>
      <c r="I124" s="1627">
        <f t="shared" si="10"/>
        <v>117617.07</v>
      </c>
      <c r="J124" s="1627">
        <f t="shared" si="11"/>
        <v>15137.03</v>
      </c>
      <c r="K124" s="1628">
        <f t="shared" si="12"/>
        <v>31128.28</v>
      </c>
    </row>
    <row r="125" spans="1:11" s="1605" customFormat="1" ht="14.4" x14ac:dyDescent="0.3"/>
    <row r="126" spans="1:11" s="1605" customFormat="1" ht="14.4" x14ac:dyDescent="0.3">
      <c r="A126" s="1605" t="s">
        <v>254</v>
      </c>
      <c r="D126" s="1629">
        <v>2117849.6178058377</v>
      </c>
      <c r="E126" s="1630">
        <v>2090637.5921941611</v>
      </c>
      <c r="F126" s="1630">
        <v>800500.76000000013</v>
      </c>
      <c r="G126" s="1630">
        <v>750.75000000000205</v>
      </c>
      <c r="H126" s="1630">
        <v>21659.01</v>
      </c>
      <c r="I126" s="1630">
        <f t="shared" ref="I126:I130" si="13">SUM(D126:H126)</f>
        <v>5031397.7299999986</v>
      </c>
      <c r="J126" s="1630">
        <f t="shared" ref="J126:J130" si="14">G126+H126</f>
        <v>22409.760000000002</v>
      </c>
      <c r="K126" s="1630">
        <f t="shared" ref="K126:K130" si="15">F126+J126</f>
        <v>822910.52000000014</v>
      </c>
    </row>
    <row r="127" spans="1:11" s="1605" customFormat="1" ht="14.4" x14ac:dyDescent="0.3">
      <c r="A127" s="1605" t="s">
        <v>252</v>
      </c>
      <c r="D127" s="1629">
        <v>3158543.0577886775</v>
      </c>
      <c r="E127" s="1630">
        <v>1849878.4322113215</v>
      </c>
      <c r="F127" s="1630">
        <v>1036836.6299999999</v>
      </c>
      <c r="G127" s="1630">
        <v>281517.94</v>
      </c>
      <c r="H127" s="1630">
        <v>70766.900000000009</v>
      </c>
      <c r="I127" s="1630">
        <f t="shared" si="13"/>
        <v>6397542.96</v>
      </c>
      <c r="J127" s="1630">
        <f t="shared" si="14"/>
        <v>352284.84</v>
      </c>
      <c r="K127" s="1630">
        <f t="shared" si="15"/>
        <v>1389121.47</v>
      </c>
    </row>
    <row r="128" spans="1:11" s="1605" customFormat="1" ht="14.4" x14ac:dyDescent="0.3">
      <c r="A128" s="1605" t="s">
        <v>255</v>
      </c>
      <c r="D128" s="1629">
        <v>3483596.8298939057</v>
      </c>
      <c r="E128" s="1630">
        <v>2058067.3301060954</v>
      </c>
      <c r="F128" s="1630">
        <v>1204146.8200000008</v>
      </c>
      <c r="G128" s="1630">
        <v>930551.63</v>
      </c>
      <c r="H128" s="1630">
        <v>3097628.4400000004</v>
      </c>
      <c r="I128" s="1630">
        <f t="shared" si="13"/>
        <v>10773991.050000003</v>
      </c>
      <c r="J128" s="1630">
        <f t="shared" si="14"/>
        <v>4028180.0700000003</v>
      </c>
      <c r="K128" s="1630">
        <f t="shared" si="15"/>
        <v>5232326.8900000006</v>
      </c>
    </row>
    <row r="129" spans="1:11" s="1605" customFormat="1" ht="14.4" x14ac:dyDescent="0.3">
      <c r="A129" s="1605" t="s">
        <v>253</v>
      </c>
      <c r="D129" s="1629">
        <v>2068035.6574776133</v>
      </c>
      <c r="E129" s="1630">
        <v>1244840.3725223867</v>
      </c>
      <c r="F129" s="1630">
        <v>642686.16999999969</v>
      </c>
      <c r="G129" s="1630">
        <v>39813.89</v>
      </c>
      <c r="H129" s="1630">
        <v>44259.659999999996</v>
      </c>
      <c r="I129" s="1630">
        <f t="shared" si="13"/>
        <v>4039635.7500000005</v>
      </c>
      <c r="J129" s="1630">
        <f t="shared" si="14"/>
        <v>84073.549999999988</v>
      </c>
      <c r="K129" s="1630">
        <f t="shared" si="15"/>
        <v>726759.71999999974</v>
      </c>
    </row>
    <row r="130" spans="1:11" s="1605" customFormat="1" ht="14.4" x14ac:dyDescent="0.3">
      <c r="A130" s="1605" t="s">
        <v>256</v>
      </c>
      <c r="D130" s="1629">
        <v>1448391.5870339668</v>
      </c>
      <c r="E130" s="1630">
        <v>889599.73296603386</v>
      </c>
      <c r="F130" s="1630">
        <v>454168.95999999996</v>
      </c>
      <c r="G130" s="1630">
        <v>1144.5600000000006</v>
      </c>
      <c r="H130" s="1630">
        <v>1649.37</v>
      </c>
      <c r="I130" s="1630">
        <f t="shared" si="13"/>
        <v>2794954.2100000009</v>
      </c>
      <c r="J130" s="1630">
        <f t="shared" si="14"/>
        <v>2793.9300000000003</v>
      </c>
      <c r="K130" s="1630">
        <f t="shared" si="15"/>
        <v>456962.88999999996</v>
      </c>
    </row>
    <row r="131" spans="1:11" s="1605" customFormat="1" ht="14.4" x14ac:dyDescent="0.3">
      <c r="A131" s="1605" t="s">
        <v>9</v>
      </c>
      <c r="D131" s="1631">
        <f>SUM(D126:D130)</f>
        <v>12276416.750000002</v>
      </c>
      <c r="E131" s="1632">
        <f t="shared" ref="E131:H131" si="16">SUM(E126:E130)</f>
        <v>8133023.4599999981</v>
      </c>
      <c r="F131" s="1632">
        <f t="shared" si="16"/>
        <v>4138339.3400000008</v>
      </c>
      <c r="G131" s="1632">
        <f t="shared" si="16"/>
        <v>1253778.77</v>
      </c>
      <c r="H131" s="1632">
        <f t="shared" si="16"/>
        <v>3235963.3800000008</v>
      </c>
      <c r="I131" s="1632">
        <f t="shared" ref="I131" si="17">SUM(I126:I130)</f>
        <v>29037521.700000003</v>
      </c>
      <c r="J131" s="1632">
        <f>SUM(J126:J130)</f>
        <v>4489742.1499999994</v>
      </c>
      <c r="K131" s="1632">
        <f>SUM(K126:K130)</f>
        <v>8628081.4900000002</v>
      </c>
    </row>
    <row r="133" spans="1:11" s="339" customFormat="1" x14ac:dyDescent="0.3">
      <c r="A133" s="839" t="s">
        <v>1133</v>
      </c>
      <c r="B133" s="605"/>
      <c r="C133" s="605"/>
      <c r="D133" s="558"/>
    </row>
    <row r="134" spans="1:11" s="339" customFormat="1" x14ac:dyDescent="0.3"/>
    <row r="135" spans="1:11" s="359" customFormat="1" x14ac:dyDescent="0.3">
      <c r="A135" s="359" t="s">
        <v>248</v>
      </c>
    </row>
    <row r="136" spans="1:11" x14ac:dyDescent="0.3">
      <c r="A136" s="360" t="s">
        <v>249</v>
      </c>
      <c r="B136" s="361" t="s">
        <v>250</v>
      </c>
      <c r="C136" s="361"/>
    </row>
  </sheetData>
  <autoFilter ref="A3:B3"/>
  <sortState ref="A5:K124">
    <sortCondition ref="A5:A124"/>
  </sortState>
  <hyperlinks>
    <hyperlink ref="B13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32"/>
  <sheetViews>
    <sheetView workbookViewId="0">
      <pane ySplit="3" topLeftCell="A117" activePane="bottomLeft" state="frozen"/>
      <selection pane="bottomLeft" activeCell="H122" sqref="H122"/>
    </sheetView>
  </sheetViews>
  <sheetFormatPr defaultColWidth="9" defaultRowHeight="15.6" x14ac:dyDescent="0.3"/>
  <cols>
    <col min="1" max="1" width="14.69921875" style="263" customWidth="1"/>
    <col min="2" max="2" width="33.69921875" style="263" customWidth="1"/>
    <col min="3" max="3" width="18.19921875" style="263" customWidth="1"/>
    <col min="4" max="4" width="16.09765625" style="263" customWidth="1"/>
    <col min="5" max="16384" width="9" style="263"/>
  </cols>
  <sheetData>
    <row r="1" spans="1:4" x14ac:dyDescent="0.3">
      <c r="A1" s="64" t="s">
        <v>521</v>
      </c>
    </row>
    <row r="2" spans="1:4" x14ac:dyDescent="0.3">
      <c r="A2" s="64"/>
    </row>
    <row r="3" spans="1:4" x14ac:dyDescent="0.3">
      <c r="A3" s="64" t="s">
        <v>4</v>
      </c>
      <c r="B3" s="64" t="s">
        <v>5</v>
      </c>
      <c r="C3" s="64" t="s">
        <v>251</v>
      </c>
      <c r="D3" s="64" t="s">
        <v>462</v>
      </c>
    </row>
    <row r="4" spans="1:4" x14ac:dyDescent="0.3">
      <c r="A4" s="263" t="s">
        <v>10</v>
      </c>
      <c r="B4" s="2417" t="s">
        <v>11</v>
      </c>
      <c r="C4" s="263" t="s">
        <v>252</v>
      </c>
      <c r="D4" s="263" t="s">
        <v>576</v>
      </c>
    </row>
    <row r="5" spans="1:4" x14ac:dyDescent="0.3">
      <c r="A5" s="263" t="s">
        <v>12</v>
      </c>
      <c r="B5" s="2417" t="s">
        <v>13</v>
      </c>
      <c r="C5" s="263" t="s">
        <v>253</v>
      </c>
      <c r="D5" s="263" t="s">
        <v>576</v>
      </c>
    </row>
    <row r="6" spans="1:4" x14ac:dyDescent="0.3">
      <c r="A6" s="263" t="s">
        <v>16</v>
      </c>
      <c r="B6" s="2418" t="s">
        <v>463</v>
      </c>
      <c r="C6" s="263" t="s">
        <v>253</v>
      </c>
      <c r="D6" s="263" t="s">
        <v>577</v>
      </c>
    </row>
    <row r="7" spans="1:4" x14ac:dyDescent="0.3">
      <c r="A7" s="263" t="s">
        <v>18</v>
      </c>
      <c r="B7" s="2418" t="s">
        <v>19</v>
      </c>
      <c r="C7" s="263" t="s">
        <v>254</v>
      </c>
      <c r="D7" s="263" t="s">
        <v>577</v>
      </c>
    </row>
    <row r="8" spans="1:4" x14ac:dyDescent="0.3">
      <c r="A8" s="263" t="s">
        <v>20</v>
      </c>
      <c r="B8" s="2418" t="s">
        <v>21</v>
      </c>
      <c r="C8" s="263" t="s">
        <v>253</v>
      </c>
      <c r="D8" s="263" t="s">
        <v>577</v>
      </c>
    </row>
    <row r="9" spans="1:4" x14ac:dyDescent="0.3">
      <c r="A9" s="263" t="s">
        <v>22</v>
      </c>
      <c r="B9" s="2418" t="s">
        <v>23</v>
      </c>
      <c r="C9" s="263" t="s">
        <v>253</v>
      </c>
      <c r="D9" s="263" t="s">
        <v>577</v>
      </c>
    </row>
    <row r="10" spans="1:4" x14ac:dyDescent="0.3">
      <c r="A10" s="263" t="s">
        <v>24</v>
      </c>
      <c r="B10" s="2417" t="s">
        <v>25</v>
      </c>
      <c r="C10" s="263" t="s">
        <v>255</v>
      </c>
      <c r="D10" s="263" t="s">
        <v>576</v>
      </c>
    </row>
    <row r="11" spans="1:4" x14ac:dyDescent="0.3">
      <c r="A11" s="263" t="s">
        <v>26</v>
      </c>
      <c r="B11" s="2417" t="s">
        <v>547</v>
      </c>
      <c r="C11" s="263" t="s">
        <v>253</v>
      </c>
      <c r="D11" s="263" t="s">
        <v>576</v>
      </c>
    </row>
    <row r="12" spans="1:4" x14ac:dyDescent="0.3">
      <c r="A12" s="263" t="s">
        <v>27</v>
      </c>
      <c r="B12" s="2418" t="s">
        <v>28</v>
      </c>
      <c r="C12" s="263" t="s">
        <v>253</v>
      </c>
      <c r="D12" s="263" t="s">
        <v>577</v>
      </c>
    </row>
    <row r="13" spans="1:4" x14ac:dyDescent="0.3">
      <c r="A13" s="263" t="s">
        <v>29</v>
      </c>
      <c r="B13" s="2419" t="s">
        <v>736</v>
      </c>
      <c r="C13" s="263" t="s">
        <v>253</v>
      </c>
      <c r="D13" s="263" t="s">
        <v>577</v>
      </c>
    </row>
    <row r="14" spans="1:4" x14ac:dyDescent="0.3">
      <c r="A14" s="263" t="s">
        <v>30</v>
      </c>
      <c r="B14" s="2418" t="s">
        <v>31</v>
      </c>
      <c r="C14" s="263" t="s">
        <v>256</v>
      </c>
      <c r="D14" s="263" t="s">
        <v>577</v>
      </c>
    </row>
    <row r="15" spans="1:4" x14ac:dyDescent="0.3">
      <c r="A15" s="263" t="s">
        <v>32</v>
      </c>
      <c r="B15" s="2418" t="s">
        <v>33</v>
      </c>
      <c r="C15" s="263" t="s">
        <v>253</v>
      </c>
      <c r="D15" s="263" t="s">
        <v>577</v>
      </c>
    </row>
    <row r="16" spans="1:4" x14ac:dyDescent="0.3">
      <c r="A16" s="263" t="s">
        <v>36</v>
      </c>
      <c r="B16" s="2418" t="s">
        <v>37</v>
      </c>
      <c r="C16" s="263" t="s">
        <v>252</v>
      </c>
      <c r="D16" s="263" t="s">
        <v>577</v>
      </c>
    </row>
    <row r="17" spans="1:4" x14ac:dyDescent="0.3">
      <c r="A17" s="263" t="s">
        <v>38</v>
      </c>
      <c r="B17" s="2418" t="s">
        <v>39</v>
      </c>
      <c r="C17" s="263" t="s">
        <v>256</v>
      </c>
      <c r="D17" s="263" t="s">
        <v>577</v>
      </c>
    </row>
    <row r="18" spans="1:4" x14ac:dyDescent="0.3">
      <c r="A18" s="263" t="s">
        <v>40</v>
      </c>
      <c r="B18" s="2418" t="s">
        <v>41</v>
      </c>
      <c r="C18" s="263" t="s">
        <v>254</v>
      </c>
      <c r="D18" s="263" t="s">
        <v>577</v>
      </c>
    </row>
    <row r="19" spans="1:4" x14ac:dyDescent="0.3">
      <c r="A19" s="263" t="s">
        <v>42</v>
      </c>
      <c r="B19" s="2418" t="s">
        <v>43</v>
      </c>
      <c r="C19" s="263" t="s">
        <v>253</v>
      </c>
      <c r="D19" s="263" t="s">
        <v>577</v>
      </c>
    </row>
    <row r="20" spans="1:4" x14ac:dyDescent="0.3">
      <c r="A20" s="263" t="s">
        <v>44</v>
      </c>
      <c r="B20" s="2418" t="s">
        <v>45</v>
      </c>
      <c r="C20" s="263" t="s">
        <v>254</v>
      </c>
      <c r="D20" s="263" t="s">
        <v>577</v>
      </c>
    </row>
    <row r="21" spans="1:4" x14ac:dyDescent="0.3">
      <c r="A21" s="263" t="s">
        <v>46</v>
      </c>
      <c r="B21" s="2418" t="s">
        <v>47</v>
      </c>
      <c r="C21" s="263" t="s">
        <v>256</v>
      </c>
      <c r="D21" s="263" t="s">
        <v>577</v>
      </c>
    </row>
    <row r="22" spans="1:4" x14ac:dyDescent="0.3">
      <c r="A22" s="263" t="s">
        <v>48</v>
      </c>
      <c r="B22" s="2418" t="s">
        <v>49</v>
      </c>
      <c r="C22" s="263" t="s">
        <v>254</v>
      </c>
      <c r="D22" s="263" t="s">
        <v>577</v>
      </c>
    </row>
    <row r="23" spans="1:4" x14ac:dyDescent="0.3">
      <c r="A23" s="263" t="s">
        <v>50</v>
      </c>
      <c r="B23" s="2418" t="s">
        <v>51</v>
      </c>
      <c r="C23" s="263" t="s">
        <v>253</v>
      </c>
      <c r="D23" s="263" t="s">
        <v>577</v>
      </c>
    </row>
    <row r="24" spans="1:4" x14ac:dyDescent="0.3">
      <c r="A24" s="263" t="s">
        <v>56</v>
      </c>
      <c r="B24" s="2417" t="s">
        <v>283</v>
      </c>
      <c r="C24" s="263" t="s">
        <v>254</v>
      </c>
      <c r="D24" s="263" t="s">
        <v>576</v>
      </c>
    </row>
    <row r="25" spans="1:4" x14ac:dyDescent="0.3">
      <c r="A25" s="263" t="s">
        <v>58</v>
      </c>
      <c r="B25" s="2418" t="s">
        <v>59</v>
      </c>
      <c r="C25" s="263" t="s">
        <v>255</v>
      </c>
      <c r="D25" s="263" t="s">
        <v>577</v>
      </c>
    </row>
    <row r="26" spans="1:4" x14ac:dyDescent="0.3">
      <c r="A26" s="263" t="s">
        <v>60</v>
      </c>
      <c r="B26" s="2418" t="s">
        <v>61</v>
      </c>
      <c r="C26" s="263" t="s">
        <v>253</v>
      </c>
      <c r="D26" s="263" t="s">
        <v>577</v>
      </c>
    </row>
    <row r="27" spans="1:4" x14ac:dyDescent="0.3">
      <c r="A27" s="263" t="s">
        <v>62</v>
      </c>
      <c r="B27" s="2418" t="s">
        <v>63</v>
      </c>
      <c r="C27" s="263" t="s">
        <v>255</v>
      </c>
      <c r="D27" s="263" t="s">
        <v>577</v>
      </c>
    </row>
    <row r="28" spans="1:4" x14ac:dyDescent="0.3">
      <c r="A28" s="263" t="s">
        <v>64</v>
      </c>
      <c r="B28" s="2418" t="s">
        <v>65</v>
      </c>
      <c r="C28" s="263" t="s">
        <v>254</v>
      </c>
      <c r="D28" s="263" t="s">
        <v>577</v>
      </c>
    </row>
    <row r="29" spans="1:4" x14ac:dyDescent="0.3">
      <c r="A29" s="263" t="s">
        <v>68</v>
      </c>
      <c r="B29" s="2418" t="s">
        <v>69</v>
      </c>
      <c r="C29" s="263" t="s">
        <v>256</v>
      </c>
      <c r="D29" s="263" t="s">
        <v>577</v>
      </c>
    </row>
    <row r="30" spans="1:4" x14ac:dyDescent="0.3">
      <c r="A30" s="263" t="s">
        <v>70</v>
      </c>
      <c r="B30" s="2418" t="s">
        <v>71</v>
      </c>
      <c r="C30" s="263" t="s">
        <v>252</v>
      </c>
      <c r="D30" s="263" t="s">
        <v>577</v>
      </c>
    </row>
    <row r="31" spans="1:4" x14ac:dyDescent="0.3">
      <c r="A31" s="263" t="s">
        <v>72</v>
      </c>
      <c r="B31" s="2418" t="s">
        <v>73</v>
      </c>
      <c r="C31" s="263" t="s">
        <v>254</v>
      </c>
      <c r="D31" s="263" t="s">
        <v>577</v>
      </c>
    </row>
    <row r="32" spans="1:4" x14ac:dyDescent="0.3">
      <c r="A32" s="263" t="s">
        <v>74</v>
      </c>
      <c r="B32" s="2417" t="s">
        <v>464</v>
      </c>
      <c r="C32" s="263" t="s">
        <v>255</v>
      </c>
      <c r="D32" s="263" t="s">
        <v>576</v>
      </c>
    </row>
    <row r="33" spans="1:4" x14ac:dyDescent="0.3">
      <c r="A33" s="263" t="s">
        <v>76</v>
      </c>
      <c r="B33" s="2418" t="s">
        <v>77</v>
      </c>
      <c r="C33" s="263" t="s">
        <v>255</v>
      </c>
      <c r="D33" s="263" t="s">
        <v>577</v>
      </c>
    </row>
    <row r="34" spans="1:4" x14ac:dyDescent="0.3">
      <c r="A34" s="263" t="s">
        <v>78</v>
      </c>
      <c r="B34" s="2418" t="s">
        <v>79</v>
      </c>
      <c r="C34" s="263" t="s">
        <v>256</v>
      </c>
      <c r="D34" s="263" t="s">
        <v>577</v>
      </c>
    </row>
    <row r="35" spans="1:4" x14ac:dyDescent="0.3">
      <c r="A35" s="263" t="s">
        <v>80</v>
      </c>
      <c r="B35" s="2418" t="s">
        <v>81</v>
      </c>
      <c r="C35" s="263" t="s">
        <v>254</v>
      </c>
      <c r="D35" s="263" t="s">
        <v>577</v>
      </c>
    </row>
    <row r="36" spans="1:4" x14ac:dyDescent="0.3">
      <c r="A36" s="263" t="s">
        <v>84</v>
      </c>
      <c r="B36" s="2418" t="s">
        <v>85</v>
      </c>
      <c r="C36" s="263" t="s">
        <v>253</v>
      </c>
      <c r="D36" s="263" t="s">
        <v>577</v>
      </c>
    </row>
    <row r="37" spans="1:4" x14ac:dyDescent="0.3">
      <c r="A37" s="263" t="s">
        <v>86</v>
      </c>
      <c r="B37" s="2417" t="s">
        <v>87</v>
      </c>
      <c r="C37" s="263" t="s">
        <v>255</v>
      </c>
      <c r="D37" s="263" t="s">
        <v>576</v>
      </c>
    </row>
    <row r="38" spans="1:4" x14ac:dyDescent="0.3">
      <c r="A38" s="263" t="s">
        <v>92</v>
      </c>
      <c r="B38" s="2418" t="s">
        <v>93</v>
      </c>
      <c r="C38" s="263" t="s">
        <v>256</v>
      </c>
      <c r="D38" s="263" t="s">
        <v>577</v>
      </c>
    </row>
    <row r="39" spans="1:4" x14ac:dyDescent="0.3">
      <c r="A39" s="263" t="s">
        <v>94</v>
      </c>
      <c r="B39" s="2418" t="s">
        <v>95</v>
      </c>
      <c r="C39" s="263" t="s">
        <v>252</v>
      </c>
      <c r="D39" s="263" t="s">
        <v>577</v>
      </c>
    </row>
    <row r="40" spans="1:4" x14ac:dyDescent="0.3">
      <c r="A40" s="263" t="s">
        <v>96</v>
      </c>
      <c r="B40" s="2417" t="s">
        <v>97</v>
      </c>
      <c r="C40" s="263" t="s">
        <v>254</v>
      </c>
      <c r="D40" s="263" t="s">
        <v>576</v>
      </c>
    </row>
    <row r="41" spans="1:4" x14ac:dyDescent="0.3">
      <c r="A41" s="263" t="s">
        <v>98</v>
      </c>
      <c r="B41" s="2418" t="s">
        <v>99</v>
      </c>
      <c r="C41" s="263" t="s">
        <v>256</v>
      </c>
      <c r="D41" s="263" t="s">
        <v>577</v>
      </c>
    </row>
    <row r="42" spans="1:4" x14ac:dyDescent="0.3">
      <c r="A42" s="263" t="s">
        <v>100</v>
      </c>
      <c r="B42" s="2418" t="s">
        <v>101</v>
      </c>
      <c r="C42" s="263" t="s">
        <v>255</v>
      </c>
      <c r="D42" s="263" t="s">
        <v>577</v>
      </c>
    </row>
    <row r="43" spans="1:4" x14ac:dyDescent="0.3">
      <c r="A43" s="263" t="s">
        <v>102</v>
      </c>
      <c r="B43" s="2418" t="s">
        <v>270</v>
      </c>
      <c r="C43" s="263" t="s">
        <v>252</v>
      </c>
      <c r="D43" s="263" t="s">
        <v>577</v>
      </c>
    </row>
    <row r="44" spans="1:4" x14ac:dyDescent="0.3">
      <c r="A44" s="263" t="s">
        <v>104</v>
      </c>
      <c r="B44" s="2418" t="s">
        <v>465</v>
      </c>
      <c r="C44" s="263" t="s">
        <v>253</v>
      </c>
      <c r="D44" s="263" t="s">
        <v>577</v>
      </c>
    </row>
    <row r="45" spans="1:4" x14ac:dyDescent="0.3">
      <c r="A45" s="263" t="s">
        <v>108</v>
      </c>
      <c r="B45" s="2417" t="s">
        <v>109</v>
      </c>
      <c r="C45" s="263" t="s">
        <v>254</v>
      </c>
      <c r="D45" s="263" t="s">
        <v>576</v>
      </c>
    </row>
    <row r="46" spans="1:4" x14ac:dyDescent="0.3">
      <c r="A46" s="263" t="s">
        <v>110</v>
      </c>
      <c r="B46" s="2417" t="s">
        <v>111</v>
      </c>
      <c r="C46" s="263" t="s">
        <v>254</v>
      </c>
      <c r="D46" s="263" t="s">
        <v>576</v>
      </c>
    </row>
    <row r="47" spans="1:4" x14ac:dyDescent="0.3">
      <c r="A47" s="263" t="s">
        <v>112</v>
      </c>
      <c r="B47" s="2418" t="s">
        <v>288</v>
      </c>
      <c r="C47" s="263" t="s">
        <v>253</v>
      </c>
      <c r="D47" s="263" t="s">
        <v>577</v>
      </c>
    </row>
    <row r="48" spans="1:4" x14ac:dyDescent="0.3">
      <c r="A48" s="263" t="s">
        <v>114</v>
      </c>
      <c r="B48" s="2418" t="s">
        <v>115</v>
      </c>
      <c r="C48" s="263" t="s">
        <v>253</v>
      </c>
      <c r="D48" s="263" t="s">
        <v>577</v>
      </c>
    </row>
    <row r="49" spans="1:4" x14ac:dyDescent="0.3">
      <c r="A49" s="263" t="s">
        <v>118</v>
      </c>
      <c r="B49" s="2417" t="s">
        <v>119</v>
      </c>
      <c r="C49" s="263" t="s">
        <v>252</v>
      </c>
      <c r="D49" s="263" t="s">
        <v>576</v>
      </c>
    </row>
    <row r="50" spans="1:4" x14ac:dyDescent="0.3">
      <c r="A50" s="263" t="s">
        <v>120</v>
      </c>
      <c r="B50" s="2417" t="s">
        <v>121</v>
      </c>
      <c r="C50" s="263" t="s">
        <v>252</v>
      </c>
      <c r="D50" s="263" t="s">
        <v>576</v>
      </c>
    </row>
    <row r="51" spans="1:4" x14ac:dyDescent="0.3">
      <c r="A51" s="263" t="s">
        <v>122</v>
      </c>
      <c r="B51" s="2418" t="s">
        <v>123</v>
      </c>
      <c r="C51" s="263" t="s">
        <v>254</v>
      </c>
      <c r="D51" s="263" t="s">
        <v>577</v>
      </c>
    </row>
    <row r="52" spans="1:4" x14ac:dyDescent="0.3">
      <c r="A52" s="263" t="s">
        <v>124</v>
      </c>
      <c r="B52" s="2418" t="s">
        <v>125</v>
      </c>
      <c r="C52" s="263" t="s">
        <v>255</v>
      </c>
      <c r="D52" s="263" t="s">
        <v>577</v>
      </c>
    </row>
    <row r="53" spans="1:4" x14ac:dyDescent="0.3">
      <c r="A53" s="263" t="s">
        <v>126</v>
      </c>
      <c r="B53" s="2418" t="s">
        <v>127</v>
      </c>
      <c r="C53" s="263" t="s">
        <v>254</v>
      </c>
      <c r="D53" s="263" t="s">
        <v>577</v>
      </c>
    </row>
    <row r="54" spans="1:4" x14ac:dyDescent="0.3">
      <c r="A54" s="263" t="s">
        <v>128</v>
      </c>
      <c r="B54" s="2418" t="s">
        <v>129</v>
      </c>
      <c r="C54" s="263" t="s">
        <v>254</v>
      </c>
      <c r="D54" s="263" t="s">
        <v>577</v>
      </c>
    </row>
    <row r="55" spans="1:4" x14ac:dyDescent="0.3">
      <c r="A55" s="263" t="s">
        <v>130</v>
      </c>
      <c r="B55" s="2418" t="s">
        <v>131</v>
      </c>
      <c r="C55" s="263" t="s">
        <v>256</v>
      </c>
      <c r="D55" s="263" t="s">
        <v>577</v>
      </c>
    </row>
    <row r="56" spans="1:4" x14ac:dyDescent="0.3">
      <c r="A56" s="263" t="s">
        <v>132</v>
      </c>
      <c r="B56" s="2417" t="s">
        <v>133</v>
      </c>
      <c r="C56" s="263" t="s">
        <v>255</v>
      </c>
      <c r="D56" s="263" t="s">
        <v>576</v>
      </c>
    </row>
    <row r="57" spans="1:4" x14ac:dyDescent="0.3">
      <c r="A57" s="263" t="s">
        <v>134</v>
      </c>
      <c r="B57" s="2418" t="s">
        <v>135</v>
      </c>
      <c r="C57" s="263" t="s">
        <v>255</v>
      </c>
      <c r="D57" s="263" t="s">
        <v>577</v>
      </c>
    </row>
    <row r="58" spans="1:4" x14ac:dyDescent="0.3">
      <c r="A58" s="263" t="s">
        <v>136</v>
      </c>
      <c r="B58" s="2418" t="s">
        <v>137</v>
      </c>
      <c r="C58" s="263" t="s">
        <v>254</v>
      </c>
      <c r="D58" s="263" t="s">
        <v>577</v>
      </c>
    </row>
    <row r="59" spans="1:4" x14ac:dyDescent="0.3">
      <c r="A59" s="263" t="s">
        <v>140</v>
      </c>
      <c r="B59" s="2418" t="s">
        <v>141</v>
      </c>
      <c r="C59" s="263" t="s">
        <v>255</v>
      </c>
      <c r="D59" s="263" t="s">
        <v>577</v>
      </c>
    </row>
    <row r="60" spans="1:4" x14ac:dyDescent="0.3">
      <c r="A60" s="263" t="s">
        <v>146</v>
      </c>
      <c r="B60" s="2418" t="s">
        <v>147</v>
      </c>
      <c r="C60" s="263" t="s">
        <v>252</v>
      </c>
      <c r="D60" s="263" t="s">
        <v>577</v>
      </c>
    </row>
    <row r="61" spans="1:4" x14ac:dyDescent="0.3">
      <c r="A61" s="263" t="s">
        <v>148</v>
      </c>
      <c r="B61" s="2418" t="s">
        <v>149</v>
      </c>
      <c r="C61" s="263" t="s">
        <v>253</v>
      </c>
      <c r="D61" s="263" t="s">
        <v>577</v>
      </c>
    </row>
    <row r="62" spans="1:4" x14ac:dyDescent="0.3">
      <c r="A62" s="263" t="s">
        <v>150</v>
      </c>
      <c r="B62" s="2418" t="s">
        <v>151</v>
      </c>
      <c r="C62" s="263" t="s">
        <v>254</v>
      </c>
      <c r="D62" s="263" t="s">
        <v>577</v>
      </c>
    </row>
    <row r="63" spans="1:4" x14ac:dyDescent="0.3">
      <c r="A63" s="263" t="s">
        <v>152</v>
      </c>
      <c r="B63" s="2418" t="s">
        <v>153</v>
      </c>
      <c r="C63" s="263" t="s">
        <v>256</v>
      </c>
      <c r="D63" s="263" t="s">
        <v>577</v>
      </c>
    </row>
    <row r="64" spans="1:4" x14ac:dyDescent="0.3">
      <c r="A64" s="263" t="s">
        <v>154</v>
      </c>
      <c r="B64" s="2418" t="s">
        <v>155</v>
      </c>
      <c r="C64" s="263" t="s">
        <v>253</v>
      </c>
      <c r="D64" s="263" t="s">
        <v>577</v>
      </c>
    </row>
    <row r="65" spans="1:4" x14ac:dyDescent="0.3">
      <c r="A65" s="263" t="s">
        <v>156</v>
      </c>
      <c r="B65" s="2418" t="s">
        <v>157</v>
      </c>
      <c r="C65" s="263" t="s">
        <v>254</v>
      </c>
      <c r="D65" s="263" t="s">
        <v>577</v>
      </c>
    </row>
    <row r="66" spans="1:4" x14ac:dyDescent="0.3">
      <c r="A66" s="263" t="s">
        <v>162</v>
      </c>
      <c r="B66" s="2418" t="s">
        <v>163</v>
      </c>
      <c r="C66" s="263" t="s">
        <v>252</v>
      </c>
      <c r="D66" s="263" t="s">
        <v>577</v>
      </c>
    </row>
    <row r="67" spans="1:4" x14ac:dyDescent="0.3">
      <c r="A67" s="263" t="s">
        <v>164</v>
      </c>
      <c r="B67" s="2418" t="s">
        <v>165</v>
      </c>
      <c r="C67" s="263" t="s">
        <v>254</v>
      </c>
      <c r="D67" s="263" t="s">
        <v>577</v>
      </c>
    </row>
    <row r="68" spans="1:4" x14ac:dyDescent="0.3">
      <c r="A68" s="263" t="s">
        <v>168</v>
      </c>
      <c r="B68" s="2418" t="s">
        <v>169</v>
      </c>
      <c r="C68" s="263" t="s">
        <v>254</v>
      </c>
      <c r="D68" s="263" t="s">
        <v>577</v>
      </c>
    </row>
    <row r="69" spans="1:4" x14ac:dyDescent="0.3">
      <c r="A69" s="263" t="s">
        <v>170</v>
      </c>
      <c r="B69" s="2418" t="s">
        <v>171</v>
      </c>
      <c r="C69" s="263" t="s">
        <v>255</v>
      </c>
      <c r="D69" s="263" t="s">
        <v>577</v>
      </c>
    </row>
    <row r="70" spans="1:4" x14ac:dyDescent="0.3">
      <c r="A70" s="263" t="s">
        <v>172</v>
      </c>
      <c r="B70" s="2418" t="s">
        <v>173</v>
      </c>
      <c r="C70" s="263" t="s">
        <v>255</v>
      </c>
      <c r="D70" s="263" t="s">
        <v>577</v>
      </c>
    </row>
    <row r="71" spans="1:4" x14ac:dyDescent="0.3">
      <c r="A71" s="263" t="s">
        <v>174</v>
      </c>
      <c r="B71" s="2418" t="s">
        <v>175</v>
      </c>
      <c r="C71" s="263" t="s">
        <v>256</v>
      </c>
      <c r="D71" s="263" t="s">
        <v>577</v>
      </c>
    </row>
    <row r="72" spans="1:4" x14ac:dyDescent="0.3">
      <c r="A72" s="263" t="s">
        <v>178</v>
      </c>
      <c r="B72" s="2418" t="s">
        <v>179</v>
      </c>
      <c r="C72" s="263" t="s">
        <v>253</v>
      </c>
      <c r="D72" s="263" t="s">
        <v>577</v>
      </c>
    </row>
    <row r="73" spans="1:4" x14ac:dyDescent="0.3">
      <c r="A73" s="263" t="s">
        <v>182</v>
      </c>
      <c r="B73" s="2418" t="s">
        <v>183</v>
      </c>
      <c r="C73" s="263" t="s">
        <v>254</v>
      </c>
      <c r="D73" s="263" t="s">
        <v>577</v>
      </c>
    </row>
    <row r="74" spans="1:4" x14ac:dyDescent="0.3">
      <c r="A74" s="263" t="s">
        <v>184</v>
      </c>
      <c r="B74" s="2418" t="s">
        <v>185</v>
      </c>
      <c r="C74" s="263" t="s">
        <v>254</v>
      </c>
      <c r="D74" s="263" t="s">
        <v>577</v>
      </c>
    </row>
    <row r="75" spans="1:4" x14ac:dyDescent="0.3">
      <c r="A75" s="263" t="s">
        <v>186</v>
      </c>
      <c r="B75" s="2418" t="s">
        <v>187</v>
      </c>
      <c r="C75" s="263" t="s">
        <v>252</v>
      </c>
      <c r="D75" s="263" t="s">
        <v>577</v>
      </c>
    </row>
    <row r="76" spans="1:4" x14ac:dyDescent="0.3">
      <c r="A76" s="263" t="s">
        <v>188</v>
      </c>
      <c r="B76" s="2417" t="s">
        <v>189</v>
      </c>
      <c r="C76" s="263" t="s">
        <v>255</v>
      </c>
      <c r="D76" s="263" t="s">
        <v>576</v>
      </c>
    </row>
    <row r="77" spans="1:4" x14ac:dyDescent="0.3">
      <c r="A77" s="263" t="s">
        <v>190</v>
      </c>
      <c r="B77" s="2417" t="s">
        <v>191</v>
      </c>
      <c r="C77" s="263" t="s">
        <v>256</v>
      </c>
      <c r="D77" s="263" t="s">
        <v>576</v>
      </c>
    </row>
    <row r="78" spans="1:4" x14ac:dyDescent="0.3">
      <c r="A78" s="263" t="s">
        <v>194</v>
      </c>
      <c r="B78" s="2418" t="s">
        <v>195</v>
      </c>
      <c r="C78" s="263" t="s">
        <v>255</v>
      </c>
      <c r="D78" s="263" t="s">
        <v>577</v>
      </c>
    </row>
    <row r="79" spans="1:4" x14ac:dyDescent="0.3">
      <c r="A79" s="263" t="s">
        <v>198</v>
      </c>
      <c r="B79" s="2418" t="s">
        <v>260</v>
      </c>
      <c r="C79" s="263" t="s">
        <v>254</v>
      </c>
      <c r="D79" s="263" t="s">
        <v>577</v>
      </c>
    </row>
    <row r="80" spans="1:4" x14ac:dyDescent="0.3">
      <c r="A80" s="263" t="s">
        <v>202</v>
      </c>
      <c r="B80" s="2417" t="s">
        <v>289</v>
      </c>
      <c r="C80" s="263" t="s">
        <v>253</v>
      </c>
      <c r="D80" s="263" t="s">
        <v>576</v>
      </c>
    </row>
    <row r="81" spans="1:4" x14ac:dyDescent="0.3">
      <c r="A81" s="263" t="s">
        <v>204</v>
      </c>
      <c r="B81" s="2418" t="s">
        <v>281</v>
      </c>
      <c r="C81" s="263" t="s">
        <v>253</v>
      </c>
      <c r="D81" s="263" t="s">
        <v>577</v>
      </c>
    </row>
    <row r="82" spans="1:4" x14ac:dyDescent="0.3">
      <c r="A82" s="263" t="s">
        <v>206</v>
      </c>
      <c r="B82" s="2417" t="s">
        <v>282</v>
      </c>
      <c r="C82" s="263" t="s">
        <v>255</v>
      </c>
      <c r="D82" s="263" t="s">
        <v>576</v>
      </c>
    </row>
    <row r="83" spans="1:4" x14ac:dyDescent="0.3">
      <c r="A83" s="263" t="s">
        <v>208</v>
      </c>
      <c r="B83" s="2418" t="s">
        <v>209</v>
      </c>
      <c r="C83" s="263" t="s">
        <v>256</v>
      </c>
      <c r="D83" s="263" t="s">
        <v>577</v>
      </c>
    </row>
    <row r="84" spans="1:4" x14ac:dyDescent="0.3">
      <c r="A84" s="263" t="s">
        <v>210</v>
      </c>
      <c r="B84" s="2418" t="s">
        <v>211</v>
      </c>
      <c r="C84" s="263" t="s">
        <v>256</v>
      </c>
      <c r="D84" s="263" t="s">
        <v>577</v>
      </c>
    </row>
    <row r="85" spans="1:4" x14ac:dyDescent="0.3">
      <c r="A85" s="263" t="s">
        <v>212</v>
      </c>
      <c r="B85" s="2418" t="s">
        <v>213</v>
      </c>
      <c r="C85" s="263" t="s">
        <v>255</v>
      </c>
      <c r="D85" s="263" t="s">
        <v>577</v>
      </c>
    </row>
    <row r="86" spans="1:4" x14ac:dyDescent="0.3">
      <c r="A86" s="263" t="s">
        <v>214</v>
      </c>
      <c r="B86" s="2418" t="s">
        <v>215</v>
      </c>
      <c r="C86" s="263" t="s">
        <v>256</v>
      </c>
      <c r="D86" s="263" t="s">
        <v>577</v>
      </c>
    </row>
    <row r="87" spans="1:4" x14ac:dyDescent="0.3">
      <c r="A87" s="263" t="s">
        <v>216</v>
      </c>
      <c r="B87" s="2418" t="s">
        <v>217</v>
      </c>
      <c r="C87" s="263" t="s">
        <v>252</v>
      </c>
      <c r="D87" s="263" t="s">
        <v>577</v>
      </c>
    </row>
    <row r="88" spans="1:4" x14ac:dyDescent="0.3">
      <c r="A88" s="263" t="s">
        <v>218</v>
      </c>
      <c r="B88" s="2418" t="s">
        <v>219</v>
      </c>
      <c r="C88" s="263" t="s">
        <v>255</v>
      </c>
      <c r="D88" s="263" t="s">
        <v>577</v>
      </c>
    </row>
    <row r="89" spans="1:4" x14ac:dyDescent="0.3">
      <c r="A89" s="263" t="s">
        <v>220</v>
      </c>
      <c r="B89" s="2418" t="s">
        <v>221</v>
      </c>
      <c r="C89" s="263" t="s">
        <v>255</v>
      </c>
      <c r="D89" s="263" t="s">
        <v>577</v>
      </c>
    </row>
    <row r="90" spans="1:4" x14ac:dyDescent="0.3">
      <c r="A90" s="263" t="s">
        <v>224</v>
      </c>
      <c r="B90" s="2418" t="s">
        <v>225</v>
      </c>
      <c r="C90" s="263" t="s">
        <v>252</v>
      </c>
      <c r="D90" s="263" t="s">
        <v>577</v>
      </c>
    </row>
    <row r="91" spans="1:4" x14ac:dyDescent="0.3">
      <c r="A91" s="263" t="s">
        <v>226</v>
      </c>
      <c r="B91" s="2418" t="s">
        <v>227</v>
      </c>
      <c r="C91" s="263" t="s">
        <v>252</v>
      </c>
      <c r="D91" s="263" t="s">
        <v>577</v>
      </c>
    </row>
    <row r="92" spans="1:4" x14ac:dyDescent="0.3">
      <c r="A92" s="263" t="s">
        <v>228</v>
      </c>
      <c r="B92" s="2417" t="s">
        <v>229</v>
      </c>
      <c r="C92" s="263" t="s">
        <v>256</v>
      </c>
      <c r="D92" s="263" t="s">
        <v>576</v>
      </c>
    </row>
    <row r="93" spans="1:4" x14ac:dyDescent="0.3">
      <c r="A93" s="263" t="s">
        <v>232</v>
      </c>
      <c r="B93" s="2418" t="s">
        <v>233</v>
      </c>
      <c r="C93" s="263" t="s">
        <v>255</v>
      </c>
      <c r="D93" s="263" t="s">
        <v>577</v>
      </c>
    </row>
    <row r="94" spans="1:4" x14ac:dyDescent="0.3">
      <c r="A94" s="263" t="s">
        <v>234</v>
      </c>
      <c r="B94" s="2418" t="s">
        <v>235</v>
      </c>
      <c r="C94" s="263" t="s">
        <v>256</v>
      </c>
      <c r="D94" s="263" t="s">
        <v>577</v>
      </c>
    </row>
    <row r="95" spans="1:4" x14ac:dyDescent="0.3">
      <c r="A95" s="263" t="s">
        <v>236</v>
      </c>
      <c r="B95" s="2418" t="s">
        <v>237</v>
      </c>
      <c r="C95" s="263" t="s">
        <v>254</v>
      </c>
      <c r="D95" s="263" t="s">
        <v>577</v>
      </c>
    </row>
    <row r="96" spans="1:4" x14ac:dyDescent="0.3">
      <c r="A96" s="263" t="s">
        <v>242</v>
      </c>
      <c r="B96" s="2418" t="s">
        <v>243</v>
      </c>
      <c r="C96" s="263" t="s">
        <v>256</v>
      </c>
      <c r="D96" s="263" t="s">
        <v>577</v>
      </c>
    </row>
    <row r="97" spans="1:4" x14ac:dyDescent="0.3">
      <c r="A97" s="263" t="s">
        <v>244</v>
      </c>
      <c r="B97" s="2418" t="s">
        <v>245</v>
      </c>
      <c r="C97" s="263" t="s">
        <v>256</v>
      </c>
      <c r="D97" s="263" t="s">
        <v>577</v>
      </c>
    </row>
    <row r="98" spans="1:4" x14ac:dyDescent="0.3">
      <c r="A98" s="263" t="s">
        <v>246</v>
      </c>
      <c r="B98" s="2417" t="s">
        <v>247</v>
      </c>
      <c r="C98" s="263" t="s">
        <v>252</v>
      </c>
      <c r="D98" s="263" t="s">
        <v>576</v>
      </c>
    </row>
    <row r="99" spans="1:4" x14ac:dyDescent="0.3">
      <c r="A99" s="263" t="s">
        <v>14</v>
      </c>
      <c r="B99" s="2417" t="s">
        <v>15</v>
      </c>
      <c r="C99" s="263" t="s">
        <v>255</v>
      </c>
      <c r="D99" s="263" t="s">
        <v>576</v>
      </c>
    </row>
    <row r="100" spans="1:4" x14ac:dyDescent="0.3">
      <c r="A100" s="263" t="s">
        <v>34</v>
      </c>
      <c r="B100" s="2418" t="s">
        <v>35</v>
      </c>
      <c r="C100" s="263" t="s">
        <v>256</v>
      </c>
      <c r="D100" s="263" t="s">
        <v>577</v>
      </c>
    </row>
    <row r="101" spans="1:4" x14ac:dyDescent="0.3">
      <c r="A101" s="263" t="s">
        <v>52</v>
      </c>
      <c r="B101" s="2417" t="s">
        <v>53</v>
      </c>
      <c r="C101" s="263" t="s">
        <v>253</v>
      </c>
      <c r="D101" s="263" t="s">
        <v>576</v>
      </c>
    </row>
    <row r="102" spans="1:4" x14ac:dyDescent="0.3">
      <c r="A102" s="263" t="s">
        <v>54</v>
      </c>
      <c r="B102" s="2418" t="s">
        <v>55</v>
      </c>
      <c r="C102" s="263" t="s">
        <v>252</v>
      </c>
      <c r="D102" s="263" t="s">
        <v>577</v>
      </c>
    </row>
    <row r="103" spans="1:4" x14ac:dyDescent="0.3">
      <c r="A103" s="263" t="s">
        <v>66</v>
      </c>
      <c r="B103" s="2418" t="s">
        <v>67</v>
      </c>
      <c r="C103" s="263" t="s">
        <v>253</v>
      </c>
      <c r="D103" s="263" t="s">
        <v>577</v>
      </c>
    </row>
    <row r="104" spans="1:4" x14ac:dyDescent="0.3">
      <c r="A104" s="263" t="s">
        <v>82</v>
      </c>
      <c r="B104" s="2418" t="s">
        <v>83</v>
      </c>
      <c r="C104" s="263" t="s">
        <v>252</v>
      </c>
      <c r="D104" s="263" t="s">
        <v>577</v>
      </c>
    </row>
    <row r="105" spans="1:4" x14ac:dyDescent="0.3">
      <c r="A105" s="263" t="s">
        <v>88</v>
      </c>
      <c r="B105" s="2418" t="s">
        <v>89</v>
      </c>
      <c r="C105" s="263" t="s">
        <v>255</v>
      </c>
      <c r="D105" s="263" t="s">
        <v>577</v>
      </c>
    </row>
    <row r="106" spans="1:4" x14ac:dyDescent="0.3">
      <c r="A106" s="263" t="s">
        <v>90</v>
      </c>
      <c r="B106" s="2418" t="s">
        <v>91</v>
      </c>
      <c r="C106" s="263" t="s">
        <v>256</v>
      </c>
      <c r="D106" s="263" t="s">
        <v>577</v>
      </c>
    </row>
    <row r="107" spans="1:4" x14ac:dyDescent="0.3">
      <c r="A107" s="263" t="s">
        <v>106</v>
      </c>
      <c r="B107" s="2417" t="s">
        <v>107</v>
      </c>
      <c r="C107" s="263" t="s">
        <v>252</v>
      </c>
      <c r="D107" s="263" t="s">
        <v>576</v>
      </c>
    </row>
    <row r="108" spans="1:4" x14ac:dyDescent="0.3">
      <c r="A108" s="263" t="s">
        <v>116</v>
      </c>
      <c r="B108" s="2418" t="s">
        <v>117</v>
      </c>
      <c r="C108" s="263" t="s">
        <v>254</v>
      </c>
      <c r="D108" s="263" t="s">
        <v>577</v>
      </c>
    </row>
    <row r="109" spans="1:4" x14ac:dyDescent="0.3">
      <c r="A109" s="263" t="s">
        <v>138</v>
      </c>
      <c r="B109" s="2417" t="s">
        <v>139</v>
      </c>
      <c r="C109" s="263" t="s">
        <v>253</v>
      </c>
      <c r="D109" s="263" t="s">
        <v>576</v>
      </c>
    </row>
    <row r="110" spans="1:4" x14ac:dyDescent="0.3">
      <c r="A110" s="263" t="s">
        <v>142</v>
      </c>
      <c r="B110" s="2418" t="s">
        <v>143</v>
      </c>
      <c r="C110" s="263" t="s">
        <v>255</v>
      </c>
      <c r="D110" s="263" t="s">
        <v>577</v>
      </c>
    </row>
    <row r="111" spans="1:4" x14ac:dyDescent="0.3">
      <c r="A111" s="263" t="s">
        <v>144</v>
      </c>
      <c r="B111" s="2418" t="s">
        <v>145</v>
      </c>
      <c r="C111" s="263" t="s">
        <v>255</v>
      </c>
      <c r="D111" s="263" t="s">
        <v>577</v>
      </c>
    </row>
    <row r="112" spans="1:4" x14ac:dyDescent="0.3">
      <c r="A112" s="263" t="s">
        <v>158</v>
      </c>
      <c r="B112" s="2417" t="s">
        <v>159</v>
      </c>
      <c r="C112" s="263" t="s">
        <v>252</v>
      </c>
      <c r="D112" s="263" t="s">
        <v>576</v>
      </c>
    </row>
    <row r="113" spans="1:4" x14ac:dyDescent="0.3">
      <c r="A113" s="263" t="s">
        <v>160</v>
      </c>
      <c r="B113" s="2417" t="s">
        <v>161</v>
      </c>
      <c r="C113" s="263" t="s">
        <v>252</v>
      </c>
      <c r="D113" s="263" t="s">
        <v>576</v>
      </c>
    </row>
    <row r="114" spans="1:4" x14ac:dyDescent="0.3">
      <c r="A114" s="263" t="s">
        <v>166</v>
      </c>
      <c r="B114" s="2418" t="s">
        <v>167</v>
      </c>
      <c r="C114" s="263" t="s">
        <v>256</v>
      </c>
      <c r="D114" s="263" t="s">
        <v>577</v>
      </c>
    </row>
    <row r="115" spans="1:4" x14ac:dyDescent="0.3">
      <c r="A115" s="263" t="s">
        <v>176</v>
      </c>
      <c r="B115" s="2418" t="s">
        <v>177</v>
      </c>
      <c r="C115" s="263" t="s">
        <v>254</v>
      </c>
      <c r="D115" s="263" t="s">
        <v>577</v>
      </c>
    </row>
    <row r="116" spans="1:4" x14ac:dyDescent="0.3">
      <c r="A116" s="263" t="s">
        <v>180</v>
      </c>
      <c r="B116" s="2417" t="s">
        <v>181</v>
      </c>
      <c r="C116" s="263" t="s">
        <v>252</v>
      </c>
      <c r="D116" s="263" t="s">
        <v>576</v>
      </c>
    </row>
    <row r="117" spans="1:4" x14ac:dyDescent="0.3">
      <c r="A117" s="263" t="s">
        <v>192</v>
      </c>
      <c r="B117" s="2418" t="s">
        <v>193</v>
      </c>
      <c r="C117" s="263" t="s">
        <v>256</v>
      </c>
      <c r="D117" s="263" t="s">
        <v>577</v>
      </c>
    </row>
    <row r="118" spans="1:4" x14ac:dyDescent="0.3">
      <c r="A118" s="263" t="s">
        <v>196</v>
      </c>
      <c r="B118" s="2417" t="s">
        <v>197</v>
      </c>
      <c r="C118" s="263" t="s">
        <v>254</v>
      </c>
      <c r="D118" s="263" t="s">
        <v>576</v>
      </c>
    </row>
    <row r="119" spans="1:4" x14ac:dyDescent="0.3">
      <c r="A119" s="263" t="s">
        <v>200</v>
      </c>
      <c r="B119" s="2417" t="s">
        <v>201</v>
      </c>
      <c r="C119" s="263" t="s">
        <v>253</v>
      </c>
      <c r="D119" s="263" t="s">
        <v>576</v>
      </c>
    </row>
    <row r="120" spans="1:4" x14ac:dyDescent="0.3">
      <c r="A120" s="263" t="s">
        <v>222</v>
      </c>
      <c r="B120" s="2417" t="s">
        <v>223</v>
      </c>
      <c r="C120" s="263" t="s">
        <v>252</v>
      </c>
      <c r="D120" s="263" t="s">
        <v>576</v>
      </c>
    </row>
    <row r="121" spans="1:4" x14ac:dyDescent="0.3">
      <c r="A121" s="263" t="s">
        <v>230</v>
      </c>
      <c r="B121" s="2417" t="s">
        <v>231</v>
      </c>
      <c r="C121" s="263" t="s">
        <v>252</v>
      </c>
      <c r="D121" s="263" t="s">
        <v>576</v>
      </c>
    </row>
    <row r="122" spans="1:4" x14ac:dyDescent="0.3">
      <c r="A122" s="263" t="s">
        <v>238</v>
      </c>
      <c r="B122" s="2418" t="s">
        <v>239</v>
      </c>
      <c r="C122" s="263" t="s">
        <v>252</v>
      </c>
      <c r="D122" s="263" t="s">
        <v>577</v>
      </c>
    </row>
    <row r="123" spans="1:4" x14ac:dyDescent="0.3">
      <c r="A123" s="263" t="s">
        <v>240</v>
      </c>
      <c r="B123" s="2418" t="s">
        <v>241</v>
      </c>
      <c r="C123" s="263" t="s">
        <v>255</v>
      </c>
      <c r="D123" s="263" t="s">
        <v>577</v>
      </c>
    </row>
    <row r="125" spans="1:4" x14ac:dyDescent="0.3">
      <c r="C125" s="64" t="s">
        <v>466</v>
      </c>
      <c r="D125" s="427">
        <f>COUNTIF(D4:D123,"Full")</f>
        <v>90</v>
      </c>
    </row>
    <row r="126" spans="1:4" x14ac:dyDescent="0.3">
      <c r="C126" s="64" t="s">
        <v>467</v>
      </c>
      <c r="D126" s="427">
        <f>COUNTIF(D4:D123,"Shared")</f>
        <v>30</v>
      </c>
    </row>
    <row r="128" spans="1:4" x14ac:dyDescent="0.3">
      <c r="A128" s="263" t="s">
        <v>468</v>
      </c>
    </row>
    <row r="129" spans="1:2" x14ac:dyDescent="0.3">
      <c r="A129" s="263" t="s">
        <v>1158</v>
      </c>
    </row>
    <row r="131" spans="1:2" s="359" customFormat="1" x14ac:dyDescent="0.3">
      <c r="A131" s="359" t="s">
        <v>248</v>
      </c>
    </row>
    <row r="132" spans="1:2" s="359" customFormat="1" x14ac:dyDescent="0.3">
      <c r="A132" s="360" t="s">
        <v>249</v>
      </c>
      <c r="B132" s="361" t="s">
        <v>250</v>
      </c>
    </row>
  </sheetData>
  <autoFilter ref="A3:D123"/>
  <sortState ref="A4:D123">
    <sortCondition ref="A4:A123"/>
  </sortState>
  <hyperlinks>
    <hyperlink ref="B132" r:id="rId1"/>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1" ySplit="4" topLeftCell="B5" activePane="bottomRight" state="frozen"/>
      <selection pane="topRight" activeCell="B1" sqref="B1"/>
      <selection pane="bottomLeft" activeCell="A5" sqref="A5"/>
      <selection pane="bottomRight" activeCell="A124" sqref="A5:XFD124"/>
    </sheetView>
  </sheetViews>
  <sheetFormatPr defaultColWidth="9" defaultRowHeight="13.8" x14ac:dyDescent="0.3"/>
  <cols>
    <col min="1" max="1" width="9" style="217"/>
    <col min="2" max="2" width="27.69921875" style="217" customWidth="1"/>
    <col min="3" max="3" width="14.19921875" style="217" customWidth="1"/>
    <col min="4" max="9" width="12.09765625" style="217" customWidth="1"/>
    <col min="10" max="16384" width="9" style="217"/>
  </cols>
  <sheetData>
    <row r="1" spans="1:9" x14ac:dyDescent="0.3">
      <c r="A1" s="65" t="s">
        <v>1093</v>
      </c>
      <c r="D1" s="855"/>
      <c r="E1" s="855"/>
      <c r="F1" s="855"/>
      <c r="G1" s="855"/>
      <c r="H1" s="855"/>
      <c r="I1" s="855"/>
    </row>
    <row r="2" spans="1:9" x14ac:dyDescent="0.3">
      <c r="D2" s="856"/>
      <c r="E2" s="856"/>
      <c r="F2" s="856"/>
      <c r="G2" s="856"/>
      <c r="H2" s="856"/>
      <c r="I2" s="856"/>
    </row>
    <row r="3" spans="1:9" ht="27.6" x14ac:dyDescent="0.3">
      <c r="A3" s="857" t="s">
        <v>4</v>
      </c>
      <c r="B3" s="858" t="s">
        <v>5</v>
      </c>
      <c r="C3" s="858" t="s">
        <v>251</v>
      </c>
      <c r="D3" s="859" t="s">
        <v>759</v>
      </c>
      <c r="E3" s="860" t="s">
        <v>760</v>
      </c>
      <c r="F3" s="860" t="s">
        <v>758</v>
      </c>
      <c r="G3" s="860" t="s">
        <v>761</v>
      </c>
      <c r="H3" s="861" t="s">
        <v>762</v>
      </c>
      <c r="I3" s="861" t="s">
        <v>763</v>
      </c>
    </row>
    <row r="4" spans="1:9" ht="14.4" x14ac:dyDescent="0.3">
      <c r="A4" s="1531">
        <v>999</v>
      </c>
      <c r="B4" s="1532" t="s">
        <v>9</v>
      </c>
      <c r="C4" s="1533"/>
      <c r="D4" s="1534">
        <f t="shared" ref="D4:H4" si="0">SUM(D5:D124)</f>
        <v>0</v>
      </c>
      <c r="E4" s="1535">
        <f t="shared" si="0"/>
        <v>276123576.77999997</v>
      </c>
      <c r="F4" s="1535">
        <f t="shared" si="0"/>
        <v>142084685.44000003</v>
      </c>
      <c r="G4" s="1535">
        <f t="shared" si="0"/>
        <v>0</v>
      </c>
      <c r="H4" s="1537">
        <f t="shared" si="0"/>
        <v>418208262.22000015</v>
      </c>
      <c r="I4" s="1537">
        <f t="shared" ref="I4" si="1">SUM(I5:I124)</f>
        <v>142084685.44000003</v>
      </c>
    </row>
    <row r="5" spans="1:9" s="232" customFormat="1" ht="14.4" x14ac:dyDescent="0.3">
      <c r="A5" s="1587" t="s">
        <v>10</v>
      </c>
      <c r="B5" s="1588" t="s">
        <v>11</v>
      </c>
      <c r="C5" s="1161" t="s">
        <v>252</v>
      </c>
      <c r="D5" s="1589"/>
      <c r="E5" s="1590">
        <v>443382.21</v>
      </c>
      <c r="F5" s="1590">
        <v>145281.04999999999</v>
      </c>
      <c r="G5" s="1591"/>
      <c r="H5" s="1592">
        <f t="shared" ref="H5:H36" si="2">SUM(D5:G5)</f>
        <v>588663.26</v>
      </c>
      <c r="I5" s="1592">
        <f t="shared" ref="I5:I36" si="3">F5+G5</f>
        <v>145281.04999999999</v>
      </c>
    </row>
    <row r="6" spans="1:9" s="232" customFormat="1" ht="14.4" x14ac:dyDescent="0.3">
      <c r="A6" s="1587" t="s">
        <v>12</v>
      </c>
      <c r="B6" s="1588" t="s">
        <v>13</v>
      </c>
      <c r="C6" s="1161" t="s">
        <v>253</v>
      </c>
      <c r="D6" s="1589"/>
      <c r="E6" s="1590">
        <v>5801817.5199999996</v>
      </c>
      <c r="F6" s="1590">
        <v>3412386.19</v>
      </c>
      <c r="G6" s="1591"/>
      <c r="H6" s="1592">
        <f t="shared" si="2"/>
        <v>9214203.709999999</v>
      </c>
      <c r="I6" s="1592">
        <f t="shared" si="3"/>
        <v>3412386.19</v>
      </c>
    </row>
    <row r="7" spans="1:9" s="232" customFormat="1" ht="14.4" x14ac:dyDescent="0.3">
      <c r="A7" s="1587" t="s">
        <v>16</v>
      </c>
      <c r="B7" s="1588" t="s">
        <v>285</v>
      </c>
      <c r="C7" s="1161" t="s">
        <v>253</v>
      </c>
      <c r="D7" s="1589"/>
      <c r="E7" s="1590">
        <v>2679610.4699999997</v>
      </c>
      <c r="F7" s="1590">
        <v>767490.05</v>
      </c>
      <c r="G7" s="1591"/>
      <c r="H7" s="1592">
        <f t="shared" si="2"/>
        <v>3447100.5199999996</v>
      </c>
      <c r="I7" s="1592">
        <f t="shared" si="3"/>
        <v>767490.05</v>
      </c>
    </row>
    <row r="8" spans="1:9" s="232" customFormat="1" ht="14.4" x14ac:dyDescent="0.3">
      <c r="A8" s="1587" t="s">
        <v>18</v>
      </c>
      <c r="B8" s="1588" t="s">
        <v>19</v>
      </c>
      <c r="C8" s="1161" t="s">
        <v>254</v>
      </c>
      <c r="D8" s="1589"/>
      <c r="E8" s="1590">
        <v>309131.44</v>
      </c>
      <c r="F8" s="1590">
        <v>142887.84</v>
      </c>
      <c r="G8" s="1591"/>
      <c r="H8" s="1592">
        <f t="shared" si="2"/>
        <v>452019.28</v>
      </c>
      <c r="I8" s="1592">
        <f t="shared" si="3"/>
        <v>142887.84</v>
      </c>
    </row>
    <row r="9" spans="1:9" s="232" customFormat="1" ht="14.4" x14ac:dyDescent="0.3">
      <c r="A9" s="1587" t="s">
        <v>20</v>
      </c>
      <c r="B9" s="1588" t="s">
        <v>21</v>
      </c>
      <c r="C9" s="1161" t="s">
        <v>253</v>
      </c>
      <c r="D9" s="1589"/>
      <c r="E9" s="1590">
        <v>1267315.57</v>
      </c>
      <c r="F9" s="1590">
        <v>429235.37</v>
      </c>
      <c r="G9" s="1591"/>
      <c r="H9" s="1592">
        <f t="shared" si="2"/>
        <v>1696550.94</v>
      </c>
      <c r="I9" s="1592">
        <f t="shared" si="3"/>
        <v>429235.37</v>
      </c>
    </row>
    <row r="10" spans="1:9" s="232" customFormat="1" ht="14.4" x14ac:dyDescent="0.3">
      <c r="A10" s="1587" t="s">
        <v>22</v>
      </c>
      <c r="B10" s="1588" t="s">
        <v>23</v>
      </c>
      <c r="C10" s="1161" t="s">
        <v>253</v>
      </c>
      <c r="D10" s="1589"/>
      <c r="E10" s="1590">
        <v>1293819.83</v>
      </c>
      <c r="F10" s="1590">
        <v>433088.04</v>
      </c>
      <c r="G10" s="1591"/>
      <c r="H10" s="1592">
        <f t="shared" si="2"/>
        <v>1726907.87</v>
      </c>
      <c r="I10" s="1592">
        <f t="shared" si="3"/>
        <v>433088.04</v>
      </c>
    </row>
    <row r="11" spans="1:9" s="232" customFormat="1" ht="14.4" x14ac:dyDescent="0.3">
      <c r="A11" s="1587" t="s">
        <v>24</v>
      </c>
      <c r="B11" s="1588" t="s">
        <v>25</v>
      </c>
      <c r="C11" s="1161" t="s">
        <v>255</v>
      </c>
      <c r="D11" s="1589"/>
      <c r="E11" s="1590">
        <v>2033294.04</v>
      </c>
      <c r="F11" s="1590">
        <v>1582069.62</v>
      </c>
      <c r="G11" s="1591"/>
      <c r="H11" s="1592">
        <f t="shared" si="2"/>
        <v>3615363.66</v>
      </c>
      <c r="I11" s="1592">
        <f t="shared" si="3"/>
        <v>1582069.62</v>
      </c>
    </row>
    <row r="12" spans="1:9" s="232" customFormat="1" ht="14.4" x14ac:dyDescent="0.3">
      <c r="A12" s="1587" t="s">
        <v>26</v>
      </c>
      <c r="B12" s="1588" t="s">
        <v>547</v>
      </c>
      <c r="C12" s="1161" t="s">
        <v>253</v>
      </c>
      <c r="D12" s="1589"/>
      <c r="E12" s="1590">
        <v>8021573.8499999996</v>
      </c>
      <c r="F12" s="1590">
        <v>3789208.0900000003</v>
      </c>
      <c r="G12" s="1591"/>
      <c r="H12" s="1592">
        <f t="shared" si="2"/>
        <v>11810781.939999999</v>
      </c>
      <c r="I12" s="1592">
        <f t="shared" si="3"/>
        <v>3789208.0900000003</v>
      </c>
    </row>
    <row r="13" spans="1:9" s="232" customFormat="1" ht="14.4" x14ac:dyDescent="0.3">
      <c r="A13" s="1587" t="s">
        <v>27</v>
      </c>
      <c r="B13" s="1588" t="s">
        <v>28</v>
      </c>
      <c r="C13" s="1161" t="s">
        <v>253</v>
      </c>
      <c r="D13" s="1589"/>
      <c r="E13" s="1590">
        <v>68647.070000000007</v>
      </c>
      <c r="F13" s="1590">
        <v>42638.15</v>
      </c>
      <c r="G13" s="1591"/>
      <c r="H13" s="1592">
        <f t="shared" si="2"/>
        <v>111285.22</v>
      </c>
      <c r="I13" s="1592">
        <f t="shared" si="3"/>
        <v>42638.15</v>
      </c>
    </row>
    <row r="14" spans="1:9" s="232" customFormat="1" ht="14.4" x14ac:dyDescent="0.3">
      <c r="A14" s="1587" t="s">
        <v>29</v>
      </c>
      <c r="B14" s="1588" t="s">
        <v>736</v>
      </c>
      <c r="C14" s="1161" t="s">
        <v>253</v>
      </c>
      <c r="D14" s="1589"/>
      <c r="E14" s="1590">
        <v>3405926.28</v>
      </c>
      <c r="F14" s="1590">
        <v>1488617.47</v>
      </c>
      <c r="G14" s="1591"/>
      <c r="H14" s="1592">
        <f t="shared" si="2"/>
        <v>4894543.75</v>
      </c>
      <c r="I14" s="1592">
        <f t="shared" si="3"/>
        <v>1488617.47</v>
      </c>
    </row>
    <row r="15" spans="1:9" s="232" customFormat="1" ht="14.4" x14ac:dyDescent="0.3">
      <c r="A15" s="1587" t="s">
        <v>30</v>
      </c>
      <c r="B15" s="1588" t="s">
        <v>31</v>
      </c>
      <c r="C15" s="1161" t="s">
        <v>256</v>
      </c>
      <c r="D15" s="1589"/>
      <c r="E15" s="1590">
        <v>289579.8</v>
      </c>
      <c r="F15" s="1590">
        <v>74223.350000000006</v>
      </c>
      <c r="G15" s="1591"/>
      <c r="H15" s="1592">
        <f t="shared" si="2"/>
        <v>363803.15</v>
      </c>
      <c r="I15" s="1592">
        <f t="shared" si="3"/>
        <v>74223.350000000006</v>
      </c>
    </row>
    <row r="16" spans="1:9" s="232" customFormat="1" ht="14.4" x14ac:dyDescent="0.3">
      <c r="A16" s="1587" t="s">
        <v>32</v>
      </c>
      <c r="B16" s="1588" t="s">
        <v>33</v>
      </c>
      <c r="C16" s="1161" t="s">
        <v>253</v>
      </c>
      <c r="D16" s="1589"/>
      <c r="E16" s="1590">
        <v>806395.89</v>
      </c>
      <c r="F16" s="1590">
        <v>443851.68</v>
      </c>
      <c r="G16" s="1591"/>
      <c r="H16" s="1592">
        <f t="shared" si="2"/>
        <v>1250247.57</v>
      </c>
      <c r="I16" s="1592">
        <f t="shared" si="3"/>
        <v>443851.68</v>
      </c>
    </row>
    <row r="17" spans="1:9" s="232" customFormat="1" ht="14.4" x14ac:dyDescent="0.3">
      <c r="A17" s="1587" t="s">
        <v>36</v>
      </c>
      <c r="B17" s="1588" t="s">
        <v>37</v>
      </c>
      <c r="C17" s="1161" t="s">
        <v>252</v>
      </c>
      <c r="D17" s="1589"/>
      <c r="E17" s="1590">
        <v>621901.68999999994</v>
      </c>
      <c r="F17" s="1590">
        <v>200120.86</v>
      </c>
      <c r="G17" s="1591"/>
      <c r="H17" s="1592">
        <f t="shared" si="2"/>
        <v>822022.54999999993</v>
      </c>
      <c r="I17" s="1592">
        <f t="shared" si="3"/>
        <v>200120.86</v>
      </c>
    </row>
    <row r="18" spans="1:9" s="232" customFormat="1" ht="14.4" x14ac:dyDescent="0.3">
      <c r="A18" s="1587" t="s">
        <v>38</v>
      </c>
      <c r="B18" s="1588" t="s">
        <v>39</v>
      </c>
      <c r="C18" s="1161" t="s">
        <v>256</v>
      </c>
      <c r="D18" s="1589"/>
      <c r="E18" s="1590">
        <v>562647.18999999994</v>
      </c>
      <c r="F18" s="1590">
        <v>274120.12</v>
      </c>
      <c r="G18" s="1591"/>
      <c r="H18" s="1592">
        <f t="shared" si="2"/>
        <v>836767.30999999994</v>
      </c>
      <c r="I18" s="1592">
        <f t="shared" si="3"/>
        <v>274120.12</v>
      </c>
    </row>
    <row r="19" spans="1:9" s="232" customFormat="1" ht="14.4" x14ac:dyDescent="0.3">
      <c r="A19" s="1587" t="s">
        <v>40</v>
      </c>
      <c r="B19" s="1588" t="s">
        <v>41</v>
      </c>
      <c r="C19" s="1161" t="s">
        <v>254</v>
      </c>
      <c r="D19" s="1589"/>
      <c r="E19" s="1590">
        <v>1404069.36</v>
      </c>
      <c r="F19" s="1590">
        <v>348435.88</v>
      </c>
      <c r="G19" s="1591"/>
      <c r="H19" s="1592">
        <f t="shared" si="2"/>
        <v>1752505.2400000002</v>
      </c>
      <c r="I19" s="1592">
        <f t="shared" si="3"/>
        <v>348435.88</v>
      </c>
    </row>
    <row r="20" spans="1:9" s="232" customFormat="1" ht="14.4" x14ac:dyDescent="0.3">
      <c r="A20" s="1587" t="s">
        <v>42</v>
      </c>
      <c r="B20" s="1588" t="s">
        <v>43</v>
      </c>
      <c r="C20" s="1161" t="s">
        <v>253</v>
      </c>
      <c r="D20" s="1589"/>
      <c r="E20" s="1590">
        <v>2622908.27</v>
      </c>
      <c r="F20" s="1590">
        <v>1070181.1000000001</v>
      </c>
      <c r="G20" s="1591"/>
      <c r="H20" s="1592">
        <f t="shared" si="2"/>
        <v>3693089.37</v>
      </c>
      <c r="I20" s="1592">
        <f t="shared" si="3"/>
        <v>1070181.1000000001</v>
      </c>
    </row>
    <row r="21" spans="1:9" s="232" customFormat="1" ht="14.4" x14ac:dyDescent="0.3">
      <c r="A21" s="1587" t="s">
        <v>44</v>
      </c>
      <c r="B21" s="1588" t="s">
        <v>45</v>
      </c>
      <c r="C21" s="1161" t="s">
        <v>254</v>
      </c>
      <c r="D21" s="1589"/>
      <c r="E21" s="1590">
        <v>939561.16</v>
      </c>
      <c r="F21" s="1590">
        <v>462117.89</v>
      </c>
      <c r="G21" s="1591"/>
      <c r="H21" s="1592">
        <f t="shared" si="2"/>
        <v>1401679.05</v>
      </c>
      <c r="I21" s="1592">
        <f t="shared" si="3"/>
        <v>462117.89</v>
      </c>
    </row>
    <row r="22" spans="1:9" s="232" customFormat="1" ht="14.4" x14ac:dyDescent="0.3">
      <c r="A22" s="1587" t="s">
        <v>46</v>
      </c>
      <c r="B22" s="1588" t="s">
        <v>47</v>
      </c>
      <c r="C22" s="1161" t="s">
        <v>256</v>
      </c>
      <c r="D22" s="1589"/>
      <c r="E22" s="1590">
        <v>2361759.2799999998</v>
      </c>
      <c r="F22" s="1590">
        <v>977485.42</v>
      </c>
      <c r="G22" s="1591"/>
      <c r="H22" s="1592">
        <f t="shared" si="2"/>
        <v>3339244.6999999997</v>
      </c>
      <c r="I22" s="1592">
        <f t="shared" si="3"/>
        <v>977485.42</v>
      </c>
    </row>
    <row r="23" spans="1:9" s="232" customFormat="1" ht="14.4" x14ac:dyDescent="0.3">
      <c r="A23" s="1587" t="s">
        <v>48</v>
      </c>
      <c r="B23" s="1588" t="s">
        <v>257</v>
      </c>
      <c r="C23" s="1161" t="s">
        <v>254</v>
      </c>
      <c r="D23" s="1589"/>
      <c r="E23" s="1590">
        <v>427910.89</v>
      </c>
      <c r="F23" s="1590">
        <v>193100.84</v>
      </c>
      <c r="G23" s="1591"/>
      <c r="H23" s="1592">
        <f t="shared" si="2"/>
        <v>621011.73</v>
      </c>
      <c r="I23" s="1592">
        <f t="shared" si="3"/>
        <v>193100.84</v>
      </c>
    </row>
    <row r="24" spans="1:9" s="232" customFormat="1" ht="14.4" x14ac:dyDescent="0.3">
      <c r="A24" s="1587" t="s">
        <v>50</v>
      </c>
      <c r="B24" s="1588" t="s">
        <v>51</v>
      </c>
      <c r="C24" s="1161" t="s">
        <v>253</v>
      </c>
      <c r="D24" s="1589"/>
      <c r="E24" s="1590">
        <v>803580.79</v>
      </c>
      <c r="F24" s="1590">
        <v>220103.11</v>
      </c>
      <c r="G24" s="1591"/>
      <c r="H24" s="1592">
        <f t="shared" si="2"/>
        <v>1023683.9</v>
      </c>
      <c r="I24" s="1592">
        <f t="shared" si="3"/>
        <v>220103.11</v>
      </c>
    </row>
    <row r="25" spans="1:9" s="232" customFormat="1" ht="14.4" x14ac:dyDescent="0.3">
      <c r="A25" s="1587" t="s">
        <v>56</v>
      </c>
      <c r="B25" s="1588" t="s">
        <v>283</v>
      </c>
      <c r="C25" s="1161" t="s">
        <v>254</v>
      </c>
      <c r="D25" s="1589"/>
      <c r="E25" s="1590">
        <v>8902711</v>
      </c>
      <c r="F25" s="1590">
        <v>5370409.9699999997</v>
      </c>
      <c r="G25" s="1591"/>
      <c r="H25" s="1592">
        <f t="shared" si="2"/>
        <v>14273120.969999999</v>
      </c>
      <c r="I25" s="1592">
        <f t="shared" si="3"/>
        <v>5370409.9699999997</v>
      </c>
    </row>
    <row r="26" spans="1:9" s="232" customFormat="1" ht="14.4" x14ac:dyDescent="0.3">
      <c r="A26" s="1587" t="s">
        <v>58</v>
      </c>
      <c r="B26" s="1588" t="s">
        <v>59</v>
      </c>
      <c r="C26" s="1161" t="s">
        <v>255</v>
      </c>
      <c r="D26" s="1589"/>
      <c r="E26" s="1590">
        <v>79972.44</v>
      </c>
      <c r="F26" s="1590">
        <v>59226.61</v>
      </c>
      <c r="G26" s="1591"/>
      <c r="H26" s="1592">
        <f t="shared" si="2"/>
        <v>139199.04999999999</v>
      </c>
      <c r="I26" s="1592">
        <f t="shared" si="3"/>
        <v>59226.61</v>
      </c>
    </row>
    <row r="27" spans="1:9" s="232" customFormat="1" ht="14.4" x14ac:dyDescent="0.3">
      <c r="A27" s="1587" t="s">
        <v>60</v>
      </c>
      <c r="B27" s="1588" t="s">
        <v>61</v>
      </c>
      <c r="C27" s="1161" t="s">
        <v>253</v>
      </c>
      <c r="D27" s="1589"/>
      <c r="E27" s="1590">
        <v>436157.97</v>
      </c>
      <c r="F27" s="1590">
        <v>154925</v>
      </c>
      <c r="G27" s="1591"/>
      <c r="H27" s="1592">
        <f t="shared" si="2"/>
        <v>591082.97</v>
      </c>
      <c r="I27" s="1592">
        <f t="shared" si="3"/>
        <v>154925</v>
      </c>
    </row>
    <row r="28" spans="1:9" s="232" customFormat="1" ht="14.4" x14ac:dyDescent="0.3">
      <c r="A28" s="1587" t="s">
        <v>62</v>
      </c>
      <c r="B28" s="1588" t="s">
        <v>63</v>
      </c>
      <c r="C28" s="1161" t="s">
        <v>255</v>
      </c>
      <c r="D28" s="1589"/>
      <c r="E28" s="1590">
        <v>2194810.79</v>
      </c>
      <c r="F28" s="1590">
        <v>1067925.24</v>
      </c>
      <c r="G28" s="1591"/>
      <c r="H28" s="1592">
        <f t="shared" si="2"/>
        <v>3262736.0300000003</v>
      </c>
      <c r="I28" s="1592">
        <f t="shared" si="3"/>
        <v>1067925.24</v>
      </c>
    </row>
    <row r="29" spans="1:9" s="232" customFormat="1" ht="14.4" x14ac:dyDescent="0.3">
      <c r="A29" s="1587" t="s">
        <v>64</v>
      </c>
      <c r="B29" s="1588" t="s">
        <v>65</v>
      </c>
      <c r="C29" s="1161" t="s">
        <v>254</v>
      </c>
      <c r="D29" s="1589"/>
      <c r="E29" s="1590">
        <v>857364.1</v>
      </c>
      <c r="F29" s="1590">
        <v>375662.84</v>
      </c>
      <c r="G29" s="1591"/>
      <c r="H29" s="1592">
        <f t="shared" si="2"/>
        <v>1233026.94</v>
      </c>
      <c r="I29" s="1592">
        <f t="shared" si="3"/>
        <v>375662.84</v>
      </c>
    </row>
    <row r="30" spans="1:9" s="232" customFormat="1" ht="14.4" x14ac:dyDescent="0.3">
      <c r="A30" s="1587" t="s">
        <v>68</v>
      </c>
      <c r="B30" s="1588" t="s">
        <v>69</v>
      </c>
      <c r="C30" s="1161" t="s">
        <v>256</v>
      </c>
      <c r="D30" s="1589"/>
      <c r="E30" s="1590">
        <v>880377.23</v>
      </c>
      <c r="F30" s="1590">
        <v>339727.57</v>
      </c>
      <c r="G30" s="1591"/>
      <c r="H30" s="1592">
        <f t="shared" si="2"/>
        <v>1220104.8</v>
      </c>
      <c r="I30" s="1592">
        <f t="shared" si="3"/>
        <v>339727.57</v>
      </c>
    </row>
    <row r="31" spans="1:9" s="232" customFormat="1" ht="14.4" x14ac:dyDescent="0.3">
      <c r="A31" s="1587" t="s">
        <v>70</v>
      </c>
      <c r="B31" s="1588" t="s">
        <v>71</v>
      </c>
      <c r="C31" s="1161" t="s">
        <v>252</v>
      </c>
      <c r="D31" s="1589"/>
      <c r="E31" s="1590">
        <v>1439196.54</v>
      </c>
      <c r="F31" s="1590">
        <v>702494.65</v>
      </c>
      <c r="G31" s="1591"/>
      <c r="H31" s="1592">
        <f t="shared" si="2"/>
        <v>2141691.19</v>
      </c>
      <c r="I31" s="1592">
        <f t="shared" si="3"/>
        <v>702494.65</v>
      </c>
    </row>
    <row r="32" spans="1:9" s="232" customFormat="1" ht="14.4" x14ac:dyDescent="0.3">
      <c r="A32" s="1587" t="s">
        <v>72</v>
      </c>
      <c r="B32" s="1588" t="s">
        <v>73</v>
      </c>
      <c r="C32" s="1161" t="s">
        <v>254</v>
      </c>
      <c r="D32" s="1589"/>
      <c r="E32" s="1590">
        <v>543305.81999999995</v>
      </c>
      <c r="F32" s="1590">
        <v>352444.88</v>
      </c>
      <c r="G32" s="1591"/>
      <c r="H32" s="1592">
        <f t="shared" si="2"/>
        <v>895750.7</v>
      </c>
      <c r="I32" s="1592">
        <f t="shared" si="3"/>
        <v>352444.88</v>
      </c>
    </row>
    <row r="33" spans="1:9" s="232" customFormat="1" ht="14.4" x14ac:dyDescent="0.3">
      <c r="A33" s="1587" t="s">
        <v>74</v>
      </c>
      <c r="B33" s="1588" t="s">
        <v>290</v>
      </c>
      <c r="C33" s="1161" t="s">
        <v>255</v>
      </c>
      <c r="D33" s="1589"/>
      <c r="E33" s="1590">
        <v>21598769.219999999</v>
      </c>
      <c r="F33" s="1590">
        <v>16659918.550000001</v>
      </c>
      <c r="G33" s="1591"/>
      <c r="H33" s="1592">
        <f t="shared" si="2"/>
        <v>38258687.769999996</v>
      </c>
      <c r="I33" s="1592">
        <f t="shared" si="3"/>
        <v>16659918.550000001</v>
      </c>
    </row>
    <row r="34" spans="1:9" s="232" customFormat="1" ht="14.4" x14ac:dyDescent="0.3">
      <c r="A34" s="1587" t="s">
        <v>76</v>
      </c>
      <c r="B34" s="1588" t="s">
        <v>77</v>
      </c>
      <c r="C34" s="1161" t="s">
        <v>255</v>
      </c>
      <c r="D34" s="1589"/>
      <c r="E34" s="1590">
        <v>2315357.56</v>
      </c>
      <c r="F34" s="1590">
        <v>1808895.56</v>
      </c>
      <c r="G34" s="1591"/>
      <c r="H34" s="1592">
        <f t="shared" si="2"/>
        <v>4124253.12</v>
      </c>
      <c r="I34" s="1592">
        <f t="shared" si="3"/>
        <v>1808895.56</v>
      </c>
    </row>
    <row r="35" spans="1:9" s="232" customFormat="1" ht="14.4" x14ac:dyDescent="0.3">
      <c r="A35" s="1587" t="s">
        <v>78</v>
      </c>
      <c r="B35" s="1588" t="s">
        <v>79</v>
      </c>
      <c r="C35" s="1161" t="s">
        <v>256</v>
      </c>
      <c r="D35" s="1589"/>
      <c r="E35" s="1590">
        <v>661863.01</v>
      </c>
      <c r="F35" s="1590">
        <v>197238.05</v>
      </c>
      <c r="G35" s="1591"/>
      <c r="H35" s="1592">
        <f t="shared" si="2"/>
        <v>859101.06</v>
      </c>
      <c r="I35" s="1592">
        <f t="shared" si="3"/>
        <v>197238.05</v>
      </c>
    </row>
    <row r="36" spans="1:9" s="232" customFormat="1" ht="14.4" x14ac:dyDescent="0.3">
      <c r="A36" s="1587" t="s">
        <v>80</v>
      </c>
      <c r="B36" s="1588" t="s">
        <v>81</v>
      </c>
      <c r="C36" s="1161" t="s">
        <v>254</v>
      </c>
      <c r="D36" s="1589"/>
      <c r="E36" s="1590">
        <v>1566794.86</v>
      </c>
      <c r="F36" s="1590">
        <v>825692</v>
      </c>
      <c r="G36" s="1591"/>
      <c r="H36" s="1592">
        <f t="shared" si="2"/>
        <v>2392486.8600000003</v>
      </c>
      <c r="I36" s="1592">
        <f t="shared" si="3"/>
        <v>825692</v>
      </c>
    </row>
    <row r="37" spans="1:9" s="232" customFormat="1" ht="14.4" x14ac:dyDescent="0.3">
      <c r="A37" s="1587" t="s">
        <v>84</v>
      </c>
      <c r="B37" s="1588" t="s">
        <v>296</v>
      </c>
      <c r="C37" s="1161" t="s">
        <v>253</v>
      </c>
      <c r="D37" s="1589"/>
      <c r="E37" s="1590">
        <v>4763516.6100000003</v>
      </c>
      <c r="F37" s="1590">
        <v>1748413.75</v>
      </c>
      <c r="G37" s="1591"/>
      <c r="H37" s="1592">
        <f t="shared" ref="H37:H68" si="4">SUM(D37:G37)</f>
        <v>6511930.3600000003</v>
      </c>
      <c r="I37" s="1592">
        <f t="shared" ref="I37:I68" si="5">F37+G37</f>
        <v>1748413.75</v>
      </c>
    </row>
    <row r="38" spans="1:9" s="232" customFormat="1" ht="14.4" x14ac:dyDescent="0.3">
      <c r="A38" s="1587" t="s">
        <v>86</v>
      </c>
      <c r="B38" s="1588" t="s">
        <v>87</v>
      </c>
      <c r="C38" s="1161" t="s">
        <v>255</v>
      </c>
      <c r="D38" s="1589"/>
      <c r="E38" s="1590">
        <v>1990788.76</v>
      </c>
      <c r="F38" s="1590">
        <v>1298347.8899999999</v>
      </c>
      <c r="G38" s="1591"/>
      <c r="H38" s="1592">
        <f t="shared" si="4"/>
        <v>3289136.65</v>
      </c>
      <c r="I38" s="1592">
        <f t="shared" si="5"/>
        <v>1298347.8899999999</v>
      </c>
    </row>
    <row r="39" spans="1:9" s="232" customFormat="1" ht="14.4" x14ac:dyDescent="0.3">
      <c r="A39" s="1587" t="s">
        <v>92</v>
      </c>
      <c r="B39" s="1588" t="s">
        <v>93</v>
      </c>
      <c r="C39" s="1161" t="s">
        <v>256</v>
      </c>
      <c r="D39" s="1589"/>
      <c r="E39" s="1590">
        <v>1522184.58</v>
      </c>
      <c r="F39" s="1590">
        <v>552284.11</v>
      </c>
      <c r="G39" s="1591"/>
      <c r="H39" s="1592">
        <f t="shared" si="4"/>
        <v>2074468.69</v>
      </c>
      <c r="I39" s="1592">
        <f t="shared" si="5"/>
        <v>552284.11</v>
      </c>
    </row>
    <row r="40" spans="1:9" s="232" customFormat="1" ht="14.4" x14ac:dyDescent="0.3">
      <c r="A40" s="1587" t="s">
        <v>94</v>
      </c>
      <c r="B40" s="1588" t="s">
        <v>95</v>
      </c>
      <c r="C40" s="1161" t="s">
        <v>252</v>
      </c>
      <c r="D40" s="1589"/>
      <c r="E40" s="1590">
        <v>537294.22</v>
      </c>
      <c r="F40" s="1590">
        <v>309611.51</v>
      </c>
      <c r="G40" s="1591"/>
      <c r="H40" s="1592">
        <f t="shared" si="4"/>
        <v>846905.73</v>
      </c>
      <c r="I40" s="1592">
        <f t="shared" si="5"/>
        <v>309611.51</v>
      </c>
    </row>
    <row r="41" spans="1:9" s="232" customFormat="1" ht="14.4" x14ac:dyDescent="0.3">
      <c r="A41" s="1587" t="s">
        <v>96</v>
      </c>
      <c r="B41" s="1588" t="s">
        <v>97</v>
      </c>
      <c r="C41" s="1161" t="s">
        <v>254</v>
      </c>
      <c r="D41" s="1589"/>
      <c r="E41" s="1590">
        <v>490568.93</v>
      </c>
      <c r="F41" s="1590">
        <v>473468.05</v>
      </c>
      <c r="G41" s="1591"/>
      <c r="H41" s="1592">
        <f t="shared" si="4"/>
        <v>964036.98</v>
      </c>
      <c r="I41" s="1592">
        <f t="shared" si="5"/>
        <v>473468.05</v>
      </c>
    </row>
    <row r="42" spans="1:9" s="232" customFormat="1" ht="14.4" x14ac:dyDescent="0.3">
      <c r="A42" s="1587" t="s">
        <v>98</v>
      </c>
      <c r="B42" s="1588" t="s">
        <v>99</v>
      </c>
      <c r="C42" s="1161" t="s">
        <v>256</v>
      </c>
      <c r="D42" s="1589"/>
      <c r="E42" s="1590">
        <v>780450.36</v>
      </c>
      <c r="F42" s="1590">
        <v>209122.55</v>
      </c>
      <c r="G42" s="1591"/>
      <c r="H42" s="1592">
        <f t="shared" si="4"/>
        <v>989572.90999999992</v>
      </c>
      <c r="I42" s="1592">
        <f t="shared" si="5"/>
        <v>209122.55</v>
      </c>
    </row>
    <row r="43" spans="1:9" s="232" customFormat="1" ht="14.4" x14ac:dyDescent="0.3">
      <c r="A43" s="1587" t="s">
        <v>100</v>
      </c>
      <c r="B43" s="1588" t="s">
        <v>101</v>
      </c>
      <c r="C43" s="1161" t="s">
        <v>255</v>
      </c>
      <c r="D43" s="1589"/>
      <c r="E43" s="1590">
        <v>648737.13</v>
      </c>
      <c r="F43" s="1590">
        <v>307584.49</v>
      </c>
      <c r="G43" s="1591"/>
      <c r="H43" s="1592">
        <f t="shared" si="4"/>
        <v>956321.62</v>
      </c>
      <c r="I43" s="1592">
        <f t="shared" si="5"/>
        <v>307584.49</v>
      </c>
    </row>
    <row r="44" spans="1:9" s="232" customFormat="1" ht="14.4" x14ac:dyDescent="0.3">
      <c r="A44" s="1587" t="s">
        <v>102</v>
      </c>
      <c r="B44" s="1588" t="s">
        <v>103</v>
      </c>
      <c r="C44" s="1161" t="s">
        <v>252</v>
      </c>
      <c r="D44" s="1589"/>
      <c r="E44" s="1590">
        <v>785097.8</v>
      </c>
      <c r="F44" s="1590">
        <v>231731.91</v>
      </c>
      <c r="G44" s="1591"/>
      <c r="H44" s="1592">
        <f t="shared" si="4"/>
        <v>1016829.7100000001</v>
      </c>
      <c r="I44" s="1592">
        <f t="shared" si="5"/>
        <v>231731.91</v>
      </c>
    </row>
    <row r="45" spans="1:9" s="232" customFormat="1" ht="14.4" x14ac:dyDescent="0.3">
      <c r="A45" s="1587" t="s">
        <v>104</v>
      </c>
      <c r="B45" s="1588" t="s">
        <v>297</v>
      </c>
      <c r="C45" s="1161" t="s">
        <v>253</v>
      </c>
      <c r="D45" s="1589"/>
      <c r="E45" s="1590">
        <v>2679736.37</v>
      </c>
      <c r="F45" s="1590">
        <v>803523.09</v>
      </c>
      <c r="G45" s="1591"/>
      <c r="H45" s="1592">
        <f t="shared" si="4"/>
        <v>3483259.46</v>
      </c>
      <c r="I45" s="1592">
        <f t="shared" si="5"/>
        <v>803523.09</v>
      </c>
    </row>
    <row r="46" spans="1:9" s="232" customFormat="1" ht="14.4" x14ac:dyDescent="0.3">
      <c r="A46" s="1587" t="s">
        <v>108</v>
      </c>
      <c r="B46" s="1588" t="s">
        <v>109</v>
      </c>
      <c r="C46" s="1161" t="s">
        <v>254</v>
      </c>
      <c r="D46" s="1589"/>
      <c r="E46" s="1590">
        <v>3240566.66</v>
      </c>
      <c r="F46" s="1590">
        <v>2327542.52</v>
      </c>
      <c r="G46" s="1591"/>
      <c r="H46" s="1592">
        <f t="shared" si="4"/>
        <v>5568109.1799999997</v>
      </c>
      <c r="I46" s="1592">
        <f t="shared" si="5"/>
        <v>2327542.52</v>
      </c>
    </row>
    <row r="47" spans="1:9" s="232" customFormat="1" ht="14.4" x14ac:dyDescent="0.3">
      <c r="A47" s="1587" t="s">
        <v>110</v>
      </c>
      <c r="B47" s="1588" t="s">
        <v>111</v>
      </c>
      <c r="C47" s="1161" t="s">
        <v>254</v>
      </c>
      <c r="D47" s="1589"/>
      <c r="E47" s="1590">
        <v>10462542.539999999</v>
      </c>
      <c r="F47" s="1590">
        <v>6170546.71</v>
      </c>
      <c r="G47" s="1591"/>
      <c r="H47" s="1592">
        <f t="shared" si="4"/>
        <v>16633089.25</v>
      </c>
      <c r="I47" s="1592">
        <f t="shared" si="5"/>
        <v>6170546.71</v>
      </c>
    </row>
    <row r="48" spans="1:9" s="232" customFormat="1" ht="14.4" x14ac:dyDescent="0.3">
      <c r="A48" s="1587" t="s">
        <v>112</v>
      </c>
      <c r="B48" s="1588" t="s">
        <v>288</v>
      </c>
      <c r="C48" s="1161" t="s">
        <v>253</v>
      </c>
      <c r="D48" s="1589"/>
      <c r="E48" s="1590">
        <v>1379161.41</v>
      </c>
      <c r="F48" s="1590">
        <v>570316.82999999996</v>
      </c>
      <c r="G48" s="1591"/>
      <c r="H48" s="1592">
        <f t="shared" si="4"/>
        <v>1949478.2399999998</v>
      </c>
      <c r="I48" s="1592">
        <f t="shared" si="5"/>
        <v>570316.82999999996</v>
      </c>
    </row>
    <row r="49" spans="1:9" s="232" customFormat="1" ht="14.4" x14ac:dyDescent="0.3">
      <c r="A49" s="1587" t="s">
        <v>114</v>
      </c>
      <c r="B49" s="1588" t="s">
        <v>115</v>
      </c>
      <c r="C49" s="1161" t="s">
        <v>253</v>
      </c>
      <c r="D49" s="1589"/>
      <c r="E49" s="1590">
        <v>54119.28</v>
      </c>
      <c r="F49" s="1590">
        <v>33480.720000000001</v>
      </c>
      <c r="G49" s="1591"/>
      <c r="H49" s="1592">
        <f t="shared" si="4"/>
        <v>87600</v>
      </c>
      <c r="I49" s="1592">
        <f t="shared" si="5"/>
        <v>33480.720000000001</v>
      </c>
    </row>
    <row r="50" spans="1:9" s="232" customFormat="1" ht="14.4" x14ac:dyDescent="0.3">
      <c r="A50" s="1587" t="s">
        <v>118</v>
      </c>
      <c r="B50" s="1588" t="s">
        <v>119</v>
      </c>
      <c r="C50" s="1161" t="s">
        <v>252</v>
      </c>
      <c r="D50" s="1589"/>
      <c r="E50" s="1590">
        <v>220968.62</v>
      </c>
      <c r="F50" s="1590">
        <v>119432.97</v>
      </c>
      <c r="G50" s="1591"/>
      <c r="H50" s="1592">
        <f t="shared" si="4"/>
        <v>340401.58999999997</v>
      </c>
      <c r="I50" s="1592">
        <f t="shared" si="5"/>
        <v>119432.97</v>
      </c>
    </row>
    <row r="51" spans="1:9" s="232" customFormat="1" ht="14.4" x14ac:dyDescent="0.3">
      <c r="A51" s="1587" t="s">
        <v>120</v>
      </c>
      <c r="B51" s="1588" t="s">
        <v>121</v>
      </c>
      <c r="C51" s="1161" t="s">
        <v>252</v>
      </c>
      <c r="D51" s="1589"/>
      <c r="E51" s="1590">
        <v>778832.29</v>
      </c>
      <c r="F51" s="1590">
        <v>561298.79</v>
      </c>
      <c r="G51" s="1591"/>
      <c r="H51" s="1592">
        <f t="shared" si="4"/>
        <v>1340131.08</v>
      </c>
      <c r="I51" s="1592">
        <f t="shared" si="5"/>
        <v>561298.79</v>
      </c>
    </row>
    <row r="52" spans="1:9" s="232" customFormat="1" ht="14.4" x14ac:dyDescent="0.3">
      <c r="A52" s="1587" t="s">
        <v>122</v>
      </c>
      <c r="B52" s="1588" t="s">
        <v>259</v>
      </c>
      <c r="C52" s="1161" t="s">
        <v>254</v>
      </c>
      <c r="D52" s="1589"/>
      <c r="E52" s="1590">
        <v>289524.71999999997</v>
      </c>
      <c r="F52" s="1590">
        <v>138597.60999999999</v>
      </c>
      <c r="G52" s="1591"/>
      <c r="H52" s="1592">
        <f t="shared" si="4"/>
        <v>428122.32999999996</v>
      </c>
      <c r="I52" s="1592">
        <f t="shared" si="5"/>
        <v>138597.60999999999</v>
      </c>
    </row>
    <row r="53" spans="1:9" s="232" customFormat="1" ht="14.4" x14ac:dyDescent="0.3">
      <c r="A53" s="1587" t="s">
        <v>124</v>
      </c>
      <c r="B53" s="1588" t="s">
        <v>125</v>
      </c>
      <c r="C53" s="1161" t="s">
        <v>255</v>
      </c>
      <c r="D53" s="1589"/>
      <c r="E53" s="1590">
        <v>1549007.61</v>
      </c>
      <c r="F53" s="1590">
        <v>896239.66</v>
      </c>
      <c r="G53" s="1591"/>
      <c r="H53" s="1592">
        <f t="shared" si="4"/>
        <v>2445247.27</v>
      </c>
      <c r="I53" s="1592">
        <f t="shared" si="5"/>
        <v>896239.66</v>
      </c>
    </row>
    <row r="54" spans="1:9" s="232" customFormat="1" ht="14.4" x14ac:dyDescent="0.3">
      <c r="A54" s="1587" t="s">
        <v>126</v>
      </c>
      <c r="B54" s="1588" t="s">
        <v>127</v>
      </c>
      <c r="C54" s="1161" t="s">
        <v>254</v>
      </c>
      <c r="D54" s="1589"/>
      <c r="E54" s="1590">
        <v>688997.33</v>
      </c>
      <c r="F54" s="1590">
        <v>429947.67</v>
      </c>
      <c r="G54" s="1591"/>
      <c r="H54" s="1592">
        <f t="shared" si="4"/>
        <v>1118945</v>
      </c>
      <c r="I54" s="1592">
        <f t="shared" si="5"/>
        <v>429947.67</v>
      </c>
    </row>
    <row r="55" spans="1:9" s="232" customFormat="1" ht="14.4" x14ac:dyDescent="0.3">
      <c r="A55" s="1587" t="s">
        <v>128</v>
      </c>
      <c r="B55" s="1588" t="s">
        <v>129</v>
      </c>
      <c r="C55" s="1161" t="s">
        <v>254</v>
      </c>
      <c r="D55" s="1589"/>
      <c r="E55" s="1590">
        <v>411117.74</v>
      </c>
      <c r="F55" s="1590">
        <v>331457.01</v>
      </c>
      <c r="G55" s="1591"/>
      <c r="H55" s="1592">
        <f t="shared" si="4"/>
        <v>742574.75</v>
      </c>
      <c r="I55" s="1592">
        <f t="shared" si="5"/>
        <v>331457.01</v>
      </c>
    </row>
    <row r="56" spans="1:9" s="232" customFormat="1" ht="14.4" x14ac:dyDescent="0.3">
      <c r="A56" s="1587" t="s">
        <v>130</v>
      </c>
      <c r="B56" s="1588" t="s">
        <v>131</v>
      </c>
      <c r="C56" s="1161" t="s">
        <v>256</v>
      </c>
      <c r="D56" s="1589"/>
      <c r="E56" s="1590">
        <v>1182354.75</v>
      </c>
      <c r="F56" s="1590">
        <v>305481.99</v>
      </c>
      <c r="G56" s="1591"/>
      <c r="H56" s="1592">
        <f t="shared" si="4"/>
        <v>1487836.74</v>
      </c>
      <c r="I56" s="1592">
        <f t="shared" si="5"/>
        <v>305481.99</v>
      </c>
    </row>
    <row r="57" spans="1:9" s="232" customFormat="1" ht="14.4" x14ac:dyDescent="0.3">
      <c r="A57" s="1587" t="s">
        <v>132</v>
      </c>
      <c r="B57" s="1588" t="s">
        <v>133</v>
      </c>
      <c r="C57" s="1161" t="s">
        <v>255</v>
      </c>
      <c r="D57" s="1589"/>
      <c r="E57" s="1590">
        <v>3446737.72</v>
      </c>
      <c r="F57" s="1590">
        <v>2909090.99</v>
      </c>
      <c r="G57" s="1591"/>
      <c r="H57" s="1592">
        <f t="shared" si="4"/>
        <v>6355828.7100000009</v>
      </c>
      <c r="I57" s="1592">
        <f t="shared" si="5"/>
        <v>2909090.99</v>
      </c>
    </row>
    <row r="58" spans="1:9" s="232" customFormat="1" ht="14.4" x14ac:dyDescent="0.3">
      <c r="A58" s="1587" t="s">
        <v>134</v>
      </c>
      <c r="B58" s="1588" t="s">
        <v>135</v>
      </c>
      <c r="C58" s="1161" t="s">
        <v>255</v>
      </c>
      <c r="D58" s="1589"/>
      <c r="E58" s="1590">
        <v>1721007.03</v>
      </c>
      <c r="F58" s="1590">
        <v>1346442.13</v>
      </c>
      <c r="G58" s="1591"/>
      <c r="H58" s="1592">
        <f t="shared" si="4"/>
        <v>3067449.16</v>
      </c>
      <c r="I58" s="1592">
        <f t="shared" si="5"/>
        <v>1346442.13</v>
      </c>
    </row>
    <row r="59" spans="1:9" s="232" customFormat="1" ht="14.4" x14ac:dyDescent="0.3">
      <c r="A59" s="1587" t="s">
        <v>136</v>
      </c>
      <c r="B59" s="1588" t="s">
        <v>137</v>
      </c>
      <c r="C59" s="1161" t="s">
        <v>254</v>
      </c>
      <c r="D59" s="1589"/>
      <c r="E59" s="1590">
        <v>1028559.42</v>
      </c>
      <c r="F59" s="1590">
        <v>190013.88</v>
      </c>
      <c r="G59" s="1591"/>
      <c r="H59" s="1592">
        <f t="shared" si="4"/>
        <v>1218573.3</v>
      </c>
      <c r="I59" s="1592">
        <f t="shared" si="5"/>
        <v>190013.88</v>
      </c>
    </row>
    <row r="60" spans="1:9" s="232" customFormat="1" ht="14.4" x14ac:dyDescent="0.3">
      <c r="A60" s="1587" t="s">
        <v>140</v>
      </c>
      <c r="B60" s="1588" t="s">
        <v>141</v>
      </c>
      <c r="C60" s="1161" t="s">
        <v>255</v>
      </c>
      <c r="D60" s="1589"/>
      <c r="E60" s="1590">
        <v>1456050.69</v>
      </c>
      <c r="F60" s="1590">
        <v>657742.49</v>
      </c>
      <c r="G60" s="1591"/>
      <c r="H60" s="1592">
        <f t="shared" si="4"/>
        <v>2113793.1799999997</v>
      </c>
      <c r="I60" s="1592">
        <f t="shared" si="5"/>
        <v>657742.49</v>
      </c>
    </row>
    <row r="61" spans="1:9" s="232" customFormat="1" ht="14.4" x14ac:dyDescent="0.3">
      <c r="A61" s="1587" t="s">
        <v>146</v>
      </c>
      <c r="B61" s="1588" t="s">
        <v>147</v>
      </c>
      <c r="C61" s="1161" t="s">
        <v>252</v>
      </c>
      <c r="D61" s="1589"/>
      <c r="E61" s="1590">
        <v>270550.07</v>
      </c>
      <c r="F61" s="1590">
        <v>201206.24</v>
      </c>
      <c r="G61" s="1591"/>
      <c r="H61" s="1592">
        <f t="shared" si="4"/>
        <v>471756.31</v>
      </c>
      <c r="I61" s="1592">
        <f t="shared" si="5"/>
        <v>201206.24</v>
      </c>
    </row>
    <row r="62" spans="1:9" s="232" customFormat="1" ht="14.4" x14ac:dyDescent="0.3">
      <c r="A62" s="1587" t="s">
        <v>148</v>
      </c>
      <c r="B62" s="1588" t="s">
        <v>149</v>
      </c>
      <c r="C62" s="1161" t="s">
        <v>253</v>
      </c>
      <c r="D62" s="1589"/>
      <c r="E62" s="1590">
        <v>1758690.2</v>
      </c>
      <c r="F62" s="1590">
        <v>492705.78</v>
      </c>
      <c r="G62" s="1591"/>
      <c r="H62" s="1592">
        <f t="shared" si="4"/>
        <v>2251395.98</v>
      </c>
      <c r="I62" s="1592">
        <f t="shared" si="5"/>
        <v>492705.78</v>
      </c>
    </row>
    <row r="63" spans="1:9" s="232" customFormat="1" ht="14.4" x14ac:dyDescent="0.3">
      <c r="A63" s="1587" t="s">
        <v>150</v>
      </c>
      <c r="B63" s="1588" t="s">
        <v>151</v>
      </c>
      <c r="C63" s="1161" t="s">
        <v>254</v>
      </c>
      <c r="D63" s="1589"/>
      <c r="E63" s="1590">
        <v>448002.38</v>
      </c>
      <c r="F63" s="1590">
        <v>345282.35</v>
      </c>
      <c r="G63" s="1591"/>
      <c r="H63" s="1592">
        <f t="shared" si="4"/>
        <v>793284.73</v>
      </c>
      <c r="I63" s="1592">
        <f t="shared" si="5"/>
        <v>345282.35</v>
      </c>
    </row>
    <row r="64" spans="1:9" s="232" customFormat="1" ht="14.4" x14ac:dyDescent="0.3">
      <c r="A64" s="1587" t="s">
        <v>152</v>
      </c>
      <c r="B64" s="1588" t="s">
        <v>153</v>
      </c>
      <c r="C64" s="1161" t="s">
        <v>256</v>
      </c>
      <c r="D64" s="1589"/>
      <c r="E64" s="1590">
        <v>564302.1</v>
      </c>
      <c r="F64" s="1590">
        <v>222884.82</v>
      </c>
      <c r="G64" s="1591"/>
      <c r="H64" s="1592">
        <f t="shared" si="4"/>
        <v>787186.91999999993</v>
      </c>
      <c r="I64" s="1592">
        <f t="shared" si="5"/>
        <v>222884.82</v>
      </c>
    </row>
    <row r="65" spans="1:9" s="232" customFormat="1" ht="14.4" x14ac:dyDescent="0.3">
      <c r="A65" s="1587" t="s">
        <v>154</v>
      </c>
      <c r="B65" s="1588" t="s">
        <v>155</v>
      </c>
      <c r="C65" s="1161" t="s">
        <v>253</v>
      </c>
      <c r="D65" s="1589"/>
      <c r="E65" s="1590">
        <v>929265.76</v>
      </c>
      <c r="F65" s="1590">
        <v>407230.59</v>
      </c>
      <c r="G65" s="1591"/>
      <c r="H65" s="1592">
        <f t="shared" si="4"/>
        <v>1336496.3500000001</v>
      </c>
      <c r="I65" s="1592">
        <f t="shared" si="5"/>
        <v>407230.59</v>
      </c>
    </row>
    <row r="66" spans="1:9" s="232" customFormat="1" ht="14.4" x14ac:dyDescent="0.3">
      <c r="A66" s="1587" t="s">
        <v>156</v>
      </c>
      <c r="B66" s="1588" t="s">
        <v>157</v>
      </c>
      <c r="C66" s="1161" t="s">
        <v>254</v>
      </c>
      <c r="D66" s="1589"/>
      <c r="E66" s="1590">
        <v>302957.95</v>
      </c>
      <c r="F66" s="1590">
        <v>219790.59</v>
      </c>
      <c r="G66" s="1591"/>
      <c r="H66" s="1592">
        <f t="shared" si="4"/>
        <v>522748.54000000004</v>
      </c>
      <c r="I66" s="1592">
        <f t="shared" si="5"/>
        <v>219790.59</v>
      </c>
    </row>
    <row r="67" spans="1:9" s="232" customFormat="1" ht="14.4" x14ac:dyDescent="0.3">
      <c r="A67" s="1587" t="s">
        <v>162</v>
      </c>
      <c r="B67" s="1588" t="s">
        <v>163</v>
      </c>
      <c r="C67" s="1161" t="s">
        <v>252</v>
      </c>
      <c r="D67" s="1589"/>
      <c r="E67" s="1590">
        <v>435488.74</v>
      </c>
      <c r="F67" s="1590">
        <v>109047.93</v>
      </c>
      <c r="G67" s="1591"/>
      <c r="H67" s="1592">
        <f t="shared" si="4"/>
        <v>544536.66999999993</v>
      </c>
      <c r="I67" s="1592">
        <f t="shared" si="5"/>
        <v>109047.93</v>
      </c>
    </row>
    <row r="68" spans="1:9" s="232" customFormat="1" ht="14.4" x14ac:dyDescent="0.3">
      <c r="A68" s="1587" t="s">
        <v>164</v>
      </c>
      <c r="B68" s="1588" t="s">
        <v>165</v>
      </c>
      <c r="C68" s="1161" t="s">
        <v>254</v>
      </c>
      <c r="D68" s="1589"/>
      <c r="E68" s="1590">
        <v>236550.32</v>
      </c>
      <c r="F68" s="1590">
        <v>117961.42</v>
      </c>
      <c r="G68" s="1591"/>
      <c r="H68" s="1592">
        <f t="shared" si="4"/>
        <v>354511.74</v>
      </c>
      <c r="I68" s="1592">
        <f t="shared" si="5"/>
        <v>117961.42</v>
      </c>
    </row>
    <row r="69" spans="1:9" s="232" customFormat="1" ht="14.4" x14ac:dyDescent="0.3">
      <c r="A69" s="1587" t="s">
        <v>168</v>
      </c>
      <c r="B69" s="1588" t="s">
        <v>169</v>
      </c>
      <c r="C69" s="1161" t="s">
        <v>254</v>
      </c>
      <c r="D69" s="1589"/>
      <c r="E69" s="1590">
        <v>661456.9</v>
      </c>
      <c r="F69" s="1590">
        <v>264905.27</v>
      </c>
      <c r="G69" s="1591"/>
      <c r="H69" s="1592">
        <f t="shared" ref="H69:H100" si="6">SUM(D69:G69)</f>
        <v>926362.17</v>
      </c>
      <c r="I69" s="1592">
        <f t="shared" ref="I69:I100" si="7">F69+G69</f>
        <v>264905.27</v>
      </c>
    </row>
    <row r="70" spans="1:9" s="232" customFormat="1" ht="14.4" x14ac:dyDescent="0.3">
      <c r="A70" s="1587" t="s">
        <v>170</v>
      </c>
      <c r="B70" s="1588" t="s">
        <v>171</v>
      </c>
      <c r="C70" s="1161" t="s">
        <v>255</v>
      </c>
      <c r="D70" s="1589"/>
      <c r="E70" s="1590">
        <v>1882657.3</v>
      </c>
      <c r="F70" s="1590">
        <v>1123564.98</v>
      </c>
      <c r="G70" s="1591"/>
      <c r="H70" s="1592">
        <f t="shared" si="6"/>
        <v>3006222.2800000003</v>
      </c>
      <c r="I70" s="1592">
        <f t="shared" si="7"/>
        <v>1123564.98</v>
      </c>
    </row>
    <row r="71" spans="1:9" s="232" customFormat="1" ht="14.4" x14ac:dyDescent="0.3">
      <c r="A71" s="1587" t="s">
        <v>172</v>
      </c>
      <c r="B71" s="1588" t="s">
        <v>173</v>
      </c>
      <c r="C71" s="1161" t="s">
        <v>255</v>
      </c>
      <c r="D71" s="1589"/>
      <c r="E71" s="1590">
        <v>633077.55000000005</v>
      </c>
      <c r="F71" s="1590">
        <v>254992.28</v>
      </c>
      <c r="G71" s="1591"/>
      <c r="H71" s="1592">
        <f t="shared" si="6"/>
        <v>888069.83000000007</v>
      </c>
      <c r="I71" s="1592">
        <f t="shared" si="7"/>
        <v>254992.28</v>
      </c>
    </row>
    <row r="72" spans="1:9" s="232" customFormat="1" ht="14.4" x14ac:dyDescent="0.3">
      <c r="A72" s="1587" t="s">
        <v>174</v>
      </c>
      <c r="B72" s="1588" t="s">
        <v>175</v>
      </c>
      <c r="C72" s="1161" t="s">
        <v>256</v>
      </c>
      <c r="D72" s="1589"/>
      <c r="E72" s="1590">
        <v>501550.8</v>
      </c>
      <c r="F72" s="1590">
        <v>170675.43</v>
      </c>
      <c r="G72" s="1591"/>
      <c r="H72" s="1592">
        <f t="shared" si="6"/>
        <v>672226.23</v>
      </c>
      <c r="I72" s="1592">
        <f t="shared" si="7"/>
        <v>170675.43</v>
      </c>
    </row>
    <row r="73" spans="1:9" s="232" customFormat="1" ht="14.4" x14ac:dyDescent="0.3">
      <c r="A73" s="1587" t="s">
        <v>178</v>
      </c>
      <c r="B73" s="1588" t="s">
        <v>179</v>
      </c>
      <c r="C73" s="1161" t="s">
        <v>253</v>
      </c>
      <c r="D73" s="1589"/>
      <c r="E73" s="1590">
        <v>4335314.21</v>
      </c>
      <c r="F73" s="1590">
        <v>1177678.23</v>
      </c>
      <c r="G73" s="1591"/>
      <c r="H73" s="1592">
        <f t="shared" si="6"/>
        <v>5512992.4399999995</v>
      </c>
      <c r="I73" s="1592">
        <f t="shared" si="7"/>
        <v>1177678.23</v>
      </c>
    </row>
    <row r="74" spans="1:9" s="232" customFormat="1" ht="14.4" x14ac:dyDescent="0.3">
      <c r="A74" s="1587" t="s">
        <v>182</v>
      </c>
      <c r="B74" s="1588" t="s">
        <v>183</v>
      </c>
      <c r="C74" s="1161" t="s">
        <v>254</v>
      </c>
      <c r="D74" s="1589"/>
      <c r="E74" s="1590">
        <v>940925.64</v>
      </c>
      <c r="F74" s="1590">
        <v>689627.63</v>
      </c>
      <c r="G74" s="1591"/>
      <c r="H74" s="1592">
        <f t="shared" si="6"/>
        <v>1630553.27</v>
      </c>
      <c r="I74" s="1592">
        <f t="shared" si="7"/>
        <v>689627.63</v>
      </c>
    </row>
    <row r="75" spans="1:9" s="232" customFormat="1" ht="14.4" x14ac:dyDescent="0.3">
      <c r="A75" s="1587" t="s">
        <v>184</v>
      </c>
      <c r="B75" s="1588" t="s">
        <v>185</v>
      </c>
      <c r="C75" s="1161" t="s">
        <v>254</v>
      </c>
      <c r="D75" s="1589"/>
      <c r="E75" s="1590">
        <v>421449.6</v>
      </c>
      <c r="F75" s="1590">
        <v>117450.63</v>
      </c>
      <c r="G75" s="1591"/>
      <c r="H75" s="1592">
        <f t="shared" si="6"/>
        <v>538900.23</v>
      </c>
      <c r="I75" s="1592">
        <f t="shared" si="7"/>
        <v>117450.63</v>
      </c>
    </row>
    <row r="76" spans="1:9" s="232" customFormat="1" ht="14.4" x14ac:dyDescent="0.3">
      <c r="A76" s="1587" t="s">
        <v>186</v>
      </c>
      <c r="B76" s="1588" t="s">
        <v>187</v>
      </c>
      <c r="C76" s="1161" t="s">
        <v>252</v>
      </c>
      <c r="D76" s="1589"/>
      <c r="E76" s="1590">
        <v>1399325.47</v>
      </c>
      <c r="F76" s="1590">
        <v>836907</v>
      </c>
      <c r="G76" s="1591"/>
      <c r="H76" s="1592">
        <f t="shared" si="6"/>
        <v>2236232.4699999997</v>
      </c>
      <c r="I76" s="1592">
        <f t="shared" si="7"/>
        <v>836907</v>
      </c>
    </row>
    <row r="77" spans="1:9" s="232" customFormat="1" ht="14.4" x14ac:dyDescent="0.3">
      <c r="A77" s="1587" t="s">
        <v>188</v>
      </c>
      <c r="B77" s="1588" t="s">
        <v>189</v>
      </c>
      <c r="C77" s="1161" t="s">
        <v>255</v>
      </c>
      <c r="D77" s="1589"/>
      <c r="E77" s="1590">
        <v>11626866.9</v>
      </c>
      <c r="F77" s="1590">
        <v>5778293.9800000004</v>
      </c>
      <c r="G77" s="1591"/>
      <c r="H77" s="1592">
        <f t="shared" si="6"/>
        <v>17405160.880000003</v>
      </c>
      <c r="I77" s="1592">
        <f t="shared" si="7"/>
        <v>5778293.9800000004</v>
      </c>
    </row>
    <row r="78" spans="1:9" s="232" customFormat="1" ht="14.4" x14ac:dyDescent="0.3">
      <c r="A78" s="1587" t="s">
        <v>190</v>
      </c>
      <c r="B78" s="1588" t="s">
        <v>191</v>
      </c>
      <c r="C78" s="1161" t="s">
        <v>256</v>
      </c>
      <c r="D78" s="1589"/>
      <c r="E78" s="1590">
        <v>1989339.18</v>
      </c>
      <c r="F78" s="1590">
        <v>752843.65</v>
      </c>
      <c r="G78" s="1591"/>
      <c r="H78" s="1592">
        <f t="shared" si="6"/>
        <v>2742182.83</v>
      </c>
      <c r="I78" s="1592">
        <f t="shared" si="7"/>
        <v>752843.65</v>
      </c>
    </row>
    <row r="79" spans="1:9" s="232" customFormat="1" ht="14.4" x14ac:dyDescent="0.3">
      <c r="A79" s="1587" t="s">
        <v>194</v>
      </c>
      <c r="B79" s="1588" t="s">
        <v>195</v>
      </c>
      <c r="C79" s="1161" t="s">
        <v>255</v>
      </c>
      <c r="D79" s="1589"/>
      <c r="E79" s="1590">
        <v>769442.71</v>
      </c>
      <c r="F79" s="1590">
        <v>536380.38</v>
      </c>
      <c r="G79" s="1591"/>
      <c r="H79" s="1592">
        <f t="shared" si="6"/>
        <v>1305823.0899999999</v>
      </c>
      <c r="I79" s="1592">
        <f t="shared" si="7"/>
        <v>536380.38</v>
      </c>
    </row>
    <row r="80" spans="1:9" s="232" customFormat="1" ht="14.4" x14ac:dyDescent="0.3">
      <c r="A80" s="1587" t="s">
        <v>198</v>
      </c>
      <c r="B80" s="1588" t="s">
        <v>199</v>
      </c>
      <c r="C80" s="1161" t="s">
        <v>254</v>
      </c>
      <c r="D80" s="1589"/>
      <c r="E80" s="1590">
        <v>344062.73</v>
      </c>
      <c r="F80" s="1590">
        <v>163770.07</v>
      </c>
      <c r="G80" s="1591"/>
      <c r="H80" s="1592">
        <f t="shared" si="6"/>
        <v>507832.8</v>
      </c>
      <c r="I80" s="1592">
        <f t="shared" si="7"/>
        <v>163770.07</v>
      </c>
    </row>
    <row r="81" spans="1:9" s="232" customFormat="1" ht="14.4" x14ac:dyDescent="0.3">
      <c r="A81" s="1587" t="s">
        <v>202</v>
      </c>
      <c r="B81" s="1588" t="s">
        <v>203</v>
      </c>
      <c r="C81" s="1161" t="s">
        <v>253</v>
      </c>
      <c r="D81" s="1589"/>
      <c r="E81" s="1590">
        <v>5274756.05</v>
      </c>
      <c r="F81" s="1590">
        <v>3612884.64</v>
      </c>
      <c r="G81" s="1591"/>
      <c r="H81" s="1592">
        <f t="shared" si="6"/>
        <v>8887640.6899999995</v>
      </c>
      <c r="I81" s="1592">
        <f t="shared" si="7"/>
        <v>3612884.64</v>
      </c>
    </row>
    <row r="82" spans="1:9" s="232" customFormat="1" ht="14.4" x14ac:dyDescent="0.3">
      <c r="A82" s="1587" t="s">
        <v>204</v>
      </c>
      <c r="B82" s="1588" t="s">
        <v>205</v>
      </c>
      <c r="C82" s="1161" t="s">
        <v>253</v>
      </c>
      <c r="D82" s="1589"/>
      <c r="E82" s="1590">
        <v>5653941.8799999999</v>
      </c>
      <c r="F82" s="1590">
        <v>1650306.95</v>
      </c>
      <c r="G82" s="1591"/>
      <c r="H82" s="1592">
        <f t="shared" si="6"/>
        <v>7304248.8300000001</v>
      </c>
      <c r="I82" s="1592">
        <f t="shared" si="7"/>
        <v>1650306.95</v>
      </c>
    </row>
    <row r="83" spans="1:9" s="232" customFormat="1" ht="14.4" x14ac:dyDescent="0.3">
      <c r="A83" s="1587" t="s">
        <v>206</v>
      </c>
      <c r="B83" s="1588" t="s">
        <v>207</v>
      </c>
      <c r="C83" s="1161" t="s">
        <v>255</v>
      </c>
      <c r="D83" s="1589"/>
      <c r="E83" s="1590">
        <v>6268469.1899999995</v>
      </c>
      <c r="F83" s="1590">
        <v>3359824.2</v>
      </c>
      <c r="G83" s="1591"/>
      <c r="H83" s="1592">
        <f t="shared" si="6"/>
        <v>9628293.3900000006</v>
      </c>
      <c r="I83" s="1592">
        <f t="shared" si="7"/>
        <v>3359824.2</v>
      </c>
    </row>
    <row r="84" spans="1:9" s="232" customFormat="1" ht="14.4" x14ac:dyDescent="0.3">
      <c r="A84" s="1587" t="s">
        <v>208</v>
      </c>
      <c r="B84" s="1588" t="s">
        <v>209</v>
      </c>
      <c r="C84" s="1161" t="s">
        <v>256</v>
      </c>
      <c r="D84" s="1589"/>
      <c r="E84" s="1590">
        <v>1181176.05</v>
      </c>
      <c r="F84" s="1590">
        <v>284668.12</v>
      </c>
      <c r="G84" s="1591"/>
      <c r="H84" s="1592">
        <f t="shared" si="6"/>
        <v>1465844.17</v>
      </c>
      <c r="I84" s="1592">
        <f t="shared" si="7"/>
        <v>284668.12</v>
      </c>
    </row>
    <row r="85" spans="1:9" s="232" customFormat="1" ht="14.4" x14ac:dyDescent="0.3">
      <c r="A85" s="1587" t="s">
        <v>210</v>
      </c>
      <c r="B85" s="1588" t="s">
        <v>211</v>
      </c>
      <c r="C85" s="1161" t="s">
        <v>256</v>
      </c>
      <c r="D85" s="1589"/>
      <c r="E85" s="1590">
        <v>772692.73</v>
      </c>
      <c r="F85" s="1590">
        <v>344369.97</v>
      </c>
      <c r="G85" s="1591"/>
      <c r="H85" s="1592">
        <f t="shared" si="6"/>
        <v>1117062.7</v>
      </c>
      <c r="I85" s="1592">
        <f t="shared" si="7"/>
        <v>344369.97</v>
      </c>
    </row>
    <row r="86" spans="1:9" s="232" customFormat="1" ht="14.4" x14ac:dyDescent="0.3">
      <c r="A86" s="1587" t="s">
        <v>212</v>
      </c>
      <c r="B86" s="1588" t="s">
        <v>213</v>
      </c>
      <c r="C86" s="1161" t="s">
        <v>255</v>
      </c>
      <c r="D86" s="1589"/>
      <c r="E86" s="1590">
        <v>2793149.91</v>
      </c>
      <c r="F86" s="1590">
        <v>1099825.8600000001</v>
      </c>
      <c r="G86" s="1591"/>
      <c r="H86" s="1592">
        <f t="shared" si="6"/>
        <v>3892975.7700000005</v>
      </c>
      <c r="I86" s="1592">
        <f t="shared" si="7"/>
        <v>1099825.8600000001</v>
      </c>
    </row>
    <row r="87" spans="1:9" s="232" customFormat="1" ht="14.4" x14ac:dyDescent="0.3">
      <c r="A87" s="1587" t="s">
        <v>214</v>
      </c>
      <c r="B87" s="1588" t="s">
        <v>215</v>
      </c>
      <c r="C87" s="1161" t="s">
        <v>256</v>
      </c>
      <c r="D87" s="1589"/>
      <c r="E87" s="1590">
        <v>1149016.27</v>
      </c>
      <c r="F87" s="1590">
        <v>326331.53999999998</v>
      </c>
      <c r="G87" s="1591"/>
      <c r="H87" s="1592">
        <f t="shared" si="6"/>
        <v>1475347.81</v>
      </c>
      <c r="I87" s="1592">
        <f t="shared" si="7"/>
        <v>326331.53999999998</v>
      </c>
    </row>
    <row r="88" spans="1:9" s="232" customFormat="1" ht="14.4" x14ac:dyDescent="0.3">
      <c r="A88" s="1587" t="s">
        <v>216</v>
      </c>
      <c r="B88" s="1588" t="s">
        <v>217</v>
      </c>
      <c r="C88" s="1161" t="s">
        <v>252</v>
      </c>
      <c r="D88" s="1589"/>
      <c r="E88" s="1590">
        <v>319039.37</v>
      </c>
      <c r="F88" s="1590">
        <v>151099.32</v>
      </c>
      <c r="G88" s="1591"/>
      <c r="H88" s="1592">
        <f t="shared" si="6"/>
        <v>470138.69</v>
      </c>
      <c r="I88" s="1592">
        <f t="shared" si="7"/>
        <v>151099.32</v>
      </c>
    </row>
    <row r="89" spans="1:9" s="232" customFormat="1" ht="14.4" x14ac:dyDescent="0.3">
      <c r="A89" s="1587" t="s">
        <v>218</v>
      </c>
      <c r="B89" s="1588" t="s">
        <v>219</v>
      </c>
      <c r="C89" s="1161" t="s">
        <v>255</v>
      </c>
      <c r="D89" s="1589"/>
      <c r="E89" s="1590">
        <v>6709316.8600000003</v>
      </c>
      <c r="F89" s="1590">
        <v>5465003.9900000002</v>
      </c>
      <c r="G89" s="1591"/>
      <c r="H89" s="1592">
        <f t="shared" si="6"/>
        <v>12174320.850000001</v>
      </c>
      <c r="I89" s="1592">
        <f t="shared" si="7"/>
        <v>5465003.9900000002</v>
      </c>
    </row>
    <row r="90" spans="1:9" s="232" customFormat="1" ht="14.4" x14ac:dyDescent="0.3">
      <c r="A90" s="1587" t="s">
        <v>220</v>
      </c>
      <c r="B90" s="1588" t="s">
        <v>221</v>
      </c>
      <c r="C90" s="1161" t="s">
        <v>255</v>
      </c>
      <c r="D90" s="1589"/>
      <c r="E90" s="1590">
        <v>3490638.12</v>
      </c>
      <c r="F90" s="1590">
        <v>2761220.71</v>
      </c>
      <c r="G90" s="1591"/>
      <c r="H90" s="1592">
        <f t="shared" si="6"/>
        <v>6251858.8300000001</v>
      </c>
      <c r="I90" s="1592">
        <f t="shared" si="7"/>
        <v>2761220.71</v>
      </c>
    </row>
    <row r="91" spans="1:9" s="232" customFormat="1" ht="14.4" x14ac:dyDescent="0.3">
      <c r="A91" s="1587" t="s">
        <v>224</v>
      </c>
      <c r="B91" s="1588" t="s">
        <v>225</v>
      </c>
      <c r="C91" s="1161" t="s">
        <v>252</v>
      </c>
      <c r="D91" s="1589"/>
      <c r="E91" s="1590">
        <v>121405.04</v>
      </c>
      <c r="F91" s="1590">
        <v>80230.960000000006</v>
      </c>
      <c r="G91" s="1591"/>
      <c r="H91" s="1592">
        <f t="shared" si="6"/>
        <v>201636</v>
      </c>
      <c r="I91" s="1592">
        <f t="shared" si="7"/>
        <v>80230.960000000006</v>
      </c>
    </row>
    <row r="92" spans="1:9" s="232" customFormat="1" ht="14.4" x14ac:dyDescent="0.3">
      <c r="A92" s="1587" t="s">
        <v>226</v>
      </c>
      <c r="B92" s="1588" t="s">
        <v>227</v>
      </c>
      <c r="C92" s="1161" t="s">
        <v>252</v>
      </c>
      <c r="D92" s="1589"/>
      <c r="E92" s="1590">
        <v>351747.46</v>
      </c>
      <c r="F92" s="1590">
        <v>112828.7</v>
      </c>
      <c r="G92" s="1591"/>
      <c r="H92" s="1592">
        <f t="shared" si="6"/>
        <v>464576.16000000003</v>
      </c>
      <c r="I92" s="1592">
        <f t="shared" si="7"/>
        <v>112828.7</v>
      </c>
    </row>
    <row r="93" spans="1:9" s="232" customFormat="1" ht="14.4" x14ac:dyDescent="0.3">
      <c r="A93" s="1587" t="s">
        <v>228</v>
      </c>
      <c r="B93" s="1588" t="s">
        <v>229</v>
      </c>
      <c r="C93" s="1161" t="s">
        <v>256</v>
      </c>
      <c r="D93" s="1589"/>
      <c r="E93" s="1590">
        <v>1633885.32</v>
      </c>
      <c r="F93" s="1590">
        <v>530385.59</v>
      </c>
      <c r="G93" s="1591"/>
      <c r="H93" s="1592">
        <f t="shared" si="6"/>
        <v>2164270.91</v>
      </c>
      <c r="I93" s="1592">
        <f t="shared" si="7"/>
        <v>530385.59</v>
      </c>
    </row>
    <row r="94" spans="1:9" s="232" customFormat="1" ht="14.4" x14ac:dyDescent="0.3">
      <c r="A94" s="1587" t="s">
        <v>232</v>
      </c>
      <c r="B94" s="1588" t="s">
        <v>233</v>
      </c>
      <c r="C94" s="1161" t="s">
        <v>255</v>
      </c>
      <c r="D94" s="1589"/>
      <c r="E94" s="1590">
        <v>1017610.39</v>
      </c>
      <c r="F94" s="1590">
        <v>627479.59</v>
      </c>
      <c r="G94" s="1591"/>
      <c r="H94" s="1592">
        <f t="shared" si="6"/>
        <v>1645089.98</v>
      </c>
      <c r="I94" s="1592">
        <f t="shared" si="7"/>
        <v>627479.59</v>
      </c>
    </row>
    <row r="95" spans="1:9" s="232" customFormat="1" ht="14.4" x14ac:dyDescent="0.3">
      <c r="A95" s="1587" t="s">
        <v>234</v>
      </c>
      <c r="B95" s="1588" t="s">
        <v>235</v>
      </c>
      <c r="C95" s="1161" t="s">
        <v>256</v>
      </c>
      <c r="D95" s="1589"/>
      <c r="E95" s="1590">
        <v>1120599.71</v>
      </c>
      <c r="F95" s="1590">
        <v>437914.28</v>
      </c>
      <c r="G95" s="1591"/>
      <c r="H95" s="1592">
        <f t="shared" si="6"/>
        <v>1558513.99</v>
      </c>
      <c r="I95" s="1592">
        <f t="shared" si="7"/>
        <v>437914.28</v>
      </c>
    </row>
    <row r="96" spans="1:9" s="232" customFormat="1" ht="14.4" x14ac:dyDescent="0.3">
      <c r="A96" s="1587" t="s">
        <v>236</v>
      </c>
      <c r="B96" s="1588" t="s">
        <v>237</v>
      </c>
      <c r="C96" s="1161" t="s">
        <v>254</v>
      </c>
      <c r="D96" s="1589"/>
      <c r="E96" s="1590">
        <v>1481591.96</v>
      </c>
      <c r="F96" s="1590">
        <v>658024.93000000005</v>
      </c>
      <c r="G96" s="1591"/>
      <c r="H96" s="1592">
        <f t="shared" si="6"/>
        <v>2139616.89</v>
      </c>
      <c r="I96" s="1592">
        <f t="shared" si="7"/>
        <v>658024.93000000005</v>
      </c>
    </row>
    <row r="97" spans="1:9" s="232" customFormat="1" ht="14.4" x14ac:dyDescent="0.3">
      <c r="A97" s="1587" t="s">
        <v>242</v>
      </c>
      <c r="B97" s="1588" t="s">
        <v>243</v>
      </c>
      <c r="C97" s="1161" t="s">
        <v>256</v>
      </c>
      <c r="D97" s="1589"/>
      <c r="E97" s="1590">
        <v>1217741.25</v>
      </c>
      <c r="F97" s="1590">
        <v>428437.74</v>
      </c>
      <c r="G97" s="1591"/>
      <c r="H97" s="1592">
        <f t="shared" si="6"/>
        <v>1646178.99</v>
      </c>
      <c r="I97" s="1592">
        <f t="shared" si="7"/>
        <v>428437.74</v>
      </c>
    </row>
    <row r="98" spans="1:9" s="232" customFormat="1" ht="14.4" x14ac:dyDescent="0.3">
      <c r="A98" s="1587" t="s">
        <v>244</v>
      </c>
      <c r="B98" s="1588" t="s">
        <v>245</v>
      </c>
      <c r="C98" s="1161" t="s">
        <v>256</v>
      </c>
      <c r="D98" s="1589"/>
      <c r="E98" s="1590">
        <v>1538349.18</v>
      </c>
      <c r="F98" s="1590">
        <v>553679.43000000005</v>
      </c>
      <c r="G98" s="1591"/>
      <c r="H98" s="1592">
        <f t="shared" si="6"/>
        <v>2092028.6099999999</v>
      </c>
      <c r="I98" s="1592">
        <f t="shared" si="7"/>
        <v>553679.43000000005</v>
      </c>
    </row>
    <row r="99" spans="1:9" s="232" customFormat="1" ht="14.4" x14ac:dyDescent="0.3">
      <c r="A99" s="1587" t="s">
        <v>246</v>
      </c>
      <c r="B99" s="1588" t="s">
        <v>298</v>
      </c>
      <c r="C99" s="1161" t="s">
        <v>252</v>
      </c>
      <c r="D99" s="1589"/>
      <c r="E99" s="1590">
        <v>1282869.18</v>
      </c>
      <c r="F99" s="1590">
        <v>700103.43</v>
      </c>
      <c r="G99" s="1591"/>
      <c r="H99" s="1592">
        <f t="shared" si="6"/>
        <v>1982972.6099999999</v>
      </c>
      <c r="I99" s="1592">
        <f t="shared" si="7"/>
        <v>700103.43</v>
      </c>
    </row>
    <row r="100" spans="1:9" s="232" customFormat="1" ht="14.4" x14ac:dyDescent="0.3">
      <c r="A100" s="1587" t="s">
        <v>14</v>
      </c>
      <c r="B100" s="1588" t="s">
        <v>15</v>
      </c>
      <c r="C100" s="1161" t="s">
        <v>255</v>
      </c>
      <c r="D100" s="1589"/>
      <c r="E100" s="1590">
        <v>3976432.13</v>
      </c>
      <c r="F100" s="1590">
        <v>3893166.45</v>
      </c>
      <c r="G100" s="1591"/>
      <c r="H100" s="1592">
        <f t="shared" si="6"/>
        <v>7869598.5800000001</v>
      </c>
      <c r="I100" s="1592">
        <f t="shared" si="7"/>
        <v>3893166.45</v>
      </c>
    </row>
    <row r="101" spans="1:9" s="232" customFormat="1" ht="14.4" x14ac:dyDescent="0.3">
      <c r="A101" s="1587" t="s">
        <v>34</v>
      </c>
      <c r="B101" s="1588" t="s">
        <v>35</v>
      </c>
      <c r="C101" s="1161" t="s">
        <v>256</v>
      </c>
      <c r="D101" s="1589"/>
      <c r="E101" s="1590">
        <v>1698511.28</v>
      </c>
      <c r="F101" s="1590">
        <v>600440.77</v>
      </c>
      <c r="G101" s="1591"/>
      <c r="H101" s="1592">
        <f t="shared" ref="H101:H124" si="8">SUM(D101:G101)</f>
        <v>2298952.0499999998</v>
      </c>
      <c r="I101" s="1592">
        <f t="shared" ref="I101:I124" si="9">F101+G101</f>
        <v>600440.77</v>
      </c>
    </row>
    <row r="102" spans="1:9" s="232" customFormat="1" ht="14.4" x14ac:dyDescent="0.3">
      <c r="A102" s="1587" t="s">
        <v>52</v>
      </c>
      <c r="B102" s="1588" t="s">
        <v>53</v>
      </c>
      <c r="C102" s="1161" t="s">
        <v>253</v>
      </c>
      <c r="D102" s="1589"/>
      <c r="E102" s="1590">
        <v>6844250.4000000004</v>
      </c>
      <c r="F102" s="1590">
        <v>2586992.2400000002</v>
      </c>
      <c r="G102" s="1591"/>
      <c r="H102" s="1592">
        <f t="shared" si="8"/>
        <v>9431242.6400000006</v>
      </c>
      <c r="I102" s="1592">
        <f t="shared" si="9"/>
        <v>2586992.2400000002</v>
      </c>
    </row>
    <row r="103" spans="1:9" s="232" customFormat="1" ht="14.4" x14ac:dyDescent="0.3">
      <c r="A103" s="1587" t="s">
        <v>54</v>
      </c>
      <c r="B103" s="1588" t="s">
        <v>55</v>
      </c>
      <c r="C103" s="1161" t="s">
        <v>252</v>
      </c>
      <c r="D103" s="1589"/>
      <c r="E103" s="1590">
        <v>3117134.73</v>
      </c>
      <c r="F103" s="1590">
        <v>1740757.45</v>
      </c>
      <c r="G103" s="1591"/>
      <c r="H103" s="1592">
        <f t="shared" si="8"/>
        <v>4857892.18</v>
      </c>
      <c r="I103" s="1592">
        <f t="shared" si="9"/>
        <v>1740757.45</v>
      </c>
    </row>
    <row r="104" spans="1:9" s="232" customFormat="1" ht="14.4" x14ac:dyDescent="0.3">
      <c r="A104" s="1587" t="s">
        <v>66</v>
      </c>
      <c r="B104" s="1588" t="s">
        <v>67</v>
      </c>
      <c r="C104" s="1161" t="s">
        <v>253</v>
      </c>
      <c r="D104" s="1589"/>
      <c r="E104" s="1590">
        <v>3293232.53</v>
      </c>
      <c r="F104" s="1590">
        <v>884414.16</v>
      </c>
      <c r="G104" s="1591"/>
      <c r="H104" s="1592">
        <f t="shared" si="8"/>
        <v>4177646.69</v>
      </c>
      <c r="I104" s="1592">
        <f t="shared" si="9"/>
        <v>884414.16</v>
      </c>
    </row>
    <row r="105" spans="1:9" s="232" customFormat="1" ht="14.4" x14ac:dyDescent="0.3">
      <c r="A105" s="1587" t="s">
        <v>82</v>
      </c>
      <c r="B105" s="1588" t="s">
        <v>299</v>
      </c>
      <c r="C105" s="1161" t="s">
        <v>252</v>
      </c>
      <c r="D105" s="1589"/>
      <c r="E105" s="1590">
        <v>87797.81</v>
      </c>
      <c r="F105" s="1590">
        <v>52538.98</v>
      </c>
      <c r="G105" s="1591"/>
      <c r="H105" s="1592">
        <f t="shared" si="8"/>
        <v>140336.79</v>
      </c>
      <c r="I105" s="1592">
        <f t="shared" si="9"/>
        <v>52538.98</v>
      </c>
    </row>
    <row r="106" spans="1:9" s="232" customFormat="1" ht="14.4" x14ac:dyDescent="0.3">
      <c r="A106" s="1587" t="s">
        <v>88</v>
      </c>
      <c r="B106" s="1588" t="s">
        <v>89</v>
      </c>
      <c r="C106" s="1161" t="s">
        <v>255</v>
      </c>
      <c r="D106" s="1589"/>
      <c r="E106" s="1590">
        <v>2000750.64</v>
      </c>
      <c r="F106" s="1590">
        <v>1042960.65</v>
      </c>
      <c r="G106" s="1591"/>
      <c r="H106" s="1592">
        <f t="shared" si="8"/>
        <v>3043711.29</v>
      </c>
      <c r="I106" s="1592">
        <f t="shared" si="9"/>
        <v>1042960.65</v>
      </c>
    </row>
    <row r="107" spans="1:9" s="232" customFormat="1" ht="14.4" x14ac:dyDescent="0.3">
      <c r="A107" s="1587" t="s">
        <v>90</v>
      </c>
      <c r="B107" s="1588" t="s">
        <v>91</v>
      </c>
      <c r="C107" s="1161" t="s">
        <v>256</v>
      </c>
      <c r="D107" s="1589"/>
      <c r="E107" s="1590">
        <v>938567.94</v>
      </c>
      <c r="F107" s="1590">
        <v>413873.99</v>
      </c>
      <c r="G107" s="1591"/>
      <c r="H107" s="1592">
        <f t="shared" si="8"/>
        <v>1352441.93</v>
      </c>
      <c r="I107" s="1592">
        <f t="shared" si="9"/>
        <v>413873.99</v>
      </c>
    </row>
    <row r="108" spans="1:9" s="232" customFormat="1" ht="14.4" x14ac:dyDescent="0.3">
      <c r="A108" s="1587" t="s">
        <v>106</v>
      </c>
      <c r="B108" s="1588" t="s">
        <v>107</v>
      </c>
      <c r="C108" s="1161" t="s">
        <v>252</v>
      </c>
      <c r="D108" s="1589"/>
      <c r="E108" s="1590">
        <v>5054771.32</v>
      </c>
      <c r="F108" s="1590">
        <v>1355147.25</v>
      </c>
      <c r="G108" s="1591"/>
      <c r="H108" s="1592">
        <f t="shared" si="8"/>
        <v>6409918.5700000003</v>
      </c>
      <c r="I108" s="1592">
        <f t="shared" si="9"/>
        <v>1355147.25</v>
      </c>
    </row>
    <row r="109" spans="1:9" s="232" customFormat="1" ht="14.4" x14ac:dyDescent="0.3">
      <c r="A109" s="1587" t="s">
        <v>116</v>
      </c>
      <c r="B109" s="1588" t="s">
        <v>117</v>
      </c>
      <c r="C109" s="1161" t="s">
        <v>254</v>
      </c>
      <c r="D109" s="1589"/>
      <c r="E109" s="1590">
        <v>2518035.96</v>
      </c>
      <c r="F109" s="1590">
        <v>898959</v>
      </c>
      <c r="G109" s="1591"/>
      <c r="H109" s="1592">
        <f t="shared" si="8"/>
        <v>3416994.96</v>
      </c>
      <c r="I109" s="1592">
        <f t="shared" si="9"/>
        <v>898959</v>
      </c>
    </row>
    <row r="110" spans="1:9" s="232" customFormat="1" ht="14.4" x14ac:dyDescent="0.3">
      <c r="A110" s="1587" t="s">
        <v>138</v>
      </c>
      <c r="B110" s="1588" t="s">
        <v>139</v>
      </c>
      <c r="C110" s="1161" t="s">
        <v>253</v>
      </c>
      <c r="D110" s="1589"/>
      <c r="E110" s="1590">
        <v>4418477.53</v>
      </c>
      <c r="F110" s="1590">
        <v>1582823.43</v>
      </c>
      <c r="G110" s="1591"/>
      <c r="H110" s="1592">
        <f t="shared" si="8"/>
        <v>6001300.96</v>
      </c>
      <c r="I110" s="1592">
        <f t="shared" si="9"/>
        <v>1582823.43</v>
      </c>
    </row>
    <row r="111" spans="1:9" s="232" customFormat="1" ht="14.4" x14ac:dyDescent="0.3">
      <c r="A111" s="1587" t="s">
        <v>142</v>
      </c>
      <c r="B111" s="1588" t="s">
        <v>143</v>
      </c>
      <c r="C111" s="1161" t="s">
        <v>255</v>
      </c>
      <c r="D111" s="1589"/>
      <c r="E111" s="1590">
        <v>703238.13</v>
      </c>
      <c r="F111" s="1590">
        <v>484244.53</v>
      </c>
      <c r="G111" s="1591"/>
      <c r="H111" s="1592">
        <f t="shared" si="8"/>
        <v>1187482.6600000001</v>
      </c>
      <c r="I111" s="1592">
        <f t="shared" si="9"/>
        <v>484244.53</v>
      </c>
    </row>
    <row r="112" spans="1:9" s="232" customFormat="1" ht="14.4" x14ac:dyDescent="0.3">
      <c r="A112" s="1587" t="s">
        <v>144</v>
      </c>
      <c r="B112" s="1588" t="s">
        <v>145</v>
      </c>
      <c r="C112" s="1161" t="s">
        <v>255</v>
      </c>
      <c r="D112" s="1589"/>
      <c r="E112" s="1590">
        <v>489653.61</v>
      </c>
      <c r="F112" s="1590">
        <v>373624.8</v>
      </c>
      <c r="G112" s="1591"/>
      <c r="H112" s="1592">
        <f t="shared" si="8"/>
        <v>863278.40999999992</v>
      </c>
      <c r="I112" s="1592">
        <f t="shared" si="9"/>
        <v>373624.8</v>
      </c>
    </row>
    <row r="113" spans="1:9" s="232" customFormat="1" ht="14.4" x14ac:dyDescent="0.3">
      <c r="A113" s="1587" t="s">
        <v>158</v>
      </c>
      <c r="B113" s="1588" t="s">
        <v>159</v>
      </c>
      <c r="C113" s="1161" t="s">
        <v>252</v>
      </c>
      <c r="D113" s="1589"/>
      <c r="E113" s="1590">
        <v>5996903.0199999996</v>
      </c>
      <c r="F113" s="1590">
        <v>2180232.44</v>
      </c>
      <c r="G113" s="1591"/>
      <c r="H113" s="1592">
        <f t="shared" si="8"/>
        <v>8177135.459999999</v>
      </c>
      <c r="I113" s="1592">
        <f t="shared" si="9"/>
        <v>2180232.44</v>
      </c>
    </row>
    <row r="114" spans="1:9" s="232" customFormat="1" ht="14.4" x14ac:dyDescent="0.3">
      <c r="A114" s="1587" t="s">
        <v>160</v>
      </c>
      <c r="B114" s="1588" t="s">
        <v>161</v>
      </c>
      <c r="C114" s="1161" t="s">
        <v>252</v>
      </c>
      <c r="D114" s="1589"/>
      <c r="E114" s="1590">
        <v>8596074.7899999991</v>
      </c>
      <c r="F114" s="1590">
        <v>2570920.83</v>
      </c>
      <c r="G114" s="1591"/>
      <c r="H114" s="1592">
        <f t="shared" si="8"/>
        <v>11166995.619999999</v>
      </c>
      <c r="I114" s="1592">
        <f t="shared" si="9"/>
        <v>2570920.83</v>
      </c>
    </row>
    <row r="115" spans="1:9" s="232" customFormat="1" ht="14.4" x14ac:dyDescent="0.3">
      <c r="A115" s="1587" t="s">
        <v>166</v>
      </c>
      <c r="B115" s="1588" t="s">
        <v>167</v>
      </c>
      <c r="C115" s="1161" t="s">
        <v>256</v>
      </c>
      <c r="D115" s="1589"/>
      <c r="E115" s="1590">
        <v>90163.78</v>
      </c>
      <c r="F115" s="1590">
        <v>44040.87</v>
      </c>
      <c r="G115" s="1591"/>
      <c r="H115" s="1592">
        <f t="shared" si="8"/>
        <v>134204.65</v>
      </c>
      <c r="I115" s="1592">
        <f t="shared" si="9"/>
        <v>44040.87</v>
      </c>
    </row>
    <row r="116" spans="1:9" s="232" customFormat="1" ht="14.4" x14ac:dyDescent="0.3">
      <c r="A116" s="1587" t="s">
        <v>176</v>
      </c>
      <c r="B116" s="1588" t="s">
        <v>177</v>
      </c>
      <c r="C116" s="1161" t="s">
        <v>254</v>
      </c>
      <c r="D116" s="1589"/>
      <c r="E116" s="1590">
        <v>2641490.7599999998</v>
      </c>
      <c r="F116" s="1590">
        <v>1413825.11</v>
      </c>
      <c r="G116" s="1591"/>
      <c r="H116" s="1592">
        <f t="shared" si="8"/>
        <v>4055315.87</v>
      </c>
      <c r="I116" s="1592">
        <f t="shared" si="9"/>
        <v>1413825.11</v>
      </c>
    </row>
    <row r="117" spans="1:9" s="232" customFormat="1" ht="14.4" x14ac:dyDescent="0.3">
      <c r="A117" s="1587" t="s">
        <v>180</v>
      </c>
      <c r="B117" s="1588" t="s">
        <v>181</v>
      </c>
      <c r="C117" s="1161" t="s">
        <v>252</v>
      </c>
      <c r="D117" s="1589"/>
      <c r="E117" s="1590">
        <v>1184437.48</v>
      </c>
      <c r="F117" s="1590">
        <v>430607.69</v>
      </c>
      <c r="G117" s="1591"/>
      <c r="H117" s="1592">
        <f t="shared" si="8"/>
        <v>1615045.17</v>
      </c>
      <c r="I117" s="1592">
        <f t="shared" si="9"/>
        <v>430607.69</v>
      </c>
    </row>
    <row r="118" spans="1:9" s="232" customFormat="1" ht="14.4" x14ac:dyDescent="0.3">
      <c r="A118" s="1587" t="s">
        <v>192</v>
      </c>
      <c r="B118" s="1588" t="s">
        <v>193</v>
      </c>
      <c r="C118" s="1161" t="s">
        <v>256</v>
      </c>
      <c r="D118" s="1589"/>
      <c r="E118" s="1590">
        <v>663568.87</v>
      </c>
      <c r="F118" s="1590">
        <v>139950.31</v>
      </c>
      <c r="G118" s="1591"/>
      <c r="H118" s="1592">
        <f t="shared" si="8"/>
        <v>803519.17999999993</v>
      </c>
      <c r="I118" s="1592">
        <f t="shared" si="9"/>
        <v>139950.31</v>
      </c>
    </row>
    <row r="119" spans="1:9" s="232" customFormat="1" ht="14.4" x14ac:dyDescent="0.3">
      <c r="A119" s="1587" t="s">
        <v>196</v>
      </c>
      <c r="B119" s="1588" t="s">
        <v>300</v>
      </c>
      <c r="C119" s="1161" t="s">
        <v>254</v>
      </c>
      <c r="D119" s="1589"/>
      <c r="E119" s="1590">
        <v>9494958.2400000002</v>
      </c>
      <c r="F119" s="1590">
        <v>5580853.8799999999</v>
      </c>
      <c r="G119" s="1591"/>
      <c r="H119" s="1592">
        <f t="shared" si="8"/>
        <v>15075812.120000001</v>
      </c>
      <c r="I119" s="1592">
        <f t="shared" si="9"/>
        <v>5580853.8799999999</v>
      </c>
    </row>
    <row r="120" spans="1:9" s="232" customFormat="1" ht="14.4" x14ac:dyDescent="0.3">
      <c r="A120" s="1587" t="s">
        <v>200</v>
      </c>
      <c r="B120" s="1588" t="s">
        <v>301</v>
      </c>
      <c r="C120" s="1161" t="s">
        <v>253</v>
      </c>
      <c r="D120" s="1589"/>
      <c r="E120" s="1590">
        <v>7435991.1799999997</v>
      </c>
      <c r="F120" s="1590">
        <v>3306619.98</v>
      </c>
      <c r="G120" s="1591"/>
      <c r="H120" s="1592">
        <f t="shared" si="8"/>
        <v>10742611.16</v>
      </c>
      <c r="I120" s="1592">
        <f t="shared" si="9"/>
        <v>3306619.98</v>
      </c>
    </row>
    <row r="121" spans="1:9" s="232" customFormat="1" ht="14.4" x14ac:dyDescent="0.3">
      <c r="A121" s="1587" t="s">
        <v>222</v>
      </c>
      <c r="B121" s="1588" t="s">
        <v>223</v>
      </c>
      <c r="C121" s="1161" t="s">
        <v>252</v>
      </c>
      <c r="D121" s="1589"/>
      <c r="E121" s="1590">
        <v>1226103.8600000001</v>
      </c>
      <c r="F121" s="1590">
        <v>389011.35</v>
      </c>
      <c r="G121" s="1591"/>
      <c r="H121" s="1592">
        <f t="shared" si="8"/>
        <v>1615115.21</v>
      </c>
      <c r="I121" s="1592">
        <f t="shared" si="9"/>
        <v>389011.35</v>
      </c>
    </row>
    <row r="122" spans="1:9" s="232" customFormat="1" ht="14.4" x14ac:dyDescent="0.3">
      <c r="A122" s="1587" t="s">
        <v>230</v>
      </c>
      <c r="B122" s="1588" t="s">
        <v>231</v>
      </c>
      <c r="C122" s="1161" t="s">
        <v>252</v>
      </c>
      <c r="D122" s="1589"/>
      <c r="E122" s="1590">
        <v>7962085.1600000001</v>
      </c>
      <c r="F122" s="1590">
        <v>4030249.3</v>
      </c>
      <c r="G122" s="1591"/>
      <c r="H122" s="1592">
        <f t="shared" si="8"/>
        <v>11992334.460000001</v>
      </c>
      <c r="I122" s="1592">
        <f t="shared" si="9"/>
        <v>4030249.3</v>
      </c>
    </row>
    <row r="123" spans="1:9" s="232" customFormat="1" ht="14.4" x14ac:dyDescent="0.3">
      <c r="A123" s="1587" t="s">
        <v>238</v>
      </c>
      <c r="B123" s="1588" t="s">
        <v>239</v>
      </c>
      <c r="C123" s="1161" t="s">
        <v>252</v>
      </c>
      <c r="D123" s="1589"/>
      <c r="E123" s="1590">
        <v>230642.28</v>
      </c>
      <c r="F123" s="1590">
        <v>220112.43</v>
      </c>
      <c r="G123" s="1591"/>
      <c r="H123" s="1592">
        <f t="shared" si="8"/>
        <v>450754.70999999996</v>
      </c>
      <c r="I123" s="1592">
        <f t="shared" si="9"/>
        <v>220112.43</v>
      </c>
    </row>
    <row r="124" spans="1:9" s="232" customFormat="1" ht="14.4" x14ac:dyDescent="0.3">
      <c r="A124" s="1587" t="s">
        <v>240</v>
      </c>
      <c r="B124" s="1588" t="s">
        <v>241</v>
      </c>
      <c r="C124" s="1171" t="s">
        <v>255</v>
      </c>
      <c r="D124" s="1589"/>
      <c r="E124" s="1590">
        <v>1881595.21</v>
      </c>
      <c r="F124" s="1590">
        <v>1367575.99</v>
      </c>
      <c r="G124" s="1591"/>
      <c r="H124" s="1592">
        <f t="shared" si="8"/>
        <v>3249171.2</v>
      </c>
      <c r="I124" s="1592">
        <f t="shared" si="9"/>
        <v>1367575.99</v>
      </c>
    </row>
    <row r="125" spans="1:9" s="232" customFormat="1" ht="14.4" x14ac:dyDescent="0.3">
      <c r="A125" s="1555"/>
      <c r="B125" s="1555"/>
      <c r="C125" s="1555"/>
      <c r="D125" s="1593"/>
      <c r="E125" s="1593"/>
      <c r="F125" s="1593"/>
      <c r="G125" s="1593"/>
      <c r="H125" s="1593"/>
      <c r="I125" s="1593"/>
    </row>
    <row r="126" spans="1:9" s="232" customFormat="1" ht="14.4" x14ac:dyDescent="0.3">
      <c r="A126" s="1555" t="s">
        <v>254</v>
      </c>
      <c r="B126" s="1555"/>
      <c r="C126" s="1555"/>
      <c r="D126" s="1594">
        <v>0</v>
      </c>
      <c r="E126" s="1595">
        <v>51054208.409999989</v>
      </c>
      <c r="F126" s="1595">
        <v>28602776.469999999</v>
      </c>
      <c r="G126" s="1595">
        <v>0</v>
      </c>
      <c r="H126" s="1596">
        <f t="shared" ref="H126:H130" si="10">SUM(D126:G126)</f>
        <v>79656984.879999995</v>
      </c>
      <c r="I126" s="1597">
        <f t="shared" ref="I126:I130" si="11">F126+G126</f>
        <v>28602776.469999999</v>
      </c>
    </row>
    <row r="127" spans="1:9" s="232" customFormat="1" ht="14.4" x14ac:dyDescent="0.3">
      <c r="A127" s="1555" t="s">
        <v>252</v>
      </c>
      <c r="B127" s="1555"/>
      <c r="C127" s="1555"/>
      <c r="D127" s="1594">
        <v>0</v>
      </c>
      <c r="E127" s="1595">
        <v>42463049.150000006</v>
      </c>
      <c r="F127" s="1595">
        <v>17430973.039999999</v>
      </c>
      <c r="G127" s="1595">
        <v>0</v>
      </c>
      <c r="H127" s="1596">
        <f t="shared" si="10"/>
        <v>59894022.190000005</v>
      </c>
      <c r="I127" s="1597">
        <f t="shared" si="11"/>
        <v>17430973.039999999</v>
      </c>
    </row>
    <row r="128" spans="1:9" s="232" customFormat="1" ht="14.4" x14ac:dyDescent="0.3">
      <c r="A128" s="1555" t="s">
        <v>255</v>
      </c>
      <c r="B128" s="1555"/>
      <c r="C128" s="1555"/>
      <c r="D128" s="1594">
        <v>0</v>
      </c>
      <c r="E128" s="1595">
        <v>83277431.639999971</v>
      </c>
      <c r="F128" s="1595">
        <v>56761641.620000012</v>
      </c>
      <c r="G128" s="1595">
        <v>0</v>
      </c>
      <c r="H128" s="1596">
        <f t="shared" si="10"/>
        <v>140039073.25999999</v>
      </c>
      <c r="I128" s="1597">
        <f t="shared" si="11"/>
        <v>56761641.620000012</v>
      </c>
    </row>
    <row r="129" spans="1:9" s="232" customFormat="1" ht="14.4" x14ac:dyDescent="0.3">
      <c r="A129" s="1555" t="s">
        <v>253</v>
      </c>
      <c r="B129" s="1555"/>
      <c r="C129" s="1555"/>
      <c r="D129" s="1594">
        <v>0</v>
      </c>
      <c r="E129" s="1595">
        <v>76028206.919999987</v>
      </c>
      <c r="F129" s="1595">
        <v>31109114.640000001</v>
      </c>
      <c r="G129" s="1595">
        <v>0</v>
      </c>
      <c r="H129" s="1596">
        <f t="shared" si="10"/>
        <v>107137321.55999999</v>
      </c>
      <c r="I129" s="1597">
        <f t="shared" si="11"/>
        <v>31109114.640000001</v>
      </c>
    </row>
    <row r="130" spans="1:9" s="232" customFormat="1" ht="14.4" x14ac:dyDescent="0.3">
      <c r="A130" s="1555" t="s">
        <v>256</v>
      </c>
      <c r="B130" s="1555"/>
      <c r="C130" s="1555"/>
      <c r="D130" s="1594">
        <v>0</v>
      </c>
      <c r="E130" s="1595">
        <v>23300680.660000008</v>
      </c>
      <c r="F130" s="1598">
        <v>8180179.6699999999</v>
      </c>
      <c r="G130" s="1595">
        <v>0</v>
      </c>
      <c r="H130" s="1596">
        <f t="shared" si="10"/>
        <v>31480860.330000006</v>
      </c>
      <c r="I130" s="1597">
        <f t="shared" si="11"/>
        <v>8180179.6699999999</v>
      </c>
    </row>
    <row r="131" spans="1:9" s="232" customFormat="1" ht="14.4" x14ac:dyDescent="0.3">
      <c r="A131" s="1555" t="s">
        <v>9</v>
      </c>
      <c r="B131" s="1555"/>
      <c r="C131" s="1555"/>
      <c r="D131" s="1556">
        <f>SUM(D126:D130)</f>
        <v>0</v>
      </c>
      <c r="E131" s="1598">
        <f>SUM(E126:E130)</f>
        <v>276123576.77999997</v>
      </c>
      <c r="F131" s="1598">
        <f>SUM(F126:F130)</f>
        <v>142084685.44</v>
      </c>
      <c r="G131" s="1598">
        <v>0</v>
      </c>
      <c r="H131" s="1596">
        <f t="shared" ref="H131" si="12">SUM(D131:G131)</f>
        <v>418208262.21999997</v>
      </c>
      <c r="I131" s="1597">
        <f t="shared" ref="I131" si="13">F131+G131</f>
        <v>142084685.44</v>
      </c>
    </row>
    <row r="132" spans="1:9" s="232" customFormat="1" x14ac:dyDescent="0.3">
      <c r="D132" s="1152"/>
      <c r="E132" s="862"/>
      <c r="F132" s="862"/>
      <c r="G132" s="862"/>
      <c r="H132" s="1057"/>
      <c r="I132" s="1057"/>
    </row>
    <row r="133" spans="1:9" s="232" customFormat="1" x14ac:dyDescent="0.3">
      <c r="D133" s="862"/>
      <c r="E133" s="862"/>
      <c r="F133" s="862"/>
      <c r="G133" s="862"/>
      <c r="H133" s="862"/>
      <c r="I133" s="862"/>
    </row>
    <row r="134" spans="1:9" s="863" customFormat="1" ht="15.6" x14ac:dyDescent="0.3">
      <c r="A134" s="839" t="s">
        <v>1094</v>
      </c>
      <c r="B134" s="864"/>
      <c r="C134" s="864"/>
    </row>
    <row r="135" spans="1:9" s="863" customFormat="1" x14ac:dyDescent="0.3"/>
    <row r="136" spans="1:9" s="182" customFormat="1" x14ac:dyDescent="0.3">
      <c r="A136" s="182" t="s">
        <v>248</v>
      </c>
    </row>
    <row r="137" spans="1:9" x14ac:dyDescent="0.3">
      <c r="A137" s="188" t="s">
        <v>249</v>
      </c>
      <c r="B137" s="167" t="s">
        <v>250</v>
      </c>
      <c r="C137" s="167"/>
    </row>
  </sheetData>
  <autoFilter ref="A3:I124"/>
  <sortState ref="A5:I124">
    <sortCondition ref="A5:A124"/>
  </sortState>
  <hyperlinks>
    <hyperlink ref="B137" r:id="rId1"/>
  </hyperlinks>
  <pageMargins left="0.7" right="0.7" top="0.75" bottom="0.75" header="0.3" footer="0.3"/>
  <pageSetup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146"/>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ColWidth="9" defaultRowHeight="15.6" x14ac:dyDescent="0.3"/>
  <cols>
    <col min="1" max="1" width="9.09765625" style="263" customWidth="1"/>
    <col min="2" max="2" width="33" style="263" customWidth="1"/>
    <col min="3" max="3" width="17.09765625" style="263" customWidth="1"/>
    <col min="4" max="4" width="22.69921875" style="263" customWidth="1"/>
    <col min="5" max="6" width="14.09765625" style="263" customWidth="1"/>
    <col min="7" max="7" width="13.5" style="263" customWidth="1"/>
    <col min="8" max="9" width="14.5" style="263" bestFit="1" customWidth="1"/>
    <col min="10" max="10" width="13.5" style="263" bestFit="1" customWidth="1"/>
    <col min="11" max="11" width="13.5" style="263" customWidth="1"/>
    <col min="12" max="14" width="16" style="263" bestFit="1" customWidth="1"/>
    <col min="15" max="15" width="15.296875" style="263" customWidth="1"/>
    <col min="16" max="16384" width="9" style="263"/>
  </cols>
  <sheetData>
    <row r="1" spans="1:15" x14ac:dyDescent="0.3">
      <c r="A1" s="254" t="s">
        <v>1097</v>
      </c>
      <c r="B1" s="691"/>
      <c r="C1" s="692"/>
      <c r="D1" s="692"/>
    </row>
    <row r="2" spans="1:15" x14ac:dyDescent="0.3">
      <c r="A2" s="692"/>
      <c r="B2" s="692"/>
      <c r="C2" s="692"/>
      <c r="D2" s="692"/>
      <c r="E2" s="693"/>
      <c r="F2" s="693"/>
      <c r="G2" s="693"/>
      <c r="H2" s="693"/>
      <c r="I2" s="693"/>
      <c r="J2" s="693"/>
      <c r="K2" s="693"/>
      <c r="L2" s="693"/>
      <c r="M2" s="693"/>
      <c r="N2" s="693"/>
    </row>
    <row r="3" spans="1:15" ht="36.75" customHeight="1" x14ac:dyDescent="0.3">
      <c r="A3" s="615" t="s">
        <v>4</v>
      </c>
      <c r="B3" s="697" t="s">
        <v>5</v>
      </c>
      <c r="C3" s="1476" t="s">
        <v>251</v>
      </c>
      <c r="D3" s="1478" t="s">
        <v>524</v>
      </c>
      <c r="E3" s="1479" t="s">
        <v>302</v>
      </c>
      <c r="F3" s="1479" t="s">
        <v>303</v>
      </c>
      <c r="G3" s="1480" t="s">
        <v>304</v>
      </c>
      <c r="H3" s="1490" t="s">
        <v>458</v>
      </c>
      <c r="I3" s="1491" t="s">
        <v>459</v>
      </c>
      <c r="J3" s="1491" t="s">
        <v>460</v>
      </c>
      <c r="K3" s="1492" t="s">
        <v>892</v>
      </c>
      <c r="L3" s="1490" t="s">
        <v>461</v>
      </c>
      <c r="M3" s="1491" t="s">
        <v>307</v>
      </c>
      <c r="N3" s="1491" t="s">
        <v>457</v>
      </c>
      <c r="O3" s="1500" t="s">
        <v>686</v>
      </c>
    </row>
    <row r="4" spans="1:15" x14ac:dyDescent="0.3">
      <c r="A4" s="608">
        <v>999</v>
      </c>
      <c r="B4" s="694" t="s">
        <v>9</v>
      </c>
      <c r="C4" s="694"/>
      <c r="D4" s="1481">
        <f t="shared" ref="D4:O4" si="0">SUM(D5:D124)</f>
        <v>10142161787.882225</v>
      </c>
      <c r="E4" s="1482">
        <f t="shared" si="0"/>
        <v>5218493263.2068291</v>
      </c>
      <c r="F4" s="1482">
        <f t="shared" si="0"/>
        <v>4908069420.6753922</v>
      </c>
      <c r="G4" s="1483">
        <f t="shared" si="0"/>
        <v>15599104.000000004</v>
      </c>
      <c r="H4" s="1481">
        <f t="shared" si="0"/>
        <v>387927287.54136586</v>
      </c>
      <c r="I4" s="1482">
        <f t="shared" si="0"/>
        <v>341376013.03640193</v>
      </c>
      <c r="J4" s="1482">
        <f t="shared" si="0"/>
        <v>46550991.044963896</v>
      </c>
      <c r="K4" s="1483">
        <f t="shared" si="0"/>
        <v>283.45999999999998</v>
      </c>
      <c r="L4" s="1481">
        <f t="shared" si="0"/>
        <v>9754234500.3408546</v>
      </c>
      <c r="M4" s="1482">
        <f t="shared" si="0"/>
        <v>4877117250.1704273</v>
      </c>
      <c r="N4" s="1482">
        <f t="shared" si="0"/>
        <v>4861518429.6304264</v>
      </c>
      <c r="O4" s="1501">
        <f t="shared" si="0"/>
        <v>15598820.540000003</v>
      </c>
    </row>
    <row r="5" spans="1:15" x14ac:dyDescent="0.3">
      <c r="A5" s="609" t="s">
        <v>10</v>
      </c>
      <c r="B5" s="695" t="s">
        <v>11</v>
      </c>
      <c r="C5" s="1477" t="s">
        <v>252</v>
      </c>
      <c r="D5" s="1484">
        <f t="shared" ref="D5:D36" si="1">H5+L5</f>
        <v>65959314.656384587</v>
      </c>
      <c r="E5" s="1485">
        <f t="shared" ref="E5:E36" si="2">+I5+M5</f>
        <v>34125299.544171035</v>
      </c>
      <c r="F5" s="1485">
        <f t="shared" ref="F5:F36" si="3">+J5+N5</f>
        <v>31766856.842213541</v>
      </c>
      <c r="G5" s="1486">
        <f t="shared" ref="G5:G36" si="4">K5+O5</f>
        <v>67158.27</v>
      </c>
      <c r="H5" s="1493">
        <f t="shared" ref="H5:H36" si="5">I5+J5+K5</f>
        <v>3014847.9367861785</v>
      </c>
      <c r="I5" s="1494">
        <v>2653066.1843718369</v>
      </c>
      <c r="J5" s="1494">
        <v>361781.75241434143</v>
      </c>
      <c r="K5" s="1495"/>
      <c r="L5" s="1493">
        <f t="shared" ref="L5:L36" si="6">M5+N5+O5</f>
        <v>62944466.719598405</v>
      </c>
      <c r="M5" s="1494">
        <v>31472233.359799199</v>
      </c>
      <c r="N5" s="1494">
        <v>31405075.089799199</v>
      </c>
      <c r="O5" s="1502">
        <v>67158.27</v>
      </c>
    </row>
    <row r="6" spans="1:15" x14ac:dyDescent="0.3">
      <c r="A6" s="609" t="s">
        <v>12</v>
      </c>
      <c r="B6" s="695" t="s">
        <v>13</v>
      </c>
      <c r="C6" s="1477" t="s">
        <v>253</v>
      </c>
      <c r="D6" s="1484">
        <f t="shared" si="1"/>
        <v>82155521.871670231</v>
      </c>
      <c r="E6" s="1485">
        <f t="shared" si="2"/>
        <v>42632307.318576552</v>
      </c>
      <c r="F6" s="1485">
        <f t="shared" si="3"/>
        <v>39320978.193093687</v>
      </c>
      <c r="G6" s="1486">
        <f t="shared" si="4"/>
        <v>202236.35999999996</v>
      </c>
      <c r="H6" s="1493">
        <f t="shared" si="5"/>
        <v>4090911.5335300891</v>
      </c>
      <c r="I6" s="1494">
        <v>3600002.1495064786</v>
      </c>
      <c r="J6" s="1494">
        <v>490909.38402361068</v>
      </c>
      <c r="K6" s="1495"/>
      <c r="L6" s="1493">
        <f t="shared" si="6"/>
        <v>78064610.338140145</v>
      </c>
      <c r="M6" s="1494">
        <v>39032305.169070072</v>
      </c>
      <c r="N6" s="1494">
        <v>38830068.809070073</v>
      </c>
      <c r="O6" s="1502">
        <v>202236.35999999996</v>
      </c>
    </row>
    <row r="7" spans="1:15" x14ac:dyDescent="0.3">
      <c r="A7" s="609" t="s">
        <v>16</v>
      </c>
      <c r="B7" s="695" t="s">
        <v>285</v>
      </c>
      <c r="C7" s="1477" t="s">
        <v>253</v>
      </c>
      <c r="D7" s="1484">
        <f t="shared" si="1"/>
        <v>42703998.074898407</v>
      </c>
      <c r="E7" s="1485">
        <f t="shared" si="2"/>
        <v>21759793.774281193</v>
      </c>
      <c r="F7" s="1485">
        <f t="shared" si="3"/>
        <v>20889441.650617216</v>
      </c>
      <c r="G7" s="1486">
        <f t="shared" si="4"/>
        <v>54762.65</v>
      </c>
      <c r="H7" s="1493">
        <f t="shared" si="5"/>
        <v>1073144.0442947063</v>
      </c>
      <c r="I7" s="1494">
        <v>944366.75897934148</v>
      </c>
      <c r="J7" s="1494">
        <v>128777.28531536474</v>
      </c>
      <c r="K7" s="1495"/>
      <c r="L7" s="1493">
        <f t="shared" si="6"/>
        <v>41630854.030603699</v>
      </c>
      <c r="M7" s="1494">
        <v>20815427.01530185</v>
      </c>
      <c r="N7" s="1494">
        <v>20760664.365301851</v>
      </c>
      <c r="O7" s="1502">
        <v>54762.65</v>
      </c>
    </row>
    <row r="8" spans="1:15" x14ac:dyDescent="0.3">
      <c r="A8" s="609" t="s">
        <v>18</v>
      </c>
      <c r="B8" s="695" t="s">
        <v>19</v>
      </c>
      <c r="C8" s="1477" t="s">
        <v>254</v>
      </c>
      <c r="D8" s="1484">
        <f t="shared" si="1"/>
        <v>20490893.454859126</v>
      </c>
      <c r="E8" s="1485">
        <f t="shared" si="2"/>
        <v>10498662.008473555</v>
      </c>
      <c r="F8" s="1485">
        <f t="shared" si="3"/>
        <v>9928150.9463855717</v>
      </c>
      <c r="G8" s="1486">
        <f t="shared" si="4"/>
        <v>64080.500000000007</v>
      </c>
      <c r="H8" s="1493">
        <f t="shared" si="5"/>
        <v>666356.00274734537</v>
      </c>
      <c r="I8" s="1494">
        <v>586393.28241766396</v>
      </c>
      <c r="J8" s="1494">
        <v>79962.72032968144</v>
      </c>
      <c r="K8" s="1495"/>
      <c r="L8" s="1493">
        <f t="shared" si="6"/>
        <v>19824537.452111781</v>
      </c>
      <c r="M8" s="1494">
        <v>9912268.7260558903</v>
      </c>
      <c r="N8" s="1494">
        <v>9848188.2260558903</v>
      </c>
      <c r="O8" s="1502">
        <v>64080.500000000007</v>
      </c>
    </row>
    <row r="9" spans="1:15" x14ac:dyDescent="0.3">
      <c r="A9" s="609" t="s">
        <v>20</v>
      </c>
      <c r="B9" s="695" t="s">
        <v>21</v>
      </c>
      <c r="C9" s="1477" t="s">
        <v>253</v>
      </c>
      <c r="D9" s="1484">
        <f t="shared" si="1"/>
        <v>55247466.773409247</v>
      </c>
      <c r="E9" s="1485">
        <f t="shared" si="2"/>
        <v>28277599.395546008</v>
      </c>
      <c r="F9" s="1485">
        <f t="shared" si="3"/>
        <v>26869085.67786324</v>
      </c>
      <c r="G9" s="1486">
        <f t="shared" si="4"/>
        <v>100781.7</v>
      </c>
      <c r="H9" s="1493">
        <f t="shared" si="5"/>
        <v>1720700.0232667942</v>
      </c>
      <c r="I9" s="1494">
        <v>1514216.020474779</v>
      </c>
      <c r="J9" s="1494">
        <v>206452.0127920153</v>
      </c>
      <c r="K9" s="1495">
        <v>31.99</v>
      </c>
      <c r="L9" s="1493">
        <f t="shared" si="6"/>
        <v>53526766.750142455</v>
      </c>
      <c r="M9" s="1494">
        <v>26763383.375071228</v>
      </c>
      <c r="N9" s="1494">
        <v>26662633.665071227</v>
      </c>
      <c r="O9" s="1502">
        <v>100749.70999999999</v>
      </c>
    </row>
    <row r="10" spans="1:15" x14ac:dyDescent="0.3">
      <c r="A10" s="609" t="s">
        <v>22</v>
      </c>
      <c r="B10" s="695" t="s">
        <v>23</v>
      </c>
      <c r="C10" s="1477" t="s">
        <v>253</v>
      </c>
      <c r="D10" s="1484">
        <f t="shared" si="1"/>
        <v>31529179.164767127</v>
      </c>
      <c r="E10" s="1485">
        <f t="shared" si="2"/>
        <v>16069830.064917453</v>
      </c>
      <c r="F10" s="1485">
        <f t="shared" si="3"/>
        <v>15378917.149849676</v>
      </c>
      <c r="G10" s="1486">
        <f t="shared" si="4"/>
        <v>80431.950000000012</v>
      </c>
      <c r="H10" s="1493">
        <f t="shared" si="5"/>
        <v>803264.42772076</v>
      </c>
      <c r="I10" s="1494">
        <v>706872.69639426877</v>
      </c>
      <c r="J10" s="1494">
        <v>96391.731326491194</v>
      </c>
      <c r="K10" s="1495"/>
      <c r="L10" s="1493">
        <f t="shared" si="6"/>
        <v>30725914.737046368</v>
      </c>
      <c r="M10" s="1494">
        <v>15362957.368523184</v>
      </c>
      <c r="N10" s="1494">
        <v>15282525.418523185</v>
      </c>
      <c r="O10" s="1502">
        <v>80431.950000000012</v>
      </c>
    </row>
    <row r="11" spans="1:15" x14ac:dyDescent="0.3">
      <c r="A11" s="609" t="s">
        <v>24</v>
      </c>
      <c r="B11" s="695" t="s">
        <v>25</v>
      </c>
      <c r="C11" s="1477" t="s">
        <v>255</v>
      </c>
      <c r="D11" s="1484">
        <f t="shared" si="1"/>
        <v>129520908.56310268</v>
      </c>
      <c r="E11" s="1485">
        <f t="shared" si="2"/>
        <v>67548192.385664895</v>
      </c>
      <c r="F11" s="1485">
        <f t="shared" si="3"/>
        <v>61869681.807437785</v>
      </c>
      <c r="G11" s="1486">
        <f t="shared" si="4"/>
        <v>103034.37000000001</v>
      </c>
      <c r="H11" s="1493">
        <f t="shared" si="5"/>
        <v>7336152.9055620022</v>
      </c>
      <c r="I11" s="1494">
        <v>6455814.5568945622</v>
      </c>
      <c r="J11" s="1494">
        <v>880338.34866744024</v>
      </c>
      <c r="K11" s="1495"/>
      <c r="L11" s="1493">
        <f t="shared" si="6"/>
        <v>122184755.65754068</v>
      </c>
      <c r="M11" s="1494">
        <v>61092377.828770339</v>
      </c>
      <c r="N11" s="1494">
        <v>60989343.458770342</v>
      </c>
      <c r="O11" s="1502">
        <v>103034.37000000001</v>
      </c>
    </row>
    <row r="12" spans="1:15" x14ac:dyDescent="0.3">
      <c r="A12" s="609" t="s">
        <v>26</v>
      </c>
      <c r="B12" s="695" t="s">
        <v>547</v>
      </c>
      <c r="C12" s="1477" t="s">
        <v>253</v>
      </c>
      <c r="D12" s="1484">
        <f t="shared" si="1"/>
        <v>165007042.4987739</v>
      </c>
      <c r="E12" s="1485">
        <f t="shared" si="2"/>
        <v>85153070.620111898</v>
      </c>
      <c r="F12" s="1485">
        <f t="shared" si="3"/>
        <v>79475557.528661981</v>
      </c>
      <c r="G12" s="1486">
        <f t="shared" si="4"/>
        <v>378414.35</v>
      </c>
      <c r="H12" s="1493">
        <f t="shared" si="5"/>
        <v>6972498.344013026</v>
      </c>
      <c r="I12" s="1494">
        <v>6135798.542731463</v>
      </c>
      <c r="J12" s="1494">
        <v>836678.91128156311</v>
      </c>
      <c r="K12" s="1495">
        <v>20.89</v>
      </c>
      <c r="L12" s="1493">
        <f t="shared" si="6"/>
        <v>158034544.15476087</v>
      </c>
      <c r="M12" s="1494">
        <v>79017272.077380434</v>
      </c>
      <c r="N12" s="1494">
        <v>78638878.617380425</v>
      </c>
      <c r="O12" s="1502">
        <v>378393.45999999996</v>
      </c>
    </row>
    <row r="13" spans="1:15" x14ac:dyDescent="0.3">
      <c r="A13" s="609" t="s">
        <v>27</v>
      </c>
      <c r="B13" s="695" t="s">
        <v>28</v>
      </c>
      <c r="C13" s="1477" t="s">
        <v>253</v>
      </c>
      <c r="D13" s="1484">
        <f t="shared" si="1"/>
        <v>5018927.8181270566</v>
      </c>
      <c r="E13" s="1485">
        <f t="shared" si="2"/>
        <v>2601230.3508190853</v>
      </c>
      <c r="F13" s="1485">
        <f t="shared" si="3"/>
        <v>2414878.6773079713</v>
      </c>
      <c r="G13" s="1486">
        <f t="shared" si="4"/>
        <v>2818.79</v>
      </c>
      <c r="H13" s="1493">
        <f t="shared" si="5"/>
        <v>241490.63619883449</v>
      </c>
      <c r="I13" s="1494">
        <v>212511.75985497434</v>
      </c>
      <c r="J13" s="1494">
        <v>28978.876343860138</v>
      </c>
      <c r="K13" s="1495"/>
      <c r="L13" s="1493">
        <f t="shared" si="6"/>
        <v>4777437.1819282221</v>
      </c>
      <c r="M13" s="1494">
        <v>2388718.590964111</v>
      </c>
      <c r="N13" s="1494">
        <v>2385899.800964111</v>
      </c>
      <c r="O13" s="1502">
        <v>2818.79</v>
      </c>
    </row>
    <row r="14" spans="1:15" x14ac:dyDescent="0.3">
      <c r="A14" s="609" t="s">
        <v>29</v>
      </c>
      <c r="B14" s="773" t="s">
        <v>736</v>
      </c>
      <c r="C14" s="1477" t="s">
        <v>253</v>
      </c>
      <c r="D14" s="1484">
        <f t="shared" si="1"/>
        <v>99633034.250805363</v>
      </c>
      <c r="E14" s="1485">
        <f t="shared" si="2"/>
        <v>51026156.124982581</v>
      </c>
      <c r="F14" s="1485">
        <f t="shared" si="3"/>
        <v>48296965.535822779</v>
      </c>
      <c r="G14" s="1486">
        <f t="shared" si="4"/>
        <v>309912.59000000003</v>
      </c>
      <c r="H14" s="1493">
        <f t="shared" si="5"/>
        <v>3183260.5252102651</v>
      </c>
      <c r="I14" s="1494">
        <v>2801269.2621850334</v>
      </c>
      <c r="J14" s="1494">
        <v>381991.26302523178</v>
      </c>
      <c r="K14" s="1495"/>
      <c r="L14" s="1493">
        <f t="shared" si="6"/>
        <v>96449773.725595102</v>
      </c>
      <c r="M14" s="1494">
        <v>48224886.862797551</v>
      </c>
      <c r="N14" s="1494">
        <v>47914974.272797547</v>
      </c>
      <c r="O14" s="1502">
        <v>309912.59000000003</v>
      </c>
    </row>
    <row r="15" spans="1:15" x14ac:dyDescent="0.3">
      <c r="A15" s="609" t="s">
        <v>30</v>
      </c>
      <c r="B15" s="695" t="s">
        <v>31</v>
      </c>
      <c r="C15" s="1477" t="s">
        <v>256</v>
      </c>
      <c r="D15" s="1484">
        <f t="shared" si="1"/>
        <v>7434192.1111641591</v>
      </c>
      <c r="E15" s="1485">
        <f t="shared" si="2"/>
        <v>3806642.434120209</v>
      </c>
      <c r="F15" s="1485">
        <f t="shared" si="3"/>
        <v>3625097.1070439508</v>
      </c>
      <c r="G15" s="1486">
        <f t="shared" si="4"/>
        <v>2452.5699999999997</v>
      </c>
      <c r="H15" s="1493">
        <f t="shared" si="5"/>
        <v>235648.36457402393</v>
      </c>
      <c r="I15" s="1494">
        <v>207370.56082514106</v>
      </c>
      <c r="J15" s="1494">
        <v>28277.80374888287</v>
      </c>
      <c r="K15" s="1495"/>
      <c r="L15" s="1493">
        <f t="shared" si="6"/>
        <v>7198543.7465901356</v>
      </c>
      <c r="M15" s="1494">
        <v>3599271.8732950678</v>
      </c>
      <c r="N15" s="1494">
        <v>3596819.303295068</v>
      </c>
      <c r="O15" s="1502">
        <v>2452.5699999999997</v>
      </c>
    </row>
    <row r="16" spans="1:15" x14ac:dyDescent="0.3">
      <c r="A16" s="609" t="s">
        <v>32</v>
      </c>
      <c r="B16" s="695" t="s">
        <v>33</v>
      </c>
      <c r="C16" s="1477" t="s">
        <v>253</v>
      </c>
      <c r="D16" s="1484">
        <f t="shared" si="1"/>
        <v>32937444.119699091</v>
      </c>
      <c r="E16" s="1485">
        <f t="shared" si="2"/>
        <v>16849247.029030845</v>
      </c>
      <c r="F16" s="1485">
        <f t="shared" si="3"/>
        <v>16073611.910668246</v>
      </c>
      <c r="G16" s="1486">
        <f t="shared" si="4"/>
        <v>14585.18</v>
      </c>
      <c r="H16" s="1493">
        <f t="shared" si="5"/>
        <v>1001381.4978455242</v>
      </c>
      <c r="I16" s="1494">
        <v>881215.71810406132</v>
      </c>
      <c r="J16" s="1494">
        <v>120165.7797414629</v>
      </c>
      <c r="K16" s="1495"/>
      <c r="L16" s="1493">
        <f t="shared" si="6"/>
        <v>31936062.621853568</v>
      </c>
      <c r="M16" s="1494">
        <v>15968031.310926784</v>
      </c>
      <c r="N16" s="1494">
        <v>15953446.130926784</v>
      </c>
      <c r="O16" s="1502">
        <v>14585.18</v>
      </c>
    </row>
    <row r="17" spans="1:15" x14ac:dyDescent="0.3">
      <c r="A17" s="609" t="s">
        <v>36</v>
      </c>
      <c r="B17" s="695" t="s">
        <v>37</v>
      </c>
      <c r="C17" s="1477" t="s">
        <v>252</v>
      </c>
      <c r="D17" s="1484">
        <f t="shared" si="1"/>
        <v>42315041.515760884</v>
      </c>
      <c r="E17" s="1485">
        <f t="shared" si="2"/>
        <v>21515420.009264555</v>
      </c>
      <c r="F17" s="1485">
        <f t="shared" si="3"/>
        <v>20745574.286496326</v>
      </c>
      <c r="G17" s="1486">
        <f t="shared" si="4"/>
        <v>54047.22</v>
      </c>
      <c r="H17" s="1493">
        <f t="shared" si="5"/>
        <v>941840.13522135129</v>
      </c>
      <c r="I17" s="1494">
        <v>828819.31899478915</v>
      </c>
      <c r="J17" s="1494">
        <v>113020.81622656215</v>
      </c>
      <c r="K17" s="1495"/>
      <c r="L17" s="1493">
        <f t="shared" si="6"/>
        <v>41373201.380539529</v>
      </c>
      <c r="M17" s="1494">
        <v>20686600.690269765</v>
      </c>
      <c r="N17" s="1494">
        <v>20632553.470269766</v>
      </c>
      <c r="O17" s="1502">
        <v>54047.22</v>
      </c>
    </row>
    <row r="18" spans="1:15" x14ac:dyDescent="0.3">
      <c r="A18" s="609" t="s">
        <v>38</v>
      </c>
      <c r="B18" s="695" t="s">
        <v>39</v>
      </c>
      <c r="C18" s="1477" t="s">
        <v>256</v>
      </c>
      <c r="D18" s="1484">
        <f t="shared" si="1"/>
        <v>53185762.183224887</v>
      </c>
      <c r="E18" s="1485">
        <f t="shared" si="2"/>
        <v>27027866.645699549</v>
      </c>
      <c r="F18" s="1485">
        <f t="shared" si="3"/>
        <v>26092169.007525332</v>
      </c>
      <c r="G18" s="1486">
        <f t="shared" si="4"/>
        <v>65726.53</v>
      </c>
      <c r="H18" s="1493">
        <f t="shared" si="5"/>
        <v>1144698.8265450192</v>
      </c>
      <c r="I18" s="1494">
        <v>1007334.9673596169</v>
      </c>
      <c r="J18" s="1494">
        <v>137363.85918540228</v>
      </c>
      <c r="K18" s="1495"/>
      <c r="L18" s="1493">
        <f t="shared" si="6"/>
        <v>52041063.356679864</v>
      </c>
      <c r="M18" s="1494">
        <v>26020531.678339932</v>
      </c>
      <c r="N18" s="1494">
        <v>25954805.148339931</v>
      </c>
      <c r="O18" s="1502">
        <v>65726.53</v>
      </c>
    </row>
    <row r="19" spans="1:15" x14ac:dyDescent="0.3">
      <c r="A19" s="609" t="s">
        <v>40</v>
      </c>
      <c r="B19" s="695" t="s">
        <v>41</v>
      </c>
      <c r="C19" s="1477" t="s">
        <v>254</v>
      </c>
      <c r="D19" s="1484">
        <f t="shared" si="1"/>
        <v>29882515.248495415</v>
      </c>
      <c r="E19" s="1485">
        <f t="shared" si="2"/>
        <v>15329471.680457516</v>
      </c>
      <c r="F19" s="1485">
        <f t="shared" si="3"/>
        <v>14502635.938037897</v>
      </c>
      <c r="G19" s="1486">
        <f t="shared" si="4"/>
        <v>50407.63</v>
      </c>
      <c r="H19" s="1493">
        <f t="shared" si="5"/>
        <v>1021615.9373942348</v>
      </c>
      <c r="I19" s="1494">
        <v>899022.02490692667</v>
      </c>
      <c r="J19" s="1494">
        <v>122593.91248730817</v>
      </c>
      <c r="K19" s="1495"/>
      <c r="L19" s="1493">
        <f t="shared" si="6"/>
        <v>28860899.31110118</v>
      </c>
      <c r="M19" s="1494">
        <v>14430449.65555059</v>
      </c>
      <c r="N19" s="1494">
        <v>14380042.025550589</v>
      </c>
      <c r="O19" s="1502">
        <v>50407.63</v>
      </c>
    </row>
    <row r="20" spans="1:15" x14ac:dyDescent="0.3">
      <c r="A20" s="609" t="s">
        <v>42</v>
      </c>
      <c r="B20" s="695" t="s">
        <v>43</v>
      </c>
      <c r="C20" s="1477" t="s">
        <v>253</v>
      </c>
      <c r="D20" s="1484">
        <f t="shared" si="1"/>
        <v>87118628.369697347</v>
      </c>
      <c r="E20" s="1485">
        <f t="shared" si="2"/>
        <v>44716967.001679815</v>
      </c>
      <c r="F20" s="1485">
        <f t="shared" si="3"/>
        <v>42252387.32801754</v>
      </c>
      <c r="G20" s="1486">
        <f t="shared" si="4"/>
        <v>149274.04000000004</v>
      </c>
      <c r="H20" s="1493">
        <f t="shared" si="5"/>
        <v>3046454.7811345672</v>
      </c>
      <c r="I20" s="1494">
        <v>2680880.2073984193</v>
      </c>
      <c r="J20" s="1494">
        <v>365550.23373614805</v>
      </c>
      <c r="K20" s="1495">
        <v>24.34</v>
      </c>
      <c r="L20" s="1493">
        <f t="shared" si="6"/>
        <v>84072173.588562787</v>
      </c>
      <c r="M20" s="1494">
        <v>42036086.794281393</v>
      </c>
      <c r="N20" s="1494">
        <v>41886837.09428139</v>
      </c>
      <c r="O20" s="1502">
        <v>149249.70000000004</v>
      </c>
    </row>
    <row r="21" spans="1:15" x14ac:dyDescent="0.3">
      <c r="A21" s="609" t="s">
        <v>44</v>
      </c>
      <c r="B21" s="695" t="s">
        <v>45</v>
      </c>
      <c r="C21" s="1477" t="s">
        <v>254</v>
      </c>
      <c r="D21" s="1484">
        <f t="shared" si="1"/>
        <v>41417983.247953549</v>
      </c>
      <c r="E21" s="1485">
        <f t="shared" si="2"/>
        <v>21424305.270893995</v>
      </c>
      <c r="F21" s="1485">
        <f t="shared" si="3"/>
        <v>19933389.877059553</v>
      </c>
      <c r="G21" s="1486">
        <f t="shared" si="4"/>
        <v>60288.100000000006</v>
      </c>
      <c r="H21" s="1493">
        <f t="shared" si="5"/>
        <v>1882404.3339926819</v>
      </c>
      <c r="I21" s="1494">
        <v>1656515.81391356</v>
      </c>
      <c r="J21" s="1494">
        <v>225888.52007912184</v>
      </c>
      <c r="K21" s="1495"/>
      <c r="L21" s="1493">
        <f t="shared" si="6"/>
        <v>39535578.913960867</v>
      </c>
      <c r="M21" s="1494">
        <v>19767789.456980433</v>
      </c>
      <c r="N21" s="1494">
        <v>19707501.356980432</v>
      </c>
      <c r="O21" s="1502">
        <v>60288.100000000006</v>
      </c>
    </row>
    <row r="22" spans="1:15" x14ac:dyDescent="0.3">
      <c r="A22" s="609" t="s">
        <v>46</v>
      </c>
      <c r="B22" s="695" t="s">
        <v>47</v>
      </c>
      <c r="C22" s="1477" t="s">
        <v>256</v>
      </c>
      <c r="D22" s="1484">
        <f t="shared" si="1"/>
        <v>57921020.345598809</v>
      </c>
      <c r="E22" s="1485">
        <f t="shared" si="2"/>
        <v>29711456.210364856</v>
      </c>
      <c r="F22" s="1485">
        <f t="shared" si="3"/>
        <v>28048731.19523396</v>
      </c>
      <c r="G22" s="1486">
        <f t="shared" si="4"/>
        <v>160832.94000000003</v>
      </c>
      <c r="H22" s="1493">
        <f t="shared" si="5"/>
        <v>1976173.7830669656</v>
      </c>
      <c r="I22" s="1494">
        <v>1739032.9290989297</v>
      </c>
      <c r="J22" s="1494">
        <v>237140.85396803587</v>
      </c>
      <c r="K22" s="1495"/>
      <c r="L22" s="1493">
        <f t="shared" si="6"/>
        <v>55944846.562531844</v>
      </c>
      <c r="M22" s="1494">
        <v>27972423.281265926</v>
      </c>
      <c r="N22" s="1494">
        <v>27811590.341265924</v>
      </c>
      <c r="O22" s="1502">
        <v>160832.94000000003</v>
      </c>
    </row>
    <row r="23" spans="1:15" x14ac:dyDescent="0.3">
      <c r="A23" s="609" t="s">
        <v>48</v>
      </c>
      <c r="B23" s="695" t="s">
        <v>257</v>
      </c>
      <c r="C23" s="1477" t="s">
        <v>254</v>
      </c>
      <c r="D23" s="1484">
        <f t="shared" si="1"/>
        <v>11675571.975548068</v>
      </c>
      <c r="E23" s="1485">
        <f t="shared" si="2"/>
        <v>5993613.7853149492</v>
      </c>
      <c r="F23" s="1485">
        <f t="shared" si="3"/>
        <v>5672409.8202331206</v>
      </c>
      <c r="G23" s="1486">
        <f t="shared" si="4"/>
        <v>9548.3700000000008</v>
      </c>
      <c r="H23" s="1493">
        <f t="shared" si="5"/>
        <v>410073.15142345877</v>
      </c>
      <c r="I23" s="1494">
        <v>360864.37325264374</v>
      </c>
      <c r="J23" s="1494">
        <v>49208.778170815051</v>
      </c>
      <c r="K23" s="1495"/>
      <c r="L23" s="1493">
        <f t="shared" si="6"/>
        <v>11265498.82412461</v>
      </c>
      <c r="M23" s="1494">
        <v>5632749.412062306</v>
      </c>
      <c r="N23" s="1494">
        <v>5623201.0420623058</v>
      </c>
      <c r="O23" s="1502">
        <v>9548.3700000000008</v>
      </c>
    </row>
    <row r="24" spans="1:15" x14ac:dyDescent="0.3">
      <c r="A24" s="609" t="s">
        <v>50</v>
      </c>
      <c r="B24" s="695" t="s">
        <v>51</v>
      </c>
      <c r="C24" s="1477" t="s">
        <v>253</v>
      </c>
      <c r="D24" s="1484">
        <f t="shared" si="1"/>
        <v>23599792.431882162</v>
      </c>
      <c r="E24" s="1485">
        <f t="shared" si="2"/>
        <v>12074614.581105124</v>
      </c>
      <c r="F24" s="1485">
        <f t="shared" si="3"/>
        <v>11482460.030777035</v>
      </c>
      <c r="G24" s="1486">
        <f t="shared" si="4"/>
        <v>42717.82</v>
      </c>
      <c r="H24" s="1493">
        <f t="shared" si="5"/>
        <v>722943.06622116931</v>
      </c>
      <c r="I24" s="1494">
        <v>636189.89827462903</v>
      </c>
      <c r="J24" s="1494">
        <v>86753.167946540314</v>
      </c>
      <c r="K24" s="1495"/>
      <c r="L24" s="1493">
        <f t="shared" si="6"/>
        <v>22876849.365660992</v>
      </c>
      <c r="M24" s="1494">
        <v>11438424.682830496</v>
      </c>
      <c r="N24" s="1494">
        <v>11395706.862830495</v>
      </c>
      <c r="O24" s="1502">
        <v>42717.82</v>
      </c>
    </row>
    <row r="25" spans="1:15" x14ac:dyDescent="0.3">
      <c r="A25" s="609" t="s">
        <v>56</v>
      </c>
      <c r="B25" s="695" t="s">
        <v>283</v>
      </c>
      <c r="C25" s="1477" t="s">
        <v>254</v>
      </c>
      <c r="D25" s="1484">
        <f t="shared" si="1"/>
        <v>427201703.03588992</v>
      </c>
      <c r="E25" s="1485">
        <f t="shared" si="2"/>
        <v>220441446.02565706</v>
      </c>
      <c r="F25" s="1485">
        <f t="shared" si="3"/>
        <v>206125023.42023283</v>
      </c>
      <c r="G25" s="1486">
        <f t="shared" si="4"/>
        <v>635233.59000000008</v>
      </c>
      <c r="H25" s="1493">
        <f t="shared" si="5"/>
        <v>18001564.493979249</v>
      </c>
      <c r="I25" s="1494">
        <v>15841376.754701739</v>
      </c>
      <c r="J25" s="1494">
        <v>2160142.4492775095</v>
      </c>
      <c r="K25" s="1495">
        <v>45.29</v>
      </c>
      <c r="L25" s="1493">
        <f t="shared" si="6"/>
        <v>409200138.54191065</v>
      </c>
      <c r="M25" s="1494">
        <v>204600069.27095532</v>
      </c>
      <c r="N25" s="1494">
        <v>203964880.97095531</v>
      </c>
      <c r="O25" s="1502">
        <v>635188.30000000005</v>
      </c>
    </row>
    <row r="26" spans="1:15" x14ac:dyDescent="0.3">
      <c r="A26" s="609" t="s">
        <v>58</v>
      </c>
      <c r="B26" s="695" t="s">
        <v>59</v>
      </c>
      <c r="C26" s="1477" t="s">
        <v>255</v>
      </c>
      <c r="D26" s="1484">
        <f t="shared" si="1"/>
        <v>11515925.4887986</v>
      </c>
      <c r="E26" s="1485">
        <f t="shared" si="2"/>
        <v>5901098.9519126285</v>
      </c>
      <c r="F26" s="1485">
        <f t="shared" si="3"/>
        <v>5590287.4768859707</v>
      </c>
      <c r="G26" s="1486">
        <f t="shared" si="4"/>
        <v>24539.060000000005</v>
      </c>
      <c r="H26" s="1493">
        <f t="shared" si="5"/>
        <v>376674.23029823473</v>
      </c>
      <c r="I26" s="1494">
        <v>331473.32266244659</v>
      </c>
      <c r="J26" s="1494">
        <v>45200.907635788171</v>
      </c>
      <c r="K26" s="1495"/>
      <c r="L26" s="1493">
        <f t="shared" si="6"/>
        <v>11139251.258500366</v>
      </c>
      <c r="M26" s="1494">
        <v>5569625.6292501818</v>
      </c>
      <c r="N26" s="1494">
        <v>5545086.5692501822</v>
      </c>
      <c r="O26" s="1502">
        <v>24539.060000000005</v>
      </c>
    </row>
    <row r="27" spans="1:15" x14ac:dyDescent="0.3">
      <c r="A27" s="609" t="s">
        <v>60</v>
      </c>
      <c r="B27" s="695" t="s">
        <v>61</v>
      </c>
      <c r="C27" s="1477" t="s">
        <v>253</v>
      </c>
      <c r="D27" s="1484">
        <f t="shared" si="1"/>
        <v>6436742.7366201747</v>
      </c>
      <c r="E27" s="1485">
        <f t="shared" si="2"/>
        <v>3318909.7901435979</v>
      </c>
      <c r="F27" s="1485">
        <f t="shared" si="3"/>
        <v>3107713.1764765768</v>
      </c>
      <c r="G27" s="1486">
        <f t="shared" si="4"/>
        <v>10119.77</v>
      </c>
      <c r="H27" s="1493">
        <f t="shared" si="5"/>
        <v>264574.79429871176</v>
      </c>
      <c r="I27" s="1494">
        <v>232825.81898286636</v>
      </c>
      <c r="J27" s="1494">
        <v>31748.975315845411</v>
      </c>
      <c r="K27" s="1495"/>
      <c r="L27" s="1493">
        <f t="shared" si="6"/>
        <v>6172167.9423214626</v>
      </c>
      <c r="M27" s="1494">
        <v>3086083.9711607313</v>
      </c>
      <c r="N27" s="1494">
        <v>3075964.2011607313</v>
      </c>
      <c r="O27" s="1502">
        <v>10119.77</v>
      </c>
    </row>
    <row r="28" spans="1:15" x14ac:dyDescent="0.3">
      <c r="A28" s="609" t="s">
        <v>62</v>
      </c>
      <c r="B28" s="695" t="s">
        <v>63</v>
      </c>
      <c r="C28" s="1477" t="s">
        <v>255</v>
      </c>
      <c r="D28" s="1484">
        <f t="shared" si="1"/>
        <v>67484455.217645586</v>
      </c>
      <c r="E28" s="1485">
        <f t="shared" si="2"/>
        <v>34804246.569257282</v>
      </c>
      <c r="F28" s="1485">
        <f t="shared" si="3"/>
        <v>32464269.408388305</v>
      </c>
      <c r="G28" s="1486">
        <f t="shared" si="4"/>
        <v>215939.24</v>
      </c>
      <c r="H28" s="1493">
        <f t="shared" si="5"/>
        <v>2794786.7379854945</v>
      </c>
      <c r="I28" s="1494">
        <v>2459412.3294272353</v>
      </c>
      <c r="J28" s="1494">
        <v>335374.40855825931</v>
      </c>
      <c r="K28" s="1495"/>
      <c r="L28" s="1493">
        <f t="shared" si="6"/>
        <v>64689668.479660086</v>
      </c>
      <c r="M28" s="1494">
        <v>32344834.239830043</v>
      </c>
      <c r="N28" s="1494">
        <v>32128894.999830045</v>
      </c>
      <c r="O28" s="1502">
        <v>215939.24</v>
      </c>
    </row>
    <row r="29" spans="1:15" x14ac:dyDescent="0.3">
      <c r="A29" s="609" t="s">
        <v>64</v>
      </c>
      <c r="B29" s="695" t="s">
        <v>65</v>
      </c>
      <c r="C29" s="1477" t="s">
        <v>254</v>
      </c>
      <c r="D29" s="1484">
        <f t="shared" si="1"/>
        <v>23037711.586545102</v>
      </c>
      <c r="E29" s="1485">
        <f t="shared" si="2"/>
        <v>11767444.341148565</v>
      </c>
      <c r="F29" s="1485">
        <f t="shared" si="3"/>
        <v>11252920.805396536</v>
      </c>
      <c r="G29" s="1486">
        <f t="shared" si="4"/>
        <v>17346.440000000002</v>
      </c>
      <c r="H29" s="1493">
        <f t="shared" si="5"/>
        <v>654180.38914740575</v>
      </c>
      <c r="I29" s="1494">
        <v>575678.74244971701</v>
      </c>
      <c r="J29" s="1494">
        <v>78501.646697688673</v>
      </c>
      <c r="K29" s="1495"/>
      <c r="L29" s="1493">
        <f t="shared" si="6"/>
        <v>22383531.197397698</v>
      </c>
      <c r="M29" s="1494">
        <v>11191765.598698847</v>
      </c>
      <c r="N29" s="1494">
        <v>11174419.158698848</v>
      </c>
      <c r="O29" s="1502">
        <v>17346.440000000002</v>
      </c>
    </row>
    <row r="30" spans="1:15" x14ac:dyDescent="0.3">
      <c r="A30" s="609" t="s">
        <v>68</v>
      </c>
      <c r="B30" s="695" t="s">
        <v>69</v>
      </c>
      <c r="C30" s="1477" t="s">
        <v>256</v>
      </c>
      <c r="D30" s="1484">
        <f t="shared" si="1"/>
        <v>34680728.185658805</v>
      </c>
      <c r="E30" s="1485">
        <f t="shared" si="2"/>
        <v>17707768.30969236</v>
      </c>
      <c r="F30" s="1485">
        <f t="shared" si="3"/>
        <v>16848644.945966441</v>
      </c>
      <c r="G30" s="1486">
        <f t="shared" si="4"/>
        <v>124314.93</v>
      </c>
      <c r="H30" s="1493">
        <f t="shared" si="5"/>
        <v>966853.2022709439</v>
      </c>
      <c r="I30" s="1494">
        <v>850830.81799843069</v>
      </c>
      <c r="J30" s="1494">
        <v>116022.38427251327</v>
      </c>
      <c r="K30" s="1495"/>
      <c r="L30" s="1493">
        <f t="shared" si="6"/>
        <v>33713874.983387858</v>
      </c>
      <c r="M30" s="1494">
        <v>16856937.491693929</v>
      </c>
      <c r="N30" s="1494">
        <v>16732622.561693929</v>
      </c>
      <c r="O30" s="1502">
        <v>124314.93</v>
      </c>
    </row>
    <row r="31" spans="1:15" x14ac:dyDescent="0.3">
      <c r="A31" s="609" t="s">
        <v>70</v>
      </c>
      <c r="B31" s="695" t="s">
        <v>71</v>
      </c>
      <c r="C31" s="1477" t="s">
        <v>252</v>
      </c>
      <c r="D31" s="1484">
        <f t="shared" si="1"/>
        <v>46369517.650289737</v>
      </c>
      <c r="E31" s="1485">
        <f t="shared" si="2"/>
        <v>23752741.026957192</v>
      </c>
      <c r="F31" s="1485">
        <f t="shared" si="3"/>
        <v>22508627.323332544</v>
      </c>
      <c r="G31" s="1486">
        <f t="shared" si="4"/>
        <v>108149.30000000002</v>
      </c>
      <c r="H31" s="1493">
        <f t="shared" si="5"/>
        <v>1494690.0047692726</v>
      </c>
      <c r="I31" s="1494">
        <v>1315327.20419696</v>
      </c>
      <c r="J31" s="1494">
        <v>179362.8005723127</v>
      </c>
      <c r="K31" s="1495"/>
      <c r="L31" s="1493">
        <f t="shared" si="6"/>
        <v>44874827.645520464</v>
      </c>
      <c r="M31" s="1494">
        <v>22437413.822760232</v>
      </c>
      <c r="N31" s="1494">
        <v>22329264.522760231</v>
      </c>
      <c r="O31" s="1502">
        <v>108149.30000000002</v>
      </c>
    </row>
    <row r="32" spans="1:15" x14ac:dyDescent="0.3">
      <c r="A32" s="609" t="s">
        <v>72</v>
      </c>
      <c r="B32" s="695" t="s">
        <v>73</v>
      </c>
      <c r="C32" s="1477" t="s">
        <v>254</v>
      </c>
      <c r="D32" s="1484">
        <f t="shared" si="1"/>
        <v>21156077.390175458</v>
      </c>
      <c r="E32" s="1485">
        <f t="shared" si="2"/>
        <v>10861202.067791089</v>
      </c>
      <c r="F32" s="1485">
        <f t="shared" si="3"/>
        <v>10177125.552384369</v>
      </c>
      <c r="G32" s="1486">
        <f t="shared" si="4"/>
        <v>117749.76999999999</v>
      </c>
      <c r="H32" s="1493">
        <f t="shared" si="5"/>
        <v>745166.77027200209</v>
      </c>
      <c r="I32" s="1494">
        <v>655746.75783936179</v>
      </c>
      <c r="J32" s="1494">
        <v>89420.012432640244</v>
      </c>
      <c r="K32" s="1495"/>
      <c r="L32" s="1493">
        <f t="shared" si="6"/>
        <v>20410910.619903456</v>
      </c>
      <c r="M32" s="1494">
        <v>10205455.309951728</v>
      </c>
      <c r="N32" s="1494">
        <v>10087705.539951729</v>
      </c>
      <c r="O32" s="1502">
        <v>117749.76999999999</v>
      </c>
    </row>
    <row r="33" spans="1:15" x14ac:dyDescent="0.3">
      <c r="A33" s="609" t="s">
        <v>74</v>
      </c>
      <c r="B33" s="695" t="s">
        <v>290</v>
      </c>
      <c r="C33" s="1477" t="s">
        <v>255</v>
      </c>
      <c r="D33" s="1484">
        <f t="shared" si="1"/>
        <v>722181091.16025305</v>
      </c>
      <c r="E33" s="1485">
        <f t="shared" si="2"/>
        <v>378789112.51181322</v>
      </c>
      <c r="F33" s="1485">
        <f t="shared" si="3"/>
        <v>342818294.47843987</v>
      </c>
      <c r="G33" s="1486">
        <f t="shared" si="4"/>
        <v>573684.17000000004</v>
      </c>
      <c r="H33" s="1493">
        <f t="shared" si="5"/>
        <v>46575176.136017501</v>
      </c>
      <c r="I33" s="1494">
        <v>40986154.999695398</v>
      </c>
      <c r="J33" s="1494">
        <v>5589021.1363220997</v>
      </c>
      <c r="K33" s="1495"/>
      <c r="L33" s="1493">
        <f t="shared" si="6"/>
        <v>675605915.02423561</v>
      </c>
      <c r="M33" s="1494">
        <v>337802957.5121178</v>
      </c>
      <c r="N33" s="1494">
        <v>337229273.34211779</v>
      </c>
      <c r="O33" s="1502">
        <v>573684.17000000004</v>
      </c>
    </row>
    <row r="34" spans="1:15" x14ac:dyDescent="0.3">
      <c r="A34" s="609" t="s">
        <v>76</v>
      </c>
      <c r="B34" s="695" t="s">
        <v>77</v>
      </c>
      <c r="C34" s="1477" t="s">
        <v>255</v>
      </c>
      <c r="D34" s="1484">
        <f t="shared" si="1"/>
        <v>59332465.469906472</v>
      </c>
      <c r="E34" s="1485">
        <f t="shared" si="2"/>
        <v>30524138.004267339</v>
      </c>
      <c r="F34" s="1485">
        <f t="shared" si="3"/>
        <v>28668678.965639133</v>
      </c>
      <c r="G34" s="1486">
        <f t="shared" si="4"/>
        <v>139648.50000000003</v>
      </c>
      <c r="H34" s="1493">
        <f t="shared" si="5"/>
        <v>2257645.44556343</v>
      </c>
      <c r="I34" s="1494">
        <v>1986727.9920958183</v>
      </c>
      <c r="J34" s="1494">
        <v>270917.45346761157</v>
      </c>
      <c r="K34" s="1495"/>
      <c r="L34" s="1493">
        <f t="shared" si="6"/>
        <v>57074820.024343044</v>
      </c>
      <c r="M34" s="1494">
        <v>28537410.012171522</v>
      </c>
      <c r="N34" s="1494">
        <v>28397761.512171522</v>
      </c>
      <c r="O34" s="1502">
        <v>139648.50000000003</v>
      </c>
    </row>
    <row r="35" spans="1:15" x14ac:dyDescent="0.3">
      <c r="A35" s="609" t="s">
        <v>78</v>
      </c>
      <c r="B35" s="695" t="s">
        <v>79</v>
      </c>
      <c r="C35" s="1477" t="s">
        <v>256</v>
      </c>
      <c r="D35" s="1484">
        <f t="shared" si="1"/>
        <v>26394486.337754495</v>
      </c>
      <c r="E35" s="1485">
        <f t="shared" si="2"/>
        <v>13610954.921581475</v>
      </c>
      <c r="F35" s="1485">
        <f t="shared" si="3"/>
        <v>12756670.58617302</v>
      </c>
      <c r="G35" s="1486">
        <f t="shared" si="4"/>
        <v>26860.83</v>
      </c>
      <c r="H35" s="1493">
        <f t="shared" si="5"/>
        <v>1088715.1386953362</v>
      </c>
      <c r="I35" s="1494">
        <v>958069.3220518959</v>
      </c>
      <c r="J35" s="1494">
        <v>130645.81664344034</v>
      </c>
      <c r="K35" s="1495"/>
      <c r="L35" s="1493">
        <f t="shared" si="6"/>
        <v>25305771.199059159</v>
      </c>
      <c r="M35" s="1494">
        <v>12652885.599529579</v>
      </c>
      <c r="N35" s="1494">
        <v>12626024.769529579</v>
      </c>
      <c r="O35" s="1502">
        <v>26860.83</v>
      </c>
    </row>
    <row r="36" spans="1:15" x14ac:dyDescent="0.3">
      <c r="A36" s="609" t="s">
        <v>80</v>
      </c>
      <c r="B36" s="695" t="s">
        <v>81</v>
      </c>
      <c r="C36" s="1477" t="s">
        <v>254</v>
      </c>
      <c r="D36" s="1484">
        <f t="shared" si="1"/>
        <v>26313565.540621538</v>
      </c>
      <c r="E36" s="1485">
        <f t="shared" si="2"/>
        <v>13587669.759366626</v>
      </c>
      <c r="F36" s="1485">
        <f t="shared" si="3"/>
        <v>12657147.931254914</v>
      </c>
      <c r="G36" s="1486">
        <f t="shared" si="4"/>
        <v>68747.850000000006</v>
      </c>
      <c r="H36" s="1493">
        <f t="shared" si="5"/>
        <v>1133913.1290943597</v>
      </c>
      <c r="I36" s="1494">
        <v>997843.55360303656</v>
      </c>
      <c r="J36" s="1494">
        <v>136069.57549132316</v>
      </c>
      <c r="K36" s="1495"/>
      <c r="L36" s="1493">
        <f t="shared" si="6"/>
        <v>25179652.411527179</v>
      </c>
      <c r="M36" s="1494">
        <v>12589826.20576359</v>
      </c>
      <c r="N36" s="1494">
        <v>12521078.35576359</v>
      </c>
      <c r="O36" s="1502">
        <v>68747.850000000006</v>
      </c>
    </row>
    <row r="37" spans="1:15" x14ac:dyDescent="0.3">
      <c r="A37" s="609" t="s">
        <v>84</v>
      </c>
      <c r="B37" s="695" t="s">
        <v>296</v>
      </c>
      <c r="C37" s="1477" t="s">
        <v>253</v>
      </c>
      <c r="D37" s="1484">
        <f t="shared" ref="D37:D68" si="7">H37+L37</f>
        <v>80456654.219762266</v>
      </c>
      <c r="E37" s="1485">
        <f t="shared" ref="E37:E68" si="8">+I37+M37</f>
        <v>41290056.824623674</v>
      </c>
      <c r="F37" s="1485">
        <f t="shared" ref="F37:F68" si="9">+J37+N37</f>
        <v>38888703.695138589</v>
      </c>
      <c r="G37" s="1486">
        <f t="shared" ref="G37:G68" si="10">K37+O37</f>
        <v>277893.7</v>
      </c>
      <c r="H37" s="1493">
        <f t="shared" ref="H37:H68" si="11">I37+J37+K37</f>
        <v>2794025.5651119524</v>
      </c>
      <c r="I37" s="1494">
        <v>2458742.4972985182</v>
      </c>
      <c r="J37" s="1494">
        <v>335283.06781343429</v>
      </c>
      <c r="K37" s="1495"/>
      <c r="L37" s="1493">
        <f t="shared" ref="L37:L68" si="12">M37+N37+O37</f>
        <v>77662628.654650316</v>
      </c>
      <c r="M37" s="1494">
        <v>38831314.327325158</v>
      </c>
      <c r="N37" s="1494">
        <v>38553420.627325155</v>
      </c>
      <c r="O37" s="1502">
        <v>277893.7</v>
      </c>
    </row>
    <row r="38" spans="1:15" x14ac:dyDescent="0.3">
      <c r="A38" s="609" t="s">
        <v>86</v>
      </c>
      <c r="B38" s="695" t="s">
        <v>87</v>
      </c>
      <c r="C38" s="1477" t="s">
        <v>255</v>
      </c>
      <c r="D38" s="1484">
        <f t="shared" si="7"/>
        <v>77453096.622278243</v>
      </c>
      <c r="E38" s="1485">
        <f t="shared" si="8"/>
        <v>40252506.014239758</v>
      </c>
      <c r="F38" s="1485">
        <f t="shared" si="9"/>
        <v>36912935.968038477</v>
      </c>
      <c r="G38" s="1486">
        <f t="shared" si="10"/>
        <v>287654.64000000007</v>
      </c>
      <c r="H38" s="1493">
        <f t="shared" si="11"/>
        <v>4015678.1660543159</v>
      </c>
      <c r="I38" s="1494">
        <v>3533796.7861277978</v>
      </c>
      <c r="J38" s="1494">
        <v>481881.37992651784</v>
      </c>
      <c r="K38" s="1495"/>
      <c r="L38" s="1493">
        <f t="shared" si="12"/>
        <v>73437418.45622392</v>
      </c>
      <c r="M38" s="1494">
        <v>36718709.22811196</v>
      </c>
      <c r="N38" s="1494">
        <v>36431054.588111959</v>
      </c>
      <c r="O38" s="1502">
        <v>287654.64000000007</v>
      </c>
    </row>
    <row r="39" spans="1:15" x14ac:dyDescent="0.3">
      <c r="A39" s="609" t="s">
        <v>92</v>
      </c>
      <c r="B39" s="695" t="s">
        <v>93</v>
      </c>
      <c r="C39" s="1477" t="s">
        <v>256</v>
      </c>
      <c r="D39" s="1484">
        <f t="shared" si="7"/>
        <v>27626639.76022001</v>
      </c>
      <c r="E39" s="1485">
        <f t="shared" si="8"/>
        <v>14076082.280289263</v>
      </c>
      <c r="F39" s="1485">
        <f t="shared" si="9"/>
        <v>13491789.899930747</v>
      </c>
      <c r="G39" s="1486">
        <f t="shared" si="10"/>
        <v>58767.579999999994</v>
      </c>
      <c r="H39" s="1493">
        <f t="shared" si="11"/>
        <v>691480.00047173095</v>
      </c>
      <c r="I39" s="1494">
        <v>608502.40041512321</v>
      </c>
      <c r="J39" s="1494">
        <v>82977.600056607713</v>
      </c>
      <c r="K39" s="1495"/>
      <c r="L39" s="1493">
        <f t="shared" si="12"/>
        <v>26935159.75974828</v>
      </c>
      <c r="M39" s="1494">
        <v>13467579.87987414</v>
      </c>
      <c r="N39" s="1494">
        <v>13408812.29987414</v>
      </c>
      <c r="O39" s="1502">
        <v>58767.579999999994</v>
      </c>
    </row>
    <row r="40" spans="1:15" x14ac:dyDescent="0.3">
      <c r="A40" s="609" t="s">
        <v>94</v>
      </c>
      <c r="B40" s="695" t="s">
        <v>95</v>
      </c>
      <c r="C40" s="1477" t="s">
        <v>252</v>
      </c>
      <c r="D40" s="1484">
        <f t="shared" si="7"/>
        <v>45391500.69922971</v>
      </c>
      <c r="E40" s="1485">
        <f t="shared" si="8"/>
        <v>23258957.487044986</v>
      </c>
      <c r="F40" s="1485">
        <f t="shared" si="9"/>
        <v>22096895.392184723</v>
      </c>
      <c r="G40" s="1486">
        <f t="shared" si="10"/>
        <v>35647.820000000007</v>
      </c>
      <c r="H40" s="1493">
        <f t="shared" si="11"/>
        <v>1482124.0458687702</v>
      </c>
      <c r="I40" s="1494">
        <v>1304269.1603645177</v>
      </c>
      <c r="J40" s="1494">
        <v>177854.88550425239</v>
      </c>
      <c r="K40" s="1495"/>
      <c r="L40" s="1493">
        <f t="shared" si="12"/>
        <v>43909376.653360941</v>
      </c>
      <c r="M40" s="1494">
        <v>21954688.32668047</v>
      </c>
      <c r="N40" s="1494">
        <v>21919040.50668047</v>
      </c>
      <c r="O40" s="1502">
        <v>35647.820000000007</v>
      </c>
    </row>
    <row r="41" spans="1:15" x14ac:dyDescent="0.3">
      <c r="A41" s="609" t="s">
        <v>96</v>
      </c>
      <c r="B41" s="695" t="s">
        <v>97</v>
      </c>
      <c r="C41" s="1477" t="s">
        <v>254</v>
      </c>
      <c r="D41" s="1484">
        <f t="shared" si="7"/>
        <v>17970228.976975597</v>
      </c>
      <c r="E41" s="1485">
        <f t="shared" si="8"/>
        <v>9232159.6721018814</v>
      </c>
      <c r="F41" s="1485">
        <f t="shared" si="9"/>
        <v>8713508.354873715</v>
      </c>
      <c r="G41" s="1486">
        <f t="shared" si="10"/>
        <v>24560.95</v>
      </c>
      <c r="H41" s="1493">
        <f t="shared" si="11"/>
        <v>650118.90424758813</v>
      </c>
      <c r="I41" s="1494">
        <v>572104.63573787757</v>
      </c>
      <c r="J41" s="1494">
        <v>78014.268509710571</v>
      </c>
      <c r="K41" s="1495"/>
      <c r="L41" s="1493">
        <f t="shared" si="12"/>
        <v>17320110.072728008</v>
      </c>
      <c r="M41" s="1494">
        <v>8660055.036364004</v>
      </c>
      <c r="N41" s="1494">
        <v>8635494.0863640048</v>
      </c>
      <c r="O41" s="1502">
        <v>24560.95</v>
      </c>
    </row>
    <row r="42" spans="1:15" x14ac:dyDescent="0.3">
      <c r="A42" s="609" t="s">
        <v>98</v>
      </c>
      <c r="B42" s="695" t="s">
        <v>99</v>
      </c>
      <c r="C42" s="1477" t="s">
        <v>256</v>
      </c>
      <c r="D42" s="1484">
        <f t="shared" si="7"/>
        <v>28213435.495266549</v>
      </c>
      <c r="E42" s="1485">
        <f t="shared" si="8"/>
        <v>14528317.362203186</v>
      </c>
      <c r="F42" s="1485">
        <f t="shared" si="9"/>
        <v>13620773.773063362</v>
      </c>
      <c r="G42" s="1486">
        <f t="shared" si="10"/>
        <v>64344.360000000008</v>
      </c>
      <c r="H42" s="1493">
        <f t="shared" si="11"/>
        <v>1109472.6699208226</v>
      </c>
      <c r="I42" s="1494">
        <v>976335.94953032385</v>
      </c>
      <c r="J42" s="1494">
        <v>133136.7203904987</v>
      </c>
      <c r="K42" s="1495"/>
      <c r="L42" s="1493">
        <f t="shared" si="12"/>
        <v>27103962.825345725</v>
      </c>
      <c r="M42" s="1494">
        <v>13551981.412672862</v>
      </c>
      <c r="N42" s="1494">
        <v>13487637.052672863</v>
      </c>
      <c r="O42" s="1502">
        <v>64344.360000000008</v>
      </c>
    </row>
    <row r="43" spans="1:15" x14ac:dyDescent="0.3">
      <c r="A43" s="609" t="s">
        <v>100</v>
      </c>
      <c r="B43" s="695" t="s">
        <v>101</v>
      </c>
      <c r="C43" s="1477" t="s">
        <v>255</v>
      </c>
      <c r="D43" s="1484">
        <f t="shared" si="7"/>
        <v>23746839.087380584</v>
      </c>
      <c r="E43" s="1485">
        <f t="shared" si="8"/>
        <v>12320252.699520547</v>
      </c>
      <c r="F43" s="1485">
        <f t="shared" si="9"/>
        <v>11382493.487860037</v>
      </c>
      <c r="G43" s="1486">
        <f t="shared" si="10"/>
        <v>44092.899999999994</v>
      </c>
      <c r="H43" s="1493">
        <f t="shared" si="11"/>
        <v>1175876.7258690924</v>
      </c>
      <c r="I43" s="1494">
        <v>1034771.5187648013</v>
      </c>
      <c r="J43" s="1494">
        <v>141105.20710429107</v>
      </c>
      <c r="K43" s="1495"/>
      <c r="L43" s="1493">
        <f t="shared" si="12"/>
        <v>22570962.361511491</v>
      </c>
      <c r="M43" s="1494">
        <v>11285481.180755746</v>
      </c>
      <c r="N43" s="1494">
        <v>11241388.280755745</v>
      </c>
      <c r="O43" s="1502">
        <v>44092.899999999994</v>
      </c>
    </row>
    <row r="44" spans="1:15" x14ac:dyDescent="0.3">
      <c r="A44" s="609" t="s">
        <v>102</v>
      </c>
      <c r="B44" s="695" t="s">
        <v>103</v>
      </c>
      <c r="C44" s="1477" t="s">
        <v>252</v>
      </c>
      <c r="D44" s="1484">
        <f t="shared" si="7"/>
        <v>40640136.648539782</v>
      </c>
      <c r="E44" s="1485">
        <f t="shared" si="8"/>
        <v>20687919.87734203</v>
      </c>
      <c r="F44" s="1485">
        <f t="shared" si="9"/>
        <v>19925964.891197752</v>
      </c>
      <c r="G44" s="1486">
        <f t="shared" si="10"/>
        <v>26251.88</v>
      </c>
      <c r="H44" s="1493">
        <f t="shared" si="11"/>
        <v>968030.40282142151</v>
      </c>
      <c r="I44" s="1494">
        <v>851866.7544828509</v>
      </c>
      <c r="J44" s="1494">
        <v>116145.88833857057</v>
      </c>
      <c r="K44" s="1495">
        <v>17.760000000000002</v>
      </c>
      <c r="L44" s="1493">
        <f t="shared" si="12"/>
        <v>39672106.24571836</v>
      </c>
      <c r="M44" s="1494">
        <v>19836053.12285918</v>
      </c>
      <c r="N44" s="1494">
        <v>19809819.002859183</v>
      </c>
      <c r="O44" s="1502">
        <v>26234.120000000003</v>
      </c>
    </row>
    <row r="45" spans="1:15" x14ac:dyDescent="0.3">
      <c r="A45" s="609" t="s">
        <v>104</v>
      </c>
      <c r="B45" s="695" t="s">
        <v>297</v>
      </c>
      <c r="C45" s="1477" t="s">
        <v>253</v>
      </c>
      <c r="D45" s="1484">
        <f t="shared" si="7"/>
        <v>77546793.800570801</v>
      </c>
      <c r="E45" s="1485">
        <f t="shared" si="8"/>
        <v>39411362.078280486</v>
      </c>
      <c r="F45" s="1485">
        <f t="shared" si="9"/>
        <v>38011615.792290308</v>
      </c>
      <c r="G45" s="1486">
        <f t="shared" si="10"/>
        <v>123815.93</v>
      </c>
      <c r="H45" s="1493">
        <f t="shared" si="11"/>
        <v>1678855.7315660203</v>
      </c>
      <c r="I45" s="1494">
        <v>1477393.043778098</v>
      </c>
      <c r="J45" s="1494">
        <v>201462.68778792242</v>
      </c>
      <c r="K45" s="1495"/>
      <c r="L45" s="1493">
        <f t="shared" si="12"/>
        <v>75867938.069004774</v>
      </c>
      <c r="M45" s="1494">
        <v>37933969.034502387</v>
      </c>
      <c r="N45" s="1494">
        <v>37810153.104502387</v>
      </c>
      <c r="O45" s="1502">
        <v>123815.93</v>
      </c>
    </row>
    <row r="46" spans="1:15" x14ac:dyDescent="0.3">
      <c r="A46" s="609" t="s">
        <v>108</v>
      </c>
      <c r="B46" s="695" t="s">
        <v>109</v>
      </c>
      <c r="C46" s="1477" t="s">
        <v>254</v>
      </c>
      <c r="D46" s="1484">
        <f t="shared" si="7"/>
        <v>81525232.190746456</v>
      </c>
      <c r="E46" s="1485">
        <f t="shared" si="8"/>
        <v>41946244.97430256</v>
      </c>
      <c r="F46" s="1485">
        <f t="shared" si="9"/>
        <v>39262738.096443899</v>
      </c>
      <c r="G46" s="1486">
        <f t="shared" si="10"/>
        <v>316249.12000000005</v>
      </c>
      <c r="H46" s="1493">
        <f t="shared" si="11"/>
        <v>3114812.8392877132</v>
      </c>
      <c r="I46" s="1494">
        <v>2741035.2985731876</v>
      </c>
      <c r="J46" s="1494">
        <v>373760.13071452559</v>
      </c>
      <c r="K46" s="1495">
        <v>17.41</v>
      </c>
      <c r="L46" s="1493">
        <f t="shared" si="12"/>
        <v>78410419.351458743</v>
      </c>
      <c r="M46" s="1494">
        <v>39205209.675729372</v>
      </c>
      <c r="N46" s="1494">
        <v>38888977.965729371</v>
      </c>
      <c r="O46" s="1502">
        <v>316231.71000000008</v>
      </c>
    </row>
    <row r="47" spans="1:15" x14ac:dyDescent="0.3">
      <c r="A47" s="609" t="s">
        <v>110</v>
      </c>
      <c r="B47" s="695" t="s">
        <v>111</v>
      </c>
      <c r="C47" s="1477" t="s">
        <v>254</v>
      </c>
      <c r="D47" s="1484">
        <f t="shared" si="7"/>
        <v>414309513.4916597</v>
      </c>
      <c r="E47" s="1485">
        <f t="shared" si="8"/>
        <v>213926074.928931</v>
      </c>
      <c r="F47" s="1485">
        <f t="shared" si="9"/>
        <v>199735447.70272869</v>
      </c>
      <c r="G47" s="1486">
        <f t="shared" si="10"/>
        <v>647990.86</v>
      </c>
      <c r="H47" s="1493">
        <f t="shared" si="11"/>
        <v>17819258.376581974</v>
      </c>
      <c r="I47" s="1494">
        <v>15680947.371392138</v>
      </c>
      <c r="J47" s="1494">
        <v>2138311.005189837</v>
      </c>
      <c r="K47" s="1495"/>
      <c r="L47" s="1493">
        <f t="shared" si="12"/>
        <v>396490255.11507773</v>
      </c>
      <c r="M47" s="1494">
        <v>198245127.55753887</v>
      </c>
      <c r="N47" s="1494">
        <v>197597136.69753885</v>
      </c>
      <c r="O47" s="1502">
        <v>647990.86</v>
      </c>
    </row>
    <row r="48" spans="1:15" x14ac:dyDescent="0.3">
      <c r="A48" s="609" t="s">
        <v>112</v>
      </c>
      <c r="B48" s="695" t="s">
        <v>288</v>
      </c>
      <c r="C48" s="1477" t="s">
        <v>253</v>
      </c>
      <c r="D48" s="1484">
        <f t="shared" si="7"/>
        <v>173286442.25714687</v>
      </c>
      <c r="E48" s="1485">
        <f t="shared" si="8"/>
        <v>88372554.863185301</v>
      </c>
      <c r="F48" s="1485">
        <f t="shared" si="9"/>
        <v>84778269.623961568</v>
      </c>
      <c r="G48" s="1486">
        <f t="shared" si="10"/>
        <v>135617.77000000002</v>
      </c>
      <c r="H48" s="1493">
        <f t="shared" si="11"/>
        <v>4550878.248978599</v>
      </c>
      <c r="I48" s="1494">
        <v>4004772.8591011674</v>
      </c>
      <c r="J48" s="1494">
        <v>546105.38987743179</v>
      </c>
      <c r="K48" s="1495"/>
      <c r="L48" s="1493">
        <f t="shared" si="12"/>
        <v>168735564.00816828</v>
      </c>
      <c r="M48" s="1494">
        <v>84367782.00408414</v>
      </c>
      <c r="N48" s="1494">
        <v>84232164.234084129</v>
      </c>
      <c r="O48" s="1502">
        <v>135617.77000000002</v>
      </c>
    </row>
    <row r="49" spans="1:15" x14ac:dyDescent="0.3">
      <c r="A49" s="609" t="s">
        <v>114</v>
      </c>
      <c r="B49" s="695" t="s">
        <v>115</v>
      </c>
      <c r="C49" s="1477" t="s">
        <v>253</v>
      </c>
      <c r="D49" s="1484">
        <f t="shared" si="7"/>
        <v>2263456.8209134885</v>
      </c>
      <c r="E49" s="1485">
        <f t="shared" si="8"/>
        <v>1167672.3898665707</v>
      </c>
      <c r="F49" s="1485">
        <f t="shared" si="9"/>
        <v>1094162.171046918</v>
      </c>
      <c r="G49" s="1486">
        <f t="shared" si="10"/>
        <v>1622.2599999999998</v>
      </c>
      <c r="H49" s="1493">
        <f t="shared" si="11"/>
        <v>94589.419499542826</v>
      </c>
      <c r="I49" s="1494">
        <v>83238.689159597692</v>
      </c>
      <c r="J49" s="1494">
        <v>11350.730339945139</v>
      </c>
      <c r="K49" s="1495"/>
      <c r="L49" s="1493">
        <f t="shared" si="12"/>
        <v>2168867.4014139455</v>
      </c>
      <c r="M49" s="1494">
        <v>1084433.700706973</v>
      </c>
      <c r="N49" s="1494">
        <v>1082811.440706973</v>
      </c>
      <c r="O49" s="1502">
        <v>1622.2599999999998</v>
      </c>
    </row>
    <row r="50" spans="1:15" x14ac:dyDescent="0.3">
      <c r="A50" s="609" t="s">
        <v>118</v>
      </c>
      <c r="B50" s="695" t="s">
        <v>119</v>
      </c>
      <c r="C50" s="1477" t="s">
        <v>252</v>
      </c>
      <c r="D50" s="1484">
        <f t="shared" si="7"/>
        <v>42216740.694034144</v>
      </c>
      <c r="E50" s="1485">
        <f t="shared" si="8"/>
        <v>21559300.004336111</v>
      </c>
      <c r="F50" s="1485">
        <f t="shared" si="9"/>
        <v>20640668.049698029</v>
      </c>
      <c r="G50" s="1486">
        <f t="shared" si="10"/>
        <v>16772.639999999996</v>
      </c>
      <c r="H50" s="1493">
        <f t="shared" si="11"/>
        <v>1186656.9929448417</v>
      </c>
      <c r="I50" s="1494">
        <v>1044258.1537914608</v>
      </c>
      <c r="J50" s="1494">
        <v>142398.83915338101</v>
      </c>
      <c r="K50" s="1495"/>
      <c r="L50" s="1493">
        <f t="shared" si="12"/>
        <v>41030083.7010893</v>
      </c>
      <c r="M50" s="1494">
        <v>20515041.85054465</v>
      </c>
      <c r="N50" s="1494">
        <v>20498269.21054465</v>
      </c>
      <c r="O50" s="1502">
        <v>16772.639999999996</v>
      </c>
    </row>
    <row r="51" spans="1:15" x14ac:dyDescent="0.3">
      <c r="A51" s="609" t="s">
        <v>120</v>
      </c>
      <c r="B51" s="695" t="s">
        <v>121</v>
      </c>
      <c r="C51" s="1477" t="s">
        <v>252</v>
      </c>
      <c r="D51" s="1484">
        <f t="shared" si="7"/>
        <v>43225746.395633027</v>
      </c>
      <c r="E51" s="1485">
        <f t="shared" si="8"/>
        <v>22564126.206164334</v>
      </c>
      <c r="F51" s="1485">
        <f t="shared" si="9"/>
        <v>20527955.549468696</v>
      </c>
      <c r="G51" s="1486">
        <f t="shared" si="10"/>
        <v>133664.64000000001</v>
      </c>
      <c r="H51" s="1493">
        <f t="shared" si="11"/>
        <v>2503297.3903889977</v>
      </c>
      <c r="I51" s="1494">
        <v>2202901.7035423182</v>
      </c>
      <c r="J51" s="1494">
        <v>300395.68684667972</v>
      </c>
      <c r="K51" s="1495"/>
      <c r="L51" s="1493">
        <f t="shared" si="12"/>
        <v>40722449.005244032</v>
      </c>
      <c r="M51" s="1494">
        <v>20361224.502622016</v>
      </c>
      <c r="N51" s="1494">
        <v>20227559.862622015</v>
      </c>
      <c r="O51" s="1502">
        <v>133664.64000000001</v>
      </c>
    </row>
    <row r="52" spans="1:15" x14ac:dyDescent="0.3">
      <c r="A52" s="609" t="s">
        <v>122</v>
      </c>
      <c r="B52" s="695" t="s">
        <v>259</v>
      </c>
      <c r="C52" s="1477" t="s">
        <v>254</v>
      </c>
      <c r="D52" s="1484">
        <f t="shared" si="7"/>
        <v>11167229.0443739</v>
      </c>
      <c r="E52" s="1485">
        <f t="shared" si="8"/>
        <v>5707416.7646009503</v>
      </c>
      <c r="F52" s="1485">
        <f t="shared" si="9"/>
        <v>5459299.0297729494</v>
      </c>
      <c r="G52" s="1486">
        <f t="shared" si="10"/>
        <v>513.25</v>
      </c>
      <c r="H52" s="1493">
        <f t="shared" si="11"/>
        <v>325795.37477368535</v>
      </c>
      <c r="I52" s="1494">
        <v>286699.92980084312</v>
      </c>
      <c r="J52" s="1494">
        <v>39095.444972842241</v>
      </c>
      <c r="K52" s="1495"/>
      <c r="L52" s="1493">
        <f t="shared" si="12"/>
        <v>10841433.669600215</v>
      </c>
      <c r="M52" s="1494">
        <v>5420716.8348001074</v>
      </c>
      <c r="N52" s="1494">
        <v>5420203.5848001074</v>
      </c>
      <c r="O52" s="1502">
        <v>513.25</v>
      </c>
    </row>
    <row r="53" spans="1:15" x14ac:dyDescent="0.3">
      <c r="A53" s="609" t="s">
        <v>124</v>
      </c>
      <c r="B53" s="695" t="s">
        <v>125</v>
      </c>
      <c r="C53" s="1477" t="s">
        <v>255</v>
      </c>
      <c r="D53" s="1484">
        <f t="shared" si="7"/>
        <v>24313965.13573911</v>
      </c>
      <c r="E53" s="1485">
        <f t="shared" si="8"/>
        <v>12537271.322505565</v>
      </c>
      <c r="F53" s="1485">
        <f t="shared" si="9"/>
        <v>11726697.553233545</v>
      </c>
      <c r="G53" s="1486">
        <f t="shared" si="10"/>
        <v>49996.26</v>
      </c>
      <c r="H53" s="1493">
        <f t="shared" si="11"/>
        <v>1000759.8806210802</v>
      </c>
      <c r="I53" s="1494">
        <v>880668.69494655053</v>
      </c>
      <c r="J53" s="1494">
        <v>120091.18567452961</v>
      </c>
      <c r="K53" s="1495"/>
      <c r="L53" s="1493">
        <f t="shared" si="12"/>
        <v>23313205.255118031</v>
      </c>
      <c r="M53" s="1494">
        <v>11656602.627559016</v>
      </c>
      <c r="N53" s="1494">
        <v>11606606.367559016</v>
      </c>
      <c r="O53" s="1502">
        <v>49996.26</v>
      </c>
    </row>
    <row r="54" spans="1:15" x14ac:dyDescent="0.3">
      <c r="A54" s="609" t="s">
        <v>126</v>
      </c>
      <c r="B54" s="695" t="s">
        <v>127</v>
      </c>
      <c r="C54" s="1477" t="s">
        <v>254</v>
      </c>
      <c r="D54" s="1484">
        <f t="shared" si="7"/>
        <v>17227102.81862038</v>
      </c>
      <c r="E54" s="1485">
        <f t="shared" si="8"/>
        <v>8941062.1689373683</v>
      </c>
      <c r="F54" s="1485">
        <f t="shared" si="9"/>
        <v>8280395.1196830142</v>
      </c>
      <c r="G54" s="1486">
        <f t="shared" si="10"/>
        <v>5645.53</v>
      </c>
      <c r="H54" s="1493">
        <f t="shared" si="11"/>
        <v>861870.42007151851</v>
      </c>
      <c r="I54" s="1494">
        <v>758445.96966293629</v>
      </c>
      <c r="J54" s="1494">
        <v>103424.45040858221</v>
      </c>
      <c r="K54" s="1495"/>
      <c r="L54" s="1493">
        <f t="shared" si="12"/>
        <v>16365232.398548862</v>
      </c>
      <c r="M54" s="1494">
        <v>8182616.1992744319</v>
      </c>
      <c r="N54" s="1494">
        <v>8176970.6692744317</v>
      </c>
      <c r="O54" s="1502">
        <v>5645.53</v>
      </c>
    </row>
    <row r="55" spans="1:15" x14ac:dyDescent="0.3">
      <c r="A55" s="609" t="s">
        <v>128</v>
      </c>
      <c r="B55" s="695" t="s">
        <v>129</v>
      </c>
      <c r="C55" s="1477" t="s">
        <v>254</v>
      </c>
      <c r="D55" s="1484">
        <f t="shared" si="7"/>
        <v>17137055.673171826</v>
      </c>
      <c r="E55" s="1485">
        <f t="shared" si="8"/>
        <v>8817556.0052458886</v>
      </c>
      <c r="F55" s="1485">
        <f t="shared" si="9"/>
        <v>8279870.2179259369</v>
      </c>
      <c r="G55" s="1486">
        <f t="shared" si="10"/>
        <v>39629.449999999997</v>
      </c>
      <c r="H55" s="1493">
        <f t="shared" si="11"/>
        <v>655337.28594730492</v>
      </c>
      <c r="I55" s="1494">
        <v>576696.81163362833</v>
      </c>
      <c r="J55" s="1494">
        <v>78640.47431367659</v>
      </c>
      <c r="K55" s="1495"/>
      <c r="L55" s="1493">
        <f t="shared" si="12"/>
        <v>16481718.387224521</v>
      </c>
      <c r="M55" s="1494">
        <v>8240859.1936122607</v>
      </c>
      <c r="N55" s="1494">
        <v>8201229.7436122606</v>
      </c>
      <c r="O55" s="1502">
        <v>39629.449999999997</v>
      </c>
    </row>
    <row r="56" spans="1:15" x14ac:dyDescent="0.3">
      <c r="A56" s="609" t="s">
        <v>130</v>
      </c>
      <c r="B56" s="695" t="s">
        <v>131</v>
      </c>
      <c r="C56" s="1477" t="s">
        <v>256</v>
      </c>
      <c r="D56" s="1484">
        <f t="shared" si="7"/>
        <v>62635124.96101179</v>
      </c>
      <c r="E56" s="1485">
        <f t="shared" si="8"/>
        <v>31870790.32103866</v>
      </c>
      <c r="F56" s="1485">
        <f t="shared" si="9"/>
        <v>30730329.679973129</v>
      </c>
      <c r="G56" s="1486">
        <f t="shared" si="10"/>
        <v>34004.959999999999</v>
      </c>
      <c r="H56" s="1493">
        <f t="shared" si="11"/>
        <v>1455862.7382441182</v>
      </c>
      <c r="I56" s="1494">
        <v>1281159.2096548241</v>
      </c>
      <c r="J56" s="1494">
        <v>174703.52858929418</v>
      </c>
      <c r="K56" s="1495"/>
      <c r="L56" s="1493">
        <f t="shared" si="12"/>
        <v>61179262.222767673</v>
      </c>
      <c r="M56" s="1494">
        <v>30589631.111383837</v>
      </c>
      <c r="N56" s="1494">
        <v>30555626.151383836</v>
      </c>
      <c r="O56" s="1502">
        <v>34004.959999999999</v>
      </c>
    </row>
    <row r="57" spans="1:15" x14ac:dyDescent="0.3">
      <c r="A57" s="609" t="s">
        <v>132</v>
      </c>
      <c r="B57" s="695" t="s">
        <v>133</v>
      </c>
      <c r="C57" s="1477" t="s">
        <v>255</v>
      </c>
      <c r="D57" s="1484">
        <f t="shared" si="7"/>
        <v>187247004.80555767</v>
      </c>
      <c r="E57" s="1485">
        <f t="shared" si="8"/>
        <v>98070781.483506933</v>
      </c>
      <c r="F57" s="1485">
        <f t="shared" si="9"/>
        <v>88867869.252050743</v>
      </c>
      <c r="G57" s="1486">
        <f t="shared" si="10"/>
        <v>308354.07</v>
      </c>
      <c r="H57" s="1493">
        <f t="shared" si="11"/>
        <v>11703366.001916043</v>
      </c>
      <c r="I57" s="1494">
        <v>10298962.081686119</v>
      </c>
      <c r="J57" s="1494">
        <v>1404403.9202299251</v>
      </c>
      <c r="K57" s="1495"/>
      <c r="L57" s="1493">
        <f t="shared" si="12"/>
        <v>175543638.80364162</v>
      </c>
      <c r="M57" s="1494">
        <v>87771819.401820809</v>
      </c>
      <c r="N57" s="1494">
        <v>87463465.331820816</v>
      </c>
      <c r="O57" s="1502">
        <v>308354.07</v>
      </c>
    </row>
    <row r="58" spans="1:15" x14ac:dyDescent="0.3">
      <c r="A58" s="609" t="s">
        <v>134</v>
      </c>
      <c r="B58" s="695" t="s">
        <v>135</v>
      </c>
      <c r="C58" s="1477" t="s">
        <v>255</v>
      </c>
      <c r="D58" s="1484">
        <f t="shared" si="7"/>
        <v>48770535.746834554</v>
      </c>
      <c r="E58" s="1485">
        <f t="shared" si="8"/>
        <v>25081555.628406797</v>
      </c>
      <c r="F58" s="1485">
        <f t="shared" si="9"/>
        <v>23610930.818427756</v>
      </c>
      <c r="G58" s="1486">
        <f t="shared" si="10"/>
        <v>78049.299999999988</v>
      </c>
      <c r="H58" s="1493">
        <f t="shared" si="11"/>
        <v>1832336.1973408398</v>
      </c>
      <c r="I58" s="1494">
        <v>1612455.853659939</v>
      </c>
      <c r="J58" s="1494">
        <v>219880.34368090075</v>
      </c>
      <c r="K58" s="1495"/>
      <c r="L58" s="1493">
        <f t="shared" si="12"/>
        <v>46938199.549493715</v>
      </c>
      <c r="M58" s="1494">
        <v>23469099.774746858</v>
      </c>
      <c r="N58" s="1494">
        <v>23391050.474746857</v>
      </c>
      <c r="O58" s="1502">
        <v>78049.299999999988</v>
      </c>
    </row>
    <row r="59" spans="1:15" x14ac:dyDescent="0.3">
      <c r="A59" s="609" t="s">
        <v>136</v>
      </c>
      <c r="B59" s="695" t="s">
        <v>137</v>
      </c>
      <c r="C59" s="1477" t="s">
        <v>254</v>
      </c>
      <c r="D59" s="1484">
        <f t="shared" si="7"/>
        <v>26768343.055581287</v>
      </c>
      <c r="E59" s="1485">
        <f t="shared" si="8"/>
        <v>13639493.227162071</v>
      </c>
      <c r="F59" s="1485">
        <f t="shared" si="9"/>
        <v>13106920.918419216</v>
      </c>
      <c r="G59" s="1486">
        <f t="shared" si="10"/>
        <v>21928.91</v>
      </c>
      <c r="H59" s="1493">
        <f t="shared" si="11"/>
        <v>671899.20887217752</v>
      </c>
      <c r="I59" s="1494">
        <v>591271.30380751623</v>
      </c>
      <c r="J59" s="1494">
        <v>80627.905064661303</v>
      </c>
      <c r="K59" s="1495"/>
      <c r="L59" s="1493">
        <f t="shared" si="12"/>
        <v>26096443.84670911</v>
      </c>
      <c r="M59" s="1494">
        <v>13048221.923354555</v>
      </c>
      <c r="N59" s="1494">
        <v>13026293.013354555</v>
      </c>
      <c r="O59" s="1502">
        <v>21928.91</v>
      </c>
    </row>
    <row r="60" spans="1:15" x14ac:dyDescent="0.3">
      <c r="A60" s="609" t="s">
        <v>140</v>
      </c>
      <c r="B60" s="695" t="s">
        <v>141</v>
      </c>
      <c r="C60" s="1477" t="s">
        <v>255</v>
      </c>
      <c r="D60" s="1484">
        <f t="shared" si="7"/>
        <v>15732710.830069754</v>
      </c>
      <c r="E60" s="1485">
        <f t="shared" si="8"/>
        <v>8177787.1324038412</v>
      </c>
      <c r="F60" s="1485">
        <f t="shared" si="9"/>
        <v>7529475.4676659117</v>
      </c>
      <c r="G60" s="1486">
        <f t="shared" si="10"/>
        <v>25448.23</v>
      </c>
      <c r="H60" s="1493">
        <f t="shared" si="11"/>
        <v>819557.1509709598</v>
      </c>
      <c r="I60" s="1494">
        <v>721210.29285444459</v>
      </c>
      <c r="J60" s="1494">
        <v>98346.85811651517</v>
      </c>
      <c r="K60" s="1495"/>
      <c r="L60" s="1493">
        <f t="shared" si="12"/>
        <v>14913153.679098794</v>
      </c>
      <c r="M60" s="1494">
        <v>7456576.8395493971</v>
      </c>
      <c r="N60" s="1494">
        <v>7431128.6095493967</v>
      </c>
      <c r="O60" s="1502">
        <v>25448.23</v>
      </c>
    </row>
    <row r="61" spans="1:15" x14ac:dyDescent="0.3">
      <c r="A61" s="609" t="s">
        <v>146</v>
      </c>
      <c r="B61" s="695" t="s">
        <v>147</v>
      </c>
      <c r="C61" s="1477" t="s">
        <v>252</v>
      </c>
      <c r="D61" s="1484">
        <f t="shared" si="7"/>
        <v>13733700.699164625</v>
      </c>
      <c r="E61" s="1485">
        <f t="shared" si="8"/>
        <v>7005637.1491437675</v>
      </c>
      <c r="F61" s="1485">
        <f t="shared" si="9"/>
        <v>6710173.2600208577</v>
      </c>
      <c r="G61" s="1486">
        <f t="shared" si="10"/>
        <v>17890.29</v>
      </c>
      <c r="H61" s="1493">
        <f t="shared" si="11"/>
        <v>365228.41989856539</v>
      </c>
      <c r="I61" s="1494">
        <v>321401.00951073755</v>
      </c>
      <c r="J61" s="1494">
        <v>43827.410387827847</v>
      </c>
      <c r="K61" s="1495"/>
      <c r="L61" s="1493">
        <f t="shared" si="12"/>
        <v>13368472.279266059</v>
      </c>
      <c r="M61" s="1494">
        <v>6684236.1396330297</v>
      </c>
      <c r="N61" s="1494">
        <v>6666345.8496330297</v>
      </c>
      <c r="O61" s="1502">
        <v>17890.29</v>
      </c>
    </row>
    <row r="62" spans="1:15" x14ac:dyDescent="0.3">
      <c r="A62" s="609" t="s">
        <v>148</v>
      </c>
      <c r="B62" s="695" t="s">
        <v>149</v>
      </c>
      <c r="C62" s="1477" t="s">
        <v>253</v>
      </c>
      <c r="D62" s="1484">
        <f t="shared" si="7"/>
        <v>58195527.485206015</v>
      </c>
      <c r="E62" s="1485">
        <f t="shared" si="8"/>
        <v>29709640.564065594</v>
      </c>
      <c r="F62" s="1485">
        <f t="shared" si="9"/>
        <v>28382172.681140415</v>
      </c>
      <c r="G62" s="1486">
        <f t="shared" si="10"/>
        <v>103714.24000000002</v>
      </c>
      <c r="H62" s="1493">
        <f t="shared" si="11"/>
        <v>1610202.1617436577</v>
      </c>
      <c r="I62" s="1494">
        <v>1416977.9023344188</v>
      </c>
      <c r="J62" s="1494">
        <v>193224.2594092389</v>
      </c>
      <c r="K62" s="1495"/>
      <c r="L62" s="1493">
        <f t="shared" si="12"/>
        <v>56585325.32346236</v>
      </c>
      <c r="M62" s="1494">
        <v>28292662.661731176</v>
      </c>
      <c r="N62" s="1494">
        <v>28188948.421731178</v>
      </c>
      <c r="O62" s="1502">
        <v>103714.24000000002</v>
      </c>
    </row>
    <row r="63" spans="1:15" x14ac:dyDescent="0.3">
      <c r="A63" s="609" t="s">
        <v>150</v>
      </c>
      <c r="B63" s="695" t="s">
        <v>151</v>
      </c>
      <c r="C63" s="1477" t="s">
        <v>254</v>
      </c>
      <c r="D63" s="1484">
        <f t="shared" si="7"/>
        <v>18114458.337568805</v>
      </c>
      <c r="E63" s="1485">
        <f t="shared" si="8"/>
        <v>9225876.6146807037</v>
      </c>
      <c r="F63" s="1485">
        <f t="shared" si="9"/>
        <v>8884624.6028880998</v>
      </c>
      <c r="G63" s="1486">
        <f t="shared" si="10"/>
        <v>3957.12</v>
      </c>
      <c r="H63" s="1493">
        <f t="shared" si="11"/>
        <v>443809.06814816361</v>
      </c>
      <c r="I63" s="1494">
        <v>390551.97997038398</v>
      </c>
      <c r="J63" s="1494">
        <v>53257.088177779631</v>
      </c>
      <c r="K63" s="1495"/>
      <c r="L63" s="1493">
        <f t="shared" si="12"/>
        <v>17670649.269420642</v>
      </c>
      <c r="M63" s="1494">
        <v>8835324.6347103193</v>
      </c>
      <c r="N63" s="1494">
        <v>8831367.5147103202</v>
      </c>
      <c r="O63" s="1502">
        <v>3957.12</v>
      </c>
    </row>
    <row r="64" spans="1:15" x14ac:dyDescent="0.3">
      <c r="A64" s="609" t="s">
        <v>152</v>
      </c>
      <c r="B64" s="695" t="s">
        <v>153</v>
      </c>
      <c r="C64" s="1477" t="s">
        <v>256</v>
      </c>
      <c r="D64" s="1484">
        <f t="shared" si="7"/>
        <v>79830663.935901672</v>
      </c>
      <c r="E64" s="1485">
        <f t="shared" si="8"/>
        <v>40955155.161189638</v>
      </c>
      <c r="F64" s="1485">
        <f t="shared" si="9"/>
        <v>38865614.914712042</v>
      </c>
      <c r="G64" s="1486">
        <f t="shared" si="10"/>
        <v>9893.86</v>
      </c>
      <c r="H64" s="1493">
        <f t="shared" si="11"/>
        <v>2736376.824312631</v>
      </c>
      <c r="I64" s="1494">
        <v>2408011.6053951154</v>
      </c>
      <c r="J64" s="1494">
        <v>328365.21891751571</v>
      </c>
      <c r="K64" s="1495"/>
      <c r="L64" s="1493">
        <f t="shared" si="12"/>
        <v>77094287.111589044</v>
      </c>
      <c r="M64" s="1494">
        <v>38547143.555794522</v>
      </c>
      <c r="N64" s="1494">
        <v>38537249.695794523</v>
      </c>
      <c r="O64" s="1502">
        <v>9893.86</v>
      </c>
    </row>
    <row r="65" spans="1:15" x14ac:dyDescent="0.3">
      <c r="A65" s="609" t="s">
        <v>154</v>
      </c>
      <c r="B65" s="695" t="s">
        <v>155</v>
      </c>
      <c r="C65" s="1477" t="s">
        <v>253</v>
      </c>
      <c r="D65" s="1484">
        <f t="shared" si="7"/>
        <v>24204695.894652855</v>
      </c>
      <c r="E65" s="1485">
        <f t="shared" si="8"/>
        <v>12427046.277040422</v>
      </c>
      <c r="F65" s="1485">
        <f t="shared" si="9"/>
        <v>11751286.707612434</v>
      </c>
      <c r="G65" s="1486">
        <f t="shared" si="10"/>
        <v>26362.91</v>
      </c>
      <c r="H65" s="1493">
        <f t="shared" si="11"/>
        <v>854469.28872103721</v>
      </c>
      <c r="I65" s="1494">
        <v>751932.97407451272</v>
      </c>
      <c r="J65" s="1494">
        <v>102536.31464652446</v>
      </c>
      <c r="K65" s="1495"/>
      <c r="L65" s="1493">
        <f t="shared" si="12"/>
        <v>23350226.605931818</v>
      </c>
      <c r="M65" s="1494">
        <v>11675113.302965909</v>
      </c>
      <c r="N65" s="1494">
        <v>11648750.392965909</v>
      </c>
      <c r="O65" s="1502">
        <v>26362.91</v>
      </c>
    </row>
    <row r="66" spans="1:15" x14ac:dyDescent="0.3">
      <c r="A66" s="609" t="s">
        <v>156</v>
      </c>
      <c r="B66" s="695" t="s">
        <v>157</v>
      </c>
      <c r="C66" s="1477" t="s">
        <v>254</v>
      </c>
      <c r="D66" s="1484">
        <f t="shared" si="7"/>
        <v>17417915.706296299</v>
      </c>
      <c r="E66" s="1485">
        <f t="shared" si="8"/>
        <v>8967008.4778505638</v>
      </c>
      <c r="F66" s="1485">
        <f t="shared" si="9"/>
        <v>8434006.5084457342</v>
      </c>
      <c r="G66" s="1486">
        <f t="shared" si="10"/>
        <v>16900.72</v>
      </c>
      <c r="H66" s="1493">
        <f t="shared" si="11"/>
        <v>679080.59132214333</v>
      </c>
      <c r="I66" s="1494">
        <v>597590.92036348616</v>
      </c>
      <c r="J66" s="1494">
        <v>81489.670958657196</v>
      </c>
      <c r="K66" s="1495"/>
      <c r="L66" s="1493">
        <f t="shared" si="12"/>
        <v>16738835.114974154</v>
      </c>
      <c r="M66" s="1494">
        <v>8369417.5574870771</v>
      </c>
      <c r="N66" s="1494">
        <v>8352516.8374870773</v>
      </c>
      <c r="O66" s="1502">
        <v>16900.72</v>
      </c>
    </row>
    <row r="67" spans="1:15" x14ac:dyDescent="0.3">
      <c r="A67" s="609" t="s">
        <v>162</v>
      </c>
      <c r="B67" s="695" t="s">
        <v>163</v>
      </c>
      <c r="C67" s="1477" t="s">
        <v>252</v>
      </c>
      <c r="D67" s="1484">
        <f t="shared" si="7"/>
        <v>36209415.23729568</v>
      </c>
      <c r="E67" s="1485">
        <f t="shared" si="8"/>
        <v>18502079.398702513</v>
      </c>
      <c r="F67" s="1485">
        <f t="shared" si="9"/>
        <v>17676182.498593166</v>
      </c>
      <c r="G67" s="1486">
        <f t="shared" si="10"/>
        <v>31153.34</v>
      </c>
      <c r="H67" s="1493">
        <f t="shared" si="11"/>
        <v>1045715.210670196</v>
      </c>
      <c r="I67" s="1494">
        <v>920229.38538977248</v>
      </c>
      <c r="J67" s="1494">
        <v>125485.82528042351</v>
      </c>
      <c r="K67" s="1495"/>
      <c r="L67" s="1493">
        <f t="shared" si="12"/>
        <v>35163700.026625484</v>
      </c>
      <c r="M67" s="1494">
        <v>17581850.013312742</v>
      </c>
      <c r="N67" s="1494">
        <v>17550696.673312742</v>
      </c>
      <c r="O67" s="1502">
        <v>31153.34</v>
      </c>
    </row>
    <row r="68" spans="1:15" x14ac:dyDescent="0.3">
      <c r="A68" s="609" t="s">
        <v>164</v>
      </c>
      <c r="B68" s="695" t="s">
        <v>165</v>
      </c>
      <c r="C68" s="1477" t="s">
        <v>254</v>
      </c>
      <c r="D68" s="1484">
        <f t="shared" si="7"/>
        <v>16978264.317973211</v>
      </c>
      <c r="E68" s="1485">
        <f t="shared" si="8"/>
        <v>8721217.4572001975</v>
      </c>
      <c r="F68" s="1485">
        <f t="shared" si="9"/>
        <v>8211137.5407730145</v>
      </c>
      <c r="G68" s="1486">
        <f t="shared" si="10"/>
        <v>45909.32</v>
      </c>
      <c r="H68" s="1493">
        <f t="shared" si="11"/>
        <v>610750.78477260855</v>
      </c>
      <c r="I68" s="1494">
        <v>537460.69059989555</v>
      </c>
      <c r="J68" s="1494">
        <v>73290.094172713027</v>
      </c>
      <c r="K68" s="1495"/>
      <c r="L68" s="1493">
        <f t="shared" si="12"/>
        <v>16367513.533200603</v>
      </c>
      <c r="M68" s="1494">
        <v>8183756.7666003015</v>
      </c>
      <c r="N68" s="1494">
        <v>8137847.4466003012</v>
      </c>
      <c r="O68" s="1502">
        <v>45909.32</v>
      </c>
    </row>
    <row r="69" spans="1:15" x14ac:dyDescent="0.3">
      <c r="A69" s="609" t="s">
        <v>168</v>
      </c>
      <c r="B69" s="695" t="s">
        <v>169</v>
      </c>
      <c r="C69" s="1477" t="s">
        <v>254</v>
      </c>
      <c r="D69" s="1484">
        <f t="shared" ref="D69:D100" si="13">H69+L69</f>
        <v>31892166.775003526</v>
      </c>
      <c r="E69" s="1485">
        <f t="shared" ref="E69:E100" si="14">+I69+M69</f>
        <v>16301447.209269805</v>
      </c>
      <c r="F69" s="1485">
        <f t="shared" ref="F69:F100" si="15">+J69+N69</f>
        <v>15438868.285733717</v>
      </c>
      <c r="G69" s="1486">
        <f t="shared" ref="G69:G100" si="16">K69+O69</f>
        <v>151851.28</v>
      </c>
      <c r="H69" s="1493">
        <f t="shared" ref="H69:H100" si="17">I69+J69+K69</f>
        <v>935167.95202116971</v>
      </c>
      <c r="I69" s="1494">
        <v>822947.79777862935</v>
      </c>
      <c r="J69" s="1494">
        <v>112220.15424254036</v>
      </c>
      <c r="K69" s="1495"/>
      <c r="L69" s="1493">
        <f t="shared" ref="L69:L100" si="18">M69+N69+O69</f>
        <v>30956998.822982356</v>
      </c>
      <c r="M69" s="1494">
        <v>15478499.411491176</v>
      </c>
      <c r="N69" s="1494">
        <v>15326648.131491177</v>
      </c>
      <c r="O69" s="1502">
        <v>151851.28</v>
      </c>
    </row>
    <row r="70" spans="1:15" x14ac:dyDescent="0.3">
      <c r="A70" s="609" t="s">
        <v>170</v>
      </c>
      <c r="B70" s="695" t="s">
        <v>171</v>
      </c>
      <c r="C70" s="1477" t="s">
        <v>255</v>
      </c>
      <c r="D70" s="1484">
        <f t="shared" si="13"/>
        <v>48333055.078409024</v>
      </c>
      <c r="E70" s="1485">
        <f t="shared" si="14"/>
        <v>24921991.860986553</v>
      </c>
      <c r="F70" s="1485">
        <f t="shared" si="15"/>
        <v>23242453.82742247</v>
      </c>
      <c r="G70" s="1486">
        <f t="shared" si="16"/>
        <v>168609.39</v>
      </c>
      <c r="H70" s="1493">
        <f t="shared" si="17"/>
        <v>1988064.0046895805</v>
      </c>
      <c r="I70" s="1494">
        <v>1749496.3241268308</v>
      </c>
      <c r="J70" s="1494">
        <v>238567.68056274965</v>
      </c>
      <c r="K70" s="1495"/>
      <c r="L70" s="1493">
        <f t="shared" si="18"/>
        <v>46344991.073719442</v>
      </c>
      <c r="M70" s="1494">
        <v>23172495.536859721</v>
      </c>
      <c r="N70" s="1494">
        <v>23003886.14685972</v>
      </c>
      <c r="O70" s="1502">
        <v>168609.39</v>
      </c>
    </row>
    <row r="71" spans="1:15" x14ac:dyDescent="0.3">
      <c r="A71" s="609" t="s">
        <v>172</v>
      </c>
      <c r="B71" s="695" t="s">
        <v>173</v>
      </c>
      <c r="C71" s="1477" t="s">
        <v>255</v>
      </c>
      <c r="D71" s="1484">
        <f t="shared" si="13"/>
        <v>35931580.274614431</v>
      </c>
      <c r="E71" s="1485">
        <f t="shared" si="14"/>
        <v>18453557.280224055</v>
      </c>
      <c r="F71" s="1485">
        <f t="shared" si="15"/>
        <v>17362725.444390375</v>
      </c>
      <c r="G71" s="1486">
        <f t="shared" si="16"/>
        <v>115297.55</v>
      </c>
      <c r="H71" s="1493">
        <f t="shared" si="17"/>
        <v>1283597.7445179955</v>
      </c>
      <c r="I71" s="1494">
        <v>1129566.0151758362</v>
      </c>
      <c r="J71" s="1494">
        <v>153998.0493421595</v>
      </c>
      <c r="K71" s="1495">
        <v>33.68</v>
      </c>
      <c r="L71" s="1493">
        <f t="shared" si="18"/>
        <v>34647982.530096434</v>
      </c>
      <c r="M71" s="1494">
        <v>17323991.265048217</v>
      </c>
      <c r="N71" s="1494">
        <v>17208727.395048216</v>
      </c>
      <c r="O71" s="1502">
        <v>115263.87000000001</v>
      </c>
    </row>
    <row r="72" spans="1:15" x14ac:dyDescent="0.3">
      <c r="A72" s="609" t="s">
        <v>174</v>
      </c>
      <c r="B72" s="695" t="s">
        <v>175</v>
      </c>
      <c r="C72" s="1477" t="s">
        <v>256</v>
      </c>
      <c r="D72" s="1484">
        <f t="shared" si="13"/>
        <v>33356900.167303655</v>
      </c>
      <c r="E72" s="1485">
        <f t="shared" si="14"/>
        <v>17077209.446170475</v>
      </c>
      <c r="F72" s="1485">
        <f t="shared" si="15"/>
        <v>16267240.291133182</v>
      </c>
      <c r="G72" s="1486">
        <f t="shared" si="16"/>
        <v>12450.43</v>
      </c>
      <c r="H72" s="1493">
        <f t="shared" si="17"/>
        <v>1049366.7434701226</v>
      </c>
      <c r="I72" s="1494">
        <v>923442.73425370792</v>
      </c>
      <c r="J72" s="1494">
        <v>125924.00921641471</v>
      </c>
      <c r="K72" s="1495"/>
      <c r="L72" s="1493">
        <f t="shared" si="18"/>
        <v>32307533.423833534</v>
      </c>
      <c r="M72" s="1494">
        <v>16153766.711916767</v>
      </c>
      <c r="N72" s="1494">
        <v>16141316.281916767</v>
      </c>
      <c r="O72" s="1502">
        <v>12450.43</v>
      </c>
    </row>
    <row r="73" spans="1:15" x14ac:dyDescent="0.3">
      <c r="A73" s="609" t="s">
        <v>178</v>
      </c>
      <c r="B73" s="695" t="s">
        <v>179</v>
      </c>
      <c r="C73" s="1477" t="s">
        <v>253</v>
      </c>
      <c r="D73" s="1484">
        <f t="shared" si="13"/>
        <v>112446155.43974517</v>
      </c>
      <c r="E73" s="1485">
        <f t="shared" si="14"/>
        <v>57529610.016412877</v>
      </c>
      <c r="F73" s="1485">
        <f t="shared" si="15"/>
        <v>54756342.593332298</v>
      </c>
      <c r="G73" s="1486">
        <f t="shared" si="16"/>
        <v>160202.83000000002</v>
      </c>
      <c r="H73" s="1493">
        <f t="shared" si="17"/>
        <v>3438242.8856323417</v>
      </c>
      <c r="I73" s="1494">
        <v>3025653.7393564605</v>
      </c>
      <c r="J73" s="1494">
        <v>412589.14627588098</v>
      </c>
      <c r="K73" s="1495"/>
      <c r="L73" s="1493">
        <f t="shared" si="18"/>
        <v>109007912.55411284</v>
      </c>
      <c r="M73" s="1494">
        <v>54503956.277056418</v>
      </c>
      <c r="N73" s="1494">
        <v>54343753.44705642</v>
      </c>
      <c r="O73" s="1502">
        <v>160202.83000000002</v>
      </c>
    </row>
    <row r="74" spans="1:15" x14ac:dyDescent="0.3">
      <c r="A74" s="609" t="s">
        <v>182</v>
      </c>
      <c r="B74" s="695" t="s">
        <v>183</v>
      </c>
      <c r="C74" s="1477" t="s">
        <v>254</v>
      </c>
      <c r="D74" s="1484">
        <f t="shared" si="13"/>
        <v>20712253.214255031</v>
      </c>
      <c r="E74" s="1485">
        <f t="shared" si="14"/>
        <v>10706885.313585566</v>
      </c>
      <c r="F74" s="1485">
        <f t="shared" si="15"/>
        <v>9942313.5506694652</v>
      </c>
      <c r="G74" s="1486">
        <f t="shared" si="16"/>
        <v>63054.35</v>
      </c>
      <c r="H74" s="1493">
        <f t="shared" si="17"/>
        <v>923049.22752118541</v>
      </c>
      <c r="I74" s="1494">
        <v>812283.32021864317</v>
      </c>
      <c r="J74" s="1494">
        <v>110765.90730254224</v>
      </c>
      <c r="K74" s="1495"/>
      <c r="L74" s="1493">
        <f t="shared" si="18"/>
        <v>19789203.986733846</v>
      </c>
      <c r="M74" s="1494">
        <v>9894601.9933669232</v>
      </c>
      <c r="N74" s="1494">
        <v>9831547.6433669236</v>
      </c>
      <c r="O74" s="1502">
        <v>63054.35</v>
      </c>
    </row>
    <row r="75" spans="1:15" x14ac:dyDescent="0.3">
      <c r="A75" s="609" t="s">
        <v>184</v>
      </c>
      <c r="B75" s="695" t="s">
        <v>185</v>
      </c>
      <c r="C75" s="1477" t="s">
        <v>254</v>
      </c>
      <c r="D75" s="1484">
        <f t="shared" si="13"/>
        <v>40103071.174814351</v>
      </c>
      <c r="E75" s="1485">
        <f t="shared" si="14"/>
        <v>20445823.812821575</v>
      </c>
      <c r="F75" s="1485">
        <f t="shared" si="15"/>
        <v>19640974.691992775</v>
      </c>
      <c r="G75" s="1486">
        <f t="shared" si="16"/>
        <v>16272.670000000002</v>
      </c>
      <c r="H75" s="1493">
        <f t="shared" si="17"/>
        <v>1037600.5931957861</v>
      </c>
      <c r="I75" s="1494">
        <v>913088.52201229183</v>
      </c>
      <c r="J75" s="1494">
        <v>124512.07118349434</v>
      </c>
      <c r="K75" s="1495"/>
      <c r="L75" s="1493">
        <f t="shared" si="18"/>
        <v>39065470.581618562</v>
      </c>
      <c r="M75" s="1494">
        <v>19532735.290809281</v>
      </c>
      <c r="N75" s="1494">
        <v>19516462.620809279</v>
      </c>
      <c r="O75" s="1502">
        <v>16272.670000000002</v>
      </c>
    </row>
    <row r="76" spans="1:15" x14ac:dyDescent="0.3">
      <c r="A76" s="609" t="s">
        <v>186</v>
      </c>
      <c r="B76" s="695" t="s">
        <v>187</v>
      </c>
      <c r="C76" s="1477" t="s">
        <v>252</v>
      </c>
      <c r="D76" s="1484">
        <f t="shared" si="13"/>
        <v>35824801.782430172</v>
      </c>
      <c r="E76" s="1485">
        <f t="shared" si="14"/>
        <v>18401099.877789654</v>
      </c>
      <c r="F76" s="1485">
        <f t="shared" si="15"/>
        <v>17390884.034640525</v>
      </c>
      <c r="G76" s="1486">
        <f t="shared" si="16"/>
        <v>32817.869999999995</v>
      </c>
      <c r="H76" s="1493">
        <f t="shared" si="17"/>
        <v>1286049.9646699049</v>
      </c>
      <c r="I76" s="1494">
        <v>1131723.9689095162</v>
      </c>
      <c r="J76" s="1494">
        <v>154325.99576038859</v>
      </c>
      <c r="K76" s="1495"/>
      <c r="L76" s="1493">
        <f t="shared" si="18"/>
        <v>34538751.817760266</v>
      </c>
      <c r="M76" s="1494">
        <v>17269375.908880137</v>
      </c>
      <c r="N76" s="1494">
        <v>17236558.038880136</v>
      </c>
      <c r="O76" s="1502">
        <v>32817.869999999995</v>
      </c>
    </row>
    <row r="77" spans="1:15" x14ac:dyDescent="0.3">
      <c r="A77" s="609" t="s">
        <v>188</v>
      </c>
      <c r="B77" s="695" t="s">
        <v>189</v>
      </c>
      <c r="C77" s="1477" t="s">
        <v>255</v>
      </c>
      <c r="D77" s="1484">
        <f t="shared" si="13"/>
        <v>386228307.39484614</v>
      </c>
      <c r="E77" s="1485">
        <f t="shared" si="14"/>
        <v>202871506.90459174</v>
      </c>
      <c r="F77" s="1485">
        <f t="shared" si="15"/>
        <v>182651481.74025443</v>
      </c>
      <c r="G77" s="1486">
        <f t="shared" si="16"/>
        <v>705318.75000000012</v>
      </c>
      <c r="H77" s="1493">
        <f t="shared" si="17"/>
        <v>25677245.282022793</v>
      </c>
      <c r="I77" s="1494">
        <v>22595975.848180059</v>
      </c>
      <c r="J77" s="1494">
        <v>3081269.4338427349</v>
      </c>
      <c r="K77" s="1495"/>
      <c r="L77" s="1493">
        <f t="shared" si="18"/>
        <v>360551062.11282337</v>
      </c>
      <c r="M77" s="1494">
        <v>180275531.05641168</v>
      </c>
      <c r="N77" s="1494">
        <v>179570212.30641168</v>
      </c>
      <c r="O77" s="1502">
        <v>705318.75000000012</v>
      </c>
    </row>
    <row r="78" spans="1:15" x14ac:dyDescent="0.3">
      <c r="A78" s="609" t="s">
        <v>190</v>
      </c>
      <c r="B78" s="695" t="s">
        <v>191</v>
      </c>
      <c r="C78" s="1477" t="s">
        <v>256</v>
      </c>
      <c r="D78" s="1484">
        <f t="shared" si="13"/>
        <v>61621902.539698869</v>
      </c>
      <c r="E78" s="1485">
        <f t="shared" si="14"/>
        <v>31436440.103763752</v>
      </c>
      <c r="F78" s="1485">
        <f t="shared" si="15"/>
        <v>30129934.295935124</v>
      </c>
      <c r="G78" s="1486">
        <f t="shared" si="16"/>
        <v>55528.14</v>
      </c>
      <c r="H78" s="1493">
        <f t="shared" si="17"/>
        <v>1646023.2471429284</v>
      </c>
      <c r="I78" s="1494">
        <v>1448500.4574857771</v>
      </c>
      <c r="J78" s="1494">
        <v>197511.3396571514</v>
      </c>
      <c r="K78" s="1495">
        <v>11.45</v>
      </c>
      <c r="L78" s="1493">
        <f t="shared" si="18"/>
        <v>59975879.292555943</v>
      </c>
      <c r="M78" s="1494">
        <v>29987939.646277975</v>
      </c>
      <c r="N78" s="1494">
        <v>29932422.956277974</v>
      </c>
      <c r="O78" s="1502">
        <v>55516.69</v>
      </c>
    </row>
    <row r="79" spans="1:15" x14ac:dyDescent="0.3">
      <c r="A79" s="609" t="s">
        <v>194</v>
      </c>
      <c r="B79" s="695" t="s">
        <v>195</v>
      </c>
      <c r="C79" s="1477" t="s">
        <v>255</v>
      </c>
      <c r="D79" s="1484">
        <f t="shared" si="13"/>
        <v>5482834.1360481912</v>
      </c>
      <c r="E79" s="1485">
        <f t="shared" si="14"/>
        <v>2804174.0200962238</v>
      </c>
      <c r="F79" s="1485">
        <f t="shared" si="15"/>
        <v>2543434.2559519671</v>
      </c>
      <c r="G79" s="1486">
        <f t="shared" si="16"/>
        <v>135225.86000000004</v>
      </c>
      <c r="H79" s="1493">
        <f t="shared" si="17"/>
        <v>165149.8738740221</v>
      </c>
      <c r="I79" s="1494">
        <v>145331.88900913944</v>
      </c>
      <c r="J79" s="1494">
        <v>19817.984864882652</v>
      </c>
      <c r="K79" s="1495"/>
      <c r="L79" s="1493">
        <f t="shared" si="18"/>
        <v>5317684.2621741695</v>
      </c>
      <c r="M79" s="1494">
        <v>2658842.1310870843</v>
      </c>
      <c r="N79" s="1494">
        <v>2523616.2710870844</v>
      </c>
      <c r="O79" s="1502">
        <v>135225.86000000004</v>
      </c>
    </row>
    <row r="80" spans="1:15" x14ac:dyDescent="0.3">
      <c r="A80" s="609" t="s">
        <v>198</v>
      </c>
      <c r="B80" s="695" t="s">
        <v>199</v>
      </c>
      <c r="C80" s="1477" t="s">
        <v>254</v>
      </c>
      <c r="D80" s="1484">
        <f t="shared" si="13"/>
        <v>13348723.594012588</v>
      </c>
      <c r="E80" s="1485">
        <f t="shared" si="14"/>
        <v>6909669.9879468521</v>
      </c>
      <c r="F80" s="1485">
        <f t="shared" si="15"/>
        <v>6411485.8560657352</v>
      </c>
      <c r="G80" s="1486">
        <f t="shared" si="16"/>
        <v>27567.750000000004</v>
      </c>
      <c r="H80" s="1493">
        <f t="shared" si="17"/>
        <v>619232.08142252231</v>
      </c>
      <c r="I80" s="1494">
        <v>544924.23165181966</v>
      </c>
      <c r="J80" s="1494">
        <v>74307.849770702669</v>
      </c>
      <c r="K80" s="1495"/>
      <c r="L80" s="1493">
        <f t="shared" si="18"/>
        <v>12729491.512590066</v>
      </c>
      <c r="M80" s="1494">
        <v>6364745.7562950328</v>
      </c>
      <c r="N80" s="1494">
        <v>6337178.0062950328</v>
      </c>
      <c r="O80" s="1502">
        <v>27567.750000000004</v>
      </c>
    </row>
    <row r="81" spans="1:15" x14ac:dyDescent="0.3">
      <c r="A81" s="609" t="s">
        <v>202</v>
      </c>
      <c r="B81" s="695" t="s">
        <v>203</v>
      </c>
      <c r="C81" s="1477" t="s">
        <v>253</v>
      </c>
      <c r="D81" s="1484">
        <f t="shared" si="13"/>
        <v>116142562.44845809</v>
      </c>
      <c r="E81" s="1485">
        <f t="shared" si="14"/>
        <v>59927830.259224765</v>
      </c>
      <c r="F81" s="1485">
        <f t="shared" si="15"/>
        <v>55829745.529233322</v>
      </c>
      <c r="G81" s="1486">
        <f t="shared" si="16"/>
        <v>384986.66</v>
      </c>
      <c r="H81" s="1493">
        <f t="shared" si="17"/>
        <v>4885655.3552519027</v>
      </c>
      <c r="I81" s="1494">
        <v>4299376.7126216749</v>
      </c>
      <c r="J81" s="1494">
        <v>586278.64263022831</v>
      </c>
      <c r="K81" s="1495"/>
      <c r="L81" s="1493">
        <f t="shared" si="18"/>
        <v>111256907.09320618</v>
      </c>
      <c r="M81" s="1494">
        <v>55628453.546603091</v>
      </c>
      <c r="N81" s="1494">
        <v>55243466.886603095</v>
      </c>
      <c r="O81" s="1502">
        <v>384986.66</v>
      </c>
    </row>
    <row r="82" spans="1:15" x14ac:dyDescent="0.3">
      <c r="A82" s="609" t="s">
        <v>204</v>
      </c>
      <c r="B82" s="695" t="s">
        <v>205</v>
      </c>
      <c r="C82" s="1477" t="s">
        <v>253</v>
      </c>
      <c r="D82" s="1484">
        <f t="shared" si="13"/>
        <v>48184341.656377323</v>
      </c>
      <c r="E82" s="1485">
        <f t="shared" si="14"/>
        <v>24768114.535861168</v>
      </c>
      <c r="F82" s="1485">
        <f t="shared" si="15"/>
        <v>23208507.070516154</v>
      </c>
      <c r="G82" s="1486">
        <f t="shared" si="16"/>
        <v>207720.05</v>
      </c>
      <c r="H82" s="1493">
        <f t="shared" si="17"/>
        <v>1778799.2307171286</v>
      </c>
      <c r="I82" s="1494">
        <v>1565343.3230310732</v>
      </c>
      <c r="J82" s="1494">
        <v>213455.90768605546</v>
      </c>
      <c r="K82" s="1495"/>
      <c r="L82" s="1493">
        <f t="shared" si="18"/>
        <v>46405542.425660193</v>
      </c>
      <c r="M82" s="1494">
        <v>23202771.212830096</v>
      </c>
      <c r="N82" s="1494">
        <v>22995051.162830099</v>
      </c>
      <c r="O82" s="1502">
        <v>207720.05</v>
      </c>
    </row>
    <row r="83" spans="1:15" x14ac:dyDescent="0.3">
      <c r="A83" s="609" t="s">
        <v>206</v>
      </c>
      <c r="B83" s="695" t="s">
        <v>207</v>
      </c>
      <c r="C83" s="1477" t="s">
        <v>255</v>
      </c>
      <c r="D83" s="1484">
        <f t="shared" si="13"/>
        <v>130783233.53782757</v>
      </c>
      <c r="E83" s="1485">
        <f t="shared" si="14"/>
        <v>68660724.314740196</v>
      </c>
      <c r="F83" s="1485">
        <f t="shared" si="15"/>
        <v>61513708.683087379</v>
      </c>
      <c r="G83" s="1486">
        <f t="shared" si="16"/>
        <v>608800.54</v>
      </c>
      <c r="H83" s="1493">
        <f t="shared" si="17"/>
        <v>8602914.5942800231</v>
      </c>
      <c r="I83" s="1494">
        <v>7570564.8429664206</v>
      </c>
      <c r="J83" s="1494">
        <v>1032329.9513136027</v>
      </c>
      <c r="K83" s="1495">
        <v>19.8</v>
      </c>
      <c r="L83" s="1493">
        <f t="shared" si="18"/>
        <v>122180318.94354755</v>
      </c>
      <c r="M83" s="1494">
        <v>61090159.471773773</v>
      </c>
      <c r="N83" s="1494">
        <v>60481378.731773779</v>
      </c>
      <c r="O83" s="1502">
        <v>608780.74</v>
      </c>
    </row>
    <row r="84" spans="1:15" x14ac:dyDescent="0.3">
      <c r="A84" s="609" t="s">
        <v>208</v>
      </c>
      <c r="B84" s="695" t="s">
        <v>209</v>
      </c>
      <c r="C84" s="1477" t="s">
        <v>256</v>
      </c>
      <c r="D84" s="1484">
        <f t="shared" si="13"/>
        <v>51342214.762148768</v>
      </c>
      <c r="E84" s="1485">
        <f t="shared" si="14"/>
        <v>26292246.397054657</v>
      </c>
      <c r="F84" s="1485">
        <f t="shared" si="15"/>
        <v>24989316.955094106</v>
      </c>
      <c r="G84" s="1486">
        <f t="shared" si="16"/>
        <v>60651.41</v>
      </c>
      <c r="H84" s="1493">
        <f t="shared" si="17"/>
        <v>1634576.3578428302</v>
      </c>
      <c r="I84" s="1494">
        <v>1438427.1949016906</v>
      </c>
      <c r="J84" s="1494">
        <v>196149.16294113963</v>
      </c>
      <c r="K84" s="1495"/>
      <c r="L84" s="1493">
        <f t="shared" si="18"/>
        <v>49707638.404305935</v>
      </c>
      <c r="M84" s="1494">
        <v>24853819.202152967</v>
      </c>
      <c r="N84" s="1494">
        <v>24793167.792152967</v>
      </c>
      <c r="O84" s="1502">
        <v>60651.41</v>
      </c>
    </row>
    <row r="85" spans="1:15" x14ac:dyDescent="0.3">
      <c r="A85" s="609" t="s">
        <v>210</v>
      </c>
      <c r="B85" s="695" t="s">
        <v>211</v>
      </c>
      <c r="C85" s="1477" t="s">
        <v>256</v>
      </c>
      <c r="D85" s="1484">
        <f t="shared" si="13"/>
        <v>38693085.298467092</v>
      </c>
      <c r="E85" s="1485">
        <f t="shared" si="14"/>
        <v>19764995.594820272</v>
      </c>
      <c r="F85" s="1485">
        <f t="shared" si="15"/>
        <v>18898925.633646823</v>
      </c>
      <c r="G85" s="1486">
        <f t="shared" si="16"/>
        <v>29164.070000000003</v>
      </c>
      <c r="H85" s="1493">
        <f t="shared" si="17"/>
        <v>1101191.9620703259</v>
      </c>
      <c r="I85" s="1494">
        <v>969048.92662188679</v>
      </c>
      <c r="J85" s="1494">
        <v>132143.0354484391</v>
      </c>
      <c r="K85" s="1495"/>
      <c r="L85" s="1493">
        <f t="shared" si="18"/>
        <v>37591893.336396769</v>
      </c>
      <c r="M85" s="1494">
        <v>18795946.668198384</v>
      </c>
      <c r="N85" s="1494">
        <v>18766782.598198384</v>
      </c>
      <c r="O85" s="1502">
        <v>29164.070000000003</v>
      </c>
    </row>
    <row r="86" spans="1:15" x14ac:dyDescent="0.3">
      <c r="A86" s="609" t="s">
        <v>212</v>
      </c>
      <c r="B86" s="695" t="s">
        <v>213</v>
      </c>
      <c r="C86" s="1477" t="s">
        <v>255</v>
      </c>
      <c r="D86" s="1484">
        <f t="shared" si="13"/>
        <v>65040027.160084315</v>
      </c>
      <c r="E86" s="1485">
        <f t="shared" si="14"/>
        <v>33482536.143908001</v>
      </c>
      <c r="F86" s="1485">
        <f t="shared" si="15"/>
        <v>31309845.81617631</v>
      </c>
      <c r="G86" s="1486">
        <f t="shared" si="16"/>
        <v>247645.20000000004</v>
      </c>
      <c r="H86" s="1493">
        <f t="shared" si="17"/>
        <v>2532954.1154364394</v>
      </c>
      <c r="I86" s="1494">
        <v>2228999.6215840667</v>
      </c>
      <c r="J86" s="1494">
        <v>303954.49385237269</v>
      </c>
      <c r="K86" s="1495"/>
      <c r="L86" s="1493">
        <f t="shared" si="18"/>
        <v>62507073.044647872</v>
      </c>
      <c r="M86" s="1494">
        <v>31253536.522323936</v>
      </c>
      <c r="N86" s="1494">
        <v>31005891.322323937</v>
      </c>
      <c r="O86" s="1502">
        <v>247645.20000000004</v>
      </c>
    </row>
    <row r="87" spans="1:15" x14ac:dyDescent="0.3">
      <c r="A87" s="609" t="s">
        <v>214</v>
      </c>
      <c r="B87" s="695" t="s">
        <v>215</v>
      </c>
      <c r="C87" s="1477" t="s">
        <v>256</v>
      </c>
      <c r="D87" s="1484">
        <f t="shared" si="13"/>
        <v>61914840.59487424</v>
      </c>
      <c r="E87" s="1485">
        <f t="shared" si="14"/>
        <v>31714581.006242093</v>
      </c>
      <c r="F87" s="1485">
        <f t="shared" si="15"/>
        <v>30084153.238632146</v>
      </c>
      <c r="G87" s="1486">
        <f t="shared" si="16"/>
        <v>116106.34999999999</v>
      </c>
      <c r="H87" s="1493">
        <f t="shared" si="17"/>
        <v>1992528.1810657172</v>
      </c>
      <c r="I87" s="1494">
        <v>1753424.7993378311</v>
      </c>
      <c r="J87" s="1494">
        <v>239103.38172788607</v>
      </c>
      <c r="K87" s="1495"/>
      <c r="L87" s="1493">
        <f t="shared" si="18"/>
        <v>59922312.413808525</v>
      </c>
      <c r="M87" s="1494">
        <v>29961156.206904262</v>
      </c>
      <c r="N87" s="1494">
        <v>29845049.856904261</v>
      </c>
      <c r="O87" s="1502">
        <v>116106.34999999999</v>
      </c>
    </row>
    <row r="88" spans="1:15" x14ac:dyDescent="0.3">
      <c r="A88" s="609" t="s">
        <v>216</v>
      </c>
      <c r="B88" s="695" t="s">
        <v>217</v>
      </c>
      <c r="C88" s="1477" t="s">
        <v>252</v>
      </c>
      <c r="D88" s="1484">
        <f t="shared" si="13"/>
        <v>32964498.710898358</v>
      </c>
      <c r="E88" s="1485">
        <f t="shared" si="14"/>
        <v>16803860.642892316</v>
      </c>
      <c r="F88" s="1485">
        <f t="shared" si="15"/>
        <v>16142454.088006042</v>
      </c>
      <c r="G88" s="1486">
        <f t="shared" si="16"/>
        <v>18183.98</v>
      </c>
      <c r="H88" s="1493">
        <f t="shared" si="17"/>
        <v>846345.49327141326</v>
      </c>
      <c r="I88" s="1494">
        <v>744784.03407884366</v>
      </c>
      <c r="J88" s="1494">
        <v>101561.45919256959</v>
      </c>
      <c r="K88" s="1495"/>
      <c r="L88" s="1493">
        <f t="shared" si="18"/>
        <v>32118153.217626944</v>
      </c>
      <c r="M88" s="1494">
        <v>16059076.608813472</v>
      </c>
      <c r="N88" s="1494">
        <v>16040892.628813472</v>
      </c>
      <c r="O88" s="1502">
        <v>18183.98</v>
      </c>
    </row>
    <row r="89" spans="1:15" x14ac:dyDescent="0.3">
      <c r="A89" s="609" t="s">
        <v>218</v>
      </c>
      <c r="B89" s="695" t="s">
        <v>219</v>
      </c>
      <c r="C89" s="1477" t="s">
        <v>255</v>
      </c>
      <c r="D89" s="1484">
        <f t="shared" si="13"/>
        <v>157505011.4043597</v>
      </c>
      <c r="E89" s="1485">
        <f t="shared" si="14"/>
        <v>81371127.095522344</v>
      </c>
      <c r="F89" s="1485">
        <f t="shared" si="15"/>
        <v>75801184.608837396</v>
      </c>
      <c r="G89" s="1486">
        <f t="shared" si="16"/>
        <v>332699.7</v>
      </c>
      <c r="H89" s="1493">
        <f t="shared" si="17"/>
        <v>6891108.9298486114</v>
      </c>
      <c r="I89" s="1494">
        <v>6064175.8582667783</v>
      </c>
      <c r="J89" s="1494">
        <v>826933.0715818333</v>
      </c>
      <c r="K89" s="1495"/>
      <c r="L89" s="1493">
        <f t="shared" si="18"/>
        <v>150613902.47451109</v>
      </c>
      <c r="M89" s="1494">
        <v>75306951.237255558</v>
      </c>
      <c r="N89" s="1494">
        <v>74974251.537255555</v>
      </c>
      <c r="O89" s="1502">
        <v>332699.7</v>
      </c>
    </row>
    <row r="90" spans="1:15" x14ac:dyDescent="0.3">
      <c r="A90" s="609" t="s">
        <v>220</v>
      </c>
      <c r="B90" s="695" t="s">
        <v>221</v>
      </c>
      <c r="C90" s="1477" t="s">
        <v>255</v>
      </c>
      <c r="D90" s="1484">
        <f t="shared" si="13"/>
        <v>125710318.4470049</v>
      </c>
      <c r="E90" s="1485">
        <f t="shared" si="14"/>
        <v>65068561.673551619</v>
      </c>
      <c r="F90" s="1485">
        <f t="shared" si="15"/>
        <v>60494033.043453284</v>
      </c>
      <c r="G90" s="1486">
        <f t="shared" si="16"/>
        <v>147723.73000000001</v>
      </c>
      <c r="H90" s="1493">
        <f t="shared" si="17"/>
        <v>5824743.2896030853</v>
      </c>
      <c r="I90" s="1494">
        <v>5125774.0948507152</v>
      </c>
      <c r="J90" s="1494">
        <v>698969.19475237024</v>
      </c>
      <c r="K90" s="1495"/>
      <c r="L90" s="1493">
        <f t="shared" si="18"/>
        <v>119885575.15740182</v>
      </c>
      <c r="M90" s="1494">
        <v>59942787.578700908</v>
      </c>
      <c r="N90" s="1494">
        <v>59795063.848700911</v>
      </c>
      <c r="O90" s="1502">
        <v>147723.73000000001</v>
      </c>
    </row>
    <row r="91" spans="1:15" x14ac:dyDescent="0.3">
      <c r="A91" s="609" t="s">
        <v>224</v>
      </c>
      <c r="B91" s="695" t="s">
        <v>225</v>
      </c>
      <c r="C91" s="1477" t="s">
        <v>252</v>
      </c>
      <c r="D91" s="1484">
        <f t="shared" si="13"/>
        <v>9559143.8274062015</v>
      </c>
      <c r="E91" s="1485">
        <f t="shared" si="14"/>
        <v>4873726.7286467524</v>
      </c>
      <c r="F91" s="1485">
        <f t="shared" si="15"/>
        <v>4673463.0687594507</v>
      </c>
      <c r="G91" s="1486">
        <f t="shared" si="16"/>
        <v>11954.029999999999</v>
      </c>
      <c r="H91" s="1493">
        <f t="shared" si="17"/>
        <v>247775.8287990815</v>
      </c>
      <c r="I91" s="1494">
        <v>218042.72934319172</v>
      </c>
      <c r="J91" s="1494">
        <v>29733.09945588978</v>
      </c>
      <c r="K91" s="1495"/>
      <c r="L91" s="1493">
        <f t="shared" si="18"/>
        <v>9311367.9986071195</v>
      </c>
      <c r="M91" s="1494">
        <v>4655683.9993035607</v>
      </c>
      <c r="N91" s="1494">
        <v>4643729.9693035604</v>
      </c>
      <c r="O91" s="1502">
        <v>11954.029999999999</v>
      </c>
    </row>
    <row r="92" spans="1:15" x14ac:dyDescent="0.3">
      <c r="A92" s="609" t="s">
        <v>226</v>
      </c>
      <c r="B92" s="695" t="s">
        <v>227</v>
      </c>
      <c r="C92" s="1477" t="s">
        <v>252</v>
      </c>
      <c r="D92" s="1484">
        <f t="shared" si="13"/>
        <v>22746987.524223287</v>
      </c>
      <c r="E92" s="1485">
        <f t="shared" si="14"/>
        <v>11558812.741971955</v>
      </c>
      <c r="F92" s="1485">
        <f t="shared" si="15"/>
        <v>11177435.242251335</v>
      </c>
      <c r="G92" s="1486">
        <f t="shared" si="16"/>
        <v>10739.539999999999</v>
      </c>
      <c r="H92" s="1493">
        <f t="shared" si="17"/>
        <v>487681.52594818629</v>
      </c>
      <c r="I92" s="1494">
        <v>429159.74283440394</v>
      </c>
      <c r="J92" s="1494">
        <v>58521.783113782352</v>
      </c>
      <c r="K92" s="1495"/>
      <c r="L92" s="1493">
        <f t="shared" si="18"/>
        <v>22259305.998275101</v>
      </c>
      <c r="M92" s="1494">
        <v>11129652.999137551</v>
      </c>
      <c r="N92" s="1494">
        <v>11118913.459137551</v>
      </c>
      <c r="O92" s="1502">
        <v>10739.539999999999</v>
      </c>
    </row>
    <row r="93" spans="1:15" x14ac:dyDescent="0.3">
      <c r="A93" s="609" t="s">
        <v>228</v>
      </c>
      <c r="B93" s="695" t="s">
        <v>229</v>
      </c>
      <c r="C93" s="1477" t="s">
        <v>256</v>
      </c>
      <c r="D93" s="1484">
        <f t="shared" si="13"/>
        <v>76763414.862325653</v>
      </c>
      <c r="E93" s="1485">
        <f t="shared" si="14"/>
        <v>39111386.210774235</v>
      </c>
      <c r="F93" s="1485">
        <f t="shared" si="15"/>
        <v>37563895.221551418</v>
      </c>
      <c r="G93" s="1486">
        <f t="shared" si="16"/>
        <v>88133.430000000008</v>
      </c>
      <c r="H93" s="1493">
        <f t="shared" si="17"/>
        <v>1920207.3147668648</v>
      </c>
      <c r="I93" s="1494">
        <v>1689782.4369948411</v>
      </c>
      <c r="J93" s="1494">
        <v>230424.87777202378</v>
      </c>
      <c r="K93" s="1495"/>
      <c r="L93" s="1493">
        <f t="shared" si="18"/>
        <v>74843207.547558784</v>
      </c>
      <c r="M93" s="1494">
        <v>37421603.773779392</v>
      </c>
      <c r="N93" s="1494">
        <v>37333470.343779393</v>
      </c>
      <c r="O93" s="1502">
        <v>88133.430000000008</v>
      </c>
    </row>
    <row r="94" spans="1:15" x14ac:dyDescent="0.3">
      <c r="A94" s="609" t="s">
        <v>232</v>
      </c>
      <c r="B94" s="695" t="s">
        <v>233</v>
      </c>
      <c r="C94" s="1477" t="s">
        <v>255</v>
      </c>
      <c r="D94" s="1484">
        <f t="shared" si="13"/>
        <v>49753919.656335853</v>
      </c>
      <c r="E94" s="1485">
        <f t="shared" si="14"/>
        <v>25517425.630458232</v>
      </c>
      <c r="F94" s="1485">
        <f t="shared" si="15"/>
        <v>24154545.585877616</v>
      </c>
      <c r="G94" s="1486">
        <f t="shared" si="16"/>
        <v>81948.44</v>
      </c>
      <c r="H94" s="1493">
        <f t="shared" si="17"/>
        <v>1685436.3218165981</v>
      </c>
      <c r="I94" s="1494">
        <v>1483183.9631986064</v>
      </c>
      <c r="J94" s="1494">
        <v>202252.35861799176</v>
      </c>
      <c r="K94" s="1495"/>
      <c r="L94" s="1493">
        <f t="shared" si="18"/>
        <v>48068483.334519252</v>
      </c>
      <c r="M94" s="1494">
        <v>24034241.667259626</v>
      </c>
      <c r="N94" s="1494">
        <v>23952293.227259625</v>
      </c>
      <c r="O94" s="1502">
        <v>81948.44</v>
      </c>
    </row>
    <row r="95" spans="1:15" x14ac:dyDescent="0.3">
      <c r="A95" s="609" t="s">
        <v>234</v>
      </c>
      <c r="B95" s="695" t="s">
        <v>235</v>
      </c>
      <c r="C95" s="1477" t="s">
        <v>256</v>
      </c>
      <c r="D95" s="1484">
        <f t="shared" si="13"/>
        <v>75560792.493605331</v>
      </c>
      <c r="E95" s="1485">
        <f t="shared" si="14"/>
        <v>38696177.794321977</v>
      </c>
      <c r="F95" s="1485">
        <f t="shared" si="15"/>
        <v>36794794.28928335</v>
      </c>
      <c r="G95" s="1486">
        <f t="shared" si="16"/>
        <v>69820.409999999989</v>
      </c>
      <c r="H95" s="1493">
        <f t="shared" si="17"/>
        <v>2409951.4408402983</v>
      </c>
      <c r="I95" s="1494">
        <v>2120757.2679394623</v>
      </c>
      <c r="J95" s="1494">
        <v>289194.17290083581</v>
      </c>
      <c r="K95" s="1495"/>
      <c r="L95" s="1493">
        <f t="shared" si="18"/>
        <v>73150841.052765027</v>
      </c>
      <c r="M95" s="1494">
        <v>36575420.526382513</v>
      </c>
      <c r="N95" s="1494">
        <v>36505600.116382517</v>
      </c>
      <c r="O95" s="1502">
        <v>69820.409999999989</v>
      </c>
    </row>
    <row r="96" spans="1:15" x14ac:dyDescent="0.3">
      <c r="A96" s="609" t="s">
        <v>236</v>
      </c>
      <c r="B96" s="695" t="s">
        <v>237</v>
      </c>
      <c r="C96" s="1477" t="s">
        <v>254</v>
      </c>
      <c r="D96" s="1484">
        <f t="shared" si="13"/>
        <v>30235684.773382533</v>
      </c>
      <c r="E96" s="1485">
        <f t="shared" si="14"/>
        <v>15483332.672060709</v>
      </c>
      <c r="F96" s="1485">
        <f t="shared" si="15"/>
        <v>14727271.951321827</v>
      </c>
      <c r="G96" s="1486">
        <f t="shared" si="16"/>
        <v>25080.149999999998</v>
      </c>
      <c r="H96" s="1493">
        <f t="shared" si="17"/>
        <v>961816.54044589819</v>
      </c>
      <c r="I96" s="1494">
        <v>846398.55559239036</v>
      </c>
      <c r="J96" s="1494">
        <v>115417.98485350778</v>
      </c>
      <c r="K96" s="1495"/>
      <c r="L96" s="1493">
        <f t="shared" si="18"/>
        <v>29273868.232936636</v>
      </c>
      <c r="M96" s="1494">
        <v>14636934.11646832</v>
      </c>
      <c r="N96" s="1494">
        <v>14611853.966468319</v>
      </c>
      <c r="O96" s="1502">
        <v>25080.149999999998</v>
      </c>
    </row>
    <row r="97" spans="1:15" x14ac:dyDescent="0.3">
      <c r="A97" s="609" t="s">
        <v>242</v>
      </c>
      <c r="B97" s="695" t="s">
        <v>243</v>
      </c>
      <c r="C97" s="1477" t="s">
        <v>256</v>
      </c>
      <c r="D97" s="1484">
        <f t="shared" si="13"/>
        <v>84369384.510387197</v>
      </c>
      <c r="E97" s="1485">
        <f t="shared" si="14"/>
        <v>42912828.42512805</v>
      </c>
      <c r="F97" s="1485">
        <f t="shared" si="15"/>
        <v>41452789.465259127</v>
      </c>
      <c r="G97" s="1486">
        <f t="shared" si="16"/>
        <v>3766.6200000000003</v>
      </c>
      <c r="H97" s="1493">
        <f t="shared" si="17"/>
        <v>1916147.8156170032</v>
      </c>
      <c r="I97" s="1494">
        <v>1686210.0777429629</v>
      </c>
      <c r="J97" s="1494">
        <v>229937.73787404038</v>
      </c>
      <c r="K97" s="1495"/>
      <c r="L97" s="1493">
        <f t="shared" si="18"/>
        <v>82453236.694770187</v>
      </c>
      <c r="M97" s="1494">
        <v>41226618.347385086</v>
      </c>
      <c r="N97" s="1494">
        <v>41222851.727385089</v>
      </c>
      <c r="O97" s="1502">
        <v>3766.6200000000003</v>
      </c>
    </row>
    <row r="98" spans="1:15" x14ac:dyDescent="0.3">
      <c r="A98" s="609" t="s">
        <v>244</v>
      </c>
      <c r="B98" s="695" t="s">
        <v>245</v>
      </c>
      <c r="C98" s="1477" t="s">
        <v>256</v>
      </c>
      <c r="D98" s="1484">
        <f t="shared" si="13"/>
        <v>53019792.863059774</v>
      </c>
      <c r="E98" s="1485">
        <f t="shared" si="14"/>
        <v>27091940.267218381</v>
      </c>
      <c r="F98" s="1485">
        <f t="shared" si="15"/>
        <v>25859001.165841389</v>
      </c>
      <c r="G98" s="1486">
        <f t="shared" si="16"/>
        <v>68851.430000000008</v>
      </c>
      <c r="H98" s="1493">
        <f t="shared" si="17"/>
        <v>1531694.304443408</v>
      </c>
      <c r="I98" s="1494">
        <v>1347890.987910199</v>
      </c>
      <c r="J98" s="1494">
        <v>183803.31653320897</v>
      </c>
      <c r="K98" s="1495"/>
      <c r="L98" s="1493">
        <f t="shared" si="18"/>
        <v>51488098.558616363</v>
      </c>
      <c r="M98" s="1494">
        <v>25744049.279308181</v>
      </c>
      <c r="N98" s="1494">
        <v>25675197.849308182</v>
      </c>
      <c r="O98" s="1502">
        <v>68851.430000000008</v>
      </c>
    </row>
    <row r="99" spans="1:15" x14ac:dyDescent="0.3">
      <c r="A99" s="609" t="s">
        <v>246</v>
      </c>
      <c r="B99" s="695" t="s">
        <v>298</v>
      </c>
      <c r="C99" s="1477" t="s">
        <v>252</v>
      </c>
      <c r="D99" s="1484">
        <f t="shared" si="13"/>
        <v>41058961.517764017</v>
      </c>
      <c r="E99" s="1485">
        <f t="shared" si="14"/>
        <v>21225815.788351394</v>
      </c>
      <c r="F99" s="1485">
        <f t="shared" si="15"/>
        <v>19676162.819412626</v>
      </c>
      <c r="G99" s="1486">
        <f t="shared" si="16"/>
        <v>156982.90999999997</v>
      </c>
      <c r="H99" s="1493">
        <f t="shared" si="17"/>
        <v>1832460.6038668074</v>
      </c>
      <c r="I99" s="1494">
        <v>1612565.3314027905</v>
      </c>
      <c r="J99" s="1494">
        <v>219895.27246401686</v>
      </c>
      <c r="K99" s="1495"/>
      <c r="L99" s="1493">
        <f t="shared" si="18"/>
        <v>39226500.913897209</v>
      </c>
      <c r="M99" s="1494">
        <v>19613250.456948604</v>
      </c>
      <c r="N99" s="1494">
        <v>19456267.546948608</v>
      </c>
      <c r="O99" s="1502">
        <v>156982.90999999997</v>
      </c>
    </row>
    <row r="100" spans="1:15" x14ac:dyDescent="0.3">
      <c r="A100" s="609" t="s">
        <v>14</v>
      </c>
      <c r="B100" s="695" t="s">
        <v>15</v>
      </c>
      <c r="C100" s="1477" t="s">
        <v>255</v>
      </c>
      <c r="D100" s="1484">
        <f t="shared" si="13"/>
        <v>122358141.58678263</v>
      </c>
      <c r="E100" s="1485">
        <f t="shared" si="14"/>
        <v>63837717.163362481</v>
      </c>
      <c r="F100" s="1485">
        <f t="shared" si="15"/>
        <v>58361371.463420145</v>
      </c>
      <c r="G100" s="1486">
        <f t="shared" si="16"/>
        <v>159052.96000000002</v>
      </c>
      <c r="H100" s="1493">
        <f t="shared" si="17"/>
        <v>6996437.8157135975</v>
      </c>
      <c r="I100" s="1494">
        <v>6156865.277827966</v>
      </c>
      <c r="J100" s="1494">
        <v>839572.53788563167</v>
      </c>
      <c r="K100" s="1495"/>
      <c r="L100" s="1493">
        <f t="shared" si="18"/>
        <v>115361703.77106903</v>
      </c>
      <c r="M100" s="1494">
        <v>57680851.885534517</v>
      </c>
      <c r="N100" s="1494">
        <v>57521798.925534517</v>
      </c>
      <c r="O100" s="1502">
        <v>159052.96000000002</v>
      </c>
    </row>
    <row r="101" spans="1:15" x14ac:dyDescent="0.3">
      <c r="A101" s="609" t="s">
        <v>34</v>
      </c>
      <c r="B101" s="695" t="s">
        <v>35</v>
      </c>
      <c r="C101" s="1477" t="s">
        <v>256</v>
      </c>
      <c r="D101" s="1484">
        <f t="shared" ref="D101:D124" si="19">H101+L101</f>
        <v>37557003.570113733</v>
      </c>
      <c r="E101" s="1485">
        <f t="shared" ref="E101:E124" si="20">+I101+M101</f>
        <v>19198902.510827199</v>
      </c>
      <c r="F101" s="1485">
        <f t="shared" ref="F101:F124" si="21">+J101+N101</f>
        <v>18321552.949286539</v>
      </c>
      <c r="G101" s="1486">
        <f t="shared" ref="G101:G124" si="22">K101+O101</f>
        <v>36548.11</v>
      </c>
      <c r="H101" s="1493">
        <f t="shared" ref="H101:H124" si="23">I101+J101+K101</f>
        <v>1106317.6993956079</v>
      </c>
      <c r="I101" s="1494">
        <v>973559.57546813495</v>
      </c>
      <c r="J101" s="1494">
        <v>132758.12392747295</v>
      </c>
      <c r="K101" s="1495"/>
      <c r="L101" s="1493">
        <f t="shared" ref="L101:L124" si="24">M101+N101+O101</f>
        <v>36450685.870718129</v>
      </c>
      <c r="M101" s="1494">
        <v>18225342.935359064</v>
      </c>
      <c r="N101" s="1494">
        <v>18188794.825359065</v>
      </c>
      <c r="O101" s="1502">
        <v>36548.11</v>
      </c>
    </row>
    <row r="102" spans="1:15" x14ac:dyDescent="0.3">
      <c r="A102" s="609" t="s">
        <v>52</v>
      </c>
      <c r="B102" s="695" t="s">
        <v>53</v>
      </c>
      <c r="C102" s="1477" t="s">
        <v>253</v>
      </c>
      <c r="D102" s="1484">
        <f t="shared" si="19"/>
        <v>60887349.213400133</v>
      </c>
      <c r="E102" s="1485">
        <f t="shared" si="20"/>
        <v>31182407.217623319</v>
      </c>
      <c r="F102" s="1485">
        <f t="shared" si="21"/>
        <v>29663483.235776816</v>
      </c>
      <c r="G102" s="1486">
        <f t="shared" si="22"/>
        <v>41458.759999999995</v>
      </c>
      <c r="H102" s="1493">
        <f t="shared" si="23"/>
        <v>1944033.1866401318</v>
      </c>
      <c r="I102" s="1494">
        <v>1710749.2042433158</v>
      </c>
      <c r="J102" s="1494">
        <v>233283.98239681579</v>
      </c>
      <c r="K102" s="1495"/>
      <c r="L102" s="1493">
        <f t="shared" si="24"/>
        <v>58943316.026760004</v>
      </c>
      <c r="M102" s="1494">
        <v>29471658.013380002</v>
      </c>
      <c r="N102" s="1494">
        <v>29430199.253380001</v>
      </c>
      <c r="O102" s="1502">
        <v>41458.759999999995</v>
      </c>
    </row>
    <row r="103" spans="1:15" x14ac:dyDescent="0.3">
      <c r="A103" s="609" t="s">
        <v>54</v>
      </c>
      <c r="B103" s="695" t="s">
        <v>55</v>
      </c>
      <c r="C103" s="1477" t="s">
        <v>252</v>
      </c>
      <c r="D103" s="1484">
        <f t="shared" si="19"/>
        <v>269599439.88492936</v>
      </c>
      <c r="E103" s="1485">
        <f t="shared" si="20"/>
        <v>138310806.07540131</v>
      </c>
      <c r="F103" s="1485">
        <f t="shared" si="21"/>
        <v>131005484.07952809</v>
      </c>
      <c r="G103" s="1486">
        <f t="shared" si="22"/>
        <v>283149.73</v>
      </c>
      <c r="H103" s="1493">
        <f t="shared" si="23"/>
        <v>9239700.3498331867</v>
      </c>
      <c r="I103" s="1494">
        <v>8130936.3078532042</v>
      </c>
      <c r="J103" s="1494">
        <v>1108764.0419799823</v>
      </c>
      <c r="K103" s="1495"/>
      <c r="L103" s="1493">
        <f t="shared" si="24"/>
        <v>260359739.5350962</v>
      </c>
      <c r="M103" s="1494">
        <v>130179869.76754811</v>
      </c>
      <c r="N103" s="1494">
        <v>129896720.03754811</v>
      </c>
      <c r="O103" s="1502">
        <v>283149.73</v>
      </c>
    </row>
    <row r="104" spans="1:15" x14ac:dyDescent="0.3">
      <c r="A104" s="609" t="s">
        <v>66</v>
      </c>
      <c r="B104" s="695" t="s">
        <v>67</v>
      </c>
      <c r="C104" s="1477" t="s">
        <v>253</v>
      </c>
      <c r="D104" s="1484">
        <f t="shared" si="19"/>
        <v>141052198.80234212</v>
      </c>
      <c r="E104" s="1485">
        <f t="shared" si="20"/>
        <v>71464643.40187721</v>
      </c>
      <c r="F104" s="1485">
        <f t="shared" si="21"/>
        <v>69424800.410464883</v>
      </c>
      <c r="G104" s="1486">
        <f t="shared" si="22"/>
        <v>162754.99</v>
      </c>
      <c r="H104" s="1493">
        <f t="shared" si="23"/>
        <v>2469852.6334372745</v>
      </c>
      <c r="I104" s="1494">
        <v>2173470.3174248016</v>
      </c>
      <c r="J104" s="1494">
        <v>296382.3160124729</v>
      </c>
      <c r="K104" s="1495"/>
      <c r="L104" s="1493">
        <f t="shared" si="24"/>
        <v>138582346.16890484</v>
      </c>
      <c r="M104" s="1494">
        <v>69291173.084452406</v>
      </c>
      <c r="N104" s="1494">
        <v>69128418.094452411</v>
      </c>
      <c r="O104" s="1502">
        <v>162754.99</v>
      </c>
    </row>
    <row r="105" spans="1:15" x14ac:dyDescent="0.3">
      <c r="A105" s="609" t="s">
        <v>82</v>
      </c>
      <c r="B105" s="695" t="s">
        <v>299</v>
      </c>
      <c r="C105" s="1477" t="s">
        <v>252</v>
      </c>
      <c r="D105" s="1484">
        <f t="shared" si="19"/>
        <v>29574596.658264093</v>
      </c>
      <c r="E105" s="1485">
        <f t="shared" si="20"/>
        <v>14977391.733786799</v>
      </c>
      <c r="F105" s="1485">
        <f t="shared" si="21"/>
        <v>14583562.044477297</v>
      </c>
      <c r="G105" s="1486">
        <f t="shared" si="22"/>
        <v>13642.880000000003</v>
      </c>
      <c r="H105" s="1493">
        <f t="shared" si="23"/>
        <v>500245.80172302958</v>
      </c>
      <c r="I105" s="1494">
        <v>440216.30551626603</v>
      </c>
      <c r="J105" s="1494">
        <v>60029.49620676355</v>
      </c>
      <c r="K105" s="1495"/>
      <c r="L105" s="1493">
        <f t="shared" si="24"/>
        <v>29074350.856541064</v>
      </c>
      <c r="M105" s="1494">
        <v>14537175.428270534</v>
      </c>
      <c r="N105" s="1494">
        <v>14523532.548270533</v>
      </c>
      <c r="O105" s="1502">
        <v>13642.880000000003</v>
      </c>
    </row>
    <row r="106" spans="1:15" x14ac:dyDescent="0.3">
      <c r="A106" s="609" t="s">
        <v>88</v>
      </c>
      <c r="B106" s="695" t="s">
        <v>89</v>
      </c>
      <c r="C106" s="1477" t="s">
        <v>255</v>
      </c>
      <c r="D106" s="1484">
        <f t="shared" si="19"/>
        <v>47377253.636286482</v>
      </c>
      <c r="E106" s="1485">
        <f t="shared" si="20"/>
        <v>24251252.424179118</v>
      </c>
      <c r="F106" s="1485">
        <f t="shared" si="21"/>
        <v>22998292.732107367</v>
      </c>
      <c r="G106" s="1486">
        <f t="shared" si="22"/>
        <v>127708.47999999998</v>
      </c>
      <c r="H106" s="1493">
        <f t="shared" si="23"/>
        <v>1480593.7000944072</v>
      </c>
      <c r="I106" s="1494">
        <v>1302922.4560830784</v>
      </c>
      <c r="J106" s="1494">
        <v>177671.24401132885</v>
      </c>
      <c r="K106" s="1495"/>
      <c r="L106" s="1493">
        <f t="shared" si="24"/>
        <v>45896659.936192073</v>
      </c>
      <c r="M106" s="1494">
        <v>22948329.96809604</v>
      </c>
      <c r="N106" s="1494">
        <v>22820621.48809604</v>
      </c>
      <c r="O106" s="1502">
        <v>127708.47999999998</v>
      </c>
    </row>
    <row r="107" spans="1:15" x14ac:dyDescent="0.3">
      <c r="A107" s="609" t="s">
        <v>90</v>
      </c>
      <c r="B107" s="695" t="s">
        <v>91</v>
      </c>
      <c r="C107" s="1477" t="s">
        <v>256</v>
      </c>
      <c r="D107" s="1484">
        <f t="shared" si="19"/>
        <v>22055839.395823292</v>
      </c>
      <c r="E107" s="1485">
        <f t="shared" si="20"/>
        <v>11283485.157602729</v>
      </c>
      <c r="F107" s="1485">
        <f t="shared" si="21"/>
        <v>10726123.908220569</v>
      </c>
      <c r="G107" s="1486">
        <f t="shared" si="22"/>
        <v>46230.329999999994</v>
      </c>
      <c r="H107" s="1493">
        <f t="shared" si="23"/>
        <v>672540.68339757796</v>
      </c>
      <c r="I107" s="1494">
        <v>591835.8013898686</v>
      </c>
      <c r="J107" s="1494">
        <v>80704.882007709355</v>
      </c>
      <c r="K107" s="1495"/>
      <c r="L107" s="1493">
        <f t="shared" si="24"/>
        <v>21383298.712425716</v>
      </c>
      <c r="M107" s="1494">
        <v>10691649.35621286</v>
      </c>
      <c r="N107" s="1494">
        <v>10645419.02621286</v>
      </c>
      <c r="O107" s="1502">
        <v>46230.329999999994</v>
      </c>
    </row>
    <row r="108" spans="1:15" x14ac:dyDescent="0.3">
      <c r="A108" s="609" t="s">
        <v>106</v>
      </c>
      <c r="B108" s="695" t="s">
        <v>107</v>
      </c>
      <c r="C108" s="1477" t="s">
        <v>252</v>
      </c>
      <c r="D108" s="1484">
        <f t="shared" si="19"/>
        <v>217101032.69128767</v>
      </c>
      <c r="E108" s="1485">
        <f t="shared" si="20"/>
        <v>110992691.20344105</v>
      </c>
      <c r="F108" s="1485">
        <f t="shared" si="21"/>
        <v>106108867.64784661</v>
      </c>
      <c r="G108" s="1486">
        <f t="shared" si="22"/>
        <v>-526.16</v>
      </c>
      <c r="H108" s="1493">
        <f t="shared" si="23"/>
        <v>6426775.9415716343</v>
      </c>
      <c r="I108" s="1494">
        <v>5655562.8285830384</v>
      </c>
      <c r="J108" s="1494">
        <v>771213.11298859608</v>
      </c>
      <c r="K108" s="1495"/>
      <c r="L108" s="1493">
        <f t="shared" si="24"/>
        <v>210674256.74971604</v>
      </c>
      <c r="M108" s="1494">
        <v>105337128.37485802</v>
      </c>
      <c r="N108" s="1494">
        <v>105337654.53485802</v>
      </c>
      <c r="O108" s="1502">
        <v>-526.16</v>
      </c>
    </row>
    <row r="109" spans="1:15" x14ac:dyDescent="0.3">
      <c r="A109" s="609" t="s">
        <v>116</v>
      </c>
      <c r="B109" s="695" t="s">
        <v>117</v>
      </c>
      <c r="C109" s="1477" t="s">
        <v>254</v>
      </c>
      <c r="D109" s="1484">
        <f t="shared" si="19"/>
        <v>61269075.911622465</v>
      </c>
      <c r="E109" s="1485">
        <f t="shared" si="20"/>
        <v>31383935.130353373</v>
      </c>
      <c r="F109" s="1485">
        <f t="shared" si="21"/>
        <v>29849928.351269096</v>
      </c>
      <c r="G109" s="1486">
        <f t="shared" si="22"/>
        <v>35212.429999999993</v>
      </c>
      <c r="H109" s="1493">
        <f t="shared" si="23"/>
        <v>1972097.8277424672</v>
      </c>
      <c r="I109" s="1494">
        <v>1735446.088413371</v>
      </c>
      <c r="J109" s="1494">
        <v>236651.73932909605</v>
      </c>
      <c r="K109" s="1495"/>
      <c r="L109" s="1493">
        <f t="shared" si="24"/>
        <v>59296978.08388</v>
      </c>
      <c r="M109" s="1494">
        <v>29648489.04194</v>
      </c>
      <c r="N109" s="1494">
        <v>29613276.61194</v>
      </c>
      <c r="O109" s="1502">
        <v>35212.429999999993</v>
      </c>
    </row>
    <row r="110" spans="1:15" x14ac:dyDescent="0.3">
      <c r="A110" s="609" t="s">
        <v>138</v>
      </c>
      <c r="B110" s="695" t="s">
        <v>139</v>
      </c>
      <c r="C110" s="1477" t="s">
        <v>253</v>
      </c>
      <c r="D110" s="1484">
        <f t="shared" si="19"/>
        <v>134838577.17908072</v>
      </c>
      <c r="E110" s="1485">
        <f t="shared" si="20"/>
        <v>68779143.57466644</v>
      </c>
      <c r="F110" s="1485">
        <f t="shared" si="21"/>
        <v>65746687.254414275</v>
      </c>
      <c r="G110" s="1486">
        <f t="shared" si="22"/>
        <v>312746.35000000003</v>
      </c>
      <c r="H110" s="1493">
        <f t="shared" si="23"/>
        <v>3578565.7503317902</v>
      </c>
      <c r="I110" s="1494">
        <v>3149137.8602919756</v>
      </c>
      <c r="J110" s="1494">
        <v>429421.76003981481</v>
      </c>
      <c r="K110" s="1495">
        <v>6.13</v>
      </c>
      <c r="L110" s="1493">
        <f t="shared" si="24"/>
        <v>131260011.42874892</v>
      </c>
      <c r="M110" s="1494">
        <v>65630005.71437446</v>
      </c>
      <c r="N110" s="1494">
        <v>65317265.494374461</v>
      </c>
      <c r="O110" s="1502">
        <v>312740.22000000003</v>
      </c>
    </row>
    <row r="111" spans="1:15" x14ac:dyDescent="0.3">
      <c r="A111" s="609" t="s">
        <v>142</v>
      </c>
      <c r="B111" s="695" t="s">
        <v>143</v>
      </c>
      <c r="C111" s="1477" t="s">
        <v>255</v>
      </c>
      <c r="D111" s="1484">
        <f t="shared" si="19"/>
        <v>40867494.705477454</v>
      </c>
      <c r="E111" s="1485">
        <f t="shared" si="20"/>
        <v>21934093.937572535</v>
      </c>
      <c r="F111" s="1485">
        <f t="shared" si="21"/>
        <v>18882119.417904913</v>
      </c>
      <c r="G111" s="1486">
        <f t="shared" si="22"/>
        <v>51281.349999999991</v>
      </c>
      <c r="H111" s="1493">
        <f t="shared" si="23"/>
        <v>3948280.4864047663</v>
      </c>
      <c r="I111" s="1494">
        <v>3474486.8280361942</v>
      </c>
      <c r="J111" s="1494">
        <v>473793.65836857195</v>
      </c>
      <c r="K111" s="1495"/>
      <c r="L111" s="1493">
        <f t="shared" si="24"/>
        <v>36919214.219072685</v>
      </c>
      <c r="M111" s="1494">
        <v>18459607.109536342</v>
      </c>
      <c r="N111" s="1494">
        <v>18408325.759536341</v>
      </c>
      <c r="O111" s="1502">
        <v>51281.349999999991</v>
      </c>
    </row>
    <row r="112" spans="1:15" x14ac:dyDescent="0.3">
      <c r="A112" s="609" t="s">
        <v>144</v>
      </c>
      <c r="B112" s="695" t="s">
        <v>145</v>
      </c>
      <c r="C112" s="1477" t="s">
        <v>255</v>
      </c>
      <c r="D112" s="1484">
        <f t="shared" si="19"/>
        <v>16873189.265567929</v>
      </c>
      <c r="E112" s="1485">
        <f t="shared" si="20"/>
        <v>9051633.5442843772</v>
      </c>
      <c r="F112" s="1485">
        <f t="shared" si="21"/>
        <v>7809691.5912835486</v>
      </c>
      <c r="G112" s="1486">
        <f t="shared" si="22"/>
        <v>11864.130000000001</v>
      </c>
      <c r="H112" s="1493">
        <f t="shared" si="23"/>
        <v>1618523.4513168805</v>
      </c>
      <c r="I112" s="1494">
        <v>1424300.6371588549</v>
      </c>
      <c r="J112" s="1494">
        <v>194222.81415802566</v>
      </c>
      <c r="K112" s="1495"/>
      <c r="L112" s="1493">
        <f t="shared" si="24"/>
        <v>15254665.814251048</v>
      </c>
      <c r="M112" s="1494">
        <v>7627332.9071255233</v>
      </c>
      <c r="N112" s="1494">
        <v>7615468.7771255234</v>
      </c>
      <c r="O112" s="1502">
        <v>11864.130000000001</v>
      </c>
    </row>
    <row r="113" spans="1:15" x14ac:dyDescent="0.3">
      <c r="A113" s="609" t="s">
        <v>158</v>
      </c>
      <c r="B113" s="695" t="s">
        <v>159</v>
      </c>
      <c r="C113" s="1477" t="s">
        <v>252</v>
      </c>
      <c r="D113" s="1484">
        <f t="shared" si="19"/>
        <v>292152253.37886643</v>
      </c>
      <c r="E113" s="1485">
        <f t="shared" si="20"/>
        <v>150018258.44137144</v>
      </c>
      <c r="F113" s="1485">
        <f t="shared" si="21"/>
        <v>142006092.37749502</v>
      </c>
      <c r="G113" s="1486">
        <f t="shared" si="22"/>
        <v>127902.56</v>
      </c>
      <c r="H113" s="1493">
        <f t="shared" si="23"/>
        <v>10374030.926153198</v>
      </c>
      <c r="I113" s="1494">
        <v>9129147.2150148135</v>
      </c>
      <c r="J113" s="1494">
        <v>1244883.7111383837</v>
      </c>
      <c r="K113" s="1495"/>
      <c r="L113" s="1493">
        <f t="shared" si="24"/>
        <v>281778222.45271325</v>
      </c>
      <c r="M113" s="1494">
        <v>140889111.22635663</v>
      </c>
      <c r="N113" s="1494">
        <v>140761208.66635662</v>
      </c>
      <c r="O113" s="1502">
        <v>127902.56</v>
      </c>
    </row>
    <row r="114" spans="1:15" x14ac:dyDescent="0.3">
      <c r="A114" s="609" t="s">
        <v>160</v>
      </c>
      <c r="B114" s="695" t="s">
        <v>161</v>
      </c>
      <c r="C114" s="1477" t="s">
        <v>252</v>
      </c>
      <c r="D114" s="1484">
        <f t="shared" si="19"/>
        <v>433092301.52272725</v>
      </c>
      <c r="E114" s="1485">
        <f t="shared" si="20"/>
        <v>220524245.05298534</v>
      </c>
      <c r="F114" s="1485">
        <f t="shared" si="21"/>
        <v>212342044.91974193</v>
      </c>
      <c r="G114" s="1486">
        <f t="shared" si="22"/>
        <v>226011.55</v>
      </c>
      <c r="H114" s="1493">
        <f t="shared" si="23"/>
        <v>10468669.188478138</v>
      </c>
      <c r="I114" s="1494">
        <v>9212428.8858607616</v>
      </c>
      <c r="J114" s="1494">
        <v>1256240.3026173764</v>
      </c>
      <c r="K114" s="1495"/>
      <c r="L114" s="1493">
        <f t="shared" si="24"/>
        <v>422623632.33424914</v>
      </c>
      <c r="M114" s="1494">
        <v>211311816.16712457</v>
      </c>
      <c r="N114" s="1494">
        <v>211085804.61712456</v>
      </c>
      <c r="O114" s="1502">
        <v>226011.55</v>
      </c>
    </row>
    <row r="115" spans="1:15" x14ac:dyDescent="0.3">
      <c r="A115" s="609" t="s">
        <v>166</v>
      </c>
      <c r="B115" s="695" t="s">
        <v>167</v>
      </c>
      <c r="C115" s="1477" t="s">
        <v>256</v>
      </c>
      <c r="D115" s="1484">
        <f t="shared" si="19"/>
        <v>8035781.9880118556</v>
      </c>
      <c r="E115" s="1485">
        <f t="shared" si="20"/>
        <v>4089208.3093526326</v>
      </c>
      <c r="F115" s="1485">
        <f t="shared" si="21"/>
        <v>3945245.6686592232</v>
      </c>
      <c r="G115" s="1486">
        <f t="shared" si="22"/>
        <v>1328.01</v>
      </c>
      <c r="H115" s="1493">
        <f t="shared" si="23"/>
        <v>187677.14564922321</v>
      </c>
      <c r="I115" s="1494">
        <v>165155.88817131642</v>
      </c>
      <c r="J115" s="1494">
        <v>22521.257477906784</v>
      </c>
      <c r="K115" s="1495"/>
      <c r="L115" s="1493">
        <f t="shared" si="24"/>
        <v>7848104.842362632</v>
      </c>
      <c r="M115" s="1494">
        <v>3924052.421181316</v>
      </c>
      <c r="N115" s="1494">
        <v>3922724.4111813162</v>
      </c>
      <c r="O115" s="1502">
        <v>1328.01</v>
      </c>
    </row>
    <row r="116" spans="1:15" x14ac:dyDescent="0.3">
      <c r="A116" s="609" t="s">
        <v>176</v>
      </c>
      <c r="B116" s="695" t="s">
        <v>177</v>
      </c>
      <c r="C116" s="1477" t="s">
        <v>254</v>
      </c>
      <c r="D116" s="1484">
        <f t="shared" si="19"/>
        <v>118737547.7773805</v>
      </c>
      <c r="E116" s="1485">
        <f t="shared" si="20"/>
        <v>60120796.095157437</v>
      </c>
      <c r="F116" s="1485">
        <f t="shared" si="21"/>
        <v>58515712.192223072</v>
      </c>
      <c r="G116" s="1486">
        <f t="shared" si="22"/>
        <v>101039.48999999999</v>
      </c>
      <c r="H116" s="1493">
        <f t="shared" si="23"/>
        <v>1979005.8064925841</v>
      </c>
      <c r="I116" s="1494">
        <v>1741525.1097134741</v>
      </c>
      <c r="J116" s="1494">
        <v>237480.69677911009</v>
      </c>
      <c r="K116" s="1495"/>
      <c r="L116" s="1493">
        <f t="shared" si="24"/>
        <v>116758541.97088791</v>
      </c>
      <c r="M116" s="1494">
        <v>58379270.985443965</v>
      </c>
      <c r="N116" s="1494">
        <v>58278231.495443963</v>
      </c>
      <c r="O116" s="1502">
        <v>101039.48999999999</v>
      </c>
    </row>
    <row r="117" spans="1:15" x14ac:dyDescent="0.3">
      <c r="A117" s="609" t="s">
        <v>180</v>
      </c>
      <c r="B117" s="695" t="s">
        <v>181</v>
      </c>
      <c r="C117" s="1477" t="s">
        <v>252</v>
      </c>
      <c r="D117" s="1484">
        <f t="shared" si="19"/>
        <v>215535452.18588606</v>
      </c>
      <c r="E117" s="1485">
        <f t="shared" si="20"/>
        <v>109696278.26542401</v>
      </c>
      <c r="F117" s="1485">
        <f t="shared" si="21"/>
        <v>105808663.68046205</v>
      </c>
      <c r="G117" s="1486">
        <f t="shared" si="22"/>
        <v>30510.239999999998</v>
      </c>
      <c r="H117" s="1493">
        <f t="shared" si="23"/>
        <v>5075137.2960025864</v>
      </c>
      <c r="I117" s="1494">
        <v>4466120.8204822764</v>
      </c>
      <c r="J117" s="1494">
        <v>609016.47552031034</v>
      </c>
      <c r="K117" s="1495"/>
      <c r="L117" s="1493">
        <f t="shared" si="24"/>
        <v>210460314.88988346</v>
      </c>
      <c r="M117" s="1494">
        <v>105230157.44494173</v>
      </c>
      <c r="N117" s="1494">
        <v>105199647.20494173</v>
      </c>
      <c r="O117" s="1502">
        <v>30510.239999999998</v>
      </c>
    </row>
    <row r="118" spans="1:15" x14ac:dyDescent="0.3">
      <c r="A118" s="609" t="s">
        <v>192</v>
      </c>
      <c r="B118" s="695" t="s">
        <v>193</v>
      </c>
      <c r="C118" s="1477" t="s">
        <v>256</v>
      </c>
      <c r="D118" s="1484">
        <f t="shared" si="19"/>
        <v>17263106.826498371</v>
      </c>
      <c r="E118" s="1485">
        <f t="shared" si="20"/>
        <v>8876112.3791658692</v>
      </c>
      <c r="F118" s="1485">
        <f t="shared" si="21"/>
        <v>8381664.2073324993</v>
      </c>
      <c r="G118" s="1486">
        <f t="shared" si="22"/>
        <v>5330.24</v>
      </c>
      <c r="H118" s="1493">
        <f t="shared" si="23"/>
        <v>643576.22609653929</v>
      </c>
      <c r="I118" s="1494">
        <v>566347.07896495459</v>
      </c>
      <c r="J118" s="1494">
        <v>77229.147131584716</v>
      </c>
      <c r="K118" s="1495"/>
      <c r="L118" s="1493">
        <f t="shared" si="24"/>
        <v>16619530.60040183</v>
      </c>
      <c r="M118" s="1494">
        <v>8309765.300200915</v>
      </c>
      <c r="N118" s="1494">
        <v>8304435.0602009147</v>
      </c>
      <c r="O118" s="1502">
        <v>5330.24</v>
      </c>
    </row>
    <row r="119" spans="1:15" x14ac:dyDescent="0.3">
      <c r="A119" s="609" t="s">
        <v>196</v>
      </c>
      <c r="B119" s="695" t="s">
        <v>300</v>
      </c>
      <c r="C119" s="1477" t="s">
        <v>254</v>
      </c>
      <c r="D119" s="1484">
        <f t="shared" si="19"/>
        <v>484318348.06373054</v>
      </c>
      <c r="E119" s="1485">
        <f t="shared" si="20"/>
        <v>245738352.21966311</v>
      </c>
      <c r="F119" s="1485">
        <f t="shared" si="21"/>
        <v>237543112.73406738</v>
      </c>
      <c r="G119" s="1486">
        <f t="shared" si="22"/>
        <v>1036883.11</v>
      </c>
      <c r="H119" s="1493">
        <f t="shared" si="23"/>
        <v>9418889.9678891115</v>
      </c>
      <c r="I119" s="1494">
        <v>8288623.1717424178</v>
      </c>
      <c r="J119" s="1494">
        <v>1130266.7961466934</v>
      </c>
      <c r="K119" s="1495"/>
      <c r="L119" s="1493">
        <f t="shared" si="24"/>
        <v>474899458.09584141</v>
      </c>
      <c r="M119" s="1494">
        <v>237449729.0479207</v>
      </c>
      <c r="N119" s="1494">
        <v>236412845.93792069</v>
      </c>
      <c r="O119" s="1502">
        <v>1036883.11</v>
      </c>
    </row>
    <row r="120" spans="1:15" x14ac:dyDescent="0.3">
      <c r="A120" s="609" t="s">
        <v>200</v>
      </c>
      <c r="B120" s="695" t="s">
        <v>301</v>
      </c>
      <c r="C120" s="1477" t="s">
        <v>253</v>
      </c>
      <c r="D120" s="1484">
        <f t="shared" si="19"/>
        <v>234554749.97412908</v>
      </c>
      <c r="E120" s="1485">
        <f t="shared" si="20"/>
        <v>119727620.9083548</v>
      </c>
      <c r="F120" s="1485">
        <f t="shared" si="21"/>
        <v>114386116.28577428</v>
      </c>
      <c r="G120" s="1486">
        <f t="shared" si="22"/>
        <v>441012.77999999991</v>
      </c>
      <c r="H120" s="1493">
        <f t="shared" si="23"/>
        <v>6448015.5823427942</v>
      </c>
      <c r="I120" s="1494">
        <v>5674253.7124616588</v>
      </c>
      <c r="J120" s="1494">
        <v>773749.82988113526</v>
      </c>
      <c r="K120" s="1495">
        <v>12.04</v>
      </c>
      <c r="L120" s="1493">
        <f t="shared" si="24"/>
        <v>228106734.39178628</v>
      </c>
      <c r="M120" s="1494">
        <v>114053367.19589314</v>
      </c>
      <c r="N120" s="1494">
        <v>113612366.45589314</v>
      </c>
      <c r="O120" s="1502">
        <v>441000.73999999993</v>
      </c>
    </row>
    <row r="121" spans="1:15" x14ac:dyDescent="0.3">
      <c r="A121" s="609" t="s">
        <v>222</v>
      </c>
      <c r="B121" s="695" t="s">
        <v>223</v>
      </c>
      <c r="C121" s="1477" t="s">
        <v>252</v>
      </c>
      <c r="D121" s="1484">
        <f t="shared" si="19"/>
        <v>146591457.86112538</v>
      </c>
      <c r="E121" s="1485">
        <f t="shared" si="20"/>
        <v>74622675.606873333</v>
      </c>
      <c r="F121" s="1485">
        <f t="shared" si="21"/>
        <v>71912676.694252044</v>
      </c>
      <c r="G121" s="1486">
        <f t="shared" si="22"/>
        <v>56105.560000000005</v>
      </c>
      <c r="H121" s="1493">
        <f t="shared" si="23"/>
        <v>3491964.937659598</v>
      </c>
      <c r="I121" s="1494">
        <v>3072929.1451404463</v>
      </c>
      <c r="J121" s="1494">
        <v>419035.79251915176</v>
      </c>
      <c r="K121" s="1495"/>
      <c r="L121" s="1493">
        <f t="shared" si="24"/>
        <v>143099492.92346579</v>
      </c>
      <c r="M121" s="1494">
        <v>71549746.461732894</v>
      </c>
      <c r="N121" s="1494">
        <v>71493640.901732892</v>
      </c>
      <c r="O121" s="1502">
        <v>56105.560000000005</v>
      </c>
    </row>
    <row r="122" spans="1:15" x14ac:dyDescent="0.3">
      <c r="A122" s="609" t="s">
        <v>230</v>
      </c>
      <c r="B122" s="695" t="s">
        <v>231</v>
      </c>
      <c r="C122" s="1477" t="s">
        <v>252</v>
      </c>
      <c r="D122" s="1484">
        <f t="shared" si="19"/>
        <v>427412395.21640778</v>
      </c>
      <c r="E122" s="1485">
        <f t="shared" si="20"/>
        <v>220165311.05621475</v>
      </c>
      <c r="F122" s="1485">
        <f t="shared" si="21"/>
        <v>206518147.37019303</v>
      </c>
      <c r="G122" s="1486">
        <f t="shared" si="22"/>
        <v>728936.79</v>
      </c>
      <c r="H122" s="1493">
        <f t="shared" si="23"/>
        <v>16997666.968449596</v>
      </c>
      <c r="I122" s="1494">
        <v>14957946.932235645</v>
      </c>
      <c r="J122" s="1494">
        <v>2039677.3562139515</v>
      </c>
      <c r="K122" s="1495">
        <v>42.68</v>
      </c>
      <c r="L122" s="1493">
        <f t="shared" si="24"/>
        <v>410414728.24795818</v>
      </c>
      <c r="M122" s="1494">
        <v>205207364.12397909</v>
      </c>
      <c r="N122" s="1494">
        <v>204478470.01397908</v>
      </c>
      <c r="O122" s="1502">
        <v>728894.11</v>
      </c>
    </row>
    <row r="123" spans="1:15" x14ac:dyDescent="0.3">
      <c r="A123" s="609" t="s">
        <v>238</v>
      </c>
      <c r="B123" s="695" t="s">
        <v>239</v>
      </c>
      <c r="C123" s="1477" t="s">
        <v>252</v>
      </c>
      <c r="D123" s="1484">
        <f t="shared" si="19"/>
        <v>10690326.541301008</v>
      </c>
      <c r="E123" s="1485">
        <f t="shared" si="20"/>
        <v>5510415.7790192021</v>
      </c>
      <c r="F123" s="1485">
        <f t="shared" si="21"/>
        <v>5158471.0322818058</v>
      </c>
      <c r="G123" s="1486">
        <f t="shared" si="22"/>
        <v>21439.73</v>
      </c>
      <c r="H123" s="1493">
        <f t="shared" si="23"/>
        <v>434875.0220228894</v>
      </c>
      <c r="I123" s="1494">
        <v>382690.01938014268</v>
      </c>
      <c r="J123" s="1494">
        <v>52185.002642746724</v>
      </c>
      <c r="K123" s="1495"/>
      <c r="L123" s="1493">
        <f t="shared" si="24"/>
        <v>10255451.519278118</v>
      </c>
      <c r="M123" s="1494">
        <v>5127725.7596390592</v>
      </c>
      <c r="N123" s="1494">
        <v>5106286.0296390587</v>
      </c>
      <c r="O123" s="1502">
        <v>21439.73</v>
      </c>
    </row>
    <row r="124" spans="1:15" x14ac:dyDescent="0.3">
      <c r="A124" s="609" t="s">
        <v>240</v>
      </c>
      <c r="B124" s="695" t="s">
        <v>241</v>
      </c>
      <c r="C124" s="1477" t="s">
        <v>255</v>
      </c>
      <c r="D124" s="1484">
        <f t="shared" si="19"/>
        <v>47322027.103650205</v>
      </c>
      <c r="E124" s="1485">
        <f t="shared" si="20"/>
        <v>24411004.930684511</v>
      </c>
      <c r="F124" s="1485">
        <f t="shared" si="21"/>
        <v>22734842.282965697</v>
      </c>
      <c r="G124" s="1486">
        <f t="shared" si="22"/>
        <v>176179.88999999998</v>
      </c>
      <c r="H124" s="1493">
        <f t="shared" si="23"/>
        <v>1973661.5233142255</v>
      </c>
      <c r="I124" s="1494">
        <v>1736822.1405165184</v>
      </c>
      <c r="J124" s="1494">
        <v>236839.38279770705</v>
      </c>
      <c r="K124" s="1495"/>
      <c r="L124" s="1493">
        <f t="shared" si="24"/>
        <v>45348365.580335982</v>
      </c>
      <c r="M124" s="1494">
        <v>22674182.790167991</v>
      </c>
      <c r="N124" s="1494">
        <v>22498002.90016799</v>
      </c>
      <c r="O124" s="1502">
        <v>176179.88999999998</v>
      </c>
    </row>
    <row r="125" spans="1:15" x14ac:dyDescent="0.3">
      <c r="D125" s="1487"/>
      <c r="E125" s="1488"/>
      <c r="F125" s="1488"/>
      <c r="G125" s="1489"/>
      <c r="H125" s="696"/>
      <c r="I125" s="696"/>
      <c r="J125" s="696"/>
      <c r="K125" s="696"/>
      <c r="L125" s="696"/>
      <c r="M125" s="696"/>
      <c r="N125" s="696"/>
      <c r="O125" s="841"/>
    </row>
    <row r="126" spans="1:15" x14ac:dyDescent="0.3">
      <c r="A126" s="263" t="s">
        <v>254</v>
      </c>
      <c r="D126" s="1484">
        <f t="shared" ref="D126" si="25">H126+L126</f>
        <v>2040408236.3772573</v>
      </c>
      <c r="E126" s="1485">
        <f t="shared" ref="E126" si="26">+I126+M126</f>
        <v>1046118167.670975</v>
      </c>
      <c r="F126" s="1485">
        <f t="shared" ref="F126" si="27">+J126+N126</f>
        <v>990686419.99628234</v>
      </c>
      <c r="G126" s="1486">
        <f>K126+O126</f>
        <v>3603648.7100000004</v>
      </c>
      <c r="H126" s="1493">
        <f>I126+J126+K126</f>
        <v>68194867.058806345</v>
      </c>
      <c r="I126" s="1498">
        <v>60011483.011749588</v>
      </c>
      <c r="J126" s="1498">
        <v>8183321.3470567614</v>
      </c>
      <c r="K126" s="1499">
        <v>62.7</v>
      </c>
      <c r="L126" s="1493">
        <f t="shared" ref="L126:L131" si="28">M126+N126+O126</f>
        <v>1972213369.3184509</v>
      </c>
      <c r="M126" s="1498">
        <v>986106684.65922534</v>
      </c>
      <c r="N126" s="1498">
        <v>982503098.64922559</v>
      </c>
      <c r="O126" s="1499">
        <v>3603586.0100000002</v>
      </c>
    </row>
    <row r="127" spans="1:15" x14ac:dyDescent="0.3">
      <c r="A127" s="263" t="s">
        <v>252</v>
      </c>
      <c r="D127" s="1484">
        <f t="shared" ref="D127:D131" si="29">H127+L127</f>
        <v>2559964763.4998493</v>
      </c>
      <c r="E127" s="1485">
        <f t="shared" ref="E127:E131" si="30">+I127+M127</f>
        <v>1310652869.6972959</v>
      </c>
      <c r="F127" s="1485">
        <f t="shared" ref="F127:F131" si="31">+J127+N127</f>
        <v>1247103307.1925535</v>
      </c>
      <c r="G127" s="1486">
        <f t="shared" ref="G127:G131" si="32">K127+O127</f>
        <v>2208586.61</v>
      </c>
      <c r="H127" s="1493">
        <f t="shared" ref="H127:H131" si="33">I127+J127+K127</f>
        <v>80711810.387818843</v>
      </c>
      <c r="I127" s="1498">
        <v>71026393.141280591</v>
      </c>
      <c r="J127" s="1498">
        <v>9685356.8065382615</v>
      </c>
      <c r="K127" s="1499">
        <v>60.44</v>
      </c>
      <c r="L127" s="1493">
        <f t="shared" si="28"/>
        <v>2479252953.1120305</v>
      </c>
      <c r="M127" s="1498">
        <v>1239626476.5560153</v>
      </c>
      <c r="N127" s="1498">
        <v>1237417950.3860152</v>
      </c>
      <c r="O127" s="1499">
        <v>2208526.17</v>
      </c>
    </row>
    <row r="128" spans="1:15" x14ac:dyDescent="0.3">
      <c r="A128" s="263" t="s">
        <v>255</v>
      </c>
      <c r="D128" s="1484">
        <f t="shared" si="29"/>
        <v>2646865391.5148611</v>
      </c>
      <c r="E128" s="1485">
        <f t="shared" si="30"/>
        <v>1380644249.627661</v>
      </c>
      <c r="F128" s="1485">
        <f t="shared" si="31"/>
        <v>1261301345.1772001</v>
      </c>
      <c r="G128" s="1486">
        <f t="shared" si="32"/>
        <v>4919796.71</v>
      </c>
      <c r="H128" s="1493">
        <f t="shared" si="33"/>
        <v>150556720.71113196</v>
      </c>
      <c r="I128" s="1498">
        <v>132489914.22579613</v>
      </c>
      <c r="J128" s="1498">
        <v>18066753.005335845</v>
      </c>
      <c r="K128" s="1499">
        <v>53.480000000000004</v>
      </c>
      <c r="L128" s="1493">
        <f t="shared" si="28"/>
        <v>2496308670.8037291</v>
      </c>
      <c r="M128" s="1498">
        <v>1248154335.4018648</v>
      </c>
      <c r="N128" s="1498">
        <v>1243234592.1718643</v>
      </c>
      <c r="O128" s="1499">
        <v>4919743.2299999995</v>
      </c>
    </row>
    <row r="129" spans="1:15" x14ac:dyDescent="0.3">
      <c r="A129" s="263" t="s">
        <v>253</v>
      </c>
      <c r="D129" s="1484">
        <f t="shared" si="29"/>
        <v>1895447283.302135</v>
      </c>
      <c r="E129" s="1485">
        <f t="shared" si="30"/>
        <v>970237428.96227682</v>
      </c>
      <c r="F129" s="1485">
        <f t="shared" si="31"/>
        <v>921483889.90985823</v>
      </c>
      <c r="G129" s="1486">
        <f t="shared" si="32"/>
        <v>3725964.4299999997</v>
      </c>
      <c r="H129" s="1493">
        <f t="shared" si="33"/>
        <v>59246808.713708624</v>
      </c>
      <c r="I129" s="1498">
        <v>52137191.668063588</v>
      </c>
      <c r="J129" s="1498">
        <v>7109521.6556450343</v>
      </c>
      <c r="K129" s="1499">
        <v>95.39</v>
      </c>
      <c r="L129" s="1493">
        <f t="shared" si="28"/>
        <v>1836200474.5884264</v>
      </c>
      <c r="M129" s="1498">
        <v>918100237.29421318</v>
      </c>
      <c r="N129" s="1498">
        <v>914374368.25421321</v>
      </c>
      <c r="O129" s="1499">
        <v>3725869.0399999996</v>
      </c>
    </row>
    <row r="130" spans="1:15" x14ac:dyDescent="0.3">
      <c r="A130" s="263" t="s">
        <v>256</v>
      </c>
      <c r="D130" s="1484">
        <f t="shared" si="29"/>
        <v>999476113.18811917</v>
      </c>
      <c r="E130" s="1485">
        <f t="shared" si="30"/>
        <v>510840547.24862158</v>
      </c>
      <c r="F130" s="1485">
        <f t="shared" si="31"/>
        <v>487494458.39949757</v>
      </c>
      <c r="G130" s="1486">
        <f t="shared" si="32"/>
        <v>1141107.5400000003</v>
      </c>
      <c r="H130" s="1493">
        <f t="shared" si="33"/>
        <v>29217080.669900037</v>
      </c>
      <c r="I130" s="1498">
        <v>25711030.989512034</v>
      </c>
      <c r="J130" s="1498">
        <v>3506038.2303880048</v>
      </c>
      <c r="K130" s="1499">
        <v>11.45</v>
      </c>
      <c r="L130" s="1493">
        <f t="shared" si="28"/>
        <v>970259032.51821911</v>
      </c>
      <c r="M130" s="1498">
        <v>485129516.25910956</v>
      </c>
      <c r="N130" s="1498">
        <v>483988420.16910958</v>
      </c>
      <c r="O130" s="1499">
        <v>1141096.0900000003</v>
      </c>
    </row>
    <row r="131" spans="1:15" x14ac:dyDescent="0.3">
      <c r="A131" s="263" t="s">
        <v>9</v>
      </c>
      <c r="D131" s="1484">
        <f t="shared" si="29"/>
        <v>10142161787.882223</v>
      </c>
      <c r="E131" s="1485">
        <f t="shared" si="30"/>
        <v>5218493263.20683</v>
      </c>
      <c r="F131" s="1485">
        <f t="shared" si="31"/>
        <v>4908069420.6753912</v>
      </c>
      <c r="G131" s="1486">
        <f t="shared" si="32"/>
        <v>15599104</v>
      </c>
      <c r="H131" s="1493">
        <f t="shared" si="33"/>
        <v>387927287.5413658</v>
      </c>
      <c r="I131" s="1496">
        <f t="shared" ref="I131:K131" si="34">SUM(I126:I130)</f>
        <v>341376013.03640193</v>
      </c>
      <c r="J131" s="1496">
        <f t="shared" si="34"/>
        <v>46550991.044963911</v>
      </c>
      <c r="K131" s="1497">
        <f t="shared" si="34"/>
        <v>283.45999999999998</v>
      </c>
      <c r="L131" s="1493">
        <f t="shared" si="28"/>
        <v>9754234500.3408566</v>
      </c>
      <c r="M131" s="1496">
        <f>SUM(M126:M130)</f>
        <v>4877117250.1704283</v>
      </c>
      <c r="N131" s="1496">
        <f t="shared" ref="N131:O131" si="35">SUM(N126:N130)</f>
        <v>4861518429.6304274</v>
      </c>
      <c r="O131" s="1497">
        <f t="shared" si="35"/>
        <v>15598820.539999999</v>
      </c>
    </row>
    <row r="132" spans="1:15" x14ac:dyDescent="0.3">
      <c r="H132" s="696"/>
      <c r="I132" s="696"/>
      <c r="J132" s="696"/>
      <c r="K132" s="696"/>
      <c r="L132" s="696"/>
      <c r="M132" s="696"/>
      <c r="N132" s="696"/>
      <c r="O132" s="841"/>
    </row>
    <row r="133" spans="1:15" s="339" customFormat="1" x14ac:dyDescent="0.3">
      <c r="A133" s="839" t="s">
        <v>1094</v>
      </c>
      <c r="B133" s="605"/>
      <c r="C133" s="605"/>
      <c r="D133" s="558"/>
      <c r="O133" s="842"/>
    </row>
    <row r="134" spans="1:15" s="339" customFormat="1" x14ac:dyDescent="0.3">
      <c r="O134" s="842"/>
    </row>
    <row r="135" spans="1:15" s="359" customFormat="1" x14ac:dyDescent="0.3">
      <c r="A135" s="359" t="s">
        <v>248</v>
      </c>
      <c r="O135" s="843"/>
    </row>
    <row r="136" spans="1:15" x14ac:dyDescent="0.3">
      <c r="A136" s="360" t="s">
        <v>249</v>
      </c>
      <c r="B136" s="361" t="s">
        <v>250</v>
      </c>
      <c r="C136" s="361"/>
      <c r="O136" s="841"/>
    </row>
    <row r="137" spans="1:15" x14ac:dyDescent="0.3">
      <c r="O137" s="841"/>
    </row>
    <row r="138" spans="1:15" x14ac:dyDescent="0.3">
      <c r="O138" s="841"/>
    </row>
    <row r="139" spans="1:15" x14ac:dyDescent="0.3">
      <c r="O139" s="841"/>
    </row>
    <row r="140" spans="1:15" x14ac:dyDescent="0.3">
      <c r="O140" s="841"/>
    </row>
    <row r="141" spans="1:15" x14ac:dyDescent="0.3">
      <c r="O141" s="841"/>
    </row>
    <row r="142" spans="1:15" x14ac:dyDescent="0.3">
      <c r="O142" s="841"/>
    </row>
    <row r="143" spans="1:15" x14ac:dyDescent="0.3">
      <c r="O143" s="841"/>
    </row>
    <row r="144" spans="1:15" x14ac:dyDescent="0.3">
      <c r="O144" s="841"/>
    </row>
    <row r="145" spans="15:15" x14ac:dyDescent="0.3">
      <c r="O145" s="841"/>
    </row>
    <row r="146" spans="15:15" x14ac:dyDescent="0.3">
      <c r="O146" s="841"/>
    </row>
  </sheetData>
  <autoFilter ref="A3:C124"/>
  <sortState ref="A5:O124">
    <sortCondition ref="A5:A124"/>
  </sortState>
  <hyperlinks>
    <hyperlink ref="B136" r:id="rId1"/>
  </hyperlinks>
  <pageMargins left="0.7" right="0.7" top="0.75" bottom="0.75" header="0.3" footer="0.3"/>
  <pageSetup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136"/>
  <sheetViews>
    <sheetView workbookViewId="0">
      <pane ySplit="4" topLeftCell="A5" activePane="bottomLeft" state="frozen"/>
      <selection pane="bottomLeft" activeCell="A5" sqref="A5:XFD124"/>
    </sheetView>
  </sheetViews>
  <sheetFormatPr defaultColWidth="9" defaultRowHeight="15.6" x14ac:dyDescent="0.3"/>
  <cols>
    <col min="1" max="1" width="9.09765625" style="263" customWidth="1"/>
    <col min="2" max="2" width="34.09765625" style="263" customWidth="1"/>
    <col min="3" max="3" width="16.5" style="263" customWidth="1"/>
    <col min="4" max="4" width="14.09765625" style="263" bestFit="1" customWidth="1"/>
    <col min="5" max="5" width="14.09765625" style="263" customWidth="1"/>
    <col min="6" max="16384" width="9" style="263"/>
  </cols>
  <sheetData>
    <row r="1" spans="1:5" x14ac:dyDescent="0.3">
      <c r="A1" s="64" t="s">
        <v>1096</v>
      </c>
    </row>
    <row r="3" spans="1:5" s="1158" customFormat="1" ht="12.75" customHeight="1" x14ac:dyDescent="0.3">
      <c r="A3" s="1175" t="s">
        <v>4</v>
      </c>
      <c r="B3" s="1176" t="s">
        <v>5</v>
      </c>
      <c r="C3" s="1176" t="s">
        <v>251</v>
      </c>
      <c r="D3" s="1177" t="s">
        <v>308</v>
      </c>
      <c r="E3" s="1177" t="s">
        <v>309</v>
      </c>
    </row>
    <row r="4" spans="1:5" s="1158" customFormat="1" ht="12.75" customHeight="1" x14ac:dyDescent="0.3">
      <c r="A4" s="1178">
        <v>999</v>
      </c>
      <c r="B4" s="1179" t="s">
        <v>9</v>
      </c>
      <c r="C4" s="1179"/>
      <c r="D4" s="1180">
        <f>SUM(D5:D124)</f>
        <v>1018304921.4200002</v>
      </c>
      <c r="E4" s="1180">
        <f>SUM(E5:E124)</f>
        <v>1018304921.4200002</v>
      </c>
    </row>
    <row r="5" spans="1:5" s="1158" customFormat="1" ht="12.75" customHeight="1" x14ac:dyDescent="0.3">
      <c r="A5" s="1181" t="s">
        <v>10</v>
      </c>
      <c r="B5" s="1182" t="s">
        <v>11</v>
      </c>
      <c r="C5" s="1161" t="s">
        <v>252</v>
      </c>
      <c r="D5" s="1183">
        <f t="shared" ref="D5:D36" si="0">E5</f>
        <v>6663255</v>
      </c>
      <c r="E5" s="1183">
        <v>6663255</v>
      </c>
    </row>
    <row r="6" spans="1:5" s="1158" customFormat="1" ht="12.75" customHeight="1" x14ac:dyDescent="0.3">
      <c r="A6" s="1181" t="s">
        <v>12</v>
      </c>
      <c r="B6" s="1182" t="s">
        <v>13</v>
      </c>
      <c r="C6" s="1161" t="s">
        <v>253</v>
      </c>
      <c r="D6" s="1183">
        <f t="shared" si="0"/>
        <v>5925794</v>
      </c>
      <c r="E6" s="1183">
        <v>5925794</v>
      </c>
    </row>
    <row r="7" spans="1:5" s="1158" customFormat="1" ht="12.75" customHeight="1" x14ac:dyDescent="0.3">
      <c r="A7" s="1181" t="s">
        <v>16</v>
      </c>
      <c r="B7" s="1182" t="s">
        <v>285</v>
      </c>
      <c r="C7" s="1161" t="s">
        <v>253</v>
      </c>
      <c r="D7" s="1183">
        <f t="shared" si="0"/>
        <v>3736535</v>
      </c>
      <c r="E7" s="1183">
        <v>3736535</v>
      </c>
    </row>
    <row r="8" spans="1:5" s="1158" customFormat="1" ht="12.75" customHeight="1" x14ac:dyDescent="0.3">
      <c r="A8" s="1181" t="s">
        <v>18</v>
      </c>
      <c r="B8" s="1182" t="s">
        <v>19</v>
      </c>
      <c r="C8" s="1161" t="s">
        <v>254</v>
      </c>
      <c r="D8" s="1183">
        <f t="shared" si="0"/>
        <v>1830420</v>
      </c>
      <c r="E8" s="1183">
        <v>1830420</v>
      </c>
    </row>
    <row r="9" spans="1:5" s="1158" customFormat="1" ht="12.75" customHeight="1" x14ac:dyDescent="0.3">
      <c r="A9" s="1181" t="s">
        <v>20</v>
      </c>
      <c r="B9" s="1182" t="s">
        <v>21</v>
      </c>
      <c r="C9" s="1161" t="s">
        <v>253</v>
      </c>
      <c r="D9" s="1183">
        <f t="shared" si="0"/>
        <v>4197374</v>
      </c>
      <c r="E9" s="1183">
        <v>4197374</v>
      </c>
    </row>
    <row r="10" spans="1:5" s="1158" customFormat="1" ht="12.75" customHeight="1" x14ac:dyDescent="0.3">
      <c r="A10" s="1181" t="s">
        <v>22</v>
      </c>
      <c r="B10" s="1182" t="s">
        <v>23</v>
      </c>
      <c r="C10" s="1161" t="s">
        <v>253</v>
      </c>
      <c r="D10" s="1183">
        <f t="shared" si="0"/>
        <v>2831971.86</v>
      </c>
      <c r="E10" s="1183">
        <v>2831971.86</v>
      </c>
    </row>
    <row r="11" spans="1:5" s="1158" customFormat="1" ht="12.75" customHeight="1" x14ac:dyDescent="0.3">
      <c r="A11" s="1181" t="s">
        <v>24</v>
      </c>
      <c r="B11" s="1182" t="s">
        <v>25</v>
      </c>
      <c r="C11" s="1161" t="s">
        <v>255</v>
      </c>
      <c r="D11" s="1183">
        <f t="shared" si="0"/>
        <v>7712667</v>
      </c>
      <c r="E11" s="1183">
        <v>7712667</v>
      </c>
    </row>
    <row r="12" spans="1:5" s="1158" customFormat="1" ht="12.75" customHeight="1" x14ac:dyDescent="0.3">
      <c r="A12" s="1181" t="s">
        <v>26</v>
      </c>
      <c r="B12" s="1182" t="s">
        <v>547</v>
      </c>
      <c r="C12" s="1161" t="s">
        <v>253</v>
      </c>
      <c r="D12" s="1183">
        <f t="shared" si="0"/>
        <v>13414176.68</v>
      </c>
      <c r="E12" s="1183">
        <v>13414176.68</v>
      </c>
    </row>
    <row r="13" spans="1:5" s="1158" customFormat="1" ht="12.75" customHeight="1" x14ac:dyDescent="0.3">
      <c r="A13" s="1181" t="s">
        <v>27</v>
      </c>
      <c r="B13" s="1182" t="s">
        <v>28</v>
      </c>
      <c r="C13" s="1161" t="s">
        <v>253</v>
      </c>
      <c r="D13" s="1183">
        <f t="shared" si="0"/>
        <v>294684</v>
      </c>
      <c r="E13" s="1183">
        <v>294684</v>
      </c>
    </row>
    <row r="14" spans="1:5" s="1158" customFormat="1" ht="12.75" customHeight="1" x14ac:dyDescent="0.3">
      <c r="A14" s="1181" t="s">
        <v>29</v>
      </c>
      <c r="B14" s="1182" t="s">
        <v>736</v>
      </c>
      <c r="C14" s="1161" t="s">
        <v>253</v>
      </c>
      <c r="D14" s="1183">
        <f t="shared" si="0"/>
        <v>6728325</v>
      </c>
      <c r="E14" s="1183">
        <v>6728325</v>
      </c>
    </row>
    <row r="15" spans="1:5" s="1158" customFormat="1" ht="12.75" customHeight="1" x14ac:dyDescent="0.3">
      <c r="A15" s="1181" t="s">
        <v>30</v>
      </c>
      <c r="B15" s="1182" t="s">
        <v>31</v>
      </c>
      <c r="C15" s="1161" t="s">
        <v>256</v>
      </c>
      <c r="D15" s="1183">
        <f t="shared" si="0"/>
        <v>543990</v>
      </c>
      <c r="E15" s="1183">
        <v>543990</v>
      </c>
    </row>
    <row r="16" spans="1:5" s="1158" customFormat="1" ht="12.75" customHeight="1" x14ac:dyDescent="0.3">
      <c r="A16" s="1181" t="s">
        <v>32</v>
      </c>
      <c r="B16" s="1182" t="s">
        <v>33</v>
      </c>
      <c r="C16" s="1161" t="s">
        <v>253</v>
      </c>
      <c r="D16" s="1183">
        <f t="shared" si="0"/>
        <v>1854548</v>
      </c>
      <c r="E16" s="1183">
        <v>1854548</v>
      </c>
    </row>
    <row r="17" spans="1:5" s="1158" customFormat="1" ht="12.75" customHeight="1" x14ac:dyDescent="0.3">
      <c r="A17" s="1181" t="s">
        <v>36</v>
      </c>
      <c r="B17" s="1182" t="s">
        <v>37</v>
      </c>
      <c r="C17" s="1161" t="s">
        <v>252</v>
      </c>
      <c r="D17" s="1183">
        <f t="shared" si="0"/>
        <v>3882315</v>
      </c>
      <c r="E17" s="1183">
        <v>3882315</v>
      </c>
    </row>
    <row r="18" spans="1:5" s="1158" customFormat="1" ht="12.75" customHeight="1" x14ac:dyDescent="0.3">
      <c r="A18" s="1181" t="s">
        <v>38</v>
      </c>
      <c r="B18" s="1182" t="s">
        <v>39</v>
      </c>
      <c r="C18" s="1161" t="s">
        <v>256</v>
      </c>
      <c r="D18" s="1183">
        <f t="shared" si="0"/>
        <v>5628548.0600000005</v>
      </c>
      <c r="E18" s="1183">
        <v>5628548.0600000005</v>
      </c>
    </row>
    <row r="19" spans="1:5" s="1158" customFormat="1" ht="12.75" customHeight="1" x14ac:dyDescent="0.3">
      <c r="A19" s="1181" t="s">
        <v>40</v>
      </c>
      <c r="B19" s="1182" t="s">
        <v>41</v>
      </c>
      <c r="C19" s="1161" t="s">
        <v>254</v>
      </c>
      <c r="D19" s="1183">
        <f t="shared" si="0"/>
        <v>3486802</v>
      </c>
      <c r="E19" s="1183">
        <v>3486802</v>
      </c>
    </row>
    <row r="20" spans="1:5" s="1158" customFormat="1" ht="12.75" customHeight="1" x14ac:dyDescent="0.3">
      <c r="A20" s="1181" t="s">
        <v>42</v>
      </c>
      <c r="B20" s="1182" t="s">
        <v>43</v>
      </c>
      <c r="C20" s="1161" t="s">
        <v>253</v>
      </c>
      <c r="D20" s="1183">
        <f t="shared" si="0"/>
        <v>7807478.8200000003</v>
      </c>
      <c r="E20" s="1183">
        <v>7807478.8200000003</v>
      </c>
    </row>
    <row r="21" spans="1:5" s="1158" customFormat="1" ht="12.75" customHeight="1" x14ac:dyDescent="0.3">
      <c r="A21" s="1181" t="s">
        <v>44</v>
      </c>
      <c r="B21" s="1182" t="s">
        <v>45</v>
      </c>
      <c r="C21" s="1161" t="s">
        <v>254</v>
      </c>
      <c r="D21" s="1183">
        <f t="shared" si="0"/>
        <v>4822067</v>
      </c>
      <c r="E21" s="1183">
        <v>4822067</v>
      </c>
    </row>
    <row r="22" spans="1:5" s="1158" customFormat="1" ht="12.75" customHeight="1" x14ac:dyDescent="0.3">
      <c r="A22" s="1181" t="s">
        <v>46</v>
      </c>
      <c r="B22" s="1182" t="s">
        <v>47</v>
      </c>
      <c r="C22" s="1161" t="s">
        <v>256</v>
      </c>
      <c r="D22" s="1183">
        <f t="shared" si="0"/>
        <v>5030438</v>
      </c>
      <c r="E22" s="1183">
        <v>5030438</v>
      </c>
    </row>
    <row r="23" spans="1:5" s="1158" customFormat="1" ht="12.75" customHeight="1" x14ac:dyDescent="0.3">
      <c r="A23" s="1181" t="s">
        <v>48</v>
      </c>
      <c r="B23" s="1182" t="s">
        <v>257</v>
      </c>
      <c r="C23" s="1161" t="s">
        <v>254</v>
      </c>
      <c r="D23" s="1183">
        <f t="shared" si="0"/>
        <v>1179025</v>
      </c>
      <c r="E23" s="1183">
        <v>1179025</v>
      </c>
    </row>
    <row r="24" spans="1:5" s="1158" customFormat="1" ht="12.75" customHeight="1" x14ac:dyDescent="0.3">
      <c r="A24" s="1181" t="s">
        <v>50</v>
      </c>
      <c r="B24" s="1182" t="s">
        <v>51</v>
      </c>
      <c r="C24" s="1161" t="s">
        <v>253</v>
      </c>
      <c r="D24" s="1183">
        <f t="shared" si="0"/>
        <v>2408871.59</v>
      </c>
      <c r="E24" s="1183">
        <v>2408871.59</v>
      </c>
    </row>
    <row r="25" spans="1:5" s="1158" customFormat="1" ht="12.75" customHeight="1" x14ac:dyDescent="0.3">
      <c r="A25" s="1181" t="s">
        <v>56</v>
      </c>
      <c r="B25" s="1182" t="s">
        <v>283</v>
      </c>
      <c r="C25" s="1161" t="s">
        <v>254</v>
      </c>
      <c r="D25" s="1183">
        <f t="shared" si="0"/>
        <v>41294381.530000001</v>
      </c>
      <c r="E25" s="1183">
        <v>41294381.530000001</v>
      </c>
    </row>
    <row r="26" spans="1:5" s="1158" customFormat="1" ht="12.75" customHeight="1" x14ac:dyDescent="0.3">
      <c r="A26" s="1181" t="s">
        <v>58</v>
      </c>
      <c r="B26" s="1182" t="s">
        <v>59</v>
      </c>
      <c r="C26" s="1161" t="s">
        <v>255</v>
      </c>
      <c r="D26" s="1183">
        <f t="shared" si="0"/>
        <v>611928</v>
      </c>
      <c r="E26" s="1183">
        <v>611928</v>
      </c>
    </row>
    <row r="27" spans="1:5" s="1158" customFormat="1" ht="12.75" customHeight="1" x14ac:dyDescent="0.3">
      <c r="A27" s="1181" t="s">
        <v>60</v>
      </c>
      <c r="B27" s="1182" t="s">
        <v>61</v>
      </c>
      <c r="C27" s="1161" t="s">
        <v>253</v>
      </c>
      <c r="D27" s="1183">
        <f t="shared" si="0"/>
        <v>548793</v>
      </c>
      <c r="E27" s="1183">
        <v>548793</v>
      </c>
    </row>
    <row r="28" spans="1:5" s="1158" customFormat="1" ht="12.75" customHeight="1" x14ac:dyDescent="0.3">
      <c r="A28" s="1181" t="s">
        <v>62</v>
      </c>
      <c r="B28" s="1182" t="s">
        <v>63</v>
      </c>
      <c r="C28" s="1161" t="s">
        <v>255</v>
      </c>
      <c r="D28" s="1183">
        <f t="shared" si="0"/>
        <v>5688980</v>
      </c>
      <c r="E28" s="1183">
        <v>5688980</v>
      </c>
    </row>
    <row r="29" spans="1:5" s="1158" customFormat="1" ht="12.75" customHeight="1" x14ac:dyDescent="0.3">
      <c r="A29" s="1181" t="s">
        <v>64</v>
      </c>
      <c r="B29" s="1182" t="s">
        <v>65</v>
      </c>
      <c r="C29" s="1161" t="s">
        <v>254</v>
      </c>
      <c r="D29" s="1183">
        <f t="shared" si="0"/>
        <v>2494958</v>
      </c>
      <c r="E29" s="1183">
        <v>2494958</v>
      </c>
    </row>
    <row r="30" spans="1:5" s="1158" customFormat="1" ht="12.75" customHeight="1" x14ac:dyDescent="0.3">
      <c r="A30" s="1181" t="s">
        <v>68</v>
      </c>
      <c r="B30" s="1182" t="s">
        <v>69</v>
      </c>
      <c r="C30" s="1161" t="s">
        <v>256</v>
      </c>
      <c r="D30" s="1183">
        <f t="shared" si="0"/>
        <v>3333427</v>
      </c>
      <c r="E30" s="1183">
        <v>3333427</v>
      </c>
    </row>
    <row r="31" spans="1:5" s="1158" customFormat="1" ht="12.75" customHeight="1" x14ac:dyDescent="0.3">
      <c r="A31" s="1181" t="s">
        <v>70</v>
      </c>
      <c r="B31" s="1182" t="s">
        <v>71</v>
      </c>
      <c r="C31" s="1161" t="s">
        <v>252</v>
      </c>
      <c r="D31" s="1183">
        <f t="shared" si="0"/>
        <v>5518701</v>
      </c>
      <c r="E31" s="1183">
        <v>5518701</v>
      </c>
    </row>
    <row r="32" spans="1:5" s="1158" customFormat="1" ht="12.75" customHeight="1" x14ac:dyDescent="0.3">
      <c r="A32" s="1181" t="s">
        <v>72</v>
      </c>
      <c r="B32" s="1182" t="s">
        <v>73</v>
      </c>
      <c r="C32" s="1161" t="s">
        <v>254</v>
      </c>
      <c r="D32" s="1183">
        <f t="shared" si="0"/>
        <v>2468115</v>
      </c>
      <c r="E32" s="1183">
        <v>2468115</v>
      </c>
    </row>
    <row r="33" spans="1:5" s="1158" customFormat="1" ht="12.75" customHeight="1" x14ac:dyDescent="0.3">
      <c r="A33" s="1181" t="s">
        <v>74</v>
      </c>
      <c r="B33" s="1182" t="s">
        <v>290</v>
      </c>
      <c r="C33" s="1161" t="s">
        <v>255</v>
      </c>
      <c r="D33" s="1183">
        <f t="shared" si="0"/>
        <v>56424240.950000003</v>
      </c>
      <c r="E33" s="1183">
        <v>56424240.950000003</v>
      </c>
    </row>
    <row r="34" spans="1:5" s="1158" customFormat="1" ht="12.75" customHeight="1" x14ac:dyDescent="0.3">
      <c r="A34" s="1181" t="s">
        <v>76</v>
      </c>
      <c r="B34" s="1182" t="s">
        <v>77</v>
      </c>
      <c r="C34" s="1161" t="s">
        <v>255</v>
      </c>
      <c r="D34" s="1183">
        <f t="shared" si="0"/>
        <v>3850051</v>
      </c>
      <c r="E34" s="1183">
        <v>3850051</v>
      </c>
    </row>
    <row r="35" spans="1:5" s="1158" customFormat="1" ht="12.75" customHeight="1" x14ac:dyDescent="0.3">
      <c r="A35" s="1181" t="s">
        <v>78</v>
      </c>
      <c r="B35" s="1182" t="s">
        <v>79</v>
      </c>
      <c r="C35" s="1161" t="s">
        <v>256</v>
      </c>
      <c r="D35" s="1183">
        <f t="shared" si="0"/>
        <v>2086944</v>
      </c>
      <c r="E35" s="1183">
        <v>2086944</v>
      </c>
    </row>
    <row r="36" spans="1:5" s="1158" customFormat="1" ht="12.75" customHeight="1" x14ac:dyDescent="0.3">
      <c r="A36" s="1181" t="s">
        <v>80</v>
      </c>
      <c r="B36" s="1182" t="s">
        <v>81</v>
      </c>
      <c r="C36" s="1161" t="s">
        <v>254</v>
      </c>
      <c r="D36" s="1183">
        <f t="shared" si="0"/>
        <v>1849068</v>
      </c>
      <c r="E36" s="1183">
        <v>1849068</v>
      </c>
    </row>
    <row r="37" spans="1:5" s="1158" customFormat="1" ht="12.75" customHeight="1" x14ac:dyDescent="0.3">
      <c r="A37" s="1181" t="s">
        <v>84</v>
      </c>
      <c r="B37" s="1182" t="s">
        <v>296</v>
      </c>
      <c r="C37" s="1161" t="s">
        <v>253</v>
      </c>
      <c r="D37" s="1183">
        <f t="shared" ref="D37:D68" si="1">E37</f>
        <v>7683918</v>
      </c>
      <c r="E37" s="1183">
        <v>7683918</v>
      </c>
    </row>
    <row r="38" spans="1:5" s="1158" customFormat="1" ht="12.75" customHeight="1" x14ac:dyDescent="0.3">
      <c r="A38" s="1181" t="s">
        <v>86</v>
      </c>
      <c r="B38" s="1182" t="s">
        <v>87</v>
      </c>
      <c r="C38" s="1161" t="s">
        <v>255</v>
      </c>
      <c r="D38" s="1183">
        <f t="shared" si="1"/>
        <v>6405064.0899999999</v>
      </c>
      <c r="E38" s="1183">
        <v>6405064.0899999999</v>
      </c>
    </row>
    <row r="39" spans="1:5" s="1158" customFormat="1" ht="12.75" customHeight="1" x14ac:dyDescent="0.3">
      <c r="A39" s="1181" t="s">
        <v>92</v>
      </c>
      <c r="B39" s="1182" t="s">
        <v>93</v>
      </c>
      <c r="C39" s="1161" t="s">
        <v>256</v>
      </c>
      <c r="D39" s="1183">
        <f t="shared" si="1"/>
        <v>2230376.27</v>
      </c>
      <c r="E39" s="1183">
        <v>2230376.27</v>
      </c>
    </row>
    <row r="40" spans="1:5" s="1158" customFormat="1" ht="12.75" customHeight="1" x14ac:dyDescent="0.3">
      <c r="A40" s="1181" t="s">
        <v>94</v>
      </c>
      <c r="B40" s="1182" t="s">
        <v>95</v>
      </c>
      <c r="C40" s="1161" t="s">
        <v>252</v>
      </c>
      <c r="D40" s="1183">
        <f t="shared" si="1"/>
        <v>4440400</v>
      </c>
      <c r="E40" s="1183">
        <v>4440400</v>
      </c>
    </row>
    <row r="41" spans="1:5" s="1158" customFormat="1" ht="12.75" customHeight="1" x14ac:dyDescent="0.3">
      <c r="A41" s="1181" t="s">
        <v>96</v>
      </c>
      <c r="B41" s="1182" t="s">
        <v>97</v>
      </c>
      <c r="C41" s="1161" t="s">
        <v>254</v>
      </c>
      <c r="D41" s="1183">
        <f t="shared" si="1"/>
        <v>1349942</v>
      </c>
      <c r="E41" s="1183">
        <v>1349942</v>
      </c>
    </row>
    <row r="42" spans="1:5" s="1158" customFormat="1" ht="12.75" customHeight="1" x14ac:dyDescent="0.3">
      <c r="A42" s="1181" t="s">
        <v>98</v>
      </c>
      <c r="B42" s="1182" t="s">
        <v>99</v>
      </c>
      <c r="C42" s="1161" t="s">
        <v>256</v>
      </c>
      <c r="D42" s="1183">
        <f t="shared" si="1"/>
        <v>2676438</v>
      </c>
      <c r="E42" s="1183">
        <v>2676438</v>
      </c>
    </row>
    <row r="43" spans="1:5" s="1158" customFormat="1" ht="12.75" customHeight="1" x14ac:dyDescent="0.3">
      <c r="A43" s="1181" t="s">
        <v>100</v>
      </c>
      <c r="B43" s="1182" t="s">
        <v>101</v>
      </c>
      <c r="C43" s="1161" t="s">
        <v>255</v>
      </c>
      <c r="D43" s="1183">
        <f t="shared" si="1"/>
        <v>2407005.5700000003</v>
      </c>
      <c r="E43" s="1183">
        <v>2407005.5700000003</v>
      </c>
    </row>
    <row r="44" spans="1:5" s="1158" customFormat="1" ht="12.75" customHeight="1" x14ac:dyDescent="0.3">
      <c r="A44" s="1181" t="s">
        <v>102</v>
      </c>
      <c r="B44" s="1182" t="s">
        <v>103</v>
      </c>
      <c r="C44" s="1161" t="s">
        <v>252</v>
      </c>
      <c r="D44" s="1183">
        <f t="shared" si="1"/>
        <v>4740469.5999999996</v>
      </c>
      <c r="E44" s="1183">
        <v>4740469.5999999996</v>
      </c>
    </row>
    <row r="45" spans="1:5" s="1158" customFormat="1" ht="12.75" customHeight="1" x14ac:dyDescent="0.3">
      <c r="A45" s="1181" t="s">
        <v>104</v>
      </c>
      <c r="B45" s="1182" t="s">
        <v>297</v>
      </c>
      <c r="C45" s="1161" t="s">
        <v>253</v>
      </c>
      <c r="D45" s="1183">
        <f t="shared" si="1"/>
        <v>7772914.6200000001</v>
      </c>
      <c r="E45" s="1183">
        <v>7772914.6200000001</v>
      </c>
    </row>
    <row r="46" spans="1:5" s="1158" customFormat="1" ht="12.75" customHeight="1" x14ac:dyDescent="0.3">
      <c r="A46" s="1181" t="s">
        <v>108</v>
      </c>
      <c r="B46" s="1182" t="s">
        <v>109</v>
      </c>
      <c r="C46" s="1161" t="s">
        <v>254</v>
      </c>
      <c r="D46" s="1183">
        <f t="shared" si="1"/>
        <v>6046376</v>
      </c>
      <c r="E46" s="1183">
        <v>6046376</v>
      </c>
    </row>
    <row r="47" spans="1:5" s="1158" customFormat="1" ht="12.75" customHeight="1" x14ac:dyDescent="0.3">
      <c r="A47" s="1181" t="s">
        <v>110</v>
      </c>
      <c r="B47" s="1182" t="s">
        <v>111</v>
      </c>
      <c r="C47" s="1161" t="s">
        <v>254</v>
      </c>
      <c r="D47" s="1183">
        <f t="shared" si="1"/>
        <v>42867416.329999998</v>
      </c>
      <c r="E47" s="1183">
        <v>42867416.329999998</v>
      </c>
    </row>
    <row r="48" spans="1:5" s="1158" customFormat="1" ht="12.75" customHeight="1" x14ac:dyDescent="0.3">
      <c r="A48" s="1181" t="s">
        <v>112</v>
      </c>
      <c r="B48" s="1182" t="s">
        <v>288</v>
      </c>
      <c r="C48" s="1161" t="s">
        <v>253</v>
      </c>
      <c r="D48" s="1183">
        <f t="shared" si="1"/>
        <v>17247855.699999999</v>
      </c>
      <c r="E48" s="1183">
        <v>17247855.699999999</v>
      </c>
    </row>
    <row r="49" spans="1:5" s="1158" customFormat="1" ht="12.75" customHeight="1" x14ac:dyDescent="0.3">
      <c r="A49" s="1181" t="s">
        <v>114</v>
      </c>
      <c r="B49" s="1182" t="s">
        <v>115</v>
      </c>
      <c r="C49" s="1161" t="s">
        <v>253</v>
      </c>
      <c r="D49" s="1183">
        <f t="shared" si="1"/>
        <v>108571</v>
      </c>
      <c r="E49" s="1183">
        <v>108571</v>
      </c>
    </row>
    <row r="50" spans="1:5" s="1158" customFormat="1" ht="12.75" customHeight="1" x14ac:dyDescent="0.3">
      <c r="A50" s="1181" t="s">
        <v>118</v>
      </c>
      <c r="B50" s="1182" t="s">
        <v>119</v>
      </c>
      <c r="C50" s="1161" t="s">
        <v>252</v>
      </c>
      <c r="D50" s="1183">
        <f t="shared" si="1"/>
        <v>4037720</v>
      </c>
      <c r="E50" s="1183">
        <v>4037720</v>
      </c>
    </row>
    <row r="51" spans="1:5" s="1158" customFormat="1" ht="12.75" customHeight="1" x14ac:dyDescent="0.3">
      <c r="A51" s="1181" t="s">
        <v>120</v>
      </c>
      <c r="B51" s="1182" t="s">
        <v>121</v>
      </c>
      <c r="C51" s="1161" t="s">
        <v>252</v>
      </c>
      <c r="D51" s="1183">
        <f t="shared" si="1"/>
        <v>5168761</v>
      </c>
      <c r="E51" s="1183">
        <v>5168761</v>
      </c>
    </row>
    <row r="52" spans="1:5" s="1158" customFormat="1" ht="12.75" customHeight="1" x14ac:dyDescent="0.3">
      <c r="A52" s="1181" t="s">
        <v>122</v>
      </c>
      <c r="B52" s="1182" t="s">
        <v>259</v>
      </c>
      <c r="C52" s="1161" t="s">
        <v>254</v>
      </c>
      <c r="D52" s="1183">
        <f t="shared" si="1"/>
        <v>1375879.81</v>
      </c>
      <c r="E52" s="1183">
        <v>1375879.81</v>
      </c>
    </row>
    <row r="53" spans="1:5" s="1158" customFormat="1" ht="12.75" customHeight="1" x14ac:dyDescent="0.3">
      <c r="A53" s="1181" t="s">
        <v>124</v>
      </c>
      <c r="B53" s="1182" t="s">
        <v>125</v>
      </c>
      <c r="C53" s="1161" t="s">
        <v>255</v>
      </c>
      <c r="D53" s="1183">
        <f t="shared" si="1"/>
        <v>2747941</v>
      </c>
      <c r="E53" s="1183">
        <v>2747941</v>
      </c>
    </row>
    <row r="54" spans="1:5" s="1158" customFormat="1" ht="12.75" customHeight="1" x14ac:dyDescent="0.3">
      <c r="A54" s="1181" t="s">
        <v>126</v>
      </c>
      <c r="B54" s="1182" t="s">
        <v>127</v>
      </c>
      <c r="C54" s="1161" t="s">
        <v>254</v>
      </c>
      <c r="D54" s="1183">
        <f t="shared" si="1"/>
        <v>1723420</v>
      </c>
      <c r="E54" s="1183">
        <v>1723420</v>
      </c>
    </row>
    <row r="55" spans="1:5" s="1158" customFormat="1" ht="12.75" customHeight="1" x14ac:dyDescent="0.3">
      <c r="A55" s="1181" t="s">
        <v>128</v>
      </c>
      <c r="B55" s="1182" t="s">
        <v>129</v>
      </c>
      <c r="C55" s="1161" t="s">
        <v>254</v>
      </c>
      <c r="D55" s="1183">
        <f t="shared" si="1"/>
        <v>1893655</v>
      </c>
      <c r="E55" s="1183">
        <v>1893655</v>
      </c>
    </row>
    <row r="56" spans="1:5" s="1158" customFormat="1" ht="12.75" customHeight="1" x14ac:dyDescent="0.3">
      <c r="A56" s="1181" t="s">
        <v>130</v>
      </c>
      <c r="B56" s="1182" t="s">
        <v>131</v>
      </c>
      <c r="C56" s="1161" t="s">
        <v>256</v>
      </c>
      <c r="D56" s="1183">
        <f t="shared" si="1"/>
        <v>7117258</v>
      </c>
      <c r="E56" s="1183">
        <v>7117258</v>
      </c>
    </row>
    <row r="57" spans="1:5" s="1158" customFormat="1" ht="12.75" customHeight="1" x14ac:dyDescent="0.3">
      <c r="A57" s="1181" t="s">
        <v>132</v>
      </c>
      <c r="B57" s="1182" t="s">
        <v>133</v>
      </c>
      <c r="C57" s="1161" t="s">
        <v>255</v>
      </c>
      <c r="D57" s="1183">
        <f t="shared" si="1"/>
        <v>12450949</v>
      </c>
      <c r="E57" s="1183">
        <v>12450949</v>
      </c>
    </row>
    <row r="58" spans="1:5" s="1158" customFormat="1" ht="12.75" customHeight="1" x14ac:dyDescent="0.3">
      <c r="A58" s="1181" t="s">
        <v>134</v>
      </c>
      <c r="B58" s="1182" t="s">
        <v>135</v>
      </c>
      <c r="C58" s="1161" t="s">
        <v>255</v>
      </c>
      <c r="D58" s="1183">
        <f t="shared" si="1"/>
        <v>4324870</v>
      </c>
      <c r="E58" s="1183">
        <v>4324870</v>
      </c>
    </row>
    <row r="59" spans="1:5" s="1158" customFormat="1" ht="12.75" customHeight="1" x14ac:dyDescent="0.3">
      <c r="A59" s="1181" t="s">
        <v>136</v>
      </c>
      <c r="B59" s="1182" t="s">
        <v>137</v>
      </c>
      <c r="C59" s="1161" t="s">
        <v>254</v>
      </c>
      <c r="D59" s="1183">
        <f t="shared" si="1"/>
        <v>2708468.55</v>
      </c>
      <c r="E59" s="1183">
        <v>2708468.55</v>
      </c>
    </row>
    <row r="60" spans="1:5" s="1158" customFormat="1" ht="12.75" customHeight="1" x14ac:dyDescent="0.3">
      <c r="A60" s="1181" t="s">
        <v>140</v>
      </c>
      <c r="B60" s="1182" t="s">
        <v>141</v>
      </c>
      <c r="C60" s="1161" t="s">
        <v>255</v>
      </c>
      <c r="D60" s="1183">
        <f t="shared" si="1"/>
        <v>1198740</v>
      </c>
      <c r="E60" s="1183">
        <v>1198740</v>
      </c>
    </row>
    <row r="61" spans="1:5" s="1158" customFormat="1" ht="12.75" customHeight="1" x14ac:dyDescent="0.3">
      <c r="A61" s="1181" t="s">
        <v>146</v>
      </c>
      <c r="B61" s="1182" t="s">
        <v>147</v>
      </c>
      <c r="C61" s="1161" t="s">
        <v>252</v>
      </c>
      <c r="D61" s="1183">
        <f t="shared" si="1"/>
        <v>894179</v>
      </c>
      <c r="E61" s="1183">
        <v>894179</v>
      </c>
    </row>
    <row r="62" spans="1:5" s="1158" customFormat="1" ht="12.75" customHeight="1" x14ac:dyDescent="0.3">
      <c r="A62" s="1181" t="s">
        <v>148</v>
      </c>
      <c r="B62" s="1182" t="s">
        <v>149</v>
      </c>
      <c r="C62" s="1161" t="s">
        <v>253</v>
      </c>
      <c r="D62" s="1183">
        <f t="shared" si="1"/>
        <v>5268071</v>
      </c>
      <c r="E62" s="1183">
        <v>5268071</v>
      </c>
    </row>
    <row r="63" spans="1:5" s="1158" customFormat="1" ht="12.75" customHeight="1" x14ac:dyDescent="0.3">
      <c r="A63" s="1181" t="s">
        <v>150</v>
      </c>
      <c r="B63" s="1182" t="s">
        <v>151</v>
      </c>
      <c r="C63" s="1161" t="s">
        <v>254</v>
      </c>
      <c r="D63" s="1183">
        <f t="shared" si="1"/>
        <v>1996463</v>
      </c>
      <c r="E63" s="1183">
        <v>1996463</v>
      </c>
    </row>
    <row r="64" spans="1:5" s="1158" customFormat="1" ht="12.75" customHeight="1" x14ac:dyDescent="0.3">
      <c r="A64" s="1181" t="s">
        <v>152</v>
      </c>
      <c r="B64" s="1182" t="s">
        <v>153</v>
      </c>
      <c r="C64" s="1161" t="s">
        <v>256</v>
      </c>
      <c r="D64" s="1183">
        <f t="shared" si="1"/>
        <v>7459092</v>
      </c>
      <c r="E64" s="1183">
        <v>7459092</v>
      </c>
    </row>
    <row r="65" spans="1:5" s="1158" customFormat="1" ht="12.75" customHeight="1" x14ac:dyDescent="0.3">
      <c r="A65" s="1181" t="s">
        <v>154</v>
      </c>
      <c r="B65" s="1182" t="s">
        <v>155</v>
      </c>
      <c r="C65" s="1161" t="s">
        <v>253</v>
      </c>
      <c r="D65" s="1183">
        <f t="shared" si="1"/>
        <v>2045966</v>
      </c>
      <c r="E65" s="1183">
        <v>2045966</v>
      </c>
    </row>
    <row r="66" spans="1:5" s="1158" customFormat="1" ht="12.75" customHeight="1" x14ac:dyDescent="0.3">
      <c r="A66" s="1181" t="s">
        <v>156</v>
      </c>
      <c r="B66" s="1182" t="s">
        <v>157</v>
      </c>
      <c r="C66" s="1161" t="s">
        <v>254</v>
      </c>
      <c r="D66" s="1183">
        <f t="shared" si="1"/>
        <v>1370167</v>
      </c>
      <c r="E66" s="1183">
        <v>1370167</v>
      </c>
    </row>
    <row r="67" spans="1:5" s="1158" customFormat="1" ht="12.75" customHeight="1" x14ac:dyDescent="0.3">
      <c r="A67" s="1181" t="s">
        <v>162</v>
      </c>
      <c r="B67" s="1182" t="s">
        <v>163</v>
      </c>
      <c r="C67" s="1161" t="s">
        <v>252</v>
      </c>
      <c r="D67" s="1183">
        <f t="shared" si="1"/>
        <v>2648559</v>
      </c>
      <c r="E67" s="1183">
        <v>2648559</v>
      </c>
    </row>
    <row r="68" spans="1:5" s="1158" customFormat="1" ht="12.75" customHeight="1" x14ac:dyDescent="0.3">
      <c r="A68" s="1181" t="s">
        <v>164</v>
      </c>
      <c r="B68" s="1182" t="s">
        <v>165</v>
      </c>
      <c r="C68" s="1161" t="s">
        <v>254</v>
      </c>
      <c r="D68" s="1183">
        <f t="shared" si="1"/>
        <v>2004184</v>
      </c>
      <c r="E68" s="1183">
        <v>2004184</v>
      </c>
    </row>
    <row r="69" spans="1:5" s="1158" customFormat="1" ht="12.75" customHeight="1" x14ac:dyDescent="0.3">
      <c r="A69" s="1181" t="s">
        <v>168</v>
      </c>
      <c r="B69" s="1182" t="s">
        <v>169</v>
      </c>
      <c r="C69" s="1161" t="s">
        <v>254</v>
      </c>
      <c r="D69" s="1183">
        <f t="shared" ref="D69:D100" si="2">E69</f>
        <v>3659078.9699999997</v>
      </c>
      <c r="E69" s="1183">
        <v>3659078.9699999997</v>
      </c>
    </row>
    <row r="70" spans="1:5" s="1158" customFormat="1" ht="12.75" customHeight="1" x14ac:dyDescent="0.3">
      <c r="A70" s="1181" t="s">
        <v>170</v>
      </c>
      <c r="B70" s="1182" t="s">
        <v>171</v>
      </c>
      <c r="C70" s="1161" t="s">
        <v>255</v>
      </c>
      <c r="D70" s="1183">
        <f t="shared" si="2"/>
        <v>3625468.2199999997</v>
      </c>
      <c r="E70" s="1183">
        <v>3625468.2199999997</v>
      </c>
    </row>
    <row r="71" spans="1:5" s="1158" customFormat="1" ht="12.75" customHeight="1" x14ac:dyDescent="0.3">
      <c r="A71" s="1181" t="s">
        <v>172</v>
      </c>
      <c r="B71" s="1182" t="s">
        <v>173</v>
      </c>
      <c r="C71" s="1161" t="s">
        <v>255</v>
      </c>
      <c r="D71" s="1183">
        <f t="shared" si="2"/>
        <v>3215126</v>
      </c>
      <c r="E71" s="1183">
        <v>3215126</v>
      </c>
    </row>
    <row r="72" spans="1:5" s="1158" customFormat="1" ht="12.75" customHeight="1" x14ac:dyDescent="0.3">
      <c r="A72" s="1181" t="s">
        <v>174</v>
      </c>
      <c r="B72" s="1182" t="s">
        <v>175</v>
      </c>
      <c r="C72" s="1161" t="s">
        <v>256</v>
      </c>
      <c r="D72" s="1183">
        <f t="shared" si="2"/>
        <v>3128822</v>
      </c>
      <c r="E72" s="1183">
        <v>3128822</v>
      </c>
    </row>
    <row r="73" spans="1:5" s="1158" customFormat="1" ht="12.75" customHeight="1" x14ac:dyDescent="0.3">
      <c r="A73" s="1181" t="s">
        <v>178</v>
      </c>
      <c r="B73" s="1182" t="s">
        <v>179</v>
      </c>
      <c r="C73" s="1161" t="s">
        <v>253</v>
      </c>
      <c r="D73" s="1183">
        <f t="shared" si="2"/>
        <v>10513869</v>
      </c>
      <c r="E73" s="1183">
        <v>10513869</v>
      </c>
    </row>
    <row r="74" spans="1:5" s="1158" customFormat="1" ht="12.75" customHeight="1" x14ac:dyDescent="0.3">
      <c r="A74" s="1181" t="s">
        <v>182</v>
      </c>
      <c r="B74" s="1182" t="s">
        <v>183</v>
      </c>
      <c r="C74" s="1161" t="s">
        <v>254</v>
      </c>
      <c r="D74" s="1183">
        <f t="shared" si="2"/>
        <v>1420495</v>
      </c>
      <c r="E74" s="1183">
        <v>1420495</v>
      </c>
    </row>
    <row r="75" spans="1:5" s="1158" customFormat="1" ht="12.75" customHeight="1" x14ac:dyDescent="0.3">
      <c r="A75" s="1181" t="s">
        <v>184</v>
      </c>
      <c r="B75" s="1182" t="s">
        <v>185</v>
      </c>
      <c r="C75" s="1161" t="s">
        <v>254</v>
      </c>
      <c r="D75" s="1183">
        <f t="shared" si="2"/>
        <v>3904638.73</v>
      </c>
      <c r="E75" s="1183">
        <v>3904638.73</v>
      </c>
    </row>
    <row r="76" spans="1:5" s="1158" customFormat="1" ht="12.75" customHeight="1" x14ac:dyDescent="0.3">
      <c r="A76" s="1181" t="s">
        <v>186</v>
      </c>
      <c r="B76" s="1182" t="s">
        <v>187</v>
      </c>
      <c r="C76" s="1161" t="s">
        <v>252</v>
      </c>
      <c r="D76" s="1183">
        <f t="shared" si="2"/>
        <v>4433026</v>
      </c>
      <c r="E76" s="1183">
        <v>4433026</v>
      </c>
    </row>
    <row r="77" spans="1:5" s="1158" customFormat="1" ht="12.75" customHeight="1" x14ac:dyDescent="0.3">
      <c r="A77" s="1181" t="s">
        <v>188</v>
      </c>
      <c r="B77" s="1182" t="s">
        <v>189</v>
      </c>
      <c r="C77" s="1161" t="s">
        <v>255</v>
      </c>
      <c r="D77" s="1183">
        <f t="shared" si="2"/>
        <v>34607319</v>
      </c>
      <c r="E77" s="1183">
        <v>34607319</v>
      </c>
    </row>
    <row r="78" spans="1:5" s="1158" customFormat="1" ht="12.75" customHeight="1" x14ac:dyDescent="0.3">
      <c r="A78" s="1181" t="s">
        <v>190</v>
      </c>
      <c r="B78" s="1182" t="s">
        <v>191</v>
      </c>
      <c r="C78" s="1161" t="s">
        <v>256</v>
      </c>
      <c r="D78" s="1183">
        <f t="shared" si="2"/>
        <v>6406340</v>
      </c>
      <c r="E78" s="1183">
        <v>6406340</v>
      </c>
    </row>
    <row r="79" spans="1:5" s="1158" customFormat="1" ht="12.75" customHeight="1" x14ac:dyDescent="0.3">
      <c r="A79" s="1181" t="s">
        <v>194</v>
      </c>
      <c r="B79" s="1182" t="s">
        <v>195</v>
      </c>
      <c r="C79" s="1161" t="s">
        <v>255</v>
      </c>
      <c r="D79" s="1183">
        <f t="shared" si="2"/>
        <v>431084</v>
      </c>
      <c r="E79" s="1183">
        <v>431084</v>
      </c>
    </row>
    <row r="80" spans="1:5" s="1158" customFormat="1" ht="12.75" customHeight="1" x14ac:dyDescent="0.3">
      <c r="A80" s="1181" t="s">
        <v>198</v>
      </c>
      <c r="B80" s="1182" t="s">
        <v>199</v>
      </c>
      <c r="C80" s="1161" t="s">
        <v>254</v>
      </c>
      <c r="D80" s="1183">
        <f t="shared" si="2"/>
        <v>1866466.03</v>
      </c>
      <c r="E80" s="1183">
        <v>1866466.03</v>
      </c>
    </row>
    <row r="81" spans="1:5" s="1158" customFormat="1" ht="12.75" customHeight="1" x14ac:dyDescent="0.3">
      <c r="A81" s="1181" t="s">
        <v>202</v>
      </c>
      <c r="B81" s="1182" t="s">
        <v>203</v>
      </c>
      <c r="C81" s="1161" t="s">
        <v>253</v>
      </c>
      <c r="D81" s="1183">
        <f t="shared" si="2"/>
        <v>7710503.3499999996</v>
      </c>
      <c r="E81" s="1183">
        <v>7710503.3499999996</v>
      </c>
    </row>
    <row r="82" spans="1:5" s="1158" customFormat="1" ht="12.75" customHeight="1" x14ac:dyDescent="0.3">
      <c r="A82" s="1181" t="s">
        <v>204</v>
      </c>
      <c r="B82" s="1182" t="s">
        <v>205</v>
      </c>
      <c r="C82" s="1161" t="s">
        <v>253</v>
      </c>
      <c r="D82" s="1183">
        <f t="shared" si="2"/>
        <v>4205581</v>
      </c>
      <c r="E82" s="1183">
        <v>4205581</v>
      </c>
    </row>
    <row r="83" spans="1:5" s="1158" customFormat="1" ht="12.75" customHeight="1" x14ac:dyDescent="0.3">
      <c r="A83" s="1181" t="s">
        <v>206</v>
      </c>
      <c r="B83" s="1182" t="s">
        <v>207</v>
      </c>
      <c r="C83" s="1161" t="s">
        <v>255</v>
      </c>
      <c r="D83" s="1183">
        <f t="shared" si="2"/>
        <v>10280357</v>
      </c>
      <c r="E83" s="1183">
        <v>10280357</v>
      </c>
    </row>
    <row r="84" spans="1:5" s="1158" customFormat="1" ht="12.75" customHeight="1" x14ac:dyDescent="0.3">
      <c r="A84" s="1181" t="s">
        <v>208</v>
      </c>
      <c r="B84" s="1182" t="s">
        <v>209</v>
      </c>
      <c r="C84" s="1161" t="s">
        <v>256</v>
      </c>
      <c r="D84" s="1183">
        <f t="shared" si="2"/>
        <v>6513489.4400000004</v>
      </c>
      <c r="E84" s="1183">
        <v>6513489.4400000004</v>
      </c>
    </row>
    <row r="85" spans="1:5" s="1158" customFormat="1" ht="12.75" customHeight="1" x14ac:dyDescent="0.3">
      <c r="A85" s="1181" t="s">
        <v>210</v>
      </c>
      <c r="B85" s="1182" t="s">
        <v>211</v>
      </c>
      <c r="C85" s="1161" t="s">
        <v>256</v>
      </c>
      <c r="D85" s="1183">
        <f t="shared" si="2"/>
        <v>3836285.14</v>
      </c>
      <c r="E85" s="1183">
        <v>3836285.14</v>
      </c>
    </row>
    <row r="86" spans="1:5" s="1158" customFormat="1" ht="12.75" customHeight="1" x14ac:dyDescent="0.3">
      <c r="A86" s="1181" t="s">
        <v>212</v>
      </c>
      <c r="B86" s="1182" t="s">
        <v>213</v>
      </c>
      <c r="C86" s="1161" t="s">
        <v>255</v>
      </c>
      <c r="D86" s="1183">
        <f t="shared" si="2"/>
        <v>5701959</v>
      </c>
      <c r="E86" s="1183">
        <v>5701959</v>
      </c>
    </row>
    <row r="87" spans="1:5" s="1158" customFormat="1" ht="12.75" customHeight="1" x14ac:dyDescent="0.3">
      <c r="A87" s="1181" t="s">
        <v>214</v>
      </c>
      <c r="B87" s="1182" t="s">
        <v>215</v>
      </c>
      <c r="C87" s="1161" t="s">
        <v>256</v>
      </c>
      <c r="D87" s="1183">
        <f t="shared" si="2"/>
        <v>6946587.5</v>
      </c>
      <c r="E87" s="1183">
        <v>6946587.5</v>
      </c>
    </row>
    <row r="88" spans="1:5" s="1158" customFormat="1" ht="12.75" customHeight="1" x14ac:dyDescent="0.3">
      <c r="A88" s="1181" t="s">
        <v>216</v>
      </c>
      <c r="B88" s="1182" t="s">
        <v>217</v>
      </c>
      <c r="C88" s="1161" t="s">
        <v>252</v>
      </c>
      <c r="D88" s="1183">
        <f t="shared" si="2"/>
        <v>3185091</v>
      </c>
      <c r="E88" s="1183">
        <v>3185091</v>
      </c>
    </row>
    <row r="89" spans="1:5" s="1158" customFormat="1" ht="12.75" customHeight="1" x14ac:dyDescent="0.3">
      <c r="A89" s="1181" t="s">
        <v>218</v>
      </c>
      <c r="B89" s="1182" t="s">
        <v>219</v>
      </c>
      <c r="C89" s="1161" t="s">
        <v>255</v>
      </c>
      <c r="D89" s="1183">
        <f t="shared" si="2"/>
        <v>14032775.629999999</v>
      </c>
      <c r="E89" s="1183">
        <v>14032775.629999999</v>
      </c>
    </row>
    <row r="90" spans="1:5" s="1158" customFormat="1" ht="12.75" customHeight="1" x14ac:dyDescent="0.3">
      <c r="A90" s="1181" t="s">
        <v>220</v>
      </c>
      <c r="B90" s="1182" t="s">
        <v>221</v>
      </c>
      <c r="C90" s="1161" t="s">
        <v>255</v>
      </c>
      <c r="D90" s="1183">
        <f t="shared" si="2"/>
        <v>12304394</v>
      </c>
      <c r="E90" s="1183">
        <v>12304394</v>
      </c>
    </row>
    <row r="91" spans="1:5" s="1158" customFormat="1" ht="12.75" customHeight="1" x14ac:dyDescent="0.3">
      <c r="A91" s="1181" t="s">
        <v>224</v>
      </c>
      <c r="B91" s="1182" t="s">
        <v>225</v>
      </c>
      <c r="C91" s="1161" t="s">
        <v>252</v>
      </c>
      <c r="D91" s="1183">
        <f t="shared" si="2"/>
        <v>1137506</v>
      </c>
      <c r="E91" s="1183">
        <v>1137506</v>
      </c>
    </row>
    <row r="92" spans="1:5" s="1158" customFormat="1" ht="12.75" customHeight="1" x14ac:dyDescent="0.3">
      <c r="A92" s="1181" t="s">
        <v>226</v>
      </c>
      <c r="B92" s="1182" t="s">
        <v>227</v>
      </c>
      <c r="C92" s="1161" t="s">
        <v>252</v>
      </c>
      <c r="D92" s="1183">
        <f t="shared" si="2"/>
        <v>2271322</v>
      </c>
      <c r="E92" s="1183">
        <v>2271322</v>
      </c>
    </row>
    <row r="93" spans="1:5" s="1158" customFormat="1" ht="12.75" customHeight="1" x14ac:dyDescent="0.3">
      <c r="A93" s="1181" t="s">
        <v>228</v>
      </c>
      <c r="B93" s="1182" t="s">
        <v>229</v>
      </c>
      <c r="C93" s="1161" t="s">
        <v>256</v>
      </c>
      <c r="D93" s="1183">
        <f t="shared" si="2"/>
        <v>9743955</v>
      </c>
      <c r="E93" s="1183">
        <v>9743955</v>
      </c>
    </row>
    <row r="94" spans="1:5" s="1158" customFormat="1" ht="12.75" customHeight="1" x14ac:dyDescent="0.3">
      <c r="A94" s="1181" t="s">
        <v>232</v>
      </c>
      <c r="B94" s="1182" t="s">
        <v>233</v>
      </c>
      <c r="C94" s="1161" t="s">
        <v>255</v>
      </c>
      <c r="D94" s="1183">
        <f t="shared" si="2"/>
        <v>5455134</v>
      </c>
      <c r="E94" s="1183">
        <v>5455134</v>
      </c>
    </row>
    <row r="95" spans="1:5" s="1158" customFormat="1" ht="12.75" customHeight="1" x14ac:dyDescent="0.3">
      <c r="A95" s="1181" t="s">
        <v>234</v>
      </c>
      <c r="B95" s="1182" t="s">
        <v>235</v>
      </c>
      <c r="C95" s="1161" t="s">
        <v>256</v>
      </c>
      <c r="D95" s="1183">
        <f t="shared" si="2"/>
        <v>8547015</v>
      </c>
      <c r="E95" s="1183">
        <v>8547015</v>
      </c>
    </row>
    <row r="96" spans="1:5" s="1158" customFormat="1" ht="12.75" customHeight="1" x14ac:dyDescent="0.3">
      <c r="A96" s="1181" t="s">
        <v>236</v>
      </c>
      <c r="B96" s="1182" t="s">
        <v>237</v>
      </c>
      <c r="C96" s="1161" t="s">
        <v>254</v>
      </c>
      <c r="D96" s="1183">
        <f t="shared" si="2"/>
        <v>4080384</v>
      </c>
      <c r="E96" s="1183">
        <v>4080384</v>
      </c>
    </row>
    <row r="97" spans="1:5" s="1158" customFormat="1" ht="12.75" customHeight="1" x14ac:dyDescent="0.3">
      <c r="A97" s="1181" t="s">
        <v>242</v>
      </c>
      <c r="B97" s="1182" t="s">
        <v>243</v>
      </c>
      <c r="C97" s="1161" t="s">
        <v>256</v>
      </c>
      <c r="D97" s="1183">
        <f t="shared" si="2"/>
        <v>9581487.0700000003</v>
      </c>
      <c r="E97" s="1183">
        <v>9581487.0700000003</v>
      </c>
    </row>
    <row r="98" spans="1:5" s="1158" customFormat="1" ht="12.75" customHeight="1" x14ac:dyDescent="0.3">
      <c r="A98" s="1181" t="s">
        <v>244</v>
      </c>
      <c r="B98" s="1182" t="s">
        <v>245</v>
      </c>
      <c r="C98" s="1161" t="s">
        <v>256</v>
      </c>
      <c r="D98" s="1183">
        <f t="shared" si="2"/>
        <v>4662950</v>
      </c>
      <c r="E98" s="1183">
        <v>4662950</v>
      </c>
    </row>
    <row r="99" spans="1:5" s="1158" customFormat="1" ht="12.75" customHeight="1" x14ac:dyDescent="0.3">
      <c r="A99" s="1181" t="s">
        <v>246</v>
      </c>
      <c r="B99" s="1182" t="s">
        <v>298</v>
      </c>
      <c r="C99" s="1161" t="s">
        <v>252</v>
      </c>
      <c r="D99" s="1183">
        <f t="shared" si="2"/>
        <v>3468484.45</v>
      </c>
      <c r="E99" s="1183">
        <v>3468484.45</v>
      </c>
    </row>
    <row r="100" spans="1:5" s="1158" customFormat="1" ht="12.75" customHeight="1" x14ac:dyDescent="0.3">
      <c r="A100" s="1181" t="s">
        <v>14</v>
      </c>
      <c r="B100" s="1182" t="s">
        <v>15</v>
      </c>
      <c r="C100" s="1161" t="s">
        <v>255</v>
      </c>
      <c r="D100" s="1183">
        <f t="shared" si="2"/>
        <v>12498489.4</v>
      </c>
      <c r="E100" s="1183">
        <v>12498489.4</v>
      </c>
    </row>
    <row r="101" spans="1:5" s="1158" customFormat="1" ht="12.75" customHeight="1" x14ac:dyDescent="0.3">
      <c r="A101" s="1181" t="s">
        <v>34</v>
      </c>
      <c r="B101" s="1182" t="s">
        <v>35</v>
      </c>
      <c r="C101" s="1161" t="s">
        <v>256</v>
      </c>
      <c r="D101" s="1183">
        <f t="shared" ref="D101:D124" si="3">E101</f>
        <v>5585094</v>
      </c>
      <c r="E101" s="1183">
        <v>5585094</v>
      </c>
    </row>
    <row r="102" spans="1:5" s="1158" customFormat="1" ht="12.75" customHeight="1" x14ac:dyDescent="0.3">
      <c r="A102" s="1181" t="s">
        <v>52</v>
      </c>
      <c r="B102" s="1182" t="s">
        <v>53</v>
      </c>
      <c r="C102" s="1161" t="s">
        <v>253</v>
      </c>
      <c r="D102" s="1183">
        <f t="shared" si="3"/>
        <v>5101646</v>
      </c>
      <c r="E102" s="1183">
        <v>5101646</v>
      </c>
    </row>
    <row r="103" spans="1:5" s="1158" customFormat="1" ht="12.75" customHeight="1" x14ac:dyDescent="0.3">
      <c r="A103" s="1181" t="s">
        <v>54</v>
      </c>
      <c r="B103" s="1182" t="s">
        <v>55</v>
      </c>
      <c r="C103" s="1161" t="s">
        <v>252</v>
      </c>
      <c r="D103" s="1183">
        <f t="shared" si="3"/>
        <v>27472960</v>
      </c>
      <c r="E103" s="1183">
        <v>27472960</v>
      </c>
    </row>
    <row r="104" spans="1:5" s="1158" customFormat="1" ht="12.75" customHeight="1" x14ac:dyDescent="0.3">
      <c r="A104" s="1181" t="s">
        <v>66</v>
      </c>
      <c r="B104" s="1182" t="s">
        <v>67</v>
      </c>
      <c r="C104" s="1161" t="s">
        <v>253</v>
      </c>
      <c r="D104" s="1183">
        <f t="shared" si="3"/>
        <v>16781144.130000003</v>
      </c>
      <c r="E104" s="1183">
        <v>16781144.130000003</v>
      </c>
    </row>
    <row r="105" spans="1:5" s="1158" customFormat="1" ht="12.75" customHeight="1" x14ac:dyDescent="0.3">
      <c r="A105" s="1181" t="s">
        <v>82</v>
      </c>
      <c r="B105" s="1182" t="s">
        <v>299</v>
      </c>
      <c r="C105" s="1161" t="s">
        <v>252</v>
      </c>
      <c r="D105" s="1183">
        <f t="shared" si="3"/>
        <v>3334176</v>
      </c>
      <c r="E105" s="1183">
        <v>3334176</v>
      </c>
    </row>
    <row r="106" spans="1:5" s="1158" customFormat="1" ht="12.75" customHeight="1" x14ac:dyDescent="0.3">
      <c r="A106" s="1181" t="s">
        <v>88</v>
      </c>
      <c r="B106" s="1182" t="s">
        <v>89</v>
      </c>
      <c r="C106" s="1161" t="s">
        <v>255</v>
      </c>
      <c r="D106" s="1183">
        <f t="shared" si="3"/>
        <v>5435594</v>
      </c>
      <c r="E106" s="1183">
        <v>5435594</v>
      </c>
    </row>
    <row r="107" spans="1:5" s="1158" customFormat="1" ht="12.75" customHeight="1" x14ac:dyDescent="0.3">
      <c r="A107" s="1181" t="s">
        <v>90</v>
      </c>
      <c r="B107" s="1182" t="s">
        <v>91</v>
      </c>
      <c r="C107" s="1161" t="s">
        <v>256</v>
      </c>
      <c r="D107" s="1183">
        <f t="shared" si="3"/>
        <v>1989755</v>
      </c>
      <c r="E107" s="1183">
        <v>1989755</v>
      </c>
    </row>
    <row r="108" spans="1:5" s="1158" customFormat="1" ht="12.75" customHeight="1" x14ac:dyDescent="0.3">
      <c r="A108" s="1181" t="s">
        <v>106</v>
      </c>
      <c r="B108" s="1182" t="s">
        <v>107</v>
      </c>
      <c r="C108" s="1161" t="s">
        <v>252</v>
      </c>
      <c r="D108" s="1183">
        <f t="shared" si="3"/>
        <v>27050076.719999999</v>
      </c>
      <c r="E108" s="1183">
        <v>27050076.719999999</v>
      </c>
    </row>
    <row r="109" spans="1:5" s="1158" customFormat="1" ht="12.75" customHeight="1" x14ac:dyDescent="0.3">
      <c r="A109" s="1181" t="s">
        <v>116</v>
      </c>
      <c r="B109" s="1182" t="s">
        <v>117</v>
      </c>
      <c r="C109" s="1161" t="s">
        <v>254</v>
      </c>
      <c r="D109" s="1183">
        <f t="shared" si="3"/>
        <v>9677050.7899999991</v>
      </c>
      <c r="E109" s="1183">
        <v>9677050.7899999991</v>
      </c>
    </row>
    <row r="110" spans="1:5" s="1158" customFormat="1" ht="12.75" customHeight="1" x14ac:dyDescent="0.3">
      <c r="A110" s="1181" t="s">
        <v>138</v>
      </c>
      <c r="B110" s="1182" t="s">
        <v>139</v>
      </c>
      <c r="C110" s="1161" t="s">
        <v>253</v>
      </c>
      <c r="D110" s="1183">
        <f t="shared" si="3"/>
        <v>14661751.199999999</v>
      </c>
      <c r="E110" s="1183">
        <v>14661751.199999999</v>
      </c>
    </row>
    <row r="111" spans="1:5" s="1158" customFormat="1" ht="12.75" customHeight="1" x14ac:dyDescent="0.3">
      <c r="A111" s="1181" t="s">
        <v>142</v>
      </c>
      <c r="B111" s="1182" t="s">
        <v>143</v>
      </c>
      <c r="C111" s="1161" t="s">
        <v>255</v>
      </c>
      <c r="D111" s="1183">
        <f t="shared" si="3"/>
        <v>4325102</v>
      </c>
      <c r="E111" s="1183">
        <v>4325102</v>
      </c>
    </row>
    <row r="112" spans="1:5" s="1158" customFormat="1" ht="12.75" customHeight="1" x14ac:dyDescent="0.3">
      <c r="A112" s="1181" t="s">
        <v>144</v>
      </c>
      <c r="B112" s="1182" t="s">
        <v>145</v>
      </c>
      <c r="C112" s="1161" t="s">
        <v>255</v>
      </c>
      <c r="D112" s="1183">
        <f t="shared" si="3"/>
        <v>1301474</v>
      </c>
      <c r="E112" s="1183">
        <v>1301474</v>
      </c>
    </row>
    <row r="113" spans="1:5" s="1158" customFormat="1" ht="12.75" customHeight="1" x14ac:dyDescent="0.3">
      <c r="A113" s="1181" t="s">
        <v>158</v>
      </c>
      <c r="B113" s="1182" t="s">
        <v>159</v>
      </c>
      <c r="C113" s="1161" t="s">
        <v>252</v>
      </c>
      <c r="D113" s="1183">
        <f t="shared" si="3"/>
        <v>43594356.710000001</v>
      </c>
      <c r="E113" s="1183">
        <v>43594356.710000001</v>
      </c>
    </row>
    <row r="114" spans="1:5" s="1158" customFormat="1" ht="12.75" customHeight="1" x14ac:dyDescent="0.3">
      <c r="A114" s="1181" t="s">
        <v>160</v>
      </c>
      <c r="B114" s="1182" t="s">
        <v>161</v>
      </c>
      <c r="C114" s="1161" t="s">
        <v>252</v>
      </c>
      <c r="D114" s="1183">
        <f t="shared" si="3"/>
        <v>53539380.140000001</v>
      </c>
      <c r="E114" s="1183">
        <v>53539380.140000001</v>
      </c>
    </row>
    <row r="115" spans="1:5" s="1158" customFormat="1" ht="12.75" customHeight="1" x14ac:dyDescent="0.3">
      <c r="A115" s="1181" t="s">
        <v>166</v>
      </c>
      <c r="B115" s="1182" t="s">
        <v>167</v>
      </c>
      <c r="C115" s="1161" t="s">
        <v>256</v>
      </c>
      <c r="D115" s="1183">
        <f t="shared" si="3"/>
        <v>1116519</v>
      </c>
      <c r="E115" s="1183">
        <v>1116519</v>
      </c>
    </row>
    <row r="116" spans="1:5" s="1158" customFormat="1" ht="12.75" customHeight="1" x14ac:dyDescent="0.3">
      <c r="A116" s="1181" t="s">
        <v>176</v>
      </c>
      <c r="B116" s="1182" t="s">
        <v>177</v>
      </c>
      <c r="C116" s="1161" t="s">
        <v>254</v>
      </c>
      <c r="D116" s="1183">
        <f t="shared" si="3"/>
        <v>14467367</v>
      </c>
      <c r="E116" s="1183">
        <v>14467367</v>
      </c>
    </row>
    <row r="117" spans="1:5" s="1158" customFormat="1" ht="12.75" customHeight="1" x14ac:dyDescent="0.3">
      <c r="A117" s="1181" t="s">
        <v>180</v>
      </c>
      <c r="B117" s="1182" t="s">
        <v>181</v>
      </c>
      <c r="C117" s="1161" t="s">
        <v>252</v>
      </c>
      <c r="D117" s="1183">
        <f t="shared" si="3"/>
        <v>31080699.77</v>
      </c>
      <c r="E117" s="1183">
        <v>31080699.77</v>
      </c>
    </row>
    <row r="118" spans="1:5" s="1158" customFormat="1" ht="12.75" customHeight="1" x14ac:dyDescent="0.3">
      <c r="A118" s="1181" t="s">
        <v>192</v>
      </c>
      <c r="B118" s="1182" t="s">
        <v>193</v>
      </c>
      <c r="C118" s="1161" t="s">
        <v>256</v>
      </c>
      <c r="D118" s="1183">
        <f t="shared" si="3"/>
        <v>1850256</v>
      </c>
      <c r="E118" s="1183">
        <v>1850256</v>
      </c>
    </row>
    <row r="119" spans="1:5" s="1158" customFormat="1" ht="12.75" customHeight="1" x14ac:dyDescent="0.3">
      <c r="A119" s="1181" t="s">
        <v>196</v>
      </c>
      <c r="B119" s="1182" t="s">
        <v>300</v>
      </c>
      <c r="C119" s="1161" t="s">
        <v>254</v>
      </c>
      <c r="D119" s="1183">
        <f t="shared" si="3"/>
        <v>57379002</v>
      </c>
      <c r="E119" s="1183">
        <v>57379002</v>
      </c>
    </row>
    <row r="120" spans="1:5" s="1158" customFormat="1" ht="12.75" customHeight="1" x14ac:dyDescent="0.3">
      <c r="A120" s="1181" t="s">
        <v>200</v>
      </c>
      <c r="B120" s="1182" t="s">
        <v>301</v>
      </c>
      <c r="C120" s="1161" t="s">
        <v>253</v>
      </c>
      <c r="D120" s="1183">
        <f t="shared" si="3"/>
        <v>28088337</v>
      </c>
      <c r="E120" s="1183">
        <v>28088337</v>
      </c>
    </row>
    <row r="121" spans="1:5" s="1158" customFormat="1" ht="12.75" customHeight="1" x14ac:dyDescent="0.3">
      <c r="A121" s="1181" t="s">
        <v>222</v>
      </c>
      <c r="B121" s="1182" t="s">
        <v>223</v>
      </c>
      <c r="C121" s="1161" t="s">
        <v>252</v>
      </c>
      <c r="D121" s="1183">
        <f t="shared" si="3"/>
        <v>14699196</v>
      </c>
      <c r="E121" s="1183">
        <v>14699196</v>
      </c>
    </row>
    <row r="122" spans="1:5" s="1158" customFormat="1" ht="12.75" customHeight="1" x14ac:dyDescent="0.3">
      <c r="A122" s="1181" t="s">
        <v>230</v>
      </c>
      <c r="B122" s="1182" t="s">
        <v>231</v>
      </c>
      <c r="C122" s="1161" t="s">
        <v>252</v>
      </c>
      <c r="D122" s="1183">
        <f t="shared" si="3"/>
        <v>39535007.5</v>
      </c>
      <c r="E122" s="1183">
        <v>39535007.5</v>
      </c>
    </row>
    <row r="123" spans="1:5" s="1158" customFormat="1" ht="12.75" customHeight="1" x14ac:dyDescent="0.3">
      <c r="A123" s="1181" t="s">
        <v>238</v>
      </c>
      <c r="B123" s="1182" t="s">
        <v>239</v>
      </c>
      <c r="C123" s="1161" t="s">
        <v>252</v>
      </c>
      <c r="D123" s="1183">
        <f t="shared" si="3"/>
        <v>1684726.5</v>
      </c>
      <c r="E123" s="1183">
        <v>1684726.5</v>
      </c>
    </row>
    <row r="124" spans="1:5" s="1158" customFormat="1" ht="12.75" customHeight="1" x14ac:dyDescent="0.3">
      <c r="A124" s="1181" t="s">
        <v>240</v>
      </c>
      <c r="B124" s="1182" t="s">
        <v>241</v>
      </c>
      <c r="C124" s="1171" t="s">
        <v>255</v>
      </c>
      <c r="D124" s="1183">
        <f t="shared" si="3"/>
        <v>4618803</v>
      </c>
      <c r="E124" s="1183">
        <v>4618803</v>
      </c>
    </row>
    <row r="125" spans="1:5" s="1158" customFormat="1" ht="12.75" customHeight="1" x14ac:dyDescent="0.3"/>
    <row r="126" spans="1:5" s="1158" customFormat="1" ht="12.75" customHeight="1" x14ac:dyDescent="0.3">
      <c r="A126" s="1158" t="s">
        <v>254</v>
      </c>
      <c r="D126" s="1503">
        <f t="shared" ref="D126:D130" si="4">E126</f>
        <v>219215290.73999998</v>
      </c>
      <c r="E126" s="1503">
        <v>219215290.73999998</v>
      </c>
    </row>
    <row r="127" spans="1:5" s="1158" customFormat="1" ht="12.75" customHeight="1" x14ac:dyDescent="0.3">
      <c r="A127" s="1158" t="s">
        <v>252</v>
      </c>
      <c r="D127" s="1503">
        <f t="shared" si="4"/>
        <v>294480368.38999999</v>
      </c>
      <c r="E127" s="1503">
        <v>294480368.38999999</v>
      </c>
    </row>
    <row r="128" spans="1:5" s="1158" customFormat="1" ht="12.75" customHeight="1" x14ac:dyDescent="0.3">
      <c r="A128" s="1158" t="s">
        <v>255</v>
      </c>
      <c r="D128" s="1503">
        <f t="shared" si="4"/>
        <v>221655515.86000001</v>
      </c>
      <c r="E128" s="1503">
        <v>221655515.86000001</v>
      </c>
    </row>
    <row r="129" spans="1:5" s="1158" customFormat="1" ht="12.75" customHeight="1" x14ac:dyDescent="0.3">
      <c r="A129" s="1158" t="s">
        <v>253</v>
      </c>
      <c r="D129" s="1503">
        <f t="shared" si="4"/>
        <v>176938679.94999996</v>
      </c>
      <c r="E129" s="1503">
        <v>176938679.94999996</v>
      </c>
    </row>
    <row r="130" spans="1:5" s="1158" customFormat="1" ht="12.75" customHeight="1" x14ac:dyDescent="0.3">
      <c r="A130" s="1158" t="s">
        <v>256</v>
      </c>
      <c r="D130" s="1503">
        <f t="shared" si="4"/>
        <v>106015066.47999999</v>
      </c>
      <c r="E130" s="1503">
        <v>106015066.47999999</v>
      </c>
    </row>
    <row r="131" spans="1:5" s="1158" customFormat="1" ht="12.75" customHeight="1" x14ac:dyDescent="0.3">
      <c r="A131" s="1158" t="s">
        <v>9</v>
      </c>
      <c r="D131" s="1504">
        <f>E131</f>
        <v>1018304921.42</v>
      </c>
      <c r="E131" s="1504">
        <f>SUM(E126:E130)</f>
        <v>1018304921.42</v>
      </c>
    </row>
    <row r="133" spans="1:5" s="339" customFormat="1" x14ac:dyDescent="0.3">
      <c r="A133" s="839" t="s">
        <v>1094</v>
      </c>
      <c r="B133" s="605"/>
      <c r="C133" s="605"/>
      <c r="D133" s="558"/>
    </row>
    <row r="134" spans="1:5" s="339" customFormat="1" x14ac:dyDescent="0.3"/>
    <row r="135" spans="1:5" s="359" customFormat="1" x14ac:dyDescent="0.3">
      <c r="A135" s="359" t="s">
        <v>248</v>
      </c>
    </row>
    <row r="136" spans="1:5" x14ac:dyDescent="0.3">
      <c r="A136" s="360" t="s">
        <v>249</v>
      </c>
      <c r="B136" s="361" t="s">
        <v>250</v>
      </c>
      <c r="C136" s="361"/>
    </row>
  </sheetData>
  <autoFilter ref="A3:C124"/>
  <sortState ref="A5:E124">
    <sortCondition ref="A5:A124"/>
  </sortState>
  <hyperlinks>
    <hyperlink ref="B136" r:id="rId1"/>
  </hyperlinks>
  <pageMargins left="0.7" right="0.7" top="0.75" bottom="0.75" header="0.3" footer="0.3"/>
  <pageSetup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6"/>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9" defaultRowHeight="15.6" x14ac:dyDescent="0.3"/>
  <cols>
    <col min="1" max="1" width="10" style="263" customWidth="1"/>
    <col min="2" max="2" width="28.59765625" style="263" customWidth="1"/>
    <col min="3" max="3" width="16.5" style="263" customWidth="1"/>
    <col min="4" max="9" width="17.09765625" style="263" customWidth="1"/>
    <col min="10" max="16384" width="9" style="263"/>
  </cols>
  <sheetData>
    <row r="1" spans="1:9" x14ac:dyDescent="0.3">
      <c r="A1" s="64" t="s">
        <v>1095</v>
      </c>
      <c r="D1" s="611"/>
    </row>
    <row r="2" spans="1:9" x14ac:dyDescent="0.3">
      <c r="D2" s="611"/>
    </row>
    <row r="3" spans="1:9" s="1158" customFormat="1" ht="12.75" customHeight="1" x14ac:dyDescent="0.3">
      <c r="A3" s="1184" t="s">
        <v>4</v>
      </c>
      <c r="B3" s="1185" t="s">
        <v>5</v>
      </c>
      <c r="C3" s="1185" t="s">
        <v>251</v>
      </c>
      <c r="D3" s="1511" t="s">
        <v>310</v>
      </c>
      <c r="E3" s="1512" t="s">
        <v>754</v>
      </c>
      <c r="F3" s="1512" t="s">
        <v>752</v>
      </c>
      <c r="G3" s="1512" t="s">
        <v>753</v>
      </c>
      <c r="H3" s="1512" t="s">
        <v>755</v>
      </c>
      <c r="I3" s="1513" t="s">
        <v>756</v>
      </c>
    </row>
    <row r="4" spans="1:9" s="1158" customFormat="1" ht="12.75" customHeight="1" x14ac:dyDescent="0.3">
      <c r="A4" s="1186">
        <v>999</v>
      </c>
      <c r="B4" s="1187" t="s">
        <v>9</v>
      </c>
      <c r="C4" s="1187"/>
      <c r="D4" s="1514">
        <f>SUM(D5:D124)</f>
        <v>71596908.719999969</v>
      </c>
      <c r="E4" s="1515">
        <f>SUM(E5:E124)</f>
        <v>71596908.719999969</v>
      </c>
      <c r="F4" s="1515">
        <f t="shared" ref="F4:I4" si="0">SUM(F5:F124)</f>
        <v>0</v>
      </c>
      <c r="G4" s="1515">
        <f t="shared" si="0"/>
        <v>0</v>
      </c>
      <c r="H4" s="1515">
        <f t="shared" si="0"/>
        <v>0</v>
      </c>
      <c r="I4" s="1516">
        <f t="shared" si="0"/>
        <v>0</v>
      </c>
    </row>
    <row r="5" spans="1:9" s="1158" customFormat="1" ht="12.75" customHeight="1" x14ac:dyDescent="0.3">
      <c r="A5" s="1188" t="s">
        <v>10</v>
      </c>
      <c r="B5" s="1189" t="s">
        <v>11</v>
      </c>
      <c r="C5" s="1161" t="s">
        <v>252</v>
      </c>
      <c r="D5" s="1517">
        <f t="shared" ref="D5:D36" si="1">SUM(E5:H5)</f>
        <v>980946.86</v>
      </c>
      <c r="E5" s="1518">
        <v>980946.86</v>
      </c>
      <c r="F5" s="1518">
        <v>0</v>
      </c>
      <c r="G5" s="1518">
        <v>0</v>
      </c>
      <c r="H5" s="1518">
        <v>0</v>
      </c>
      <c r="I5" s="1519">
        <f t="shared" ref="I5:I36" si="2">G5+H5</f>
        <v>0</v>
      </c>
    </row>
    <row r="6" spans="1:9" s="1158" customFormat="1" ht="12.75" customHeight="1" x14ac:dyDescent="0.3">
      <c r="A6" s="1188" t="s">
        <v>12</v>
      </c>
      <c r="B6" s="1189" t="s">
        <v>13</v>
      </c>
      <c r="C6" s="1161" t="s">
        <v>253</v>
      </c>
      <c r="D6" s="1517">
        <f t="shared" si="1"/>
        <v>480874.43000000005</v>
      </c>
      <c r="E6" s="1518">
        <v>480874.43000000005</v>
      </c>
      <c r="F6" s="1518">
        <v>0</v>
      </c>
      <c r="G6" s="1518">
        <v>0</v>
      </c>
      <c r="H6" s="1518">
        <v>0</v>
      </c>
      <c r="I6" s="1519">
        <f t="shared" si="2"/>
        <v>0</v>
      </c>
    </row>
    <row r="7" spans="1:9" s="1158" customFormat="1" ht="12.75" customHeight="1" x14ac:dyDescent="0.3">
      <c r="A7" s="1188" t="s">
        <v>16</v>
      </c>
      <c r="B7" s="1189" t="s">
        <v>285</v>
      </c>
      <c r="C7" s="1161" t="s">
        <v>253</v>
      </c>
      <c r="D7" s="1517">
        <f t="shared" si="1"/>
        <v>616434.63</v>
      </c>
      <c r="E7" s="1518">
        <v>616434.63</v>
      </c>
      <c r="F7" s="1518">
        <v>0</v>
      </c>
      <c r="G7" s="1518">
        <v>0</v>
      </c>
      <c r="H7" s="1518">
        <v>0</v>
      </c>
      <c r="I7" s="1519">
        <f t="shared" si="2"/>
        <v>0</v>
      </c>
    </row>
    <row r="8" spans="1:9" s="1158" customFormat="1" ht="12.75" customHeight="1" x14ac:dyDescent="0.3">
      <c r="A8" s="1188" t="s">
        <v>18</v>
      </c>
      <c r="B8" s="1189" t="s">
        <v>19</v>
      </c>
      <c r="C8" s="1161" t="s">
        <v>254</v>
      </c>
      <c r="D8" s="1517">
        <f t="shared" si="1"/>
        <v>177037.90000000002</v>
      </c>
      <c r="E8" s="1518">
        <v>177037.90000000002</v>
      </c>
      <c r="F8" s="1518">
        <v>0</v>
      </c>
      <c r="G8" s="1518">
        <v>0</v>
      </c>
      <c r="H8" s="1518">
        <v>0</v>
      </c>
      <c r="I8" s="1519">
        <f t="shared" si="2"/>
        <v>0</v>
      </c>
    </row>
    <row r="9" spans="1:9" s="1158" customFormat="1" ht="12.75" customHeight="1" x14ac:dyDescent="0.3">
      <c r="A9" s="1188" t="s">
        <v>20</v>
      </c>
      <c r="B9" s="1189" t="s">
        <v>21</v>
      </c>
      <c r="C9" s="1161" t="s">
        <v>253</v>
      </c>
      <c r="D9" s="1517">
        <f t="shared" si="1"/>
        <v>558972.5</v>
      </c>
      <c r="E9" s="1518">
        <v>558972.5</v>
      </c>
      <c r="F9" s="1518">
        <v>0</v>
      </c>
      <c r="G9" s="1518">
        <v>0</v>
      </c>
      <c r="H9" s="1518">
        <v>0</v>
      </c>
      <c r="I9" s="1519">
        <f t="shared" si="2"/>
        <v>0</v>
      </c>
    </row>
    <row r="10" spans="1:9" s="1158" customFormat="1" ht="12.75" customHeight="1" x14ac:dyDescent="0.3">
      <c r="A10" s="1188" t="s">
        <v>22</v>
      </c>
      <c r="B10" s="1189" t="s">
        <v>23</v>
      </c>
      <c r="C10" s="1161" t="s">
        <v>253</v>
      </c>
      <c r="D10" s="1517">
        <f t="shared" si="1"/>
        <v>363720.17000000004</v>
      </c>
      <c r="E10" s="1518">
        <v>363720.17000000004</v>
      </c>
      <c r="F10" s="1518">
        <v>0</v>
      </c>
      <c r="G10" s="1518">
        <v>0</v>
      </c>
      <c r="H10" s="1518">
        <v>0</v>
      </c>
      <c r="I10" s="1519">
        <f t="shared" si="2"/>
        <v>0</v>
      </c>
    </row>
    <row r="11" spans="1:9" s="1158" customFormat="1" ht="12.75" customHeight="1" x14ac:dyDescent="0.3">
      <c r="A11" s="1188" t="s">
        <v>24</v>
      </c>
      <c r="B11" s="1189" t="s">
        <v>25</v>
      </c>
      <c r="C11" s="1161" t="s">
        <v>255</v>
      </c>
      <c r="D11" s="1517">
        <f t="shared" si="1"/>
        <v>463210.87</v>
      </c>
      <c r="E11" s="1518">
        <v>463210.87</v>
      </c>
      <c r="F11" s="1518">
        <v>0</v>
      </c>
      <c r="G11" s="1518">
        <v>0</v>
      </c>
      <c r="H11" s="1518">
        <v>0</v>
      </c>
      <c r="I11" s="1519">
        <f t="shared" si="2"/>
        <v>0</v>
      </c>
    </row>
    <row r="12" spans="1:9" s="1158" customFormat="1" ht="12.75" customHeight="1" x14ac:dyDescent="0.3">
      <c r="A12" s="1188" t="s">
        <v>26</v>
      </c>
      <c r="B12" s="1189" t="s">
        <v>547</v>
      </c>
      <c r="C12" s="1161" t="s">
        <v>253</v>
      </c>
      <c r="D12" s="1517">
        <f t="shared" si="1"/>
        <v>1321665.94</v>
      </c>
      <c r="E12" s="1518">
        <v>1321665.94</v>
      </c>
      <c r="F12" s="1518">
        <v>0</v>
      </c>
      <c r="G12" s="1518">
        <v>0</v>
      </c>
      <c r="H12" s="1518">
        <v>0</v>
      </c>
      <c r="I12" s="1519">
        <f t="shared" si="2"/>
        <v>0</v>
      </c>
    </row>
    <row r="13" spans="1:9" s="1158" customFormat="1" ht="12.75" customHeight="1" x14ac:dyDescent="0.3">
      <c r="A13" s="1188" t="s">
        <v>27</v>
      </c>
      <c r="B13" s="1189" t="s">
        <v>28</v>
      </c>
      <c r="C13" s="1161" t="s">
        <v>253</v>
      </c>
      <c r="D13" s="1517">
        <f t="shared" si="1"/>
        <v>51310.520000000004</v>
      </c>
      <c r="E13" s="1518">
        <v>51310.520000000004</v>
      </c>
      <c r="F13" s="1518">
        <v>0</v>
      </c>
      <c r="G13" s="1518">
        <v>0</v>
      </c>
      <c r="H13" s="1518">
        <v>0</v>
      </c>
      <c r="I13" s="1519">
        <f t="shared" si="2"/>
        <v>0</v>
      </c>
    </row>
    <row r="14" spans="1:9" s="1158" customFormat="1" ht="12.75" customHeight="1" x14ac:dyDescent="0.3">
      <c r="A14" s="1188" t="s">
        <v>29</v>
      </c>
      <c r="B14" s="1189" t="s">
        <v>736</v>
      </c>
      <c r="C14" s="1161" t="s">
        <v>253</v>
      </c>
      <c r="D14" s="1517">
        <f t="shared" si="1"/>
        <v>720921.95</v>
      </c>
      <c r="E14" s="1518">
        <v>720921.95</v>
      </c>
      <c r="F14" s="1518">
        <v>0</v>
      </c>
      <c r="G14" s="1518">
        <v>0</v>
      </c>
      <c r="H14" s="1518">
        <v>0</v>
      </c>
      <c r="I14" s="1519">
        <f t="shared" si="2"/>
        <v>0</v>
      </c>
    </row>
    <row r="15" spans="1:9" s="1158" customFormat="1" ht="12.75" customHeight="1" x14ac:dyDescent="0.3">
      <c r="A15" s="1188" t="s">
        <v>30</v>
      </c>
      <c r="B15" s="1189" t="s">
        <v>31</v>
      </c>
      <c r="C15" s="1161" t="s">
        <v>256</v>
      </c>
      <c r="D15" s="1517">
        <f t="shared" si="1"/>
        <v>82772.12</v>
      </c>
      <c r="E15" s="1518">
        <v>82772.12</v>
      </c>
      <c r="F15" s="1518">
        <v>0</v>
      </c>
      <c r="G15" s="1518">
        <v>0</v>
      </c>
      <c r="H15" s="1518">
        <v>0</v>
      </c>
      <c r="I15" s="1519">
        <f t="shared" si="2"/>
        <v>0</v>
      </c>
    </row>
    <row r="16" spans="1:9" s="1158" customFormat="1" ht="12.75" customHeight="1" x14ac:dyDescent="0.3">
      <c r="A16" s="1188" t="s">
        <v>32</v>
      </c>
      <c r="B16" s="1189" t="s">
        <v>33</v>
      </c>
      <c r="C16" s="1161" t="s">
        <v>253</v>
      </c>
      <c r="D16" s="1517">
        <f t="shared" si="1"/>
        <v>173921.32</v>
      </c>
      <c r="E16" s="1518">
        <v>173921.32</v>
      </c>
      <c r="F16" s="1518">
        <v>0</v>
      </c>
      <c r="G16" s="1518">
        <v>0</v>
      </c>
      <c r="H16" s="1518">
        <v>0</v>
      </c>
      <c r="I16" s="1519">
        <f t="shared" si="2"/>
        <v>0</v>
      </c>
    </row>
    <row r="17" spans="1:9" s="1158" customFormat="1" ht="12.75" customHeight="1" x14ac:dyDescent="0.3">
      <c r="A17" s="1188" t="s">
        <v>36</v>
      </c>
      <c r="B17" s="1189" t="s">
        <v>37</v>
      </c>
      <c r="C17" s="1161" t="s">
        <v>252</v>
      </c>
      <c r="D17" s="1517">
        <f t="shared" si="1"/>
        <v>657103.31000000006</v>
      </c>
      <c r="E17" s="1518">
        <v>657103.31000000006</v>
      </c>
      <c r="F17" s="1518">
        <v>0</v>
      </c>
      <c r="G17" s="1518">
        <v>0</v>
      </c>
      <c r="H17" s="1518">
        <v>0</v>
      </c>
      <c r="I17" s="1519">
        <f t="shared" si="2"/>
        <v>0</v>
      </c>
    </row>
    <row r="18" spans="1:9" s="1158" customFormat="1" ht="12.75" customHeight="1" x14ac:dyDescent="0.3">
      <c r="A18" s="1188" t="s">
        <v>38</v>
      </c>
      <c r="B18" s="1189" t="s">
        <v>39</v>
      </c>
      <c r="C18" s="1161" t="s">
        <v>256</v>
      </c>
      <c r="D18" s="1517">
        <f t="shared" si="1"/>
        <v>1804478.73</v>
      </c>
      <c r="E18" s="1518">
        <v>1804478.73</v>
      </c>
      <c r="F18" s="1518">
        <v>0</v>
      </c>
      <c r="G18" s="1518">
        <v>0</v>
      </c>
      <c r="H18" s="1518">
        <v>0</v>
      </c>
      <c r="I18" s="1519">
        <f t="shared" si="2"/>
        <v>0</v>
      </c>
    </row>
    <row r="19" spans="1:9" s="1158" customFormat="1" ht="12.75" customHeight="1" x14ac:dyDescent="0.3">
      <c r="A19" s="1188" t="s">
        <v>40</v>
      </c>
      <c r="B19" s="1189" t="s">
        <v>41</v>
      </c>
      <c r="C19" s="1161" t="s">
        <v>254</v>
      </c>
      <c r="D19" s="1517">
        <f t="shared" si="1"/>
        <v>422997.86</v>
      </c>
      <c r="E19" s="1518">
        <v>422997.86</v>
      </c>
      <c r="F19" s="1518">
        <v>0</v>
      </c>
      <c r="G19" s="1518">
        <v>0</v>
      </c>
      <c r="H19" s="1518">
        <v>0</v>
      </c>
      <c r="I19" s="1519">
        <f t="shared" si="2"/>
        <v>0</v>
      </c>
    </row>
    <row r="20" spans="1:9" s="1158" customFormat="1" ht="12.75" customHeight="1" x14ac:dyDescent="0.3">
      <c r="A20" s="1188" t="s">
        <v>42</v>
      </c>
      <c r="B20" s="1189" t="s">
        <v>43</v>
      </c>
      <c r="C20" s="1161" t="s">
        <v>253</v>
      </c>
      <c r="D20" s="1517">
        <f t="shared" si="1"/>
        <v>1053813.96</v>
      </c>
      <c r="E20" s="1518">
        <v>1053813.96</v>
      </c>
      <c r="F20" s="1518">
        <v>0</v>
      </c>
      <c r="G20" s="1518">
        <v>0</v>
      </c>
      <c r="H20" s="1518">
        <v>0</v>
      </c>
      <c r="I20" s="1519">
        <f t="shared" si="2"/>
        <v>0</v>
      </c>
    </row>
    <row r="21" spans="1:9" s="1158" customFormat="1" ht="12.75" customHeight="1" x14ac:dyDescent="0.3">
      <c r="A21" s="1188" t="s">
        <v>44</v>
      </c>
      <c r="B21" s="1189" t="s">
        <v>45</v>
      </c>
      <c r="C21" s="1161" t="s">
        <v>254</v>
      </c>
      <c r="D21" s="1517">
        <f t="shared" si="1"/>
        <v>255415.83000000002</v>
      </c>
      <c r="E21" s="1518">
        <v>255415.83000000002</v>
      </c>
      <c r="F21" s="1518">
        <v>0</v>
      </c>
      <c r="G21" s="1518">
        <v>0</v>
      </c>
      <c r="H21" s="1518">
        <v>0</v>
      </c>
      <c r="I21" s="1519">
        <f t="shared" si="2"/>
        <v>0</v>
      </c>
    </row>
    <row r="22" spans="1:9" s="1158" customFormat="1" ht="12.75" customHeight="1" x14ac:dyDescent="0.3">
      <c r="A22" s="1188" t="s">
        <v>46</v>
      </c>
      <c r="B22" s="1189" t="s">
        <v>47</v>
      </c>
      <c r="C22" s="1161" t="s">
        <v>256</v>
      </c>
      <c r="D22" s="1517">
        <f t="shared" si="1"/>
        <v>813971.79</v>
      </c>
      <c r="E22" s="1518">
        <v>813971.79</v>
      </c>
      <c r="F22" s="1518">
        <v>0</v>
      </c>
      <c r="G22" s="1518">
        <v>0</v>
      </c>
      <c r="H22" s="1518">
        <v>0</v>
      </c>
      <c r="I22" s="1519">
        <f t="shared" si="2"/>
        <v>0</v>
      </c>
    </row>
    <row r="23" spans="1:9" s="1158" customFormat="1" ht="12.75" customHeight="1" x14ac:dyDescent="0.3">
      <c r="A23" s="1188" t="s">
        <v>48</v>
      </c>
      <c r="B23" s="1189" t="s">
        <v>257</v>
      </c>
      <c r="C23" s="1161" t="s">
        <v>254</v>
      </c>
      <c r="D23" s="1517">
        <f t="shared" si="1"/>
        <v>104013.46</v>
      </c>
      <c r="E23" s="1518">
        <v>104013.46</v>
      </c>
      <c r="F23" s="1518">
        <v>0</v>
      </c>
      <c r="G23" s="1518">
        <v>0</v>
      </c>
      <c r="H23" s="1518">
        <v>0</v>
      </c>
      <c r="I23" s="1519">
        <f t="shared" si="2"/>
        <v>0</v>
      </c>
    </row>
    <row r="24" spans="1:9" s="1158" customFormat="1" ht="12.75" customHeight="1" x14ac:dyDescent="0.3">
      <c r="A24" s="1188" t="s">
        <v>50</v>
      </c>
      <c r="B24" s="1189" t="s">
        <v>51</v>
      </c>
      <c r="C24" s="1161" t="s">
        <v>253</v>
      </c>
      <c r="D24" s="1517">
        <f t="shared" si="1"/>
        <v>380317.33999999997</v>
      </c>
      <c r="E24" s="1518">
        <v>380317.33999999997</v>
      </c>
      <c r="F24" s="1518">
        <v>0</v>
      </c>
      <c r="G24" s="1518">
        <v>0</v>
      </c>
      <c r="H24" s="1518">
        <v>0</v>
      </c>
      <c r="I24" s="1519">
        <f t="shared" si="2"/>
        <v>0</v>
      </c>
    </row>
    <row r="25" spans="1:9" s="1158" customFormat="1" ht="12.75" customHeight="1" x14ac:dyDescent="0.3">
      <c r="A25" s="1188" t="s">
        <v>56</v>
      </c>
      <c r="B25" s="1189" t="s">
        <v>283</v>
      </c>
      <c r="C25" s="1161" t="s">
        <v>254</v>
      </c>
      <c r="D25" s="1517">
        <f t="shared" si="1"/>
        <v>1213736.1200000001</v>
      </c>
      <c r="E25" s="1518">
        <v>1213736.1200000001</v>
      </c>
      <c r="F25" s="1518">
        <v>0</v>
      </c>
      <c r="G25" s="1518">
        <v>0</v>
      </c>
      <c r="H25" s="1518">
        <v>0</v>
      </c>
      <c r="I25" s="1519">
        <f t="shared" si="2"/>
        <v>0</v>
      </c>
    </row>
    <row r="26" spans="1:9" s="1158" customFormat="1" ht="12.75" customHeight="1" x14ac:dyDescent="0.3">
      <c r="A26" s="1188" t="s">
        <v>58</v>
      </c>
      <c r="B26" s="1189" t="s">
        <v>59</v>
      </c>
      <c r="C26" s="1161" t="s">
        <v>255</v>
      </c>
      <c r="D26" s="1517">
        <f t="shared" si="1"/>
        <v>46045.69</v>
      </c>
      <c r="E26" s="1518">
        <v>46045.69</v>
      </c>
      <c r="F26" s="1518">
        <v>0</v>
      </c>
      <c r="G26" s="1518">
        <v>0</v>
      </c>
      <c r="H26" s="1518">
        <v>0</v>
      </c>
      <c r="I26" s="1519">
        <f t="shared" si="2"/>
        <v>0</v>
      </c>
    </row>
    <row r="27" spans="1:9" s="1158" customFormat="1" ht="12.75" customHeight="1" x14ac:dyDescent="0.3">
      <c r="A27" s="1188" t="s">
        <v>60</v>
      </c>
      <c r="B27" s="1189" t="s">
        <v>61</v>
      </c>
      <c r="C27" s="1161" t="s">
        <v>253</v>
      </c>
      <c r="D27" s="1517">
        <f t="shared" si="1"/>
        <v>104517.91</v>
      </c>
      <c r="E27" s="1518">
        <v>104517.91</v>
      </c>
      <c r="F27" s="1518">
        <v>0</v>
      </c>
      <c r="G27" s="1518">
        <v>0</v>
      </c>
      <c r="H27" s="1518">
        <v>0</v>
      </c>
      <c r="I27" s="1519">
        <f t="shared" si="2"/>
        <v>0</v>
      </c>
    </row>
    <row r="28" spans="1:9" s="1158" customFormat="1" ht="12.75" customHeight="1" x14ac:dyDescent="0.3">
      <c r="A28" s="1188" t="s">
        <v>62</v>
      </c>
      <c r="B28" s="1189" t="s">
        <v>63</v>
      </c>
      <c r="C28" s="1161" t="s">
        <v>255</v>
      </c>
      <c r="D28" s="1517">
        <f t="shared" si="1"/>
        <v>342852.87</v>
      </c>
      <c r="E28" s="1518">
        <v>342852.87</v>
      </c>
      <c r="F28" s="1518">
        <v>0</v>
      </c>
      <c r="G28" s="1518">
        <v>0</v>
      </c>
      <c r="H28" s="1518">
        <v>0</v>
      </c>
      <c r="I28" s="1519">
        <f t="shared" si="2"/>
        <v>0</v>
      </c>
    </row>
    <row r="29" spans="1:9" s="1158" customFormat="1" ht="12.75" customHeight="1" x14ac:dyDescent="0.3">
      <c r="A29" s="1188" t="s">
        <v>64</v>
      </c>
      <c r="B29" s="1189" t="s">
        <v>65</v>
      </c>
      <c r="C29" s="1161" t="s">
        <v>254</v>
      </c>
      <c r="D29" s="1517">
        <f t="shared" si="1"/>
        <v>256641.46</v>
      </c>
      <c r="E29" s="1518">
        <v>256641.46</v>
      </c>
      <c r="F29" s="1518">
        <v>0</v>
      </c>
      <c r="G29" s="1518">
        <v>0</v>
      </c>
      <c r="H29" s="1518">
        <v>0</v>
      </c>
      <c r="I29" s="1519">
        <f t="shared" si="2"/>
        <v>0</v>
      </c>
    </row>
    <row r="30" spans="1:9" s="1158" customFormat="1" ht="12.75" customHeight="1" x14ac:dyDescent="0.3">
      <c r="A30" s="1188" t="s">
        <v>68</v>
      </c>
      <c r="B30" s="1189" t="s">
        <v>69</v>
      </c>
      <c r="C30" s="1161" t="s">
        <v>256</v>
      </c>
      <c r="D30" s="1517">
        <f t="shared" si="1"/>
        <v>805066.96</v>
      </c>
      <c r="E30" s="1518">
        <v>805066.96</v>
      </c>
      <c r="F30" s="1518">
        <v>0</v>
      </c>
      <c r="G30" s="1518">
        <v>0</v>
      </c>
      <c r="H30" s="1518">
        <v>0</v>
      </c>
      <c r="I30" s="1519">
        <f t="shared" si="2"/>
        <v>0</v>
      </c>
    </row>
    <row r="31" spans="1:9" s="1158" customFormat="1" ht="12.75" customHeight="1" x14ac:dyDescent="0.3">
      <c r="A31" s="1188" t="s">
        <v>70</v>
      </c>
      <c r="B31" s="1189" t="s">
        <v>71</v>
      </c>
      <c r="C31" s="1161" t="s">
        <v>252</v>
      </c>
      <c r="D31" s="1517">
        <f t="shared" si="1"/>
        <v>427050.93</v>
      </c>
      <c r="E31" s="1518">
        <v>427050.93</v>
      </c>
      <c r="F31" s="1518">
        <v>0</v>
      </c>
      <c r="G31" s="1518">
        <v>0</v>
      </c>
      <c r="H31" s="1518">
        <v>0</v>
      </c>
      <c r="I31" s="1519">
        <f t="shared" si="2"/>
        <v>0</v>
      </c>
    </row>
    <row r="32" spans="1:9" s="1158" customFormat="1" ht="12.75" customHeight="1" x14ac:dyDescent="0.3">
      <c r="A32" s="1188" t="s">
        <v>72</v>
      </c>
      <c r="B32" s="1189" t="s">
        <v>73</v>
      </c>
      <c r="C32" s="1161" t="s">
        <v>254</v>
      </c>
      <c r="D32" s="1517">
        <f t="shared" si="1"/>
        <v>273067.05</v>
      </c>
      <c r="E32" s="1518">
        <v>273067.05</v>
      </c>
      <c r="F32" s="1518">
        <v>0</v>
      </c>
      <c r="G32" s="1518">
        <v>0</v>
      </c>
      <c r="H32" s="1518">
        <v>0</v>
      </c>
      <c r="I32" s="1519">
        <f t="shared" si="2"/>
        <v>0</v>
      </c>
    </row>
    <row r="33" spans="1:9" s="1158" customFormat="1" ht="12.75" customHeight="1" x14ac:dyDescent="0.3">
      <c r="A33" s="1188" t="s">
        <v>74</v>
      </c>
      <c r="B33" s="1189" t="s">
        <v>290</v>
      </c>
      <c r="C33" s="1161" t="s">
        <v>255</v>
      </c>
      <c r="D33" s="1517">
        <f t="shared" si="1"/>
        <v>820876.74999999988</v>
      </c>
      <c r="E33" s="1518">
        <v>820876.74999999988</v>
      </c>
      <c r="F33" s="1518">
        <v>0</v>
      </c>
      <c r="G33" s="1518">
        <v>0</v>
      </c>
      <c r="H33" s="1518">
        <v>0</v>
      </c>
      <c r="I33" s="1519">
        <f t="shared" si="2"/>
        <v>0</v>
      </c>
    </row>
    <row r="34" spans="1:9" s="1158" customFormat="1" ht="12.75" customHeight="1" x14ac:dyDescent="0.3">
      <c r="A34" s="1188" t="s">
        <v>76</v>
      </c>
      <c r="B34" s="1189" t="s">
        <v>77</v>
      </c>
      <c r="C34" s="1161" t="s">
        <v>255</v>
      </c>
      <c r="D34" s="1517">
        <f t="shared" si="1"/>
        <v>168404.43</v>
      </c>
      <c r="E34" s="1518">
        <v>168404.43</v>
      </c>
      <c r="F34" s="1518">
        <v>0</v>
      </c>
      <c r="G34" s="1518">
        <v>0</v>
      </c>
      <c r="H34" s="1518">
        <v>0</v>
      </c>
      <c r="I34" s="1519">
        <f t="shared" si="2"/>
        <v>0</v>
      </c>
    </row>
    <row r="35" spans="1:9" s="1158" customFormat="1" ht="12.75" customHeight="1" x14ac:dyDescent="0.3">
      <c r="A35" s="1188" t="s">
        <v>78</v>
      </c>
      <c r="B35" s="1189" t="s">
        <v>79</v>
      </c>
      <c r="C35" s="1161" t="s">
        <v>256</v>
      </c>
      <c r="D35" s="1517">
        <f t="shared" si="1"/>
        <v>269430.08</v>
      </c>
      <c r="E35" s="1518">
        <v>269430.08</v>
      </c>
      <c r="F35" s="1518">
        <v>0</v>
      </c>
      <c r="G35" s="1518">
        <v>0</v>
      </c>
      <c r="H35" s="1518">
        <v>0</v>
      </c>
      <c r="I35" s="1519">
        <f t="shared" si="2"/>
        <v>0</v>
      </c>
    </row>
    <row r="36" spans="1:9" s="1158" customFormat="1" ht="12.75" customHeight="1" x14ac:dyDescent="0.3">
      <c r="A36" s="1188" t="s">
        <v>80</v>
      </c>
      <c r="B36" s="1189" t="s">
        <v>81</v>
      </c>
      <c r="C36" s="1161" t="s">
        <v>254</v>
      </c>
      <c r="D36" s="1517">
        <f t="shared" si="1"/>
        <v>161470.43000000002</v>
      </c>
      <c r="E36" s="1518">
        <v>161470.43000000002</v>
      </c>
      <c r="F36" s="1518">
        <v>0</v>
      </c>
      <c r="G36" s="1518">
        <v>0</v>
      </c>
      <c r="H36" s="1518">
        <v>0</v>
      </c>
      <c r="I36" s="1519">
        <f t="shared" si="2"/>
        <v>0</v>
      </c>
    </row>
    <row r="37" spans="1:9" s="1158" customFormat="1" ht="12.75" customHeight="1" x14ac:dyDescent="0.3">
      <c r="A37" s="1188" t="s">
        <v>84</v>
      </c>
      <c r="B37" s="1189" t="s">
        <v>296</v>
      </c>
      <c r="C37" s="1161" t="s">
        <v>253</v>
      </c>
      <c r="D37" s="1517">
        <f t="shared" ref="D37:D68" si="3">SUM(E37:H37)</f>
        <v>842943.6100000001</v>
      </c>
      <c r="E37" s="1518">
        <v>842943.6100000001</v>
      </c>
      <c r="F37" s="1518">
        <v>0</v>
      </c>
      <c r="G37" s="1518">
        <v>0</v>
      </c>
      <c r="H37" s="1518">
        <v>0</v>
      </c>
      <c r="I37" s="1519">
        <f t="shared" ref="I37:I68" si="4">G37+H37</f>
        <v>0</v>
      </c>
    </row>
    <row r="38" spans="1:9" s="1158" customFormat="1" ht="12.75" customHeight="1" x14ac:dyDescent="0.3">
      <c r="A38" s="1188" t="s">
        <v>86</v>
      </c>
      <c r="B38" s="1189" t="s">
        <v>87</v>
      </c>
      <c r="C38" s="1161" t="s">
        <v>255</v>
      </c>
      <c r="D38" s="1517">
        <f t="shared" si="3"/>
        <v>247095.86</v>
      </c>
      <c r="E38" s="1518">
        <v>247095.86</v>
      </c>
      <c r="F38" s="1518">
        <v>0</v>
      </c>
      <c r="G38" s="1518">
        <v>0</v>
      </c>
      <c r="H38" s="1518">
        <v>0</v>
      </c>
      <c r="I38" s="1519">
        <f t="shared" si="4"/>
        <v>0</v>
      </c>
    </row>
    <row r="39" spans="1:9" s="1158" customFormat="1" ht="12.75" customHeight="1" x14ac:dyDescent="0.3">
      <c r="A39" s="1188" t="s">
        <v>92</v>
      </c>
      <c r="B39" s="1189" t="s">
        <v>93</v>
      </c>
      <c r="C39" s="1161" t="s">
        <v>256</v>
      </c>
      <c r="D39" s="1517">
        <f t="shared" si="3"/>
        <v>398949.77999999997</v>
      </c>
      <c r="E39" s="1518">
        <v>398949.77999999997</v>
      </c>
      <c r="F39" s="1518">
        <v>0</v>
      </c>
      <c r="G39" s="1518">
        <v>0</v>
      </c>
      <c r="H39" s="1518">
        <v>0</v>
      </c>
      <c r="I39" s="1519">
        <f t="shared" si="4"/>
        <v>0</v>
      </c>
    </row>
    <row r="40" spans="1:9" s="1158" customFormat="1" ht="12.75" customHeight="1" x14ac:dyDescent="0.3">
      <c r="A40" s="1188" t="s">
        <v>94</v>
      </c>
      <c r="B40" s="1189" t="s">
        <v>95</v>
      </c>
      <c r="C40" s="1161" t="s">
        <v>252</v>
      </c>
      <c r="D40" s="1517">
        <f t="shared" si="3"/>
        <v>338661.5</v>
      </c>
      <c r="E40" s="1518">
        <v>338661.5</v>
      </c>
      <c r="F40" s="1518">
        <v>0</v>
      </c>
      <c r="G40" s="1518">
        <v>0</v>
      </c>
      <c r="H40" s="1518">
        <v>0</v>
      </c>
      <c r="I40" s="1519">
        <f t="shared" si="4"/>
        <v>0</v>
      </c>
    </row>
    <row r="41" spans="1:9" s="1158" customFormat="1" ht="12.75" customHeight="1" x14ac:dyDescent="0.3">
      <c r="A41" s="1188" t="s">
        <v>96</v>
      </c>
      <c r="B41" s="1189" t="s">
        <v>97</v>
      </c>
      <c r="C41" s="1161" t="s">
        <v>254</v>
      </c>
      <c r="D41" s="1517">
        <f t="shared" si="3"/>
        <v>111990.38</v>
      </c>
      <c r="E41" s="1518">
        <v>111990.38</v>
      </c>
      <c r="F41" s="1518">
        <v>0</v>
      </c>
      <c r="G41" s="1518">
        <v>0</v>
      </c>
      <c r="H41" s="1518">
        <v>0</v>
      </c>
      <c r="I41" s="1519">
        <f t="shared" si="4"/>
        <v>0</v>
      </c>
    </row>
    <row r="42" spans="1:9" s="1158" customFormat="1" ht="12.75" customHeight="1" x14ac:dyDescent="0.3">
      <c r="A42" s="1188" t="s">
        <v>98</v>
      </c>
      <c r="B42" s="1189" t="s">
        <v>99</v>
      </c>
      <c r="C42" s="1161" t="s">
        <v>256</v>
      </c>
      <c r="D42" s="1517">
        <f t="shared" si="3"/>
        <v>539453.36</v>
      </c>
      <c r="E42" s="1518">
        <v>539453.36</v>
      </c>
      <c r="F42" s="1518">
        <v>0</v>
      </c>
      <c r="G42" s="1518">
        <v>0</v>
      </c>
      <c r="H42" s="1518">
        <v>0</v>
      </c>
      <c r="I42" s="1519">
        <f t="shared" si="4"/>
        <v>0</v>
      </c>
    </row>
    <row r="43" spans="1:9" s="1158" customFormat="1" ht="12.75" customHeight="1" x14ac:dyDescent="0.3">
      <c r="A43" s="1188" t="s">
        <v>100</v>
      </c>
      <c r="B43" s="1189" t="s">
        <v>101</v>
      </c>
      <c r="C43" s="1161" t="s">
        <v>255</v>
      </c>
      <c r="D43" s="1517">
        <f t="shared" si="3"/>
        <v>173370.86000000002</v>
      </c>
      <c r="E43" s="1518">
        <v>173370.86000000002</v>
      </c>
      <c r="F43" s="1518">
        <v>0</v>
      </c>
      <c r="G43" s="1518">
        <v>0</v>
      </c>
      <c r="H43" s="1518">
        <v>0</v>
      </c>
      <c r="I43" s="1519">
        <f t="shared" si="4"/>
        <v>0</v>
      </c>
    </row>
    <row r="44" spans="1:9" s="1158" customFormat="1" ht="12.75" customHeight="1" x14ac:dyDescent="0.3">
      <c r="A44" s="1188" t="s">
        <v>102</v>
      </c>
      <c r="B44" s="1189" t="s">
        <v>103</v>
      </c>
      <c r="C44" s="1161" t="s">
        <v>252</v>
      </c>
      <c r="D44" s="1517">
        <f t="shared" si="3"/>
        <v>441117.12</v>
      </c>
      <c r="E44" s="1518">
        <v>441117.12</v>
      </c>
      <c r="F44" s="1518">
        <v>0</v>
      </c>
      <c r="G44" s="1518">
        <v>0</v>
      </c>
      <c r="H44" s="1518">
        <v>0</v>
      </c>
      <c r="I44" s="1519">
        <f t="shared" si="4"/>
        <v>0</v>
      </c>
    </row>
    <row r="45" spans="1:9" s="1158" customFormat="1" ht="12.75" customHeight="1" x14ac:dyDescent="0.3">
      <c r="A45" s="1188" t="s">
        <v>104</v>
      </c>
      <c r="B45" s="1189" t="s">
        <v>297</v>
      </c>
      <c r="C45" s="1161" t="s">
        <v>253</v>
      </c>
      <c r="D45" s="1517">
        <f t="shared" si="3"/>
        <v>1177249.21</v>
      </c>
      <c r="E45" s="1518">
        <v>1177249.21</v>
      </c>
      <c r="F45" s="1518">
        <v>0</v>
      </c>
      <c r="G45" s="1518">
        <v>0</v>
      </c>
      <c r="H45" s="1518">
        <v>0</v>
      </c>
      <c r="I45" s="1519">
        <f t="shared" si="4"/>
        <v>0</v>
      </c>
    </row>
    <row r="46" spans="1:9" s="1158" customFormat="1" ht="12.75" customHeight="1" x14ac:dyDescent="0.3">
      <c r="A46" s="1188" t="s">
        <v>108</v>
      </c>
      <c r="B46" s="1189" t="s">
        <v>109</v>
      </c>
      <c r="C46" s="1161" t="s">
        <v>254</v>
      </c>
      <c r="D46" s="1517">
        <f t="shared" si="3"/>
        <v>339788.13</v>
      </c>
      <c r="E46" s="1518">
        <v>339788.13</v>
      </c>
      <c r="F46" s="1518">
        <v>0</v>
      </c>
      <c r="G46" s="1518">
        <v>0</v>
      </c>
      <c r="H46" s="1518">
        <v>0</v>
      </c>
      <c r="I46" s="1519">
        <f t="shared" si="4"/>
        <v>0</v>
      </c>
    </row>
    <row r="47" spans="1:9" s="1158" customFormat="1" ht="12.75" customHeight="1" x14ac:dyDescent="0.3">
      <c r="A47" s="1188" t="s">
        <v>110</v>
      </c>
      <c r="B47" s="1189" t="s">
        <v>111</v>
      </c>
      <c r="C47" s="1161" t="s">
        <v>254</v>
      </c>
      <c r="D47" s="1517">
        <f t="shared" si="3"/>
        <v>1927854.74</v>
      </c>
      <c r="E47" s="1518">
        <v>1927854.74</v>
      </c>
      <c r="F47" s="1518">
        <v>0</v>
      </c>
      <c r="G47" s="1518">
        <v>0</v>
      </c>
      <c r="H47" s="1518">
        <v>0</v>
      </c>
      <c r="I47" s="1519">
        <f t="shared" si="4"/>
        <v>0</v>
      </c>
    </row>
    <row r="48" spans="1:9" s="1158" customFormat="1" ht="12.75" customHeight="1" x14ac:dyDescent="0.3">
      <c r="A48" s="1188" t="s">
        <v>112</v>
      </c>
      <c r="B48" s="1189" t="s">
        <v>288</v>
      </c>
      <c r="C48" s="1161" t="s">
        <v>253</v>
      </c>
      <c r="D48" s="1517">
        <f t="shared" si="3"/>
        <v>1959292.11</v>
      </c>
      <c r="E48" s="1518">
        <v>1959292.11</v>
      </c>
      <c r="F48" s="1518">
        <v>0</v>
      </c>
      <c r="G48" s="1518">
        <v>0</v>
      </c>
      <c r="H48" s="1518">
        <v>0</v>
      </c>
      <c r="I48" s="1519">
        <f t="shared" si="4"/>
        <v>0</v>
      </c>
    </row>
    <row r="49" spans="1:9" s="1158" customFormat="1" ht="12.75" customHeight="1" x14ac:dyDescent="0.3">
      <c r="A49" s="1188" t="s">
        <v>114</v>
      </c>
      <c r="B49" s="1189" t="s">
        <v>115</v>
      </c>
      <c r="C49" s="1161" t="s">
        <v>253</v>
      </c>
      <c r="D49" s="1517">
        <f t="shared" si="3"/>
        <v>21951.73</v>
      </c>
      <c r="E49" s="1518">
        <v>21951.73</v>
      </c>
      <c r="F49" s="1518">
        <v>0</v>
      </c>
      <c r="G49" s="1518">
        <v>0</v>
      </c>
      <c r="H49" s="1518">
        <v>0</v>
      </c>
      <c r="I49" s="1519">
        <f t="shared" si="4"/>
        <v>0</v>
      </c>
    </row>
    <row r="50" spans="1:9" s="1158" customFormat="1" ht="12.75" customHeight="1" x14ac:dyDescent="0.3">
      <c r="A50" s="1188" t="s">
        <v>118</v>
      </c>
      <c r="B50" s="1189" t="s">
        <v>119</v>
      </c>
      <c r="C50" s="1161" t="s">
        <v>252</v>
      </c>
      <c r="D50" s="1517">
        <f t="shared" si="3"/>
        <v>358806.46</v>
      </c>
      <c r="E50" s="1518">
        <v>358806.46</v>
      </c>
      <c r="F50" s="1518">
        <v>0</v>
      </c>
      <c r="G50" s="1518">
        <v>0</v>
      </c>
      <c r="H50" s="1518">
        <v>0</v>
      </c>
      <c r="I50" s="1519">
        <f t="shared" si="4"/>
        <v>0</v>
      </c>
    </row>
    <row r="51" spans="1:9" s="1158" customFormat="1" ht="12.75" customHeight="1" x14ac:dyDescent="0.3">
      <c r="A51" s="1188" t="s">
        <v>120</v>
      </c>
      <c r="B51" s="1189" t="s">
        <v>121</v>
      </c>
      <c r="C51" s="1161" t="s">
        <v>252</v>
      </c>
      <c r="D51" s="1517">
        <f t="shared" si="3"/>
        <v>214957.46</v>
      </c>
      <c r="E51" s="1518">
        <v>214957.46</v>
      </c>
      <c r="F51" s="1518">
        <v>0</v>
      </c>
      <c r="G51" s="1518">
        <v>0</v>
      </c>
      <c r="H51" s="1518">
        <v>0</v>
      </c>
      <c r="I51" s="1519">
        <f t="shared" si="4"/>
        <v>0</v>
      </c>
    </row>
    <row r="52" spans="1:9" s="1158" customFormat="1" ht="12.75" customHeight="1" x14ac:dyDescent="0.3">
      <c r="A52" s="1188" t="s">
        <v>122</v>
      </c>
      <c r="B52" s="1189" t="s">
        <v>259</v>
      </c>
      <c r="C52" s="1161" t="s">
        <v>254</v>
      </c>
      <c r="D52" s="1517">
        <f t="shared" si="3"/>
        <v>120529.57</v>
      </c>
      <c r="E52" s="1518">
        <v>120529.57</v>
      </c>
      <c r="F52" s="1518">
        <v>0</v>
      </c>
      <c r="G52" s="1518">
        <v>0</v>
      </c>
      <c r="H52" s="1518">
        <v>0</v>
      </c>
      <c r="I52" s="1519">
        <f t="shared" si="4"/>
        <v>0</v>
      </c>
    </row>
    <row r="53" spans="1:9" s="1158" customFormat="1" ht="12.75" customHeight="1" x14ac:dyDescent="0.3">
      <c r="A53" s="1188" t="s">
        <v>124</v>
      </c>
      <c r="B53" s="1189" t="s">
        <v>125</v>
      </c>
      <c r="C53" s="1161" t="s">
        <v>255</v>
      </c>
      <c r="D53" s="1517">
        <f t="shared" si="3"/>
        <v>169011.54</v>
      </c>
      <c r="E53" s="1518">
        <v>169011.54</v>
      </c>
      <c r="F53" s="1518">
        <v>0</v>
      </c>
      <c r="G53" s="1518">
        <v>0</v>
      </c>
      <c r="H53" s="1518">
        <v>0</v>
      </c>
      <c r="I53" s="1519">
        <f t="shared" si="4"/>
        <v>0</v>
      </c>
    </row>
    <row r="54" spans="1:9" s="1158" customFormat="1" ht="12.75" customHeight="1" x14ac:dyDescent="0.3">
      <c r="A54" s="1188" t="s">
        <v>126</v>
      </c>
      <c r="B54" s="1189" t="s">
        <v>127</v>
      </c>
      <c r="C54" s="1161" t="s">
        <v>254</v>
      </c>
      <c r="D54" s="1517">
        <f t="shared" si="3"/>
        <v>131495.25</v>
      </c>
      <c r="E54" s="1518">
        <v>131495.25</v>
      </c>
      <c r="F54" s="1518">
        <v>0</v>
      </c>
      <c r="G54" s="1518">
        <v>0</v>
      </c>
      <c r="H54" s="1518">
        <v>0</v>
      </c>
      <c r="I54" s="1519">
        <f t="shared" si="4"/>
        <v>0</v>
      </c>
    </row>
    <row r="55" spans="1:9" s="1158" customFormat="1" ht="12.75" customHeight="1" x14ac:dyDescent="0.3">
      <c r="A55" s="1188" t="s">
        <v>128</v>
      </c>
      <c r="B55" s="1189" t="s">
        <v>129</v>
      </c>
      <c r="C55" s="1161" t="s">
        <v>254</v>
      </c>
      <c r="D55" s="1517">
        <f t="shared" si="3"/>
        <v>231388.75</v>
      </c>
      <c r="E55" s="1518">
        <v>231388.75</v>
      </c>
      <c r="F55" s="1518">
        <v>0</v>
      </c>
      <c r="G55" s="1518">
        <v>0</v>
      </c>
      <c r="H55" s="1518">
        <v>0</v>
      </c>
      <c r="I55" s="1519">
        <f t="shared" si="4"/>
        <v>0</v>
      </c>
    </row>
    <row r="56" spans="1:9" s="1158" customFormat="1" ht="12.75" customHeight="1" x14ac:dyDescent="0.3">
      <c r="A56" s="1188" t="s">
        <v>130</v>
      </c>
      <c r="B56" s="1189" t="s">
        <v>131</v>
      </c>
      <c r="C56" s="1161" t="s">
        <v>256</v>
      </c>
      <c r="D56" s="1517">
        <f t="shared" si="3"/>
        <v>1600925.86</v>
      </c>
      <c r="E56" s="1518">
        <v>1600925.86</v>
      </c>
      <c r="F56" s="1518">
        <v>0</v>
      </c>
      <c r="G56" s="1518">
        <v>0</v>
      </c>
      <c r="H56" s="1518">
        <v>0</v>
      </c>
      <c r="I56" s="1519">
        <f t="shared" si="4"/>
        <v>0</v>
      </c>
    </row>
    <row r="57" spans="1:9" s="1158" customFormat="1" ht="12.75" customHeight="1" x14ac:dyDescent="0.3">
      <c r="A57" s="1188" t="s">
        <v>132</v>
      </c>
      <c r="B57" s="1189" t="s">
        <v>133</v>
      </c>
      <c r="C57" s="1161" t="s">
        <v>255</v>
      </c>
      <c r="D57" s="1517">
        <f t="shared" si="3"/>
        <v>148366.18</v>
      </c>
      <c r="E57" s="1518">
        <v>148366.18</v>
      </c>
      <c r="F57" s="1518">
        <v>0</v>
      </c>
      <c r="G57" s="1518">
        <v>0</v>
      </c>
      <c r="H57" s="1518">
        <v>0</v>
      </c>
      <c r="I57" s="1519">
        <f t="shared" si="4"/>
        <v>0</v>
      </c>
    </row>
    <row r="58" spans="1:9" s="1158" customFormat="1" ht="12.75" customHeight="1" x14ac:dyDescent="0.3">
      <c r="A58" s="1188" t="s">
        <v>134</v>
      </c>
      <c r="B58" s="1189" t="s">
        <v>135</v>
      </c>
      <c r="C58" s="1161" t="s">
        <v>255</v>
      </c>
      <c r="D58" s="1517">
        <f t="shared" si="3"/>
        <v>432842.14999999997</v>
      </c>
      <c r="E58" s="1518">
        <v>432842.14999999997</v>
      </c>
      <c r="F58" s="1518">
        <v>0</v>
      </c>
      <c r="G58" s="1518">
        <v>0</v>
      </c>
      <c r="H58" s="1518">
        <v>0</v>
      </c>
      <c r="I58" s="1519">
        <f t="shared" si="4"/>
        <v>0</v>
      </c>
    </row>
    <row r="59" spans="1:9" s="1158" customFormat="1" ht="12.75" customHeight="1" x14ac:dyDescent="0.3">
      <c r="A59" s="1188" t="s">
        <v>136</v>
      </c>
      <c r="B59" s="1189" t="s">
        <v>137</v>
      </c>
      <c r="C59" s="1161" t="s">
        <v>254</v>
      </c>
      <c r="D59" s="1517">
        <f t="shared" si="3"/>
        <v>427946.15</v>
      </c>
      <c r="E59" s="1518">
        <v>427946.15</v>
      </c>
      <c r="F59" s="1518">
        <v>0</v>
      </c>
      <c r="G59" s="1518">
        <v>0</v>
      </c>
      <c r="H59" s="1518">
        <v>0</v>
      </c>
      <c r="I59" s="1519">
        <f t="shared" si="4"/>
        <v>0</v>
      </c>
    </row>
    <row r="60" spans="1:9" s="1158" customFormat="1" ht="12.75" customHeight="1" x14ac:dyDescent="0.3">
      <c r="A60" s="1188" t="s">
        <v>140</v>
      </c>
      <c r="B60" s="1189" t="s">
        <v>141</v>
      </c>
      <c r="C60" s="1161" t="s">
        <v>255</v>
      </c>
      <c r="D60" s="1517">
        <f t="shared" si="3"/>
        <v>104263.87</v>
      </c>
      <c r="E60" s="1518">
        <v>104263.87</v>
      </c>
      <c r="F60" s="1518">
        <v>0</v>
      </c>
      <c r="G60" s="1518">
        <v>0</v>
      </c>
      <c r="H60" s="1518">
        <v>0</v>
      </c>
      <c r="I60" s="1519">
        <f t="shared" si="4"/>
        <v>0</v>
      </c>
    </row>
    <row r="61" spans="1:9" s="1158" customFormat="1" ht="12.75" customHeight="1" x14ac:dyDescent="0.3">
      <c r="A61" s="1188" t="s">
        <v>146</v>
      </c>
      <c r="B61" s="1189" t="s">
        <v>147</v>
      </c>
      <c r="C61" s="1161" t="s">
        <v>252</v>
      </c>
      <c r="D61" s="1517">
        <f t="shared" si="3"/>
        <v>93851.97</v>
      </c>
      <c r="E61" s="1518">
        <v>93851.97</v>
      </c>
      <c r="F61" s="1518">
        <v>0</v>
      </c>
      <c r="G61" s="1518">
        <v>0</v>
      </c>
      <c r="H61" s="1518">
        <v>0</v>
      </c>
      <c r="I61" s="1519">
        <f t="shared" si="4"/>
        <v>0</v>
      </c>
    </row>
    <row r="62" spans="1:9" s="1158" customFormat="1" ht="12.75" customHeight="1" x14ac:dyDescent="0.3">
      <c r="A62" s="1188" t="s">
        <v>148</v>
      </c>
      <c r="B62" s="1189" t="s">
        <v>149</v>
      </c>
      <c r="C62" s="1161" t="s">
        <v>253</v>
      </c>
      <c r="D62" s="1517">
        <f t="shared" si="3"/>
        <v>890964.54</v>
      </c>
      <c r="E62" s="1518">
        <v>890964.54</v>
      </c>
      <c r="F62" s="1518">
        <v>0</v>
      </c>
      <c r="G62" s="1518">
        <v>0</v>
      </c>
      <c r="H62" s="1518">
        <v>0</v>
      </c>
      <c r="I62" s="1519">
        <f t="shared" si="4"/>
        <v>0</v>
      </c>
    </row>
    <row r="63" spans="1:9" s="1158" customFormat="1" ht="12.75" customHeight="1" x14ac:dyDescent="0.3">
      <c r="A63" s="1188" t="s">
        <v>150</v>
      </c>
      <c r="B63" s="1189" t="s">
        <v>151</v>
      </c>
      <c r="C63" s="1161" t="s">
        <v>254</v>
      </c>
      <c r="D63" s="1517">
        <f t="shared" si="3"/>
        <v>181667.16</v>
      </c>
      <c r="E63" s="1518">
        <v>181667.16</v>
      </c>
      <c r="F63" s="1518">
        <v>0</v>
      </c>
      <c r="G63" s="1518">
        <v>0</v>
      </c>
      <c r="H63" s="1518">
        <v>0</v>
      </c>
      <c r="I63" s="1519">
        <f t="shared" si="4"/>
        <v>0</v>
      </c>
    </row>
    <row r="64" spans="1:9" s="1158" customFormat="1" ht="12.75" customHeight="1" x14ac:dyDescent="0.3">
      <c r="A64" s="1188" t="s">
        <v>152</v>
      </c>
      <c r="B64" s="1189" t="s">
        <v>153</v>
      </c>
      <c r="C64" s="1161" t="s">
        <v>256</v>
      </c>
      <c r="D64" s="1517">
        <f t="shared" si="3"/>
        <v>950036.74</v>
      </c>
      <c r="E64" s="1518">
        <v>950036.74</v>
      </c>
      <c r="F64" s="1518">
        <v>0</v>
      </c>
      <c r="G64" s="1518">
        <v>0</v>
      </c>
      <c r="H64" s="1518">
        <v>0</v>
      </c>
      <c r="I64" s="1519">
        <f t="shared" si="4"/>
        <v>0</v>
      </c>
    </row>
    <row r="65" spans="1:9" s="1158" customFormat="1" ht="12.75" customHeight="1" x14ac:dyDescent="0.3">
      <c r="A65" s="1188" t="s">
        <v>154</v>
      </c>
      <c r="B65" s="1189" t="s">
        <v>155</v>
      </c>
      <c r="C65" s="1161" t="s">
        <v>253</v>
      </c>
      <c r="D65" s="1517">
        <f t="shared" si="3"/>
        <v>307209.21000000002</v>
      </c>
      <c r="E65" s="1518">
        <v>307209.21000000002</v>
      </c>
      <c r="F65" s="1518">
        <v>0</v>
      </c>
      <c r="G65" s="1518">
        <v>0</v>
      </c>
      <c r="H65" s="1518">
        <v>0</v>
      </c>
      <c r="I65" s="1519">
        <f t="shared" si="4"/>
        <v>0</v>
      </c>
    </row>
    <row r="66" spans="1:9" s="1158" customFormat="1" ht="12.75" customHeight="1" x14ac:dyDescent="0.3">
      <c r="A66" s="1188" t="s">
        <v>156</v>
      </c>
      <c r="B66" s="1189" t="s">
        <v>157</v>
      </c>
      <c r="C66" s="1161" t="s">
        <v>254</v>
      </c>
      <c r="D66" s="1517">
        <f t="shared" si="3"/>
        <v>58736.680000000008</v>
      </c>
      <c r="E66" s="1518">
        <v>58736.680000000008</v>
      </c>
      <c r="F66" s="1518">
        <v>0</v>
      </c>
      <c r="G66" s="1518">
        <v>0</v>
      </c>
      <c r="H66" s="1518">
        <v>0</v>
      </c>
      <c r="I66" s="1519">
        <f t="shared" si="4"/>
        <v>0</v>
      </c>
    </row>
    <row r="67" spans="1:9" s="1158" customFormat="1" ht="12.75" customHeight="1" x14ac:dyDescent="0.3">
      <c r="A67" s="1188" t="s">
        <v>162</v>
      </c>
      <c r="B67" s="1189" t="s">
        <v>163</v>
      </c>
      <c r="C67" s="1161" t="s">
        <v>252</v>
      </c>
      <c r="D67" s="1517">
        <f t="shared" si="3"/>
        <v>510405.89999999997</v>
      </c>
      <c r="E67" s="1518">
        <v>510405.89999999997</v>
      </c>
      <c r="F67" s="1518">
        <v>0</v>
      </c>
      <c r="G67" s="1518">
        <v>0</v>
      </c>
      <c r="H67" s="1518">
        <v>0</v>
      </c>
      <c r="I67" s="1519">
        <f t="shared" si="4"/>
        <v>0</v>
      </c>
    </row>
    <row r="68" spans="1:9" s="1158" customFormat="1" ht="12.75" customHeight="1" x14ac:dyDescent="0.3">
      <c r="A68" s="1188" t="s">
        <v>164</v>
      </c>
      <c r="B68" s="1189" t="s">
        <v>165</v>
      </c>
      <c r="C68" s="1161" t="s">
        <v>254</v>
      </c>
      <c r="D68" s="1517">
        <f t="shared" si="3"/>
        <v>302963.84000000003</v>
      </c>
      <c r="E68" s="1518">
        <v>302963.84000000003</v>
      </c>
      <c r="F68" s="1518">
        <v>0</v>
      </c>
      <c r="G68" s="1518">
        <v>0</v>
      </c>
      <c r="H68" s="1518">
        <v>0</v>
      </c>
      <c r="I68" s="1519">
        <f t="shared" si="4"/>
        <v>0</v>
      </c>
    </row>
    <row r="69" spans="1:9" s="1158" customFormat="1" ht="12.75" customHeight="1" x14ac:dyDescent="0.3">
      <c r="A69" s="1188" t="s">
        <v>168</v>
      </c>
      <c r="B69" s="1189" t="s">
        <v>169</v>
      </c>
      <c r="C69" s="1161" t="s">
        <v>254</v>
      </c>
      <c r="D69" s="1517">
        <f t="shared" ref="D69:D100" si="5">SUM(E69:H69)</f>
        <v>427481.12</v>
      </c>
      <c r="E69" s="1518">
        <v>427481.12</v>
      </c>
      <c r="F69" s="1518">
        <v>0</v>
      </c>
      <c r="G69" s="1518">
        <v>0</v>
      </c>
      <c r="H69" s="1518">
        <v>0</v>
      </c>
      <c r="I69" s="1519">
        <f t="shared" ref="I69:I100" si="6">G69+H69</f>
        <v>0</v>
      </c>
    </row>
    <row r="70" spans="1:9" s="1158" customFormat="1" ht="12.75" customHeight="1" x14ac:dyDescent="0.3">
      <c r="A70" s="1188" t="s">
        <v>170</v>
      </c>
      <c r="B70" s="1189" t="s">
        <v>171</v>
      </c>
      <c r="C70" s="1161" t="s">
        <v>255</v>
      </c>
      <c r="D70" s="1517">
        <f t="shared" si="5"/>
        <v>295750.55</v>
      </c>
      <c r="E70" s="1518">
        <v>295750.55</v>
      </c>
      <c r="F70" s="1518">
        <v>0</v>
      </c>
      <c r="G70" s="1518">
        <v>0</v>
      </c>
      <c r="H70" s="1518">
        <v>0</v>
      </c>
      <c r="I70" s="1519">
        <f t="shared" si="6"/>
        <v>0</v>
      </c>
    </row>
    <row r="71" spans="1:9" s="1158" customFormat="1" ht="12.75" customHeight="1" x14ac:dyDescent="0.3">
      <c r="A71" s="1188" t="s">
        <v>172</v>
      </c>
      <c r="B71" s="1189" t="s">
        <v>173</v>
      </c>
      <c r="C71" s="1161" t="s">
        <v>255</v>
      </c>
      <c r="D71" s="1517">
        <f t="shared" si="5"/>
        <v>395985.46000000008</v>
      </c>
      <c r="E71" s="1518">
        <v>395985.46000000008</v>
      </c>
      <c r="F71" s="1518">
        <v>0</v>
      </c>
      <c r="G71" s="1518">
        <v>0</v>
      </c>
      <c r="H71" s="1518">
        <v>0</v>
      </c>
      <c r="I71" s="1519">
        <f t="shared" si="6"/>
        <v>0</v>
      </c>
    </row>
    <row r="72" spans="1:9" s="1158" customFormat="1" ht="12.75" customHeight="1" x14ac:dyDescent="0.3">
      <c r="A72" s="1188" t="s">
        <v>174</v>
      </c>
      <c r="B72" s="1189" t="s">
        <v>175</v>
      </c>
      <c r="C72" s="1161" t="s">
        <v>256</v>
      </c>
      <c r="D72" s="1517">
        <f t="shared" si="5"/>
        <v>498150.11</v>
      </c>
      <c r="E72" s="1518">
        <v>498150.11</v>
      </c>
      <c r="F72" s="1518">
        <v>0</v>
      </c>
      <c r="G72" s="1518">
        <v>0</v>
      </c>
      <c r="H72" s="1518">
        <v>0</v>
      </c>
      <c r="I72" s="1519">
        <f t="shared" si="6"/>
        <v>0</v>
      </c>
    </row>
    <row r="73" spans="1:9" s="1158" customFormat="1" ht="12.75" customHeight="1" x14ac:dyDescent="0.3">
      <c r="A73" s="1188" t="s">
        <v>178</v>
      </c>
      <c r="B73" s="1189" t="s">
        <v>179</v>
      </c>
      <c r="C73" s="1161" t="s">
        <v>253</v>
      </c>
      <c r="D73" s="1517">
        <f t="shared" si="5"/>
        <v>1230378.7</v>
      </c>
      <c r="E73" s="1518">
        <v>1230378.7</v>
      </c>
      <c r="F73" s="1518">
        <v>0</v>
      </c>
      <c r="G73" s="1518">
        <v>0</v>
      </c>
      <c r="H73" s="1518">
        <v>0</v>
      </c>
      <c r="I73" s="1519">
        <f t="shared" si="6"/>
        <v>0</v>
      </c>
    </row>
    <row r="74" spans="1:9" s="1158" customFormat="1" ht="12.75" customHeight="1" x14ac:dyDescent="0.3">
      <c r="A74" s="1188" t="s">
        <v>182</v>
      </c>
      <c r="B74" s="1189" t="s">
        <v>183</v>
      </c>
      <c r="C74" s="1161" t="s">
        <v>254</v>
      </c>
      <c r="D74" s="1517">
        <f t="shared" si="5"/>
        <v>70139.44</v>
      </c>
      <c r="E74" s="1518">
        <v>70139.44</v>
      </c>
      <c r="F74" s="1518">
        <v>0</v>
      </c>
      <c r="G74" s="1518">
        <v>0</v>
      </c>
      <c r="H74" s="1518">
        <v>0</v>
      </c>
      <c r="I74" s="1519">
        <f t="shared" si="6"/>
        <v>0</v>
      </c>
    </row>
    <row r="75" spans="1:9" s="1158" customFormat="1" ht="12.75" customHeight="1" x14ac:dyDescent="0.3">
      <c r="A75" s="1188" t="s">
        <v>184</v>
      </c>
      <c r="B75" s="1189" t="s">
        <v>185</v>
      </c>
      <c r="C75" s="1161" t="s">
        <v>254</v>
      </c>
      <c r="D75" s="1517">
        <f t="shared" si="5"/>
        <v>442438.55000000005</v>
      </c>
      <c r="E75" s="1518">
        <v>442438.55000000005</v>
      </c>
      <c r="F75" s="1518">
        <v>0</v>
      </c>
      <c r="G75" s="1518">
        <v>0</v>
      </c>
      <c r="H75" s="1518">
        <v>0</v>
      </c>
      <c r="I75" s="1519">
        <f t="shared" si="6"/>
        <v>0</v>
      </c>
    </row>
    <row r="76" spans="1:9" s="1158" customFormat="1" ht="12.75" customHeight="1" x14ac:dyDescent="0.3">
      <c r="A76" s="1188" t="s">
        <v>186</v>
      </c>
      <c r="B76" s="1189" t="s">
        <v>187</v>
      </c>
      <c r="C76" s="1161" t="s">
        <v>252</v>
      </c>
      <c r="D76" s="1517">
        <f t="shared" si="5"/>
        <v>176853.82</v>
      </c>
      <c r="E76" s="1518">
        <v>176853.82</v>
      </c>
      <c r="F76" s="1518">
        <v>0</v>
      </c>
      <c r="G76" s="1518">
        <v>0</v>
      </c>
      <c r="H76" s="1518">
        <v>0</v>
      </c>
      <c r="I76" s="1519">
        <f t="shared" si="6"/>
        <v>0</v>
      </c>
    </row>
    <row r="77" spans="1:9" s="1158" customFormat="1" ht="12.75" customHeight="1" x14ac:dyDescent="0.3">
      <c r="A77" s="1188" t="s">
        <v>188</v>
      </c>
      <c r="B77" s="1189" t="s">
        <v>189</v>
      </c>
      <c r="C77" s="1161" t="s">
        <v>255</v>
      </c>
      <c r="D77" s="1517">
        <f t="shared" si="5"/>
        <v>488847.32000000007</v>
      </c>
      <c r="E77" s="1518">
        <v>488847.32000000007</v>
      </c>
      <c r="F77" s="1518">
        <v>0</v>
      </c>
      <c r="G77" s="1518">
        <v>0</v>
      </c>
      <c r="H77" s="1518">
        <v>0</v>
      </c>
      <c r="I77" s="1519">
        <f t="shared" si="6"/>
        <v>0</v>
      </c>
    </row>
    <row r="78" spans="1:9" s="1158" customFormat="1" ht="12.75" customHeight="1" x14ac:dyDescent="0.3">
      <c r="A78" s="1188" t="s">
        <v>190</v>
      </c>
      <c r="B78" s="1189" t="s">
        <v>191</v>
      </c>
      <c r="C78" s="1161" t="s">
        <v>256</v>
      </c>
      <c r="D78" s="1517">
        <f t="shared" si="5"/>
        <v>923740.9</v>
      </c>
      <c r="E78" s="1518">
        <v>923740.9</v>
      </c>
      <c r="F78" s="1518">
        <v>0</v>
      </c>
      <c r="G78" s="1518">
        <v>0</v>
      </c>
      <c r="H78" s="1518">
        <v>0</v>
      </c>
      <c r="I78" s="1519">
        <f t="shared" si="6"/>
        <v>0</v>
      </c>
    </row>
    <row r="79" spans="1:9" s="1158" customFormat="1" ht="12.75" customHeight="1" x14ac:dyDescent="0.3">
      <c r="A79" s="1188" t="s">
        <v>194</v>
      </c>
      <c r="B79" s="1189" t="s">
        <v>195</v>
      </c>
      <c r="C79" s="1161" t="s">
        <v>255</v>
      </c>
      <c r="D79" s="1517">
        <f t="shared" si="5"/>
        <v>31023.78</v>
      </c>
      <c r="E79" s="1518">
        <v>31023.78</v>
      </c>
      <c r="F79" s="1518">
        <v>0</v>
      </c>
      <c r="G79" s="1518">
        <v>0</v>
      </c>
      <c r="H79" s="1518">
        <v>0</v>
      </c>
      <c r="I79" s="1519">
        <f t="shared" si="6"/>
        <v>0</v>
      </c>
    </row>
    <row r="80" spans="1:9" s="1158" customFormat="1" ht="12.75" customHeight="1" x14ac:dyDescent="0.3">
      <c r="A80" s="1188" t="s">
        <v>198</v>
      </c>
      <c r="B80" s="1189" t="s">
        <v>199</v>
      </c>
      <c r="C80" s="1161" t="s">
        <v>254</v>
      </c>
      <c r="D80" s="1517">
        <f t="shared" si="5"/>
        <v>207957.17</v>
      </c>
      <c r="E80" s="1518">
        <v>207957.17</v>
      </c>
      <c r="F80" s="1518">
        <v>0</v>
      </c>
      <c r="G80" s="1518">
        <v>0</v>
      </c>
      <c r="H80" s="1518">
        <v>0</v>
      </c>
      <c r="I80" s="1519">
        <f t="shared" si="6"/>
        <v>0</v>
      </c>
    </row>
    <row r="81" spans="1:9" s="1158" customFormat="1" ht="12.75" customHeight="1" x14ac:dyDescent="0.3">
      <c r="A81" s="1188" t="s">
        <v>202</v>
      </c>
      <c r="B81" s="1189" t="s">
        <v>203</v>
      </c>
      <c r="C81" s="1161" t="s">
        <v>253</v>
      </c>
      <c r="D81" s="1517">
        <f t="shared" si="5"/>
        <v>561982.14</v>
      </c>
      <c r="E81" s="1518">
        <v>561982.14</v>
      </c>
      <c r="F81" s="1518">
        <v>0</v>
      </c>
      <c r="G81" s="1518">
        <v>0</v>
      </c>
      <c r="H81" s="1518">
        <v>0</v>
      </c>
      <c r="I81" s="1519">
        <f t="shared" si="6"/>
        <v>0</v>
      </c>
    </row>
    <row r="82" spans="1:9" s="1158" customFormat="1" ht="12.75" customHeight="1" x14ac:dyDescent="0.3">
      <c r="A82" s="1188" t="s">
        <v>204</v>
      </c>
      <c r="B82" s="1189" t="s">
        <v>205</v>
      </c>
      <c r="C82" s="1161" t="s">
        <v>253</v>
      </c>
      <c r="D82" s="1517">
        <f t="shared" si="5"/>
        <v>694692.03999999992</v>
      </c>
      <c r="E82" s="1518">
        <v>694692.03999999992</v>
      </c>
      <c r="F82" s="1518">
        <v>0</v>
      </c>
      <c r="G82" s="1518">
        <v>0</v>
      </c>
      <c r="H82" s="1518">
        <v>0</v>
      </c>
      <c r="I82" s="1519">
        <f t="shared" si="6"/>
        <v>0</v>
      </c>
    </row>
    <row r="83" spans="1:9" s="1158" customFormat="1" ht="12.75" customHeight="1" x14ac:dyDescent="0.3">
      <c r="A83" s="1188" t="s">
        <v>206</v>
      </c>
      <c r="B83" s="1189" t="s">
        <v>207</v>
      </c>
      <c r="C83" s="1161" t="s">
        <v>255</v>
      </c>
      <c r="D83" s="1517">
        <f t="shared" si="5"/>
        <v>812966.03</v>
      </c>
      <c r="E83" s="1518">
        <v>812966.03</v>
      </c>
      <c r="F83" s="1518">
        <v>0</v>
      </c>
      <c r="G83" s="1518">
        <v>0</v>
      </c>
      <c r="H83" s="1518">
        <v>0</v>
      </c>
      <c r="I83" s="1519">
        <f t="shared" si="6"/>
        <v>0</v>
      </c>
    </row>
    <row r="84" spans="1:9" s="1158" customFormat="1" ht="12.75" customHeight="1" x14ac:dyDescent="0.3">
      <c r="A84" s="1188" t="s">
        <v>208</v>
      </c>
      <c r="B84" s="1189" t="s">
        <v>209</v>
      </c>
      <c r="C84" s="1161" t="s">
        <v>256</v>
      </c>
      <c r="D84" s="1517">
        <f t="shared" si="5"/>
        <v>1264075.02</v>
      </c>
      <c r="E84" s="1518">
        <v>1264075.02</v>
      </c>
      <c r="F84" s="1518">
        <v>0</v>
      </c>
      <c r="G84" s="1518">
        <v>0</v>
      </c>
      <c r="H84" s="1518">
        <v>0</v>
      </c>
      <c r="I84" s="1519">
        <f t="shared" si="6"/>
        <v>0</v>
      </c>
    </row>
    <row r="85" spans="1:9" s="1158" customFormat="1" ht="12.75" customHeight="1" x14ac:dyDescent="0.3">
      <c r="A85" s="1188" t="s">
        <v>210</v>
      </c>
      <c r="B85" s="1189" t="s">
        <v>211</v>
      </c>
      <c r="C85" s="1161" t="s">
        <v>256</v>
      </c>
      <c r="D85" s="1517">
        <f t="shared" si="5"/>
        <v>798350.1399999999</v>
      </c>
      <c r="E85" s="1518">
        <v>798350.1399999999</v>
      </c>
      <c r="F85" s="1518">
        <v>0</v>
      </c>
      <c r="G85" s="1518">
        <v>0</v>
      </c>
      <c r="H85" s="1518">
        <v>0</v>
      </c>
      <c r="I85" s="1519">
        <f t="shared" si="6"/>
        <v>0</v>
      </c>
    </row>
    <row r="86" spans="1:9" s="1158" customFormat="1" ht="12.75" customHeight="1" x14ac:dyDescent="0.3">
      <c r="A86" s="1188" t="s">
        <v>212</v>
      </c>
      <c r="B86" s="1189" t="s">
        <v>213</v>
      </c>
      <c r="C86" s="1161" t="s">
        <v>255</v>
      </c>
      <c r="D86" s="1517">
        <f t="shared" si="5"/>
        <v>420251.51</v>
      </c>
      <c r="E86" s="1518">
        <v>420251.51</v>
      </c>
      <c r="F86" s="1518">
        <v>0</v>
      </c>
      <c r="G86" s="1518">
        <v>0</v>
      </c>
      <c r="H86" s="1518">
        <v>0</v>
      </c>
      <c r="I86" s="1519">
        <f t="shared" si="6"/>
        <v>0</v>
      </c>
    </row>
    <row r="87" spans="1:9" s="1158" customFormat="1" ht="12.75" customHeight="1" x14ac:dyDescent="0.3">
      <c r="A87" s="1188" t="s">
        <v>214</v>
      </c>
      <c r="B87" s="1189" t="s">
        <v>215</v>
      </c>
      <c r="C87" s="1161" t="s">
        <v>256</v>
      </c>
      <c r="D87" s="1517">
        <f t="shared" si="5"/>
        <v>1086068.1499999999</v>
      </c>
      <c r="E87" s="1518">
        <v>1086068.1499999999</v>
      </c>
      <c r="F87" s="1518">
        <v>0</v>
      </c>
      <c r="G87" s="1518">
        <v>0</v>
      </c>
      <c r="H87" s="1518">
        <v>0</v>
      </c>
      <c r="I87" s="1519">
        <f t="shared" si="6"/>
        <v>0</v>
      </c>
    </row>
    <row r="88" spans="1:9" s="1158" customFormat="1" ht="12.75" customHeight="1" x14ac:dyDescent="0.3">
      <c r="A88" s="1188" t="s">
        <v>216</v>
      </c>
      <c r="B88" s="1189" t="s">
        <v>217</v>
      </c>
      <c r="C88" s="1161" t="s">
        <v>252</v>
      </c>
      <c r="D88" s="1517">
        <f t="shared" si="5"/>
        <v>352228.51000000007</v>
      </c>
      <c r="E88" s="1518">
        <v>352228.51000000007</v>
      </c>
      <c r="F88" s="1518">
        <v>0</v>
      </c>
      <c r="G88" s="1518">
        <v>0</v>
      </c>
      <c r="H88" s="1518">
        <v>0</v>
      </c>
      <c r="I88" s="1519">
        <f t="shared" si="6"/>
        <v>0</v>
      </c>
    </row>
    <row r="89" spans="1:9" s="1158" customFormat="1" ht="12.75" customHeight="1" x14ac:dyDescent="0.3">
      <c r="A89" s="1188" t="s">
        <v>218</v>
      </c>
      <c r="B89" s="1189" t="s">
        <v>219</v>
      </c>
      <c r="C89" s="1161" t="s">
        <v>255</v>
      </c>
      <c r="D89" s="1517">
        <f t="shared" si="5"/>
        <v>434901.64</v>
      </c>
      <c r="E89" s="1518">
        <v>434901.64</v>
      </c>
      <c r="F89" s="1518">
        <v>0</v>
      </c>
      <c r="G89" s="1518">
        <v>0</v>
      </c>
      <c r="H89" s="1518">
        <v>0</v>
      </c>
      <c r="I89" s="1519">
        <f t="shared" si="6"/>
        <v>0</v>
      </c>
    </row>
    <row r="90" spans="1:9" s="1158" customFormat="1" ht="12.75" customHeight="1" x14ac:dyDescent="0.3">
      <c r="A90" s="1188" t="s">
        <v>220</v>
      </c>
      <c r="B90" s="1189" t="s">
        <v>221</v>
      </c>
      <c r="C90" s="1161" t="s">
        <v>255</v>
      </c>
      <c r="D90" s="1517">
        <f t="shared" si="5"/>
        <v>215513.87999999998</v>
      </c>
      <c r="E90" s="1518">
        <v>215513.87999999998</v>
      </c>
      <c r="F90" s="1518">
        <v>0</v>
      </c>
      <c r="G90" s="1518">
        <v>0</v>
      </c>
      <c r="H90" s="1518">
        <v>0</v>
      </c>
      <c r="I90" s="1519">
        <f t="shared" si="6"/>
        <v>0</v>
      </c>
    </row>
    <row r="91" spans="1:9" s="1158" customFormat="1" ht="12.75" customHeight="1" x14ac:dyDescent="0.3">
      <c r="A91" s="1188" t="s">
        <v>224</v>
      </c>
      <c r="B91" s="1189" t="s">
        <v>225</v>
      </c>
      <c r="C91" s="1161" t="s">
        <v>252</v>
      </c>
      <c r="D91" s="1517">
        <f t="shared" si="5"/>
        <v>106667.23999999999</v>
      </c>
      <c r="E91" s="1518">
        <v>106667.23999999999</v>
      </c>
      <c r="F91" s="1518">
        <v>0</v>
      </c>
      <c r="G91" s="1518">
        <v>0</v>
      </c>
      <c r="H91" s="1518">
        <v>0</v>
      </c>
      <c r="I91" s="1519">
        <f t="shared" si="6"/>
        <v>0</v>
      </c>
    </row>
    <row r="92" spans="1:9" s="1158" customFormat="1" ht="12.75" customHeight="1" x14ac:dyDescent="0.3">
      <c r="A92" s="1188" t="s">
        <v>226</v>
      </c>
      <c r="B92" s="1189" t="s">
        <v>227</v>
      </c>
      <c r="C92" s="1161" t="s">
        <v>252</v>
      </c>
      <c r="D92" s="1517">
        <f t="shared" si="5"/>
        <v>241454.19999999998</v>
      </c>
      <c r="E92" s="1518">
        <v>241454.19999999998</v>
      </c>
      <c r="F92" s="1518">
        <v>0</v>
      </c>
      <c r="G92" s="1518">
        <v>0</v>
      </c>
      <c r="H92" s="1518">
        <v>0</v>
      </c>
      <c r="I92" s="1519">
        <f t="shared" si="6"/>
        <v>0</v>
      </c>
    </row>
    <row r="93" spans="1:9" s="1158" customFormat="1" ht="12.75" customHeight="1" x14ac:dyDescent="0.3">
      <c r="A93" s="1188" t="s">
        <v>228</v>
      </c>
      <c r="B93" s="1189" t="s">
        <v>229</v>
      </c>
      <c r="C93" s="1161" t="s">
        <v>256</v>
      </c>
      <c r="D93" s="1517">
        <f t="shared" si="5"/>
        <v>1632619.49</v>
      </c>
      <c r="E93" s="1518">
        <v>1632619.49</v>
      </c>
      <c r="F93" s="1518">
        <v>0</v>
      </c>
      <c r="G93" s="1518">
        <v>0</v>
      </c>
      <c r="H93" s="1518">
        <v>0</v>
      </c>
      <c r="I93" s="1519">
        <f t="shared" si="6"/>
        <v>0</v>
      </c>
    </row>
    <row r="94" spans="1:9" s="1158" customFormat="1" ht="12.75" customHeight="1" x14ac:dyDescent="0.3">
      <c r="A94" s="1188" t="s">
        <v>232</v>
      </c>
      <c r="B94" s="1189" t="s">
        <v>233</v>
      </c>
      <c r="C94" s="1161" t="s">
        <v>255</v>
      </c>
      <c r="D94" s="1517">
        <f t="shared" si="5"/>
        <v>295582.05000000005</v>
      </c>
      <c r="E94" s="1518">
        <v>295582.05000000005</v>
      </c>
      <c r="F94" s="1518">
        <v>0</v>
      </c>
      <c r="G94" s="1518">
        <v>0</v>
      </c>
      <c r="H94" s="1518">
        <v>0</v>
      </c>
      <c r="I94" s="1519">
        <f t="shared" si="6"/>
        <v>0</v>
      </c>
    </row>
    <row r="95" spans="1:9" s="1158" customFormat="1" ht="12.75" customHeight="1" x14ac:dyDescent="0.3">
      <c r="A95" s="1188" t="s">
        <v>234</v>
      </c>
      <c r="B95" s="1189" t="s">
        <v>235</v>
      </c>
      <c r="C95" s="1161" t="s">
        <v>256</v>
      </c>
      <c r="D95" s="1517">
        <f t="shared" si="5"/>
        <v>989926.44</v>
      </c>
      <c r="E95" s="1518">
        <v>989926.44</v>
      </c>
      <c r="F95" s="1518">
        <v>0</v>
      </c>
      <c r="G95" s="1518">
        <v>0</v>
      </c>
      <c r="H95" s="1518">
        <v>0</v>
      </c>
      <c r="I95" s="1519">
        <f t="shared" si="6"/>
        <v>0</v>
      </c>
    </row>
    <row r="96" spans="1:9" s="1158" customFormat="1" ht="12.75" customHeight="1" x14ac:dyDescent="0.3">
      <c r="A96" s="1188" t="s">
        <v>236</v>
      </c>
      <c r="B96" s="1189" t="s">
        <v>237</v>
      </c>
      <c r="C96" s="1161" t="s">
        <v>254</v>
      </c>
      <c r="D96" s="1517">
        <f t="shared" si="5"/>
        <v>430339.73</v>
      </c>
      <c r="E96" s="1518">
        <v>430339.73</v>
      </c>
      <c r="F96" s="1518">
        <v>0</v>
      </c>
      <c r="G96" s="1518">
        <v>0</v>
      </c>
      <c r="H96" s="1518">
        <v>0</v>
      </c>
      <c r="I96" s="1519">
        <f t="shared" si="6"/>
        <v>0</v>
      </c>
    </row>
    <row r="97" spans="1:9" s="1158" customFormat="1" ht="12.75" customHeight="1" x14ac:dyDescent="0.3">
      <c r="A97" s="1188" t="s">
        <v>242</v>
      </c>
      <c r="B97" s="1189" t="s">
        <v>243</v>
      </c>
      <c r="C97" s="1161" t="s">
        <v>256</v>
      </c>
      <c r="D97" s="1517">
        <f t="shared" si="5"/>
        <v>1563856.5799999998</v>
      </c>
      <c r="E97" s="1518">
        <v>1563856.5799999998</v>
      </c>
      <c r="F97" s="1518">
        <v>0</v>
      </c>
      <c r="G97" s="1518">
        <v>0</v>
      </c>
      <c r="H97" s="1518">
        <v>0</v>
      </c>
      <c r="I97" s="1519">
        <f t="shared" si="6"/>
        <v>0</v>
      </c>
    </row>
    <row r="98" spans="1:9" s="1158" customFormat="1" ht="12.75" customHeight="1" x14ac:dyDescent="0.3">
      <c r="A98" s="1188" t="s">
        <v>244</v>
      </c>
      <c r="B98" s="1189" t="s">
        <v>245</v>
      </c>
      <c r="C98" s="1161" t="s">
        <v>256</v>
      </c>
      <c r="D98" s="1517">
        <f t="shared" si="5"/>
        <v>589709.88</v>
      </c>
      <c r="E98" s="1518">
        <v>589709.88</v>
      </c>
      <c r="F98" s="1518">
        <v>0</v>
      </c>
      <c r="G98" s="1518">
        <v>0</v>
      </c>
      <c r="H98" s="1518">
        <v>0</v>
      </c>
      <c r="I98" s="1519">
        <f t="shared" si="6"/>
        <v>0</v>
      </c>
    </row>
    <row r="99" spans="1:9" s="1158" customFormat="1" ht="12.75" customHeight="1" x14ac:dyDescent="0.3">
      <c r="A99" s="1188" t="s">
        <v>246</v>
      </c>
      <c r="B99" s="1189" t="s">
        <v>298</v>
      </c>
      <c r="C99" s="1161" t="s">
        <v>252</v>
      </c>
      <c r="D99" s="1517">
        <f t="shared" si="5"/>
        <v>138516.62</v>
      </c>
      <c r="E99" s="1518">
        <v>138516.62</v>
      </c>
      <c r="F99" s="1518">
        <v>0</v>
      </c>
      <c r="G99" s="1518">
        <v>0</v>
      </c>
      <c r="H99" s="1518">
        <v>0</v>
      </c>
      <c r="I99" s="1519">
        <f t="shared" si="6"/>
        <v>0</v>
      </c>
    </row>
    <row r="100" spans="1:9" s="1158" customFormat="1" ht="12.75" customHeight="1" x14ac:dyDescent="0.3">
      <c r="A100" s="1188" t="s">
        <v>14</v>
      </c>
      <c r="B100" s="1189" t="s">
        <v>15</v>
      </c>
      <c r="C100" s="1161" t="s">
        <v>255</v>
      </c>
      <c r="D100" s="1517">
        <f t="shared" si="5"/>
        <v>264898.94</v>
      </c>
      <c r="E100" s="1518">
        <v>264898.94</v>
      </c>
      <c r="F100" s="1518">
        <v>0</v>
      </c>
      <c r="G100" s="1518">
        <v>0</v>
      </c>
      <c r="H100" s="1518">
        <v>0</v>
      </c>
      <c r="I100" s="1519">
        <f t="shared" si="6"/>
        <v>0</v>
      </c>
    </row>
    <row r="101" spans="1:9" s="1158" customFormat="1" ht="12.75" customHeight="1" x14ac:dyDescent="0.3">
      <c r="A101" s="1188" t="s">
        <v>34</v>
      </c>
      <c r="B101" s="1189" t="s">
        <v>35</v>
      </c>
      <c r="C101" s="1161" t="s">
        <v>256</v>
      </c>
      <c r="D101" s="1517">
        <f t="shared" ref="D101:D124" si="7">SUM(E101:H101)</f>
        <v>468486.92000000004</v>
      </c>
      <c r="E101" s="1518">
        <v>468486.92000000004</v>
      </c>
      <c r="F101" s="1518">
        <v>0</v>
      </c>
      <c r="G101" s="1518">
        <v>0</v>
      </c>
      <c r="H101" s="1518">
        <v>0</v>
      </c>
      <c r="I101" s="1519">
        <f t="shared" ref="I101:I124" si="8">G101+H101</f>
        <v>0</v>
      </c>
    </row>
    <row r="102" spans="1:9" s="1158" customFormat="1" ht="12.75" customHeight="1" x14ac:dyDescent="0.3">
      <c r="A102" s="1188" t="s">
        <v>52</v>
      </c>
      <c r="B102" s="1189" t="s">
        <v>53</v>
      </c>
      <c r="C102" s="1161" t="s">
        <v>253</v>
      </c>
      <c r="D102" s="1517">
        <f t="shared" si="7"/>
        <v>326690.87</v>
      </c>
      <c r="E102" s="1518">
        <v>326690.87</v>
      </c>
      <c r="F102" s="1518">
        <v>0</v>
      </c>
      <c r="G102" s="1518">
        <v>0</v>
      </c>
      <c r="H102" s="1518">
        <v>0</v>
      </c>
      <c r="I102" s="1519">
        <f t="shared" si="8"/>
        <v>0</v>
      </c>
    </row>
    <row r="103" spans="1:9" s="1158" customFormat="1" ht="12.75" customHeight="1" x14ac:dyDescent="0.3">
      <c r="A103" s="1188" t="s">
        <v>54</v>
      </c>
      <c r="B103" s="1189" t="s">
        <v>55</v>
      </c>
      <c r="C103" s="1161" t="s">
        <v>252</v>
      </c>
      <c r="D103" s="1517">
        <f t="shared" si="7"/>
        <v>1009129.8200000001</v>
      </c>
      <c r="E103" s="1518">
        <v>1009129.8200000001</v>
      </c>
      <c r="F103" s="1518">
        <v>0</v>
      </c>
      <c r="G103" s="1518">
        <v>0</v>
      </c>
      <c r="H103" s="1518">
        <v>0</v>
      </c>
      <c r="I103" s="1519">
        <f t="shared" si="8"/>
        <v>0</v>
      </c>
    </row>
    <row r="104" spans="1:9" s="1158" customFormat="1" ht="12.75" customHeight="1" x14ac:dyDescent="0.3">
      <c r="A104" s="1188" t="s">
        <v>66</v>
      </c>
      <c r="B104" s="1189" t="s">
        <v>67</v>
      </c>
      <c r="C104" s="1161" t="s">
        <v>253</v>
      </c>
      <c r="D104" s="1517">
        <f t="shared" si="7"/>
        <v>1566049.33</v>
      </c>
      <c r="E104" s="1518">
        <v>1566049.33</v>
      </c>
      <c r="F104" s="1518">
        <v>0</v>
      </c>
      <c r="G104" s="1518">
        <v>0</v>
      </c>
      <c r="H104" s="1518">
        <v>0</v>
      </c>
      <c r="I104" s="1519">
        <f t="shared" si="8"/>
        <v>0</v>
      </c>
    </row>
    <row r="105" spans="1:9" s="1158" customFormat="1" ht="12.75" customHeight="1" x14ac:dyDescent="0.3">
      <c r="A105" s="1188" t="s">
        <v>82</v>
      </c>
      <c r="B105" s="1189" t="s">
        <v>299</v>
      </c>
      <c r="C105" s="1161" t="s">
        <v>252</v>
      </c>
      <c r="D105" s="1517">
        <f t="shared" si="7"/>
        <v>332002.59999999998</v>
      </c>
      <c r="E105" s="1518">
        <v>332002.59999999998</v>
      </c>
      <c r="F105" s="1518">
        <v>0</v>
      </c>
      <c r="G105" s="1518">
        <v>0</v>
      </c>
      <c r="H105" s="1518">
        <v>0</v>
      </c>
      <c r="I105" s="1519">
        <f t="shared" si="8"/>
        <v>0</v>
      </c>
    </row>
    <row r="106" spans="1:9" s="1158" customFormat="1" ht="12.75" customHeight="1" x14ac:dyDescent="0.3">
      <c r="A106" s="1188" t="s">
        <v>88</v>
      </c>
      <c r="B106" s="1189" t="s">
        <v>89</v>
      </c>
      <c r="C106" s="1161" t="s">
        <v>255</v>
      </c>
      <c r="D106" s="1517">
        <f t="shared" si="7"/>
        <v>266544.69</v>
      </c>
      <c r="E106" s="1518">
        <v>266544.69</v>
      </c>
      <c r="F106" s="1518">
        <v>0</v>
      </c>
      <c r="G106" s="1518">
        <v>0</v>
      </c>
      <c r="H106" s="1518">
        <v>0</v>
      </c>
      <c r="I106" s="1519">
        <f t="shared" si="8"/>
        <v>0</v>
      </c>
    </row>
    <row r="107" spans="1:9" s="1158" customFormat="1" ht="12.75" customHeight="1" x14ac:dyDescent="0.3">
      <c r="A107" s="1188" t="s">
        <v>90</v>
      </c>
      <c r="B107" s="1189" t="s">
        <v>91</v>
      </c>
      <c r="C107" s="1161" t="s">
        <v>256</v>
      </c>
      <c r="D107" s="1517">
        <f t="shared" si="7"/>
        <v>303161.43</v>
      </c>
      <c r="E107" s="1518">
        <v>303161.43</v>
      </c>
      <c r="F107" s="1518">
        <v>0</v>
      </c>
      <c r="G107" s="1518">
        <v>0</v>
      </c>
      <c r="H107" s="1518">
        <v>0</v>
      </c>
      <c r="I107" s="1519">
        <f t="shared" si="8"/>
        <v>0</v>
      </c>
    </row>
    <row r="108" spans="1:9" s="1158" customFormat="1" ht="12.75" customHeight="1" x14ac:dyDescent="0.3">
      <c r="A108" s="1188" t="s">
        <v>106</v>
      </c>
      <c r="B108" s="1189" t="s">
        <v>107</v>
      </c>
      <c r="C108" s="1161" t="s">
        <v>252</v>
      </c>
      <c r="D108" s="1517">
        <f t="shared" si="7"/>
        <v>1162738.6399999999</v>
      </c>
      <c r="E108" s="1518">
        <v>1162738.6399999999</v>
      </c>
      <c r="F108" s="1518">
        <v>0</v>
      </c>
      <c r="G108" s="1518">
        <v>0</v>
      </c>
      <c r="H108" s="1518">
        <v>0</v>
      </c>
      <c r="I108" s="1519">
        <f t="shared" si="8"/>
        <v>0</v>
      </c>
    </row>
    <row r="109" spans="1:9" s="1158" customFormat="1" ht="12.75" customHeight="1" x14ac:dyDescent="0.3">
      <c r="A109" s="1188" t="s">
        <v>116</v>
      </c>
      <c r="B109" s="1189" t="s">
        <v>117</v>
      </c>
      <c r="C109" s="1161" t="s">
        <v>254</v>
      </c>
      <c r="D109" s="1517">
        <f t="shared" si="7"/>
        <v>450173.71</v>
      </c>
      <c r="E109" s="1518">
        <v>450173.71</v>
      </c>
      <c r="F109" s="1518">
        <v>0</v>
      </c>
      <c r="G109" s="1518">
        <v>0</v>
      </c>
      <c r="H109" s="1518">
        <v>0</v>
      </c>
      <c r="I109" s="1519">
        <f t="shared" si="8"/>
        <v>0</v>
      </c>
    </row>
    <row r="110" spans="1:9" s="1158" customFormat="1" ht="12.75" customHeight="1" x14ac:dyDescent="0.3">
      <c r="A110" s="1188" t="s">
        <v>138</v>
      </c>
      <c r="B110" s="1189" t="s">
        <v>139</v>
      </c>
      <c r="C110" s="1161" t="s">
        <v>253</v>
      </c>
      <c r="D110" s="1517">
        <f t="shared" si="7"/>
        <v>1670424.51</v>
      </c>
      <c r="E110" s="1518">
        <v>1670424.51</v>
      </c>
      <c r="F110" s="1518">
        <v>0</v>
      </c>
      <c r="G110" s="1518">
        <v>0</v>
      </c>
      <c r="H110" s="1518">
        <v>0</v>
      </c>
      <c r="I110" s="1519">
        <f t="shared" si="8"/>
        <v>0</v>
      </c>
    </row>
    <row r="111" spans="1:9" s="1158" customFormat="1" ht="12.75" customHeight="1" x14ac:dyDescent="0.3">
      <c r="A111" s="1188" t="s">
        <v>142</v>
      </c>
      <c r="B111" s="1189" t="s">
        <v>143</v>
      </c>
      <c r="C111" s="1161" t="s">
        <v>255</v>
      </c>
      <c r="D111" s="1517">
        <f t="shared" si="7"/>
        <v>51979.82</v>
      </c>
      <c r="E111" s="1518">
        <v>51979.82</v>
      </c>
      <c r="F111" s="1518">
        <v>0</v>
      </c>
      <c r="G111" s="1518">
        <v>0</v>
      </c>
      <c r="H111" s="1518">
        <v>0</v>
      </c>
      <c r="I111" s="1519">
        <f t="shared" si="8"/>
        <v>0</v>
      </c>
    </row>
    <row r="112" spans="1:9" s="1158" customFormat="1" ht="12.75" customHeight="1" x14ac:dyDescent="0.3">
      <c r="A112" s="1188" t="s">
        <v>144</v>
      </c>
      <c r="B112" s="1189" t="s">
        <v>145</v>
      </c>
      <c r="C112" s="1161" t="s">
        <v>255</v>
      </c>
      <c r="D112" s="1517">
        <f t="shared" si="7"/>
        <v>68613.48</v>
      </c>
      <c r="E112" s="1518">
        <v>68613.48</v>
      </c>
      <c r="F112" s="1518">
        <v>0</v>
      </c>
      <c r="G112" s="1518">
        <v>0</v>
      </c>
      <c r="H112" s="1518">
        <v>0</v>
      </c>
      <c r="I112" s="1519">
        <f t="shared" si="8"/>
        <v>0</v>
      </c>
    </row>
    <row r="113" spans="1:9" s="1158" customFormat="1" ht="12.75" customHeight="1" x14ac:dyDescent="0.3">
      <c r="A113" s="1188" t="s">
        <v>158</v>
      </c>
      <c r="B113" s="1189" t="s">
        <v>159</v>
      </c>
      <c r="C113" s="1161" t="s">
        <v>252</v>
      </c>
      <c r="D113" s="1517">
        <f t="shared" si="7"/>
        <v>2010378.19</v>
      </c>
      <c r="E113" s="1518">
        <v>2010378.19</v>
      </c>
      <c r="F113" s="1518">
        <v>0</v>
      </c>
      <c r="G113" s="1518">
        <v>0</v>
      </c>
      <c r="H113" s="1518">
        <v>0</v>
      </c>
      <c r="I113" s="1519">
        <f t="shared" si="8"/>
        <v>0</v>
      </c>
    </row>
    <row r="114" spans="1:9" s="1158" customFormat="1" ht="12.75" customHeight="1" x14ac:dyDescent="0.3">
      <c r="A114" s="1188" t="s">
        <v>160</v>
      </c>
      <c r="B114" s="1189" t="s">
        <v>161</v>
      </c>
      <c r="C114" s="1161" t="s">
        <v>252</v>
      </c>
      <c r="D114" s="1517">
        <f t="shared" si="7"/>
        <v>2162552.3200000003</v>
      </c>
      <c r="E114" s="1518">
        <v>2162552.3200000003</v>
      </c>
      <c r="F114" s="1518">
        <v>0</v>
      </c>
      <c r="G114" s="1518">
        <v>0</v>
      </c>
      <c r="H114" s="1518">
        <v>0</v>
      </c>
      <c r="I114" s="1519">
        <f t="shared" si="8"/>
        <v>0</v>
      </c>
    </row>
    <row r="115" spans="1:9" s="1158" customFormat="1" ht="12.75" customHeight="1" x14ac:dyDescent="0.3">
      <c r="A115" s="1188" t="s">
        <v>166</v>
      </c>
      <c r="B115" s="1189" t="s">
        <v>167</v>
      </c>
      <c r="C115" s="1161" t="s">
        <v>256</v>
      </c>
      <c r="D115" s="1517">
        <f t="shared" si="7"/>
        <v>200424.94</v>
      </c>
      <c r="E115" s="1518">
        <v>200424.94</v>
      </c>
      <c r="F115" s="1518">
        <v>0</v>
      </c>
      <c r="G115" s="1518">
        <v>0</v>
      </c>
      <c r="H115" s="1518">
        <v>0</v>
      </c>
      <c r="I115" s="1519">
        <f t="shared" si="8"/>
        <v>0</v>
      </c>
    </row>
    <row r="116" spans="1:9" s="1158" customFormat="1" ht="12.75" customHeight="1" x14ac:dyDescent="0.3">
      <c r="A116" s="1188" t="s">
        <v>176</v>
      </c>
      <c r="B116" s="1189" t="s">
        <v>177</v>
      </c>
      <c r="C116" s="1161" t="s">
        <v>254</v>
      </c>
      <c r="D116" s="1517">
        <f t="shared" si="7"/>
        <v>1048921.2</v>
      </c>
      <c r="E116" s="1518">
        <v>1048921.2</v>
      </c>
      <c r="F116" s="1518">
        <v>0</v>
      </c>
      <c r="G116" s="1518">
        <v>0</v>
      </c>
      <c r="H116" s="1518">
        <v>0</v>
      </c>
      <c r="I116" s="1519">
        <f t="shared" si="8"/>
        <v>0</v>
      </c>
    </row>
    <row r="117" spans="1:9" s="1158" customFormat="1" ht="12.75" customHeight="1" x14ac:dyDescent="0.3">
      <c r="A117" s="1188" t="s">
        <v>180</v>
      </c>
      <c r="B117" s="1189" t="s">
        <v>181</v>
      </c>
      <c r="C117" s="1161" t="s">
        <v>252</v>
      </c>
      <c r="D117" s="1517">
        <f t="shared" si="7"/>
        <v>1158342.49</v>
      </c>
      <c r="E117" s="1518">
        <v>1158342.49</v>
      </c>
      <c r="F117" s="1518">
        <v>0</v>
      </c>
      <c r="G117" s="1518">
        <v>0</v>
      </c>
      <c r="H117" s="1518">
        <v>0</v>
      </c>
      <c r="I117" s="1519">
        <f t="shared" si="8"/>
        <v>0</v>
      </c>
    </row>
    <row r="118" spans="1:9" s="1158" customFormat="1" ht="12.75" customHeight="1" x14ac:dyDescent="0.3">
      <c r="A118" s="1188" t="s">
        <v>192</v>
      </c>
      <c r="B118" s="1189" t="s">
        <v>193</v>
      </c>
      <c r="C118" s="1161" t="s">
        <v>256</v>
      </c>
      <c r="D118" s="1517">
        <f t="shared" si="7"/>
        <v>205892.12</v>
      </c>
      <c r="E118" s="1518">
        <v>205892.12</v>
      </c>
      <c r="F118" s="1518">
        <v>0</v>
      </c>
      <c r="G118" s="1518">
        <v>0</v>
      </c>
      <c r="H118" s="1518">
        <v>0</v>
      </c>
      <c r="I118" s="1519">
        <f t="shared" si="8"/>
        <v>0</v>
      </c>
    </row>
    <row r="119" spans="1:9" s="1158" customFormat="1" ht="12.75" customHeight="1" x14ac:dyDescent="0.3">
      <c r="A119" s="1188" t="s">
        <v>196</v>
      </c>
      <c r="B119" s="1189" t="s">
        <v>300</v>
      </c>
      <c r="C119" s="1161" t="s">
        <v>254</v>
      </c>
      <c r="D119" s="1517">
        <f t="shared" si="7"/>
        <v>2635717.02</v>
      </c>
      <c r="E119" s="1518">
        <v>2635717.02</v>
      </c>
      <c r="F119" s="1518">
        <v>0</v>
      </c>
      <c r="G119" s="1518">
        <v>0</v>
      </c>
      <c r="H119" s="1518">
        <v>0</v>
      </c>
      <c r="I119" s="1519">
        <f t="shared" si="8"/>
        <v>0</v>
      </c>
    </row>
    <row r="120" spans="1:9" s="1158" customFormat="1" ht="12.75" customHeight="1" x14ac:dyDescent="0.3">
      <c r="A120" s="1188" t="s">
        <v>200</v>
      </c>
      <c r="B120" s="1189" t="s">
        <v>301</v>
      </c>
      <c r="C120" s="1161" t="s">
        <v>253</v>
      </c>
      <c r="D120" s="1517">
        <f t="shared" si="7"/>
        <v>1823720.99</v>
      </c>
      <c r="E120" s="1518">
        <v>1823720.99</v>
      </c>
      <c r="F120" s="1518">
        <v>0</v>
      </c>
      <c r="G120" s="1518">
        <v>0</v>
      </c>
      <c r="H120" s="1518">
        <v>0</v>
      </c>
      <c r="I120" s="1519">
        <f t="shared" si="8"/>
        <v>0</v>
      </c>
    </row>
    <row r="121" spans="1:9" s="1158" customFormat="1" ht="12.75" customHeight="1" x14ac:dyDescent="0.3">
      <c r="A121" s="1188" t="s">
        <v>222</v>
      </c>
      <c r="B121" s="1189" t="s">
        <v>223</v>
      </c>
      <c r="C121" s="1161" t="s">
        <v>252</v>
      </c>
      <c r="D121" s="1517">
        <f t="shared" si="7"/>
        <v>1019974.21</v>
      </c>
      <c r="E121" s="1518">
        <v>1019974.21</v>
      </c>
      <c r="F121" s="1518">
        <v>0</v>
      </c>
      <c r="G121" s="1518">
        <v>0</v>
      </c>
      <c r="H121" s="1518">
        <v>0</v>
      </c>
      <c r="I121" s="1519">
        <f t="shared" si="8"/>
        <v>0</v>
      </c>
    </row>
    <row r="122" spans="1:9" s="1158" customFormat="1" ht="12.75" customHeight="1" x14ac:dyDescent="0.3">
      <c r="A122" s="1188" t="s">
        <v>230</v>
      </c>
      <c r="B122" s="1189" t="s">
        <v>231</v>
      </c>
      <c r="C122" s="1161" t="s">
        <v>252</v>
      </c>
      <c r="D122" s="1517">
        <f t="shared" si="7"/>
        <v>1219860.46</v>
      </c>
      <c r="E122" s="1518">
        <v>1219860.46</v>
      </c>
      <c r="F122" s="1518">
        <v>0</v>
      </c>
      <c r="G122" s="1518">
        <v>0</v>
      </c>
      <c r="H122" s="1518">
        <v>0</v>
      </c>
      <c r="I122" s="1519">
        <f t="shared" si="8"/>
        <v>0</v>
      </c>
    </row>
    <row r="123" spans="1:9" s="1158" customFormat="1" ht="12.75" customHeight="1" x14ac:dyDescent="0.3">
      <c r="A123" s="1188" t="s">
        <v>238</v>
      </c>
      <c r="B123" s="1189" t="s">
        <v>239</v>
      </c>
      <c r="C123" s="1161" t="s">
        <v>252</v>
      </c>
      <c r="D123" s="1517">
        <f t="shared" si="7"/>
        <v>33307.599999999999</v>
      </c>
      <c r="E123" s="1518">
        <v>33307.599999999999</v>
      </c>
      <c r="F123" s="1518">
        <v>0</v>
      </c>
      <c r="G123" s="1518">
        <v>0</v>
      </c>
      <c r="H123" s="1518">
        <v>0</v>
      </c>
      <c r="I123" s="1519">
        <f t="shared" si="8"/>
        <v>0</v>
      </c>
    </row>
    <row r="124" spans="1:9" s="1158" customFormat="1" ht="12.75" customHeight="1" x14ac:dyDescent="0.3">
      <c r="A124" s="1190" t="s">
        <v>240</v>
      </c>
      <c r="B124" s="1191" t="s">
        <v>241</v>
      </c>
      <c r="C124" s="1171" t="s">
        <v>255</v>
      </c>
      <c r="D124" s="1520">
        <f t="shared" si="7"/>
        <v>189324.37</v>
      </c>
      <c r="E124" s="1521">
        <v>189324.37</v>
      </c>
      <c r="F124" s="1521">
        <v>0</v>
      </c>
      <c r="G124" s="1521">
        <v>0</v>
      </c>
      <c r="H124" s="1521">
        <v>0</v>
      </c>
      <c r="I124" s="1522">
        <f t="shared" si="8"/>
        <v>0</v>
      </c>
    </row>
    <row r="125" spans="1:9" s="1158" customFormat="1" ht="12.75" customHeight="1" x14ac:dyDescent="0.3">
      <c r="D125" s="1192"/>
      <c r="E125" s="1192"/>
      <c r="F125" s="1192"/>
      <c r="G125" s="1192"/>
      <c r="H125" s="1192"/>
      <c r="I125" s="1192"/>
    </row>
    <row r="126" spans="1:9" s="1158" customFormat="1" ht="12.75" customHeight="1" x14ac:dyDescent="0.3">
      <c r="A126" s="1158" t="s">
        <v>254</v>
      </c>
      <c r="D126" s="1523">
        <f>SUM(E126:H126)</f>
        <v>12411908.699999999</v>
      </c>
      <c r="E126" s="1524">
        <v>12411908.699999999</v>
      </c>
      <c r="F126" s="1524">
        <v>0</v>
      </c>
      <c r="G126" s="1524">
        <v>0</v>
      </c>
      <c r="H126" s="1524">
        <v>0</v>
      </c>
      <c r="I126" s="1525">
        <v>0</v>
      </c>
    </row>
    <row r="127" spans="1:9" s="1158" customFormat="1" ht="12.75" customHeight="1" x14ac:dyDescent="0.3">
      <c r="A127" s="1158" t="s">
        <v>252</v>
      </c>
      <c r="D127" s="1523">
        <f>SUM(E127:H127)</f>
        <v>15146908.230000002</v>
      </c>
      <c r="E127" s="1524">
        <v>15146908.230000002</v>
      </c>
      <c r="F127" s="1524">
        <v>0</v>
      </c>
      <c r="G127" s="1524">
        <v>0</v>
      </c>
      <c r="H127" s="1524">
        <v>0</v>
      </c>
      <c r="I127" s="1525">
        <v>0</v>
      </c>
    </row>
    <row r="128" spans="1:9" s="1158" customFormat="1" ht="12.75" customHeight="1" x14ac:dyDescent="0.3">
      <c r="A128" s="1158" t="s">
        <v>255</v>
      </c>
      <c r="D128" s="1523">
        <f>SUM(E128:H128)</f>
        <v>7348524.5900000008</v>
      </c>
      <c r="E128" s="1524">
        <v>7348524.5900000008</v>
      </c>
      <c r="F128" s="1524">
        <v>0</v>
      </c>
      <c r="G128" s="1524">
        <v>0</v>
      </c>
      <c r="H128" s="1524">
        <v>0</v>
      </c>
      <c r="I128" s="1525">
        <v>0</v>
      </c>
    </row>
    <row r="129" spans="1:9" s="1158" customFormat="1" ht="12.75" customHeight="1" x14ac:dyDescent="0.3">
      <c r="A129" s="1158" t="s">
        <v>253</v>
      </c>
      <c r="D129" s="1523">
        <f>SUM(E129:H129)</f>
        <v>18900019.659999996</v>
      </c>
      <c r="E129" s="1524">
        <v>18900019.659999996</v>
      </c>
      <c r="F129" s="1524">
        <v>0</v>
      </c>
      <c r="G129" s="1524">
        <v>0</v>
      </c>
      <c r="H129" s="1524">
        <v>0</v>
      </c>
      <c r="I129" s="1525">
        <v>0</v>
      </c>
    </row>
    <row r="130" spans="1:9" s="1158" customFormat="1" ht="12.75" customHeight="1" x14ac:dyDescent="0.3">
      <c r="A130" s="1158" t="s">
        <v>256</v>
      </c>
      <c r="D130" s="1523">
        <f>SUM(E130:H130)</f>
        <v>17789547.540000007</v>
      </c>
      <c r="E130" s="1524">
        <v>17789547.540000007</v>
      </c>
      <c r="F130" s="1524">
        <v>0</v>
      </c>
      <c r="G130" s="1524">
        <v>0</v>
      </c>
      <c r="H130" s="1524">
        <v>0</v>
      </c>
      <c r="I130" s="1525">
        <v>0</v>
      </c>
    </row>
    <row r="131" spans="1:9" s="1158" customFormat="1" ht="12.75" customHeight="1" x14ac:dyDescent="0.3">
      <c r="A131" s="1158" t="s">
        <v>9</v>
      </c>
      <c r="D131" s="1523">
        <f>SUM(D126:D130)</f>
        <v>71596908.719999999</v>
      </c>
      <c r="E131" s="1524">
        <f>SUM(E126:E130)</f>
        <v>71596908.719999999</v>
      </c>
      <c r="F131" s="1524">
        <f t="shared" ref="F131:H131" si="9">SUM(F126:F130)</f>
        <v>0</v>
      </c>
      <c r="G131" s="1524">
        <f t="shared" si="9"/>
        <v>0</v>
      </c>
      <c r="H131" s="1524">
        <f t="shared" si="9"/>
        <v>0</v>
      </c>
      <c r="I131" s="1525">
        <f t="shared" ref="I131" si="10">G131+H131</f>
        <v>0</v>
      </c>
    </row>
    <row r="132" spans="1:9" x14ac:dyDescent="0.3">
      <c r="D132" s="699"/>
      <c r="E132" s="699"/>
      <c r="F132" s="699"/>
      <c r="G132" s="699"/>
      <c r="H132" s="699"/>
      <c r="I132" s="699"/>
    </row>
    <row r="133" spans="1:9" s="339" customFormat="1" x14ac:dyDescent="0.3">
      <c r="A133" s="839" t="s">
        <v>1094</v>
      </c>
      <c r="B133" s="605"/>
      <c r="C133" s="605"/>
      <c r="D133" s="558"/>
      <c r="E133" s="558"/>
      <c r="F133" s="558"/>
      <c r="G133" s="558"/>
      <c r="H133" s="558"/>
      <c r="I133" s="558"/>
    </row>
    <row r="134" spans="1:9" s="339" customFormat="1" x14ac:dyDescent="0.3"/>
    <row r="135" spans="1:9" s="359" customFormat="1" x14ac:dyDescent="0.3">
      <c r="A135" s="359" t="s">
        <v>248</v>
      </c>
    </row>
    <row r="136" spans="1:9" x14ac:dyDescent="0.3">
      <c r="A136" s="360" t="s">
        <v>249</v>
      </c>
      <c r="B136" s="361" t="s">
        <v>250</v>
      </c>
      <c r="C136" s="361"/>
    </row>
  </sheetData>
  <autoFilter ref="A3:C124"/>
  <sortState ref="A5:I124">
    <sortCondition ref="A5:A124"/>
  </sortState>
  <hyperlinks>
    <hyperlink ref="B136" r:id="rId1"/>
  </hyperlinks>
  <pageMargins left="0.7" right="0.7" top="0.75" bottom="0.75" header="0.3" footer="0.3"/>
  <pageSetup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8"/>
  <sheetViews>
    <sheetView zoomScale="98" zoomScaleNormal="98" workbookViewId="0">
      <pane xSplit="3" ySplit="4" topLeftCell="D5" activePane="bottomRight" state="frozen"/>
      <selection pane="topRight" activeCell="D1" sqref="D1"/>
      <selection pane="bottomLeft" activeCell="A5" sqref="A5"/>
      <selection pane="bottomRight" activeCell="G134" sqref="G134"/>
    </sheetView>
  </sheetViews>
  <sheetFormatPr defaultColWidth="9" defaultRowHeight="15.6" x14ac:dyDescent="0.3"/>
  <cols>
    <col min="1" max="1" width="13.296875" style="263" bestFit="1" customWidth="1"/>
    <col min="2" max="2" width="31.296875" style="263" customWidth="1"/>
    <col min="3" max="3" width="14.796875" style="263" customWidth="1"/>
    <col min="4" max="4" width="13.69921875" style="263" bestFit="1" customWidth="1"/>
    <col min="5" max="5" width="12.296875" style="263" bestFit="1" customWidth="1"/>
    <col min="6" max="6" width="10.796875" style="263" customWidth="1"/>
    <col min="7" max="7" width="10.09765625" style="263" bestFit="1" customWidth="1"/>
    <col min="8" max="8" width="12.296875" style="263" bestFit="1" customWidth="1"/>
    <col min="9" max="9" width="12.59765625" style="263" customWidth="1"/>
    <col min="10" max="16384" width="9" style="263"/>
  </cols>
  <sheetData>
    <row r="1" spans="1:9" x14ac:dyDescent="0.3">
      <c r="A1" s="64" t="s">
        <v>1098</v>
      </c>
    </row>
    <row r="2" spans="1:9" x14ac:dyDescent="0.3">
      <c r="D2" s="1051"/>
      <c r="E2" s="1051"/>
      <c r="F2" s="1051"/>
      <c r="G2" s="1051"/>
      <c r="H2" s="1051"/>
    </row>
    <row r="3" spans="1:9" ht="31.2" x14ac:dyDescent="0.3">
      <c r="A3" s="701" t="s">
        <v>4</v>
      </c>
      <c r="B3" s="702" t="s">
        <v>5</v>
      </c>
      <c r="C3" s="772" t="s">
        <v>251</v>
      </c>
      <c r="D3" s="703" t="s">
        <v>746</v>
      </c>
      <c r="E3" s="704" t="s">
        <v>747</v>
      </c>
      <c r="F3" s="704" t="s">
        <v>748</v>
      </c>
      <c r="G3" s="704" t="s">
        <v>749</v>
      </c>
      <c r="H3" s="1063" t="s">
        <v>750</v>
      </c>
      <c r="I3" s="1064" t="s">
        <v>777</v>
      </c>
    </row>
    <row r="4" spans="1:9" s="1158" customFormat="1" ht="12.75" customHeight="1" x14ac:dyDescent="0.3">
      <c r="A4" s="1153">
        <v>999</v>
      </c>
      <c r="B4" s="1154" t="s">
        <v>9</v>
      </c>
      <c r="C4" s="1155"/>
      <c r="D4" s="1156">
        <f t="shared" ref="D4:H4" si="0">SUM(D5:D124)</f>
        <v>25789360.871717986</v>
      </c>
      <c r="E4" s="1156">
        <f t="shared" si="0"/>
        <v>39264863.178282015</v>
      </c>
      <c r="F4" s="1156">
        <f t="shared" si="0"/>
        <v>0</v>
      </c>
      <c r="G4" s="1156">
        <f t="shared" si="0"/>
        <v>0</v>
      </c>
      <c r="H4" s="1270">
        <f t="shared" si="0"/>
        <v>65054224.050000004</v>
      </c>
      <c r="I4" s="1157">
        <f t="shared" ref="I4" si="1">F4+G4</f>
        <v>0</v>
      </c>
    </row>
    <row r="5" spans="1:9" s="1166" customFormat="1" ht="12.75" customHeight="1" x14ac:dyDescent="0.3">
      <c r="A5" s="1159" t="s">
        <v>10</v>
      </c>
      <c r="B5" s="1160" t="s">
        <v>11</v>
      </c>
      <c r="C5" s="1161" t="s">
        <v>252</v>
      </c>
      <c r="D5" s="1162">
        <v>99271.605210000009</v>
      </c>
      <c r="E5" s="1163">
        <v>137946.29479000001</v>
      </c>
      <c r="F5" s="1163"/>
      <c r="G5" s="1163"/>
      <c r="H5" s="1164">
        <f t="shared" ref="H5:H36" si="2">SUM(D5:G5)</f>
        <v>237217.90000000002</v>
      </c>
      <c r="I5" s="1165">
        <f t="shared" ref="I5:I36" si="3">F5+G5</f>
        <v>0</v>
      </c>
    </row>
    <row r="6" spans="1:9" s="1166" customFormat="1" ht="12.75" customHeight="1" x14ac:dyDescent="0.3">
      <c r="A6" s="1159" t="s">
        <v>12</v>
      </c>
      <c r="B6" s="1160" t="s">
        <v>13</v>
      </c>
      <c r="C6" s="1161" t="s">
        <v>253</v>
      </c>
      <c r="D6" s="1167">
        <v>143518.94233799999</v>
      </c>
      <c r="E6" s="1168">
        <v>266487.677662</v>
      </c>
      <c r="F6" s="1163"/>
      <c r="G6" s="1163"/>
      <c r="H6" s="1164">
        <f t="shared" si="2"/>
        <v>410006.62</v>
      </c>
      <c r="I6" s="1165">
        <f t="shared" si="3"/>
        <v>0</v>
      </c>
    </row>
    <row r="7" spans="1:9" s="1166" customFormat="1" ht="12.75" customHeight="1" x14ac:dyDescent="0.3">
      <c r="A7" s="1159" t="s">
        <v>16</v>
      </c>
      <c r="B7" s="1160" t="s">
        <v>285</v>
      </c>
      <c r="C7" s="1161" t="s">
        <v>253</v>
      </c>
      <c r="D7" s="1169">
        <v>67436.753586000006</v>
      </c>
      <c r="E7" s="1170">
        <v>102346.38641400001</v>
      </c>
      <c r="F7" s="1163"/>
      <c r="G7" s="1163"/>
      <c r="H7" s="1164">
        <f t="shared" si="2"/>
        <v>169783.14</v>
      </c>
      <c r="I7" s="1165">
        <f t="shared" si="3"/>
        <v>0</v>
      </c>
    </row>
    <row r="8" spans="1:9" s="1166" customFormat="1" ht="12.75" customHeight="1" x14ac:dyDescent="0.3">
      <c r="A8" s="1159" t="s">
        <v>18</v>
      </c>
      <c r="B8" s="1160" t="s">
        <v>19</v>
      </c>
      <c r="C8" s="1161" t="s">
        <v>254</v>
      </c>
      <c r="D8" s="1169">
        <v>38650.589399999997</v>
      </c>
      <c r="E8" s="1170">
        <v>52433.410600000003</v>
      </c>
      <c r="F8" s="1163"/>
      <c r="G8" s="1163"/>
      <c r="H8" s="1164">
        <f t="shared" si="2"/>
        <v>91084</v>
      </c>
      <c r="I8" s="1165">
        <f t="shared" si="3"/>
        <v>0</v>
      </c>
    </row>
    <row r="9" spans="1:9" s="1166" customFormat="1" ht="12.75" customHeight="1" x14ac:dyDescent="0.3">
      <c r="A9" s="1159" t="s">
        <v>20</v>
      </c>
      <c r="B9" s="1160" t="s">
        <v>21</v>
      </c>
      <c r="C9" s="1161" t="s">
        <v>253</v>
      </c>
      <c r="D9" s="1167">
        <v>93898.886969999992</v>
      </c>
      <c r="E9" s="1168">
        <v>125276.41303000001</v>
      </c>
      <c r="F9" s="1163"/>
      <c r="G9" s="1163"/>
      <c r="H9" s="1164">
        <f t="shared" si="2"/>
        <v>219175.3</v>
      </c>
      <c r="I9" s="1165">
        <f t="shared" si="3"/>
        <v>0</v>
      </c>
    </row>
    <row r="10" spans="1:9" s="1166" customFormat="1" ht="12.75" customHeight="1" x14ac:dyDescent="0.3">
      <c r="A10" s="1159" t="s">
        <v>22</v>
      </c>
      <c r="B10" s="1160" t="s">
        <v>23</v>
      </c>
      <c r="C10" s="1161" t="s">
        <v>253</v>
      </c>
      <c r="D10" s="1169">
        <v>52182.121800000001</v>
      </c>
      <c r="E10" s="1170">
        <v>72973.878200000006</v>
      </c>
      <c r="F10" s="1163"/>
      <c r="G10" s="1163"/>
      <c r="H10" s="1164">
        <f t="shared" si="2"/>
        <v>125156</v>
      </c>
      <c r="I10" s="1165">
        <f t="shared" si="3"/>
        <v>0</v>
      </c>
    </row>
    <row r="11" spans="1:9" s="1166" customFormat="1" ht="12.75" customHeight="1" x14ac:dyDescent="0.3">
      <c r="A11" s="1159" t="s">
        <v>24</v>
      </c>
      <c r="B11" s="1160" t="s">
        <v>25</v>
      </c>
      <c r="C11" s="1161" t="s">
        <v>255</v>
      </c>
      <c r="D11" s="1169">
        <v>188541.62991000002</v>
      </c>
      <c r="E11" s="1170">
        <v>300362.67009000003</v>
      </c>
      <c r="F11" s="1163"/>
      <c r="G11" s="1163"/>
      <c r="H11" s="1164">
        <f t="shared" si="2"/>
        <v>488904.30000000005</v>
      </c>
      <c r="I11" s="1165">
        <f t="shared" si="3"/>
        <v>0</v>
      </c>
    </row>
    <row r="12" spans="1:9" s="1166" customFormat="1" ht="12.75" customHeight="1" x14ac:dyDescent="0.3">
      <c r="A12" s="1159" t="s">
        <v>26</v>
      </c>
      <c r="B12" s="1160" t="s">
        <v>547</v>
      </c>
      <c r="C12" s="1161" t="s">
        <v>253</v>
      </c>
      <c r="D12" s="1169">
        <v>624962.21984100004</v>
      </c>
      <c r="E12" s="1170">
        <v>868380.37015900016</v>
      </c>
      <c r="F12" s="1163"/>
      <c r="G12" s="1163"/>
      <c r="H12" s="1164">
        <f t="shared" si="2"/>
        <v>1493342.5900000003</v>
      </c>
      <c r="I12" s="1165">
        <f t="shared" si="3"/>
        <v>0</v>
      </c>
    </row>
    <row r="13" spans="1:9" s="1166" customFormat="1" ht="12.75" customHeight="1" x14ac:dyDescent="0.3">
      <c r="A13" s="1159" t="s">
        <v>27</v>
      </c>
      <c r="B13" s="1160" t="s">
        <v>28</v>
      </c>
      <c r="C13" s="1161" t="s">
        <v>253</v>
      </c>
      <c r="D13" s="1167">
        <v>9548.9387999999999</v>
      </c>
      <c r="E13" s="1168">
        <v>12663.061200000002</v>
      </c>
      <c r="F13" s="1163"/>
      <c r="G13" s="1163"/>
      <c r="H13" s="1164">
        <f t="shared" si="2"/>
        <v>22212</v>
      </c>
      <c r="I13" s="1165">
        <f t="shared" si="3"/>
        <v>0</v>
      </c>
    </row>
    <row r="14" spans="1:9" s="1166" customFormat="1" ht="12.75" customHeight="1" x14ac:dyDescent="0.3">
      <c r="A14" s="1159" t="s">
        <v>29</v>
      </c>
      <c r="B14" s="1160" t="s">
        <v>736</v>
      </c>
      <c r="C14" s="1161" t="s">
        <v>253</v>
      </c>
      <c r="D14" s="1169">
        <v>160710.89267999999</v>
      </c>
      <c r="E14" s="1170">
        <v>224753.30731999999</v>
      </c>
      <c r="F14" s="1163"/>
      <c r="G14" s="1163"/>
      <c r="H14" s="1164">
        <f t="shared" si="2"/>
        <v>385464.19999999995</v>
      </c>
      <c r="I14" s="1165">
        <f t="shared" si="3"/>
        <v>0</v>
      </c>
    </row>
    <row r="15" spans="1:9" s="1166" customFormat="1" ht="12.75" customHeight="1" x14ac:dyDescent="0.3">
      <c r="A15" s="1159" t="s">
        <v>30</v>
      </c>
      <c r="B15" s="1160" t="s">
        <v>31</v>
      </c>
      <c r="C15" s="1161" t="s">
        <v>256</v>
      </c>
      <c r="D15" s="1167">
        <v>15998.728499999999</v>
      </c>
      <c r="E15" s="1168">
        <v>25776.271500000003</v>
      </c>
      <c r="F15" s="1163"/>
      <c r="G15" s="1163"/>
      <c r="H15" s="1164">
        <f t="shared" si="2"/>
        <v>41775</v>
      </c>
      <c r="I15" s="1165">
        <f t="shared" si="3"/>
        <v>0</v>
      </c>
    </row>
    <row r="16" spans="1:9" s="1166" customFormat="1" ht="12.75" customHeight="1" x14ac:dyDescent="0.3">
      <c r="A16" s="1159" t="s">
        <v>32</v>
      </c>
      <c r="B16" s="1160" t="s">
        <v>33</v>
      </c>
      <c r="C16" s="1161" t="s">
        <v>253</v>
      </c>
      <c r="D16" s="1167">
        <v>44146.259040000004</v>
      </c>
      <c r="E16" s="1168">
        <v>66250.340960000001</v>
      </c>
      <c r="F16" s="1163"/>
      <c r="G16" s="1163"/>
      <c r="H16" s="1164">
        <f t="shared" si="2"/>
        <v>110396.6</v>
      </c>
      <c r="I16" s="1165">
        <f t="shared" si="3"/>
        <v>0</v>
      </c>
    </row>
    <row r="17" spans="1:9" s="1166" customFormat="1" ht="12.75" customHeight="1" x14ac:dyDescent="0.3">
      <c r="A17" s="1159" t="s">
        <v>36</v>
      </c>
      <c r="B17" s="1160" t="s">
        <v>37</v>
      </c>
      <c r="C17" s="1161" t="s">
        <v>252</v>
      </c>
      <c r="D17" s="1167">
        <v>79909.382100000003</v>
      </c>
      <c r="E17" s="1168">
        <v>111298.61790000001</v>
      </c>
      <c r="F17" s="1163"/>
      <c r="G17" s="1163"/>
      <c r="H17" s="1164">
        <f t="shared" si="2"/>
        <v>191208</v>
      </c>
      <c r="I17" s="1165">
        <f t="shared" si="3"/>
        <v>0</v>
      </c>
    </row>
    <row r="18" spans="1:9" s="1166" customFormat="1" ht="12.75" customHeight="1" x14ac:dyDescent="0.3">
      <c r="A18" s="1159" t="s">
        <v>38</v>
      </c>
      <c r="B18" s="1160" t="s">
        <v>39</v>
      </c>
      <c r="C18" s="1161" t="s">
        <v>256</v>
      </c>
      <c r="D18" s="1169">
        <v>134532.60507000002</v>
      </c>
      <c r="E18" s="1170">
        <v>189849.69493000006</v>
      </c>
      <c r="F18" s="1163"/>
      <c r="G18" s="1163"/>
      <c r="H18" s="1164">
        <f t="shared" si="2"/>
        <v>324382.30000000005</v>
      </c>
      <c r="I18" s="1165">
        <f t="shared" si="3"/>
        <v>0</v>
      </c>
    </row>
    <row r="19" spans="1:9" s="1166" customFormat="1" ht="12.75" customHeight="1" x14ac:dyDescent="0.3">
      <c r="A19" s="1159" t="s">
        <v>40</v>
      </c>
      <c r="B19" s="1160" t="s">
        <v>41</v>
      </c>
      <c r="C19" s="1161" t="s">
        <v>254</v>
      </c>
      <c r="D19" s="1169">
        <v>53472.621413999994</v>
      </c>
      <c r="E19" s="1170">
        <v>77877.238585999992</v>
      </c>
      <c r="F19" s="1163"/>
      <c r="G19" s="1163"/>
      <c r="H19" s="1164">
        <f t="shared" si="2"/>
        <v>131349.85999999999</v>
      </c>
      <c r="I19" s="1165">
        <f t="shared" si="3"/>
        <v>0</v>
      </c>
    </row>
    <row r="20" spans="1:9" s="1166" customFormat="1" ht="12.75" customHeight="1" x14ac:dyDescent="0.3">
      <c r="A20" s="1159" t="s">
        <v>42</v>
      </c>
      <c r="B20" s="1160" t="s">
        <v>43</v>
      </c>
      <c r="C20" s="1161" t="s">
        <v>253</v>
      </c>
      <c r="D20" s="1169">
        <v>164945.657022</v>
      </c>
      <c r="E20" s="1170">
        <v>267894.82297799998</v>
      </c>
      <c r="F20" s="1163"/>
      <c r="G20" s="1163"/>
      <c r="H20" s="1164">
        <f t="shared" si="2"/>
        <v>432840.48</v>
      </c>
      <c r="I20" s="1165">
        <f t="shared" si="3"/>
        <v>0</v>
      </c>
    </row>
    <row r="21" spans="1:9" s="1166" customFormat="1" ht="12.75" customHeight="1" x14ac:dyDescent="0.3">
      <c r="A21" s="1159" t="s">
        <v>44</v>
      </c>
      <c r="B21" s="1160" t="s">
        <v>45</v>
      </c>
      <c r="C21" s="1161" t="s">
        <v>254</v>
      </c>
      <c r="D21" s="1169">
        <v>130450.91952000002</v>
      </c>
      <c r="E21" s="1170">
        <v>191523.88048000005</v>
      </c>
      <c r="F21" s="1163"/>
      <c r="G21" s="1163"/>
      <c r="H21" s="1164">
        <f t="shared" si="2"/>
        <v>321974.80000000005</v>
      </c>
      <c r="I21" s="1165">
        <f t="shared" si="3"/>
        <v>0</v>
      </c>
    </row>
    <row r="22" spans="1:9" s="1166" customFormat="1" ht="12.75" customHeight="1" x14ac:dyDescent="0.3">
      <c r="A22" s="1159" t="s">
        <v>46</v>
      </c>
      <c r="B22" s="1160" t="s">
        <v>47</v>
      </c>
      <c r="C22" s="1161" t="s">
        <v>256</v>
      </c>
      <c r="D22" s="1169">
        <v>106549.51128000001</v>
      </c>
      <c r="E22" s="1170">
        <v>166411.68872000001</v>
      </c>
      <c r="F22" s="1163"/>
      <c r="G22" s="1163"/>
      <c r="H22" s="1164">
        <f t="shared" si="2"/>
        <v>272961.2</v>
      </c>
      <c r="I22" s="1165">
        <f t="shared" si="3"/>
        <v>0</v>
      </c>
    </row>
    <row r="23" spans="1:9" s="1166" customFormat="1" ht="12.75" customHeight="1" x14ac:dyDescent="0.3">
      <c r="A23" s="1159" t="s">
        <v>48</v>
      </c>
      <c r="B23" s="1160" t="s">
        <v>257</v>
      </c>
      <c r="C23" s="1161" t="s">
        <v>254</v>
      </c>
      <c r="D23" s="1167">
        <v>16729.1286</v>
      </c>
      <c r="E23" s="1168">
        <v>24088.871400000004</v>
      </c>
      <c r="F23" s="1163"/>
      <c r="G23" s="1163"/>
      <c r="H23" s="1164">
        <f t="shared" si="2"/>
        <v>40818</v>
      </c>
      <c r="I23" s="1165">
        <f t="shared" si="3"/>
        <v>0</v>
      </c>
    </row>
    <row r="24" spans="1:9" s="1166" customFormat="1" ht="12.75" customHeight="1" x14ac:dyDescent="0.3">
      <c r="A24" s="1159" t="s">
        <v>50</v>
      </c>
      <c r="B24" s="1160" t="s">
        <v>51</v>
      </c>
      <c r="C24" s="1161" t="s">
        <v>253</v>
      </c>
      <c r="D24" s="1169">
        <v>58459.951500000003</v>
      </c>
      <c r="E24" s="1170">
        <v>84485.048500000004</v>
      </c>
      <c r="F24" s="1163"/>
      <c r="G24" s="1163"/>
      <c r="H24" s="1164">
        <f t="shared" si="2"/>
        <v>142945</v>
      </c>
      <c r="I24" s="1165">
        <f t="shared" si="3"/>
        <v>0</v>
      </c>
    </row>
    <row r="25" spans="1:9" s="1166" customFormat="1" ht="12.75" customHeight="1" x14ac:dyDescent="0.3">
      <c r="A25" s="1159" t="s">
        <v>56</v>
      </c>
      <c r="B25" s="1160" t="s">
        <v>283</v>
      </c>
      <c r="C25" s="1161" t="s">
        <v>254</v>
      </c>
      <c r="D25" s="1169">
        <v>733626.993885</v>
      </c>
      <c r="E25" s="1170">
        <v>1029692.1561150001</v>
      </c>
      <c r="F25" s="1163"/>
      <c r="G25" s="1163"/>
      <c r="H25" s="1164">
        <f t="shared" si="2"/>
        <v>1763319.1500000001</v>
      </c>
      <c r="I25" s="1165">
        <f t="shared" si="3"/>
        <v>0</v>
      </c>
    </row>
    <row r="26" spans="1:9" s="1166" customFormat="1" ht="12.75" customHeight="1" x14ac:dyDescent="0.3">
      <c r="A26" s="1159" t="s">
        <v>58</v>
      </c>
      <c r="B26" s="1160" t="s">
        <v>59</v>
      </c>
      <c r="C26" s="1161" t="s">
        <v>255</v>
      </c>
      <c r="D26" s="1167">
        <v>12667.863300000001</v>
      </c>
      <c r="E26" s="1168">
        <v>16799.136700000003</v>
      </c>
      <c r="F26" s="1163"/>
      <c r="G26" s="1163"/>
      <c r="H26" s="1164">
        <f t="shared" si="2"/>
        <v>29467.000000000004</v>
      </c>
      <c r="I26" s="1165">
        <f t="shared" si="3"/>
        <v>0</v>
      </c>
    </row>
    <row r="27" spans="1:9" s="1166" customFormat="1" ht="12.75" customHeight="1" x14ac:dyDescent="0.3">
      <c r="A27" s="1159" t="s">
        <v>60</v>
      </c>
      <c r="B27" s="1160" t="s">
        <v>61</v>
      </c>
      <c r="C27" s="1161" t="s">
        <v>253</v>
      </c>
      <c r="D27" s="1167">
        <v>11961.967500000001</v>
      </c>
      <c r="E27" s="1168">
        <v>15863.032500000001</v>
      </c>
      <c r="F27" s="1163"/>
      <c r="G27" s="1163"/>
      <c r="H27" s="1164">
        <f t="shared" si="2"/>
        <v>27825</v>
      </c>
      <c r="I27" s="1165">
        <f t="shared" si="3"/>
        <v>0</v>
      </c>
    </row>
    <row r="28" spans="1:9" s="1166" customFormat="1" ht="12.75" customHeight="1" x14ac:dyDescent="0.3">
      <c r="A28" s="1159" t="s">
        <v>62</v>
      </c>
      <c r="B28" s="1160" t="s">
        <v>63</v>
      </c>
      <c r="C28" s="1161" t="s">
        <v>255</v>
      </c>
      <c r="D28" s="1169">
        <v>122176.60842599999</v>
      </c>
      <c r="E28" s="1170">
        <v>182258.131574</v>
      </c>
      <c r="F28" s="1163"/>
      <c r="G28" s="1163"/>
      <c r="H28" s="1164">
        <f t="shared" si="2"/>
        <v>304434.74</v>
      </c>
      <c r="I28" s="1165">
        <f t="shared" si="3"/>
        <v>0</v>
      </c>
    </row>
    <row r="29" spans="1:9" s="1166" customFormat="1" ht="12.75" customHeight="1" x14ac:dyDescent="0.3">
      <c r="A29" s="1159" t="s">
        <v>64</v>
      </c>
      <c r="B29" s="1160" t="s">
        <v>65</v>
      </c>
      <c r="C29" s="1161" t="s">
        <v>254</v>
      </c>
      <c r="D29" s="1169">
        <v>63052.29806400001</v>
      </c>
      <c r="E29" s="1170">
        <v>85402.061936000013</v>
      </c>
      <c r="F29" s="1163"/>
      <c r="G29" s="1163"/>
      <c r="H29" s="1164">
        <f t="shared" si="2"/>
        <v>148454.36000000002</v>
      </c>
      <c r="I29" s="1165">
        <f t="shared" si="3"/>
        <v>0</v>
      </c>
    </row>
    <row r="30" spans="1:9" s="1166" customFormat="1" ht="12.75" customHeight="1" x14ac:dyDescent="0.3">
      <c r="A30" s="1159" t="s">
        <v>68</v>
      </c>
      <c r="B30" s="1160" t="s">
        <v>69</v>
      </c>
      <c r="C30" s="1161" t="s">
        <v>256</v>
      </c>
      <c r="D30" s="1169">
        <v>58042.0887</v>
      </c>
      <c r="E30" s="1170">
        <v>80860.911300000007</v>
      </c>
      <c r="F30" s="1163"/>
      <c r="G30" s="1163"/>
      <c r="H30" s="1164">
        <f t="shared" si="2"/>
        <v>138903</v>
      </c>
      <c r="I30" s="1165">
        <f t="shared" si="3"/>
        <v>0</v>
      </c>
    </row>
    <row r="31" spans="1:9" s="1166" customFormat="1" ht="12.75" customHeight="1" x14ac:dyDescent="0.3">
      <c r="A31" s="1159" t="s">
        <v>70</v>
      </c>
      <c r="B31" s="1160" t="s">
        <v>71</v>
      </c>
      <c r="C31" s="1161" t="s">
        <v>252</v>
      </c>
      <c r="D31" s="1169">
        <v>71590.443087000007</v>
      </c>
      <c r="E31" s="1170">
        <v>95625.686913000012</v>
      </c>
      <c r="F31" s="1163"/>
      <c r="G31" s="1163"/>
      <c r="H31" s="1164">
        <f t="shared" si="2"/>
        <v>167216.13</v>
      </c>
      <c r="I31" s="1165">
        <f t="shared" si="3"/>
        <v>0</v>
      </c>
    </row>
    <row r="32" spans="1:9" s="1166" customFormat="1" ht="12.75" customHeight="1" x14ac:dyDescent="0.3">
      <c r="A32" s="1159" t="s">
        <v>72</v>
      </c>
      <c r="B32" s="1160" t="s">
        <v>73</v>
      </c>
      <c r="C32" s="1161" t="s">
        <v>254</v>
      </c>
      <c r="D32" s="1167">
        <v>65559.320099999997</v>
      </c>
      <c r="E32" s="1168">
        <v>96941.679900000003</v>
      </c>
      <c r="F32" s="1163"/>
      <c r="G32" s="1163"/>
      <c r="H32" s="1164">
        <f t="shared" si="2"/>
        <v>162501</v>
      </c>
      <c r="I32" s="1165">
        <f t="shared" si="3"/>
        <v>0</v>
      </c>
    </row>
    <row r="33" spans="1:9" s="1166" customFormat="1" ht="12.75" customHeight="1" x14ac:dyDescent="0.3">
      <c r="A33" s="1159" t="s">
        <v>74</v>
      </c>
      <c r="B33" s="1160" t="s">
        <v>525</v>
      </c>
      <c r="C33" s="1161" t="s">
        <v>255</v>
      </c>
      <c r="D33" s="1169">
        <v>1086195.2620919999</v>
      </c>
      <c r="E33" s="1170">
        <v>2213337.7979080002</v>
      </c>
      <c r="F33" s="1163"/>
      <c r="G33" s="1163"/>
      <c r="H33" s="1164">
        <f t="shared" si="2"/>
        <v>3299533.06</v>
      </c>
      <c r="I33" s="1165">
        <f t="shared" si="3"/>
        <v>0</v>
      </c>
    </row>
    <row r="34" spans="1:9" s="1166" customFormat="1" ht="12.75" customHeight="1" x14ac:dyDescent="0.3">
      <c r="A34" s="1159" t="s">
        <v>76</v>
      </c>
      <c r="B34" s="1160" t="s">
        <v>77</v>
      </c>
      <c r="C34" s="1161" t="s">
        <v>255</v>
      </c>
      <c r="D34" s="1169">
        <v>112093.32972000002</v>
      </c>
      <c r="E34" s="1170">
        <v>154066.47028000004</v>
      </c>
      <c r="F34" s="1163"/>
      <c r="G34" s="1163"/>
      <c r="H34" s="1164">
        <f t="shared" si="2"/>
        <v>266159.80000000005</v>
      </c>
      <c r="I34" s="1165">
        <f t="shared" si="3"/>
        <v>0</v>
      </c>
    </row>
    <row r="35" spans="1:9" s="1166" customFormat="1" ht="12.75" customHeight="1" x14ac:dyDescent="0.3">
      <c r="A35" s="1159" t="s">
        <v>78</v>
      </c>
      <c r="B35" s="1160" t="s">
        <v>79</v>
      </c>
      <c r="C35" s="1161" t="s">
        <v>256</v>
      </c>
      <c r="D35" s="1167">
        <v>45273.087126000006</v>
      </c>
      <c r="E35" s="1168">
        <v>71868.652874000021</v>
      </c>
      <c r="F35" s="1163"/>
      <c r="G35" s="1163"/>
      <c r="H35" s="1164">
        <f t="shared" si="2"/>
        <v>117141.74000000002</v>
      </c>
      <c r="I35" s="1165">
        <f t="shared" si="3"/>
        <v>0</v>
      </c>
    </row>
    <row r="36" spans="1:9" s="1166" customFormat="1" ht="12.75" customHeight="1" x14ac:dyDescent="0.3">
      <c r="A36" s="1159" t="s">
        <v>80</v>
      </c>
      <c r="B36" s="1160" t="s">
        <v>81</v>
      </c>
      <c r="C36" s="1161" t="s">
        <v>254</v>
      </c>
      <c r="D36" s="1169">
        <v>43983.498899999999</v>
      </c>
      <c r="E36" s="1170">
        <v>58327.501100000009</v>
      </c>
      <c r="F36" s="1163"/>
      <c r="G36" s="1163"/>
      <c r="H36" s="1164">
        <f t="shared" si="2"/>
        <v>102311</v>
      </c>
      <c r="I36" s="1165">
        <f t="shared" si="3"/>
        <v>0</v>
      </c>
    </row>
    <row r="37" spans="1:9" s="1166" customFormat="1" ht="12.75" customHeight="1" x14ac:dyDescent="0.3">
      <c r="A37" s="1159" t="s">
        <v>84</v>
      </c>
      <c r="B37" s="1160" t="s">
        <v>296</v>
      </c>
      <c r="C37" s="1161" t="s">
        <v>253</v>
      </c>
      <c r="D37" s="1169">
        <v>169450.93164</v>
      </c>
      <c r="E37" s="1170">
        <v>233381.66836000001</v>
      </c>
      <c r="F37" s="1163"/>
      <c r="G37" s="1163"/>
      <c r="H37" s="1164">
        <f t="shared" ref="H37:H68" si="4">SUM(D37:G37)</f>
        <v>402832.6</v>
      </c>
      <c r="I37" s="1165">
        <f t="shared" ref="I37:I68" si="5">F37+G37</f>
        <v>0</v>
      </c>
    </row>
    <row r="38" spans="1:9" s="1166" customFormat="1" ht="12.75" customHeight="1" x14ac:dyDescent="0.3">
      <c r="A38" s="1159" t="s">
        <v>86</v>
      </c>
      <c r="B38" s="1160" t="s">
        <v>87</v>
      </c>
      <c r="C38" s="1161" t="s">
        <v>255</v>
      </c>
      <c r="D38" s="1167">
        <v>92745.92096399999</v>
      </c>
      <c r="E38" s="1168">
        <v>137675.439036</v>
      </c>
      <c r="F38" s="1163"/>
      <c r="G38" s="1163"/>
      <c r="H38" s="1164">
        <f t="shared" si="4"/>
        <v>230421.36</v>
      </c>
      <c r="I38" s="1165">
        <f t="shared" si="5"/>
        <v>0</v>
      </c>
    </row>
    <row r="39" spans="1:9" s="1166" customFormat="1" ht="12.75" customHeight="1" x14ac:dyDescent="0.3">
      <c r="A39" s="1159" t="s">
        <v>92</v>
      </c>
      <c r="B39" s="1160" t="s">
        <v>93</v>
      </c>
      <c r="C39" s="1161" t="s">
        <v>256</v>
      </c>
      <c r="D39" s="1169">
        <v>72661.698000000004</v>
      </c>
      <c r="E39" s="1170">
        <v>97798.302000000011</v>
      </c>
      <c r="F39" s="1163"/>
      <c r="G39" s="1163"/>
      <c r="H39" s="1164">
        <f t="shared" si="4"/>
        <v>170460</v>
      </c>
      <c r="I39" s="1165">
        <f t="shared" si="5"/>
        <v>0</v>
      </c>
    </row>
    <row r="40" spans="1:9" s="1166" customFormat="1" ht="12.75" customHeight="1" x14ac:dyDescent="0.3">
      <c r="A40" s="1159" t="s">
        <v>94</v>
      </c>
      <c r="B40" s="1160" t="s">
        <v>95</v>
      </c>
      <c r="C40" s="1161" t="s">
        <v>252</v>
      </c>
      <c r="D40" s="1167">
        <v>97793.247894000015</v>
      </c>
      <c r="E40" s="1168">
        <v>140301.81210600003</v>
      </c>
      <c r="F40" s="1163"/>
      <c r="G40" s="1163"/>
      <c r="H40" s="1164">
        <f t="shared" si="4"/>
        <v>238095.06000000006</v>
      </c>
      <c r="I40" s="1165">
        <f t="shared" si="5"/>
        <v>0</v>
      </c>
    </row>
    <row r="41" spans="1:9" s="1166" customFormat="1" ht="12.75" customHeight="1" x14ac:dyDescent="0.3">
      <c r="A41" s="1159" t="s">
        <v>96</v>
      </c>
      <c r="B41" s="1160" t="s">
        <v>97</v>
      </c>
      <c r="C41" s="1161" t="s">
        <v>254</v>
      </c>
      <c r="D41" s="1167">
        <v>20486.746932000002</v>
      </c>
      <c r="E41" s="1168">
        <v>27167.933068000002</v>
      </c>
      <c r="F41" s="1163"/>
      <c r="G41" s="1163"/>
      <c r="H41" s="1164">
        <f t="shared" si="4"/>
        <v>47654.680000000008</v>
      </c>
      <c r="I41" s="1165">
        <f t="shared" si="5"/>
        <v>0</v>
      </c>
    </row>
    <row r="42" spans="1:9" s="1166" customFormat="1" ht="12.75" customHeight="1" x14ac:dyDescent="0.3">
      <c r="A42" s="1159" t="s">
        <v>98</v>
      </c>
      <c r="B42" s="1160" t="s">
        <v>99</v>
      </c>
      <c r="C42" s="1161" t="s">
        <v>256</v>
      </c>
      <c r="D42" s="1167">
        <v>43340.282520000001</v>
      </c>
      <c r="E42" s="1168">
        <v>59811.51748000001</v>
      </c>
      <c r="F42" s="1163"/>
      <c r="G42" s="1163"/>
      <c r="H42" s="1164">
        <f t="shared" si="4"/>
        <v>103151.80000000002</v>
      </c>
      <c r="I42" s="1165">
        <f t="shared" si="5"/>
        <v>0</v>
      </c>
    </row>
    <row r="43" spans="1:9" s="1166" customFormat="1" ht="12.75" customHeight="1" x14ac:dyDescent="0.3">
      <c r="A43" s="1159" t="s">
        <v>100</v>
      </c>
      <c r="B43" s="1160" t="s">
        <v>101</v>
      </c>
      <c r="C43" s="1161" t="s">
        <v>255</v>
      </c>
      <c r="D43" s="1167">
        <v>56945.663142000005</v>
      </c>
      <c r="E43" s="1168">
        <v>79803.916858000011</v>
      </c>
      <c r="F43" s="1163"/>
      <c r="G43" s="1163"/>
      <c r="H43" s="1164">
        <f t="shared" si="4"/>
        <v>136749.58000000002</v>
      </c>
      <c r="I43" s="1165">
        <f t="shared" si="5"/>
        <v>0</v>
      </c>
    </row>
    <row r="44" spans="1:9" s="1166" customFormat="1" ht="12.75" customHeight="1" x14ac:dyDescent="0.3">
      <c r="A44" s="1159" t="s">
        <v>102</v>
      </c>
      <c r="B44" s="1160" t="s">
        <v>103</v>
      </c>
      <c r="C44" s="1161" t="s">
        <v>252</v>
      </c>
      <c r="D44" s="1167">
        <v>119393.71956</v>
      </c>
      <c r="E44" s="1168">
        <v>171750.68044000003</v>
      </c>
      <c r="F44" s="1163"/>
      <c r="G44" s="1163"/>
      <c r="H44" s="1164">
        <f t="shared" si="4"/>
        <v>291144.40000000002</v>
      </c>
      <c r="I44" s="1165">
        <f t="shared" si="5"/>
        <v>0</v>
      </c>
    </row>
    <row r="45" spans="1:9" s="1166" customFormat="1" ht="12.75" customHeight="1" x14ac:dyDescent="0.3">
      <c r="A45" s="1159" t="s">
        <v>104</v>
      </c>
      <c r="B45" s="1160" t="s">
        <v>297</v>
      </c>
      <c r="C45" s="1161" t="s">
        <v>253</v>
      </c>
      <c r="D45" s="1169">
        <v>132087.55741800001</v>
      </c>
      <c r="E45" s="1170">
        <v>194717.26258200002</v>
      </c>
      <c r="F45" s="1163"/>
      <c r="G45" s="1163"/>
      <c r="H45" s="1164">
        <f t="shared" si="4"/>
        <v>326804.82000000007</v>
      </c>
      <c r="I45" s="1165">
        <f t="shared" si="5"/>
        <v>0</v>
      </c>
    </row>
    <row r="46" spans="1:9" s="1166" customFormat="1" ht="12.75" customHeight="1" x14ac:dyDescent="0.3">
      <c r="A46" s="1159" t="s">
        <v>108</v>
      </c>
      <c r="B46" s="1160" t="s">
        <v>109</v>
      </c>
      <c r="C46" s="1161" t="s">
        <v>254</v>
      </c>
      <c r="D46" s="1169">
        <v>123320.97213299999</v>
      </c>
      <c r="E46" s="1170">
        <v>183708.69786700001</v>
      </c>
      <c r="F46" s="1163"/>
      <c r="G46" s="1163"/>
      <c r="H46" s="1164">
        <f t="shared" si="4"/>
        <v>307029.67</v>
      </c>
      <c r="I46" s="1165">
        <f t="shared" si="5"/>
        <v>0</v>
      </c>
    </row>
    <row r="47" spans="1:9" s="1166" customFormat="1" ht="12.75" customHeight="1" x14ac:dyDescent="0.3">
      <c r="A47" s="1159" t="s">
        <v>110</v>
      </c>
      <c r="B47" s="1160" t="s">
        <v>111</v>
      </c>
      <c r="C47" s="1161" t="s">
        <v>254</v>
      </c>
      <c r="D47" s="1169">
        <v>971129.01480900007</v>
      </c>
      <c r="E47" s="1170">
        <v>1557637.8951910003</v>
      </c>
      <c r="F47" s="1163"/>
      <c r="G47" s="1163"/>
      <c r="H47" s="1164">
        <f t="shared" si="4"/>
        <v>2528766.91</v>
      </c>
      <c r="I47" s="1165">
        <f t="shared" si="5"/>
        <v>0</v>
      </c>
    </row>
    <row r="48" spans="1:9" s="1166" customFormat="1" ht="12.75" customHeight="1" x14ac:dyDescent="0.3">
      <c r="A48" s="1159" t="s">
        <v>112</v>
      </c>
      <c r="B48" s="1160" t="s">
        <v>288</v>
      </c>
      <c r="C48" s="1161" t="s">
        <v>253</v>
      </c>
      <c r="D48" s="1169">
        <v>352589.57834999997</v>
      </c>
      <c r="E48" s="1170">
        <v>502980.92165000003</v>
      </c>
      <c r="F48" s="1163"/>
      <c r="G48" s="1163"/>
      <c r="H48" s="1164">
        <f t="shared" si="4"/>
        <v>855570.5</v>
      </c>
      <c r="I48" s="1165">
        <f t="shared" si="5"/>
        <v>0</v>
      </c>
    </row>
    <row r="49" spans="1:9" s="1166" customFormat="1" ht="12.75" customHeight="1" x14ac:dyDescent="0.3">
      <c r="A49" s="1159" t="s">
        <v>114</v>
      </c>
      <c r="B49" s="1160" t="s">
        <v>115</v>
      </c>
      <c r="C49" s="1161" t="s">
        <v>253</v>
      </c>
      <c r="D49" s="1167">
        <v>1304.7465</v>
      </c>
      <c r="E49" s="1168">
        <v>1730.2535000000003</v>
      </c>
      <c r="F49" s="1163"/>
      <c r="G49" s="1163"/>
      <c r="H49" s="1164">
        <f t="shared" si="4"/>
        <v>3035</v>
      </c>
      <c r="I49" s="1165">
        <f t="shared" si="5"/>
        <v>0</v>
      </c>
    </row>
    <row r="50" spans="1:9" s="1166" customFormat="1" ht="12.75" customHeight="1" x14ac:dyDescent="0.3">
      <c r="A50" s="1159" t="s">
        <v>118</v>
      </c>
      <c r="B50" s="1160" t="s">
        <v>119</v>
      </c>
      <c r="C50" s="1161" t="s">
        <v>252</v>
      </c>
      <c r="D50" s="1169">
        <v>91120.778592000002</v>
      </c>
      <c r="E50" s="1170">
        <v>127346.30140800001</v>
      </c>
      <c r="F50" s="1163"/>
      <c r="G50" s="1163"/>
      <c r="H50" s="1164">
        <f t="shared" si="4"/>
        <v>218467.08000000002</v>
      </c>
      <c r="I50" s="1165">
        <f t="shared" si="5"/>
        <v>0</v>
      </c>
    </row>
    <row r="51" spans="1:9" s="1166" customFormat="1" ht="12.75" customHeight="1" x14ac:dyDescent="0.3">
      <c r="A51" s="1159" t="s">
        <v>120</v>
      </c>
      <c r="B51" s="1160" t="s">
        <v>121</v>
      </c>
      <c r="C51" s="1161" t="s">
        <v>252</v>
      </c>
      <c r="D51" s="1169">
        <v>152521.64589900002</v>
      </c>
      <c r="E51" s="1170">
        <v>237409.36410100004</v>
      </c>
      <c r="F51" s="1163"/>
      <c r="G51" s="1163"/>
      <c r="H51" s="1164">
        <f t="shared" si="4"/>
        <v>389931.01000000007</v>
      </c>
      <c r="I51" s="1165">
        <f t="shared" si="5"/>
        <v>0</v>
      </c>
    </row>
    <row r="52" spans="1:9" s="1166" customFormat="1" ht="12.75" customHeight="1" x14ac:dyDescent="0.3">
      <c r="A52" s="1159" t="s">
        <v>122</v>
      </c>
      <c r="B52" s="1160" t="s">
        <v>259</v>
      </c>
      <c r="C52" s="1161" t="s">
        <v>254</v>
      </c>
      <c r="D52" s="1167">
        <v>28064.817779999998</v>
      </c>
      <c r="E52" s="1168">
        <v>37217.38222</v>
      </c>
      <c r="F52" s="1163"/>
      <c r="G52" s="1163"/>
      <c r="H52" s="1164">
        <f t="shared" si="4"/>
        <v>65282.2</v>
      </c>
      <c r="I52" s="1165">
        <f t="shared" si="5"/>
        <v>0</v>
      </c>
    </row>
    <row r="53" spans="1:9" s="1166" customFormat="1" ht="12.75" customHeight="1" x14ac:dyDescent="0.3">
      <c r="A53" s="1159" t="s">
        <v>124</v>
      </c>
      <c r="B53" s="1160" t="s">
        <v>125</v>
      </c>
      <c r="C53" s="1161" t="s">
        <v>255</v>
      </c>
      <c r="D53" s="1169">
        <v>61971.804600000003</v>
      </c>
      <c r="E53" s="1170">
        <v>93335.195400000011</v>
      </c>
      <c r="F53" s="1163"/>
      <c r="G53" s="1163"/>
      <c r="H53" s="1164">
        <f t="shared" si="4"/>
        <v>155307</v>
      </c>
      <c r="I53" s="1165">
        <f t="shared" si="5"/>
        <v>0</v>
      </c>
    </row>
    <row r="54" spans="1:9" s="1166" customFormat="1" ht="12.75" customHeight="1" x14ac:dyDescent="0.3">
      <c r="A54" s="1159" t="s">
        <v>126</v>
      </c>
      <c r="B54" s="1160" t="s">
        <v>127</v>
      </c>
      <c r="C54" s="1161" t="s">
        <v>254</v>
      </c>
      <c r="D54" s="1167">
        <v>31121.213325000001</v>
      </c>
      <c r="E54" s="1168">
        <v>41270.536675000003</v>
      </c>
      <c r="F54" s="1163"/>
      <c r="G54" s="1163"/>
      <c r="H54" s="1164">
        <f t="shared" si="4"/>
        <v>72391.75</v>
      </c>
      <c r="I54" s="1165">
        <f t="shared" si="5"/>
        <v>0</v>
      </c>
    </row>
    <row r="55" spans="1:9" s="1166" customFormat="1" ht="12.75" customHeight="1" x14ac:dyDescent="0.3">
      <c r="A55" s="1159" t="s">
        <v>128</v>
      </c>
      <c r="B55" s="1160" t="s">
        <v>129</v>
      </c>
      <c r="C55" s="1161" t="s">
        <v>254</v>
      </c>
      <c r="D55" s="1169">
        <v>45949.431599999996</v>
      </c>
      <c r="E55" s="1170">
        <v>65243.568399999996</v>
      </c>
      <c r="F55" s="1163"/>
      <c r="G55" s="1163"/>
      <c r="H55" s="1164">
        <f t="shared" si="4"/>
        <v>111193</v>
      </c>
      <c r="I55" s="1165">
        <f t="shared" si="5"/>
        <v>0</v>
      </c>
    </row>
    <row r="56" spans="1:9" s="1166" customFormat="1" ht="12.75" customHeight="1" x14ac:dyDescent="0.3">
      <c r="A56" s="1159" t="s">
        <v>130</v>
      </c>
      <c r="B56" s="1160" t="s">
        <v>131</v>
      </c>
      <c r="C56" s="1161" t="s">
        <v>256</v>
      </c>
      <c r="D56" s="1169">
        <v>235969.10070000001</v>
      </c>
      <c r="E56" s="1170">
        <v>365172.49930000002</v>
      </c>
      <c r="F56" s="1163"/>
      <c r="G56" s="1163"/>
      <c r="H56" s="1164">
        <f t="shared" si="4"/>
        <v>601141.60000000009</v>
      </c>
      <c r="I56" s="1165">
        <f t="shared" si="5"/>
        <v>0</v>
      </c>
    </row>
    <row r="57" spans="1:9" s="1166" customFormat="1" ht="12.75" customHeight="1" x14ac:dyDescent="0.3">
      <c r="A57" s="1159" t="s">
        <v>132</v>
      </c>
      <c r="B57" s="1160" t="s">
        <v>133</v>
      </c>
      <c r="C57" s="1161" t="s">
        <v>255</v>
      </c>
      <c r="D57" s="1169">
        <v>167553.48630900003</v>
      </c>
      <c r="E57" s="1170">
        <v>377764.42369100003</v>
      </c>
      <c r="F57" s="1163"/>
      <c r="G57" s="1163"/>
      <c r="H57" s="1164">
        <f t="shared" si="4"/>
        <v>545317.91</v>
      </c>
      <c r="I57" s="1165">
        <f t="shared" si="5"/>
        <v>0</v>
      </c>
    </row>
    <row r="58" spans="1:9" s="1166" customFormat="1" ht="12.75" customHeight="1" x14ac:dyDescent="0.3">
      <c r="A58" s="1159" t="s">
        <v>134</v>
      </c>
      <c r="B58" s="1160" t="s">
        <v>135</v>
      </c>
      <c r="C58" s="1161" t="s">
        <v>255</v>
      </c>
      <c r="D58" s="1169">
        <v>92178.771090000009</v>
      </c>
      <c r="E58" s="1170">
        <v>137409.32891000001</v>
      </c>
      <c r="F58" s="1163"/>
      <c r="G58" s="1163"/>
      <c r="H58" s="1164">
        <f t="shared" si="4"/>
        <v>229588.10000000003</v>
      </c>
      <c r="I58" s="1165">
        <f t="shared" si="5"/>
        <v>0</v>
      </c>
    </row>
    <row r="59" spans="1:9" s="1166" customFormat="1" ht="12.75" customHeight="1" x14ac:dyDescent="0.3">
      <c r="A59" s="1159" t="s">
        <v>136</v>
      </c>
      <c r="B59" s="1160" t="s">
        <v>137</v>
      </c>
      <c r="C59" s="1161" t="s">
        <v>254</v>
      </c>
      <c r="D59" s="1167">
        <v>53529.8583</v>
      </c>
      <c r="E59" s="1168">
        <v>85169.141700000007</v>
      </c>
      <c r="F59" s="1163"/>
      <c r="G59" s="1163"/>
      <c r="H59" s="1164">
        <f t="shared" si="4"/>
        <v>138699</v>
      </c>
      <c r="I59" s="1165">
        <f t="shared" si="5"/>
        <v>0</v>
      </c>
    </row>
    <row r="60" spans="1:9" s="1166" customFormat="1" ht="12.75" customHeight="1" x14ac:dyDescent="0.3">
      <c r="A60" s="1159" t="s">
        <v>140</v>
      </c>
      <c r="B60" s="1160" t="s">
        <v>141</v>
      </c>
      <c r="C60" s="1161" t="s">
        <v>255</v>
      </c>
      <c r="D60" s="1169">
        <v>20233.6734</v>
      </c>
      <c r="E60" s="1170">
        <v>27963.326600000004</v>
      </c>
      <c r="F60" s="1163"/>
      <c r="G60" s="1163"/>
      <c r="H60" s="1164">
        <f t="shared" si="4"/>
        <v>48197</v>
      </c>
      <c r="I60" s="1165">
        <f t="shared" si="5"/>
        <v>0</v>
      </c>
    </row>
    <row r="61" spans="1:9" s="1166" customFormat="1" ht="12.75" customHeight="1" x14ac:dyDescent="0.3">
      <c r="A61" s="1159" t="s">
        <v>146</v>
      </c>
      <c r="B61" s="1160" t="s">
        <v>147</v>
      </c>
      <c r="C61" s="1161" t="s">
        <v>252</v>
      </c>
      <c r="D61" s="1167">
        <v>25167.2058</v>
      </c>
      <c r="E61" s="1168">
        <v>35782.794200000004</v>
      </c>
      <c r="F61" s="1163"/>
      <c r="G61" s="1163"/>
      <c r="H61" s="1164">
        <f t="shared" si="4"/>
        <v>60950</v>
      </c>
      <c r="I61" s="1165">
        <f t="shared" si="5"/>
        <v>0</v>
      </c>
    </row>
    <row r="62" spans="1:9" s="1166" customFormat="1" ht="12.75" customHeight="1" x14ac:dyDescent="0.3">
      <c r="A62" s="1159" t="s">
        <v>148</v>
      </c>
      <c r="B62" s="1160" t="s">
        <v>149</v>
      </c>
      <c r="C62" s="1161" t="s">
        <v>253</v>
      </c>
      <c r="D62" s="1169">
        <v>136312.17611999999</v>
      </c>
      <c r="E62" s="1170">
        <v>181588.62388</v>
      </c>
      <c r="F62" s="1163"/>
      <c r="G62" s="1163"/>
      <c r="H62" s="1164">
        <f t="shared" si="4"/>
        <v>317900.79999999999</v>
      </c>
      <c r="I62" s="1165">
        <f t="shared" si="5"/>
        <v>0</v>
      </c>
    </row>
    <row r="63" spans="1:9" s="1166" customFormat="1" ht="12.75" customHeight="1" x14ac:dyDescent="0.3">
      <c r="A63" s="1159" t="s">
        <v>150</v>
      </c>
      <c r="B63" s="1160" t="s">
        <v>151</v>
      </c>
      <c r="C63" s="1161" t="s">
        <v>254</v>
      </c>
      <c r="D63" s="1169">
        <v>50063.746560000014</v>
      </c>
      <c r="E63" s="1170">
        <v>68932.653440000024</v>
      </c>
      <c r="F63" s="1163"/>
      <c r="G63" s="1163"/>
      <c r="H63" s="1164">
        <f t="shared" si="4"/>
        <v>118996.40000000004</v>
      </c>
      <c r="I63" s="1165">
        <f t="shared" si="5"/>
        <v>0</v>
      </c>
    </row>
    <row r="64" spans="1:9" s="1166" customFormat="1" ht="12.75" customHeight="1" x14ac:dyDescent="0.3">
      <c r="A64" s="1159" t="s">
        <v>152</v>
      </c>
      <c r="B64" s="1160" t="s">
        <v>153</v>
      </c>
      <c r="C64" s="1161" t="s">
        <v>256</v>
      </c>
      <c r="D64" s="1169">
        <v>339814.71294</v>
      </c>
      <c r="E64" s="1170">
        <v>481037.88706000004</v>
      </c>
      <c r="F64" s="1163"/>
      <c r="G64" s="1163"/>
      <c r="H64" s="1164">
        <f t="shared" si="4"/>
        <v>820852.60000000009</v>
      </c>
      <c r="I64" s="1165">
        <f t="shared" si="5"/>
        <v>0</v>
      </c>
    </row>
    <row r="65" spans="1:9" s="1166" customFormat="1" ht="12.75" customHeight="1" x14ac:dyDescent="0.3">
      <c r="A65" s="1159" t="s">
        <v>154</v>
      </c>
      <c r="B65" s="1160" t="s">
        <v>155</v>
      </c>
      <c r="C65" s="1161" t="s">
        <v>253</v>
      </c>
      <c r="D65" s="1167">
        <v>36285.412869</v>
      </c>
      <c r="E65" s="1168">
        <v>48666.897131000005</v>
      </c>
      <c r="F65" s="1163"/>
      <c r="G65" s="1163"/>
      <c r="H65" s="1164">
        <f t="shared" si="4"/>
        <v>84952.31</v>
      </c>
      <c r="I65" s="1165">
        <f t="shared" si="5"/>
        <v>0</v>
      </c>
    </row>
    <row r="66" spans="1:9" s="1166" customFormat="1" ht="12.75" customHeight="1" x14ac:dyDescent="0.3">
      <c r="A66" s="1159" t="s">
        <v>156</v>
      </c>
      <c r="B66" s="1160" t="s">
        <v>157</v>
      </c>
      <c r="C66" s="1161" t="s">
        <v>254</v>
      </c>
      <c r="D66" s="1167">
        <v>31567.557000000001</v>
      </c>
      <c r="E66" s="1168">
        <v>44556.443000000007</v>
      </c>
      <c r="F66" s="1163"/>
      <c r="G66" s="1163"/>
      <c r="H66" s="1164">
        <f t="shared" si="4"/>
        <v>76124</v>
      </c>
      <c r="I66" s="1165">
        <f t="shared" si="5"/>
        <v>0</v>
      </c>
    </row>
    <row r="67" spans="1:9" s="1166" customFormat="1" ht="12.75" customHeight="1" x14ac:dyDescent="0.3">
      <c r="A67" s="1159" t="s">
        <v>162</v>
      </c>
      <c r="B67" s="1160" t="s">
        <v>163</v>
      </c>
      <c r="C67" s="1161" t="s">
        <v>252</v>
      </c>
      <c r="D67" s="1167">
        <v>37184.157509999997</v>
      </c>
      <c r="E67" s="1168">
        <v>54860.342490000003</v>
      </c>
      <c r="F67" s="1163"/>
      <c r="G67" s="1163"/>
      <c r="H67" s="1164">
        <f t="shared" si="4"/>
        <v>92044.5</v>
      </c>
      <c r="I67" s="1165">
        <f t="shared" si="5"/>
        <v>0</v>
      </c>
    </row>
    <row r="68" spans="1:9" s="1166" customFormat="1" ht="12.75" customHeight="1" x14ac:dyDescent="0.3">
      <c r="A68" s="1159" t="s">
        <v>164</v>
      </c>
      <c r="B68" s="1160" t="s">
        <v>165</v>
      </c>
      <c r="C68" s="1161" t="s">
        <v>254</v>
      </c>
      <c r="D68" s="1169">
        <v>39142.480980000008</v>
      </c>
      <c r="E68" s="1170">
        <v>51907.719020000011</v>
      </c>
      <c r="F68" s="1163"/>
      <c r="G68" s="1163"/>
      <c r="H68" s="1164">
        <f t="shared" si="4"/>
        <v>91050.200000000012</v>
      </c>
      <c r="I68" s="1165">
        <f t="shared" si="5"/>
        <v>0</v>
      </c>
    </row>
    <row r="69" spans="1:9" s="1166" customFormat="1" ht="12.75" customHeight="1" x14ac:dyDescent="0.3">
      <c r="A69" s="1159" t="s">
        <v>168</v>
      </c>
      <c r="B69" s="1160" t="s">
        <v>169</v>
      </c>
      <c r="C69" s="1161" t="s">
        <v>254</v>
      </c>
      <c r="D69" s="1167">
        <v>104295.4596</v>
      </c>
      <c r="E69" s="1168">
        <v>148853.5404</v>
      </c>
      <c r="F69" s="1163"/>
      <c r="G69" s="1163"/>
      <c r="H69" s="1164">
        <f t="shared" ref="H69:H100" si="6">SUM(D69:G69)</f>
        <v>253149</v>
      </c>
      <c r="I69" s="1165">
        <f t="shared" ref="I69:I100" si="7">F69+G69</f>
        <v>0</v>
      </c>
    </row>
    <row r="70" spans="1:9" s="1166" customFormat="1" ht="12.75" customHeight="1" x14ac:dyDescent="0.3">
      <c r="A70" s="1159" t="s">
        <v>170</v>
      </c>
      <c r="B70" s="1160" t="s">
        <v>171</v>
      </c>
      <c r="C70" s="1161" t="s">
        <v>255</v>
      </c>
      <c r="D70" s="1169">
        <v>70655.91356999999</v>
      </c>
      <c r="E70" s="1170">
        <v>95091.386429999999</v>
      </c>
      <c r="F70" s="1163"/>
      <c r="G70" s="1163"/>
      <c r="H70" s="1164">
        <f t="shared" si="6"/>
        <v>165747.29999999999</v>
      </c>
      <c r="I70" s="1165">
        <f t="shared" si="7"/>
        <v>0</v>
      </c>
    </row>
    <row r="71" spans="1:9" s="1166" customFormat="1" ht="12.75" customHeight="1" x14ac:dyDescent="0.3">
      <c r="A71" s="1159" t="s">
        <v>172</v>
      </c>
      <c r="B71" s="1160" t="s">
        <v>173</v>
      </c>
      <c r="C71" s="1161" t="s">
        <v>255</v>
      </c>
      <c r="D71" s="1167">
        <v>24749.7729</v>
      </c>
      <c r="E71" s="1168">
        <v>40732.227100000004</v>
      </c>
      <c r="F71" s="1163"/>
      <c r="G71" s="1163"/>
      <c r="H71" s="1164">
        <f t="shared" si="6"/>
        <v>65482</v>
      </c>
      <c r="I71" s="1165">
        <f t="shared" si="7"/>
        <v>0</v>
      </c>
    </row>
    <row r="72" spans="1:9" s="1166" customFormat="1" ht="12.75" customHeight="1" x14ac:dyDescent="0.3">
      <c r="A72" s="1159" t="s">
        <v>174</v>
      </c>
      <c r="B72" s="1160" t="s">
        <v>175</v>
      </c>
      <c r="C72" s="1161" t="s">
        <v>256</v>
      </c>
      <c r="D72" s="1169">
        <v>73492.264800000004</v>
      </c>
      <c r="E72" s="1170">
        <v>122188.93520000001</v>
      </c>
      <c r="F72" s="1163"/>
      <c r="G72" s="1163"/>
      <c r="H72" s="1164">
        <f t="shared" si="6"/>
        <v>195681.2</v>
      </c>
      <c r="I72" s="1165">
        <f t="shared" si="7"/>
        <v>0</v>
      </c>
    </row>
    <row r="73" spans="1:9" s="1166" customFormat="1" ht="12.75" customHeight="1" x14ac:dyDescent="0.3">
      <c r="A73" s="1159" t="s">
        <v>178</v>
      </c>
      <c r="B73" s="1160" t="s">
        <v>179</v>
      </c>
      <c r="C73" s="1161" t="s">
        <v>253</v>
      </c>
      <c r="D73" s="1169">
        <v>173219.08252199998</v>
      </c>
      <c r="E73" s="1170">
        <v>238892.69747800002</v>
      </c>
      <c r="F73" s="1163"/>
      <c r="G73" s="1163"/>
      <c r="H73" s="1164">
        <f t="shared" si="6"/>
        <v>412111.78</v>
      </c>
      <c r="I73" s="1165">
        <f t="shared" si="7"/>
        <v>0</v>
      </c>
    </row>
    <row r="74" spans="1:9" s="1166" customFormat="1" ht="12.75" customHeight="1" x14ac:dyDescent="0.3">
      <c r="A74" s="1159" t="s">
        <v>182</v>
      </c>
      <c r="B74" s="1160" t="s">
        <v>183</v>
      </c>
      <c r="C74" s="1161" t="s">
        <v>254</v>
      </c>
      <c r="D74" s="1167">
        <v>35565.197099999998</v>
      </c>
      <c r="E74" s="1168">
        <v>48761.802900000002</v>
      </c>
      <c r="F74" s="1163"/>
      <c r="G74" s="1163"/>
      <c r="H74" s="1164">
        <f t="shared" si="6"/>
        <v>84327</v>
      </c>
      <c r="I74" s="1165">
        <f t="shared" si="7"/>
        <v>0</v>
      </c>
    </row>
    <row r="75" spans="1:9" s="1166" customFormat="1" ht="12.75" customHeight="1" x14ac:dyDescent="0.3">
      <c r="A75" s="1159" t="s">
        <v>184</v>
      </c>
      <c r="B75" s="1160" t="s">
        <v>185</v>
      </c>
      <c r="C75" s="1161" t="s">
        <v>254</v>
      </c>
      <c r="D75" s="1169">
        <v>93979.579200000007</v>
      </c>
      <c r="E75" s="1170">
        <v>128858.42080000001</v>
      </c>
      <c r="F75" s="1163"/>
      <c r="G75" s="1163"/>
      <c r="H75" s="1164">
        <f t="shared" si="6"/>
        <v>222838</v>
      </c>
      <c r="I75" s="1165">
        <f t="shared" si="7"/>
        <v>0</v>
      </c>
    </row>
    <row r="76" spans="1:9" s="1166" customFormat="1" ht="12.75" customHeight="1" x14ac:dyDescent="0.3">
      <c r="A76" s="1159" t="s">
        <v>186</v>
      </c>
      <c r="B76" s="1160" t="s">
        <v>187</v>
      </c>
      <c r="C76" s="1161" t="s">
        <v>252</v>
      </c>
      <c r="D76" s="1169">
        <v>92058.786000000007</v>
      </c>
      <c r="E76" s="1170">
        <v>139013.21400000001</v>
      </c>
      <c r="F76" s="1163"/>
      <c r="G76" s="1163"/>
      <c r="H76" s="1164">
        <f t="shared" si="6"/>
        <v>231072</v>
      </c>
      <c r="I76" s="1165">
        <f t="shared" si="7"/>
        <v>0</v>
      </c>
    </row>
    <row r="77" spans="1:9" s="1166" customFormat="1" ht="12.75" customHeight="1" x14ac:dyDescent="0.3">
      <c r="A77" s="1159" t="s">
        <v>188</v>
      </c>
      <c r="B77" s="1160" t="s">
        <v>189</v>
      </c>
      <c r="C77" s="1161" t="s">
        <v>255</v>
      </c>
      <c r="D77" s="1169">
        <v>843733.90616999997</v>
      </c>
      <c r="E77" s="1170">
        <v>1534995.2938299999</v>
      </c>
      <c r="F77" s="1163"/>
      <c r="G77" s="1163"/>
      <c r="H77" s="1164">
        <f t="shared" si="6"/>
        <v>2378729.1999999997</v>
      </c>
      <c r="I77" s="1165">
        <f t="shared" si="7"/>
        <v>0</v>
      </c>
    </row>
    <row r="78" spans="1:9" s="1166" customFormat="1" ht="12.75" customHeight="1" x14ac:dyDescent="0.3">
      <c r="A78" s="1159" t="s">
        <v>190</v>
      </c>
      <c r="B78" s="1160" t="s">
        <v>191</v>
      </c>
      <c r="C78" s="1161" t="s">
        <v>256</v>
      </c>
      <c r="D78" s="1169">
        <v>133745.7591</v>
      </c>
      <c r="E78" s="1170">
        <v>179833.2409</v>
      </c>
      <c r="F78" s="1163"/>
      <c r="G78" s="1163"/>
      <c r="H78" s="1164">
        <f t="shared" si="6"/>
        <v>313579</v>
      </c>
      <c r="I78" s="1165">
        <f t="shared" si="7"/>
        <v>0</v>
      </c>
    </row>
    <row r="79" spans="1:9" s="1166" customFormat="1" ht="12.75" customHeight="1" x14ac:dyDescent="0.3">
      <c r="A79" s="1159" t="s">
        <v>194</v>
      </c>
      <c r="B79" s="1160" t="s">
        <v>195</v>
      </c>
      <c r="C79" s="1161" t="s">
        <v>255</v>
      </c>
      <c r="D79" s="1167">
        <v>2589.2876999999999</v>
      </c>
      <c r="E79" s="1168">
        <v>3433.7123000000001</v>
      </c>
      <c r="F79" s="1163"/>
      <c r="G79" s="1163"/>
      <c r="H79" s="1164">
        <f t="shared" si="6"/>
        <v>6023</v>
      </c>
      <c r="I79" s="1165">
        <f t="shared" si="7"/>
        <v>0</v>
      </c>
    </row>
    <row r="80" spans="1:9" s="1166" customFormat="1" ht="12.75" customHeight="1" x14ac:dyDescent="0.3">
      <c r="A80" s="1159" t="s">
        <v>198</v>
      </c>
      <c r="B80" s="1160" t="s">
        <v>199</v>
      </c>
      <c r="C80" s="1161" t="s">
        <v>254</v>
      </c>
      <c r="D80" s="1167">
        <v>24978.049800000001</v>
      </c>
      <c r="E80" s="1168">
        <v>34159.950200000007</v>
      </c>
      <c r="F80" s="1163"/>
      <c r="G80" s="1163"/>
      <c r="H80" s="1164">
        <f t="shared" si="6"/>
        <v>59138.000000000007</v>
      </c>
      <c r="I80" s="1165">
        <f t="shared" si="7"/>
        <v>0</v>
      </c>
    </row>
    <row r="81" spans="1:9" s="1166" customFormat="1" ht="12.75" customHeight="1" x14ac:dyDescent="0.3">
      <c r="A81" s="1159" t="s">
        <v>202</v>
      </c>
      <c r="B81" s="1160" t="s">
        <v>203</v>
      </c>
      <c r="C81" s="1161" t="s">
        <v>253</v>
      </c>
      <c r="D81" s="1169">
        <v>246081.99521699999</v>
      </c>
      <c r="E81" s="1170">
        <v>351960.334783</v>
      </c>
      <c r="F81" s="1163"/>
      <c r="G81" s="1163"/>
      <c r="H81" s="1164">
        <f t="shared" si="6"/>
        <v>598042.32999999996</v>
      </c>
      <c r="I81" s="1165">
        <f t="shared" si="7"/>
        <v>0</v>
      </c>
    </row>
    <row r="82" spans="1:9" s="1166" customFormat="1" ht="12.75" customHeight="1" x14ac:dyDescent="0.3">
      <c r="A82" s="1159" t="s">
        <v>204</v>
      </c>
      <c r="B82" s="1160" t="s">
        <v>205</v>
      </c>
      <c r="C82" s="1161" t="s">
        <v>253</v>
      </c>
      <c r="D82" s="1167">
        <v>106595.72553000003</v>
      </c>
      <c r="E82" s="1168">
        <v>160066.97447000002</v>
      </c>
      <c r="F82" s="1163"/>
      <c r="G82" s="1163"/>
      <c r="H82" s="1164">
        <f t="shared" si="6"/>
        <v>266662.70000000007</v>
      </c>
      <c r="I82" s="1165">
        <f t="shared" si="7"/>
        <v>0</v>
      </c>
    </row>
    <row r="83" spans="1:9" s="1166" customFormat="1" ht="12.75" customHeight="1" x14ac:dyDescent="0.3">
      <c r="A83" s="1159" t="s">
        <v>206</v>
      </c>
      <c r="B83" s="1160" t="s">
        <v>207</v>
      </c>
      <c r="C83" s="1161" t="s">
        <v>255</v>
      </c>
      <c r="D83" s="1169">
        <v>284666.36712000001</v>
      </c>
      <c r="E83" s="1170">
        <v>420372.43288000004</v>
      </c>
      <c r="F83" s="1163"/>
      <c r="G83" s="1163"/>
      <c r="H83" s="1164">
        <f t="shared" si="6"/>
        <v>705038.8</v>
      </c>
      <c r="I83" s="1165">
        <f t="shared" si="7"/>
        <v>0</v>
      </c>
    </row>
    <row r="84" spans="1:9" s="1166" customFormat="1" ht="12.75" customHeight="1" x14ac:dyDescent="0.3">
      <c r="A84" s="1159" t="s">
        <v>208</v>
      </c>
      <c r="B84" s="1160" t="s">
        <v>209</v>
      </c>
      <c r="C84" s="1161" t="s">
        <v>256</v>
      </c>
      <c r="D84" s="1169">
        <v>128556.60816000002</v>
      </c>
      <c r="E84" s="1170">
        <v>203065.79184000002</v>
      </c>
      <c r="F84" s="1163"/>
      <c r="G84" s="1163"/>
      <c r="H84" s="1164">
        <f t="shared" si="6"/>
        <v>331622.40000000002</v>
      </c>
      <c r="I84" s="1165">
        <f t="shared" si="7"/>
        <v>0</v>
      </c>
    </row>
    <row r="85" spans="1:9" s="1166" customFormat="1" ht="12.75" customHeight="1" x14ac:dyDescent="0.3">
      <c r="A85" s="1159" t="s">
        <v>210</v>
      </c>
      <c r="B85" s="1160" t="s">
        <v>211</v>
      </c>
      <c r="C85" s="1161" t="s">
        <v>256</v>
      </c>
      <c r="D85" s="1169">
        <v>111904.25970000001</v>
      </c>
      <c r="E85" s="1170">
        <v>165805.34030000004</v>
      </c>
      <c r="F85" s="1163"/>
      <c r="G85" s="1163"/>
      <c r="H85" s="1164">
        <f t="shared" si="6"/>
        <v>277709.60000000003</v>
      </c>
      <c r="I85" s="1165">
        <f t="shared" si="7"/>
        <v>0</v>
      </c>
    </row>
    <row r="86" spans="1:9" s="1166" customFormat="1" ht="12.75" customHeight="1" x14ac:dyDescent="0.3">
      <c r="A86" s="1159" t="s">
        <v>212</v>
      </c>
      <c r="B86" s="1160" t="s">
        <v>213</v>
      </c>
      <c r="C86" s="1161" t="s">
        <v>255</v>
      </c>
      <c r="D86" s="1167">
        <v>126433.09131599999</v>
      </c>
      <c r="E86" s="1168">
        <v>197019.74868399999</v>
      </c>
      <c r="F86" s="1163"/>
      <c r="G86" s="1163"/>
      <c r="H86" s="1164">
        <f t="shared" si="6"/>
        <v>323452.83999999997</v>
      </c>
      <c r="I86" s="1165">
        <f t="shared" si="7"/>
        <v>0</v>
      </c>
    </row>
    <row r="87" spans="1:9" s="1166" customFormat="1" ht="12.75" customHeight="1" x14ac:dyDescent="0.3">
      <c r="A87" s="1159" t="s">
        <v>214</v>
      </c>
      <c r="B87" s="1160" t="s">
        <v>215</v>
      </c>
      <c r="C87" s="1161" t="s">
        <v>256</v>
      </c>
      <c r="D87" s="1169">
        <v>193847.84262000001</v>
      </c>
      <c r="E87" s="1170">
        <v>282847.95738000004</v>
      </c>
      <c r="F87" s="1163"/>
      <c r="G87" s="1163"/>
      <c r="H87" s="1164">
        <f t="shared" si="6"/>
        <v>476695.80000000005</v>
      </c>
      <c r="I87" s="1165">
        <f t="shared" si="7"/>
        <v>0</v>
      </c>
    </row>
    <row r="88" spans="1:9" s="1166" customFormat="1" ht="12.75" customHeight="1" x14ac:dyDescent="0.3">
      <c r="A88" s="1159" t="s">
        <v>216</v>
      </c>
      <c r="B88" s="1160" t="s">
        <v>217</v>
      </c>
      <c r="C88" s="1161" t="s">
        <v>252</v>
      </c>
      <c r="D88" s="1169">
        <v>91522.829670000006</v>
      </c>
      <c r="E88" s="1170">
        <v>128955.47033000003</v>
      </c>
      <c r="F88" s="1163"/>
      <c r="G88" s="1163"/>
      <c r="H88" s="1164">
        <f t="shared" si="6"/>
        <v>220478.30000000005</v>
      </c>
      <c r="I88" s="1165">
        <f t="shared" si="7"/>
        <v>0</v>
      </c>
    </row>
    <row r="89" spans="1:9" s="1166" customFormat="1" ht="12.75" customHeight="1" x14ac:dyDescent="0.3">
      <c r="A89" s="1159" t="s">
        <v>218</v>
      </c>
      <c r="B89" s="1160" t="s">
        <v>219</v>
      </c>
      <c r="C89" s="1161" t="s">
        <v>255</v>
      </c>
      <c r="D89" s="1169">
        <v>524946.71996999998</v>
      </c>
      <c r="E89" s="1170">
        <v>788325.58003000007</v>
      </c>
      <c r="F89" s="1163"/>
      <c r="G89" s="1163"/>
      <c r="H89" s="1164">
        <f t="shared" si="6"/>
        <v>1313272.3</v>
      </c>
      <c r="I89" s="1165">
        <f t="shared" si="7"/>
        <v>0</v>
      </c>
    </row>
    <row r="90" spans="1:9" s="1166" customFormat="1" ht="12.75" customHeight="1" x14ac:dyDescent="0.3">
      <c r="A90" s="1159" t="s">
        <v>220</v>
      </c>
      <c r="B90" s="1160" t="s">
        <v>221</v>
      </c>
      <c r="C90" s="1161" t="s">
        <v>255</v>
      </c>
      <c r="D90" s="1169">
        <v>410786.04414000007</v>
      </c>
      <c r="E90" s="1170">
        <v>674507.5558600002</v>
      </c>
      <c r="F90" s="1163"/>
      <c r="G90" s="1163"/>
      <c r="H90" s="1164">
        <f t="shared" si="6"/>
        <v>1085293.6000000003</v>
      </c>
      <c r="I90" s="1165">
        <f t="shared" si="7"/>
        <v>0</v>
      </c>
    </row>
    <row r="91" spans="1:9" s="1166" customFormat="1" ht="12.75" customHeight="1" x14ac:dyDescent="0.3">
      <c r="A91" s="1159" t="s">
        <v>224</v>
      </c>
      <c r="B91" s="1160" t="s">
        <v>225</v>
      </c>
      <c r="C91" s="1161" t="s">
        <v>252</v>
      </c>
      <c r="D91" s="1167">
        <v>19793.713739999999</v>
      </c>
      <c r="E91" s="1168">
        <v>38032.886259999999</v>
      </c>
      <c r="F91" s="1163"/>
      <c r="G91" s="1163"/>
      <c r="H91" s="1164">
        <f t="shared" si="6"/>
        <v>57826.6</v>
      </c>
      <c r="I91" s="1165">
        <f t="shared" si="7"/>
        <v>0</v>
      </c>
    </row>
    <row r="92" spans="1:9" s="1166" customFormat="1" ht="12.75" customHeight="1" x14ac:dyDescent="0.3">
      <c r="A92" s="1159" t="s">
        <v>226</v>
      </c>
      <c r="B92" s="1160" t="s">
        <v>227</v>
      </c>
      <c r="C92" s="1161" t="s">
        <v>252</v>
      </c>
      <c r="D92" s="1169">
        <v>70028.775449999986</v>
      </c>
      <c r="E92" s="1170">
        <v>111493.92455</v>
      </c>
      <c r="F92" s="1163"/>
      <c r="G92" s="1163"/>
      <c r="H92" s="1164">
        <f t="shared" si="6"/>
        <v>181522.69999999998</v>
      </c>
      <c r="I92" s="1165">
        <f t="shared" si="7"/>
        <v>0</v>
      </c>
    </row>
    <row r="93" spans="1:9" s="1166" customFormat="1" ht="12.75" customHeight="1" x14ac:dyDescent="0.3">
      <c r="A93" s="1159" t="s">
        <v>228</v>
      </c>
      <c r="B93" s="1160" t="s">
        <v>229</v>
      </c>
      <c r="C93" s="1161" t="s">
        <v>256</v>
      </c>
      <c r="D93" s="1169">
        <v>191615.80181999999</v>
      </c>
      <c r="E93" s="1170">
        <v>287744.59818000003</v>
      </c>
      <c r="F93" s="1163"/>
      <c r="G93" s="1163"/>
      <c r="H93" s="1164">
        <f t="shared" si="6"/>
        <v>479360.4</v>
      </c>
      <c r="I93" s="1165">
        <f t="shared" si="7"/>
        <v>0</v>
      </c>
    </row>
    <row r="94" spans="1:9" s="1166" customFormat="1" ht="12.75" customHeight="1" x14ac:dyDescent="0.3">
      <c r="A94" s="1159" t="s">
        <v>232</v>
      </c>
      <c r="B94" s="1160" t="s">
        <v>233</v>
      </c>
      <c r="C94" s="1161" t="s">
        <v>255</v>
      </c>
      <c r="D94" s="1169">
        <v>140631.74253600001</v>
      </c>
      <c r="E94" s="1170">
        <v>201584.89746400004</v>
      </c>
      <c r="F94" s="1163"/>
      <c r="G94" s="1163"/>
      <c r="H94" s="1164">
        <f t="shared" si="6"/>
        <v>342216.64</v>
      </c>
      <c r="I94" s="1165">
        <f t="shared" si="7"/>
        <v>0</v>
      </c>
    </row>
    <row r="95" spans="1:9" s="1166" customFormat="1" ht="12.75" customHeight="1" x14ac:dyDescent="0.3">
      <c r="A95" s="1159" t="s">
        <v>234</v>
      </c>
      <c r="B95" s="1160" t="s">
        <v>235</v>
      </c>
      <c r="C95" s="1161" t="s">
        <v>256</v>
      </c>
      <c r="D95" s="1169">
        <v>207890.44013999999</v>
      </c>
      <c r="E95" s="1170">
        <v>312447.35986000003</v>
      </c>
      <c r="F95" s="1163"/>
      <c r="G95" s="1163"/>
      <c r="H95" s="1164">
        <f t="shared" si="6"/>
        <v>520337.80000000005</v>
      </c>
      <c r="I95" s="1165">
        <f t="shared" si="7"/>
        <v>0</v>
      </c>
    </row>
    <row r="96" spans="1:9" s="1166" customFormat="1" ht="12.75" customHeight="1" x14ac:dyDescent="0.3">
      <c r="A96" s="1159" t="s">
        <v>236</v>
      </c>
      <c r="B96" s="1160" t="s">
        <v>237</v>
      </c>
      <c r="C96" s="1161" t="s">
        <v>254</v>
      </c>
      <c r="D96" s="1169">
        <v>77697.946406999996</v>
      </c>
      <c r="E96" s="1170">
        <v>109978.98359300001</v>
      </c>
      <c r="F96" s="1163"/>
      <c r="G96" s="1163"/>
      <c r="H96" s="1164">
        <f t="shared" si="6"/>
        <v>187676.93</v>
      </c>
      <c r="I96" s="1165">
        <f t="shared" si="7"/>
        <v>0</v>
      </c>
    </row>
    <row r="97" spans="1:9" s="1166" customFormat="1" ht="12.75" customHeight="1" x14ac:dyDescent="0.3">
      <c r="A97" s="1159" t="s">
        <v>242</v>
      </c>
      <c r="B97" s="1160" t="s">
        <v>243</v>
      </c>
      <c r="C97" s="1161" t="s">
        <v>256</v>
      </c>
      <c r="D97" s="1169">
        <v>333061.58579999994</v>
      </c>
      <c r="E97" s="1170">
        <v>483010.4142</v>
      </c>
      <c r="F97" s="1163"/>
      <c r="G97" s="1163"/>
      <c r="H97" s="1164">
        <f t="shared" si="6"/>
        <v>816072</v>
      </c>
      <c r="I97" s="1165">
        <f t="shared" si="7"/>
        <v>0</v>
      </c>
    </row>
    <row r="98" spans="1:9" s="1166" customFormat="1" ht="12.75" customHeight="1" x14ac:dyDescent="0.3">
      <c r="A98" s="1159" t="s">
        <v>244</v>
      </c>
      <c r="B98" s="1160" t="s">
        <v>245</v>
      </c>
      <c r="C98" s="1161" t="s">
        <v>256</v>
      </c>
      <c r="D98" s="1169">
        <v>108594.4596</v>
      </c>
      <c r="E98" s="1170">
        <v>168074.54040000003</v>
      </c>
      <c r="F98" s="1163"/>
      <c r="G98" s="1163"/>
      <c r="H98" s="1164">
        <f t="shared" si="6"/>
        <v>276669</v>
      </c>
      <c r="I98" s="1165">
        <f t="shared" si="7"/>
        <v>0</v>
      </c>
    </row>
    <row r="99" spans="1:9" s="1166" customFormat="1" ht="12.75" customHeight="1" x14ac:dyDescent="0.3">
      <c r="A99" s="1159" t="s">
        <v>246</v>
      </c>
      <c r="B99" s="1160" t="s">
        <v>298</v>
      </c>
      <c r="C99" s="1161" t="s">
        <v>252</v>
      </c>
      <c r="D99" s="1169">
        <v>127101.521331</v>
      </c>
      <c r="E99" s="1170">
        <v>196140.16866900004</v>
      </c>
      <c r="F99" s="1163"/>
      <c r="G99" s="1163"/>
      <c r="H99" s="1164">
        <f t="shared" si="6"/>
        <v>323241.69000000006</v>
      </c>
      <c r="I99" s="1165">
        <f t="shared" si="7"/>
        <v>0</v>
      </c>
    </row>
    <row r="100" spans="1:9" s="1166" customFormat="1" ht="12.75" customHeight="1" x14ac:dyDescent="0.3">
      <c r="A100" s="1159" t="s">
        <v>14</v>
      </c>
      <c r="B100" s="1160" t="s">
        <v>15</v>
      </c>
      <c r="C100" s="1161" t="s">
        <v>255</v>
      </c>
      <c r="D100" s="1169">
        <v>361995.79035000002</v>
      </c>
      <c r="E100" s="1170">
        <v>1142728.9596500001</v>
      </c>
      <c r="F100" s="1163"/>
      <c r="G100" s="1163"/>
      <c r="H100" s="1164">
        <f t="shared" si="6"/>
        <v>1504724.75</v>
      </c>
      <c r="I100" s="1165">
        <f t="shared" si="7"/>
        <v>0</v>
      </c>
    </row>
    <row r="101" spans="1:9" s="1166" customFormat="1" ht="12.75" customHeight="1" x14ac:dyDescent="0.3">
      <c r="A101" s="1159" t="s">
        <v>34</v>
      </c>
      <c r="B101" s="1160" t="s">
        <v>35</v>
      </c>
      <c r="C101" s="1161" t="s">
        <v>256</v>
      </c>
      <c r="D101" s="1167">
        <v>191503.03045200001</v>
      </c>
      <c r="E101" s="1168">
        <v>298258.449548</v>
      </c>
      <c r="F101" s="1163"/>
      <c r="G101" s="1163"/>
      <c r="H101" s="1164">
        <f t="shared" ref="H101:H124" si="8">SUM(D101:G101)</f>
        <v>489761.48</v>
      </c>
      <c r="I101" s="1165">
        <f t="shared" ref="I101:I124" si="9">F101+G101</f>
        <v>0</v>
      </c>
    </row>
    <row r="102" spans="1:9" s="1166" customFormat="1" ht="12.75" customHeight="1" x14ac:dyDescent="0.3">
      <c r="A102" s="1159" t="s">
        <v>52</v>
      </c>
      <c r="B102" s="1160" t="s">
        <v>53</v>
      </c>
      <c r="C102" s="1161" t="s">
        <v>253</v>
      </c>
      <c r="D102" s="1169">
        <v>236691.25531799998</v>
      </c>
      <c r="E102" s="1170">
        <v>527515.66468200006</v>
      </c>
      <c r="F102" s="1163"/>
      <c r="G102" s="1163"/>
      <c r="H102" s="1164">
        <f t="shared" si="8"/>
        <v>764206.92</v>
      </c>
      <c r="I102" s="1165">
        <f t="shared" si="9"/>
        <v>0</v>
      </c>
    </row>
    <row r="103" spans="1:9" s="1166" customFormat="1" ht="12.75" customHeight="1" x14ac:dyDescent="0.3">
      <c r="A103" s="1159" t="s">
        <v>54</v>
      </c>
      <c r="B103" s="1160" t="s">
        <v>55</v>
      </c>
      <c r="C103" s="1161" t="s">
        <v>252</v>
      </c>
      <c r="D103" s="1169">
        <v>696544.99351199996</v>
      </c>
      <c r="E103" s="1170">
        <v>971732.88648800005</v>
      </c>
      <c r="F103" s="1163"/>
      <c r="G103" s="1163"/>
      <c r="H103" s="1164">
        <f t="shared" si="8"/>
        <v>1668277.88</v>
      </c>
      <c r="I103" s="1165">
        <f t="shared" si="9"/>
        <v>0</v>
      </c>
    </row>
    <row r="104" spans="1:9" s="1166" customFormat="1" ht="12.75" customHeight="1" x14ac:dyDescent="0.3">
      <c r="A104" s="1159" t="s">
        <v>66</v>
      </c>
      <c r="B104" s="1160" t="s">
        <v>67</v>
      </c>
      <c r="C104" s="1161" t="s">
        <v>253</v>
      </c>
      <c r="D104" s="1169">
        <v>360903.65949299996</v>
      </c>
      <c r="E104" s="1170">
        <v>489668.41050699994</v>
      </c>
      <c r="F104" s="1163"/>
      <c r="G104" s="1163"/>
      <c r="H104" s="1164">
        <f t="shared" si="8"/>
        <v>850572.06999999983</v>
      </c>
      <c r="I104" s="1165">
        <f t="shared" si="9"/>
        <v>0</v>
      </c>
    </row>
    <row r="105" spans="1:9" s="1166" customFormat="1" ht="12.75" customHeight="1" x14ac:dyDescent="0.3">
      <c r="A105" s="1159" t="s">
        <v>82</v>
      </c>
      <c r="B105" s="1160" t="s">
        <v>299</v>
      </c>
      <c r="C105" s="1161" t="s">
        <v>252</v>
      </c>
      <c r="D105" s="1167">
        <v>71826.402300000002</v>
      </c>
      <c r="E105" s="1168">
        <v>99468.597700000013</v>
      </c>
      <c r="F105" s="1163"/>
      <c r="G105" s="1163"/>
      <c r="H105" s="1164">
        <f t="shared" si="8"/>
        <v>171295</v>
      </c>
      <c r="I105" s="1165">
        <f t="shared" si="9"/>
        <v>0</v>
      </c>
    </row>
    <row r="106" spans="1:9" s="1166" customFormat="1" ht="12.75" customHeight="1" x14ac:dyDescent="0.3">
      <c r="A106" s="1159" t="s">
        <v>88</v>
      </c>
      <c r="B106" s="1160" t="s">
        <v>89</v>
      </c>
      <c r="C106" s="1161" t="s">
        <v>255</v>
      </c>
      <c r="D106" s="1169">
        <v>188412.7029</v>
      </c>
      <c r="E106" s="1170">
        <v>339953.29710000003</v>
      </c>
      <c r="F106" s="1163"/>
      <c r="G106" s="1163"/>
      <c r="H106" s="1164">
        <f t="shared" si="8"/>
        <v>528366</v>
      </c>
      <c r="I106" s="1165">
        <f t="shared" si="9"/>
        <v>0</v>
      </c>
    </row>
    <row r="107" spans="1:9" s="1166" customFormat="1" ht="12.75" customHeight="1" x14ac:dyDescent="0.3">
      <c r="A107" s="1159" t="s">
        <v>90</v>
      </c>
      <c r="B107" s="1160" t="s">
        <v>91</v>
      </c>
      <c r="C107" s="1161" t="s">
        <v>256</v>
      </c>
      <c r="D107" s="1169">
        <v>27438.926370000001</v>
      </c>
      <c r="E107" s="1170">
        <v>37217.373630000002</v>
      </c>
      <c r="F107" s="1163"/>
      <c r="G107" s="1163"/>
      <c r="H107" s="1164">
        <f t="shared" si="8"/>
        <v>64656.3</v>
      </c>
      <c r="I107" s="1165">
        <f t="shared" si="9"/>
        <v>0</v>
      </c>
    </row>
    <row r="108" spans="1:9" s="1166" customFormat="1" ht="12.75" customHeight="1" x14ac:dyDescent="0.3">
      <c r="A108" s="1159" t="s">
        <v>106</v>
      </c>
      <c r="B108" s="1160" t="s">
        <v>107</v>
      </c>
      <c r="C108" s="1161" t="s">
        <v>252</v>
      </c>
      <c r="D108" s="1169">
        <v>1152074.3289150002</v>
      </c>
      <c r="E108" s="1170">
        <v>1589346.5210850004</v>
      </c>
      <c r="F108" s="1163"/>
      <c r="G108" s="1163"/>
      <c r="H108" s="1164">
        <f t="shared" si="8"/>
        <v>2741420.8500000006</v>
      </c>
      <c r="I108" s="1165">
        <f t="shared" si="9"/>
        <v>0</v>
      </c>
    </row>
    <row r="109" spans="1:9" s="1166" customFormat="1" ht="12.75" customHeight="1" x14ac:dyDescent="0.3">
      <c r="A109" s="1159" t="s">
        <v>116</v>
      </c>
      <c r="B109" s="1160" t="s">
        <v>117</v>
      </c>
      <c r="C109" s="1161" t="s">
        <v>254</v>
      </c>
      <c r="D109" s="1167">
        <v>271350.09424799995</v>
      </c>
      <c r="E109" s="1168">
        <v>408588.42575199995</v>
      </c>
      <c r="F109" s="1163"/>
      <c r="G109" s="1163"/>
      <c r="H109" s="1164">
        <f t="shared" si="8"/>
        <v>679938.5199999999</v>
      </c>
      <c r="I109" s="1165">
        <f t="shared" si="9"/>
        <v>0</v>
      </c>
    </row>
    <row r="110" spans="1:9" s="1166" customFormat="1" ht="12.75" customHeight="1" x14ac:dyDescent="0.3">
      <c r="A110" s="1159" t="s">
        <v>138</v>
      </c>
      <c r="B110" s="1160" t="s">
        <v>139</v>
      </c>
      <c r="C110" s="1161" t="s">
        <v>253</v>
      </c>
      <c r="D110" s="1169">
        <v>310890.43478099996</v>
      </c>
      <c r="E110" s="1170">
        <v>427880.75521899998</v>
      </c>
      <c r="F110" s="1163"/>
      <c r="G110" s="1163"/>
      <c r="H110" s="1164">
        <f t="shared" si="8"/>
        <v>738771.19</v>
      </c>
      <c r="I110" s="1165">
        <f t="shared" si="9"/>
        <v>0</v>
      </c>
    </row>
    <row r="111" spans="1:9" s="1166" customFormat="1" ht="12.75" customHeight="1" x14ac:dyDescent="0.3">
      <c r="A111" s="1159" t="s">
        <v>142</v>
      </c>
      <c r="B111" s="1160" t="s">
        <v>143</v>
      </c>
      <c r="C111" s="1161" t="s">
        <v>255</v>
      </c>
      <c r="D111" s="1167">
        <v>108469.3587</v>
      </c>
      <c r="E111" s="1168">
        <v>162765.64130000002</v>
      </c>
      <c r="F111" s="1163"/>
      <c r="G111" s="1163"/>
      <c r="H111" s="1164">
        <f t="shared" si="8"/>
        <v>271235</v>
      </c>
      <c r="I111" s="1165">
        <f t="shared" si="9"/>
        <v>0</v>
      </c>
    </row>
    <row r="112" spans="1:9" s="1166" customFormat="1" ht="12.75" customHeight="1" x14ac:dyDescent="0.3">
      <c r="A112" s="1159" t="s">
        <v>144</v>
      </c>
      <c r="B112" s="1160" t="s">
        <v>145</v>
      </c>
      <c r="C112" s="1161" t="s">
        <v>255</v>
      </c>
      <c r="D112" s="1169">
        <v>25583.349000000002</v>
      </c>
      <c r="E112" s="1170">
        <v>34764.651000000005</v>
      </c>
      <c r="F112" s="1163"/>
      <c r="G112" s="1163"/>
      <c r="H112" s="1164">
        <f t="shared" si="8"/>
        <v>60348.000000000007</v>
      </c>
      <c r="I112" s="1165">
        <f t="shared" si="9"/>
        <v>0</v>
      </c>
    </row>
    <row r="113" spans="1:9" s="1166" customFormat="1" ht="12.75" customHeight="1" x14ac:dyDescent="0.3">
      <c r="A113" s="1159" t="s">
        <v>158</v>
      </c>
      <c r="B113" s="1160" t="s">
        <v>159</v>
      </c>
      <c r="C113" s="1161" t="s">
        <v>252</v>
      </c>
      <c r="D113" s="1169">
        <v>1799020.1859930004</v>
      </c>
      <c r="E113" s="1170">
        <v>2724432.8840070008</v>
      </c>
      <c r="F113" s="1163"/>
      <c r="G113" s="1163"/>
      <c r="H113" s="1164">
        <f t="shared" si="8"/>
        <v>4523453.0700000012</v>
      </c>
      <c r="I113" s="1165">
        <f t="shared" si="9"/>
        <v>0</v>
      </c>
    </row>
    <row r="114" spans="1:9" s="1166" customFormat="1" ht="12.75" customHeight="1" x14ac:dyDescent="0.3">
      <c r="A114" s="1159" t="s">
        <v>160</v>
      </c>
      <c r="B114" s="1160" t="s">
        <v>161</v>
      </c>
      <c r="C114" s="1161" t="s">
        <v>252</v>
      </c>
      <c r="D114" s="1169">
        <v>1318825.1360370002</v>
      </c>
      <c r="E114" s="1170">
        <v>1823768.1939630003</v>
      </c>
      <c r="F114" s="1163"/>
      <c r="G114" s="1163"/>
      <c r="H114" s="1164">
        <f t="shared" si="8"/>
        <v>3142593.3300000005</v>
      </c>
      <c r="I114" s="1165">
        <f t="shared" si="9"/>
        <v>0</v>
      </c>
    </row>
    <row r="115" spans="1:9" s="1166" customFormat="1" ht="12.75" customHeight="1" x14ac:dyDescent="0.3">
      <c r="A115" s="1159" t="s">
        <v>166</v>
      </c>
      <c r="B115" s="1160" t="s">
        <v>167</v>
      </c>
      <c r="C115" s="1161" t="s">
        <v>256</v>
      </c>
      <c r="D115" s="1169">
        <v>45978.191910000009</v>
      </c>
      <c r="E115" s="1170">
        <v>65062.708090000022</v>
      </c>
      <c r="F115" s="1163"/>
      <c r="G115" s="1163"/>
      <c r="H115" s="1164">
        <f t="shared" si="8"/>
        <v>111040.90000000002</v>
      </c>
      <c r="I115" s="1165">
        <f t="shared" si="9"/>
        <v>0</v>
      </c>
    </row>
    <row r="116" spans="1:9" s="1166" customFormat="1" ht="12.75" customHeight="1" x14ac:dyDescent="0.3">
      <c r="A116" s="1159" t="s">
        <v>176</v>
      </c>
      <c r="B116" s="1160" t="s">
        <v>177</v>
      </c>
      <c r="C116" s="1161" t="s">
        <v>254</v>
      </c>
      <c r="D116" s="1169">
        <v>375696.26915099996</v>
      </c>
      <c r="E116" s="1170">
        <v>523667.22084899998</v>
      </c>
      <c r="F116" s="1163"/>
      <c r="G116" s="1163"/>
      <c r="H116" s="1164">
        <f t="shared" si="8"/>
        <v>899363.49</v>
      </c>
      <c r="I116" s="1165">
        <f t="shared" si="9"/>
        <v>0</v>
      </c>
    </row>
    <row r="117" spans="1:9" s="1166" customFormat="1" ht="12.75" customHeight="1" x14ac:dyDescent="0.3">
      <c r="A117" s="1159" t="s">
        <v>180</v>
      </c>
      <c r="B117" s="1160" t="s">
        <v>181</v>
      </c>
      <c r="C117" s="1161" t="s">
        <v>252</v>
      </c>
      <c r="D117" s="1167">
        <v>820206.81186000002</v>
      </c>
      <c r="E117" s="1168">
        <v>1127868.5881400001</v>
      </c>
      <c r="F117" s="1163"/>
      <c r="G117" s="1163"/>
      <c r="H117" s="1164">
        <f t="shared" si="8"/>
        <v>1948075.4000000001</v>
      </c>
      <c r="I117" s="1165">
        <f t="shared" si="9"/>
        <v>0</v>
      </c>
    </row>
    <row r="118" spans="1:9" s="1166" customFormat="1" ht="12.75" customHeight="1" x14ac:dyDescent="0.3">
      <c r="A118" s="1159" t="s">
        <v>192</v>
      </c>
      <c r="B118" s="1160" t="s">
        <v>193</v>
      </c>
      <c r="C118" s="1161" t="s">
        <v>256</v>
      </c>
      <c r="D118" s="1167">
        <v>62831.905530000004</v>
      </c>
      <c r="E118" s="1168">
        <v>83322.794470000008</v>
      </c>
      <c r="F118" s="1163"/>
      <c r="G118" s="1163"/>
      <c r="H118" s="1164">
        <f t="shared" si="8"/>
        <v>146154.70000000001</v>
      </c>
      <c r="I118" s="1165">
        <f t="shared" si="9"/>
        <v>0</v>
      </c>
    </row>
    <row r="119" spans="1:9" s="1166" customFormat="1" ht="12.75" customHeight="1" x14ac:dyDescent="0.3">
      <c r="A119" s="1159" t="s">
        <v>196</v>
      </c>
      <c r="B119" s="1160" t="s">
        <v>300</v>
      </c>
      <c r="C119" s="1161" t="s">
        <v>254</v>
      </c>
      <c r="D119" s="1169">
        <v>1758041.01315</v>
      </c>
      <c r="E119" s="1170">
        <v>2440972.48685</v>
      </c>
      <c r="F119" s="1163"/>
      <c r="G119" s="1163"/>
      <c r="H119" s="1164">
        <f t="shared" si="8"/>
        <v>4199013.5</v>
      </c>
      <c r="I119" s="1165">
        <f t="shared" si="9"/>
        <v>0</v>
      </c>
    </row>
    <row r="120" spans="1:9" s="1166" customFormat="1" ht="12.75" customHeight="1" x14ac:dyDescent="0.3">
      <c r="A120" s="1159" t="s">
        <v>200</v>
      </c>
      <c r="B120" s="1160" t="s">
        <v>301</v>
      </c>
      <c r="C120" s="1161" t="s">
        <v>253</v>
      </c>
      <c r="D120" s="1169">
        <v>704523.89022299997</v>
      </c>
      <c r="E120" s="1170">
        <v>1027118.1797770001</v>
      </c>
      <c r="F120" s="1163"/>
      <c r="G120" s="1163"/>
      <c r="H120" s="1164">
        <f t="shared" si="8"/>
        <v>1731642.07</v>
      </c>
      <c r="I120" s="1165">
        <f t="shared" si="9"/>
        <v>0</v>
      </c>
    </row>
    <row r="121" spans="1:9" s="1166" customFormat="1" ht="12.75" customHeight="1" x14ac:dyDescent="0.3">
      <c r="A121" s="1159" t="s">
        <v>222</v>
      </c>
      <c r="B121" s="1160" t="s">
        <v>223</v>
      </c>
      <c r="C121" s="1161" t="s">
        <v>252</v>
      </c>
      <c r="D121" s="1169">
        <v>367403.51534700004</v>
      </c>
      <c r="E121" s="1170">
        <v>496741.41465300007</v>
      </c>
      <c r="F121" s="1163"/>
      <c r="G121" s="1163"/>
      <c r="H121" s="1164">
        <f t="shared" si="8"/>
        <v>864144.93000000017</v>
      </c>
      <c r="I121" s="1165">
        <f t="shared" si="9"/>
        <v>0</v>
      </c>
    </row>
    <row r="122" spans="1:9" s="1166" customFormat="1" ht="12.75" customHeight="1" x14ac:dyDescent="0.3">
      <c r="A122" s="1159" t="s">
        <v>230</v>
      </c>
      <c r="B122" s="1160" t="s">
        <v>231</v>
      </c>
      <c r="C122" s="1161" t="s">
        <v>252</v>
      </c>
      <c r="D122" s="1169">
        <v>599585.73442200001</v>
      </c>
      <c r="E122" s="1170">
        <v>825063.04557800014</v>
      </c>
      <c r="F122" s="1163"/>
      <c r="G122" s="1163"/>
      <c r="H122" s="1164">
        <f t="shared" si="8"/>
        <v>1424648.7800000003</v>
      </c>
      <c r="I122" s="1165">
        <f t="shared" si="9"/>
        <v>0</v>
      </c>
    </row>
    <row r="123" spans="1:9" s="1166" customFormat="1" ht="12.75" customHeight="1" x14ac:dyDescent="0.3">
      <c r="A123" s="1159" t="s">
        <v>238</v>
      </c>
      <c r="B123" s="1160" t="s">
        <v>239</v>
      </c>
      <c r="C123" s="1161" t="s">
        <v>252</v>
      </c>
      <c r="D123" s="1167">
        <v>28695.825000000001</v>
      </c>
      <c r="E123" s="1168">
        <v>48740.175000000003</v>
      </c>
      <c r="F123" s="1163"/>
      <c r="G123" s="1163"/>
      <c r="H123" s="1164">
        <f t="shared" si="8"/>
        <v>77436</v>
      </c>
      <c r="I123" s="1165">
        <f t="shared" si="9"/>
        <v>0</v>
      </c>
    </row>
    <row r="124" spans="1:9" s="1166" customFormat="1" ht="12.75" customHeight="1" x14ac:dyDescent="0.3">
      <c r="A124" s="1159" t="s">
        <v>240</v>
      </c>
      <c r="B124" s="1160" t="s">
        <v>241</v>
      </c>
      <c r="C124" s="1171" t="s">
        <v>255</v>
      </c>
      <c r="D124" s="1172">
        <v>90905.321309999985</v>
      </c>
      <c r="E124" s="1173">
        <v>130742.57868999999</v>
      </c>
      <c r="F124" s="1163"/>
      <c r="G124" s="1163"/>
      <c r="H124" s="1164">
        <f t="shared" si="8"/>
        <v>221647.89999999997</v>
      </c>
      <c r="I124" s="1165">
        <f t="shared" si="9"/>
        <v>0</v>
      </c>
    </row>
    <row r="125" spans="1:9" s="1158" customFormat="1" ht="12.75" customHeight="1" x14ac:dyDescent="0.3">
      <c r="D125" s="1174"/>
      <c r="E125" s="1174"/>
      <c r="F125" s="1174"/>
      <c r="G125" s="1174"/>
      <c r="H125" s="1174"/>
    </row>
    <row r="126" spans="1:9" s="1158" customFormat="1" ht="12.75" customHeight="1" x14ac:dyDescent="0.3">
      <c r="A126" s="1158" t="s">
        <v>254</v>
      </c>
      <c r="D126" s="1505">
        <v>5281504.8179579992</v>
      </c>
      <c r="E126" s="1506">
        <v>7622939.6020420007</v>
      </c>
      <c r="F126" s="1506"/>
      <c r="G126" s="1506"/>
      <c r="H126" s="1507">
        <f t="shared" ref="H126:H131" si="10">SUM(D126:G126)</f>
        <v>12904444.42</v>
      </c>
      <c r="I126" s="1508">
        <f t="shared" ref="I126:I130" si="11">F126+G126</f>
        <v>0</v>
      </c>
    </row>
    <row r="127" spans="1:9" s="1158" customFormat="1" ht="12.75" customHeight="1" x14ac:dyDescent="0.3">
      <c r="A127" s="1158" t="s">
        <v>252</v>
      </c>
      <c r="D127" s="1505">
        <v>8028640.7452290012</v>
      </c>
      <c r="E127" s="1506">
        <v>11433119.864771001</v>
      </c>
      <c r="F127" s="1506"/>
      <c r="G127" s="1506"/>
      <c r="H127" s="1507">
        <f t="shared" si="10"/>
        <v>19461760.610000003</v>
      </c>
      <c r="I127" s="1508">
        <f t="shared" si="11"/>
        <v>0</v>
      </c>
    </row>
    <row r="128" spans="1:9" s="1158" customFormat="1" ht="12.75" customHeight="1" x14ac:dyDescent="0.3">
      <c r="A128" s="1158" t="s">
        <v>255</v>
      </c>
      <c r="D128" s="1505">
        <v>5217863.3806350017</v>
      </c>
      <c r="E128" s="1506">
        <v>9487793.7993650008</v>
      </c>
      <c r="F128" s="1506"/>
      <c r="G128" s="1506"/>
      <c r="H128" s="1507">
        <f t="shared" si="10"/>
        <v>14705657.180000003</v>
      </c>
      <c r="I128" s="1508">
        <f t="shared" si="11"/>
        <v>0</v>
      </c>
    </row>
    <row r="129" spans="1:9" s="1158" customFormat="1" ht="12.75" customHeight="1" x14ac:dyDescent="0.3">
      <c r="A129" s="1158" t="s">
        <v>253</v>
      </c>
      <c r="D129" s="1505">
        <v>4398709.0370579995</v>
      </c>
      <c r="E129" s="1506">
        <v>6493542.9829420019</v>
      </c>
      <c r="F129" s="1506"/>
      <c r="G129" s="1506"/>
      <c r="H129" s="1507">
        <f t="shared" si="10"/>
        <v>10892252.020000001</v>
      </c>
      <c r="I129" s="1508">
        <f t="shared" si="11"/>
        <v>0</v>
      </c>
    </row>
    <row r="130" spans="1:9" s="1158" customFormat="1" ht="12.75" customHeight="1" x14ac:dyDescent="0.3">
      <c r="A130" s="1158" t="s">
        <v>256</v>
      </c>
      <c r="D130" s="1505">
        <v>2862642.8908380005</v>
      </c>
      <c r="E130" s="1506">
        <v>4227466.9291620003</v>
      </c>
      <c r="F130" s="1506"/>
      <c r="G130" s="1506"/>
      <c r="H130" s="1507">
        <f t="shared" si="10"/>
        <v>7090109.8200000003</v>
      </c>
      <c r="I130" s="1508">
        <f t="shared" si="11"/>
        <v>0</v>
      </c>
    </row>
    <row r="131" spans="1:9" s="1158" customFormat="1" ht="12.75" customHeight="1" x14ac:dyDescent="0.3">
      <c r="A131" s="1158" t="s">
        <v>9</v>
      </c>
      <c r="D131" s="1509">
        <f>SUM(D126:D130)</f>
        <v>25789360.871718001</v>
      </c>
      <c r="E131" s="1510">
        <f t="shared" ref="E131:G131" si="12">SUM(E126:E130)</f>
        <v>39264863.178282008</v>
      </c>
      <c r="F131" s="1506">
        <f t="shared" si="12"/>
        <v>0</v>
      </c>
      <c r="G131" s="1506">
        <f t="shared" si="12"/>
        <v>0</v>
      </c>
      <c r="H131" s="1507">
        <f t="shared" si="10"/>
        <v>65054224.050000012</v>
      </c>
      <c r="I131" s="1508">
        <f t="shared" ref="I131" si="13">F131+G131</f>
        <v>0</v>
      </c>
    </row>
    <row r="132" spans="1:9" x14ac:dyDescent="0.3">
      <c r="D132" s="700"/>
      <c r="E132" s="700"/>
      <c r="F132" s="700"/>
      <c r="G132" s="700"/>
      <c r="H132" s="700"/>
    </row>
    <row r="133" spans="1:9" x14ac:dyDescent="0.3">
      <c r="D133" s="700"/>
      <c r="E133" s="700"/>
      <c r="F133" s="700"/>
      <c r="G133" s="700"/>
      <c r="H133" s="700"/>
    </row>
    <row r="135" spans="1:9" s="339" customFormat="1" x14ac:dyDescent="0.3">
      <c r="A135" s="839" t="s">
        <v>1094</v>
      </c>
      <c r="B135" s="605"/>
      <c r="C135" s="605"/>
    </row>
    <row r="136" spans="1:9" s="339" customFormat="1" x14ac:dyDescent="0.3"/>
    <row r="137" spans="1:9" s="359" customFormat="1" x14ac:dyDescent="0.3">
      <c r="A137" s="359" t="s">
        <v>248</v>
      </c>
    </row>
    <row r="138" spans="1:9" x14ac:dyDescent="0.3">
      <c r="A138" s="360" t="s">
        <v>249</v>
      </c>
      <c r="B138" s="361" t="s">
        <v>250</v>
      </c>
      <c r="C138" s="361"/>
    </row>
  </sheetData>
  <autoFilter ref="A3:C124"/>
  <sortState ref="A5:I124">
    <sortCondition ref="A5:A124"/>
  </sortState>
  <hyperlinks>
    <hyperlink ref="B138" r:id="rId1"/>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137"/>
  <sheetViews>
    <sheetView workbookViewId="0">
      <pane xSplit="3" ySplit="4" topLeftCell="D5" activePane="bottomRight" state="frozen"/>
      <selection pane="topRight" activeCell="D1" sqref="D1"/>
      <selection pane="bottomLeft" activeCell="A5" sqref="A5"/>
      <selection pane="bottomRight" activeCell="A5" sqref="A5:XFD124"/>
    </sheetView>
  </sheetViews>
  <sheetFormatPr defaultColWidth="9" defaultRowHeight="15.6" x14ac:dyDescent="0.3"/>
  <cols>
    <col min="1" max="1" width="9.19921875" style="870" bestFit="1" customWidth="1"/>
    <col min="2" max="2" width="28.09765625" style="871" customWidth="1"/>
    <col min="3" max="3" width="16.5" style="871" customWidth="1"/>
    <col min="4" max="4" width="12.59765625" style="872" bestFit="1" customWidth="1"/>
    <col min="5" max="5" width="13.5" style="872" bestFit="1" customWidth="1"/>
    <col min="6" max="6" width="12.59765625" style="872" bestFit="1" customWidth="1"/>
    <col min="7" max="7" width="13.5" style="872" bestFit="1" customWidth="1"/>
    <col min="8" max="8" width="11.19921875" style="872" customWidth="1"/>
    <col min="9" max="11" width="13.69921875" style="873" customWidth="1"/>
    <col min="12" max="16384" width="9" style="871"/>
  </cols>
  <sheetData>
    <row r="1" spans="1:11" x14ac:dyDescent="0.3">
      <c r="A1" s="875" t="s">
        <v>1099</v>
      </c>
    </row>
    <row r="2" spans="1:11" x14ac:dyDescent="0.3">
      <c r="I2" s="873">
        <f>G4+E4+(D4*0.5)</f>
        <v>111284913.5</v>
      </c>
    </row>
    <row r="3" spans="1:11" s="869" customFormat="1" ht="14.4" x14ac:dyDescent="0.3">
      <c r="A3" s="868" t="s">
        <v>4</v>
      </c>
      <c r="B3" s="869" t="s">
        <v>5</v>
      </c>
      <c r="C3" s="869" t="s">
        <v>251</v>
      </c>
      <c r="D3" s="1573" t="s">
        <v>687</v>
      </c>
      <c r="E3" s="1574" t="s">
        <v>688</v>
      </c>
      <c r="F3" s="1574" t="s">
        <v>689</v>
      </c>
      <c r="G3" s="1574" t="s">
        <v>690</v>
      </c>
      <c r="H3" s="1574" t="s">
        <v>691</v>
      </c>
      <c r="I3" s="1575" t="s">
        <v>302</v>
      </c>
      <c r="J3" s="1575" t="s">
        <v>303</v>
      </c>
      <c r="K3" s="1576" t="s">
        <v>692</v>
      </c>
    </row>
    <row r="4" spans="1:11" s="869" customFormat="1" ht="14.4" x14ac:dyDescent="0.3">
      <c r="A4" s="876" t="s">
        <v>8</v>
      </c>
      <c r="B4" s="877" t="s">
        <v>693</v>
      </c>
      <c r="C4" s="877"/>
      <c r="D4" s="1577">
        <f t="shared" ref="D4:K4" si="0">SUM(D5:D124)</f>
        <v>53219025</v>
      </c>
      <c r="E4" s="1578">
        <f t="shared" si="0"/>
        <v>5277645</v>
      </c>
      <c r="F4" s="1578">
        <f t="shared" si="0"/>
        <v>0</v>
      </c>
      <c r="G4" s="1578">
        <f t="shared" si="0"/>
        <v>79397756</v>
      </c>
      <c r="H4" s="1578">
        <f t="shared" si="0"/>
        <v>137894426</v>
      </c>
      <c r="I4" s="1578">
        <f t="shared" si="0"/>
        <v>111124004.58891241</v>
      </c>
      <c r="J4" s="1578">
        <f t="shared" si="0"/>
        <v>26770421.41108758</v>
      </c>
      <c r="K4" s="1579">
        <f t="shared" si="0"/>
        <v>137894426</v>
      </c>
    </row>
    <row r="5" spans="1:11" ht="14.4" x14ac:dyDescent="0.3">
      <c r="A5" s="870" t="s">
        <v>10</v>
      </c>
      <c r="B5" s="871" t="s">
        <v>11</v>
      </c>
      <c r="C5" s="871" t="s">
        <v>252</v>
      </c>
      <c r="D5" s="1580">
        <v>18786</v>
      </c>
      <c r="E5" s="1568">
        <v>2606</v>
      </c>
      <c r="F5" s="1568">
        <v>0</v>
      </c>
      <c r="G5" s="1568">
        <v>48841</v>
      </c>
      <c r="H5" s="1568">
        <f t="shared" ref="H5:H36" si="1">SUM(D5:G5)</f>
        <v>70233</v>
      </c>
      <c r="I5" s="1569">
        <v>56598.170358917087</v>
      </c>
      <c r="J5" s="1569">
        <v>13634.829641082913</v>
      </c>
      <c r="K5" s="1570">
        <f t="shared" ref="K5:K36" si="2">I5+J5</f>
        <v>70233</v>
      </c>
    </row>
    <row r="6" spans="1:11" ht="14.4" x14ac:dyDescent="0.3">
      <c r="A6" s="870" t="s">
        <v>12</v>
      </c>
      <c r="B6" s="871" t="s">
        <v>13</v>
      </c>
      <c r="C6" s="871" t="s">
        <v>253</v>
      </c>
      <c r="D6" s="1580">
        <v>349111</v>
      </c>
      <c r="E6" s="1568">
        <v>1985</v>
      </c>
      <c r="F6" s="1568">
        <v>0</v>
      </c>
      <c r="G6" s="1568">
        <v>445469</v>
      </c>
      <c r="H6" s="1568">
        <f t="shared" si="1"/>
        <v>796565</v>
      </c>
      <c r="I6" s="1569">
        <v>641922.19571926002</v>
      </c>
      <c r="J6" s="1569">
        <v>154642.80428073998</v>
      </c>
      <c r="K6" s="1570">
        <f t="shared" si="2"/>
        <v>796565</v>
      </c>
    </row>
    <row r="7" spans="1:11" ht="14.4" x14ac:dyDescent="0.3">
      <c r="A7" s="870" t="s">
        <v>16</v>
      </c>
      <c r="B7" s="874" t="s">
        <v>285</v>
      </c>
      <c r="C7" s="874" t="s">
        <v>253</v>
      </c>
      <c r="D7" s="1580">
        <v>27614</v>
      </c>
      <c r="E7" s="1568">
        <v>3796</v>
      </c>
      <c r="F7" s="1568">
        <v>0</v>
      </c>
      <c r="G7" s="1568">
        <v>72819</v>
      </c>
      <c r="H7" s="1568">
        <f t="shared" si="1"/>
        <v>104229</v>
      </c>
      <c r="I7" s="1569">
        <v>83994.286138134048</v>
      </c>
      <c r="J7" s="1569">
        <v>20234.713861865945</v>
      </c>
      <c r="K7" s="1570">
        <f t="shared" si="2"/>
        <v>104229</v>
      </c>
    </row>
    <row r="8" spans="1:11" ht="14.4" x14ac:dyDescent="0.3">
      <c r="A8" s="870" t="s">
        <v>18</v>
      </c>
      <c r="B8" s="871" t="s">
        <v>19</v>
      </c>
      <c r="C8" s="871" t="s">
        <v>254</v>
      </c>
      <c r="D8" s="1580">
        <v>9125</v>
      </c>
      <c r="E8" s="1568">
        <v>0</v>
      </c>
      <c r="F8" s="1568">
        <v>0</v>
      </c>
      <c r="G8" s="1568">
        <v>32390</v>
      </c>
      <c r="H8" s="1568">
        <f t="shared" si="1"/>
        <v>41515</v>
      </c>
      <c r="I8" s="1569">
        <v>33455.399063836696</v>
      </c>
      <c r="J8" s="1569">
        <v>8059.6009361633014</v>
      </c>
      <c r="K8" s="1570">
        <f t="shared" si="2"/>
        <v>41515</v>
      </c>
    </row>
    <row r="9" spans="1:11" ht="14.4" x14ac:dyDescent="0.3">
      <c r="A9" s="870" t="s">
        <v>20</v>
      </c>
      <c r="B9" s="871" t="s">
        <v>21</v>
      </c>
      <c r="C9" s="871" t="s">
        <v>253</v>
      </c>
      <c r="D9" s="1580">
        <v>162695</v>
      </c>
      <c r="E9" s="1568">
        <v>8619</v>
      </c>
      <c r="F9" s="1568">
        <v>0</v>
      </c>
      <c r="G9" s="1568">
        <v>272195</v>
      </c>
      <c r="H9" s="1568">
        <f t="shared" si="1"/>
        <v>443509</v>
      </c>
      <c r="I9" s="1569">
        <v>357407.45714568591</v>
      </c>
      <c r="J9" s="1569">
        <v>86101.542854314102</v>
      </c>
      <c r="K9" s="1570">
        <f t="shared" si="2"/>
        <v>443509</v>
      </c>
    </row>
    <row r="10" spans="1:11" ht="14.4" x14ac:dyDescent="0.3">
      <c r="A10" s="870" t="s">
        <v>22</v>
      </c>
      <c r="B10" s="871" t="s">
        <v>23</v>
      </c>
      <c r="C10" s="871" t="s">
        <v>253</v>
      </c>
      <c r="D10" s="1580">
        <v>23740</v>
      </c>
      <c r="E10" s="1568">
        <v>0</v>
      </c>
      <c r="F10" s="1568">
        <v>0</v>
      </c>
      <c r="G10" s="1568">
        <v>33364</v>
      </c>
      <c r="H10" s="1568">
        <f t="shared" si="1"/>
        <v>57104</v>
      </c>
      <c r="I10" s="1569">
        <v>46017.996101200304</v>
      </c>
      <c r="J10" s="1569">
        <v>11086.00389879969</v>
      </c>
      <c r="K10" s="1570">
        <f t="shared" si="2"/>
        <v>57103.999999999993</v>
      </c>
    </row>
    <row r="11" spans="1:11" ht="14.4" x14ac:dyDescent="0.3">
      <c r="A11" s="870" t="s">
        <v>24</v>
      </c>
      <c r="B11" s="871" t="s">
        <v>25</v>
      </c>
      <c r="C11" s="871" t="s">
        <v>255</v>
      </c>
      <c r="D11" s="1580">
        <v>652142</v>
      </c>
      <c r="E11" s="1568">
        <v>216928</v>
      </c>
      <c r="F11" s="1568">
        <v>0</v>
      </c>
      <c r="G11" s="1568">
        <v>1219747</v>
      </c>
      <c r="H11" s="1568">
        <f t="shared" si="1"/>
        <v>2088817</v>
      </c>
      <c r="I11" s="1569">
        <v>1683300.1639486011</v>
      </c>
      <c r="J11" s="1569">
        <v>405516.83605139877</v>
      </c>
      <c r="K11" s="1570">
        <f t="shared" si="2"/>
        <v>2088817</v>
      </c>
    </row>
    <row r="12" spans="1:11" ht="14.4" x14ac:dyDescent="0.3">
      <c r="A12" s="870" t="s">
        <v>26</v>
      </c>
      <c r="B12" s="874" t="s">
        <v>547</v>
      </c>
      <c r="C12" s="874" t="s">
        <v>253</v>
      </c>
      <c r="D12" s="1580">
        <v>496266</v>
      </c>
      <c r="E12" s="1568">
        <v>6700</v>
      </c>
      <c r="F12" s="1568">
        <v>0</v>
      </c>
      <c r="G12" s="1568">
        <v>501237</v>
      </c>
      <c r="H12" s="1568">
        <f t="shared" si="1"/>
        <v>1004203</v>
      </c>
      <c r="I12" s="1569">
        <v>809249.96040231246</v>
      </c>
      <c r="J12" s="1569">
        <v>194953.03959768749</v>
      </c>
      <c r="K12" s="1570">
        <f t="shared" si="2"/>
        <v>1004203</v>
      </c>
    </row>
    <row r="13" spans="1:11" ht="14.4" x14ac:dyDescent="0.3">
      <c r="A13" s="870" t="s">
        <v>27</v>
      </c>
      <c r="B13" s="871" t="s">
        <v>28</v>
      </c>
      <c r="C13" s="871" t="s">
        <v>253</v>
      </c>
      <c r="D13" s="1580">
        <v>0</v>
      </c>
      <c r="E13" s="1568">
        <v>0</v>
      </c>
      <c r="F13" s="1568">
        <v>0</v>
      </c>
      <c r="G13" s="1568">
        <v>196</v>
      </c>
      <c r="H13" s="1568">
        <f t="shared" si="1"/>
        <v>196</v>
      </c>
      <c r="I13" s="1569">
        <v>157.94913203690214</v>
      </c>
      <c r="J13" s="1569">
        <v>38.050867963097851</v>
      </c>
      <c r="K13" s="1570">
        <f t="shared" si="2"/>
        <v>196</v>
      </c>
    </row>
    <row r="14" spans="1:11" ht="14.4" x14ac:dyDescent="0.3">
      <c r="A14" s="870" t="s">
        <v>29</v>
      </c>
      <c r="B14" s="871" t="s">
        <v>736</v>
      </c>
      <c r="C14" s="871" t="s">
        <v>253</v>
      </c>
      <c r="D14" s="1580">
        <v>154394</v>
      </c>
      <c r="E14" s="1568">
        <v>0</v>
      </c>
      <c r="F14" s="1568">
        <v>0</v>
      </c>
      <c r="G14" s="1568">
        <v>184103</v>
      </c>
      <c r="H14" s="1568">
        <f t="shared" si="1"/>
        <v>338497</v>
      </c>
      <c r="I14" s="1569">
        <v>272782.1803423228</v>
      </c>
      <c r="J14" s="1569">
        <v>65714.819657677202</v>
      </c>
      <c r="K14" s="1570">
        <f t="shared" si="2"/>
        <v>338497</v>
      </c>
    </row>
    <row r="15" spans="1:11" ht="14.4" x14ac:dyDescent="0.3">
      <c r="A15" s="870" t="s">
        <v>30</v>
      </c>
      <c r="B15" s="871" t="s">
        <v>31</v>
      </c>
      <c r="C15" s="871" t="s">
        <v>256</v>
      </c>
      <c r="D15" s="1580">
        <v>17370</v>
      </c>
      <c r="E15" s="1568">
        <v>0</v>
      </c>
      <c r="F15" s="1568">
        <v>0</v>
      </c>
      <c r="G15" s="1568">
        <v>2355</v>
      </c>
      <c r="H15" s="1568">
        <f t="shared" si="1"/>
        <v>19725</v>
      </c>
      <c r="I15" s="1569">
        <v>15895.646068509668</v>
      </c>
      <c r="J15" s="1569">
        <v>3829.3539314903319</v>
      </c>
      <c r="K15" s="1570">
        <f t="shared" si="2"/>
        <v>19725</v>
      </c>
    </row>
    <row r="16" spans="1:11" ht="14.4" x14ac:dyDescent="0.3">
      <c r="A16" s="870" t="s">
        <v>32</v>
      </c>
      <c r="B16" s="871" t="s">
        <v>33</v>
      </c>
      <c r="C16" s="871" t="s">
        <v>253</v>
      </c>
      <c r="D16" s="1580">
        <v>151268</v>
      </c>
      <c r="E16" s="1568">
        <v>0</v>
      </c>
      <c r="F16" s="1568">
        <v>0</v>
      </c>
      <c r="G16" s="1568">
        <v>197833</v>
      </c>
      <c r="H16" s="1568">
        <f t="shared" si="1"/>
        <v>349101</v>
      </c>
      <c r="I16" s="1569">
        <v>281327.55073068663</v>
      </c>
      <c r="J16" s="1569">
        <v>67773.44926931338</v>
      </c>
      <c r="K16" s="1570">
        <f t="shared" si="2"/>
        <v>349101</v>
      </c>
    </row>
    <row r="17" spans="1:11" ht="14.4" x14ac:dyDescent="0.3">
      <c r="A17" s="870" t="s">
        <v>36</v>
      </c>
      <c r="B17" s="871" t="s">
        <v>37</v>
      </c>
      <c r="C17" s="871" t="s">
        <v>252</v>
      </c>
      <c r="D17" s="1580">
        <v>12725</v>
      </c>
      <c r="E17" s="1568">
        <v>0</v>
      </c>
      <c r="F17" s="1568">
        <v>0</v>
      </c>
      <c r="G17" s="1568">
        <v>52317</v>
      </c>
      <c r="H17" s="1568">
        <f t="shared" si="1"/>
        <v>65042</v>
      </c>
      <c r="I17" s="1569">
        <v>52414.935948694845</v>
      </c>
      <c r="J17" s="1569">
        <v>12627.064051305155</v>
      </c>
      <c r="K17" s="1570">
        <f t="shared" si="2"/>
        <v>65042</v>
      </c>
    </row>
    <row r="18" spans="1:11" ht="14.4" x14ac:dyDescent="0.3">
      <c r="A18" s="870" t="s">
        <v>38</v>
      </c>
      <c r="B18" s="871" t="s">
        <v>39</v>
      </c>
      <c r="C18" s="871" t="s">
        <v>256</v>
      </c>
      <c r="D18" s="1580">
        <v>0</v>
      </c>
      <c r="E18" s="1568">
        <v>0</v>
      </c>
      <c r="F18" s="1568">
        <v>0</v>
      </c>
      <c r="G18" s="1568">
        <v>8076</v>
      </c>
      <c r="H18" s="1568">
        <f t="shared" si="1"/>
        <v>8076</v>
      </c>
      <c r="I18" s="1569">
        <v>6508.1489302552127</v>
      </c>
      <c r="J18" s="1569">
        <v>1567.8510697447869</v>
      </c>
      <c r="K18" s="1570">
        <f t="shared" si="2"/>
        <v>8076</v>
      </c>
    </row>
    <row r="19" spans="1:11" ht="14.4" x14ac:dyDescent="0.3">
      <c r="A19" s="870" t="s">
        <v>40</v>
      </c>
      <c r="B19" s="871" t="s">
        <v>41</v>
      </c>
      <c r="C19" s="871" t="s">
        <v>254</v>
      </c>
      <c r="D19" s="1580">
        <v>9849</v>
      </c>
      <c r="E19" s="1568">
        <v>0</v>
      </c>
      <c r="F19" s="1568">
        <v>0</v>
      </c>
      <c r="G19" s="1568">
        <v>12810</v>
      </c>
      <c r="H19" s="1568">
        <f t="shared" si="1"/>
        <v>22659</v>
      </c>
      <c r="I19" s="1569">
        <v>18260.047871551866</v>
      </c>
      <c r="J19" s="1569">
        <v>4398.9521284481334</v>
      </c>
      <c r="K19" s="1570">
        <f t="shared" si="2"/>
        <v>22659</v>
      </c>
    </row>
    <row r="20" spans="1:11" ht="14.4" x14ac:dyDescent="0.3">
      <c r="A20" s="870" t="s">
        <v>42</v>
      </c>
      <c r="B20" s="871" t="s">
        <v>43</v>
      </c>
      <c r="C20" s="871" t="s">
        <v>253</v>
      </c>
      <c r="D20" s="1580">
        <v>274375</v>
      </c>
      <c r="E20" s="1568">
        <v>944</v>
      </c>
      <c r="F20" s="1568">
        <v>0</v>
      </c>
      <c r="G20" s="1568">
        <v>349300</v>
      </c>
      <c r="H20" s="1568">
        <f t="shared" si="1"/>
        <v>624619</v>
      </c>
      <c r="I20" s="1569">
        <v>503357.29032529483</v>
      </c>
      <c r="J20" s="1569">
        <v>121261.70967470518</v>
      </c>
      <c r="K20" s="1570">
        <f t="shared" si="2"/>
        <v>624619</v>
      </c>
    </row>
    <row r="21" spans="1:11" ht="14.4" x14ac:dyDescent="0.3">
      <c r="A21" s="870" t="s">
        <v>44</v>
      </c>
      <c r="B21" s="871" t="s">
        <v>45</v>
      </c>
      <c r="C21" s="871" t="s">
        <v>254</v>
      </c>
      <c r="D21" s="1580">
        <v>205233</v>
      </c>
      <c r="E21" s="1568">
        <v>39442</v>
      </c>
      <c r="F21" s="1568">
        <v>0</v>
      </c>
      <c r="G21" s="1568">
        <v>305213</v>
      </c>
      <c r="H21" s="1568">
        <f t="shared" si="1"/>
        <v>549888</v>
      </c>
      <c r="I21" s="1569">
        <v>443134.34855871456</v>
      </c>
      <c r="J21" s="1569">
        <v>106753.65144128546</v>
      </c>
      <c r="K21" s="1570">
        <f t="shared" si="2"/>
        <v>549888</v>
      </c>
    </row>
    <row r="22" spans="1:11" ht="14.4" x14ac:dyDescent="0.3">
      <c r="A22" s="870" t="s">
        <v>46</v>
      </c>
      <c r="B22" s="871" t="s">
        <v>47</v>
      </c>
      <c r="C22" s="871" t="s">
        <v>256</v>
      </c>
      <c r="D22" s="1580">
        <v>127891</v>
      </c>
      <c r="E22" s="1568">
        <v>0</v>
      </c>
      <c r="F22" s="1568">
        <v>0</v>
      </c>
      <c r="G22" s="1568">
        <v>197287</v>
      </c>
      <c r="H22" s="1568">
        <f t="shared" si="1"/>
        <v>325178</v>
      </c>
      <c r="I22" s="1569">
        <v>262048.89213008044</v>
      </c>
      <c r="J22" s="1569">
        <v>63129.10786991955</v>
      </c>
      <c r="K22" s="1570">
        <f t="shared" si="2"/>
        <v>325178</v>
      </c>
    </row>
    <row r="23" spans="1:11" ht="14.4" x14ac:dyDescent="0.3">
      <c r="A23" s="870" t="s">
        <v>48</v>
      </c>
      <c r="B23" s="871" t="s">
        <v>257</v>
      </c>
      <c r="C23" s="871" t="s">
        <v>254</v>
      </c>
      <c r="D23" s="1580">
        <v>14535</v>
      </c>
      <c r="E23" s="1568">
        <v>40747</v>
      </c>
      <c r="F23" s="1568">
        <v>0</v>
      </c>
      <c r="G23" s="1568">
        <v>54614</v>
      </c>
      <c r="H23" s="1568">
        <f t="shared" si="1"/>
        <v>109896</v>
      </c>
      <c r="I23" s="1569">
        <v>88561.111297588766</v>
      </c>
      <c r="J23" s="1569">
        <v>21334.88870241123</v>
      </c>
      <c r="K23" s="1570">
        <f t="shared" si="2"/>
        <v>109896</v>
      </c>
    </row>
    <row r="24" spans="1:11" ht="14.4" x14ac:dyDescent="0.3">
      <c r="A24" s="870" t="s">
        <v>50</v>
      </c>
      <c r="B24" s="871" t="s">
        <v>51</v>
      </c>
      <c r="C24" s="871" t="s">
        <v>253</v>
      </c>
      <c r="D24" s="1580">
        <v>20386</v>
      </c>
      <c r="E24" s="1568">
        <v>0</v>
      </c>
      <c r="F24" s="1568">
        <v>0</v>
      </c>
      <c r="G24" s="1568">
        <v>28011</v>
      </c>
      <c r="H24" s="1568">
        <f t="shared" si="1"/>
        <v>48397</v>
      </c>
      <c r="I24" s="1569">
        <v>39001.347669336494</v>
      </c>
      <c r="J24" s="1569">
        <v>9395.6523306635027</v>
      </c>
      <c r="K24" s="1570">
        <f t="shared" si="2"/>
        <v>48397</v>
      </c>
    </row>
    <row r="25" spans="1:11" ht="14.4" x14ac:dyDescent="0.3">
      <c r="A25" s="870" t="s">
        <v>56</v>
      </c>
      <c r="B25" s="874" t="s">
        <v>283</v>
      </c>
      <c r="C25" s="874" t="s">
        <v>254</v>
      </c>
      <c r="D25" s="1580">
        <v>1995302</v>
      </c>
      <c r="E25" s="1568">
        <v>23418</v>
      </c>
      <c r="F25" s="1568">
        <v>0</v>
      </c>
      <c r="G25" s="1568">
        <v>1966583</v>
      </c>
      <c r="H25" s="1568">
        <f t="shared" si="1"/>
        <v>3985303</v>
      </c>
      <c r="I25" s="1569">
        <v>3211607.9069084805</v>
      </c>
      <c r="J25" s="1569">
        <v>773695.09309151908</v>
      </c>
      <c r="K25" s="1570">
        <f t="shared" si="2"/>
        <v>3985302.9999999995</v>
      </c>
    </row>
    <row r="26" spans="1:11" ht="14.4" x14ac:dyDescent="0.3">
      <c r="A26" s="870" t="s">
        <v>58</v>
      </c>
      <c r="B26" s="871" t="s">
        <v>59</v>
      </c>
      <c r="C26" s="871" t="s">
        <v>255</v>
      </c>
      <c r="D26" s="1580">
        <v>32129</v>
      </c>
      <c r="E26" s="1568">
        <v>0</v>
      </c>
      <c r="F26" s="1568">
        <v>0</v>
      </c>
      <c r="G26" s="1568">
        <v>51171</v>
      </c>
      <c r="H26" s="1568">
        <f t="shared" si="1"/>
        <v>83300</v>
      </c>
      <c r="I26" s="1569">
        <v>67128.381115683413</v>
      </c>
      <c r="J26" s="1569">
        <v>16171.618884316586</v>
      </c>
      <c r="K26" s="1570">
        <f t="shared" si="2"/>
        <v>83300</v>
      </c>
    </row>
    <row r="27" spans="1:11" ht="14.4" x14ac:dyDescent="0.3">
      <c r="A27" s="870" t="s">
        <v>60</v>
      </c>
      <c r="B27" s="871" t="s">
        <v>61</v>
      </c>
      <c r="C27" s="871" t="s">
        <v>253</v>
      </c>
      <c r="D27" s="1580">
        <v>14474</v>
      </c>
      <c r="E27" s="1568">
        <v>131156</v>
      </c>
      <c r="F27" s="1568">
        <v>0</v>
      </c>
      <c r="G27" s="1568">
        <v>31068</v>
      </c>
      <c r="H27" s="1568">
        <f t="shared" si="1"/>
        <v>176698</v>
      </c>
      <c r="I27" s="1569">
        <v>142394.3659829415</v>
      </c>
      <c r="J27" s="1569">
        <v>34303.634017058488</v>
      </c>
      <c r="K27" s="1570">
        <f t="shared" si="2"/>
        <v>176698</v>
      </c>
    </row>
    <row r="28" spans="1:11" ht="14.4" x14ac:dyDescent="0.3">
      <c r="A28" s="870" t="s">
        <v>62</v>
      </c>
      <c r="B28" s="871" t="s">
        <v>63</v>
      </c>
      <c r="C28" s="871" t="s">
        <v>255</v>
      </c>
      <c r="D28" s="1580">
        <v>390847</v>
      </c>
      <c r="E28" s="1568">
        <v>664184</v>
      </c>
      <c r="F28" s="1568">
        <v>0</v>
      </c>
      <c r="G28" s="1568">
        <v>960325</v>
      </c>
      <c r="H28" s="1568">
        <f t="shared" si="1"/>
        <v>2015356</v>
      </c>
      <c r="I28" s="1569">
        <v>1624100.6680885865</v>
      </c>
      <c r="J28" s="1569">
        <v>391255.33191141341</v>
      </c>
      <c r="K28" s="1570">
        <f t="shared" si="2"/>
        <v>2015356</v>
      </c>
    </row>
    <row r="29" spans="1:11" ht="14.4" x14ac:dyDescent="0.3">
      <c r="A29" s="870" t="s">
        <v>64</v>
      </c>
      <c r="B29" s="871" t="s">
        <v>65</v>
      </c>
      <c r="C29" s="871" t="s">
        <v>254</v>
      </c>
      <c r="D29" s="1580">
        <v>51553</v>
      </c>
      <c r="E29" s="1568">
        <v>0</v>
      </c>
      <c r="F29" s="1568">
        <v>0</v>
      </c>
      <c r="G29" s="1568">
        <v>19710</v>
      </c>
      <c r="H29" s="1568">
        <f t="shared" si="1"/>
        <v>71263</v>
      </c>
      <c r="I29" s="1569">
        <v>57428.209165029373</v>
      </c>
      <c r="J29" s="1569">
        <v>13834.790834970621</v>
      </c>
      <c r="K29" s="1570">
        <f t="shared" si="2"/>
        <v>71263</v>
      </c>
    </row>
    <row r="30" spans="1:11" ht="14.4" x14ac:dyDescent="0.3">
      <c r="A30" s="870" t="s">
        <v>68</v>
      </c>
      <c r="B30" s="871" t="s">
        <v>69</v>
      </c>
      <c r="C30" s="871" t="s">
        <v>256</v>
      </c>
      <c r="D30" s="1580">
        <v>2826</v>
      </c>
      <c r="E30" s="1568">
        <v>4799</v>
      </c>
      <c r="F30" s="1568">
        <v>0</v>
      </c>
      <c r="G30" s="1568">
        <v>23263</v>
      </c>
      <c r="H30" s="1568">
        <f t="shared" si="1"/>
        <v>30888</v>
      </c>
      <c r="I30" s="1569">
        <v>24891.493828346091</v>
      </c>
      <c r="J30" s="1569">
        <v>5996.5061716539094</v>
      </c>
      <c r="K30" s="1570">
        <f t="shared" si="2"/>
        <v>30888</v>
      </c>
    </row>
    <row r="31" spans="1:11" ht="14.4" x14ac:dyDescent="0.3">
      <c r="A31" s="870" t="s">
        <v>70</v>
      </c>
      <c r="B31" s="871" t="s">
        <v>71</v>
      </c>
      <c r="C31" s="871" t="s">
        <v>252</v>
      </c>
      <c r="D31" s="1580">
        <v>44686</v>
      </c>
      <c r="E31" s="1568">
        <v>0</v>
      </c>
      <c r="F31" s="1568">
        <v>0</v>
      </c>
      <c r="G31" s="1568">
        <v>159470</v>
      </c>
      <c r="H31" s="1568">
        <f t="shared" si="1"/>
        <v>204156</v>
      </c>
      <c r="I31" s="1569">
        <v>164521.7500006418</v>
      </c>
      <c r="J31" s="1569">
        <v>39634.249999358188</v>
      </c>
      <c r="K31" s="1570">
        <f t="shared" si="2"/>
        <v>204156</v>
      </c>
    </row>
    <row r="32" spans="1:11" ht="14.4" x14ac:dyDescent="0.3">
      <c r="A32" s="870" t="s">
        <v>72</v>
      </c>
      <c r="B32" s="871" t="s">
        <v>73</v>
      </c>
      <c r="C32" s="871" t="s">
        <v>254</v>
      </c>
      <c r="D32" s="1580">
        <v>201452</v>
      </c>
      <c r="E32" s="1568">
        <v>19282</v>
      </c>
      <c r="F32" s="1568">
        <v>0</v>
      </c>
      <c r="G32" s="1568">
        <v>108989</v>
      </c>
      <c r="H32" s="1568">
        <f t="shared" si="1"/>
        <v>329723</v>
      </c>
      <c r="I32" s="1569">
        <v>265711.53909491573</v>
      </c>
      <c r="J32" s="1569">
        <v>64011.460905084241</v>
      </c>
      <c r="K32" s="1570">
        <f t="shared" si="2"/>
        <v>329723</v>
      </c>
    </row>
    <row r="33" spans="1:11" ht="14.4" x14ac:dyDescent="0.3">
      <c r="A33" s="870" t="s">
        <v>74</v>
      </c>
      <c r="B33" s="871" t="s">
        <v>525</v>
      </c>
      <c r="C33" s="871" t="s">
        <v>255</v>
      </c>
      <c r="D33" s="1580">
        <v>5304172</v>
      </c>
      <c r="E33" s="1568">
        <v>911052</v>
      </c>
      <c r="F33" s="1568">
        <v>0</v>
      </c>
      <c r="G33" s="1568">
        <v>18211310</v>
      </c>
      <c r="H33" s="1568">
        <f t="shared" si="1"/>
        <v>24426534</v>
      </c>
      <c r="I33" s="1569">
        <v>19684437.97943816</v>
      </c>
      <c r="J33" s="1569">
        <v>4742096.0205618385</v>
      </c>
      <c r="K33" s="1570">
        <f t="shared" si="2"/>
        <v>24426534</v>
      </c>
    </row>
    <row r="34" spans="1:11" ht="14.4" x14ac:dyDescent="0.3">
      <c r="A34" s="870" t="s">
        <v>76</v>
      </c>
      <c r="B34" s="871" t="s">
        <v>77</v>
      </c>
      <c r="C34" s="871" t="s">
        <v>255</v>
      </c>
      <c r="D34" s="1580">
        <v>195669</v>
      </c>
      <c r="E34" s="1568">
        <v>1996</v>
      </c>
      <c r="F34" s="1568">
        <v>0</v>
      </c>
      <c r="G34" s="1568">
        <v>345269</v>
      </c>
      <c r="H34" s="1568">
        <f t="shared" si="1"/>
        <v>542934</v>
      </c>
      <c r="I34" s="1569">
        <v>437530.37782307871</v>
      </c>
      <c r="J34" s="1569">
        <v>105403.62217692126</v>
      </c>
      <c r="K34" s="1570">
        <f t="shared" si="2"/>
        <v>542934</v>
      </c>
    </row>
    <row r="35" spans="1:11" ht="14.4" x14ac:dyDescent="0.3">
      <c r="A35" s="870" t="s">
        <v>78</v>
      </c>
      <c r="B35" s="871" t="s">
        <v>79</v>
      </c>
      <c r="C35" s="871" t="s">
        <v>256</v>
      </c>
      <c r="D35" s="1580">
        <v>10210</v>
      </c>
      <c r="E35" s="1568">
        <v>0</v>
      </c>
      <c r="F35" s="1568">
        <v>0</v>
      </c>
      <c r="G35" s="1568">
        <v>36562</v>
      </c>
      <c r="H35" s="1568">
        <f t="shared" si="1"/>
        <v>46772</v>
      </c>
      <c r="I35" s="1569">
        <v>37691.820426683611</v>
      </c>
      <c r="J35" s="1569">
        <v>9080.1795733163908</v>
      </c>
      <c r="K35" s="1570">
        <f t="shared" si="2"/>
        <v>46772</v>
      </c>
    </row>
    <row r="36" spans="1:11" ht="14.4" x14ac:dyDescent="0.3">
      <c r="A36" s="870" t="s">
        <v>80</v>
      </c>
      <c r="B36" s="871" t="s">
        <v>81</v>
      </c>
      <c r="C36" s="871" t="s">
        <v>254</v>
      </c>
      <c r="D36" s="1580">
        <v>62289</v>
      </c>
      <c r="E36" s="1568">
        <v>270</v>
      </c>
      <c r="F36" s="1568">
        <v>0</v>
      </c>
      <c r="G36" s="1568">
        <v>86146</v>
      </c>
      <c r="H36" s="1568">
        <f t="shared" si="1"/>
        <v>148705</v>
      </c>
      <c r="I36" s="1569">
        <v>119835.84530381394</v>
      </c>
      <c r="J36" s="1569">
        <v>28869.154696186048</v>
      </c>
      <c r="K36" s="1570">
        <f t="shared" si="2"/>
        <v>148705</v>
      </c>
    </row>
    <row r="37" spans="1:11" ht="14.4" x14ac:dyDescent="0.3">
      <c r="A37" s="870" t="s">
        <v>84</v>
      </c>
      <c r="B37" s="871" t="s">
        <v>296</v>
      </c>
      <c r="C37" s="871" t="s">
        <v>253</v>
      </c>
      <c r="D37" s="1580">
        <v>179597</v>
      </c>
      <c r="E37" s="1568">
        <v>19014</v>
      </c>
      <c r="F37" s="1568">
        <v>0</v>
      </c>
      <c r="G37" s="1568">
        <v>159720</v>
      </c>
      <c r="H37" s="1568">
        <f t="shared" ref="H37:H68" si="3">SUM(D37:G37)</f>
        <v>358331</v>
      </c>
      <c r="I37" s="1569">
        <v>288765.66546895501</v>
      </c>
      <c r="J37" s="1569">
        <v>69565.33453104498</v>
      </c>
      <c r="K37" s="1570">
        <f t="shared" ref="K37:K68" si="4">I37+J37</f>
        <v>358331</v>
      </c>
    </row>
    <row r="38" spans="1:11" ht="14.4" x14ac:dyDescent="0.3">
      <c r="A38" s="870" t="s">
        <v>86</v>
      </c>
      <c r="B38" s="871" t="s">
        <v>87</v>
      </c>
      <c r="C38" s="871" t="s">
        <v>255</v>
      </c>
      <c r="D38" s="1580">
        <v>194527</v>
      </c>
      <c r="E38" s="1568">
        <v>13565</v>
      </c>
      <c r="F38" s="1568">
        <v>0</v>
      </c>
      <c r="G38" s="1568">
        <v>494501</v>
      </c>
      <c r="H38" s="1568">
        <f t="shared" si="3"/>
        <v>702593</v>
      </c>
      <c r="I38" s="1569">
        <v>566193.64553675102</v>
      </c>
      <c r="J38" s="1569">
        <v>136399.35446324901</v>
      </c>
      <c r="K38" s="1570">
        <f t="shared" si="4"/>
        <v>702593</v>
      </c>
    </row>
    <row r="39" spans="1:11" ht="14.4" x14ac:dyDescent="0.3">
      <c r="A39" s="870" t="s">
        <v>92</v>
      </c>
      <c r="B39" s="871" t="s">
        <v>93</v>
      </c>
      <c r="C39" s="871" t="s">
        <v>256</v>
      </c>
      <c r="D39" s="1580">
        <v>61479</v>
      </c>
      <c r="E39" s="1568">
        <v>11346</v>
      </c>
      <c r="F39" s="1568">
        <v>0</v>
      </c>
      <c r="G39" s="1568">
        <v>91580</v>
      </c>
      <c r="H39" s="1568">
        <f t="shared" si="3"/>
        <v>164405</v>
      </c>
      <c r="I39" s="1569">
        <v>132487.89312513723</v>
      </c>
      <c r="J39" s="1569">
        <v>31917.106874862762</v>
      </c>
      <c r="K39" s="1570">
        <f t="shared" si="4"/>
        <v>164405</v>
      </c>
    </row>
    <row r="40" spans="1:11" ht="14.4" x14ac:dyDescent="0.3">
      <c r="A40" s="870" t="s">
        <v>94</v>
      </c>
      <c r="B40" s="871" t="s">
        <v>95</v>
      </c>
      <c r="C40" s="871" t="s">
        <v>252</v>
      </c>
      <c r="D40" s="1580">
        <v>126899</v>
      </c>
      <c r="E40" s="1568">
        <v>10276</v>
      </c>
      <c r="F40" s="1568">
        <v>0</v>
      </c>
      <c r="G40" s="1568">
        <v>177808</v>
      </c>
      <c r="H40" s="1568">
        <f t="shared" si="3"/>
        <v>314983</v>
      </c>
      <c r="I40" s="1569">
        <v>253833.11967540585</v>
      </c>
      <c r="J40" s="1569">
        <v>61149.880324594131</v>
      </c>
      <c r="K40" s="1570">
        <f t="shared" si="4"/>
        <v>314983</v>
      </c>
    </row>
    <row r="41" spans="1:11" ht="14.4" x14ac:dyDescent="0.3">
      <c r="A41" s="870" t="s">
        <v>96</v>
      </c>
      <c r="B41" s="871" t="s">
        <v>97</v>
      </c>
      <c r="C41" s="871" t="s">
        <v>254</v>
      </c>
      <c r="D41" s="1580">
        <v>28792</v>
      </c>
      <c r="E41" s="1568">
        <v>0</v>
      </c>
      <c r="F41" s="1568">
        <v>0</v>
      </c>
      <c r="G41" s="1568">
        <v>99511</v>
      </c>
      <c r="H41" s="1568">
        <f t="shared" si="3"/>
        <v>128303</v>
      </c>
      <c r="I41" s="1569">
        <v>103394.63003944213</v>
      </c>
      <c r="J41" s="1569">
        <v>24908.369960557873</v>
      </c>
      <c r="K41" s="1570">
        <f t="shared" si="4"/>
        <v>128303</v>
      </c>
    </row>
    <row r="42" spans="1:11" ht="14.4" x14ac:dyDescent="0.3">
      <c r="A42" s="870" t="s">
        <v>98</v>
      </c>
      <c r="B42" s="871" t="s">
        <v>99</v>
      </c>
      <c r="C42" s="871" t="s">
        <v>256</v>
      </c>
      <c r="D42" s="1580">
        <v>12691</v>
      </c>
      <c r="E42" s="1568">
        <v>0</v>
      </c>
      <c r="F42" s="1568">
        <v>0</v>
      </c>
      <c r="G42" s="1568">
        <v>18568</v>
      </c>
      <c r="H42" s="1568">
        <f t="shared" si="3"/>
        <v>31259</v>
      </c>
      <c r="I42" s="1569">
        <v>25190.468971130227</v>
      </c>
      <c r="J42" s="1569">
        <v>6068.5310288697738</v>
      </c>
      <c r="K42" s="1570">
        <f t="shared" si="4"/>
        <v>31259</v>
      </c>
    </row>
    <row r="43" spans="1:11" ht="14.4" x14ac:dyDescent="0.3">
      <c r="A43" s="870" t="s">
        <v>100</v>
      </c>
      <c r="B43" s="871" t="s">
        <v>101</v>
      </c>
      <c r="C43" s="871" t="s">
        <v>255</v>
      </c>
      <c r="D43" s="1580">
        <v>71352</v>
      </c>
      <c r="E43" s="1568">
        <v>0</v>
      </c>
      <c r="F43" s="1568">
        <v>0</v>
      </c>
      <c r="G43" s="1568">
        <v>51215</v>
      </c>
      <c r="H43" s="1568">
        <f t="shared" si="3"/>
        <v>122567</v>
      </c>
      <c r="I43" s="1569">
        <v>98772.200338607072</v>
      </c>
      <c r="J43" s="1569">
        <v>23794.799661392928</v>
      </c>
      <c r="K43" s="1570">
        <f t="shared" si="4"/>
        <v>122567</v>
      </c>
    </row>
    <row r="44" spans="1:11" ht="14.4" x14ac:dyDescent="0.3">
      <c r="A44" s="870" t="s">
        <v>102</v>
      </c>
      <c r="B44" s="871" t="s">
        <v>103</v>
      </c>
      <c r="C44" s="871" t="s">
        <v>252</v>
      </c>
      <c r="D44" s="1580">
        <v>127140</v>
      </c>
      <c r="E44" s="1568">
        <v>0</v>
      </c>
      <c r="F44" s="1568">
        <v>0</v>
      </c>
      <c r="G44" s="1568">
        <v>143077</v>
      </c>
      <c r="H44" s="1568">
        <f t="shared" si="3"/>
        <v>270217</v>
      </c>
      <c r="I44" s="1569">
        <v>217757.86026334483</v>
      </c>
      <c r="J44" s="1569">
        <v>52459.139736655161</v>
      </c>
      <c r="K44" s="1570">
        <f t="shared" si="4"/>
        <v>270217</v>
      </c>
    </row>
    <row r="45" spans="1:11" ht="14.4" x14ac:dyDescent="0.3">
      <c r="A45" s="870" t="s">
        <v>104</v>
      </c>
      <c r="B45" s="871" t="s">
        <v>297</v>
      </c>
      <c r="C45" s="871" t="s">
        <v>253</v>
      </c>
      <c r="D45" s="1580">
        <v>51672</v>
      </c>
      <c r="E45" s="1568">
        <v>0</v>
      </c>
      <c r="F45" s="1568">
        <v>0</v>
      </c>
      <c r="G45" s="1568">
        <v>134053</v>
      </c>
      <c r="H45" s="1568">
        <f t="shared" si="3"/>
        <v>185725</v>
      </c>
      <c r="I45" s="1569">
        <v>149668.8905487431</v>
      </c>
      <c r="J45" s="1569">
        <v>36056.109451256874</v>
      </c>
      <c r="K45" s="1570">
        <f t="shared" si="4"/>
        <v>185724.99999999997</v>
      </c>
    </row>
    <row r="46" spans="1:11" ht="14.4" x14ac:dyDescent="0.3">
      <c r="A46" s="870" t="s">
        <v>108</v>
      </c>
      <c r="B46" s="871" t="s">
        <v>109</v>
      </c>
      <c r="C46" s="871" t="s">
        <v>254</v>
      </c>
      <c r="D46" s="1580">
        <v>534064</v>
      </c>
      <c r="E46" s="1568">
        <v>45189</v>
      </c>
      <c r="F46" s="1568">
        <v>0</v>
      </c>
      <c r="G46" s="1568">
        <v>708245</v>
      </c>
      <c r="H46" s="1568">
        <f t="shared" si="3"/>
        <v>1287498</v>
      </c>
      <c r="I46" s="1569">
        <v>1037546.8959145277</v>
      </c>
      <c r="J46" s="1569">
        <v>249951.10408547221</v>
      </c>
      <c r="K46" s="1570">
        <f t="shared" si="4"/>
        <v>1287498</v>
      </c>
    </row>
    <row r="47" spans="1:11" ht="14.4" x14ac:dyDescent="0.3">
      <c r="A47" s="870" t="s">
        <v>110</v>
      </c>
      <c r="B47" s="874" t="s">
        <v>111</v>
      </c>
      <c r="C47" s="874" t="s">
        <v>254</v>
      </c>
      <c r="D47" s="1580">
        <v>4259621</v>
      </c>
      <c r="E47" s="1568">
        <v>93704</v>
      </c>
      <c r="F47" s="1568">
        <v>0</v>
      </c>
      <c r="G47" s="1568">
        <v>4089466</v>
      </c>
      <c r="H47" s="1568">
        <f t="shared" si="3"/>
        <v>8442791</v>
      </c>
      <c r="I47" s="1569">
        <v>6803732.1960151484</v>
      </c>
      <c r="J47" s="1569">
        <v>1639058.8039848513</v>
      </c>
      <c r="K47" s="1570">
        <f t="shared" si="4"/>
        <v>8442791</v>
      </c>
    </row>
    <row r="48" spans="1:11" ht="14.4" x14ac:dyDescent="0.3">
      <c r="A48" s="870" t="s">
        <v>112</v>
      </c>
      <c r="B48" s="874" t="s">
        <v>288</v>
      </c>
      <c r="C48" s="874" t="s">
        <v>253</v>
      </c>
      <c r="D48" s="1580">
        <v>154030</v>
      </c>
      <c r="E48" s="1568">
        <v>0</v>
      </c>
      <c r="F48" s="1568">
        <v>0</v>
      </c>
      <c r="G48" s="1568">
        <v>222637</v>
      </c>
      <c r="H48" s="1568">
        <f t="shared" si="3"/>
        <v>376667</v>
      </c>
      <c r="I48" s="1569">
        <v>303541.96794359095</v>
      </c>
      <c r="J48" s="1569">
        <v>73125.032056409065</v>
      </c>
      <c r="K48" s="1570">
        <f t="shared" si="4"/>
        <v>376667</v>
      </c>
    </row>
    <row r="49" spans="1:11" ht="14.4" x14ac:dyDescent="0.3">
      <c r="A49" s="870" t="s">
        <v>114</v>
      </c>
      <c r="B49" s="874" t="s">
        <v>115</v>
      </c>
      <c r="C49" s="874" t="s">
        <v>253</v>
      </c>
      <c r="D49" s="1580">
        <v>0</v>
      </c>
      <c r="E49" s="1568">
        <v>0</v>
      </c>
      <c r="F49" s="1568">
        <v>0</v>
      </c>
      <c r="G49" s="1568">
        <v>0</v>
      </c>
      <c r="H49" s="1568">
        <f t="shared" si="3"/>
        <v>0</v>
      </c>
      <c r="I49" s="1569">
        <v>0</v>
      </c>
      <c r="J49" s="1569">
        <v>0</v>
      </c>
      <c r="K49" s="1570">
        <f t="shared" si="4"/>
        <v>0</v>
      </c>
    </row>
    <row r="50" spans="1:11" ht="14.4" x14ac:dyDescent="0.3">
      <c r="A50" s="870" t="s">
        <v>118</v>
      </c>
      <c r="B50" s="871" t="s">
        <v>119</v>
      </c>
      <c r="C50" s="871" t="s">
        <v>252</v>
      </c>
      <c r="D50" s="1580">
        <v>44971</v>
      </c>
      <c r="E50" s="1568">
        <v>0</v>
      </c>
      <c r="F50" s="1568">
        <v>0</v>
      </c>
      <c r="G50" s="1568">
        <v>23753</v>
      </c>
      <c r="H50" s="1568">
        <f t="shared" si="3"/>
        <v>68724</v>
      </c>
      <c r="I50" s="1569">
        <v>55382.123214816645</v>
      </c>
      <c r="J50" s="1569">
        <v>13341.876785183349</v>
      </c>
      <c r="K50" s="1570">
        <f t="shared" si="4"/>
        <v>68724</v>
      </c>
    </row>
    <row r="51" spans="1:11" ht="14.4" x14ac:dyDescent="0.3">
      <c r="A51" s="870" t="s">
        <v>120</v>
      </c>
      <c r="B51" s="871" t="s">
        <v>121</v>
      </c>
      <c r="C51" s="871" t="s">
        <v>252</v>
      </c>
      <c r="D51" s="1580">
        <v>210521</v>
      </c>
      <c r="E51" s="1568">
        <v>69762</v>
      </c>
      <c r="F51" s="1568">
        <v>0</v>
      </c>
      <c r="G51" s="1568">
        <v>353469</v>
      </c>
      <c r="H51" s="1568">
        <f t="shared" si="3"/>
        <v>633752</v>
      </c>
      <c r="I51" s="1569">
        <v>510717.23636046331</v>
      </c>
      <c r="J51" s="1569">
        <v>123034.76363953667</v>
      </c>
      <c r="K51" s="1570">
        <f t="shared" si="4"/>
        <v>633752</v>
      </c>
    </row>
    <row r="52" spans="1:11" ht="14.4" x14ac:dyDescent="0.3">
      <c r="A52" s="870" t="s">
        <v>122</v>
      </c>
      <c r="B52" s="871" t="s">
        <v>259</v>
      </c>
      <c r="C52" s="871" t="s">
        <v>254</v>
      </c>
      <c r="D52" s="1580">
        <v>38351</v>
      </c>
      <c r="E52" s="1568">
        <v>6385</v>
      </c>
      <c r="F52" s="1568">
        <v>0</v>
      </c>
      <c r="G52" s="1568">
        <v>61795</v>
      </c>
      <c r="H52" s="1568">
        <f t="shared" si="3"/>
        <v>106531</v>
      </c>
      <c r="I52" s="1569">
        <v>85849.382576649092</v>
      </c>
      <c r="J52" s="1569">
        <v>20681.617423350901</v>
      </c>
      <c r="K52" s="1570">
        <f t="shared" si="4"/>
        <v>106531</v>
      </c>
    </row>
    <row r="53" spans="1:11" ht="14.4" x14ac:dyDescent="0.3">
      <c r="A53" s="870" t="s">
        <v>124</v>
      </c>
      <c r="B53" s="871" t="s">
        <v>125</v>
      </c>
      <c r="C53" s="871" t="s">
        <v>255</v>
      </c>
      <c r="D53" s="1580">
        <v>156636</v>
      </c>
      <c r="E53" s="1568">
        <v>1624</v>
      </c>
      <c r="F53" s="1568">
        <v>0</v>
      </c>
      <c r="G53" s="1568">
        <v>289653</v>
      </c>
      <c r="H53" s="1568">
        <f t="shared" si="3"/>
        <v>447913</v>
      </c>
      <c r="I53" s="1569">
        <v>360956.47743900487</v>
      </c>
      <c r="J53" s="1569">
        <v>86956.52256099513</v>
      </c>
      <c r="K53" s="1570">
        <f t="shared" si="4"/>
        <v>447913</v>
      </c>
    </row>
    <row r="54" spans="1:11" ht="14.4" x14ac:dyDescent="0.3">
      <c r="A54" s="870" t="s">
        <v>126</v>
      </c>
      <c r="B54" s="871" t="s">
        <v>127</v>
      </c>
      <c r="C54" s="871" t="s">
        <v>254</v>
      </c>
      <c r="D54" s="1580">
        <v>4947</v>
      </c>
      <c r="E54" s="1568">
        <v>10573</v>
      </c>
      <c r="F54" s="1568">
        <v>0</v>
      </c>
      <c r="G54" s="1568">
        <v>99899</v>
      </c>
      <c r="H54" s="1568">
        <f t="shared" si="3"/>
        <v>115419</v>
      </c>
      <c r="I54" s="1569">
        <v>93011.89219677147</v>
      </c>
      <c r="J54" s="1569">
        <v>22407.107803228522</v>
      </c>
      <c r="K54" s="1570">
        <f t="shared" si="4"/>
        <v>115419</v>
      </c>
    </row>
    <row r="55" spans="1:11" ht="14.4" x14ac:dyDescent="0.3">
      <c r="A55" s="870" t="s">
        <v>128</v>
      </c>
      <c r="B55" s="871" t="s">
        <v>129</v>
      </c>
      <c r="C55" s="871" t="s">
        <v>254</v>
      </c>
      <c r="D55" s="1580">
        <v>18733</v>
      </c>
      <c r="E55" s="1568">
        <v>0</v>
      </c>
      <c r="F55" s="1568">
        <v>0</v>
      </c>
      <c r="G55" s="1568">
        <v>33469</v>
      </c>
      <c r="H55" s="1568">
        <f t="shared" si="3"/>
        <v>52202</v>
      </c>
      <c r="I55" s="1569">
        <v>42067.656074440645</v>
      </c>
      <c r="J55" s="1569">
        <v>10134.343925559357</v>
      </c>
      <c r="K55" s="1570">
        <f t="shared" si="4"/>
        <v>52202</v>
      </c>
    </row>
    <row r="56" spans="1:11" ht="14.4" x14ac:dyDescent="0.3">
      <c r="A56" s="870" t="s">
        <v>130</v>
      </c>
      <c r="B56" s="871" t="s">
        <v>131</v>
      </c>
      <c r="C56" s="871" t="s">
        <v>256</v>
      </c>
      <c r="D56" s="1580">
        <v>10476</v>
      </c>
      <c r="E56" s="1568">
        <v>0</v>
      </c>
      <c r="F56" s="1568">
        <v>0</v>
      </c>
      <c r="G56" s="1568">
        <v>8402</v>
      </c>
      <c r="H56" s="1568">
        <f t="shared" si="3"/>
        <v>18878</v>
      </c>
      <c r="I56" s="1569">
        <v>15213.080176493055</v>
      </c>
      <c r="J56" s="1569">
        <v>3664.9198235069448</v>
      </c>
      <c r="K56" s="1570">
        <f t="shared" si="4"/>
        <v>18878</v>
      </c>
    </row>
    <row r="57" spans="1:11" ht="14.4" x14ac:dyDescent="0.3">
      <c r="A57" s="870" t="s">
        <v>132</v>
      </c>
      <c r="B57" s="871" t="s">
        <v>133</v>
      </c>
      <c r="C57" s="871" t="s">
        <v>255</v>
      </c>
      <c r="D57" s="1580">
        <v>1459924</v>
      </c>
      <c r="E57" s="1568">
        <v>452957</v>
      </c>
      <c r="F57" s="1568">
        <v>0</v>
      </c>
      <c r="G57" s="1568">
        <v>2501622</v>
      </c>
      <c r="H57" s="1568">
        <f t="shared" si="3"/>
        <v>4414503</v>
      </c>
      <c r="I57" s="1569">
        <v>3557484.2715525543</v>
      </c>
      <c r="J57" s="1569">
        <v>857018.72844744555</v>
      </c>
      <c r="K57" s="1570">
        <f t="shared" si="4"/>
        <v>4414503</v>
      </c>
    </row>
    <row r="58" spans="1:11" ht="14.4" x14ac:dyDescent="0.3">
      <c r="A58" s="870" t="s">
        <v>134</v>
      </c>
      <c r="B58" s="871" t="s">
        <v>135</v>
      </c>
      <c r="C58" s="871" t="s">
        <v>255</v>
      </c>
      <c r="D58" s="1580">
        <v>93180</v>
      </c>
      <c r="E58" s="1568">
        <v>0</v>
      </c>
      <c r="F58" s="1568">
        <v>0</v>
      </c>
      <c r="G58" s="1568">
        <v>9882</v>
      </c>
      <c r="H58" s="1568">
        <f t="shared" si="3"/>
        <v>103062</v>
      </c>
      <c r="I58" s="1569">
        <v>83053.844112179635</v>
      </c>
      <c r="J58" s="1569">
        <v>20008.155887820358</v>
      </c>
      <c r="K58" s="1570">
        <f t="shared" si="4"/>
        <v>103062</v>
      </c>
    </row>
    <row r="59" spans="1:11" ht="14.4" x14ac:dyDescent="0.3">
      <c r="A59" s="870" t="s">
        <v>136</v>
      </c>
      <c r="B59" s="871" t="s">
        <v>137</v>
      </c>
      <c r="C59" s="871" t="s">
        <v>254</v>
      </c>
      <c r="D59" s="1580">
        <v>10190</v>
      </c>
      <c r="E59" s="1568">
        <v>0</v>
      </c>
      <c r="F59" s="1568">
        <v>0</v>
      </c>
      <c r="G59" s="1568">
        <v>4776</v>
      </c>
      <c r="H59" s="1568">
        <f t="shared" si="3"/>
        <v>14966</v>
      </c>
      <c r="I59" s="1569">
        <v>12060.544439103456</v>
      </c>
      <c r="J59" s="1569">
        <v>2905.4555608965429</v>
      </c>
      <c r="K59" s="1570">
        <f t="shared" si="4"/>
        <v>14966</v>
      </c>
    </row>
    <row r="60" spans="1:11" ht="14.4" x14ac:dyDescent="0.3">
      <c r="A60" s="870" t="s">
        <v>140</v>
      </c>
      <c r="B60" s="871" t="s">
        <v>141</v>
      </c>
      <c r="C60" s="871" t="s">
        <v>255</v>
      </c>
      <c r="D60" s="1580">
        <v>50926</v>
      </c>
      <c r="E60" s="1568">
        <v>0</v>
      </c>
      <c r="F60" s="1568">
        <v>0</v>
      </c>
      <c r="G60" s="1568">
        <v>47135</v>
      </c>
      <c r="H60" s="1568">
        <f t="shared" si="3"/>
        <v>98061</v>
      </c>
      <c r="I60" s="1569">
        <v>79023.723656482965</v>
      </c>
      <c r="J60" s="1569">
        <v>19037.276343517031</v>
      </c>
      <c r="K60" s="1570">
        <f t="shared" si="4"/>
        <v>98061</v>
      </c>
    </row>
    <row r="61" spans="1:11" ht="14.4" x14ac:dyDescent="0.3">
      <c r="A61" s="870" t="s">
        <v>146</v>
      </c>
      <c r="B61" s="871" t="s">
        <v>147</v>
      </c>
      <c r="C61" s="871" t="s">
        <v>252</v>
      </c>
      <c r="D61" s="1580">
        <v>15126</v>
      </c>
      <c r="E61" s="1568">
        <v>5614</v>
      </c>
      <c r="F61" s="1568">
        <v>0</v>
      </c>
      <c r="G61" s="1568">
        <v>8713</v>
      </c>
      <c r="H61" s="1568">
        <f t="shared" si="3"/>
        <v>29453</v>
      </c>
      <c r="I61" s="1569">
        <v>23735.080540218769</v>
      </c>
      <c r="J61" s="1569">
        <v>5717.9194597812293</v>
      </c>
      <c r="K61" s="1570">
        <f t="shared" si="4"/>
        <v>29453</v>
      </c>
    </row>
    <row r="62" spans="1:11" ht="14.4" x14ac:dyDescent="0.3">
      <c r="A62" s="870" t="s">
        <v>148</v>
      </c>
      <c r="B62" s="871" t="s">
        <v>149</v>
      </c>
      <c r="C62" s="871" t="s">
        <v>253</v>
      </c>
      <c r="D62" s="1580">
        <v>44289</v>
      </c>
      <c r="E62" s="1568">
        <v>0</v>
      </c>
      <c r="F62" s="1568">
        <v>0</v>
      </c>
      <c r="G62" s="1568">
        <v>61386</v>
      </c>
      <c r="H62" s="1568">
        <f t="shared" si="3"/>
        <v>105675</v>
      </c>
      <c r="I62" s="1569">
        <v>85159.563918365486</v>
      </c>
      <c r="J62" s="1569">
        <v>20515.436081634514</v>
      </c>
      <c r="K62" s="1570">
        <f t="shared" si="4"/>
        <v>105675</v>
      </c>
    </row>
    <row r="63" spans="1:11" ht="14.4" x14ac:dyDescent="0.3">
      <c r="A63" s="870" t="s">
        <v>150</v>
      </c>
      <c r="B63" s="871" t="s">
        <v>151</v>
      </c>
      <c r="C63" s="871" t="s">
        <v>254</v>
      </c>
      <c r="D63" s="1580">
        <v>60994</v>
      </c>
      <c r="E63" s="1568">
        <v>7929</v>
      </c>
      <c r="F63" s="1568">
        <v>0</v>
      </c>
      <c r="G63" s="1568">
        <v>89838</v>
      </c>
      <c r="H63" s="1568">
        <f t="shared" si="3"/>
        <v>158761</v>
      </c>
      <c r="I63" s="1569">
        <v>127939.60281280929</v>
      </c>
      <c r="J63" s="1569">
        <v>30821.397187190702</v>
      </c>
      <c r="K63" s="1570">
        <f t="shared" si="4"/>
        <v>158761</v>
      </c>
    </row>
    <row r="64" spans="1:11" ht="14.4" x14ac:dyDescent="0.3">
      <c r="A64" s="870" t="s">
        <v>152</v>
      </c>
      <c r="B64" s="871" t="s">
        <v>153</v>
      </c>
      <c r="C64" s="871" t="s">
        <v>256</v>
      </c>
      <c r="D64" s="1580">
        <v>449754</v>
      </c>
      <c r="E64" s="1568">
        <v>1174</v>
      </c>
      <c r="F64" s="1568">
        <v>0</v>
      </c>
      <c r="G64" s="1568">
        <v>702755</v>
      </c>
      <c r="H64" s="1568">
        <f t="shared" si="3"/>
        <v>1153683</v>
      </c>
      <c r="I64" s="1569">
        <v>929710.34946800699</v>
      </c>
      <c r="J64" s="1569">
        <v>223972.65053199293</v>
      </c>
      <c r="K64" s="1570">
        <f t="shared" si="4"/>
        <v>1153683</v>
      </c>
    </row>
    <row r="65" spans="1:11" ht="14.4" x14ac:dyDescent="0.3">
      <c r="A65" s="870" t="s">
        <v>154</v>
      </c>
      <c r="B65" s="871" t="s">
        <v>155</v>
      </c>
      <c r="C65" s="871" t="s">
        <v>253</v>
      </c>
      <c r="D65" s="1580">
        <v>25624</v>
      </c>
      <c r="E65" s="1568">
        <v>0</v>
      </c>
      <c r="F65" s="1568">
        <v>0</v>
      </c>
      <c r="G65" s="1568">
        <v>30945</v>
      </c>
      <c r="H65" s="1568">
        <f t="shared" si="3"/>
        <v>56569</v>
      </c>
      <c r="I65" s="1569">
        <v>45586.859439773049</v>
      </c>
      <c r="J65" s="1569">
        <v>10982.14056022695</v>
      </c>
      <c r="K65" s="1570">
        <f t="shared" si="4"/>
        <v>56569</v>
      </c>
    </row>
    <row r="66" spans="1:11" ht="14.4" x14ac:dyDescent="0.3">
      <c r="A66" s="870" t="s">
        <v>156</v>
      </c>
      <c r="B66" s="871" t="s">
        <v>157</v>
      </c>
      <c r="C66" s="871" t="s">
        <v>254</v>
      </c>
      <c r="D66" s="1580">
        <v>67148</v>
      </c>
      <c r="E66" s="1568">
        <v>5512</v>
      </c>
      <c r="F66" s="1568">
        <v>0</v>
      </c>
      <c r="G66" s="1568">
        <v>98779</v>
      </c>
      <c r="H66" s="1568">
        <f t="shared" si="3"/>
        <v>171439</v>
      </c>
      <c r="I66" s="1569">
        <v>138156.33289425747</v>
      </c>
      <c r="J66" s="1569">
        <v>33282.667105742512</v>
      </c>
      <c r="K66" s="1570">
        <f t="shared" si="4"/>
        <v>171439</v>
      </c>
    </row>
    <row r="67" spans="1:11" ht="14.4" x14ac:dyDescent="0.3">
      <c r="A67" s="870" t="s">
        <v>162</v>
      </c>
      <c r="B67" s="871" t="s">
        <v>163</v>
      </c>
      <c r="C67" s="871" t="s">
        <v>252</v>
      </c>
      <c r="D67" s="1580">
        <v>28422</v>
      </c>
      <c r="E67" s="1568">
        <v>0</v>
      </c>
      <c r="F67" s="1568">
        <v>0</v>
      </c>
      <c r="G67" s="1568">
        <v>105266</v>
      </c>
      <c r="H67" s="1568">
        <f t="shared" si="3"/>
        <v>133688</v>
      </c>
      <c r="I67" s="1569">
        <v>107734.20185586416</v>
      </c>
      <c r="J67" s="1569">
        <v>25953.798144135842</v>
      </c>
      <c r="K67" s="1570">
        <f t="shared" si="4"/>
        <v>133688</v>
      </c>
    </row>
    <row r="68" spans="1:11" ht="14.4" x14ac:dyDescent="0.3">
      <c r="A68" s="870" t="s">
        <v>164</v>
      </c>
      <c r="B68" s="871" t="s">
        <v>165</v>
      </c>
      <c r="C68" s="871" t="s">
        <v>254</v>
      </c>
      <c r="D68" s="1580">
        <v>35192</v>
      </c>
      <c r="E68" s="1568">
        <v>0</v>
      </c>
      <c r="F68" s="1568">
        <v>0</v>
      </c>
      <c r="G68" s="1568">
        <v>8552</v>
      </c>
      <c r="H68" s="1568">
        <f t="shared" si="3"/>
        <v>43744</v>
      </c>
      <c r="I68" s="1569">
        <v>35251.667509297178</v>
      </c>
      <c r="J68" s="1569">
        <v>8492.3324907028182</v>
      </c>
      <c r="K68" s="1570">
        <f t="shared" si="4"/>
        <v>43744</v>
      </c>
    </row>
    <row r="69" spans="1:11" ht="14.4" x14ac:dyDescent="0.3">
      <c r="A69" s="870" t="s">
        <v>168</v>
      </c>
      <c r="B69" s="871" t="s">
        <v>169</v>
      </c>
      <c r="C69" s="871" t="s">
        <v>254</v>
      </c>
      <c r="D69" s="1580">
        <v>12651</v>
      </c>
      <c r="E69" s="1568">
        <v>0</v>
      </c>
      <c r="F69" s="1568">
        <v>0</v>
      </c>
      <c r="G69" s="1568">
        <v>28117</v>
      </c>
      <c r="H69" s="1568">
        <f t="shared" ref="H69:H100" si="5">SUM(D69:G69)</f>
        <v>40768</v>
      </c>
      <c r="I69" s="1569">
        <v>32853.419463675644</v>
      </c>
      <c r="J69" s="1569">
        <v>7914.5805363243526</v>
      </c>
      <c r="K69" s="1570">
        <f t="shared" ref="K69:K100" si="6">I69+J69</f>
        <v>40768</v>
      </c>
    </row>
    <row r="70" spans="1:11" ht="14.4" x14ac:dyDescent="0.3">
      <c r="A70" s="870" t="s">
        <v>170</v>
      </c>
      <c r="B70" s="871" t="s">
        <v>171</v>
      </c>
      <c r="C70" s="871" t="s">
        <v>255</v>
      </c>
      <c r="D70" s="1580">
        <v>179877</v>
      </c>
      <c r="E70" s="1568">
        <v>29047</v>
      </c>
      <c r="F70" s="1568">
        <v>0</v>
      </c>
      <c r="G70" s="1568">
        <v>194920</v>
      </c>
      <c r="H70" s="1568">
        <f t="shared" si="5"/>
        <v>403844</v>
      </c>
      <c r="I70" s="1569">
        <v>325442.9044811771</v>
      </c>
      <c r="J70" s="1569">
        <v>78401.095518822898</v>
      </c>
      <c r="K70" s="1570">
        <f t="shared" si="6"/>
        <v>403844</v>
      </c>
    </row>
    <row r="71" spans="1:11" ht="14.4" x14ac:dyDescent="0.3">
      <c r="A71" s="870" t="s">
        <v>172</v>
      </c>
      <c r="B71" s="871" t="s">
        <v>173</v>
      </c>
      <c r="C71" s="871" t="s">
        <v>255</v>
      </c>
      <c r="D71" s="1580">
        <v>3108</v>
      </c>
      <c r="E71" s="1568">
        <v>0</v>
      </c>
      <c r="F71" s="1568">
        <v>0</v>
      </c>
      <c r="G71" s="1568">
        <v>28045</v>
      </c>
      <c r="H71" s="1568">
        <f t="shared" si="5"/>
        <v>31153</v>
      </c>
      <c r="I71" s="1569">
        <v>25105.047501763329</v>
      </c>
      <c r="J71" s="1569">
        <v>6047.9524982366693</v>
      </c>
      <c r="K71" s="1570">
        <f t="shared" si="6"/>
        <v>31153</v>
      </c>
    </row>
    <row r="72" spans="1:11" ht="14.4" x14ac:dyDescent="0.3">
      <c r="A72" s="870" t="s">
        <v>174</v>
      </c>
      <c r="B72" s="871" t="s">
        <v>175</v>
      </c>
      <c r="C72" s="871" t="s">
        <v>256</v>
      </c>
      <c r="D72" s="1580">
        <v>5449</v>
      </c>
      <c r="E72" s="1568">
        <v>0</v>
      </c>
      <c r="F72" s="1568">
        <v>0</v>
      </c>
      <c r="G72" s="1568">
        <v>3532</v>
      </c>
      <c r="H72" s="1568">
        <f t="shared" si="5"/>
        <v>8981</v>
      </c>
      <c r="I72" s="1569">
        <v>7237.4548715480523</v>
      </c>
      <c r="J72" s="1569">
        <v>1743.5451284519479</v>
      </c>
      <c r="K72" s="1570">
        <f t="shared" si="6"/>
        <v>8981</v>
      </c>
    </row>
    <row r="73" spans="1:11" ht="14.4" x14ac:dyDescent="0.3">
      <c r="A73" s="870" t="s">
        <v>178</v>
      </c>
      <c r="B73" s="871" t="s">
        <v>179</v>
      </c>
      <c r="C73" s="871" t="s">
        <v>253</v>
      </c>
      <c r="D73" s="1580">
        <v>106883</v>
      </c>
      <c r="E73" s="1568">
        <v>4826</v>
      </c>
      <c r="F73" s="1568">
        <v>0</v>
      </c>
      <c r="G73" s="1568">
        <v>159137</v>
      </c>
      <c r="H73" s="1568">
        <f t="shared" si="5"/>
        <v>270846</v>
      </c>
      <c r="I73" s="1569">
        <v>218264.74803911633</v>
      </c>
      <c r="J73" s="1569">
        <v>52581.251960883674</v>
      </c>
      <c r="K73" s="1570">
        <f t="shared" si="6"/>
        <v>270846</v>
      </c>
    </row>
    <row r="74" spans="1:11" ht="14.4" x14ac:dyDescent="0.3">
      <c r="A74" s="870" t="s">
        <v>182</v>
      </c>
      <c r="B74" s="871" t="s">
        <v>183</v>
      </c>
      <c r="C74" s="871" t="s">
        <v>254</v>
      </c>
      <c r="D74" s="1580">
        <v>64171</v>
      </c>
      <c r="E74" s="1568">
        <v>1271</v>
      </c>
      <c r="F74" s="1568">
        <v>0</v>
      </c>
      <c r="G74" s="1568">
        <v>90191</v>
      </c>
      <c r="H74" s="1568">
        <f t="shared" si="5"/>
        <v>155633</v>
      </c>
      <c r="I74" s="1569">
        <v>125418.86360356731</v>
      </c>
      <c r="J74" s="1569">
        <v>30214.136396432692</v>
      </c>
      <c r="K74" s="1570">
        <f t="shared" si="6"/>
        <v>155633</v>
      </c>
    </row>
    <row r="75" spans="1:11" ht="14.4" x14ac:dyDescent="0.3">
      <c r="A75" s="870" t="s">
        <v>184</v>
      </c>
      <c r="B75" s="871" t="s">
        <v>185</v>
      </c>
      <c r="C75" s="871" t="s">
        <v>254</v>
      </c>
      <c r="D75" s="1580">
        <v>24842</v>
      </c>
      <c r="E75" s="1568">
        <v>0</v>
      </c>
      <c r="F75" s="1568">
        <v>0</v>
      </c>
      <c r="G75" s="1568">
        <v>26143</v>
      </c>
      <c r="H75" s="1568">
        <f t="shared" si="5"/>
        <v>50985</v>
      </c>
      <c r="I75" s="1569">
        <v>41086.92090255845</v>
      </c>
      <c r="J75" s="1569">
        <v>9898.0790974415504</v>
      </c>
      <c r="K75" s="1570">
        <f t="shared" si="6"/>
        <v>50985</v>
      </c>
    </row>
    <row r="76" spans="1:11" ht="14.4" x14ac:dyDescent="0.3">
      <c r="A76" s="870" t="s">
        <v>186</v>
      </c>
      <c r="B76" s="871" t="s">
        <v>187</v>
      </c>
      <c r="C76" s="871" t="s">
        <v>252</v>
      </c>
      <c r="D76" s="1580">
        <v>82517</v>
      </c>
      <c r="E76" s="1568">
        <v>0</v>
      </c>
      <c r="F76" s="1568">
        <v>0</v>
      </c>
      <c r="G76" s="1568">
        <v>42447</v>
      </c>
      <c r="H76" s="1568">
        <f t="shared" si="5"/>
        <v>124964</v>
      </c>
      <c r="I76" s="1569">
        <v>100703.85375438489</v>
      </c>
      <c r="J76" s="1569">
        <v>24260.146245615098</v>
      </c>
      <c r="K76" s="1570">
        <f t="shared" si="6"/>
        <v>124964</v>
      </c>
    </row>
    <row r="77" spans="1:11" ht="14.4" x14ac:dyDescent="0.3">
      <c r="A77" s="870" t="s">
        <v>188</v>
      </c>
      <c r="B77" s="871" t="s">
        <v>189</v>
      </c>
      <c r="C77" s="871" t="s">
        <v>255</v>
      </c>
      <c r="D77" s="1580">
        <v>3458790</v>
      </c>
      <c r="E77" s="1568">
        <v>568167</v>
      </c>
      <c r="F77" s="1568">
        <v>0</v>
      </c>
      <c r="G77" s="1568">
        <v>3451351</v>
      </c>
      <c r="H77" s="1568">
        <f t="shared" si="5"/>
        <v>7478308</v>
      </c>
      <c r="I77" s="1569">
        <v>6026491.1107378658</v>
      </c>
      <c r="J77" s="1569">
        <v>1451816.8892621344</v>
      </c>
      <c r="K77" s="1570">
        <f t="shared" si="6"/>
        <v>7478308</v>
      </c>
    </row>
    <row r="78" spans="1:11" ht="14.4" x14ac:dyDescent="0.3">
      <c r="A78" s="870" t="s">
        <v>190</v>
      </c>
      <c r="B78" s="871" t="s">
        <v>191</v>
      </c>
      <c r="C78" s="871" t="s">
        <v>256</v>
      </c>
      <c r="D78" s="1580">
        <v>71195</v>
      </c>
      <c r="E78" s="1568">
        <v>0</v>
      </c>
      <c r="F78" s="1568">
        <v>0</v>
      </c>
      <c r="G78" s="1568">
        <v>66304</v>
      </c>
      <c r="H78" s="1568">
        <f t="shared" si="5"/>
        <v>137499</v>
      </c>
      <c r="I78" s="1569">
        <v>110805.34543847964</v>
      </c>
      <c r="J78" s="1569">
        <v>26693.654561520361</v>
      </c>
      <c r="K78" s="1570">
        <f t="shared" si="6"/>
        <v>137499</v>
      </c>
    </row>
    <row r="79" spans="1:11" ht="14.4" x14ac:dyDescent="0.3">
      <c r="A79" s="870" t="s">
        <v>194</v>
      </c>
      <c r="B79" s="871" t="s">
        <v>195</v>
      </c>
      <c r="C79" s="871" t="s">
        <v>255</v>
      </c>
      <c r="D79" s="1580">
        <v>5544</v>
      </c>
      <c r="E79" s="1568">
        <v>0</v>
      </c>
      <c r="F79" s="1568">
        <v>0</v>
      </c>
      <c r="G79" s="1568">
        <v>71983</v>
      </c>
      <c r="H79" s="1568">
        <f t="shared" si="5"/>
        <v>77527</v>
      </c>
      <c r="I79" s="1569">
        <v>62476.134486861796</v>
      </c>
      <c r="J79" s="1569">
        <v>15050.865513138198</v>
      </c>
      <c r="K79" s="1570">
        <f t="shared" si="6"/>
        <v>77527</v>
      </c>
    </row>
    <row r="80" spans="1:11" ht="14.4" x14ac:dyDescent="0.3">
      <c r="A80" s="870" t="s">
        <v>198</v>
      </c>
      <c r="B80" s="871" t="s">
        <v>199</v>
      </c>
      <c r="C80" s="871" t="s">
        <v>254</v>
      </c>
      <c r="D80" s="1580">
        <v>48285</v>
      </c>
      <c r="E80" s="1568">
        <v>0</v>
      </c>
      <c r="F80" s="1568">
        <v>0</v>
      </c>
      <c r="G80" s="1568">
        <v>4831</v>
      </c>
      <c r="H80" s="1568">
        <f t="shared" si="5"/>
        <v>53116</v>
      </c>
      <c r="I80" s="1569">
        <v>42804.214782000483</v>
      </c>
      <c r="J80" s="1569">
        <v>10311.785217999517</v>
      </c>
      <c r="K80" s="1570">
        <f t="shared" si="6"/>
        <v>53116</v>
      </c>
    </row>
    <row r="81" spans="1:11" ht="14.4" x14ac:dyDescent="0.3">
      <c r="A81" s="870" t="s">
        <v>202</v>
      </c>
      <c r="B81" s="871" t="s">
        <v>203</v>
      </c>
      <c r="C81" s="871" t="s">
        <v>253</v>
      </c>
      <c r="D81" s="1580">
        <v>676575</v>
      </c>
      <c r="E81" s="1568">
        <v>23480</v>
      </c>
      <c r="F81" s="1568">
        <v>0</v>
      </c>
      <c r="G81" s="1568">
        <v>1052511</v>
      </c>
      <c r="H81" s="1568">
        <f t="shared" si="5"/>
        <v>1752566</v>
      </c>
      <c r="I81" s="1569">
        <v>1412327.9517213544</v>
      </c>
      <c r="J81" s="1569">
        <v>340238.04827864561</v>
      </c>
      <c r="K81" s="1570">
        <f t="shared" si="6"/>
        <v>1752566</v>
      </c>
    </row>
    <row r="82" spans="1:11" ht="14.4" x14ac:dyDescent="0.3">
      <c r="A82" s="870" t="s">
        <v>204</v>
      </c>
      <c r="B82" s="874" t="s">
        <v>205</v>
      </c>
      <c r="C82" s="874" t="s">
        <v>253</v>
      </c>
      <c r="D82" s="1580">
        <v>40537</v>
      </c>
      <c r="E82" s="1568">
        <v>6274</v>
      </c>
      <c r="F82" s="1568">
        <v>0</v>
      </c>
      <c r="G82" s="1568">
        <v>37774</v>
      </c>
      <c r="H82" s="1568">
        <f t="shared" si="5"/>
        <v>84585</v>
      </c>
      <c r="I82" s="1569">
        <v>68163.914966027383</v>
      </c>
      <c r="J82" s="1569">
        <v>16421.085033972609</v>
      </c>
      <c r="K82" s="1570">
        <f t="shared" si="6"/>
        <v>84585</v>
      </c>
    </row>
    <row r="83" spans="1:11" ht="14.4" x14ac:dyDescent="0.3">
      <c r="A83" s="870" t="s">
        <v>206</v>
      </c>
      <c r="B83" s="874" t="s">
        <v>207</v>
      </c>
      <c r="C83" s="874" t="s">
        <v>255</v>
      </c>
      <c r="D83" s="1580">
        <v>598460</v>
      </c>
      <c r="E83" s="1568">
        <v>27700</v>
      </c>
      <c r="F83" s="1568">
        <v>0</v>
      </c>
      <c r="G83" s="1568">
        <v>457674</v>
      </c>
      <c r="H83" s="1568">
        <f t="shared" si="5"/>
        <v>1083834</v>
      </c>
      <c r="I83" s="1569">
        <v>873421.63046981534</v>
      </c>
      <c r="J83" s="1569">
        <v>210412.36953018466</v>
      </c>
      <c r="K83" s="1570">
        <f t="shared" si="6"/>
        <v>1083834</v>
      </c>
    </row>
    <row r="84" spans="1:11" ht="14.4" x14ac:dyDescent="0.3">
      <c r="A84" s="870" t="s">
        <v>208</v>
      </c>
      <c r="B84" s="871" t="s">
        <v>209</v>
      </c>
      <c r="C84" s="871" t="s">
        <v>256</v>
      </c>
      <c r="D84" s="1580">
        <v>6574</v>
      </c>
      <c r="E84" s="1568">
        <v>0</v>
      </c>
      <c r="F84" s="1568">
        <v>0</v>
      </c>
      <c r="G84" s="1568">
        <v>43189</v>
      </c>
      <c r="H84" s="1568">
        <f t="shared" si="5"/>
        <v>49763</v>
      </c>
      <c r="I84" s="1569">
        <v>40102.156416083475</v>
      </c>
      <c r="J84" s="1569">
        <v>9660.8435839165213</v>
      </c>
      <c r="K84" s="1570">
        <f t="shared" si="6"/>
        <v>49763</v>
      </c>
    </row>
    <row r="85" spans="1:11" ht="14.4" x14ac:dyDescent="0.3">
      <c r="A85" s="870" t="s">
        <v>210</v>
      </c>
      <c r="B85" s="871" t="s">
        <v>211</v>
      </c>
      <c r="C85" s="871" t="s">
        <v>256</v>
      </c>
      <c r="D85" s="1580">
        <v>2525</v>
      </c>
      <c r="E85" s="1568">
        <v>0</v>
      </c>
      <c r="F85" s="1568">
        <v>0</v>
      </c>
      <c r="G85" s="1568">
        <v>0</v>
      </c>
      <c r="H85" s="1568">
        <f t="shared" si="5"/>
        <v>2525</v>
      </c>
      <c r="I85" s="1569">
        <v>2034.8038693529486</v>
      </c>
      <c r="J85" s="1569">
        <v>490.19613064705135</v>
      </c>
      <c r="K85" s="1570">
        <f t="shared" si="6"/>
        <v>2525</v>
      </c>
    </row>
    <row r="86" spans="1:11" ht="14.4" x14ac:dyDescent="0.3">
      <c r="A86" s="870" t="s">
        <v>212</v>
      </c>
      <c r="B86" s="871" t="s">
        <v>213</v>
      </c>
      <c r="C86" s="871" t="s">
        <v>255</v>
      </c>
      <c r="D86" s="1580">
        <v>134569</v>
      </c>
      <c r="E86" s="1568">
        <v>0</v>
      </c>
      <c r="F86" s="1568">
        <v>0</v>
      </c>
      <c r="G86" s="1568">
        <v>146962</v>
      </c>
      <c r="H86" s="1568">
        <f t="shared" si="5"/>
        <v>281531</v>
      </c>
      <c r="I86" s="1569">
        <v>226875.39332388315</v>
      </c>
      <c r="J86" s="1569">
        <v>54655.60667611684</v>
      </c>
      <c r="K86" s="1570">
        <f t="shared" si="6"/>
        <v>281531</v>
      </c>
    </row>
    <row r="87" spans="1:11" ht="14.4" x14ac:dyDescent="0.3">
      <c r="A87" s="870" t="s">
        <v>214</v>
      </c>
      <c r="B87" s="871" t="s">
        <v>215</v>
      </c>
      <c r="C87" s="871" t="s">
        <v>256</v>
      </c>
      <c r="D87" s="1580">
        <v>43208</v>
      </c>
      <c r="E87" s="1568">
        <v>0</v>
      </c>
      <c r="F87" s="1568">
        <v>0</v>
      </c>
      <c r="G87" s="1568">
        <v>58706</v>
      </c>
      <c r="H87" s="1568">
        <f t="shared" si="5"/>
        <v>101914</v>
      </c>
      <c r="I87" s="1569">
        <v>82128.713481677783</v>
      </c>
      <c r="J87" s="1569">
        <v>19785.286518322213</v>
      </c>
      <c r="K87" s="1570">
        <f t="shared" si="6"/>
        <v>101914</v>
      </c>
    </row>
    <row r="88" spans="1:11" ht="14.4" x14ac:dyDescent="0.3">
      <c r="A88" s="870" t="s">
        <v>216</v>
      </c>
      <c r="B88" s="871" t="s">
        <v>217</v>
      </c>
      <c r="C88" s="871" t="s">
        <v>252</v>
      </c>
      <c r="D88" s="1580">
        <v>54978</v>
      </c>
      <c r="E88" s="1568">
        <v>0</v>
      </c>
      <c r="F88" s="1568">
        <v>0</v>
      </c>
      <c r="G88" s="1568">
        <v>8484</v>
      </c>
      <c r="H88" s="1568">
        <f t="shared" si="5"/>
        <v>63462</v>
      </c>
      <c r="I88" s="1569">
        <v>51141.672537376959</v>
      </c>
      <c r="J88" s="1569">
        <v>12320.32746262304</v>
      </c>
      <c r="K88" s="1570">
        <f t="shared" si="6"/>
        <v>63462</v>
      </c>
    </row>
    <row r="89" spans="1:11" ht="14.4" x14ac:dyDescent="0.3">
      <c r="A89" s="870" t="s">
        <v>218</v>
      </c>
      <c r="B89" s="871" t="s">
        <v>219</v>
      </c>
      <c r="C89" s="871" t="s">
        <v>255</v>
      </c>
      <c r="D89" s="1580">
        <v>1253371</v>
      </c>
      <c r="E89" s="1568">
        <v>54321</v>
      </c>
      <c r="F89" s="1568">
        <v>0</v>
      </c>
      <c r="G89" s="1568">
        <v>597312</v>
      </c>
      <c r="H89" s="1568">
        <f t="shared" si="5"/>
        <v>1905004</v>
      </c>
      <c r="I89" s="1569">
        <v>1535172.0833001365</v>
      </c>
      <c r="J89" s="1569">
        <v>369831.9166998635</v>
      </c>
      <c r="K89" s="1570">
        <f t="shared" si="6"/>
        <v>1905004</v>
      </c>
    </row>
    <row r="90" spans="1:11" ht="14.4" x14ac:dyDescent="0.3">
      <c r="A90" s="870" t="s">
        <v>220</v>
      </c>
      <c r="B90" s="871" t="s">
        <v>221</v>
      </c>
      <c r="C90" s="871" t="s">
        <v>255</v>
      </c>
      <c r="D90" s="1580">
        <v>1027690</v>
      </c>
      <c r="E90" s="1568">
        <v>203354</v>
      </c>
      <c r="F90" s="1568">
        <v>0</v>
      </c>
      <c r="G90" s="1568">
        <v>857523</v>
      </c>
      <c r="H90" s="1568">
        <f t="shared" si="5"/>
        <v>2088567</v>
      </c>
      <c r="I90" s="1569">
        <v>1683098.6982189622</v>
      </c>
      <c r="J90" s="1569">
        <v>405468.30178103765</v>
      </c>
      <c r="K90" s="1570">
        <f t="shared" si="6"/>
        <v>2088566.9999999998</v>
      </c>
    </row>
    <row r="91" spans="1:11" ht="14.4" x14ac:dyDescent="0.3">
      <c r="A91" s="870" t="s">
        <v>224</v>
      </c>
      <c r="B91" s="871" t="s">
        <v>225</v>
      </c>
      <c r="C91" s="871" t="s">
        <v>252</v>
      </c>
      <c r="D91" s="1580">
        <v>28884</v>
      </c>
      <c r="E91" s="1568">
        <v>0</v>
      </c>
      <c r="F91" s="1568">
        <v>0</v>
      </c>
      <c r="G91" s="1568">
        <v>31730</v>
      </c>
      <c r="H91" s="1568">
        <f t="shared" si="5"/>
        <v>60614</v>
      </c>
      <c r="I91" s="1569">
        <v>48846.574945330547</v>
      </c>
      <c r="J91" s="1569">
        <v>11767.425054669453</v>
      </c>
      <c r="K91" s="1570">
        <f t="shared" si="6"/>
        <v>60614</v>
      </c>
    </row>
    <row r="92" spans="1:11" ht="14.4" x14ac:dyDescent="0.3">
      <c r="A92" s="870" t="s">
        <v>226</v>
      </c>
      <c r="B92" s="871" t="s">
        <v>227</v>
      </c>
      <c r="C92" s="871" t="s">
        <v>252</v>
      </c>
      <c r="D92" s="1580">
        <v>24029</v>
      </c>
      <c r="E92" s="1568">
        <v>0</v>
      </c>
      <c r="F92" s="1568">
        <v>0</v>
      </c>
      <c r="G92" s="1568">
        <v>29465</v>
      </c>
      <c r="H92" s="1568">
        <f t="shared" si="5"/>
        <v>53494</v>
      </c>
      <c r="I92" s="1569">
        <v>43108.830965214511</v>
      </c>
      <c r="J92" s="1569">
        <v>10385.169034785491</v>
      </c>
      <c r="K92" s="1570">
        <f t="shared" si="6"/>
        <v>53494</v>
      </c>
    </row>
    <row r="93" spans="1:11" ht="14.4" x14ac:dyDescent="0.3">
      <c r="A93" s="870" t="s">
        <v>228</v>
      </c>
      <c r="B93" s="871" t="s">
        <v>229</v>
      </c>
      <c r="C93" s="871" t="s">
        <v>256</v>
      </c>
      <c r="D93" s="1580">
        <v>63314</v>
      </c>
      <c r="E93" s="1568">
        <v>7364</v>
      </c>
      <c r="F93" s="1568">
        <v>0</v>
      </c>
      <c r="G93" s="1568">
        <v>81779</v>
      </c>
      <c r="H93" s="1568">
        <f t="shared" si="5"/>
        <v>152457</v>
      </c>
      <c r="I93" s="1569">
        <v>122859.44297423464</v>
      </c>
      <c r="J93" s="1569">
        <v>29597.557025765349</v>
      </c>
      <c r="K93" s="1570">
        <f t="shared" si="6"/>
        <v>152457</v>
      </c>
    </row>
    <row r="94" spans="1:11" ht="14.4" x14ac:dyDescent="0.3">
      <c r="A94" s="870" t="s">
        <v>232</v>
      </c>
      <c r="B94" s="871" t="s">
        <v>233</v>
      </c>
      <c r="C94" s="871" t="s">
        <v>255</v>
      </c>
      <c r="D94" s="1580">
        <v>222651</v>
      </c>
      <c r="E94" s="1568">
        <v>0</v>
      </c>
      <c r="F94" s="1568">
        <v>0</v>
      </c>
      <c r="G94" s="1568">
        <v>421051</v>
      </c>
      <c r="H94" s="1568">
        <f t="shared" si="5"/>
        <v>643702</v>
      </c>
      <c r="I94" s="1569">
        <v>518735.57240009174</v>
      </c>
      <c r="J94" s="1569">
        <v>124966.42759990822</v>
      </c>
      <c r="K94" s="1570">
        <f t="shared" si="6"/>
        <v>643702</v>
      </c>
    </row>
    <row r="95" spans="1:11" ht="14.4" x14ac:dyDescent="0.3">
      <c r="A95" s="870" t="s">
        <v>234</v>
      </c>
      <c r="B95" s="871" t="s">
        <v>235</v>
      </c>
      <c r="C95" s="871" t="s">
        <v>256</v>
      </c>
      <c r="D95" s="1580">
        <v>45966</v>
      </c>
      <c r="E95" s="1568">
        <v>242</v>
      </c>
      <c r="F95" s="1568">
        <v>0</v>
      </c>
      <c r="G95" s="1568">
        <v>65398</v>
      </c>
      <c r="H95" s="1568">
        <f t="shared" si="5"/>
        <v>111606</v>
      </c>
      <c r="I95" s="1569">
        <v>89939.136888318884</v>
      </c>
      <c r="J95" s="1569">
        <v>21666.863111681116</v>
      </c>
      <c r="K95" s="1570">
        <f t="shared" si="6"/>
        <v>111606</v>
      </c>
    </row>
    <row r="96" spans="1:11" ht="14.4" x14ac:dyDescent="0.3">
      <c r="A96" s="870" t="s">
        <v>236</v>
      </c>
      <c r="B96" s="871" t="s">
        <v>237</v>
      </c>
      <c r="C96" s="871" t="s">
        <v>254</v>
      </c>
      <c r="D96" s="1580">
        <v>82029</v>
      </c>
      <c r="E96" s="1568">
        <v>0</v>
      </c>
      <c r="F96" s="1568">
        <v>0</v>
      </c>
      <c r="G96" s="1568">
        <v>138943</v>
      </c>
      <c r="H96" s="1568">
        <f t="shared" si="5"/>
        <v>220972</v>
      </c>
      <c r="I96" s="1569">
        <v>178073.14083907317</v>
      </c>
      <c r="J96" s="1569">
        <v>42898.859160926826</v>
      </c>
      <c r="K96" s="1570">
        <f t="shared" si="6"/>
        <v>220972</v>
      </c>
    </row>
    <row r="97" spans="1:11" ht="14.4" x14ac:dyDescent="0.3">
      <c r="A97" s="870" t="s">
        <v>242</v>
      </c>
      <c r="B97" s="871" t="s">
        <v>243</v>
      </c>
      <c r="C97" s="871" t="s">
        <v>256</v>
      </c>
      <c r="D97" s="1580">
        <v>59948</v>
      </c>
      <c r="E97" s="1568">
        <v>0</v>
      </c>
      <c r="F97" s="1568">
        <v>0</v>
      </c>
      <c r="G97" s="1568">
        <v>66893</v>
      </c>
      <c r="H97" s="1568">
        <f t="shared" si="5"/>
        <v>126841</v>
      </c>
      <c r="I97" s="1569">
        <v>102216.45845251381</v>
      </c>
      <c r="J97" s="1569">
        <v>24624.541547486195</v>
      </c>
      <c r="K97" s="1570">
        <f t="shared" si="6"/>
        <v>126841</v>
      </c>
    </row>
    <row r="98" spans="1:11" ht="14.4" x14ac:dyDescent="0.3">
      <c r="A98" s="870" t="s">
        <v>244</v>
      </c>
      <c r="B98" s="871" t="s">
        <v>245</v>
      </c>
      <c r="C98" s="871" t="s">
        <v>256</v>
      </c>
      <c r="D98" s="1580">
        <v>142152</v>
      </c>
      <c r="E98" s="1568">
        <v>2003</v>
      </c>
      <c r="F98" s="1568">
        <v>0</v>
      </c>
      <c r="G98" s="1568">
        <v>122072</v>
      </c>
      <c r="H98" s="1568">
        <f t="shared" si="5"/>
        <v>266227</v>
      </c>
      <c r="I98" s="1569">
        <v>214542.46721830789</v>
      </c>
      <c r="J98" s="1569">
        <v>51684.532781692098</v>
      </c>
      <c r="K98" s="1570">
        <f t="shared" si="6"/>
        <v>266227</v>
      </c>
    </row>
    <row r="99" spans="1:11" ht="14.4" x14ac:dyDescent="0.3">
      <c r="A99" s="870" t="s">
        <v>246</v>
      </c>
      <c r="B99" s="871" t="s">
        <v>298</v>
      </c>
      <c r="C99" s="871" t="s">
        <v>252</v>
      </c>
      <c r="D99" s="1580">
        <v>108019</v>
      </c>
      <c r="E99" s="1568">
        <v>11562</v>
      </c>
      <c r="F99" s="1568">
        <v>0</v>
      </c>
      <c r="G99" s="1568">
        <v>377331</v>
      </c>
      <c r="H99" s="1568">
        <f t="shared" si="5"/>
        <v>496912</v>
      </c>
      <c r="I99" s="1569">
        <v>400442.95458531182</v>
      </c>
      <c r="J99" s="1569">
        <v>96469.045414688153</v>
      </c>
      <c r="K99" s="1570">
        <f t="shared" si="6"/>
        <v>496912</v>
      </c>
    </row>
    <row r="100" spans="1:11" ht="14.4" x14ac:dyDescent="0.3">
      <c r="A100" s="870" t="s">
        <v>14</v>
      </c>
      <c r="B100" s="871" t="s">
        <v>15</v>
      </c>
      <c r="C100" s="871" t="s">
        <v>255</v>
      </c>
      <c r="D100" s="1580">
        <v>2280035</v>
      </c>
      <c r="E100" s="1568">
        <v>220529</v>
      </c>
      <c r="F100" s="1568">
        <v>0</v>
      </c>
      <c r="G100" s="1568">
        <v>3869373</v>
      </c>
      <c r="H100" s="1568">
        <f t="shared" si="5"/>
        <v>6369937</v>
      </c>
      <c r="I100" s="1569">
        <v>5133296.021835451</v>
      </c>
      <c r="J100" s="1569">
        <v>1236640.978164549</v>
      </c>
      <c r="K100" s="1570">
        <f t="shared" si="6"/>
        <v>6369937</v>
      </c>
    </row>
    <row r="101" spans="1:11" ht="14.4" x14ac:dyDescent="0.3">
      <c r="A101" s="870" t="s">
        <v>34</v>
      </c>
      <c r="B101" s="871" t="s">
        <v>35</v>
      </c>
      <c r="C101" s="871" t="s">
        <v>256</v>
      </c>
      <c r="D101" s="1580">
        <v>239994</v>
      </c>
      <c r="E101" s="1568">
        <v>4359</v>
      </c>
      <c r="F101" s="1568">
        <v>0</v>
      </c>
      <c r="G101" s="1568">
        <v>274220</v>
      </c>
      <c r="H101" s="1568">
        <f t="shared" ref="H101:H124" si="7">SUM(D101:G101)</f>
        <v>518573</v>
      </c>
      <c r="I101" s="1569">
        <v>417898.75126414519</v>
      </c>
      <c r="J101" s="1569">
        <v>100674.2487358548</v>
      </c>
      <c r="K101" s="1570">
        <f t="shared" ref="K101:K124" si="8">I101+J101</f>
        <v>518573</v>
      </c>
    </row>
    <row r="102" spans="1:11" ht="14.4" x14ac:dyDescent="0.3">
      <c r="A102" s="870" t="s">
        <v>52</v>
      </c>
      <c r="B102" s="871" t="s">
        <v>53</v>
      </c>
      <c r="C102" s="871" t="s">
        <v>253</v>
      </c>
      <c r="D102" s="1580">
        <v>431653</v>
      </c>
      <c r="E102" s="1568">
        <v>9168</v>
      </c>
      <c r="F102" s="1568">
        <v>0</v>
      </c>
      <c r="G102" s="1568">
        <v>435818</v>
      </c>
      <c r="H102" s="1568">
        <f t="shared" si="7"/>
        <v>876639</v>
      </c>
      <c r="I102" s="1569">
        <v>706450.863059683</v>
      </c>
      <c r="J102" s="1569">
        <v>170188.13694031702</v>
      </c>
      <c r="K102" s="1570">
        <f t="shared" si="8"/>
        <v>876639</v>
      </c>
    </row>
    <row r="103" spans="1:11" ht="14.4" x14ac:dyDescent="0.3">
      <c r="A103" s="870" t="s">
        <v>54</v>
      </c>
      <c r="B103" s="871" t="s">
        <v>55</v>
      </c>
      <c r="C103" s="871" t="s">
        <v>252</v>
      </c>
      <c r="D103" s="1580">
        <v>1861807</v>
      </c>
      <c r="E103" s="1568">
        <v>16397</v>
      </c>
      <c r="F103" s="1568">
        <v>0</v>
      </c>
      <c r="G103" s="1568">
        <v>3400346</v>
      </c>
      <c r="H103" s="1568">
        <f t="shared" si="7"/>
        <v>5278550</v>
      </c>
      <c r="I103" s="1569">
        <v>4253787.708741785</v>
      </c>
      <c r="J103" s="1569">
        <v>1024762.291258215</v>
      </c>
      <c r="K103" s="1570">
        <f t="shared" si="8"/>
        <v>5278550</v>
      </c>
    </row>
    <row r="104" spans="1:11" ht="14.4" x14ac:dyDescent="0.3">
      <c r="A104" s="870" t="s">
        <v>66</v>
      </c>
      <c r="B104" s="871" t="s">
        <v>67</v>
      </c>
      <c r="C104" s="871" t="s">
        <v>253</v>
      </c>
      <c r="D104" s="1580">
        <v>235517</v>
      </c>
      <c r="E104" s="1568">
        <v>16977</v>
      </c>
      <c r="F104" s="1568">
        <v>0</v>
      </c>
      <c r="G104" s="1568">
        <v>388790</v>
      </c>
      <c r="H104" s="1568">
        <f t="shared" si="7"/>
        <v>641284</v>
      </c>
      <c r="I104" s="1569">
        <v>516786.99586302426</v>
      </c>
      <c r="J104" s="1569">
        <v>124497.00413697571</v>
      </c>
      <c r="K104" s="1570">
        <f t="shared" si="8"/>
        <v>641284</v>
      </c>
    </row>
    <row r="105" spans="1:11" ht="14.4" x14ac:dyDescent="0.3">
      <c r="A105" s="870" t="s">
        <v>82</v>
      </c>
      <c r="B105" s="871" t="s">
        <v>299</v>
      </c>
      <c r="C105" s="871" t="s">
        <v>252</v>
      </c>
      <c r="D105" s="1580">
        <v>68110</v>
      </c>
      <c r="E105" s="1568">
        <v>0</v>
      </c>
      <c r="F105" s="1568">
        <v>0</v>
      </c>
      <c r="G105" s="1568">
        <v>151822</v>
      </c>
      <c r="H105" s="1568">
        <f t="shared" si="7"/>
        <v>219932</v>
      </c>
      <c r="I105" s="1569">
        <v>177235.04340377531</v>
      </c>
      <c r="J105" s="1569">
        <v>42696.956596224671</v>
      </c>
      <c r="K105" s="1570">
        <f t="shared" si="8"/>
        <v>219932</v>
      </c>
    </row>
    <row r="106" spans="1:11" ht="14.4" x14ac:dyDescent="0.3">
      <c r="A106" s="870" t="s">
        <v>88</v>
      </c>
      <c r="B106" s="871" t="s">
        <v>89</v>
      </c>
      <c r="C106" s="871" t="s">
        <v>255</v>
      </c>
      <c r="D106" s="1580">
        <v>555297</v>
      </c>
      <c r="E106" s="1568">
        <v>229438</v>
      </c>
      <c r="F106" s="1568">
        <v>0</v>
      </c>
      <c r="G106" s="1568">
        <v>307375</v>
      </c>
      <c r="H106" s="1568">
        <f t="shared" si="7"/>
        <v>1092110</v>
      </c>
      <c r="I106" s="1569">
        <v>880090.95198378165</v>
      </c>
      <c r="J106" s="1569">
        <v>212019.04801621832</v>
      </c>
      <c r="K106" s="1570">
        <f t="shared" si="8"/>
        <v>1092110</v>
      </c>
    </row>
    <row r="107" spans="1:11" ht="14.4" x14ac:dyDescent="0.3">
      <c r="A107" s="870" t="s">
        <v>90</v>
      </c>
      <c r="B107" s="871" t="s">
        <v>91</v>
      </c>
      <c r="C107" s="871" t="s">
        <v>256</v>
      </c>
      <c r="D107" s="1580">
        <v>162</v>
      </c>
      <c r="E107" s="1568">
        <v>0</v>
      </c>
      <c r="F107" s="1568">
        <v>0</v>
      </c>
      <c r="G107" s="1568">
        <v>40851</v>
      </c>
      <c r="H107" s="1568">
        <f t="shared" si="7"/>
        <v>41013</v>
      </c>
      <c r="I107" s="1569">
        <v>33050.855878721777</v>
      </c>
      <c r="J107" s="1569">
        <v>7962.1441212782247</v>
      </c>
      <c r="K107" s="1570">
        <f t="shared" si="8"/>
        <v>41013</v>
      </c>
    </row>
    <row r="108" spans="1:11" ht="14.4" x14ac:dyDescent="0.3">
      <c r="A108" s="870" t="s">
        <v>106</v>
      </c>
      <c r="B108" s="871" t="s">
        <v>107</v>
      </c>
      <c r="C108" s="871" t="s">
        <v>252</v>
      </c>
      <c r="D108" s="1580">
        <v>2212054</v>
      </c>
      <c r="E108" s="1568">
        <v>0</v>
      </c>
      <c r="F108" s="1568">
        <v>0</v>
      </c>
      <c r="G108" s="1568">
        <v>904936</v>
      </c>
      <c r="H108" s="1568">
        <f t="shared" si="7"/>
        <v>3116990</v>
      </c>
      <c r="I108" s="1569">
        <v>2511866.6585086919</v>
      </c>
      <c r="J108" s="1569">
        <v>605123.34149130795</v>
      </c>
      <c r="K108" s="1570">
        <f t="shared" si="8"/>
        <v>3116990</v>
      </c>
    </row>
    <row r="109" spans="1:11" ht="14.4" x14ac:dyDescent="0.3">
      <c r="A109" s="870" t="s">
        <v>116</v>
      </c>
      <c r="B109" s="871" t="s">
        <v>117</v>
      </c>
      <c r="C109" s="871" t="s">
        <v>254</v>
      </c>
      <c r="D109" s="1580">
        <v>428999</v>
      </c>
      <c r="E109" s="1568">
        <v>49398</v>
      </c>
      <c r="F109" s="1568">
        <v>0</v>
      </c>
      <c r="G109" s="1568">
        <v>286808</v>
      </c>
      <c r="H109" s="1568">
        <f t="shared" si="7"/>
        <v>765205</v>
      </c>
      <c r="I109" s="1569">
        <v>616650.33459335566</v>
      </c>
      <c r="J109" s="1569">
        <v>148554.66540664432</v>
      </c>
      <c r="K109" s="1570">
        <f t="shared" si="8"/>
        <v>765205</v>
      </c>
    </row>
    <row r="110" spans="1:11" ht="14.4" x14ac:dyDescent="0.3">
      <c r="A110" s="870" t="s">
        <v>138</v>
      </c>
      <c r="B110" s="871" t="s">
        <v>139</v>
      </c>
      <c r="C110" s="871" t="s">
        <v>253</v>
      </c>
      <c r="D110" s="1580">
        <v>401421</v>
      </c>
      <c r="E110" s="1568">
        <v>22408</v>
      </c>
      <c r="F110" s="1568">
        <v>0</v>
      </c>
      <c r="G110" s="1568">
        <v>866813</v>
      </c>
      <c r="H110" s="1568">
        <f t="shared" si="7"/>
        <v>1290642</v>
      </c>
      <c r="I110" s="1569">
        <v>1040080.5289304666</v>
      </c>
      <c r="J110" s="1569">
        <v>250561.47106953332</v>
      </c>
      <c r="K110" s="1570">
        <f t="shared" si="8"/>
        <v>1290642</v>
      </c>
    </row>
    <row r="111" spans="1:11" ht="14.4" x14ac:dyDescent="0.3">
      <c r="A111" s="870" t="s">
        <v>142</v>
      </c>
      <c r="B111" s="871" t="s">
        <v>143</v>
      </c>
      <c r="C111" s="871" t="s">
        <v>255</v>
      </c>
      <c r="D111" s="1580">
        <v>348697</v>
      </c>
      <c r="E111" s="1568">
        <v>65531</v>
      </c>
      <c r="F111" s="1568">
        <v>0</v>
      </c>
      <c r="G111" s="1568">
        <v>1410739</v>
      </c>
      <c r="H111" s="1568">
        <f t="shared" si="7"/>
        <v>1824967</v>
      </c>
      <c r="I111" s="1569">
        <v>1470673.2328877</v>
      </c>
      <c r="J111" s="1569">
        <v>354293.76711229997</v>
      </c>
      <c r="K111" s="1570">
        <f t="shared" si="8"/>
        <v>1824967</v>
      </c>
    </row>
    <row r="112" spans="1:11" ht="14.4" x14ac:dyDescent="0.3">
      <c r="A112" s="870" t="s">
        <v>144</v>
      </c>
      <c r="B112" s="871" t="s">
        <v>145</v>
      </c>
      <c r="C112" s="871" t="s">
        <v>255</v>
      </c>
      <c r="D112" s="1580">
        <v>28042</v>
      </c>
      <c r="E112" s="1568">
        <v>13485</v>
      </c>
      <c r="F112" s="1568">
        <v>0</v>
      </c>
      <c r="G112" s="1568">
        <v>300665</v>
      </c>
      <c r="H112" s="1568">
        <f t="shared" si="7"/>
        <v>342192</v>
      </c>
      <c r="I112" s="1569">
        <v>275759.8438263858</v>
      </c>
      <c r="J112" s="1569">
        <v>66432.156173614174</v>
      </c>
      <c r="K112" s="1570">
        <f t="shared" si="8"/>
        <v>342192</v>
      </c>
    </row>
    <row r="113" spans="1:11" ht="14.4" x14ac:dyDescent="0.3">
      <c r="A113" s="870" t="s">
        <v>158</v>
      </c>
      <c r="B113" s="871" t="s">
        <v>159</v>
      </c>
      <c r="C113" s="871" t="s">
        <v>252</v>
      </c>
      <c r="D113" s="1580">
        <v>2759918</v>
      </c>
      <c r="E113" s="1568">
        <v>211757</v>
      </c>
      <c r="F113" s="1568">
        <v>0</v>
      </c>
      <c r="G113" s="1568">
        <v>3370961</v>
      </c>
      <c r="H113" s="1568">
        <f t="shared" si="7"/>
        <v>6342636</v>
      </c>
      <c r="I113" s="1569">
        <v>5111295.1582959639</v>
      </c>
      <c r="J113" s="1569">
        <v>1231340.8417040361</v>
      </c>
      <c r="K113" s="1570">
        <f t="shared" si="8"/>
        <v>6342636</v>
      </c>
    </row>
    <row r="114" spans="1:11" ht="14.4" x14ac:dyDescent="0.3">
      <c r="A114" s="870" t="s">
        <v>160</v>
      </c>
      <c r="B114" s="871" t="s">
        <v>161</v>
      </c>
      <c r="C114" s="871" t="s">
        <v>252</v>
      </c>
      <c r="D114" s="1580">
        <v>2708774</v>
      </c>
      <c r="E114" s="1568">
        <v>0</v>
      </c>
      <c r="F114" s="1568">
        <v>0</v>
      </c>
      <c r="G114" s="1568">
        <v>4202370</v>
      </c>
      <c r="H114" s="1568">
        <f t="shared" si="7"/>
        <v>6911144</v>
      </c>
      <c r="I114" s="1569">
        <v>5569434.6743981838</v>
      </c>
      <c r="J114" s="1569">
        <v>1341709.3256018159</v>
      </c>
      <c r="K114" s="1570">
        <f t="shared" si="8"/>
        <v>6911144</v>
      </c>
    </row>
    <row r="115" spans="1:11" ht="14.4" x14ac:dyDescent="0.3">
      <c r="A115" s="870" t="s">
        <v>166</v>
      </c>
      <c r="B115" s="871" t="s">
        <v>167</v>
      </c>
      <c r="C115" s="871" t="s">
        <v>256</v>
      </c>
      <c r="D115" s="1580">
        <v>0</v>
      </c>
      <c r="E115" s="1568">
        <v>0</v>
      </c>
      <c r="F115" s="1568">
        <v>0</v>
      </c>
      <c r="G115" s="1568">
        <v>1087</v>
      </c>
      <c r="H115" s="1568">
        <f t="shared" si="7"/>
        <v>1087</v>
      </c>
      <c r="I115" s="1569">
        <v>875.97299246996238</v>
      </c>
      <c r="J115" s="1569">
        <v>211.02700753003757</v>
      </c>
      <c r="K115" s="1570">
        <f t="shared" si="8"/>
        <v>1087</v>
      </c>
    </row>
    <row r="116" spans="1:11" ht="14.4" x14ac:dyDescent="0.3">
      <c r="A116" s="870" t="s">
        <v>176</v>
      </c>
      <c r="B116" s="871" t="s">
        <v>177</v>
      </c>
      <c r="C116" s="871" t="s">
        <v>254</v>
      </c>
      <c r="D116" s="1580">
        <v>635204</v>
      </c>
      <c r="E116" s="1568">
        <v>38802</v>
      </c>
      <c r="F116" s="1568">
        <v>0</v>
      </c>
      <c r="G116" s="1568">
        <v>439482</v>
      </c>
      <c r="H116" s="1568">
        <f t="shared" si="7"/>
        <v>1113488</v>
      </c>
      <c r="I116" s="1569">
        <v>897318.68945666379</v>
      </c>
      <c r="J116" s="1569">
        <v>216169.31054333621</v>
      </c>
      <c r="K116" s="1570">
        <f t="shared" si="8"/>
        <v>1113488</v>
      </c>
    </row>
    <row r="117" spans="1:11" ht="14.4" x14ac:dyDescent="0.3">
      <c r="A117" s="870" t="s">
        <v>180</v>
      </c>
      <c r="B117" s="871" t="s">
        <v>181</v>
      </c>
      <c r="C117" s="871" t="s">
        <v>252</v>
      </c>
      <c r="D117" s="1580">
        <v>1364288</v>
      </c>
      <c r="E117" s="1568">
        <v>217181</v>
      </c>
      <c r="F117" s="1568">
        <v>0</v>
      </c>
      <c r="G117" s="1568">
        <v>933850</v>
      </c>
      <c r="H117" s="1568">
        <f t="shared" si="7"/>
        <v>2515319</v>
      </c>
      <c r="I117" s="1569">
        <v>2027002.3104384115</v>
      </c>
      <c r="J117" s="1569">
        <v>488316.68956158834</v>
      </c>
      <c r="K117" s="1570">
        <f t="shared" si="8"/>
        <v>2515319</v>
      </c>
    </row>
    <row r="118" spans="1:11" ht="14.4" x14ac:dyDescent="0.3">
      <c r="A118" s="870" t="s">
        <v>192</v>
      </c>
      <c r="B118" s="871" t="s">
        <v>193</v>
      </c>
      <c r="C118" s="871" t="s">
        <v>256</v>
      </c>
      <c r="D118" s="1580">
        <v>38367</v>
      </c>
      <c r="E118" s="1568">
        <v>0</v>
      </c>
      <c r="F118" s="1568">
        <v>0</v>
      </c>
      <c r="G118" s="1568">
        <v>81265</v>
      </c>
      <c r="H118" s="1568">
        <f t="shared" si="7"/>
        <v>119632</v>
      </c>
      <c r="I118" s="1569">
        <v>96406.992672646316</v>
      </c>
      <c r="J118" s="1569">
        <v>23225.007327353684</v>
      </c>
      <c r="K118" s="1570">
        <f t="shared" si="8"/>
        <v>119632</v>
      </c>
    </row>
    <row r="119" spans="1:11" ht="14.4" x14ac:dyDescent="0.3">
      <c r="A119" s="870" t="s">
        <v>196</v>
      </c>
      <c r="B119" s="871" t="s">
        <v>300</v>
      </c>
      <c r="C119" s="871" t="s">
        <v>254</v>
      </c>
      <c r="D119" s="1580">
        <v>4122498</v>
      </c>
      <c r="E119" s="1568">
        <v>81443</v>
      </c>
      <c r="F119" s="1568">
        <v>0</v>
      </c>
      <c r="G119" s="1568">
        <v>3074759</v>
      </c>
      <c r="H119" s="1568">
        <f t="shared" si="7"/>
        <v>7278700</v>
      </c>
      <c r="I119" s="1569">
        <v>5865634.4252908146</v>
      </c>
      <c r="J119" s="1569">
        <v>1413065.5747091852</v>
      </c>
      <c r="K119" s="1570">
        <f t="shared" si="8"/>
        <v>7278700</v>
      </c>
    </row>
    <row r="120" spans="1:11" ht="14.4" x14ac:dyDescent="0.3">
      <c r="A120" s="870" t="s">
        <v>200</v>
      </c>
      <c r="B120" s="871" t="s">
        <v>301</v>
      </c>
      <c r="C120" s="871" t="s">
        <v>253</v>
      </c>
      <c r="D120" s="1580">
        <v>1822341</v>
      </c>
      <c r="E120" s="1568">
        <v>230896</v>
      </c>
      <c r="F120" s="1568">
        <v>0</v>
      </c>
      <c r="G120" s="1568">
        <v>1831372</v>
      </c>
      <c r="H120" s="1568">
        <f t="shared" si="7"/>
        <v>3884609</v>
      </c>
      <c r="I120" s="1569">
        <v>3130462.3461874407</v>
      </c>
      <c r="J120" s="1569">
        <v>754146.65381255897</v>
      </c>
      <c r="K120" s="1570">
        <f t="shared" si="8"/>
        <v>3884608.9999999995</v>
      </c>
    </row>
    <row r="121" spans="1:11" ht="14.4" x14ac:dyDescent="0.3">
      <c r="A121" s="870" t="s">
        <v>222</v>
      </c>
      <c r="B121" s="871" t="s">
        <v>223</v>
      </c>
      <c r="C121" s="871" t="s">
        <v>252</v>
      </c>
      <c r="D121" s="1580">
        <v>434078</v>
      </c>
      <c r="E121" s="1568">
        <v>27124</v>
      </c>
      <c r="F121" s="1568">
        <v>0</v>
      </c>
      <c r="G121" s="1568">
        <v>633969</v>
      </c>
      <c r="H121" s="1568">
        <f t="shared" si="7"/>
        <v>1095171</v>
      </c>
      <c r="I121" s="1569">
        <v>882557.69837748038</v>
      </c>
      <c r="J121" s="1569">
        <v>212613.30162251956</v>
      </c>
      <c r="K121" s="1570">
        <f t="shared" si="8"/>
        <v>1095171</v>
      </c>
    </row>
    <row r="122" spans="1:11" ht="14.4" x14ac:dyDescent="0.3">
      <c r="A122" s="870" t="s">
        <v>230</v>
      </c>
      <c r="B122" s="871" t="s">
        <v>231</v>
      </c>
      <c r="C122" s="871" t="s">
        <v>252</v>
      </c>
      <c r="D122" s="1580">
        <v>1649234</v>
      </c>
      <c r="E122" s="1568">
        <v>20229</v>
      </c>
      <c r="F122" s="1568">
        <v>0</v>
      </c>
      <c r="G122" s="1568">
        <v>5981329</v>
      </c>
      <c r="H122" s="1568">
        <f t="shared" si="7"/>
        <v>7650792</v>
      </c>
      <c r="I122" s="1569">
        <v>6165489.5703820139</v>
      </c>
      <c r="J122" s="1569">
        <v>1485302.4296179863</v>
      </c>
      <c r="K122" s="1570">
        <f t="shared" si="8"/>
        <v>7650792</v>
      </c>
    </row>
    <row r="123" spans="1:11" ht="14.4" x14ac:dyDescent="0.3">
      <c r="A123" s="870" t="s">
        <v>238</v>
      </c>
      <c r="B123" s="871" t="s">
        <v>239</v>
      </c>
      <c r="C123" s="871" t="s">
        <v>252</v>
      </c>
      <c r="D123" s="1580">
        <v>76084</v>
      </c>
      <c r="E123" s="1568">
        <v>7969</v>
      </c>
      <c r="F123" s="1568">
        <v>0</v>
      </c>
      <c r="G123" s="1568">
        <v>192639</v>
      </c>
      <c r="H123" s="1568">
        <f t="shared" si="7"/>
        <v>276692</v>
      </c>
      <c r="I123" s="1569">
        <v>222975.8226609925</v>
      </c>
      <c r="J123" s="1569">
        <v>53716.177339007496</v>
      </c>
      <c r="K123" s="1570">
        <f t="shared" si="8"/>
        <v>276692</v>
      </c>
    </row>
    <row r="124" spans="1:11" ht="14.4" x14ac:dyDescent="0.3">
      <c r="A124" s="870" t="s">
        <v>240</v>
      </c>
      <c r="B124" s="871" t="s">
        <v>241</v>
      </c>
      <c r="C124" s="871" t="s">
        <v>255</v>
      </c>
      <c r="D124" s="1580">
        <v>177278</v>
      </c>
      <c r="E124" s="1568">
        <v>22395</v>
      </c>
      <c r="F124" s="1568">
        <v>0</v>
      </c>
      <c r="G124" s="1568">
        <v>305806</v>
      </c>
      <c r="H124" s="1568">
        <f t="shared" si="7"/>
        <v>505479</v>
      </c>
      <c r="I124" s="1569">
        <v>407346.78220857785</v>
      </c>
      <c r="J124" s="1569">
        <v>98132.217791422125</v>
      </c>
      <c r="K124" s="1570">
        <f t="shared" si="8"/>
        <v>505479</v>
      </c>
    </row>
    <row r="126" spans="1:11" ht="14.4" x14ac:dyDescent="0.3">
      <c r="A126" s="2313" t="s">
        <v>254</v>
      </c>
      <c r="D126" s="1565">
        <v>13026049</v>
      </c>
      <c r="E126" s="1566">
        <v>463365</v>
      </c>
      <c r="F126" s="1566">
        <v>0</v>
      </c>
      <c r="G126" s="1567">
        <v>11970059</v>
      </c>
      <c r="H126" s="1568">
        <f t="shared" ref="H126:H130" si="9">SUM(D126:G126)</f>
        <v>25459473</v>
      </c>
      <c r="I126" s="1569">
        <v>20516845.216668088</v>
      </c>
      <c r="J126" s="1569">
        <v>4942627.783331912</v>
      </c>
      <c r="K126" s="1570">
        <f t="shared" ref="K126:K130" si="10">I126+J126</f>
        <v>25459473</v>
      </c>
    </row>
    <row r="127" spans="1:11" ht="14.4" x14ac:dyDescent="0.3">
      <c r="A127" s="2313" t="s">
        <v>252</v>
      </c>
      <c r="D127" s="1565">
        <v>14062050</v>
      </c>
      <c r="E127" s="1566">
        <v>600477</v>
      </c>
      <c r="F127" s="1566">
        <v>0</v>
      </c>
      <c r="G127" s="1567">
        <v>21334393</v>
      </c>
      <c r="H127" s="1568">
        <f t="shared" si="9"/>
        <v>35996920</v>
      </c>
      <c r="I127" s="1569">
        <v>29008583.010213286</v>
      </c>
      <c r="J127" s="1569">
        <v>6988336.9897867143</v>
      </c>
      <c r="K127" s="1570">
        <f t="shared" si="10"/>
        <v>35996920</v>
      </c>
    </row>
    <row r="128" spans="1:11" ht="14.4" x14ac:dyDescent="0.3">
      <c r="A128" s="2313" t="s">
        <v>255</v>
      </c>
      <c r="D128" s="1565">
        <v>18874913</v>
      </c>
      <c r="E128" s="1566">
        <v>3696273</v>
      </c>
      <c r="F128" s="1566">
        <v>0</v>
      </c>
      <c r="G128" s="1567">
        <v>36602609</v>
      </c>
      <c r="H128" s="1568">
        <f t="shared" si="9"/>
        <v>59173795</v>
      </c>
      <c r="I128" s="1569">
        <v>47685967.140712142</v>
      </c>
      <c r="J128" s="1569">
        <v>11487827.859287858</v>
      </c>
      <c r="K128" s="1570">
        <f t="shared" si="10"/>
        <v>59173795</v>
      </c>
    </row>
    <row r="129" spans="1:11" ht="14.4" x14ac:dyDescent="0.3">
      <c r="A129" s="2313" t="s">
        <v>253</v>
      </c>
      <c r="D129" s="1565">
        <v>5844462</v>
      </c>
      <c r="E129" s="1566">
        <v>486243</v>
      </c>
      <c r="F129" s="1566">
        <v>0</v>
      </c>
      <c r="G129" s="1567">
        <v>7496551</v>
      </c>
      <c r="H129" s="1568">
        <f t="shared" si="9"/>
        <v>13827256</v>
      </c>
      <c r="I129" s="1569">
        <v>11142872.875775751</v>
      </c>
      <c r="J129" s="1569">
        <v>2684383.1242242474</v>
      </c>
      <c r="K129" s="1570">
        <f t="shared" si="10"/>
        <v>13827255.999999998</v>
      </c>
    </row>
    <row r="130" spans="1:11" ht="14.4" x14ac:dyDescent="0.3">
      <c r="A130" s="2313" t="s">
        <v>256</v>
      </c>
      <c r="D130" s="1565">
        <v>1411551</v>
      </c>
      <c r="E130" s="1566">
        <v>31287</v>
      </c>
      <c r="F130" s="1566">
        <v>0</v>
      </c>
      <c r="G130" s="1567">
        <v>1994144</v>
      </c>
      <c r="H130" s="1568">
        <f t="shared" si="9"/>
        <v>3436982</v>
      </c>
      <c r="I130" s="1569">
        <v>2769736.3455431433</v>
      </c>
      <c r="J130" s="1569">
        <v>667245.65445685701</v>
      </c>
      <c r="K130" s="1570">
        <f t="shared" si="10"/>
        <v>3436982.0000000005</v>
      </c>
    </row>
    <row r="131" spans="1:11" ht="14.4" x14ac:dyDescent="0.3">
      <c r="A131" s="2313" t="s">
        <v>9</v>
      </c>
      <c r="D131" s="1571">
        <f t="shared" ref="D131:G131" si="11">SUM(D126:D130)</f>
        <v>53219025</v>
      </c>
      <c r="E131" s="1572">
        <f t="shared" si="11"/>
        <v>5277645</v>
      </c>
      <c r="F131" s="2063">
        <f t="shared" si="11"/>
        <v>0</v>
      </c>
      <c r="G131" s="1572">
        <f t="shared" si="11"/>
        <v>79397756</v>
      </c>
      <c r="H131" s="1568">
        <f t="shared" ref="H131" si="12">SUM(D131:G131)</f>
        <v>137894426</v>
      </c>
      <c r="I131" s="1569">
        <f>SUM(I126:I130)</f>
        <v>111124004.58891241</v>
      </c>
      <c r="J131" s="1569">
        <f>SUM(J126:J130)</f>
        <v>26770421.411087591</v>
      </c>
      <c r="K131" s="1570">
        <f t="shared" ref="K131" si="13">I131+J131</f>
        <v>137894426</v>
      </c>
    </row>
    <row r="134" spans="1:11" x14ac:dyDescent="0.3">
      <c r="A134" s="839" t="s">
        <v>1094</v>
      </c>
      <c r="B134" s="605"/>
    </row>
    <row r="135" spans="1:11" x14ac:dyDescent="0.3">
      <c r="A135" s="339"/>
      <c r="B135" s="339"/>
    </row>
    <row r="136" spans="1:11" x14ac:dyDescent="0.3">
      <c r="A136" s="359" t="s">
        <v>248</v>
      </c>
      <c r="B136" s="359"/>
    </row>
    <row r="137" spans="1:11" x14ac:dyDescent="0.3">
      <c r="A137" s="360" t="s">
        <v>249</v>
      </c>
      <c r="B137" s="361" t="s">
        <v>250</v>
      </c>
    </row>
  </sheetData>
  <autoFilter ref="A3:C124"/>
  <sortState ref="A5:K124">
    <sortCondition ref="A5:A124"/>
  </sortState>
  <hyperlinks>
    <hyperlink ref="B137" r:id="rId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zoomScaleNormal="100" workbookViewId="0">
      <pane xSplit="3" ySplit="4" topLeftCell="D5" activePane="bottomRight" state="frozen"/>
      <selection pane="topRight" activeCell="D1" sqref="D1"/>
      <selection pane="bottomLeft" activeCell="A5" sqref="A5"/>
      <selection pane="bottomRight" activeCell="A5" sqref="A5:XFD124"/>
    </sheetView>
  </sheetViews>
  <sheetFormatPr defaultColWidth="9" defaultRowHeight="13.8" x14ac:dyDescent="0.3"/>
  <cols>
    <col min="1" max="1" width="9" style="217"/>
    <col min="2" max="2" width="27.69921875" style="217" customWidth="1"/>
    <col min="3" max="3" width="14.19921875" style="217" customWidth="1"/>
    <col min="4" max="4" width="11.296875" style="217" customWidth="1"/>
    <col min="5" max="5" width="12.19921875" style="217" customWidth="1"/>
    <col min="6" max="10" width="11.296875" style="217" customWidth="1"/>
    <col min="11" max="16384" width="9" style="217"/>
  </cols>
  <sheetData>
    <row r="1" spans="1:10" x14ac:dyDescent="0.3">
      <c r="A1" s="65" t="s">
        <v>1103</v>
      </c>
      <c r="H1" s="854"/>
    </row>
    <row r="2" spans="1:10" x14ac:dyDescent="0.3">
      <c r="D2" s="854"/>
      <c r="E2" s="854"/>
      <c r="F2" s="854"/>
      <c r="G2" s="854"/>
      <c r="H2" s="854"/>
      <c r="I2" s="854"/>
      <c r="J2" s="854"/>
    </row>
    <row r="3" spans="1:10" ht="28.8" x14ac:dyDescent="0.3">
      <c r="A3" s="1184" t="s">
        <v>4</v>
      </c>
      <c r="B3" s="1526" t="s">
        <v>5</v>
      </c>
      <c r="C3" s="1526" t="s">
        <v>251</v>
      </c>
      <c r="D3" s="1527" t="s">
        <v>302</v>
      </c>
      <c r="E3" s="1528" t="s">
        <v>303</v>
      </c>
      <c r="F3" s="1528" t="s">
        <v>304</v>
      </c>
      <c r="G3" s="2064" t="s">
        <v>1032</v>
      </c>
      <c r="H3" s="1528" t="s">
        <v>1033</v>
      </c>
      <c r="I3" s="1530" t="s">
        <v>269</v>
      </c>
      <c r="J3" s="1529" t="s">
        <v>292</v>
      </c>
    </row>
    <row r="4" spans="1:10" ht="12.75" customHeight="1" x14ac:dyDescent="0.3">
      <c r="A4" s="1531">
        <v>999</v>
      </c>
      <c r="B4" s="1532" t="s">
        <v>9</v>
      </c>
      <c r="C4" s="1533"/>
      <c r="D4" s="1534">
        <f t="shared" ref="D4:I4" si="0">SUM(D5:D124)</f>
        <v>89022523.079999998</v>
      </c>
      <c r="E4" s="1535">
        <f t="shared" si="0"/>
        <v>104250168.09999999</v>
      </c>
      <c r="F4" s="1535">
        <f t="shared" si="0"/>
        <v>0</v>
      </c>
      <c r="G4" s="1535">
        <f t="shared" si="0"/>
        <v>140359.72</v>
      </c>
      <c r="H4" s="1535">
        <f t="shared" si="0"/>
        <v>113780.27</v>
      </c>
      <c r="I4" s="1536">
        <f t="shared" si="0"/>
        <v>193526831.17000005</v>
      </c>
      <c r="J4" s="1536">
        <f>SUM(J5:J124)</f>
        <v>254139.99000000005</v>
      </c>
    </row>
    <row r="5" spans="1:10" s="232" customFormat="1" ht="12.75" customHeight="1" x14ac:dyDescent="0.3">
      <c r="A5" s="1538" t="s">
        <v>10</v>
      </c>
      <c r="B5" s="1539" t="s">
        <v>11</v>
      </c>
      <c r="C5" s="1540" t="s">
        <v>252</v>
      </c>
      <c r="D5" s="1541">
        <v>122534.32999999999</v>
      </c>
      <c r="E5" s="1542">
        <v>187674.33000000002</v>
      </c>
      <c r="F5" s="1542">
        <v>0</v>
      </c>
      <c r="G5" s="2065">
        <v>-0.01</v>
      </c>
      <c r="H5" s="1542">
        <v>0</v>
      </c>
      <c r="I5" s="1543">
        <f t="shared" ref="I5:I36" si="1">SUM(D5:H5)</f>
        <v>310208.65000000002</v>
      </c>
      <c r="J5" s="1542">
        <f t="shared" ref="J5:J36" si="2">SUM(F5:H5)</f>
        <v>-0.01</v>
      </c>
    </row>
    <row r="6" spans="1:10" s="232" customFormat="1" ht="12.75" customHeight="1" x14ac:dyDescent="0.3">
      <c r="A6" s="1181" t="s">
        <v>12</v>
      </c>
      <c r="B6" s="1544" t="s">
        <v>13</v>
      </c>
      <c r="C6" s="1545" t="s">
        <v>253</v>
      </c>
      <c r="D6" s="1546">
        <v>1444417.0399999998</v>
      </c>
      <c r="E6" s="1547">
        <v>1568060.6199999999</v>
      </c>
      <c r="F6" s="1547">
        <v>0</v>
      </c>
      <c r="G6" s="2066">
        <v>3775.3199999999997</v>
      </c>
      <c r="H6" s="1547">
        <v>0</v>
      </c>
      <c r="I6" s="1548">
        <f t="shared" si="1"/>
        <v>3016252.9799999995</v>
      </c>
      <c r="J6" s="1547">
        <f t="shared" si="2"/>
        <v>3775.3199999999997</v>
      </c>
    </row>
    <row r="7" spans="1:10" s="232" customFormat="1" ht="12.75" customHeight="1" x14ac:dyDescent="0.3">
      <c r="A7" s="1181" t="s">
        <v>16</v>
      </c>
      <c r="B7" s="1544" t="s">
        <v>285</v>
      </c>
      <c r="C7" s="1545" t="s">
        <v>253</v>
      </c>
      <c r="D7" s="1546">
        <v>49978.92</v>
      </c>
      <c r="E7" s="1547">
        <v>80845.919999999998</v>
      </c>
      <c r="F7" s="1547">
        <v>0</v>
      </c>
      <c r="G7" s="2066">
        <v>723.95</v>
      </c>
      <c r="H7" s="1547">
        <v>0</v>
      </c>
      <c r="I7" s="1548">
        <f t="shared" si="1"/>
        <v>131548.79</v>
      </c>
      <c r="J7" s="1547">
        <f t="shared" si="2"/>
        <v>723.95</v>
      </c>
    </row>
    <row r="8" spans="1:10" s="232" customFormat="1" ht="12.75" customHeight="1" x14ac:dyDescent="0.3">
      <c r="A8" s="1181" t="s">
        <v>18</v>
      </c>
      <c r="B8" s="1544" t="s">
        <v>19</v>
      </c>
      <c r="C8" s="1545" t="s">
        <v>254</v>
      </c>
      <c r="D8" s="1546">
        <v>30247.17</v>
      </c>
      <c r="E8" s="1547">
        <v>63931.17</v>
      </c>
      <c r="F8" s="1547">
        <v>0</v>
      </c>
      <c r="G8" s="2066">
        <v>-0.01</v>
      </c>
      <c r="H8" s="1547">
        <v>0</v>
      </c>
      <c r="I8" s="1548">
        <f t="shared" si="1"/>
        <v>94178.33</v>
      </c>
      <c r="J8" s="1547">
        <f t="shared" si="2"/>
        <v>-0.01</v>
      </c>
    </row>
    <row r="9" spans="1:10" s="232" customFormat="1" ht="12.75" customHeight="1" x14ac:dyDescent="0.3">
      <c r="A9" s="1181" t="s">
        <v>20</v>
      </c>
      <c r="B9" s="1544" t="s">
        <v>21</v>
      </c>
      <c r="C9" s="1545" t="s">
        <v>253</v>
      </c>
      <c r="D9" s="1546">
        <v>147945.25999999998</v>
      </c>
      <c r="E9" s="1547">
        <v>164469.75999999998</v>
      </c>
      <c r="F9" s="1547">
        <v>0</v>
      </c>
      <c r="G9" s="2066">
        <v>-7.0000000000000007E-2</v>
      </c>
      <c r="H9" s="1547">
        <v>0</v>
      </c>
      <c r="I9" s="1548">
        <f t="shared" si="1"/>
        <v>312414.94999999995</v>
      </c>
      <c r="J9" s="1547">
        <f t="shared" si="2"/>
        <v>-7.0000000000000007E-2</v>
      </c>
    </row>
    <row r="10" spans="1:10" s="232" customFormat="1" ht="12.75" customHeight="1" x14ac:dyDescent="0.3">
      <c r="A10" s="1181" t="s">
        <v>22</v>
      </c>
      <c r="B10" s="1544" t="s">
        <v>23</v>
      </c>
      <c r="C10" s="1545" t="s">
        <v>253</v>
      </c>
      <c r="D10" s="1546">
        <v>230990.01</v>
      </c>
      <c r="E10" s="1547">
        <v>261136.33000000002</v>
      </c>
      <c r="F10" s="1547">
        <v>0</v>
      </c>
      <c r="G10" s="2066">
        <v>2015.9</v>
      </c>
      <c r="H10" s="1547">
        <v>0</v>
      </c>
      <c r="I10" s="1548">
        <f t="shared" si="1"/>
        <v>494142.24000000005</v>
      </c>
      <c r="J10" s="1547">
        <f t="shared" si="2"/>
        <v>2015.9</v>
      </c>
    </row>
    <row r="11" spans="1:10" s="232" customFormat="1" ht="12.75" customHeight="1" x14ac:dyDescent="0.3">
      <c r="A11" s="1181" t="s">
        <v>24</v>
      </c>
      <c r="B11" s="1544" t="s">
        <v>25</v>
      </c>
      <c r="C11" s="1545" t="s">
        <v>255</v>
      </c>
      <c r="D11" s="1546">
        <v>1183215.81</v>
      </c>
      <c r="E11" s="1547">
        <v>1201517.73</v>
      </c>
      <c r="F11" s="1547">
        <v>0</v>
      </c>
      <c r="G11" s="2066">
        <v>4.6499999999999995</v>
      </c>
      <c r="H11" s="1547">
        <v>0</v>
      </c>
      <c r="I11" s="1548">
        <f t="shared" si="1"/>
        <v>2384738.19</v>
      </c>
      <c r="J11" s="1547">
        <f t="shared" si="2"/>
        <v>4.6499999999999995</v>
      </c>
    </row>
    <row r="12" spans="1:10" s="232" customFormat="1" ht="12.75" customHeight="1" x14ac:dyDescent="0.3">
      <c r="A12" s="1181" t="s">
        <v>26</v>
      </c>
      <c r="B12" s="1544" t="s">
        <v>547</v>
      </c>
      <c r="C12" s="1545" t="s">
        <v>253</v>
      </c>
      <c r="D12" s="1546">
        <v>2861991.5100000002</v>
      </c>
      <c r="E12" s="1547">
        <v>3115143.7800000003</v>
      </c>
      <c r="F12" s="1547">
        <v>0</v>
      </c>
      <c r="G12" s="2066">
        <v>-0.79</v>
      </c>
      <c r="H12" s="1547">
        <v>0</v>
      </c>
      <c r="I12" s="1548">
        <f t="shared" si="1"/>
        <v>5977134.5000000009</v>
      </c>
      <c r="J12" s="1547">
        <f t="shared" si="2"/>
        <v>-0.79</v>
      </c>
    </row>
    <row r="13" spans="1:10" s="232" customFormat="1" ht="12.75" customHeight="1" x14ac:dyDescent="0.3">
      <c r="A13" s="1181" t="s">
        <v>27</v>
      </c>
      <c r="B13" s="1544" t="s">
        <v>28</v>
      </c>
      <c r="C13" s="1545" t="s">
        <v>253</v>
      </c>
      <c r="D13" s="1546">
        <v>48896</v>
      </c>
      <c r="E13" s="1547">
        <v>48896</v>
      </c>
      <c r="F13" s="1547">
        <v>0</v>
      </c>
      <c r="G13" s="2066">
        <v>0</v>
      </c>
      <c r="H13" s="1547">
        <v>0</v>
      </c>
      <c r="I13" s="1548">
        <f t="shared" si="1"/>
        <v>97792</v>
      </c>
      <c r="J13" s="1547">
        <f t="shared" si="2"/>
        <v>0</v>
      </c>
    </row>
    <row r="14" spans="1:10" s="232" customFormat="1" ht="12.75" customHeight="1" x14ac:dyDescent="0.3">
      <c r="A14" s="1181" t="s">
        <v>29</v>
      </c>
      <c r="B14" s="1544" t="s">
        <v>736</v>
      </c>
      <c r="C14" s="1545" t="s">
        <v>253</v>
      </c>
      <c r="D14" s="1546">
        <v>1038162.23</v>
      </c>
      <c r="E14" s="1547">
        <v>1373202.49</v>
      </c>
      <c r="F14" s="1547">
        <v>0</v>
      </c>
      <c r="G14" s="2066">
        <v>-0.36000000000000004</v>
      </c>
      <c r="H14" s="1547">
        <v>0</v>
      </c>
      <c r="I14" s="1548">
        <f t="shared" si="1"/>
        <v>2411364.36</v>
      </c>
      <c r="J14" s="1547">
        <f t="shared" si="2"/>
        <v>-0.36000000000000004</v>
      </c>
    </row>
    <row r="15" spans="1:10" s="232" customFormat="1" ht="12.75" customHeight="1" x14ac:dyDescent="0.3">
      <c r="A15" s="1181" t="s">
        <v>30</v>
      </c>
      <c r="B15" s="1544" t="s">
        <v>31</v>
      </c>
      <c r="C15" s="1545" t="s">
        <v>256</v>
      </c>
      <c r="D15" s="1546">
        <v>121522.07999999999</v>
      </c>
      <c r="E15" s="1547">
        <v>142487.44999999998</v>
      </c>
      <c r="F15" s="1547">
        <v>0</v>
      </c>
      <c r="G15" s="2066">
        <v>-0.03</v>
      </c>
      <c r="H15" s="1547">
        <v>0</v>
      </c>
      <c r="I15" s="1548">
        <f t="shared" si="1"/>
        <v>264009.49999999994</v>
      </c>
      <c r="J15" s="1547">
        <f t="shared" si="2"/>
        <v>-0.03</v>
      </c>
    </row>
    <row r="16" spans="1:10" s="232" customFormat="1" ht="12.75" customHeight="1" x14ac:dyDescent="0.3">
      <c r="A16" s="1181" t="s">
        <v>32</v>
      </c>
      <c r="B16" s="1544" t="s">
        <v>33</v>
      </c>
      <c r="C16" s="1545" t="s">
        <v>253</v>
      </c>
      <c r="D16" s="1546">
        <v>102416.53</v>
      </c>
      <c r="E16" s="1547">
        <v>117477.53</v>
      </c>
      <c r="F16" s="1547">
        <v>0</v>
      </c>
      <c r="G16" s="2066">
        <v>-0.04</v>
      </c>
      <c r="H16" s="1547">
        <v>0</v>
      </c>
      <c r="I16" s="1548">
        <f t="shared" si="1"/>
        <v>219894.02</v>
      </c>
      <c r="J16" s="1547">
        <f t="shared" si="2"/>
        <v>-0.04</v>
      </c>
    </row>
    <row r="17" spans="1:10" s="232" customFormat="1" ht="12.75" customHeight="1" x14ac:dyDescent="0.3">
      <c r="A17" s="1181" t="s">
        <v>36</v>
      </c>
      <c r="B17" s="1544" t="s">
        <v>37</v>
      </c>
      <c r="C17" s="1545" t="s">
        <v>252</v>
      </c>
      <c r="D17" s="1546">
        <v>68384.58</v>
      </c>
      <c r="E17" s="1547">
        <v>64884.58</v>
      </c>
      <c r="F17" s="1547">
        <v>0</v>
      </c>
      <c r="G17" s="2066">
        <v>-0.03</v>
      </c>
      <c r="H17" s="1547">
        <v>0</v>
      </c>
      <c r="I17" s="1548">
        <f t="shared" si="1"/>
        <v>133269.13</v>
      </c>
      <c r="J17" s="1547">
        <f t="shared" si="2"/>
        <v>-0.03</v>
      </c>
    </row>
    <row r="18" spans="1:10" s="232" customFormat="1" ht="12.75" customHeight="1" x14ac:dyDescent="0.3">
      <c r="A18" s="1181" t="s">
        <v>38</v>
      </c>
      <c r="B18" s="1544" t="s">
        <v>39</v>
      </c>
      <c r="C18" s="1545" t="s">
        <v>256</v>
      </c>
      <c r="D18" s="1546">
        <v>1137371.44</v>
      </c>
      <c r="E18" s="1547">
        <v>1143315.17</v>
      </c>
      <c r="F18" s="1547">
        <v>0</v>
      </c>
      <c r="G18" s="2066">
        <v>78.850000000000009</v>
      </c>
      <c r="H18" s="1547">
        <v>0</v>
      </c>
      <c r="I18" s="1548">
        <f t="shared" si="1"/>
        <v>2280765.46</v>
      </c>
      <c r="J18" s="1547">
        <f t="shared" si="2"/>
        <v>78.850000000000009</v>
      </c>
    </row>
    <row r="19" spans="1:10" s="232" customFormat="1" ht="12.75" customHeight="1" x14ac:dyDescent="0.3">
      <c r="A19" s="1181" t="s">
        <v>40</v>
      </c>
      <c r="B19" s="1544" t="s">
        <v>41</v>
      </c>
      <c r="C19" s="1545" t="s">
        <v>254</v>
      </c>
      <c r="D19" s="1546">
        <v>113414</v>
      </c>
      <c r="E19" s="1547">
        <v>137478</v>
      </c>
      <c r="F19" s="1547">
        <v>0</v>
      </c>
      <c r="G19" s="2066">
        <v>-0.03</v>
      </c>
      <c r="H19" s="1547">
        <v>0</v>
      </c>
      <c r="I19" s="1548">
        <f t="shared" si="1"/>
        <v>250891.97</v>
      </c>
      <c r="J19" s="1547">
        <f t="shared" si="2"/>
        <v>-0.03</v>
      </c>
    </row>
    <row r="20" spans="1:10" s="232" customFormat="1" ht="12.75" customHeight="1" x14ac:dyDescent="0.3">
      <c r="A20" s="1181" t="s">
        <v>42</v>
      </c>
      <c r="B20" s="1544" t="s">
        <v>43</v>
      </c>
      <c r="C20" s="1545" t="s">
        <v>253</v>
      </c>
      <c r="D20" s="1546">
        <v>828473.75</v>
      </c>
      <c r="E20" s="1547">
        <v>1225028.4300000002</v>
      </c>
      <c r="F20" s="1547">
        <v>0</v>
      </c>
      <c r="G20" s="2066">
        <v>-0.1</v>
      </c>
      <c r="H20" s="1547">
        <v>229.83</v>
      </c>
      <c r="I20" s="1548">
        <f t="shared" si="1"/>
        <v>2053731.9100000001</v>
      </c>
      <c r="J20" s="1547">
        <f t="shared" si="2"/>
        <v>229.73000000000002</v>
      </c>
    </row>
    <row r="21" spans="1:10" s="232" customFormat="1" ht="12.75" customHeight="1" x14ac:dyDescent="0.3">
      <c r="A21" s="1181" t="s">
        <v>44</v>
      </c>
      <c r="B21" s="1544" t="s">
        <v>45</v>
      </c>
      <c r="C21" s="1545" t="s">
        <v>254</v>
      </c>
      <c r="D21" s="1546">
        <v>324261.01000000007</v>
      </c>
      <c r="E21" s="1547">
        <v>345442.57</v>
      </c>
      <c r="F21" s="1547">
        <v>0</v>
      </c>
      <c r="G21" s="2066">
        <v>46.09</v>
      </c>
      <c r="H21" s="1547">
        <v>0</v>
      </c>
      <c r="I21" s="1548">
        <f t="shared" si="1"/>
        <v>669749.67000000004</v>
      </c>
      <c r="J21" s="1547">
        <f t="shared" si="2"/>
        <v>46.09</v>
      </c>
    </row>
    <row r="22" spans="1:10" s="232" customFormat="1" ht="12.75" customHeight="1" x14ac:dyDescent="0.3">
      <c r="A22" s="1181" t="s">
        <v>46</v>
      </c>
      <c r="B22" s="1544" t="s">
        <v>47</v>
      </c>
      <c r="C22" s="1545" t="s">
        <v>256</v>
      </c>
      <c r="D22" s="1546">
        <v>761064.48</v>
      </c>
      <c r="E22" s="1547">
        <v>849480.48</v>
      </c>
      <c r="F22" s="1547">
        <v>0</v>
      </c>
      <c r="G22" s="2066">
        <v>-579.9</v>
      </c>
      <c r="H22" s="1547">
        <v>0</v>
      </c>
      <c r="I22" s="1548">
        <f t="shared" si="1"/>
        <v>1609965.06</v>
      </c>
      <c r="J22" s="1547">
        <f t="shared" si="2"/>
        <v>-579.9</v>
      </c>
    </row>
    <row r="23" spans="1:10" s="232" customFormat="1" ht="12.75" customHeight="1" x14ac:dyDescent="0.3">
      <c r="A23" s="1181" t="s">
        <v>48</v>
      </c>
      <c r="B23" s="1544" t="s">
        <v>257</v>
      </c>
      <c r="C23" s="1545" t="s">
        <v>254</v>
      </c>
      <c r="D23" s="1546">
        <v>4200</v>
      </c>
      <c r="E23" s="1547">
        <v>10824</v>
      </c>
      <c r="F23" s="1547">
        <v>0</v>
      </c>
      <c r="G23" s="2066">
        <v>0</v>
      </c>
      <c r="H23" s="1547">
        <v>0</v>
      </c>
      <c r="I23" s="1548">
        <f t="shared" si="1"/>
        <v>15024</v>
      </c>
      <c r="J23" s="1547">
        <f t="shared" si="2"/>
        <v>0</v>
      </c>
    </row>
    <row r="24" spans="1:10" s="232" customFormat="1" ht="12.75" customHeight="1" x14ac:dyDescent="0.3">
      <c r="A24" s="1181" t="s">
        <v>50</v>
      </c>
      <c r="B24" s="1544" t="s">
        <v>51</v>
      </c>
      <c r="C24" s="1545" t="s">
        <v>253</v>
      </c>
      <c r="D24" s="1546">
        <v>238231.11</v>
      </c>
      <c r="E24" s="1547">
        <v>238231.11</v>
      </c>
      <c r="F24" s="1547">
        <v>0</v>
      </c>
      <c r="G24" s="2066">
        <v>-0.13999999999999999</v>
      </c>
      <c r="H24" s="1547">
        <v>1306.58</v>
      </c>
      <c r="I24" s="1548">
        <f t="shared" si="1"/>
        <v>477768.66</v>
      </c>
      <c r="J24" s="1547">
        <f t="shared" si="2"/>
        <v>1306.4399999999998</v>
      </c>
    </row>
    <row r="25" spans="1:10" s="232" customFormat="1" ht="12.75" customHeight="1" x14ac:dyDescent="0.3">
      <c r="A25" s="1181" t="s">
        <v>56</v>
      </c>
      <c r="B25" s="1544" t="s">
        <v>283</v>
      </c>
      <c r="C25" s="1545" t="s">
        <v>254</v>
      </c>
      <c r="D25" s="1546">
        <v>1615437.53</v>
      </c>
      <c r="E25" s="1547">
        <v>1908028.9799999997</v>
      </c>
      <c r="F25" s="1547">
        <v>0</v>
      </c>
      <c r="G25" s="2066">
        <v>-0.5</v>
      </c>
      <c r="H25" s="1547">
        <v>0</v>
      </c>
      <c r="I25" s="1548">
        <f t="shared" si="1"/>
        <v>3523466.01</v>
      </c>
      <c r="J25" s="1547">
        <f t="shared" si="2"/>
        <v>-0.5</v>
      </c>
    </row>
    <row r="26" spans="1:10" s="232" customFormat="1" ht="12.75" customHeight="1" x14ac:dyDescent="0.3">
      <c r="A26" s="1181" t="s">
        <v>58</v>
      </c>
      <c r="B26" s="1544" t="s">
        <v>59</v>
      </c>
      <c r="C26" s="1545" t="s">
        <v>255</v>
      </c>
      <c r="D26" s="1546">
        <v>68261.56</v>
      </c>
      <c r="E26" s="1547">
        <v>144906.06</v>
      </c>
      <c r="F26" s="1547">
        <v>0</v>
      </c>
      <c r="G26" s="2066">
        <v>409.46000000000004</v>
      </c>
      <c r="H26" s="1547">
        <v>0</v>
      </c>
      <c r="I26" s="1548">
        <f t="shared" si="1"/>
        <v>213577.08</v>
      </c>
      <c r="J26" s="1547">
        <f t="shared" si="2"/>
        <v>409.46000000000004</v>
      </c>
    </row>
    <row r="27" spans="1:10" s="232" customFormat="1" ht="12.75" customHeight="1" x14ac:dyDescent="0.3">
      <c r="A27" s="1181" t="s">
        <v>60</v>
      </c>
      <c r="B27" s="1544" t="s">
        <v>61</v>
      </c>
      <c r="C27" s="1545" t="s">
        <v>253</v>
      </c>
      <c r="D27" s="1546">
        <v>103796.84</v>
      </c>
      <c r="E27" s="1547">
        <v>124371.56</v>
      </c>
      <c r="F27" s="1547">
        <v>0</v>
      </c>
      <c r="G27" s="2066">
        <v>-0.05</v>
      </c>
      <c r="H27" s="1547">
        <v>0</v>
      </c>
      <c r="I27" s="1548">
        <f t="shared" si="1"/>
        <v>228168.35</v>
      </c>
      <c r="J27" s="1547">
        <f t="shared" si="2"/>
        <v>-0.05</v>
      </c>
    </row>
    <row r="28" spans="1:10" s="232" customFormat="1" ht="12.75" customHeight="1" x14ac:dyDescent="0.3">
      <c r="A28" s="1181" t="s">
        <v>62</v>
      </c>
      <c r="B28" s="1544" t="s">
        <v>63</v>
      </c>
      <c r="C28" s="1545" t="s">
        <v>255</v>
      </c>
      <c r="D28" s="1546">
        <v>796846.38</v>
      </c>
      <c r="E28" s="1547">
        <v>951963.78</v>
      </c>
      <c r="F28" s="1547">
        <v>0</v>
      </c>
      <c r="G28" s="2066">
        <v>-0.25</v>
      </c>
      <c r="H28" s="1547">
        <v>0</v>
      </c>
      <c r="I28" s="1548">
        <f t="shared" si="1"/>
        <v>1748809.9100000001</v>
      </c>
      <c r="J28" s="1547">
        <f t="shared" si="2"/>
        <v>-0.25</v>
      </c>
    </row>
    <row r="29" spans="1:10" s="232" customFormat="1" ht="12.75" customHeight="1" x14ac:dyDescent="0.3">
      <c r="A29" s="1181" t="s">
        <v>64</v>
      </c>
      <c r="B29" s="1544" t="s">
        <v>65</v>
      </c>
      <c r="C29" s="1545" t="s">
        <v>254</v>
      </c>
      <c r="D29" s="1546">
        <v>161498.33000000002</v>
      </c>
      <c r="E29" s="1547">
        <v>169940.33000000002</v>
      </c>
      <c r="F29" s="1547">
        <v>0</v>
      </c>
      <c r="G29" s="2066">
        <v>-0.06</v>
      </c>
      <c r="H29" s="1547">
        <v>0</v>
      </c>
      <c r="I29" s="1548">
        <f t="shared" si="1"/>
        <v>331438.60000000003</v>
      </c>
      <c r="J29" s="1547">
        <f t="shared" si="2"/>
        <v>-0.06</v>
      </c>
    </row>
    <row r="30" spans="1:10" s="232" customFormat="1" ht="12.75" customHeight="1" x14ac:dyDescent="0.3">
      <c r="A30" s="1181" t="s">
        <v>68</v>
      </c>
      <c r="B30" s="1544" t="s">
        <v>69</v>
      </c>
      <c r="C30" s="1545" t="s">
        <v>256</v>
      </c>
      <c r="D30" s="1546">
        <v>778561.66999999993</v>
      </c>
      <c r="E30" s="1547">
        <v>1098364.75</v>
      </c>
      <c r="F30" s="1547">
        <v>0</v>
      </c>
      <c r="G30" s="2066">
        <v>11694.359999999999</v>
      </c>
      <c r="H30" s="1547">
        <v>0</v>
      </c>
      <c r="I30" s="1548">
        <f t="shared" si="1"/>
        <v>1888620.78</v>
      </c>
      <c r="J30" s="1547">
        <f t="shared" si="2"/>
        <v>11694.359999999999</v>
      </c>
    </row>
    <row r="31" spans="1:10" s="232" customFormat="1" ht="12.75" customHeight="1" x14ac:dyDescent="0.3">
      <c r="A31" s="1181" t="s">
        <v>70</v>
      </c>
      <c r="B31" s="1544" t="s">
        <v>71</v>
      </c>
      <c r="C31" s="1545" t="s">
        <v>252</v>
      </c>
      <c r="D31" s="1546">
        <v>190511.12</v>
      </c>
      <c r="E31" s="1547">
        <v>190944.12</v>
      </c>
      <c r="F31" s="1547">
        <v>0</v>
      </c>
      <c r="G31" s="2066">
        <v>188.92999999999998</v>
      </c>
      <c r="H31" s="1547">
        <v>189</v>
      </c>
      <c r="I31" s="1548">
        <f t="shared" si="1"/>
        <v>381833.17</v>
      </c>
      <c r="J31" s="1547">
        <f t="shared" si="2"/>
        <v>377.92999999999995</v>
      </c>
    </row>
    <row r="32" spans="1:10" s="232" customFormat="1" ht="12.75" customHeight="1" x14ac:dyDescent="0.3">
      <c r="A32" s="1181" t="s">
        <v>72</v>
      </c>
      <c r="B32" s="1544" t="s">
        <v>73</v>
      </c>
      <c r="C32" s="1545" t="s">
        <v>254</v>
      </c>
      <c r="D32" s="1546">
        <v>274733.93000000005</v>
      </c>
      <c r="E32" s="1547">
        <v>298535.93000000005</v>
      </c>
      <c r="F32" s="1547">
        <v>0</v>
      </c>
      <c r="G32" s="2066">
        <v>5151.8599999999997</v>
      </c>
      <c r="H32" s="1547">
        <v>0</v>
      </c>
      <c r="I32" s="1548">
        <f t="shared" si="1"/>
        <v>578421.72000000009</v>
      </c>
      <c r="J32" s="1547">
        <f t="shared" si="2"/>
        <v>5151.8599999999997</v>
      </c>
    </row>
    <row r="33" spans="1:10" s="232" customFormat="1" ht="12.75" customHeight="1" x14ac:dyDescent="0.3">
      <c r="A33" s="1181" t="s">
        <v>74</v>
      </c>
      <c r="B33" s="1544" t="s">
        <v>290</v>
      </c>
      <c r="C33" s="1545" t="s">
        <v>255</v>
      </c>
      <c r="D33" s="1546">
        <v>4241021.87</v>
      </c>
      <c r="E33" s="1547">
        <v>5376593</v>
      </c>
      <c r="F33" s="1547">
        <v>0</v>
      </c>
      <c r="G33" s="2066">
        <v>-0.61</v>
      </c>
      <c r="H33" s="1547">
        <v>29359.08</v>
      </c>
      <c r="I33" s="1548">
        <f t="shared" si="1"/>
        <v>9646973.3400000017</v>
      </c>
      <c r="J33" s="1547">
        <f t="shared" si="2"/>
        <v>29358.47</v>
      </c>
    </row>
    <row r="34" spans="1:10" s="232" customFormat="1" ht="12.75" customHeight="1" x14ac:dyDescent="0.3">
      <c r="A34" s="1181" t="s">
        <v>76</v>
      </c>
      <c r="B34" s="1544" t="s">
        <v>77</v>
      </c>
      <c r="C34" s="1545" t="s">
        <v>255</v>
      </c>
      <c r="D34" s="1546">
        <v>937159.26</v>
      </c>
      <c r="E34" s="1547">
        <v>1017388.1900000001</v>
      </c>
      <c r="F34" s="1547">
        <v>0</v>
      </c>
      <c r="G34" s="2066">
        <v>-0.24</v>
      </c>
      <c r="H34" s="1547">
        <v>1344</v>
      </c>
      <c r="I34" s="1548">
        <f t="shared" si="1"/>
        <v>1955891.2100000002</v>
      </c>
      <c r="J34" s="1547">
        <f t="shared" si="2"/>
        <v>1343.76</v>
      </c>
    </row>
    <row r="35" spans="1:10" s="232" customFormat="1" ht="12.75" customHeight="1" x14ac:dyDescent="0.3">
      <c r="A35" s="1181" t="s">
        <v>78</v>
      </c>
      <c r="B35" s="1544" t="s">
        <v>79</v>
      </c>
      <c r="C35" s="1545" t="s">
        <v>256</v>
      </c>
      <c r="D35" s="1546">
        <v>245461.30000000002</v>
      </c>
      <c r="E35" s="1547">
        <v>245461.30000000002</v>
      </c>
      <c r="F35" s="1547">
        <v>0</v>
      </c>
      <c r="G35" s="2066">
        <v>15.07</v>
      </c>
      <c r="H35" s="1547">
        <v>0</v>
      </c>
      <c r="I35" s="1548">
        <f t="shared" si="1"/>
        <v>490937.67000000004</v>
      </c>
      <c r="J35" s="1547">
        <f t="shared" si="2"/>
        <v>15.07</v>
      </c>
    </row>
    <row r="36" spans="1:10" s="232" customFormat="1" ht="12.75" customHeight="1" x14ac:dyDescent="0.3">
      <c r="A36" s="1181" t="s">
        <v>80</v>
      </c>
      <c r="B36" s="1544" t="s">
        <v>81</v>
      </c>
      <c r="C36" s="1545" t="s">
        <v>254</v>
      </c>
      <c r="D36" s="1546">
        <v>217844.66999999998</v>
      </c>
      <c r="E36" s="1547">
        <v>261465.16999999998</v>
      </c>
      <c r="F36" s="1547">
        <v>0</v>
      </c>
      <c r="G36" s="2066">
        <v>-10562.99</v>
      </c>
      <c r="H36" s="1547">
        <v>0</v>
      </c>
      <c r="I36" s="1548">
        <f t="shared" si="1"/>
        <v>468746.85</v>
      </c>
      <c r="J36" s="1547">
        <f t="shared" si="2"/>
        <v>-10562.99</v>
      </c>
    </row>
    <row r="37" spans="1:10" s="232" customFormat="1" ht="12.75" customHeight="1" x14ac:dyDescent="0.3">
      <c r="A37" s="1181" t="s">
        <v>84</v>
      </c>
      <c r="B37" s="1544" t="s">
        <v>296</v>
      </c>
      <c r="C37" s="1545" t="s">
        <v>253</v>
      </c>
      <c r="D37" s="1546">
        <v>1242713.4900000002</v>
      </c>
      <c r="E37" s="1547">
        <v>1284401.29</v>
      </c>
      <c r="F37" s="1547">
        <v>0</v>
      </c>
      <c r="G37" s="2066">
        <v>-0.37000000000000005</v>
      </c>
      <c r="H37" s="1547">
        <v>0</v>
      </c>
      <c r="I37" s="1548">
        <f t="shared" ref="I37:I68" si="3">SUM(D37:H37)</f>
        <v>2527114.41</v>
      </c>
      <c r="J37" s="1547">
        <f t="shared" ref="J37:J68" si="4">SUM(F37:H37)</f>
        <v>-0.37000000000000005</v>
      </c>
    </row>
    <row r="38" spans="1:10" s="232" customFormat="1" ht="12.75" customHeight="1" x14ac:dyDescent="0.3">
      <c r="A38" s="1181" t="s">
        <v>86</v>
      </c>
      <c r="B38" s="1544" t="s">
        <v>87</v>
      </c>
      <c r="C38" s="1545" t="s">
        <v>255</v>
      </c>
      <c r="D38" s="1546">
        <v>651959.42999999993</v>
      </c>
      <c r="E38" s="1547">
        <v>719592.58999999985</v>
      </c>
      <c r="F38" s="1547">
        <v>0</v>
      </c>
      <c r="G38" s="2066">
        <v>-0.32</v>
      </c>
      <c r="H38" s="1547">
        <v>0</v>
      </c>
      <c r="I38" s="1548">
        <f t="shared" si="3"/>
        <v>1371551.6999999997</v>
      </c>
      <c r="J38" s="1547">
        <f t="shared" si="4"/>
        <v>-0.32</v>
      </c>
    </row>
    <row r="39" spans="1:10" s="232" customFormat="1" ht="12.75" customHeight="1" x14ac:dyDescent="0.3">
      <c r="A39" s="1181" t="s">
        <v>92</v>
      </c>
      <c r="B39" s="1544" t="s">
        <v>93</v>
      </c>
      <c r="C39" s="1545" t="s">
        <v>256</v>
      </c>
      <c r="D39" s="1546">
        <v>802987.75</v>
      </c>
      <c r="E39" s="1547">
        <v>837678.75</v>
      </c>
      <c r="F39" s="1547">
        <v>0</v>
      </c>
      <c r="G39" s="2066">
        <v>624.91</v>
      </c>
      <c r="H39" s="1547">
        <v>0</v>
      </c>
      <c r="I39" s="1548">
        <f t="shared" si="3"/>
        <v>1641291.41</v>
      </c>
      <c r="J39" s="1547">
        <f t="shared" si="4"/>
        <v>624.91</v>
      </c>
    </row>
    <row r="40" spans="1:10" s="232" customFormat="1" ht="12.75" customHeight="1" x14ac:dyDescent="0.3">
      <c r="A40" s="1181" t="s">
        <v>94</v>
      </c>
      <c r="B40" s="1544" t="s">
        <v>95</v>
      </c>
      <c r="C40" s="1545" t="s">
        <v>252</v>
      </c>
      <c r="D40" s="1546">
        <v>394010.54</v>
      </c>
      <c r="E40" s="1547">
        <v>717667.57</v>
      </c>
      <c r="F40" s="1547">
        <v>0</v>
      </c>
      <c r="G40" s="2066">
        <v>-0.12</v>
      </c>
      <c r="H40" s="1547">
        <v>0</v>
      </c>
      <c r="I40" s="1548">
        <f t="shared" si="3"/>
        <v>1111677.9899999998</v>
      </c>
      <c r="J40" s="1547">
        <f t="shared" si="4"/>
        <v>-0.12</v>
      </c>
    </row>
    <row r="41" spans="1:10" s="232" customFormat="1" ht="12.75" customHeight="1" x14ac:dyDescent="0.3">
      <c r="A41" s="1181" t="s">
        <v>96</v>
      </c>
      <c r="B41" s="1544" t="s">
        <v>97</v>
      </c>
      <c r="C41" s="1545" t="s">
        <v>254</v>
      </c>
      <c r="D41" s="1546">
        <v>160325.41</v>
      </c>
      <c r="E41" s="1547">
        <v>199456.22</v>
      </c>
      <c r="F41" s="1547">
        <v>0</v>
      </c>
      <c r="G41" s="2066">
        <v>-0.03</v>
      </c>
      <c r="H41" s="1547">
        <v>0</v>
      </c>
      <c r="I41" s="1548">
        <f t="shared" si="3"/>
        <v>359781.6</v>
      </c>
      <c r="J41" s="1547">
        <f t="shared" si="4"/>
        <v>-0.03</v>
      </c>
    </row>
    <row r="42" spans="1:10" s="232" customFormat="1" ht="12.75" customHeight="1" x14ac:dyDescent="0.3">
      <c r="A42" s="1181" t="s">
        <v>98</v>
      </c>
      <c r="B42" s="1544" t="s">
        <v>99</v>
      </c>
      <c r="C42" s="1545" t="s">
        <v>256</v>
      </c>
      <c r="D42" s="1546">
        <v>358446.24</v>
      </c>
      <c r="E42" s="1547">
        <v>382464.24</v>
      </c>
      <c r="F42" s="1547">
        <v>0</v>
      </c>
      <c r="G42" s="2066">
        <v>-0.17</v>
      </c>
      <c r="H42" s="1547">
        <v>0</v>
      </c>
      <c r="I42" s="1548">
        <f t="shared" si="3"/>
        <v>740910.30999999994</v>
      </c>
      <c r="J42" s="1547">
        <f t="shared" si="4"/>
        <v>-0.17</v>
      </c>
    </row>
    <row r="43" spans="1:10" s="232" customFormat="1" ht="12.75" customHeight="1" x14ac:dyDescent="0.3">
      <c r="A43" s="1181" t="s">
        <v>100</v>
      </c>
      <c r="B43" s="1544" t="s">
        <v>101</v>
      </c>
      <c r="C43" s="1545" t="s">
        <v>255</v>
      </c>
      <c r="D43" s="1546">
        <v>87898.700000000012</v>
      </c>
      <c r="E43" s="1547">
        <v>94742.700000000012</v>
      </c>
      <c r="F43" s="1547">
        <v>0</v>
      </c>
      <c r="G43" s="2066">
        <v>-0.02</v>
      </c>
      <c r="H43" s="1547">
        <v>0</v>
      </c>
      <c r="I43" s="1548">
        <f t="shared" si="3"/>
        <v>182641.38000000003</v>
      </c>
      <c r="J43" s="1547">
        <f t="shared" si="4"/>
        <v>-0.02</v>
      </c>
    </row>
    <row r="44" spans="1:10" s="232" customFormat="1" ht="12.75" customHeight="1" x14ac:dyDescent="0.3">
      <c r="A44" s="1181" t="s">
        <v>102</v>
      </c>
      <c r="B44" s="1544" t="s">
        <v>103</v>
      </c>
      <c r="C44" s="1545" t="s">
        <v>252</v>
      </c>
      <c r="D44" s="1546">
        <v>149124.81999999998</v>
      </c>
      <c r="E44" s="1547">
        <v>169295.25999999998</v>
      </c>
      <c r="F44" s="1547">
        <v>0</v>
      </c>
      <c r="G44" s="2066">
        <v>-0.13</v>
      </c>
      <c r="H44" s="1547">
        <v>0</v>
      </c>
      <c r="I44" s="1548">
        <f t="shared" si="3"/>
        <v>318419.94999999995</v>
      </c>
      <c r="J44" s="1547">
        <f t="shared" si="4"/>
        <v>-0.13</v>
      </c>
    </row>
    <row r="45" spans="1:10" s="232" customFormat="1" ht="12.75" customHeight="1" x14ac:dyDescent="0.3">
      <c r="A45" s="1181" t="s">
        <v>104</v>
      </c>
      <c r="B45" s="1544" t="s">
        <v>297</v>
      </c>
      <c r="C45" s="1545" t="s">
        <v>253</v>
      </c>
      <c r="D45" s="1546">
        <v>382452.12</v>
      </c>
      <c r="E45" s="1547">
        <v>389108.12</v>
      </c>
      <c r="F45" s="1547">
        <v>0</v>
      </c>
      <c r="G45" s="2066">
        <v>-4.9999999999999996E-2</v>
      </c>
      <c r="H45" s="1547">
        <v>0</v>
      </c>
      <c r="I45" s="1548">
        <f t="shared" si="3"/>
        <v>771560.19</v>
      </c>
      <c r="J45" s="1547">
        <f t="shared" si="4"/>
        <v>-4.9999999999999996E-2</v>
      </c>
    </row>
    <row r="46" spans="1:10" s="232" customFormat="1" ht="12.75" customHeight="1" x14ac:dyDescent="0.3">
      <c r="A46" s="1181" t="s">
        <v>108</v>
      </c>
      <c r="B46" s="1544" t="s">
        <v>109</v>
      </c>
      <c r="C46" s="1545" t="s">
        <v>254</v>
      </c>
      <c r="D46" s="1546">
        <v>470231.83999999997</v>
      </c>
      <c r="E46" s="1547">
        <v>527194.84</v>
      </c>
      <c r="F46" s="1547">
        <v>0</v>
      </c>
      <c r="G46" s="2066">
        <v>1792</v>
      </c>
      <c r="H46" s="1547">
        <v>0</v>
      </c>
      <c r="I46" s="1548">
        <f t="shared" si="3"/>
        <v>999218.67999999993</v>
      </c>
      <c r="J46" s="1547">
        <f t="shared" si="4"/>
        <v>1792</v>
      </c>
    </row>
    <row r="47" spans="1:10" s="232" customFormat="1" ht="12.75" customHeight="1" x14ac:dyDescent="0.3">
      <c r="A47" s="1181" t="s">
        <v>110</v>
      </c>
      <c r="B47" s="1544" t="s">
        <v>111</v>
      </c>
      <c r="C47" s="1545" t="s">
        <v>254</v>
      </c>
      <c r="D47" s="1546">
        <v>1413606.73</v>
      </c>
      <c r="E47" s="1547">
        <v>1549881.81</v>
      </c>
      <c r="F47" s="1547">
        <v>0</v>
      </c>
      <c r="G47" s="2066">
        <v>-0.28999999999999998</v>
      </c>
      <c r="H47" s="1547">
        <v>0</v>
      </c>
      <c r="I47" s="1548">
        <f t="shared" si="3"/>
        <v>2963488.25</v>
      </c>
      <c r="J47" s="1547">
        <f t="shared" si="4"/>
        <v>-0.28999999999999998</v>
      </c>
    </row>
    <row r="48" spans="1:10" s="232" customFormat="1" ht="12.75" customHeight="1" x14ac:dyDescent="0.3">
      <c r="A48" s="1181" t="s">
        <v>112</v>
      </c>
      <c r="B48" s="1544" t="s">
        <v>288</v>
      </c>
      <c r="C48" s="1545" t="s">
        <v>253</v>
      </c>
      <c r="D48" s="1546">
        <v>568773.67000000004</v>
      </c>
      <c r="E48" s="1547">
        <v>633494.65</v>
      </c>
      <c r="F48" s="1547">
        <v>0</v>
      </c>
      <c r="G48" s="2066">
        <v>-0.22</v>
      </c>
      <c r="H48" s="1547">
        <v>0</v>
      </c>
      <c r="I48" s="1548">
        <f t="shared" si="3"/>
        <v>1202268.1000000001</v>
      </c>
      <c r="J48" s="1547">
        <f t="shared" si="4"/>
        <v>-0.22</v>
      </c>
    </row>
    <row r="49" spans="1:10" s="232" customFormat="1" ht="12.75" customHeight="1" x14ac:dyDescent="0.3">
      <c r="A49" s="1181" t="s">
        <v>114</v>
      </c>
      <c r="B49" s="1544" t="s">
        <v>115</v>
      </c>
      <c r="C49" s="1545" t="s">
        <v>253</v>
      </c>
      <c r="D49" s="1546">
        <v>48787.69</v>
      </c>
      <c r="E49" s="1547">
        <v>48787.69</v>
      </c>
      <c r="F49" s="1547">
        <v>0</v>
      </c>
      <c r="G49" s="2066">
        <v>-0.02</v>
      </c>
      <c r="H49" s="1547">
        <v>0</v>
      </c>
      <c r="I49" s="1548">
        <f t="shared" si="3"/>
        <v>97575.360000000001</v>
      </c>
      <c r="J49" s="1547">
        <f t="shared" si="4"/>
        <v>-0.02</v>
      </c>
    </row>
    <row r="50" spans="1:10" s="232" customFormat="1" ht="12.75" customHeight="1" x14ac:dyDescent="0.3">
      <c r="A50" s="1181" t="s">
        <v>118</v>
      </c>
      <c r="B50" s="1544" t="s">
        <v>119</v>
      </c>
      <c r="C50" s="1545" t="s">
        <v>252</v>
      </c>
      <c r="D50" s="1546">
        <v>187150.38</v>
      </c>
      <c r="E50" s="1547">
        <v>254901.01</v>
      </c>
      <c r="F50" s="1547">
        <v>0</v>
      </c>
      <c r="G50" s="2066">
        <v>-0.12</v>
      </c>
      <c r="H50" s="1547">
        <v>0</v>
      </c>
      <c r="I50" s="1548">
        <f t="shared" si="3"/>
        <v>442051.27</v>
      </c>
      <c r="J50" s="1547">
        <f t="shared" si="4"/>
        <v>-0.12</v>
      </c>
    </row>
    <row r="51" spans="1:10" s="232" customFormat="1" ht="12.75" customHeight="1" x14ac:dyDescent="0.3">
      <c r="A51" s="1181" t="s">
        <v>120</v>
      </c>
      <c r="B51" s="1544" t="s">
        <v>121</v>
      </c>
      <c r="C51" s="1545" t="s">
        <v>252</v>
      </c>
      <c r="D51" s="1546">
        <v>312762.08</v>
      </c>
      <c r="E51" s="1547">
        <v>350194.33</v>
      </c>
      <c r="F51" s="1547">
        <v>0</v>
      </c>
      <c r="G51" s="2066">
        <v>-0.09</v>
      </c>
      <c r="H51" s="1547">
        <v>0</v>
      </c>
      <c r="I51" s="1548">
        <f t="shared" si="3"/>
        <v>662956.32000000007</v>
      </c>
      <c r="J51" s="1547">
        <f t="shared" si="4"/>
        <v>-0.09</v>
      </c>
    </row>
    <row r="52" spans="1:10" s="232" customFormat="1" ht="12.75" customHeight="1" x14ac:dyDescent="0.3">
      <c r="A52" s="1181" t="s">
        <v>122</v>
      </c>
      <c r="B52" s="1544" t="s">
        <v>259</v>
      </c>
      <c r="C52" s="1545" t="s">
        <v>254</v>
      </c>
      <c r="D52" s="1546">
        <v>87463.1</v>
      </c>
      <c r="E52" s="1547">
        <v>118184.69</v>
      </c>
      <c r="F52" s="1547">
        <v>0</v>
      </c>
      <c r="G52" s="2066">
        <v>0</v>
      </c>
      <c r="H52" s="1547">
        <v>0</v>
      </c>
      <c r="I52" s="1548">
        <f t="shared" si="3"/>
        <v>205647.79</v>
      </c>
      <c r="J52" s="1547">
        <f t="shared" si="4"/>
        <v>0</v>
      </c>
    </row>
    <row r="53" spans="1:10" s="232" customFormat="1" ht="12.75" customHeight="1" x14ac:dyDescent="0.3">
      <c r="A53" s="1181" t="s">
        <v>124</v>
      </c>
      <c r="B53" s="1544" t="s">
        <v>125</v>
      </c>
      <c r="C53" s="1545" t="s">
        <v>255</v>
      </c>
      <c r="D53" s="1546">
        <v>199512.38</v>
      </c>
      <c r="E53" s="1547">
        <v>241646.88</v>
      </c>
      <c r="F53" s="1547">
        <v>0</v>
      </c>
      <c r="G53" s="2066">
        <v>8063.99</v>
      </c>
      <c r="H53" s="1547">
        <v>0</v>
      </c>
      <c r="I53" s="1548">
        <f t="shared" si="3"/>
        <v>449223.25</v>
      </c>
      <c r="J53" s="1547">
        <f t="shared" si="4"/>
        <v>8063.99</v>
      </c>
    </row>
    <row r="54" spans="1:10" s="232" customFormat="1" ht="12.75" customHeight="1" x14ac:dyDescent="0.3">
      <c r="A54" s="1181" t="s">
        <v>126</v>
      </c>
      <c r="B54" s="1544" t="s">
        <v>127</v>
      </c>
      <c r="C54" s="1545" t="s">
        <v>254</v>
      </c>
      <c r="D54" s="1546">
        <v>50982.53</v>
      </c>
      <c r="E54" s="1547">
        <v>71142.38</v>
      </c>
      <c r="F54" s="1547">
        <v>0</v>
      </c>
      <c r="G54" s="2066">
        <v>-0.06</v>
      </c>
      <c r="H54" s="1547">
        <v>0</v>
      </c>
      <c r="I54" s="1548">
        <f t="shared" si="3"/>
        <v>122124.85</v>
      </c>
      <c r="J54" s="1547">
        <f t="shared" si="4"/>
        <v>-0.06</v>
      </c>
    </row>
    <row r="55" spans="1:10" s="232" customFormat="1" ht="12.75" customHeight="1" x14ac:dyDescent="0.3">
      <c r="A55" s="1181" t="s">
        <v>128</v>
      </c>
      <c r="B55" s="1544" t="s">
        <v>129</v>
      </c>
      <c r="C55" s="1545" t="s">
        <v>254</v>
      </c>
      <c r="D55" s="1546">
        <v>64859.729999999996</v>
      </c>
      <c r="E55" s="1547">
        <v>85421.73</v>
      </c>
      <c r="F55" s="1547">
        <v>0</v>
      </c>
      <c r="G55" s="2066">
        <v>2015.96</v>
      </c>
      <c r="H55" s="1547">
        <v>0</v>
      </c>
      <c r="I55" s="1548">
        <f t="shared" si="3"/>
        <v>152297.41999999998</v>
      </c>
      <c r="J55" s="1547">
        <f t="shared" si="4"/>
        <v>2015.96</v>
      </c>
    </row>
    <row r="56" spans="1:10" s="232" customFormat="1" ht="12.75" customHeight="1" x14ac:dyDescent="0.3">
      <c r="A56" s="1181" t="s">
        <v>130</v>
      </c>
      <c r="B56" s="1544" t="s">
        <v>131</v>
      </c>
      <c r="C56" s="1545" t="s">
        <v>256</v>
      </c>
      <c r="D56" s="1546">
        <v>1033803.15</v>
      </c>
      <c r="E56" s="1547">
        <v>1191292.1499999999</v>
      </c>
      <c r="F56" s="1547">
        <v>0</v>
      </c>
      <c r="G56" s="2066">
        <v>40890.300000000003</v>
      </c>
      <c r="H56" s="1547">
        <v>0</v>
      </c>
      <c r="I56" s="1548">
        <f t="shared" si="3"/>
        <v>2265985.5999999996</v>
      </c>
      <c r="J56" s="1547">
        <f t="shared" si="4"/>
        <v>40890.300000000003</v>
      </c>
    </row>
    <row r="57" spans="1:10" s="232" customFormat="1" ht="12.75" customHeight="1" x14ac:dyDescent="0.3">
      <c r="A57" s="1181" t="s">
        <v>132</v>
      </c>
      <c r="B57" s="1544" t="s">
        <v>133</v>
      </c>
      <c r="C57" s="1545" t="s">
        <v>255</v>
      </c>
      <c r="D57" s="1546">
        <v>721636.92999999993</v>
      </c>
      <c r="E57" s="1547">
        <v>843104.96</v>
      </c>
      <c r="F57" s="1547">
        <v>0</v>
      </c>
      <c r="G57" s="2066">
        <v>-0.24</v>
      </c>
      <c r="H57" s="1547">
        <v>0</v>
      </c>
      <c r="I57" s="1548">
        <f t="shared" si="3"/>
        <v>1564741.65</v>
      </c>
      <c r="J57" s="1547">
        <f t="shared" si="4"/>
        <v>-0.24</v>
      </c>
    </row>
    <row r="58" spans="1:10" s="232" customFormat="1" ht="12.75" customHeight="1" x14ac:dyDescent="0.3">
      <c r="A58" s="1181" t="s">
        <v>134</v>
      </c>
      <c r="B58" s="1544" t="s">
        <v>135</v>
      </c>
      <c r="C58" s="1545" t="s">
        <v>255</v>
      </c>
      <c r="D58" s="1546">
        <v>631580.14</v>
      </c>
      <c r="E58" s="1547">
        <v>1242732.5900000001</v>
      </c>
      <c r="F58" s="1547">
        <v>0</v>
      </c>
      <c r="G58" s="2066">
        <v>3739.54</v>
      </c>
      <c r="H58" s="1547">
        <v>0</v>
      </c>
      <c r="I58" s="1548">
        <f t="shared" si="3"/>
        <v>1878052.27</v>
      </c>
      <c r="J58" s="1547">
        <f t="shared" si="4"/>
        <v>3739.54</v>
      </c>
    </row>
    <row r="59" spans="1:10" s="232" customFormat="1" ht="12.75" customHeight="1" x14ac:dyDescent="0.3">
      <c r="A59" s="1181" t="s">
        <v>136</v>
      </c>
      <c r="B59" s="1544" t="s">
        <v>137</v>
      </c>
      <c r="C59" s="1545" t="s">
        <v>254</v>
      </c>
      <c r="D59" s="1546">
        <v>109823.66</v>
      </c>
      <c r="E59" s="1547">
        <v>109823.66</v>
      </c>
      <c r="F59" s="1547">
        <v>0</v>
      </c>
      <c r="G59" s="2066">
        <v>-0.01</v>
      </c>
      <c r="H59" s="1547">
        <v>0</v>
      </c>
      <c r="I59" s="1548">
        <f t="shared" si="3"/>
        <v>219647.31</v>
      </c>
      <c r="J59" s="1547">
        <f t="shared" si="4"/>
        <v>-0.01</v>
      </c>
    </row>
    <row r="60" spans="1:10" s="232" customFormat="1" ht="12.75" customHeight="1" x14ac:dyDescent="0.3">
      <c r="A60" s="1181" t="s">
        <v>140</v>
      </c>
      <c r="B60" s="1544" t="s">
        <v>141</v>
      </c>
      <c r="C60" s="1545" t="s">
        <v>255</v>
      </c>
      <c r="D60" s="1546">
        <v>384649.67000000004</v>
      </c>
      <c r="E60" s="1547">
        <v>535657.15</v>
      </c>
      <c r="F60" s="1547">
        <v>0</v>
      </c>
      <c r="G60" s="2066">
        <v>-0.22</v>
      </c>
      <c r="H60" s="1547">
        <v>0</v>
      </c>
      <c r="I60" s="1548">
        <f t="shared" si="3"/>
        <v>920306.60000000009</v>
      </c>
      <c r="J60" s="1547">
        <f t="shared" si="4"/>
        <v>-0.22</v>
      </c>
    </row>
    <row r="61" spans="1:10" s="232" customFormat="1" ht="12.75" customHeight="1" x14ac:dyDescent="0.3">
      <c r="A61" s="1181" t="s">
        <v>146</v>
      </c>
      <c r="B61" s="1544" t="s">
        <v>147</v>
      </c>
      <c r="C61" s="1545" t="s">
        <v>252</v>
      </c>
      <c r="D61" s="1546">
        <v>162000.93</v>
      </c>
      <c r="E61" s="1547">
        <v>192504.93</v>
      </c>
      <c r="F61" s="1547">
        <v>0</v>
      </c>
      <c r="G61" s="2066">
        <v>-0.09</v>
      </c>
      <c r="H61" s="1547">
        <v>0</v>
      </c>
      <c r="I61" s="1548">
        <f t="shared" si="3"/>
        <v>354505.76999999996</v>
      </c>
      <c r="J61" s="1547">
        <f t="shared" si="4"/>
        <v>-0.09</v>
      </c>
    </row>
    <row r="62" spans="1:10" s="232" customFormat="1" ht="12.75" customHeight="1" x14ac:dyDescent="0.3">
      <c r="A62" s="1181" t="s">
        <v>148</v>
      </c>
      <c r="B62" s="1544" t="s">
        <v>149</v>
      </c>
      <c r="C62" s="1545" t="s">
        <v>253</v>
      </c>
      <c r="D62" s="1546">
        <v>222683.25</v>
      </c>
      <c r="E62" s="1547">
        <v>244001.62</v>
      </c>
      <c r="F62" s="1547">
        <v>0</v>
      </c>
      <c r="G62" s="2066">
        <v>-7.0000000000000007E-2</v>
      </c>
      <c r="H62" s="1547">
        <v>0</v>
      </c>
      <c r="I62" s="1548">
        <f t="shared" si="3"/>
        <v>466684.8</v>
      </c>
      <c r="J62" s="1547">
        <f t="shared" si="4"/>
        <v>-7.0000000000000007E-2</v>
      </c>
    </row>
    <row r="63" spans="1:10" s="232" customFormat="1" ht="12.75" customHeight="1" x14ac:dyDescent="0.3">
      <c r="A63" s="1181" t="s">
        <v>150</v>
      </c>
      <c r="B63" s="1544" t="s">
        <v>151</v>
      </c>
      <c r="C63" s="1545" t="s">
        <v>254</v>
      </c>
      <c r="D63" s="1546">
        <v>160265.95000000001</v>
      </c>
      <c r="E63" s="1547">
        <v>202661.40000000002</v>
      </c>
      <c r="F63" s="1547">
        <v>0</v>
      </c>
      <c r="G63" s="2066">
        <v>293.39</v>
      </c>
      <c r="H63" s="1547">
        <v>0</v>
      </c>
      <c r="I63" s="1548">
        <f t="shared" si="3"/>
        <v>363220.74000000005</v>
      </c>
      <c r="J63" s="1547">
        <f t="shared" si="4"/>
        <v>293.39</v>
      </c>
    </row>
    <row r="64" spans="1:10" s="232" customFormat="1" ht="12.75" customHeight="1" x14ac:dyDescent="0.3">
      <c r="A64" s="1181" t="s">
        <v>152</v>
      </c>
      <c r="B64" s="1544" t="s">
        <v>153</v>
      </c>
      <c r="C64" s="1545" t="s">
        <v>256</v>
      </c>
      <c r="D64" s="1546">
        <v>655274.23</v>
      </c>
      <c r="E64" s="1547">
        <v>776963.73</v>
      </c>
      <c r="F64" s="1547">
        <v>0</v>
      </c>
      <c r="G64" s="2066">
        <v>-0.16</v>
      </c>
      <c r="H64" s="1547">
        <v>0</v>
      </c>
      <c r="I64" s="1548">
        <f t="shared" si="3"/>
        <v>1432237.8</v>
      </c>
      <c r="J64" s="1547">
        <f t="shared" si="4"/>
        <v>-0.16</v>
      </c>
    </row>
    <row r="65" spans="1:10" s="232" customFormat="1" ht="12.75" customHeight="1" x14ac:dyDescent="0.3">
      <c r="A65" s="1181" t="s">
        <v>154</v>
      </c>
      <c r="B65" s="1544" t="s">
        <v>155</v>
      </c>
      <c r="C65" s="1545" t="s">
        <v>253</v>
      </c>
      <c r="D65" s="1546">
        <v>123192.13</v>
      </c>
      <c r="E65" s="1547">
        <v>136504.13</v>
      </c>
      <c r="F65" s="1547">
        <v>0</v>
      </c>
      <c r="G65" s="2066">
        <v>-0.06</v>
      </c>
      <c r="H65" s="1547">
        <v>0</v>
      </c>
      <c r="I65" s="1548">
        <f t="shared" si="3"/>
        <v>259696.2</v>
      </c>
      <c r="J65" s="1547">
        <f t="shared" si="4"/>
        <v>-0.06</v>
      </c>
    </row>
    <row r="66" spans="1:10" s="232" customFormat="1" ht="12.75" customHeight="1" x14ac:dyDescent="0.3">
      <c r="A66" s="1181" t="s">
        <v>156</v>
      </c>
      <c r="B66" s="1544" t="s">
        <v>157</v>
      </c>
      <c r="C66" s="1545" t="s">
        <v>254</v>
      </c>
      <c r="D66" s="1546">
        <v>133790.23000000001</v>
      </c>
      <c r="E66" s="1547">
        <v>142638.23000000001</v>
      </c>
      <c r="F66" s="1547">
        <v>0</v>
      </c>
      <c r="G66" s="2066">
        <v>-0.04</v>
      </c>
      <c r="H66" s="1547">
        <v>0</v>
      </c>
      <c r="I66" s="1548">
        <f t="shared" si="3"/>
        <v>276428.42000000004</v>
      </c>
      <c r="J66" s="1547">
        <f t="shared" si="4"/>
        <v>-0.04</v>
      </c>
    </row>
    <row r="67" spans="1:10" s="232" customFormat="1" ht="12.75" customHeight="1" x14ac:dyDescent="0.3">
      <c r="A67" s="1181" t="s">
        <v>162</v>
      </c>
      <c r="B67" s="1544" t="s">
        <v>163</v>
      </c>
      <c r="C67" s="1545" t="s">
        <v>252</v>
      </c>
      <c r="D67" s="1546"/>
      <c r="E67" s="1547"/>
      <c r="F67" s="1547"/>
      <c r="G67" s="2066"/>
      <c r="H67" s="1547"/>
      <c r="I67" s="1548">
        <f t="shared" si="3"/>
        <v>0</v>
      </c>
      <c r="J67" s="1547">
        <f t="shared" si="4"/>
        <v>0</v>
      </c>
    </row>
    <row r="68" spans="1:10" s="232" customFormat="1" ht="12.75" customHeight="1" x14ac:dyDescent="0.3">
      <c r="A68" s="1181" t="s">
        <v>164</v>
      </c>
      <c r="B68" s="1544" t="s">
        <v>165</v>
      </c>
      <c r="C68" s="1545" t="s">
        <v>254</v>
      </c>
      <c r="D68" s="1546">
        <v>101109.69</v>
      </c>
      <c r="E68" s="1547">
        <v>146673.69</v>
      </c>
      <c r="F68" s="1547">
        <v>0</v>
      </c>
      <c r="G68" s="2066">
        <v>0</v>
      </c>
      <c r="H68" s="1547">
        <v>0</v>
      </c>
      <c r="I68" s="1548">
        <f t="shared" si="3"/>
        <v>247783.38</v>
      </c>
      <c r="J68" s="1547">
        <f t="shared" si="4"/>
        <v>0</v>
      </c>
    </row>
    <row r="69" spans="1:10" s="232" customFormat="1" ht="12.75" customHeight="1" x14ac:dyDescent="0.3">
      <c r="A69" s="1181" t="s">
        <v>168</v>
      </c>
      <c r="B69" s="1544" t="s">
        <v>169</v>
      </c>
      <c r="C69" s="1545" t="s">
        <v>254</v>
      </c>
      <c r="D69" s="1546">
        <v>99499.510000000009</v>
      </c>
      <c r="E69" s="1547">
        <v>87991.510000000009</v>
      </c>
      <c r="F69" s="1547">
        <v>0</v>
      </c>
      <c r="G69" s="2066">
        <v>0</v>
      </c>
      <c r="H69" s="1547">
        <v>0</v>
      </c>
      <c r="I69" s="1548">
        <f t="shared" ref="I69:I100" si="5">SUM(D69:H69)</f>
        <v>187491.02000000002</v>
      </c>
      <c r="J69" s="1547">
        <f t="shared" ref="J69:J100" si="6">SUM(F69:H69)</f>
        <v>0</v>
      </c>
    </row>
    <row r="70" spans="1:10" s="232" customFormat="1" ht="12.75" customHeight="1" x14ac:dyDescent="0.3">
      <c r="A70" s="1181" t="s">
        <v>170</v>
      </c>
      <c r="B70" s="1544" t="s">
        <v>171</v>
      </c>
      <c r="C70" s="1545" t="s">
        <v>255</v>
      </c>
      <c r="D70" s="1546">
        <v>352345.45999999996</v>
      </c>
      <c r="E70" s="1547">
        <v>564634.73</v>
      </c>
      <c r="F70" s="1547">
        <v>0</v>
      </c>
      <c r="G70" s="2066">
        <v>-256.75</v>
      </c>
      <c r="H70" s="1547">
        <v>0</v>
      </c>
      <c r="I70" s="1548">
        <f t="shared" si="5"/>
        <v>916723.44</v>
      </c>
      <c r="J70" s="1547">
        <f t="shared" si="6"/>
        <v>-256.75</v>
      </c>
    </row>
    <row r="71" spans="1:10" s="232" customFormat="1" ht="12.75" customHeight="1" x14ac:dyDescent="0.3">
      <c r="A71" s="1181" t="s">
        <v>172</v>
      </c>
      <c r="B71" s="1544" t="s">
        <v>173</v>
      </c>
      <c r="C71" s="1545" t="s">
        <v>255</v>
      </c>
      <c r="D71" s="1546">
        <v>228043.53</v>
      </c>
      <c r="E71" s="1547">
        <v>220301.74</v>
      </c>
      <c r="F71" s="1547">
        <v>0</v>
      </c>
      <c r="G71" s="2066">
        <v>287.87</v>
      </c>
      <c r="H71" s="1547">
        <v>0</v>
      </c>
      <c r="I71" s="1548">
        <f t="shared" si="5"/>
        <v>448633.14</v>
      </c>
      <c r="J71" s="1547">
        <f t="shared" si="6"/>
        <v>287.87</v>
      </c>
    </row>
    <row r="72" spans="1:10" s="232" customFormat="1" ht="12.75" customHeight="1" x14ac:dyDescent="0.3">
      <c r="A72" s="1181" t="s">
        <v>174</v>
      </c>
      <c r="B72" s="1544" t="s">
        <v>175</v>
      </c>
      <c r="C72" s="1545" t="s">
        <v>256</v>
      </c>
      <c r="D72" s="1546">
        <v>100529.31</v>
      </c>
      <c r="E72" s="1547">
        <v>100529.31</v>
      </c>
      <c r="F72" s="1547">
        <v>0</v>
      </c>
      <c r="G72" s="2066">
        <v>-0.08</v>
      </c>
      <c r="H72" s="1547">
        <v>0</v>
      </c>
      <c r="I72" s="1548">
        <f t="shared" si="5"/>
        <v>201058.54</v>
      </c>
      <c r="J72" s="1547">
        <f t="shared" si="6"/>
        <v>-0.08</v>
      </c>
    </row>
    <row r="73" spans="1:10" s="232" customFormat="1" ht="12.75" customHeight="1" x14ac:dyDescent="0.3">
      <c r="A73" s="1181" t="s">
        <v>178</v>
      </c>
      <c r="B73" s="1544" t="s">
        <v>179</v>
      </c>
      <c r="C73" s="1545" t="s">
        <v>253</v>
      </c>
      <c r="D73" s="1546">
        <v>238710.88999999998</v>
      </c>
      <c r="E73" s="1547">
        <v>357788.89</v>
      </c>
      <c r="F73" s="1547">
        <v>0</v>
      </c>
      <c r="G73" s="2066">
        <v>-0.27</v>
      </c>
      <c r="H73" s="1547">
        <v>0</v>
      </c>
      <c r="I73" s="1548">
        <f t="shared" si="5"/>
        <v>596499.51</v>
      </c>
      <c r="J73" s="1547">
        <f t="shared" si="6"/>
        <v>-0.27</v>
      </c>
    </row>
    <row r="74" spans="1:10" s="232" customFormat="1" ht="12.75" customHeight="1" x14ac:dyDescent="0.3">
      <c r="A74" s="1181" t="s">
        <v>182</v>
      </c>
      <c r="B74" s="1544" t="s">
        <v>183</v>
      </c>
      <c r="C74" s="1545" t="s">
        <v>254</v>
      </c>
      <c r="D74" s="1546">
        <v>136157.04</v>
      </c>
      <c r="E74" s="1547">
        <v>134659.04</v>
      </c>
      <c r="F74" s="1547">
        <v>0</v>
      </c>
      <c r="G74" s="2066">
        <v>-0.04</v>
      </c>
      <c r="H74" s="1547">
        <v>0</v>
      </c>
      <c r="I74" s="1548">
        <f t="shared" si="5"/>
        <v>270816.04000000004</v>
      </c>
      <c r="J74" s="1547">
        <f t="shared" si="6"/>
        <v>-0.04</v>
      </c>
    </row>
    <row r="75" spans="1:10" s="232" customFormat="1" ht="12.75" customHeight="1" x14ac:dyDescent="0.3">
      <c r="A75" s="1181" t="s">
        <v>184</v>
      </c>
      <c r="B75" s="1544" t="s">
        <v>185</v>
      </c>
      <c r="C75" s="1545" t="s">
        <v>254</v>
      </c>
      <c r="D75" s="1546">
        <v>321757.86</v>
      </c>
      <c r="E75" s="1547">
        <v>487662.86</v>
      </c>
      <c r="F75" s="1547">
        <v>0</v>
      </c>
      <c r="G75" s="2066">
        <v>-0.02</v>
      </c>
      <c r="H75" s="1547">
        <v>0</v>
      </c>
      <c r="I75" s="1548">
        <f t="shared" si="5"/>
        <v>809420.7</v>
      </c>
      <c r="J75" s="1547">
        <f t="shared" si="6"/>
        <v>-0.02</v>
      </c>
    </row>
    <row r="76" spans="1:10" s="232" customFormat="1" ht="12.75" customHeight="1" x14ac:dyDescent="0.3">
      <c r="A76" s="1181" t="s">
        <v>186</v>
      </c>
      <c r="B76" s="1544" t="s">
        <v>187</v>
      </c>
      <c r="C76" s="1545" t="s">
        <v>252</v>
      </c>
      <c r="D76" s="1546">
        <v>181513.89</v>
      </c>
      <c r="E76" s="1547">
        <v>227364.89</v>
      </c>
      <c r="F76" s="1547">
        <v>0</v>
      </c>
      <c r="G76" s="2066">
        <v>-0.06</v>
      </c>
      <c r="H76" s="1547">
        <v>0</v>
      </c>
      <c r="I76" s="1548">
        <f t="shared" si="5"/>
        <v>408878.72000000003</v>
      </c>
      <c r="J76" s="1547">
        <f t="shared" si="6"/>
        <v>-0.06</v>
      </c>
    </row>
    <row r="77" spans="1:10" s="232" customFormat="1" ht="12.75" customHeight="1" x14ac:dyDescent="0.3">
      <c r="A77" s="1181" t="s">
        <v>188</v>
      </c>
      <c r="B77" s="1544" t="s">
        <v>189</v>
      </c>
      <c r="C77" s="1545" t="s">
        <v>255</v>
      </c>
      <c r="D77" s="1546">
        <v>1277942.97</v>
      </c>
      <c r="E77" s="1547">
        <v>1652119.99</v>
      </c>
      <c r="F77" s="1547">
        <v>0</v>
      </c>
      <c r="G77" s="2066">
        <v>-0.30000000000000004</v>
      </c>
      <c r="H77" s="1547">
        <v>0</v>
      </c>
      <c r="I77" s="1548">
        <f t="shared" si="5"/>
        <v>2930062.66</v>
      </c>
      <c r="J77" s="1547">
        <f t="shared" si="6"/>
        <v>-0.30000000000000004</v>
      </c>
    </row>
    <row r="78" spans="1:10" s="232" customFormat="1" ht="12.75" customHeight="1" x14ac:dyDescent="0.3">
      <c r="A78" s="1181" t="s">
        <v>190</v>
      </c>
      <c r="B78" s="1544" t="s">
        <v>191</v>
      </c>
      <c r="C78" s="1545" t="s">
        <v>256</v>
      </c>
      <c r="D78" s="1546">
        <v>1037468.25</v>
      </c>
      <c r="E78" s="1547">
        <v>1060641.9099999999</v>
      </c>
      <c r="F78" s="1547">
        <v>0</v>
      </c>
      <c r="G78" s="2066">
        <v>365.25</v>
      </c>
      <c r="H78" s="1547">
        <v>0</v>
      </c>
      <c r="I78" s="1548">
        <f t="shared" si="5"/>
        <v>2098475.41</v>
      </c>
      <c r="J78" s="1547">
        <f t="shared" si="6"/>
        <v>365.25</v>
      </c>
    </row>
    <row r="79" spans="1:10" s="232" customFormat="1" ht="12.75" customHeight="1" x14ac:dyDescent="0.3">
      <c r="A79" s="1181" t="s">
        <v>194</v>
      </c>
      <c r="B79" s="1544" t="s">
        <v>195</v>
      </c>
      <c r="C79" s="1545" t="s">
        <v>255</v>
      </c>
      <c r="D79" s="1546">
        <v>211358.09</v>
      </c>
      <c r="E79" s="1547">
        <v>219779.09</v>
      </c>
      <c r="F79" s="1547">
        <v>0</v>
      </c>
      <c r="G79" s="2066">
        <v>5811.91</v>
      </c>
      <c r="H79" s="1547">
        <v>0</v>
      </c>
      <c r="I79" s="1548">
        <f t="shared" si="5"/>
        <v>436949.08999999997</v>
      </c>
      <c r="J79" s="1547">
        <f t="shared" si="6"/>
        <v>5811.91</v>
      </c>
    </row>
    <row r="80" spans="1:10" s="232" customFormat="1" ht="12.75" customHeight="1" x14ac:dyDescent="0.3">
      <c r="A80" s="1181" t="s">
        <v>198</v>
      </c>
      <c r="B80" s="1544" t="s">
        <v>199</v>
      </c>
      <c r="C80" s="1545" t="s">
        <v>254</v>
      </c>
      <c r="D80" s="1546">
        <v>49592.04</v>
      </c>
      <c r="E80" s="1547">
        <v>92344.040000000008</v>
      </c>
      <c r="F80" s="1547">
        <v>0</v>
      </c>
      <c r="G80" s="2066">
        <v>-0.01</v>
      </c>
      <c r="H80" s="1547">
        <v>0</v>
      </c>
      <c r="I80" s="1548">
        <f t="shared" si="5"/>
        <v>141936.07</v>
      </c>
      <c r="J80" s="1547">
        <f t="shared" si="6"/>
        <v>-0.01</v>
      </c>
    </row>
    <row r="81" spans="1:10" s="232" customFormat="1" ht="12.75" customHeight="1" x14ac:dyDescent="0.3">
      <c r="A81" s="1181" t="s">
        <v>202</v>
      </c>
      <c r="B81" s="1544" t="s">
        <v>203</v>
      </c>
      <c r="C81" s="1545" t="s">
        <v>253</v>
      </c>
      <c r="D81" s="1546">
        <v>1694233.11</v>
      </c>
      <c r="E81" s="1547">
        <v>2245219.8200000003</v>
      </c>
      <c r="F81" s="1547">
        <v>0</v>
      </c>
      <c r="G81" s="2066">
        <v>-0.43</v>
      </c>
      <c r="H81" s="1547">
        <v>0</v>
      </c>
      <c r="I81" s="1548">
        <f t="shared" si="5"/>
        <v>3939452.5000000005</v>
      </c>
      <c r="J81" s="1547">
        <f t="shared" si="6"/>
        <v>-0.43</v>
      </c>
    </row>
    <row r="82" spans="1:10" s="232" customFormat="1" ht="12.75" customHeight="1" x14ac:dyDescent="0.3">
      <c r="A82" s="1181" t="s">
        <v>204</v>
      </c>
      <c r="B82" s="1544" t="s">
        <v>205</v>
      </c>
      <c r="C82" s="1545" t="s">
        <v>253</v>
      </c>
      <c r="D82" s="1546">
        <v>359949.43</v>
      </c>
      <c r="E82" s="1547">
        <v>374862.43</v>
      </c>
      <c r="F82" s="1547">
        <v>0</v>
      </c>
      <c r="G82" s="2066">
        <v>-9.0000000000000011E-2</v>
      </c>
      <c r="H82" s="1547">
        <v>0</v>
      </c>
      <c r="I82" s="1548">
        <f t="shared" si="5"/>
        <v>734811.77</v>
      </c>
      <c r="J82" s="1547">
        <f t="shared" si="6"/>
        <v>-9.0000000000000011E-2</v>
      </c>
    </row>
    <row r="83" spans="1:10" s="232" customFormat="1" ht="12.75" customHeight="1" x14ac:dyDescent="0.3">
      <c r="A83" s="1181" t="s">
        <v>206</v>
      </c>
      <c r="B83" s="1544" t="s">
        <v>207</v>
      </c>
      <c r="C83" s="1545" t="s">
        <v>255</v>
      </c>
      <c r="D83" s="1546">
        <v>2799114.4</v>
      </c>
      <c r="E83" s="1547">
        <v>3624460.33</v>
      </c>
      <c r="F83" s="1547">
        <v>0</v>
      </c>
      <c r="G83" s="2066">
        <v>-0.7400000000000001</v>
      </c>
      <c r="H83" s="1547">
        <v>0</v>
      </c>
      <c r="I83" s="1548">
        <f t="shared" si="5"/>
        <v>6423573.9900000002</v>
      </c>
      <c r="J83" s="1547">
        <f t="shared" si="6"/>
        <v>-0.7400000000000001</v>
      </c>
    </row>
    <row r="84" spans="1:10" s="232" customFormat="1" ht="12.75" customHeight="1" x14ac:dyDescent="0.3">
      <c r="A84" s="1181" t="s">
        <v>208</v>
      </c>
      <c r="B84" s="1544" t="s">
        <v>209</v>
      </c>
      <c r="C84" s="1545" t="s">
        <v>256</v>
      </c>
      <c r="D84" s="1546">
        <v>1063939.6299999999</v>
      </c>
      <c r="E84" s="1547">
        <v>1404711.4100000001</v>
      </c>
      <c r="F84" s="1547">
        <v>0</v>
      </c>
      <c r="G84" s="2066">
        <v>7294.5599999999995</v>
      </c>
      <c r="H84" s="1547">
        <v>0</v>
      </c>
      <c r="I84" s="1548">
        <f t="shared" si="5"/>
        <v>2475945.6</v>
      </c>
      <c r="J84" s="1547">
        <f t="shared" si="6"/>
        <v>7294.5599999999995</v>
      </c>
    </row>
    <row r="85" spans="1:10" s="232" customFormat="1" ht="12.75" customHeight="1" x14ac:dyDescent="0.3">
      <c r="A85" s="1181" t="s">
        <v>210</v>
      </c>
      <c r="B85" s="1544" t="s">
        <v>211</v>
      </c>
      <c r="C85" s="1545" t="s">
        <v>256</v>
      </c>
      <c r="D85" s="1546">
        <v>493546.57000000007</v>
      </c>
      <c r="E85" s="1547">
        <v>513605.35000000003</v>
      </c>
      <c r="F85" s="1547">
        <v>0</v>
      </c>
      <c r="G85" s="2066">
        <v>-0.13000000000000003</v>
      </c>
      <c r="H85" s="1547">
        <v>0</v>
      </c>
      <c r="I85" s="1548">
        <f t="shared" si="5"/>
        <v>1007151.7900000002</v>
      </c>
      <c r="J85" s="1547">
        <f t="shared" si="6"/>
        <v>-0.13000000000000003</v>
      </c>
    </row>
    <row r="86" spans="1:10" s="232" customFormat="1" ht="12.75" customHeight="1" x14ac:dyDescent="0.3">
      <c r="A86" s="1181" t="s">
        <v>212</v>
      </c>
      <c r="B86" s="1544" t="s">
        <v>213</v>
      </c>
      <c r="C86" s="1545" t="s">
        <v>255</v>
      </c>
      <c r="D86" s="1546">
        <v>214814.97999999998</v>
      </c>
      <c r="E86" s="1547">
        <v>394215.98</v>
      </c>
      <c r="F86" s="1547">
        <v>0</v>
      </c>
      <c r="G86" s="2066">
        <v>-6.9999999999999993E-2</v>
      </c>
      <c r="H86" s="1547">
        <v>0</v>
      </c>
      <c r="I86" s="1548">
        <f t="shared" si="5"/>
        <v>609030.89</v>
      </c>
      <c r="J86" s="1547">
        <f t="shared" si="6"/>
        <v>-6.9999999999999993E-2</v>
      </c>
    </row>
    <row r="87" spans="1:10" s="232" customFormat="1" ht="12.75" customHeight="1" x14ac:dyDescent="0.3">
      <c r="A87" s="1181" t="s">
        <v>214</v>
      </c>
      <c r="B87" s="1544" t="s">
        <v>215</v>
      </c>
      <c r="C87" s="1545" t="s">
        <v>256</v>
      </c>
      <c r="D87" s="1546">
        <v>396585.05</v>
      </c>
      <c r="E87" s="1547">
        <v>392281.65</v>
      </c>
      <c r="F87" s="1547">
        <v>0</v>
      </c>
      <c r="G87" s="2066">
        <v>-9.0000000000000011E-2</v>
      </c>
      <c r="H87" s="1547">
        <v>0</v>
      </c>
      <c r="I87" s="1548">
        <f t="shared" si="5"/>
        <v>788866.61</v>
      </c>
      <c r="J87" s="1547">
        <f t="shared" si="6"/>
        <v>-9.0000000000000011E-2</v>
      </c>
    </row>
    <row r="88" spans="1:10" s="232" customFormat="1" ht="12.75" customHeight="1" x14ac:dyDescent="0.3">
      <c r="A88" s="1181" t="s">
        <v>216</v>
      </c>
      <c r="B88" s="1544" t="s">
        <v>217</v>
      </c>
      <c r="C88" s="1545" t="s">
        <v>252</v>
      </c>
      <c r="D88" s="1546">
        <v>113784</v>
      </c>
      <c r="E88" s="1547">
        <v>113784</v>
      </c>
      <c r="F88" s="1547">
        <v>0</v>
      </c>
      <c r="G88" s="2066">
        <v>-6.9999999999999993E-2</v>
      </c>
      <c r="H88" s="1547">
        <v>0</v>
      </c>
      <c r="I88" s="1548">
        <f t="shared" si="5"/>
        <v>227567.93</v>
      </c>
      <c r="J88" s="1547">
        <f t="shared" si="6"/>
        <v>-6.9999999999999993E-2</v>
      </c>
    </row>
    <row r="89" spans="1:10" s="232" customFormat="1" ht="12.75" customHeight="1" x14ac:dyDescent="0.3">
      <c r="A89" s="1181" t="s">
        <v>218</v>
      </c>
      <c r="B89" s="1544" t="s">
        <v>219</v>
      </c>
      <c r="C89" s="1545" t="s">
        <v>255</v>
      </c>
      <c r="D89" s="1546">
        <v>1664221.51</v>
      </c>
      <c r="E89" s="1547">
        <v>2180107.0100000002</v>
      </c>
      <c r="F89" s="1547">
        <v>0</v>
      </c>
      <c r="G89" s="2066">
        <v>-0.42000000000000004</v>
      </c>
      <c r="H89" s="1547">
        <v>0</v>
      </c>
      <c r="I89" s="1548">
        <f t="shared" si="5"/>
        <v>3844328.1000000006</v>
      </c>
      <c r="J89" s="1547">
        <f t="shared" si="6"/>
        <v>-0.42000000000000004</v>
      </c>
    </row>
    <row r="90" spans="1:10" s="232" customFormat="1" ht="12.75" customHeight="1" x14ac:dyDescent="0.3">
      <c r="A90" s="1181" t="s">
        <v>220</v>
      </c>
      <c r="B90" s="1544" t="s">
        <v>221</v>
      </c>
      <c r="C90" s="1545" t="s">
        <v>255</v>
      </c>
      <c r="D90" s="1546">
        <v>644596.56999999995</v>
      </c>
      <c r="E90" s="1547">
        <v>833171.82000000007</v>
      </c>
      <c r="F90" s="1547">
        <v>0</v>
      </c>
      <c r="G90" s="2066">
        <v>-0.18999999999999997</v>
      </c>
      <c r="H90" s="1547">
        <v>0</v>
      </c>
      <c r="I90" s="1548">
        <f t="shared" si="5"/>
        <v>1477768.2000000002</v>
      </c>
      <c r="J90" s="1547">
        <f t="shared" si="6"/>
        <v>-0.18999999999999997</v>
      </c>
    </row>
    <row r="91" spans="1:10" s="232" customFormat="1" ht="12.75" customHeight="1" x14ac:dyDescent="0.3">
      <c r="A91" s="1181" t="s">
        <v>224</v>
      </c>
      <c r="B91" s="1544" t="s">
        <v>225</v>
      </c>
      <c r="C91" s="1545" t="s">
        <v>252</v>
      </c>
      <c r="D91" s="1546">
        <v>8713</v>
      </c>
      <c r="E91" s="1547">
        <v>8713</v>
      </c>
      <c r="F91" s="1547">
        <v>0</v>
      </c>
      <c r="G91" s="2066">
        <v>0</v>
      </c>
      <c r="H91" s="1547">
        <v>0</v>
      </c>
      <c r="I91" s="1548">
        <f t="shared" si="5"/>
        <v>17426</v>
      </c>
      <c r="J91" s="1547">
        <f t="shared" si="6"/>
        <v>0</v>
      </c>
    </row>
    <row r="92" spans="1:10" s="232" customFormat="1" ht="12.75" customHeight="1" x14ac:dyDescent="0.3">
      <c r="A92" s="1181" t="s">
        <v>226</v>
      </c>
      <c r="B92" s="1544" t="s">
        <v>227</v>
      </c>
      <c r="C92" s="1545" t="s">
        <v>252</v>
      </c>
      <c r="D92" s="1546">
        <v>45850.49</v>
      </c>
      <c r="E92" s="1547">
        <v>73110.89</v>
      </c>
      <c r="F92" s="1547">
        <v>0</v>
      </c>
      <c r="G92" s="2066">
        <v>-0.04</v>
      </c>
      <c r="H92" s="1547">
        <v>0</v>
      </c>
      <c r="I92" s="1548">
        <f t="shared" si="5"/>
        <v>118961.34000000001</v>
      </c>
      <c r="J92" s="1547">
        <f t="shared" si="6"/>
        <v>-0.04</v>
      </c>
    </row>
    <row r="93" spans="1:10" s="232" customFormat="1" ht="12.75" customHeight="1" x14ac:dyDescent="0.3">
      <c r="A93" s="1181" t="s">
        <v>228</v>
      </c>
      <c r="B93" s="1544" t="s">
        <v>229</v>
      </c>
      <c r="C93" s="1545" t="s">
        <v>256</v>
      </c>
      <c r="D93" s="1546">
        <v>1118290.33</v>
      </c>
      <c r="E93" s="1547">
        <v>1503959.2399999998</v>
      </c>
      <c r="F93" s="1547">
        <v>0</v>
      </c>
      <c r="G93" s="2066">
        <v>-0.41000000000000003</v>
      </c>
      <c r="H93" s="1547">
        <v>0</v>
      </c>
      <c r="I93" s="1548">
        <f t="shared" si="5"/>
        <v>2622249.1599999997</v>
      </c>
      <c r="J93" s="1547">
        <f t="shared" si="6"/>
        <v>-0.41000000000000003</v>
      </c>
    </row>
    <row r="94" spans="1:10" s="232" customFormat="1" ht="12.75" customHeight="1" x14ac:dyDescent="0.3">
      <c r="A94" s="1181" t="s">
        <v>232</v>
      </c>
      <c r="B94" s="1544" t="s">
        <v>233</v>
      </c>
      <c r="C94" s="1545" t="s">
        <v>255</v>
      </c>
      <c r="D94" s="1546">
        <v>319667.49</v>
      </c>
      <c r="E94" s="1547">
        <v>454782.49</v>
      </c>
      <c r="F94" s="1547">
        <v>0</v>
      </c>
      <c r="G94" s="2066">
        <v>-0.05</v>
      </c>
      <c r="H94" s="1547">
        <v>0</v>
      </c>
      <c r="I94" s="1548">
        <f t="shared" si="5"/>
        <v>774449.92999999993</v>
      </c>
      <c r="J94" s="1547">
        <f t="shared" si="6"/>
        <v>-0.05</v>
      </c>
    </row>
    <row r="95" spans="1:10" s="232" customFormat="1" ht="12.75" customHeight="1" x14ac:dyDescent="0.3">
      <c r="A95" s="1181" t="s">
        <v>234</v>
      </c>
      <c r="B95" s="1544" t="s">
        <v>235</v>
      </c>
      <c r="C95" s="1545" t="s">
        <v>256</v>
      </c>
      <c r="D95" s="1546">
        <v>678092.41999999993</v>
      </c>
      <c r="E95" s="1547">
        <v>832841.28</v>
      </c>
      <c r="F95" s="1547">
        <v>0</v>
      </c>
      <c r="G95" s="2066">
        <v>-0.23</v>
      </c>
      <c r="H95" s="1547">
        <v>0</v>
      </c>
      <c r="I95" s="1548">
        <f t="shared" si="5"/>
        <v>1510933.47</v>
      </c>
      <c r="J95" s="1547">
        <f t="shared" si="6"/>
        <v>-0.23</v>
      </c>
    </row>
    <row r="96" spans="1:10" s="232" customFormat="1" ht="12.75" customHeight="1" x14ac:dyDescent="0.3">
      <c r="A96" s="1181" t="s">
        <v>236</v>
      </c>
      <c r="B96" s="1544" t="s">
        <v>237</v>
      </c>
      <c r="C96" s="1545" t="s">
        <v>254</v>
      </c>
      <c r="D96" s="1546">
        <v>77343.929999999993</v>
      </c>
      <c r="E96" s="1547">
        <v>86870.43</v>
      </c>
      <c r="F96" s="1547">
        <v>0</v>
      </c>
      <c r="G96" s="2066">
        <v>-0.04</v>
      </c>
      <c r="H96" s="1547">
        <v>0</v>
      </c>
      <c r="I96" s="1548">
        <f t="shared" si="5"/>
        <v>164214.31999999998</v>
      </c>
      <c r="J96" s="1547">
        <f t="shared" si="6"/>
        <v>-0.04</v>
      </c>
    </row>
    <row r="97" spans="1:10" s="232" customFormat="1" ht="12.75" customHeight="1" x14ac:dyDescent="0.3">
      <c r="A97" s="1181" t="s">
        <v>242</v>
      </c>
      <c r="B97" s="1544" t="s">
        <v>243</v>
      </c>
      <c r="C97" s="1545" t="s">
        <v>256</v>
      </c>
      <c r="D97" s="1546">
        <v>1498742.52</v>
      </c>
      <c r="E97" s="1547">
        <v>1826878.83</v>
      </c>
      <c r="F97" s="1547">
        <v>0</v>
      </c>
      <c r="G97" s="2066">
        <v>10233.07</v>
      </c>
      <c r="H97" s="1547">
        <v>0</v>
      </c>
      <c r="I97" s="1548">
        <f t="shared" si="5"/>
        <v>3335854.42</v>
      </c>
      <c r="J97" s="1547">
        <f t="shared" si="6"/>
        <v>10233.07</v>
      </c>
    </row>
    <row r="98" spans="1:10" s="232" customFormat="1" ht="12.75" customHeight="1" x14ac:dyDescent="0.3">
      <c r="A98" s="1181" t="s">
        <v>244</v>
      </c>
      <c r="B98" s="1544" t="s">
        <v>245</v>
      </c>
      <c r="C98" s="1545" t="s">
        <v>256</v>
      </c>
      <c r="D98" s="1546">
        <v>641065.04</v>
      </c>
      <c r="E98" s="1547">
        <v>816038.28</v>
      </c>
      <c r="F98" s="1547">
        <v>0</v>
      </c>
      <c r="G98" s="2066">
        <v>7473.9800000000005</v>
      </c>
      <c r="H98" s="1547">
        <v>0</v>
      </c>
      <c r="I98" s="1548">
        <f t="shared" si="5"/>
        <v>1464577.3</v>
      </c>
      <c r="J98" s="1547">
        <f t="shared" si="6"/>
        <v>7473.9800000000005</v>
      </c>
    </row>
    <row r="99" spans="1:10" s="232" customFormat="1" ht="12.75" customHeight="1" x14ac:dyDescent="0.3">
      <c r="A99" s="1181" t="s">
        <v>246</v>
      </c>
      <c r="B99" s="1544" t="s">
        <v>298</v>
      </c>
      <c r="C99" s="1545" t="s">
        <v>252</v>
      </c>
      <c r="D99" s="1546">
        <v>124969.8</v>
      </c>
      <c r="E99" s="1547">
        <v>162030.64000000001</v>
      </c>
      <c r="F99" s="1547">
        <v>0</v>
      </c>
      <c r="G99" s="2066">
        <v>70.72</v>
      </c>
      <c r="H99" s="1547">
        <v>0</v>
      </c>
      <c r="I99" s="1548">
        <f t="shared" si="5"/>
        <v>287071.15999999997</v>
      </c>
      <c r="J99" s="1547">
        <f t="shared" si="6"/>
        <v>70.72</v>
      </c>
    </row>
    <row r="100" spans="1:10" s="232" customFormat="1" ht="12.75" customHeight="1" x14ac:dyDescent="0.3">
      <c r="A100" s="1181" t="s">
        <v>14</v>
      </c>
      <c r="B100" s="1544" t="s">
        <v>15</v>
      </c>
      <c r="C100" s="1545" t="s">
        <v>255</v>
      </c>
      <c r="D100" s="1546">
        <v>2116670.9900000002</v>
      </c>
      <c r="E100" s="1547">
        <v>2279291.2599999998</v>
      </c>
      <c r="F100" s="1547">
        <v>0</v>
      </c>
      <c r="G100" s="2066">
        <v>-0.44999999999999996</v>
      </c>
      <c r="H100" s="1547">
        <v>37231.14</v>
      </c>
      <c r="I100" s="1548">
        <f t="shared" si="5"/>
        <v>4433192.9399999995</v>
      </c>
      <c r="J100" s="1547">
        <f t="shared" si="6"/>
        <v>37230.69</v>
      </c>
    </row>
    <row r="101" spans="1:10" s="232" customFormat="1" ht="12.75" customHeight="1" x14ac:dyDescent="0.3">
      <c r="A101" s="1181" t="s">
        <v>34</v>
      </c>
      <c r="B101" s="1544" t="s">
        <v>35</v>
      </c>
      <c r="C101" s="1545" t="s">
        <v>256</v>
      </c>
      <c r="D101" s="1546">
        <v>1001630.32</v>
      </c>
      <c r="E101" s="1547">
        <v>1074204.8500000001</v>
      </c>
      <c r="F101" s="1547">
        <v>0</v>
      </c>
      <c r="G101" s="2066">
        <v>-0.32999999999999996</v>
      </c>
      <c r="H101" s="1547">
        <v>0</v>
      </c>
      <c r="I101" s="1548">
        <f t="shared" ref="I101:I124" si="7">SUM(D101:H101)</f>
        <v>2075834.8399999999</v>
      </c>
      <c r="J101" s="1547">
        <f t="shared" ref="J101:J124" si="8">SUM(F101:H101)</f>
        <v>-0.32999999999999996</v>
      </c>
    </row>
    <row r="102" spans="1:10" s="232" customFormat="1" ht="12.75" customHeight="1" x14ac:dyDescent="0.3">
      <c r="A102" s="1181" t="s">
        <v>52</v>
      </c>
      <c r="B102" s="1544" t="s">
        <v>53</v>
      </c>
      <c r="C102" s="1545" t="s">
        <v>253</v>
      </c>
      <c r="D102" s="1546">
        <v>2043777.9100000001</v>
      </c>
      <c r="E102" s="1547">
        <v>2131614.19</v>
      </c>
      <c r="F102" s="1547">
        <v>0</v>
      </c>
      <c r="G102" s="2066">
        <v>7551.4000000000005</v>
      </c>
      <c r="H102" s="1547">
        <v>0</v>
      </c>
      <c r="I102" s="1548">
        <f t="shared" si="7"/>
        <v>4182943.5</v>
      </c>
      <c r="J102" s="1547">
        <f t="shared" si="8"/>
        <v>7551.4000000000005</v>
      </c>
    </row>
    <row r="103" spans="1:10" s="232" customFormat="1" ht="12.75" customHeight="1" x14ac:dyDescent="0.3">
      <c r="A103" s="1181" t="s">
        <v>54</v>
      </c>
      <c r="B103" s="1544" t="s">
        <v>55</v>
      </c>
      <c r="C103" s="1545" t="s">
        <v>252</v>
      </c>
      <c r="D103" s="1546">
        <v>1221736.23</v>
      </c>
      <c r="E103" s="1547">
        <v>1340426.6499999999</v>
      </c>
      <c r="F103" s="1547">
        <v>0</v>
      </c>
      <c r="G103" s="2066">
        <v>10281.400000000001</v>
      </c>
      <c r="H103" s="1547">
        <v>0</v>
      </c>
      <c r="I103" s="1548">
        <f t="shared" si="7"/>
        <v>2572444.2799999998</v>
      </c>
      <c r="J103" s="1547">
        <f t="shared" si="8"/>
        <v>10281.400000000001</v>
      </c>
    </row>
    <row r="104" spans="1:10" s="232" customFormat="1" ht="12.75" customHeight="1" x14ac:dyDescent="0.3">
      <c r="A104" s="1181" t="s">
        <v>66</v>
      </c>
      <c r="B104" s="1544" t="s">
        <v>67</v>
      </c>
      <c r="C104" s="1545" t="s">
        <v>253</v>
      </c>
      <c r="D104" s="1546">
        <v>798564.4</v>
      </c>
      <c r="E104" s="1547">
        <v>893664.99</v>
      </c>
      <c r="F104" s="1547">
        <v>0</v>
      </c>
      <c r="G104" s="2066">
        <v>-0.26</v>
      </c>
      <c r="H104" s="1547">
        <v>0</v>
      </c>
      <c r="I104" s="1548">
        <f t="shared" si="7"/>
        <v>1692229.1300000001</v>
      </c>
      <c r="J104" s="1547">
        <f t="shared" si="8"/>
        <v>-0.26</v>
      </c>
    </row>
    <row r="105" spans="1:10" s="232" customFormat="1" ht="12.75" customHeight="1" x14ac:dyDescent="0.3">
      <c r="A105" s="1181" t="s">
        <v>82</v>
      </c>
      <c r="B105" s="1544" t="s">
        <v>299</v>
      </c>
      <c r="C105" s="1545" t="s">
        <v>252</v>
      </c>
      <c r="D105" s="1546">
        <v>36944.800000000003</v>
      </c>
      <c r="E105" s="1547">
        <v>46274.8</v>
      </c>
      <c r="F105" s="1547">
        <v>0</v>
      </c>
      <c r="G105" s="2066">
        <v>-0.09</v>
      </c>
      <c r="H105" s="1547">
        <v>0</v>
      </c>
      <c r="I105" s="1548">
        <f t="shared" si="7"/>
        <v>83219.510000000009</v>
      </c>
      <c r="J105" s="1547">
        <f t="shared" si="8"/>
        <v>-0.09</v>
      </c>
    </row>
    <row r="106" spans="1:10" s="232" customFormat="1" ht="12.75" customHeight="1" x14ac:dyDescent="0.3">
      <c r="A106" s="1181" t="s">
        <v>88</v>
      </c>
      <c r="B106" s="1544" t="s">
        <v>89</v>
      </c>
      <c r="C106" s="1545" t="s">
        <v>255</v>
      </c>
      <c r="D106" s="1546">
        <v>923617.37</v>
      </c>
      <c r="E106" s="1547">
        <v>1170057.6800000002</v>
      </c>
      <c r="F106" s="1547">
        <v>0</v>
      </c>
      <c r="G106" s="2066">
        <v>642.79999999999995</v>
      </c>
      <c r="H106" s="1547">
        <v>0</v>
      </c>
      <c r="I106" s="1548">
        <f t="shared" si="7"/>
        <v>2094317.8500000003</v>
      </c>
      <c r="J106" s="1547">
        <f t="shared" si="8"/>
        <v>642.79999999999995</v>
      </c>
    </row>
    <row r="107" spans="1:10" s="232" customFormat="1" ht="12.75" customHeight="1" x14ac:dyDescent="0.3">
      <c r="A107" s="1181" t="s">
        <v>90</v>
      </c>
      <c r="B107" s="1544" t="s">
        <v>91</v>
      </c>
      <c r="C107" s="1545" t="s">
        <v>256</v>
      </c>
      <c r="D107" s="1546">
        <v>287183.31</v>
      </c>
      <c r="E107" s="1547">
        <v>284692.07</v>
      </c>
      <c r="F107" s="1547">
        <v>0</v>
      </c>
      <c r="G107" s="2066">
        <v>4831.88</v>
      </c>
      <c r="H107" s="1547">
        <v>0</v>
      </c>
      <c r="I107" s="1548">
        <f t="shared" si="7"/>
        <v>576707.26</v>
      </c>
      <c r="J107" s="1547">
        <f t="shared" si="8"/>
        <v>4831.88</v>
      </c>
    </row>
    <row r="108" spans="1:10" s="232" customFormat="1" ht="12.75" customHeight="1" x14ac:dyDescent="0.3">
      <c r="A108" s="1181" t="s">
        <v>106</v>
      </c>
      <c r="B108" s="1544" t="s">
        <v>107</v>
      </c>
      <c r="C108" s="1545" t="s">
        <v>252</v>
      </c>
      <c r="D108" s="1546">
        <v>1561977.89</v>
      </c>
      <c r="E108" s="1547">
        <v>1592465.68</v>
      </c>
      <c r="F108" s="1547">
        <v>0</v>
      </c>
      <c r="G108" s="2066">
        <v>-0.22</v>
      </c>
      <c r="H108" s="1547">
        <v>0</v>
      </c>
      <c r="I108" s="1548">
        <f t="shared" si="7"/>
        <v>3154443.3499999996</v>
      </c>
      <c r="J108" s="1547">
        <f t="shared" si="8"/>
        <v>-0.22</v>
      </c>
    </row>
    <row r="109" spans="1:10" s="232" customFormat="1" ht="12.75" customHeight="1" x14ac:dyDescent="0.3">
      <c r="A109" s="1181" t="s">
        <v>116</v>
      </c>
      <c r="B109" s="1544" t="s">
        <v>117</v>
      </c>
      <c r="C109" s="1545" t="s">
        <v>254</v>
      </c>
      <c r="D109" s="1546">
        <v>505886.86</v>
      </c>
      <c r="E109" s="1547">
        <v>542001.48</v>
      </c>
      <c r="F109" s="1547">
        <v>0</v>
      </c>
      <c r="G109" s="2066">
        <v>57.45</v>
      </c>
      <c r="H109" s="1547">
        <v>0</v>
      </c>
      <c r="I109" s="1548">
        <f t="shared" si="7"/>
        <v>1047945.7899999999</v>
      </c>
      <c r="J109" s="1547">
        <f t="shared" si="8"/>
        <v>57.45</v>
      </c>
    </row>
    <row r="110" spans="1:10" s="232" customFormat="1" ht="12.75" customHeight="1" x14ac:dyDescent="0.3">
      <c r="A110" s="1181" t="s">
        <v>138</v>
      </c>
      <c r="B110" s="1544" t="s">
        <v>139</v>
      </c>
      <c r="C110" s="1545" t="s">
        <v>253</v>
      </c>
      <c r="D110" s="1546">
        <v>3305621.7800000003</v>
      </c>
      <c r="E110" s="1547">
        <v>3993633.33</v>
      </c>
      <c r="F110" s="1547">
        <v>0</v>
      </c>
      <c r="G110" s="2066">
        <v>-0.52</v>
      </c>
      <c r="H110" s="1547">
        <v>0</v>
      </c>
      <c r="I110" s="1548">
        <f t="shared" si="7"/>
        <v>7299254.5900000008</v>
      </c>
      <c r="J110" s="1547">
        <f t="shared" si="8"/>
        <v>-0.52</v>
      </c>
    </row>
    <row r="111" spans="1:10" s="232" customFormat="1" ht="12.75" customHeight="1" x14ac:dyDescent="0.3">
      <c r="A111" s="1181" t="s">
        <v>142</v>
      </c>
      <c r="B111" s="1544" t="s">
        <v>143</v>
      </c>
      <c r="C111" s="1545" t="s">
        <v>255</v>
      </c>
      <c r="D111" s="1546">
        <v>209926.41</v>
      </c>
      <c r="E111" s="1547">
        <v>229348.41</v>
      </c>
      <c r="F111" s="1547">
        <v>0</v>
      </c>
      <c r="G111" s="2066">
        <v>3809.9199999999996</v>
      </c>
      <c r="H111" s="1547">
        <v>0</v>
      </c>
      <c r="I111" s="1548">
        <f t="shared" si="7"/>
        <v>443084.74</v>
      </c>
      <c r="J111" s="1547">
        <f t="shared" si="8"/>
        <v>3809.9199999999996</v>
      </c>
    </row>
    <row r="112" spans="1:10" s="232" customFormat="1" ht="12.75" customHeight="1" x14ac:dyDescent="0.3">
      <c r="A112" s="1181" t="s">
        <v>144</v>
      </c>
      <c r="B112" s="1544" t="s">
        <v>145</v>
      </c>
      <c r="C112" s="1545" t="s">
        <v>255</v>
      </c>
      <c r="D112" s="1546">
        <v>21335.64</v>
      </c>
      <c r="E112" s="1547">
        <v>21335.64</v>
      </c>
      <c r="F112" s="1547">
        <v>0</v>
      </c>
      <c r="G112" s="2066">
        <v>0</v>
      </c>
      <c r="H112" s="1547">
        <v>0</v>
      </c>
      <c r="I112" s="1548">
        <f t="shared" si="7"/>
        <v>42671.28</v>
      </c>
      <c r="J112" s="1547">
        <f t="shared" si="8"/>
        <v>0</v>
      </c>
    </row>
    <row r="113" spans="1:10" s="232" customFormat="1" ht="12.75" customHeight="1" x14ac:dyDescent="0.3">
      <c r="A113" s="1181" t="s">
        <v>158</v>
      </c>
      <c r="B113" s="1544" t="s">
        <v>159</v>
      </c>
      <c r="C113" s="1545" t="s">
        <v>252</v>
      </c>
      <c r="D113" s="1546">
        <v>2386901.0499999998</v>
      </c>
      <c r="E113" s="1547">
        <v>2553647.92</v>
      </c>
      <c r="F113" s="1547">
        <v>0</v>
      </c>
      <c r="G113" s="2066">
        <v>-0.67</v>
      </c>
      <c r="H113" s="1547">
        <v>0</v>
      </c>
      <c r="I113" s="1548">
        <f t="shared" si="7"/>
        <v>4940548.3</v>
      </c>
      <c r="J113" s="1547">
        <f t="shared" si="8"/>
        <v>-0.67</v>
      </c>
    </row>
    <row r="114" spans="1:10" s="232" customFormat="1" ht="12.75" customHeight="1" x14ac:dyDescent="0.3">
      <c r="A114" s="1181" t="s">
        <v>160</v>
      </c>
      <c r="B114" s="1544" t="s">
        <v>161</v>
      </c>
      <c r="C114" s="1545" t="s">
        <v>252</v>
      </c>
      <c r="D114" s="1546">
        <v>3578577.02</v>
      </c>
      <c r="E114" s="1547">
        <v>3870665.0300000003</v>
      </c>
      <c r="F114" s="1547">
        <v>0</v>
      </c>
      <c r="G114" s="2066">
        <v>-0.61</v>
      </c>
      <c r="H114" s="1547">
        <v>0</v>
      </c>
      <c r="I114" s="1548">
        <f t="shared" si="7"/>
        <v>7449241.4400000004</v>
      </c>
      <c r="J114" s="1547">
        <f t="shared" si="8"/>
        <v>-0.61</v>
      </c>
    </row>
    <row r="115" spans="1:10" s="232" customFormat="1" ht="12.75" customHeight="1" x14ac:dyDescent="0.3">
      <c r="A115" s="1181" t="s">
        <v>166</v>
      </c>
      <c r="B115" s="1544" t="s">
        <v>167</v>
      </c>
      <c r="C115" s="1545" t="s">
        <v>256</v>
      </c>
      <c r="D115" s="1546">
        <v>70489.27</v>
      </c>
      <c r="E115" s="1547">
        <v>96429.27</v>
      </c>
      <c r="F115" s="1547">
        <v>0</v>
      </c>
      <c r="G115" s="2066">
        <v>4194.29</v>
      </c>
      <c r="H115" s="1547">
        <v>1568</v>
      </c>
      <c r="I115" s="1548">
        <f t="shared" si="7"/>
        <v>172680.83000000002</v>
      </c>
      <c r="J115" s="1547">
        <f t="shared" si="8"/>
        <v>5762.29</v>
      </c>
    </row>
    <row r="116" spans="1:10" s="232" customFormat="1" ht="12.75" customHeight="1" x14ac:dyDescent="0.3">
      <c r="A116" s="1181" t="s">
        <v>176</v>
      </c>
      <c r="B116" s="1544" t="s">
        <v>177</v>
      </c>
      <c r="C116" s="1545" t="s">
        <v>254</v>
      </c>
      <c r="D116" s="1546">
        <v>1174842.3599999999</v>
      </c>
      <c r="E116" s="1547">
        <v>1399776.29</v>
      </c>
      <c r="F116" s="1547">
        <v>0</v>
      </c>
      <c r="G116" s="2066">
        <v>-0.11</v>
      </c>
      <c r="H116" s="1547">
        <v>0</v>
      </c>
      <c r="I116" s="1548">
        <f t="shared" si="7"/>
        <v>2574618.54</v>
      </c>
      <c r="J116" s="1547">
        <f t="shared" si="8"/>
        <v>-0.11</v>
      </c>
    </row>
    <row r="117" spans="1:10" s="232" customFormat="1" ht="12.75" customHeight="1" x14ac:dyDescent="0.3">
      <c r="A117" s="1181" t="s">
        <v>180</v>
      </c>
      <c r="B117" s="1544" t="s">
        <v>181</v>
      </c>
      <c r="C117" s="1545" t="s">
        <v>252</v>
      </c>
      <c r="D117" s="1546">
        <v>1357420.35</v>
      </c>
      <c r="E117" s="1547">
        <v>1702725.06</v>
      </c>
      <c r="F117" s="1547">
        <v>0</v>
      </c>
      <c r="G117" s="2066">
        <v>786.38</v>
      </c>
      <c r="H117" s="1547">
        <v>0</v>
      </c>
      <c r="I117" s="1548">
        <f t="shared" si="7"/>
        <v>3060931.79</v>
      </c>
      <c r="J117" s="1547">
        <f t="shared" si="8"/>
        <v>786.38</v>
      </c>
    </row>
    <row r="118" spans="1:10" s="232" customFormat="1" ht="12.75" customHeight="1" x14ac:dyDescent="0.3">
      <c r="A118" s="1181" t="s">
        <v>192</v>
      </c>
      <c r="B118" s="1544" t="s">
        <v>193</v>
      </c>
      <c r="C118" s="1545" t="s">
        <v>256</v>
      </c>
      <c r="D118" s="1546">
        <v>374858.73</v>
      </c>
      <c r="E118" s="1547">
        <v>369631.58</v>
      </c>
      <c r="F118" s="1547">
        <v>0</v>
      </c>
      <c r="G118" s="2066">
        <v>1.5499999999999998</v>
      </c>
      <c r="H118" s="1547">
        <v>0</v>
      </c>
      <c r="I118" s="1548">
        <f t="shared" si="7"/>
        <v>744491.8600000001</v>
      </c>
      <c r="J118" s="1547">
        <f t="shared" si="8"/>
        <v>1.5499999999999998</v>
      </c>
    </row>
    <row r="119" spans="1:10" s="232" customFormat="1" ht="12.75" customHeight="1" x14ac:dyDescent="0.3">
      <c r="A119" s="1181" t="s">
        <v>196</v>
      </c>
      <c r="B119" s="1544" t="s">
        <v>300</v>
      </c>
      <c r="C119" s="1545" t="s">
        <v>254</v>
      </c>
      <c r="D119" s="1546">
        <v>5149169.8699999992</v>
      </c>
      <c r="E119" s="1547">
        <v>6065108.1299999999</v>
      </c>
      <c r="F119" s="1547">
        <v>0</v>
      </c>
      <c r="G119" s="2066">
        <v>-0.59</v>
      </c>
      <c r="H119" s="1547">
        <v>41628.639999999999</v>
      </c>
      <c r="I119" s="1548">
        <f t="shared" si="7"/>
        <v>11255906.050000001</v>
      </c>
      <c r="J119" s="1547">
        <f t="shared" si="8"/>
        <v>41628.050000000003</v>
      </c>
    </row>
    <row r="120" spans="1:10" s="232" customFormat="1" ht="12.75" customHeight="1" x14ac:dyDescent="0.3">
      <c r="A120" s="1181" t="s">
        <v>200</v>
      </c>
      <c r="B120" s="1544" t="s">
        <v>301</v>
      </c>
      <c r="C120" s="1545" t="s">
        <v>253</v>
      </c>
      <c r="D120" s="1546">
        <v>5209152.8</v>
      </c>
      <c r="E120" s="1547">
        <v>5963802.7699999996</v>
      </c>
      <c r="F120" s="1547">
        <v>0</v>
      </c>
      <c r="G120" s="2066">
        <v>2345.4900000000002</v>
      </c>
      <c r="H120" s="1547">
        <v>0</v>
      </c>
      <c r="I120" s="1548">
        <f t="shared" si="7"/>
        <v>11175301.060000001</v>
      </c>
      <c r="J120" s="1547">
        <f t="shared" si="8"/>
        <v>2345.4900000000002</v>
      </c>
    </row>
    <row r="121" spans="1:10" s="232" customFormat="1" ht="12.75" customHeight="1" x14ac:dyDescent="0.3">
      <c r="A121" s="1181" t="s">
        <v>222</v>
      </c>
      <c r="B121" s="1544" t="s">
        <v>223</v>
      </c>
      <c r="C121" s="1545" t="s">
        <v>252</v>
      </c>
      <c r="D121" s="1546">
        <v>218467.5</v>
      </c>
      <c r="E121" s="1547">
        <v>273815.52</v>
      </c>
      <c r="F121" s="1547">
        <v>0</v>
      </c>
      <c r="G121" s="2066">
        <v>-7.0000000000000007E-2</v>
      </c>
      <c r="H121" s="1547">
        <v>0</v>
      </c>
      <c r="I121" s="1548">
        <f t="shared" si="7"/>
        <v>492282.95</v>
      </c>
      <c r="J121" s="1547">
        <f t="shared" si="8"/>
        <v>-7.0000000000000007E-2</v>
      </c>
    </row>
    <row r="122" spans="1:10" s="232" customFormat="1" ht="12.75" customHeight="1" x14ac:dyDescent="0.3">
      <c r="A122" s="1181" t="s">
        <v>230</v>
      </c>
      <c r="B122" s="1544" t="s">
        <v>231</v>
      </c>
      <c r="C122" s="1545" t="s">
        <v>252</v>
      </c>
      <c r="D122" s="1546">
        <v>4044942.3899999997</v>
      </c>
      <c r="E122" s="1547">
        <v>4039233.8099999996</v>
      </c>
      <c r="F122" s="1547">
        <v>0</v>
      </c>
      <c r="G122" s="2066">
        <v>4209.07</v>
      </c>
      <c r="H122" s="1547">
        <v>924</v>
      </c>
      <c r="I122" s="1548">
        <f t="shared" si="7"/>
        <v>8089309.2699999996</v>
      </c>
      <c r="J122" s="1547">
        <f t="shared" si="8"/>
        <v>5133.07</v>
      </c>
    </row>
    <row r="123" spans="1:10" s="232" customFormat="1" ht="12.75" customHeight="1" x14ac:dyDescent="0.3">
      <c r="A123" s="1181" t="s">
        <v>238</v>
      </c>
      <c r="B123" s="1544" t="s">
        <v>239</v>
      </c>
      <c r="C123" s="1545" t="s">
        <v>252</v>
      </c>
      <c r="D123" s="1546">
        <v>86346.69</v>
      </c>
      <c r="E123" s="1547">
        <v>107483.83</v>
      </c>
      <c r="F123" s="1547">
        <v>0</v>
      </c>
      <c r="G123" s="2066">
        <v>-0.02</v>
      </c>
      <c r="H123" s="1547">
        <v>0</v>
      </c>
      <c r="I123" s="1548">
        <f t="shared" si="7"/>
        <v>193830.50000000003</v>
      </c>
      <c r="J123" s="1547">
        <f t="shared" si="8"/>
        <v>-0.02</v>
      </c>
    </row>
    <row r="124" spans="1:10" s="232" customFormat="1" ht="12.75" customHeight="1" x14ac:dyDescent="0.3">
      <c r="A124" s="1549" t="s">
        <v>240</v>
      </c>
      <c r="B124" s="1550" t="s">
        <v>241</v>
      </c>
      <c r="C124" s="1551" t="s">
        <v>255</v>
      </c>
      <c r="D124" s="1552">
        <v>581331.72</v>
      </c>
      <c r="E124" s="1553">
        <v>594069.37</v>
      </c>
      <c r="F124" s="1553">
        <v>0</v>
      </c>
      <c r="G124" s="2067">
        <v>-0.22</v>
      </c>
      <c r="H124" s="1553">
        <v>0</v>
      </c>
      <c r="I124" s="1554">
        <f t="shared" si="7"/>
        <v>1175400.8699999999</v>
      </c>
      <c r="J124" s="1553">
        <f t="shared" si="8"/>
        <v>-0.22</v>
      </c>
    </row>
    <row r="125" spans="1:10" s="232" customFormat="1" ht="12.75" customHeight="1" x14ac:dyDescent="0.3">
      <c r="A125" s="1555"/>
      <c r="B125" s="1555"/>
      <c r="C125" s="1555"/>
      <c r="D125" s="1555"/>
      <c r="E125" s="1555"/>
      <c r="F125" s="1555"/>
      <c r="G125" s="1555"/>
      <c r="H125" s="1555"/>
      <c r="I125" s="1555"/>
      <c r="J125" s="1555"/>
    </row>
    <row r="126" spans="1:10" s="232" customFormat="1" ht="12.75" customHeight="1" x14ac:dyDescent="0.3">
      <c r="A126" s="1557" t="s">
        <v>254</v>
      </c>
      <c r="B126" s="1557"/>
      <c r="C126" s="1557"/>
      <c r="D126" s="1558">
        <v>13008344.98</v>
      </c>
      <c r="E126" s="1559">
        <v>15245138.580000004</v>
      </c>
      <c r="F126" s="1559">
        <v>0</v>
      </c>
      <c r="G126" s="1559">
        <v>-1208.0799999999988</v>
      </c>
      <c r="H126" s="1559">
        <v>41628.639999999999</v>
      </c>
      <c r="I126" s="1560">
        <f t="shared" ref="I126:I130" si="9">SUM(D126:H126)</f>
        <v>28293904.120000005</v>
      </c>
      <c r="J126" s="1559">
        <f>SUM(F126:H126)</f>
        <v>40420.559999999998</v>
      </c>
    </row>
    <row r="127" spans="1:10" s="232" customFormat="1" ht="12.75" customHeight="1" x14ac:dyDescent="0.3">
      <c r="A127" s="1561" t="s">
        <v>252</v>
      </c>
      <c r="B127" s="1561"/>
      <c r="C127" s="1561"/>
      <c r="D127" s="1562">
        <v>16554623.880000001</v>
      </c>
      <c r="E127" s="1563">
        <v>18239807.849999998</v>
      </c>
      <c r="F127" s="1563">
        <v>0</v>
      </c>
      <c r="G127" s="1563">
        <v>15534.059999999994</v>
      </c>
      <c r="H127" s="1563">
        <v>1113</v>
      </c>
      <c r="I127" s="1564">
        <f t="shared" si="9"/>
        <v>34811078.789999999</v>
      </c>
      <c r="J127" s="1563">
        <f>SUM(F127:H127)</f>
        <v>16647.059999999994</v>
      </c>
    </row>
    <row r="128" spans="1:10" s="232" customFormat="1" ht="12.75" customHeight="1" x14ac:dyDescent="0.3">
      <c r="A128" s="1561" t="s">
        <v>255</v>
      </c>
      <c r="B128" s="1561"/>
      <c r="C128" s="1561"/>
      <c r="D128" s="1562">
        <v>21468729.259999998</v>
      </c>
      <c r="E128" s="1563">
        <v>26807521.169999994</v>
      </c>
      <c r="F128" s="1563">
        <v>0</v>
      </c>
      <c r="G128" s="1563">
        <v>22509.050000000003</v>
      </c>
      <c r="H128" s="1563">
        <v>67934.22</v>
      </c>
      <c r="I128" s="1564">
        <f t="shared" si="9"/>
        <v>48366693.699999988</v>
      </c>
      <c r="J128" s="1563">
        <f>SUM(F128:H128)</f>
        <v>90443.27</v>
      </c>
    </row>
    <row r="129" spans="1:10" s="232" customFormat="1" ht="12.75" customHeight="1" x14ac:dyDescent="0.3">
      <c r="A129" s="1561" t="s">
        <v>253</v>
      </c>
      <c r="B129" s="1561"/>
      <c r="C129" s="1561"/>
      <c r="D129" s="1562">
        <v>23333911.869999994</v>
      </c>
      <c r="E129" s="1563">
        <v>27013747.449999992</v>
      </c>
      <c r="F129" s="1563">
        <v>0</v>
      </c>
      <c r="G129" s="1563">
        <v>16408.150000000001</v>
      </c>
      <c r="H129" s="1563">
        <v>1536.4099999999999</v>
      </c>
      <c r="I129" s="1564">
        <f t="shared" si="9"/>
        <v>50365603.87999998</v>
      </c>
      <c r="J129" s="1563">
        <f>SUM(F129:H129)</f>
        <v>17944.560000000001</v>
      </c>
    </row>
    <row r="130" spans="1:10" s="232" customFormat="1" ht="12.75" customHeight="1" x14ac:dyDescent="0.3">
      <c r="A130" s="1561" t="s">
        <v>256</v>
      </c>
      <c r="B130" s="1561"/>
      <c r="C130" s="1561"/>
      <c r="D130" s="1562">
        <v>14656913.090000002</v>
      </c>
      <c r="E130" s="1563">
        <v>16943953.050000001</v>
      </c>
      <c r="F130" s="1563">
        <v>0</v>
      </c>
      <c r="G130" s="1563">
        <v>87116.54</v>
      </c>
      <c r="H130" s="1563">
        <v>1568</v>
      </c>
      <c r="I130" s="1564">
        <f t="shared" si="9"/>
        <v>31689550.68</v>
      </c>
      <c r="J130" s="1563">
        <f>SUM(F130:H130)</f>
        <v>88684.54</v>
      </c>
    </row>
    <row r="131" spans="1:10" s="232" customFormat="1" ht="12.75" customHeight="1" x14ac:dyDescent="0.3">
      <c r="A131" s="1561" t="s">
        <v>9</v>
      </c>
      <c r="B131" s="1561"/>
      <c r="C131" s="1561"/>
      <c r="D131" s="1562">
        <f t="shared" ref="D131:I131" si="10">SUM(D126:D130)</f>
        <v>89022523.079999998</v>
      </c>
      <c r="E131" s="1563">
        <f t="shared" si="10"/>
        <v>104250168.09999998</v>
      </c>
      <c r="F131" s="1563">
        <f t="shared" si="10"/>
        <v>0</v>
      </c>
      <c r="G131" s="1563">
        <f t="shared" si="10"/>
        <v>140359.72</v>
      </c>
      <c r="H131" s="1563">
        <f t="shared" si="10"/>
        <v>113780.27</v>
      </c>
      <c r="I131" s="1564">
        <f t="shared" si="10"/>
        <v>193526831.16999996</v>
      </c>
      <c r="J131" s="1563">
        <f>SUM(J126:J130)</f>
        <v>254139.99</v>
      </c>
    </row>
    <row r="132" spans="1:10" s="232" customFormat="1" x14ac:dyDescent="0.3"/>
    <row r="133" spans="1:10" s="863" customFormat="1" x14ac:dyDescent="0.3">
      <c r="A133" s="1259" t="s">
        <v>1102</v>
      </c>
      <c r="B133" s="864"/>
      <c r="C133" s="864"/>
      <c r="D133" s="865"/>
    </row>
    <row r="134" spans="1:10" s="863" customFormat="1" x14ac:dyDescent="0.3"/>
    <row r="135" spans="1:10" s="182" customFormat="1" x14ac:dyDescent="0.3">
      <c r="A135" s="182" t="s">
        <v>248</v>
      </c>
    </row>
    <row r="136" spans="1:10" x14ac:dyDescent="0.3">
      <c r="A136" s="188" t="s">
        <v>249</v>
      </c>
      <c r="B136" s="167" t="s">
        <v>250</v>
      </c>
      <c r="C136" s="167"/>
    </row>
  </sheetData>
  <autoFilter ref="A3:C124"/>
  <sortState ref="A5:J124">
    <sortCondition ref="A5:A124"/>
  </sortState>
  <hyperlinks>
    <hyperlink ref="B136" r:id="rId1"/>
  </hyperlinks>
  <pageMargins left="0.7" right="0.7" top="0.75" bottom="0.75" header="0.3" footer="0.3"/>
  <pageSetup orientation="portrait"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136"/>
  <sheetViews>
    <sheetView workbookViewId="0">
      <pane xSplit="3" ySplit="4" topLeftCell="D5" activePane="bottomRight" state="frozen"/>
      <selection pane="topRight" activeCell="D1" sqref="D1"/>
      <selection pane="bottomLeft" activeCell="A5" sqref="A5"/>
      <selection pane="bottomRight" activeCell="D5" sqref="D5"/>
    </sheetView>
  </sheetViews>
  <sheetFormatPr defaultColWidth="13.19921875" defaultRowHeight="15.6" x14ac:dyDescent="0.3"/>
  <cols>
    <col min="1" max="1" width="7.5" style="263" customWidth="1"/>
    <col min="2" max="2" width="35" style="263" customWidth="1"/>
    <col min="3" max="3" width="16.69921875" style="263" customWidth="1"/>
    <col min="4" max="5" width="13.19921875" style="263"/>
    <col min="6" max="7" width="15.69921875" style="263" customWidth="1"/>
    <col min="8" max="16384" width="13.19921875" style="263"/>
  </cols>
  <sheetData>
    <row r="1" spans="1:10" x14ac:dyDescent="0.3">
      <c r="A1" s="257" t="s">
        <v>1104</v>
      </c>
    </row>
    <row r="2" spans="1:10" x14ac:dyDescent="0.3">
      <c r="B2" s="690"/>
      <c r="C2" s="771"/>
    </row>
    <row r="3" spans="1:10" s="611" customFormat="1" ht="28.8" x14ac:dyDescent="0.3">
      <c r="A3" s="1427" t="s">
        <v>4</v>
      </c>
      <c r="B3" s="1427" t="s">
        <v>5</v>
      </c>
      <c r="C3" s="1428" t="s">
        <v>251</v>
      </c>
      <c r="D3" s="1429" t="s">
        <v>302</v>
      </c>
      <c r="E3" s="1430" t="s">
        <v>303</v>
      </c>
      <c r="F3" s="1430" t="s">
        <v>304</v>
      </c>
      <c r="G3" s="2068" t="s">
        <v>1032</v>
      </c>
      <c r="H3" s="1430" t="s">
        <v>1033</v>
      </c>
      <c r="I3" s="1432" t="s">
        <v>269</v>
      </c>
      <c r="J3" s="1431" t="s">
        <v>1037</v>
      </c>
    </row>
    <row r="4" spans="1:10" s="611" customFormat="1" x14ac:dyDescent="0.3">
      <c r="A4" s="866">
        <v>999</v>
      </c>
      <c r="B4" s="866" t="s">
        <v>9</v>
      </c>
      <c r="C4" s="867"/>
      <c r="D4" s="1058">
        <f t="shared" ref="D4:I4" si="0">SUM(D5:D124)</f>
        <v>2319140.7400000002</v>
      </c>
      <c r="E4" s="1058">
        <f t="shared" si="0"/>
        <v>18372610.780000001</v>
      </c>
      <c r="F4" s="1058">
        <f t="shared" si="0"/>
        <v>4727655.2499999991</v>
      </c>
      <c r="G4" s="1058">
        <f t="shared" si="0"/>
        <v>750524.32</v>
      </c>
      <c r="H4" s="1059">
        <f t="shared" si="0"/>
        <v>70800.27</v>
      </c>
      <c r="I4" s="1426">
        <f t="shared" si="0"/>
        <v>26240731.359999992</v>
      </c>
      <c r="J4" s="1059">
        <f>SUM(J5:J124)</f>
        <v>821324.59000000008</v>
      </c>
    </row>
    <row r="5" spans="1:10" s="698" customFormat="1" x14ac:dyDescent="0.3">
      <c r="A5" s="1433" t="s">
        <v>10</v>
      </c>
      <c r="B5" s="1433" t="s">
        <v>11</v>
      </c>
      <c r="C5" s="1434" t="s">
        <v>252</v>
      </c>
      <c r="D5" s="1435">
        <v>-2470.86</v>
      </c>
      <c r="E5" s="1435">
        <v>59265.24</v>
      </c>
      <c r="F5" s="1435">
        <v>15409.8</v>
      </c>
      <c r="G5" s="2069">
        <v>0</v>
      </c>
      <c r="H5" s="1436">
        <v>0</v>
      </c>
      <c r="I5" s="1438">
        <f t="shared" ref="I5:I36" si="1">SUM(D5:H5)</f>
        <v>72204.179999999993</v>
      </c>
      <c r="J5" s="1437">
        <f t="shared" ref="J5:J36" si="2">G5+H5</f>
        <v>0</v>
      </c>
    </row>
    <row r="6" spans="1:10" s="698" customFormat="1" x14ac:dyDescent="0.3">
      <c r="A6" s="1439" t="s">
        <v>12</v>
      </c>
      <c r="B6" s="1439" t="s">
        <v>13</v>
      </c>
      <c r="C6" s="1440" t="s">
        <v>253</v>
      </c>
      <c r="D6" s="1441">
        <v>2125</v>
      </c>
      <c r="E6" s="1441">
        <v>173501.76</v>
      </c>
      <c r="F6" s="1441">
        <v>43726.36</v>
      </c>
      <c r="G6" s="2070">
        <v>-0.12</v>
      </c>
      <c r="H6" s="1442">
        <v>0</v>
      </c>
      <c r="I6" s="1444">
        <f t="shared" si="1"/>
        <v>219353</v>
      </c>
      <c r="J6" s="1443">
        <f t="shared" si="2"/>
        <v>-0.12</v>
      </c>
    </row>
    <row r="7" spans="1:10" s="698" customFormat="1" x14ac:dyDescent="0.3">
      <c r="A7" s="1439" t="s">
        <v>16</v>
      </c>
      <c r="B7" s="1439" t="s">
        <v>285</v>
      </c>
      <c r="C7" s="1440" t="s">
        <v>253</v>
      </c>
      <c r="D7" s="1441">
        <v>-922.43</v>
      </c>
      <c r="E7" s="1441">
        <v>39049.75</v>
      </c>
      <c r="F7" s="1441">
        <v>9984</v>
      </c>
      <c r="G7" s="2070">
        <v>0</v>
      </c>
      <c r="H7" s="1442">
        <v>0</v>
      </c>
      <c r="I7" s="1444">
        <f t="shared" si="1"/>
        <v>48111.32</v>
      </c>
      <c r="J7" s="1443">
        <f t="shared" si="2"/>
        <v>0</v>
      </c>
    </row>
    <row r="8" spans="1:10" s="698" customFormat="1" x14ac:dyDescent="0.3">
      <c r="A8" s="1439" t="s">
        <v>18</v>
      </c>
      <c r="B8" s="1439" t="s">
        <v>19</v>
      </c>
      <c r="C8" s="1440" t="s">
        <v>254</v>
      </c>
      <c r="D8" s="1441">
        <v>0</v>
      </c>
      <c r="E8" s="1441">
        <v>60792</v>
      </c>
      <c r="F8" s="1441">
        <v>15198</v>
      </c>
      <c r="G8" s="2070">
        <v>0</v>
      </c>
      <c r="H8" s="1442">
        <v>0</v>
      </c>
      <c r="I8" s="1444">
        <f t="shared" si="1"/>
        <v>75990</v>
      </c>
      <c r="J8" s="1443">
        <f t="shared" si="2"/>
        <v>0</v>
      </c>
    </row>
    <row r="9" spans="1:10" s="698" customFormat="1" x14ac:dyDescent="0.3">
      <c r="A9" s="1439" t="s">
        <v>20</v>
      </c>
      <c r="B9" s="1439" t="s">
        <v>21</v>
      </c>
      <c r="C9" s="1440" t="s">
        <v>253</v>
      </c>
      <c r="D9" s="1441">
        <v>0</v>
      </c>
      <c r="E9" s="1441">
        <v>76479.199999999997</v>
      </c>
      <c r="F9" s="1441">
        <v>19119.8</v>
      </c>
      <c r="G9" s="2070">
        <v>0</v>
      </c>
      <c r="H9" s="1442">
        <v>0</v>
      </c>
      <c r="I9" s="1444">
        <f t="shared" si="1"/>
        <v>95599</v>
      </c>
      <c r="J9" s="1443">
        <f t="shared" si="2"/>
        <v>0</v>
      </c>
    </row>
    <row r="10" spans="1:10" s="698" customFormat="1" x14ac:dyDescent="0.3">
      <c r="A10" s="1439" t="s">
        <v>22</v>
      </c>
      <c r="B10" s="1439" t="s">
        <v>23</v>
      </c>
      <c r="C10" s="1440" t="s">
        <v>253</v>
      </c>
      <c r="D10" s="1441">
        <v>0</v>
      </c>
      <c r="E10" s="1441">
        <v>55250.400000000001</v>
      </c>
      <c r="F10" s="1441">
        <v>13812.6</v>
      </c>
      <c r="G10" s="2070">
        <v>0</v>
      </c>
      <c r="H10" s="1442">
        <v>0</v>
      </c>
      <c r="I10" s="1444">
        <f t="shared" si="1"/>
        <v>69063</v>
      </c>
      <c r="J10" s="1443">
        <f t="shared" si="2"/>
        <v>0</v>
      </c>
    </row>
    <row r="11" spans="1:10" s="698" customFormat="1" x14ac:dyDescent="0.3">
      <c r="A11" s="1439" t="s">
        <v>24</v>
      </c>
      <c r="B11" s="1439" t="s">
        <v>25</v>
      </c>
      <c r="C11" s="1440" t="s">
        <v>255</v>
      </c>
      <c r="D11" s="1441">
        <v>14173.01</v>
      </c>
      <c r="E11" s="1441">
        <v>431861.74000000005</v>
      </c>
      <c r="F11" s="1441">
        <v>108567.6</v>
      </c>
      <c r="G11" s="2070">
        <v>340711.15</v>
      </c>
      <c r="H11" s="1442">
        <v>0</v>
      </c>
      <c r="I11" s="1444">
        <f t="shared" si="1"/>
        <v>895313.50000000012</v>
      </c>
      <c r="J11" s="1443">
        <f t="shared" si="2"/>
        <v>340711.15</v>
      </c>
    </row>
    <row r="12" spans="1:10" s="698" customFormat="1" x14ac:dyDescent="0.3">
      <c r="A12" s="1439" t="s">
        <v>26</v>
      </c>
      <c r="B12" s="1439" t="s">
        <v>547</v>
      </c>
      <c r="C12" s="1440" t="s">
        <v>253</v>
      </c>
      <c r="D12" s="1441">
        <v>231568.09</v>
      </c>
      <c r="E12" s="1441">
        <v>294159.19999999995</v>
      </c>
      <c r="F12" s="1441">
        <v>79666.260000000009</v>
      </c>
      <c r="G12" s="2070">
        <v>26601.67</v>
      </c>
      <c r="H12" s="1442">
        <v>0</v>
      </c>
      <c r="I12" s="1444">
        <f t="shared" si="1"/>
        <v>631995.22</v>
      </c>
      <c r="J12" s="1443">
        <f t="shared" si="2"/>
        <v>26601.67</v>
      </c>
    </row>
    <row r="13" spans="1:10" s="698" customFormat="1" x14ac:dyDescent="0.3">
      <c r="A13" s="1439" t="s">
        <v>27</v>
      </c>
      <c r="B13" s="1439" t="s">
        <v>28</v>
      </c>
      <c r="C13" s="1440" t="s">
        <v>253</v>
      </c>
      <c r="D13" s="1441"/>
      <c r="E13" s="1441"/>
      <c r="F13" s="1441"/>
      <c r="G13" s="2070"/>
      <c r="H13" s="1442"/>
      <c r="I13" s="1444">
        <f t="shared" si="1"/>
        <v>0</v>
      </c>
      <c r="J13" s="1443">
        <f t="shared" si="2"/>
        <v>0</v>
      </c>
    </row>
    <row r="14" spans="1:10" s="698" customFormat="1" x14ac:dyDescent="0.3">
      <c r="A14" s="1439" t="s">
        <v>29</v>
      </c>
      <c r="B14" s="1439" t="s">
        <v>736</v>
      </c>
      <c r="C14" s="1440" t="s">
        <v>253</v>
      </c>
      <c r="D14" s="1441">
        <v>-642.99</v>
      </c>
      <c r="E14" s="1441">
        <v>115144.57</v>
      </c>
      <c r="F14" s="1441">
        <v>28940.59</v>
      </c>
      <c r="G14" s="2070">
        <v>0</v>
      </c>
      <c r="H14" s="1442">
        <v>0</v>
      </c>
      <c r="I14" s="1444">
        <f t="shared" si="1"/>
        <v>143442.17000000001</v>
      </c>
      <c r="J14" s="1443">
        <f t="shared" si="2"/>
        <v>0</v>
      </c>
    </row>
    <row r="15" spans="1:10" s="698" customFormat="1" x14ac:dyDescent="0.3">
      <c r="A15" s="1439" t="s">
        <v>30</v>
      </c>
      <c r="B15" s="1439" t="s">
        <v>31</v>
      </c>
      <c r="C15" s="1440" t="s">
        <v>256</v>
      </c>
      <c r="D15" s="1441">
        <v>0</v>
      </c>
      <c r="E15" s="1441">
        <v>3656</v>
      </c>
      <c r="F15" s="1441">
        <v>914</v>
      </c>
      <c r="G15" s="2070">
        <v>0</v>
      </c>
      <c r="H15" s="1442">
        <v>0</v>
      </c>
      <c r="I15" s="1444">
        <f t="shared" si="1"/>
        <v>4570</v>
      </c>
      <c r="J15" s="1443">
        <f t="shared" si="2"/>
        <v>0</v>
      </c>
    </row>
    <row r="16" spans="1:10" s="698" customFormat="1" x14ac:dyDescent="0.3">
      <c r="A16" s="1439" t="s">
        <v>32</v>
      </c>
      <c r="B16" s="1439" t="s">
        <v>33</v>
      </c>
      <c r="C16" s="1440" t="s">
        <v>253</v>
      </c>
      <c r="D16" s="1441">
        <v>0</v>
      </c>
      <c r="E16" s="1441">
        <v>44490.400000000001</v>
      </c>
      <c r="F16" s="1441">
        <v>11122.6</v>
      </c>
      <c r="G16" s="2070">
        <v>0</v>
      </c>
      <c r="H16" s="1442">
        <v>0</v>
      </c>
      <c r="I16" s="1444">
        <f t="shared" si="1"/>
        <v>55613</v>
      </c>
      <c r="J16" s="1443">
        <f t="shared" si="2"/>
        <v>0</v>
      </c>
    </row>
    <row r="17" spans="1:10" s="698" customFormat="1" x14ac:dyDescent="0.3">
      <c r="A17" s="1439" t="s">
        <v>36</v>
      </c>
      <c r="B17" s="1439" t="s">
        <v>37</v>
      </c>
      <c r="C17" s="1440" t="s">
        <v>252</v>
      </c>
      <c r="D17" s="1441">
        <v>14466.34</v>
      </c>
      <c r="E17" s="1441">
        <v>130808</v>
      </c>
      <c r="F17" s="1441">
        <v>32702</v>
      </c>
      <c r="G17" s="2070">
        <v>0</v>
      </c>
      <c r="H17" s="1442">
        <v>0</v>
      </c>
      <c r="I17" s="1444">
        <f t="shared" si="1"/>
        <v>177976.34</v>
      </c>
      <c r="J17" s="1443">
        <f t="shared" si="2"/>
        <v>0</v>
      </c>
    </row>
    <row r="18" spans="1:10" s="698" customFormat="1" x14ac:dyDescent="0.3">
      <c r="A18" s="1439" t="s">
        <v>38</v>
      </c>
      <c r="B18" s="1439" t="s">
        <v>39</v>
      </c>
      <c r="C18" s="1440" t="s">
        <v>256</v>
      </c>
      <c r="D18" s="1441">
        <v>0</v>
      </c>
      <c r="E18" s="1441">
        <v>124872</v>
      </c>
      <c r="F18" s="1441">
        <v>31218</v>
      </c>
      <c r="G18" s="2070">
        <v>4274</v>
      </c>
      <c r="H18" s="1442">
        <v>0</v>
      </c>
      <c r="I18" s="1444">
        <f t="shared" si="1"/>
        <v>160364</v>
      </c>
      <c r="J18" s="1443">
        <f t="shared" si="2"/>
        <v>4274</v>
      </c>
    </row>
    <row r="19" spans="1:10" s="698" customFormat="1" x14ac:dyDescent="0.3">
      <c r="A19" s="1439" t="s">
        <v>40</v>
      </c>
      <c r="B19" s="1439" t="s">
        <v>41</v>
      </c>
      <c r="C19" s="1440" t="s">
        <v>254</v>
      </c>
      <c r="D19" s="1441">
        <v>0</v>
      </c>
      <c r="E19" s="1441">
        <v>59279.199999999997</v>
      </c>
      <c r="F19" s="1441">
        <v>14819.8</v>
      </c>
      <c r="G19" s="2070">
        <v>0</v>
      </c>
      <c r="H19" s="1442">
        <v>0</v>
      </c>
      <c r="I19" s="1444">
        <f t="shared" si="1"/>
        <v>74099</v>
      </c>
      <c r="J19" s="1443">
        <f t="shared" si="2"/>
        <v>0</v>
      </c>
    </row>
    <row r="20" spans="1:10" s="698" customFormat="1" x14ac:dyDescent="0.3">
      <c r="A20" s="1439" t="s">
        <v>42</v>
      </c>
      <c r="B20" s="1439" t="s">
        <v>43</v>
      </c>
      <c r="C20" s="1440" t="s">
        <v>253</v>
      </c>
      <c r="D20" s="1441">
        <v>-20.399999999999999</v>
      </c>
      <c r="E20" s="1441">
        <v>114095.53</v>
      </c>
      <c r="F20" s="1441">
        <v>32044.74</v>
      </c>
      <c r="G20" s="2070">
        <v>-0.11</v>
      </c>
      <c r="H20" s="1442">
        <v>0</v>
      </c>
      <c r="I20" s="1444">
        <f t="shared" si="1"/>
        <v>146119.76</v>
      </c>
      <c r="J20" s="1443">
        <f t="shared" si="2"/>
        <v>-0.11</v>
      </c>
    </row>
    <row r="21" spans="1:10" s="698" customFormat="1" x14ac:dyDescent="0.3">
      <c r="A21" s="1439" t="s">
        <v>44</v>
      </c>
      <c r="B21" s="1439" t="s">
        <v>45</v>
      </c>
      <c r="C21" s="1440" t="s">
        <v>254</v>
      </c>
      <c r="D21" s="1441">
        <v>0</v>
      </c>
      <c r="E21" s="1441">
        <v>2569.6</v>
      </c>
      <c r="F21" s="1441">
        <v>642.4</v>
      </c>
      <c r="G21" s="2070">
        <v>0</v>
      </c>
      <c r="H21" s="1442">
        <v>0</v>
      </c>
      <c r="I21" s="1444">
        <f t="shared" si="1"/>
        <v>3212</v>
      </c>
      <c r="J21" s="1443">
        <f t="shared" si="2"/>
        <v>0</v>
      </c>
    </row>
    <row r="22" spans="1:10" s="698" customFormat="1" x14ac:dyDescent="0.3">
      <c r="A22" s="1439" t="s">
        <v>46</v>
      </c>
      <c r="B22" s="1439" t="s">
        <v>47</v>
      </c>
      <c r="C22" s="1440" t="s">
        <v>256</v>
      </c>
      <c r="D22" s="1441">
        <v>0</v>
      </c>
      <c r="E22" s="1441">
        <v>154466.4</v>
      </c>
      <c r="F22" s="1441">
        <v>38616.6</v>
      </c>
      <c r="G22" s="2070">
        <v>0</v>
      </c>
      <c r="H22" s="1442">
        <v>0</v>
      </c>
      <c r="I22" s="1444">
        <f t="shared" si="1"/>
        <v>193083</v>
      </c>
      <c r="J22" s="1443">
        <f t="shared" si="2"/>
        <v>0</v>
      </c>
    </row>
    <row r="23" spans="1:10" s="698" customFormat="1" x14ac:dyDescent="0.3">
      <c r="A23" s="1439" t="s">
        <v>48</v>
      </c>
      <c r="B23" s="1439" t="s">
        <v>257</v>
      </c>
      <c r="C23" s="1440" t="s">
        <v>254</v>
      </c>
      <c r="D23" s="1441">
        <v>0</v>
      </c>
      <c r="E23" s="1441">
        <v>16130.4</v>
      </c>
      <c r="F23" s="1441">
        <v>4032.6</v>
      </c>
      <c r="G23" s="2070">
        <v>0</v>
      </c>
      <c r="H23" s="1442">
        <v>0</v>
      </c>
      <c r="I23" s="1444">
        <f t="shared" si="1"/>
        <v>20163</v>
      </c>
      <c r="J23" s="1443">
        <f t="shared" si="2"/>
        <v>0</v>
      </c>
    </row>
    <row r="24" spans="1:10" s="698" customFormat="1" x14ac:dyDescent="0.3">
      <c r="A24" s="1439" t="s">
        <v>50</v>
      </c>
      <c r="B24" s="1439" t="s">
        <v>51</v>
      </c>
      <c r="C24" s="1440" t="s">
        <v>253</v>
      </c>
      <c r="D24" s="1441">
        <v>130945.45</v>
      </c>
      <c r="E24" s="1441">
        <v>50551.199999999997</v>
      </c>
      <c r="F24" s="1441">
        <v>12637.8</v>
      </c>
      <c r="G24" s="2070">
        <v>0</v>
      </c>
      <c r="H24" s="1442">
        <v>0</v>
      </c>
      <c r="I24" s="1444">
        <f t="shared" si="1"/>
        <v>194134.44999999998</v>
      </c>
      <c r="J24" s="1443">
        <f t="shared" si="2"/>
        <v>0</v>
      </c>
    </row>
    <row r="25" spans="1:10" s="698" customFormat="1" x14ac:dyDescent="0.3">
      <c r="A25" s="1439" t="s">
        <v>56</v>
      </c>
      <c r="B25" s="1439" t="s">
        <v>283</v>
      </c>
      <c r="C25" s="1440" t="s">
        <v>254</v>
      </c>
      <c r="D25" s="1441">
        <v>620.22</v>
      </c>
      <c r="E25" s="1441">
        <v>578771.9800000001</v>
      </c>
      <c r="F25" s="1441">
        <v>159951.85</v>
      </c>
      <c r="G25" s="2070">
        <v>-0.05</v>
      </c>
      <c r="H25" s="1442">
        <v>20</v>
      </c>
      <c r="I25" s="1444">
        <f t="shared" si="1"/>
        <v>739364</v>
      </c>
      <c r="J25" s="1443">
        <f t="shared" si="2"/>
        <v>19.95</v>
      </c>
    </row>
    <row r="26" spans="1:10" s="698" customFormat="1" x14ac:dyDescent="0.3">
      <c r="A26" s="1439" t="s">
        <v>58</v>
      </c>
      <c r="B26" s="1439" t="s">
        <v>59</v>
      </c>
      <c r="C26" s="1440" t="s">
        <v>255</v>
      </c>
      <c r="D26" s="1441">
        <v>0</v>
      </c>
      <c r="E26" s="1441">
        <v>16390.400000000001</v>
      </c>
      <c r="F26" s="1441">
        <v>4097.6000000000004</v>
      </c>
      <c r="G26" s="2070">
        <v>0</v>
      </c>
      <c r="H26" s="1442">
        <v>0</v>
      </c>
      <c r="I26" s="1444">
        <f t="shared" si="1"/>
        <v>20488</v>
      </c>
      <c r="J26" s="1443">
        <f t="shared" si="2"/>
        <v>0</v>
      </c>
    </row>
    <row r="27" spans="1:10" s="698" customFormat="1" x14ac:dyDescent="0.3">
      <c r="A27" s="1439" t="s">
        <v>60</v>
      </c>
      <c r="B27" s="1439" t="s">
        <v>61</v>
      </c>
      <c r="C27" s="1440" t="s">
        <v>253</v>
      </c>
      <c r="D27" s="1441">
        <v>0</v>
      </c>
      <c r="E27" s="1441">
        <v>17377.599999999999</v>
      </c>
      <c r="F27" s="1441">
        <v>4344.3999999999996</v>
      </c>
      <c r="G27" s="2070">
        <v>0</v>
      </c>
      <c r="H27" s="1442">
        <v>0</v>
      </c>
      <c r="I27" s="1444">
        <f t="shared" si="1"/>
        <v>21722</v>
      </c>
      <c r="J27" s="1443">
        <f t="shared" si="2"/>
        <v>0</v>
      </c>
    </row>
    <row r="28" spans="1:10" s="698" customFormat="1" x14ac:dyDescent="0.3">
      <c r="A28" s="1439" t="s">
        <v>62</v>
      </c>
      <c r="B28" s="1439" t="s">
        <v>63</v>
      </c>
      <c r="C28" s="1440" t="s">
        <v>255</v>
      </c>
      <c r="D28" s="1441">
        <v>61642.35</v>
      </c>
      <c r="E28" s="1441">
        <v>45679.53</v>
      </c>
      <c r="F28" s="1441">
        <v>11798</v>
      </c>
      <c r="G28" s="2070">
        <v>0</v>
      </c>
      <c r="H28" s="1442">
        <v>0</v>
      </c>
      <c r="I28" s="1444">
        <f t="shared" si="1"/>
        <v>119119.88</v>
      </c>
      <c r="J28" s="1443">
        <f t="shared" si="2"/>
        <v>0</v>
      </c>
    </row>
    <row r="29" spans="1:10" s="698" customFormat="1" x14ac:dyDescent="0.3">
      <c r="A29" s="1439" t="s">
        <v>64</v>
      </c>
      <c r="B29" s="1439" t="s">
        <v>65</v>
      </c>
      <c r="C29" s="1440" t="s">
        <v>254</v>
      </c>
      <c r="D29" s="1441">
        <v>107.27</v>
      </c>
      <c r="E29" s="1441">
        <v>64052.659999999996</v>
      </c>
      <c r="F29" s="1441">
        <v>15987.4</v>
      </c>
      <c r="G29" s="2070">
        <v>0</v>
      </c>
      <c r="H29" s="1442">
        <v>0</v>
      </c>
      <c r="I29" s="1444">
        <f t="shared" si="1"/>
        <v>80147.329999999987</v>
      </c>
      <c r="J29" s="1443">
        <f t="shared" si="2"/>
        <v>0</v>
      </c>
    </row>
    <row r="30" spans="1:10" s="698" customFormat="1" x14ac:dyDescent="0.3">
      <c r="A30" s="1439" t="s">
        <v>68</v>
      </c>
      <c r="B30" s="1439" t="s">
        <v>69</v>
      </c>
      <c r="C30" s="1440" t="s">
        <v>256</v>
      </c>
      <c r="D30" s="1441">
        <v>-248.5</v>
      </c>
      <c r="E30" s="1441">
        <v>45658.05</v>
      </c>
      <c r="F30" s="1441">
        <v>11474.2</v>
      </c>
      <c r="G30" s="2070">
        <v>0</v>
      </c>
      <c r="H30" s="1442">
        <v>0</v>
      </c>
      <c r="I30" s="1444">
        <f t="shared" si="1"/>
        <v>56883.75</v>
      </c>
      <c r="J30" s="1443">
        <f t="shared" si="2"/>
        <v>0</v>
      </c>
    </row>
    <row r="31" spans="1:10" s="698" customFormat="1" x14ac:dyDescent="0.3">
      <c r="A31" s="1439" t="s">
        <v>70</v>
      </c>
      <c r="B31" s="1439" t="s">
        <v>71</v>
      </c>
      <c r="C31" s="1440" t="s">
        <v>252</v>
      </c>
      <c r="D31" s="1441">
        <v>0</v>
      </c>
      <c r="E31" s="1441">
        <v>159633.60000000001</v>
      </c>
      <c r="F31" s="1441">
        <v>39908.400000000001</v>
      </c>
      <c r="G31" s="2070">
        <v>0</v>
      </c>
      <c r="H31" s="1442">
        <v>0</v>
      </c>
      <c r="I31" s="1444">
        <f t="shared" si="1"/>
        <v>199542</v>
      </c>
      <c r="J31" s="1443">
        <f t="shared" si="2"/>
        <v>0</v>
      </c>
    </row>
    <row r="32" spans="1:10" s="698" customFormat="1" x14ac:dyDescent="0.3">
      <c r="A32" s="1439" t="s">
        <v>72</v>
      </c>
      <c r="B32" s="1439" t="s">
        <v>73</v>
      </c>
      <c r="C32" s="1440" t="s">
        <v>254</v>
      </c>
      <c r="D32" s="1441">
        <v>0</v>
      </c>
      <c r="E32" s="1441">
        <v>45553.599999999999</v>
      </c>
      <c r="F32" s="1441">
        <v>11388.4</v>
      </c>
      <c r="G32" s="2070">
        <v>0</v>
      </c>
      <c r="H32" s="1442">
        <v>0</v>
      </c>
      <c r="I32" s="1444">
        <f t="shared" si="1"/>
        <v>56942</v>
      </c>
      <c r="J32" s="1443">
        <f t="shared" si="2"/>
        <v>0</v>
      </c>
    </row>
    <row r="33" spans="1:10" s="698" customFormat="1" x14ac:dyDescent="0.3">
      <c r="A33" s="1439" t="s">
        <v>74</v>
      </c>
      <c r="B33" s="1439" t="s">
        <v>525</v>
      </c>
      <c r="C33" s="1440" t="s">
        <v>255</v>
      </c>
      <c r="D33" s="1441">
        <v>375439.8</v>
      </c>
      <c r="E33" s="1441">
        <v>1127595.94</v>
      </c>
      <c r="F33" s="1441">
        <v>297463.76</v>
      </c>
      <c r="G33" s="2070">
        <v>-0.03</v>
      </c>
      <c r="H33" s="1442">
        <v>0</v>
      </c>
      <c r="I33" s="1444">
        <f t="shared" si="1"/>
        <v>1800499.47</v>
      </c>
      <c r="J33" s="1443">
        <f t="shared" si="2"/>
        <v>-0.03</v>
      </c>
    </row>
    <row r="34" spans="1:10" s="698" customFormat="1" x14ac:dyDescent="0.3">
      <c r="A34" s="1439" t="s">
        <v>76</v>
      </c>
      <c r="B34" s="1439" t="s">
        <v>77</v>
      </c>
      <c r="C34" s="1440" t="s">
        <v>255</v>
      </c>
      <c r="D34" s="1441">
        <v>0</v>
      </c>
      <c r="E34" s="1441">
        <v>86788.26999999999</v>
      </c>
      <c r="F34" s="1441">
        <v>24184.129999999997</v>
      </c>
      <c r="G34" s="2070">
        <v>7045.52</v>
      </c>
      <c r="H34" s="1442">
        <v>21995.56</v>
      </c>
      <c r="I34" s="1444">
        <f t="shared" si="1"/>
        <v>140013.48000000001</v>
      </c>
      <c r="J34" s="1443">
        <f t="shared" si="2"/>
        <v>29041.08</v>
      </c>
    </row>
    <row r="35" spans="1:10" s="698" customFormat="1" x14ac:dyDescent="0.3">
      <c r="A35" s="1439" t="s">
        <v>78</v>
      </c>
      <c r="B35" s="1439" t="s">
        <v>79</v>
      </c>
      <c r="C35" s="1440" t="s">
        <v>256</v>
      </c>
      <c r="D35" s="1441">
        <v>0</v>
      </c>
      <c r="E35" s="1441">
        <v>32553.599999999999</v>
      </c>
      <c r="F35" s="1441">
        <v>8138.4</v>
      </c>
      <c r="G35" s="2070">
        <v>0</v>
      </c>
      <c r="H35" s="1442">
        <v>0</v>
      </c>
      <c r="I35" s="1444">
        <f t="shared" si="1"/>
        <v>40692</v>
      </c>
      <c r="J35" s="1443">
        <f t="shared" si="2"/>
        <v>0</v>
      </c>
    </row>
    <row r="36" spans="1:10" s="698" customFormat="1" x14ac:dyDescent="0.3">
      <c r="A36" s="1439" t="s">
        <v>80</v>
      </c>
      <c r="B36" s="1439" t="s">
        <v>81</v>
      </c>
      <c r="C36" s="1440" t="s">
        <v>254</v>
      </c>
      <c r="D36" s="1441">
        <v>0</v>
      </c>
      <c r="E36" s="1441">
        <v>12536.96</v>
      </c>
      <c r="F36" s="1441">
        <v>3625.16</v>
      </c>
      <c r="G36" s="2070">
        <v>-0.12</v>
      </c>
      <c r="H36" s="1442">
        <v>0</v>
      </c>
      <c r="I36" s="1444">
        <f t="shared" si="1"/>
        <v>16161.999999999998</v>
      </c>
      <c r="J36" s="1443">
        <f t="shared" si="2"/>
        <v>-0.12</v>
      </c>
    </row>
    <row r="37" spans="1:10" s="698" customFormat="1" x14ac:dyDescent="0.3">
      <c r="A37" s="1439" t="s">
        <v>84</v>
      </c>
      <c r="B37" s="1439" t="s">
        <v>296</v>
      </c>
      <c r="C37" s="1440" t="s">
        <v>253</v>
      </c>
      <c r="D37" s="1441">
        <v>-306.02</v>
      </c>
      <c r="E37" s="1441">
        <v>126339.58</v>
      </c>
      <c r="F37" s="1441">
        <v>31658.400000000001</v>
      </c>
      <c r="G37" s="2070">
        <v>0</v>
      </c>
      <c r="H37" s="1442">
        <v>0</v>
      </c>
      <c r="I37" s="1444">
        <f t="shared" ref="I37:I68" si="3">SUM(D37:H37)</f>
        <v>157691.96</v>
      </c>
      <c r="J37" s="1443">
        <f t="shared" ref="J37:J68" si="4">G37+H37</f>
        <v>0</v>
      </c>
    </row>
    <row r="38" spans="1:10" s="698" customFormat="1" x14ac:dyDescent="0.3">
      <c r="A38" s="1439" t="s">
        <v>86</v>
      </c>
      <c r="B38" s="1439" t="s">
        <v>87</v>
      </c>
      <c r="C38" s="1440" t="s">
        <v>255</v>
      </c>
      <c r="D38" s="1441">
        <v>-0.37</v>
      </c>
      <c r="E38" s="1441">
        <v>60138.85</v>
      </c>
      <c r="F38" s="1441">
        <v>15034.8</v>
      </c>
      <c r="G38" s="2070">
        <v>7782.97</v>
      </c>
      <c r="H38" s="1442">
        <v>0</v>
      </c>
      <c r="I38" s="1444">
        <f t="shared" si="3"/>
        <v>82956.25</v>
      </c>
      <c r="J38" s="1443">
        <f t="shared" si="4"/>
        <v>7782.97</v>
      </c>
    </row>
    <row r="39" spans="1:10" s="698" customFormat="1" x14ac:dyDescent="0.3">
      <c r="A39" s="1439" t="s">
        <v>92</v>
      </c>
      <c r="B39" s="1439" t="s">
        <v>93</v>
      </c>
      <c r="C39" s="1440" t="s">
        <v>256</v>
      </c>
      <c r="D39" s="1441">
        <v>0</v>
      </c>
      <c r="E39" s="1441">
        <v>9167.2000000000007</v>
      </c>
      <c r="F39" s="1441">
        <v>2291.8000000000002</v>
      </c>
      <c r="G39" s="2070">
        <v>0</v>
      </c>
      <c r="H39" s="1442">
        <v>0</v>
      </c>
      <c r="I39" s="1444">
        <f t="shared" si="3"/>
        <v>11459</v>
      </c>
      <c r="J39" s="1443">
        <f t="shared" si="4"/>
        <v>0</v>
      </c>
    </row>
    <row r="40" spans="1:10" s="698" customFormat="1" x14ac:dyDescent="0.3">
      <c r="A40" s="1439" t="s">
        <v>94</v>
      </c>
      <c r="B40" s="1439" t="s">
        <v>95</v>
      </c>
      <c r="C40" s="1440" t="s">
        <v>252</v>
      </c>
      <c r="D40" s="1441">
        <v>0</v>
      </c>
      <c r="E40" s="1441">
        <v>147574.39999999999</v>
      </c>
      <c r="F40" s="1441">
        <v>36893.599999999999</v>
      </c>
      <c r="G40" s="2070">
        <v>0</v>
      </c>
      <c r="H40" s="1442">
        <v>0</v>
      </c>
      <c r="I40" s="1444">
        <f t="shared" si="3"/>
        <v>184468</v>
      </c>
      <c r="J40" s="1443">
        <f t="shared" si="4"/>
        <v>0</v>
      </c>
    </row>
    <row r="41" spans="1:10" s="698" customFormat="1" x14ac:dyDescent="0.3">
      <c r="A41" s="1439" t="s">
        <v>96</v>
      </c>
      <c r="B41" s="1439" t="s">
        <v>97</v>
      </c>
      <c r="C41" s="1440" t="s">
        <v>254</v>
      </c>
      <c r="D41" s="1441">
        <v>0</v>
      </c>
      <c r="E41" s="1441">
        <v>19419.2</v>
      </c>
      <c r="F41" s="1441">
        <v>4854.8</v>
      </c>
      <c r="G41" s="2070">
        <v>227473.33</v>
      </c>
      <c r="H41" s="1442">
        <v>0</v>
      </c>
      <c r="I41" s="1444">
        <f t="shared" si="3"/>
        <v>251747.33</v>
      </c>
      <c r="J41" s="1443">
        <f t="shared" si="4"/>
        <v>227473.33</v>
      </c>
    </row>
    <row r="42" spans="1:10" s="698" customFormat="1" x14ac:dyDescent="0.3">
      <c r="A42" s="1439" t="s">
        <v>98</v>
      </c>
      <c r="B42" s="1439" t="s">
        <v>99</v>
      </c>
      <c r="C42" s="1440" t="s">
        <v>256</v>
      </c>
      <c r="D42" s="1441">
        <v>0</v>
      </c>
      <c r="E42" s="1441">
        <v>131600.79999999999</v>
      </c>
      <c r="F42" s="1441">
        <v>32900.199999999997</v>
      </c>
      <c r="G42" s="2070">
        <v>0</v>
      </c>
      <c r="H42" s="1442">
        <v>0</v>
      </c>
      <c r="I42" s="1444">
        <f t="shared" si="3"/>
        <v>164501</v>
      </c>
      <c r="J42" s="1443">
        <f t="shared" si="4"/>
        <v>0</v>
      </c>
    </row>
    <row r="43" spans="1:10" s="698" customFormat="1" x14ac:dyDescent="0.3">
      <c r="A43" s="1439" t="s">
        <v>100</v>
      </c>
      <c r="B43" s="1439" t="s">
        <v>101</v>
      </c>
      <c r="C43" s="1440" t="s">
        <v>255</v>
      </c>
      <c r="D43" s="1441">
        <v>0</v>
      </c>
      <c r="E43" s="1441">
        <v>7831.2</v>
      </c>
      <c r="F43" s="1441">
        <v>1957.8</v>
      </c>
      <c r="G43" s="2070">
        <v>0</v>
      </c>
      <c r="H43" s="1442">
        <v>0</v>
      </c>
      <c r="I43" s="1444">
        <f t="shared" si="3"/>
        <v>9789</v>
      </c>
      <c r="J43" s="1443">
        <f t="shared" si="4"/>
        <v>0</v>
      </c>
    </row>
    <row r="44" spans="1:10" s="698" customFormat="1" x14ac:dyDescent="0.3">
      <c r="A44" s="1439" t="s">
        <v>102</v>
      </c>
      <c r="B44" s="1439" t="s">
        <v>103</v>
      </c>
      <c r="C44" s="1440" t="s">
        <v>252</v>
      </c>
      <c r="D44" s="1441">
        <v>0</v>
      </c>
      <c r="E44" s="1441">
        <v>44071.199999999997</v>
      </c>
      <c r="F44" s="1441">
        <v>11017.8</v>
      </c>
      <c r="G44" s="2070">
        <v>0</v>
      </c>
      <c r="H44" s="1442">
        <v>0</v>
      </c>
      <c r="I44" s="1444">
        <f t="shared" si="3"/>
        <v>55089</v>
      </c>
      <c r="J44" s="1443">
        <f t="shared" si="4"/>
        <v>0</v>
      </c>
    </row>
    <row r="45" spans="1:10" s="698" customFormat="1" x14ac:dyDescent="0.3">
      <c r="A45" s="1439" t="s">
        <v>104</v>
      </c>
      <c r="B45" s="1439" t="s">
        <v>297</v>
      </c>
      <c r="C45" s="1440" t="s">
        <v>253</v>
      </c>
      <c r="D45" s="1441">
        <v>-5.0999999999999996</v>
      </c>
      <c r="E45" s="1441">
        <v>152643.1</v>
      </c>
      <c r="F45" s="1441">
        <v>38162</v>
      </c>
      <c r="G45" s="2070">
        <v>0</v>
      </c>
      <c r="H45" s="1442">
        <v>0</v>
      </c>
      <c r="I45" s="1444">
        <f t="shared" si="3"/>
        <v>190800</v>
      </c>
      <c r="J45" s="1443">
        <f t="shared" si="4"/>
        <v>0</v>
      </c>
    </row>
    <row r="46" spans="1:10" s="698" customFormat="1" x14ac:dyDescent="0.3">
      <c r="A46" s="1439" t="s">
        <v>108</v>
      </c>
      <c r="B46" s="1439" t="s">
        <v>109</v>
      </c>
      <c r="C46" s="1440" t="s">
        <v>254</v>
      </c>
      <c r="D46" s="1441">
        <v>0</v>
      </c>
      <c r="E46" s="1441">
        <v>56628.5</v>
      </c>
      <c r="F46" s="1441">
        <v>14335.8</v>
      </c>
      <c r="G46" s="2070">
        <v>0</v>
      </c>
      <c r="H46" s="1442">
        <v>0</v>
      </c>
      <c r="I46" s="1444">
        <f t="shared" si="3"/>
        <v>70964.3</v>
      </c>
      <c r="J46" s="1443">
        <f t="shared" si="4"/>
        <v>0</v>
      </c>
    </row>
    <row r="47" spans="1:10" s="698" customFormat="1" x14ac:dyDescent="0.3">
      <c r="A47" s="1439" t="s">
        <v>110</v>
      </c>
      <c r="B47" s="1439" t="s">
        <v>111</v>
      </c>
      <c r="C47" s="1440" t="s">
        <v>254</v>
      </c>
      <c r="D47" s="1441">
        <v>596708.05000000005</v>
      </c>
      <c r="E47" s="1441">
        <v>662050.44000000006</v>
      </c>
      <c r="F47" s="1441">
        <v>188133.18</v>
      </c>
      <c r="G47" s="2070">
        <v>-0.06</v>
      </c>
      <c r="H47" s="1442">
        <v>0</v>
      </c>
      <c r="I47" s="1444">
        <f t="shared" si="3"/>
        <v>1446891.61</v>
      </c>
      <c r="J47" s="1443">
        <f t="shared" si="4"/>
        <v>-0.06</v>
      </c>
    </row>
    <row r="48" spans="1:10" s="698" customFormat="1" x14ac:dyDescent="0.3">
      <c r="A48" s="1439" t="s">
        <v>112</v>
      </c>
      <c r="B48" s="1439" t="s">
        <v>288</v>
      </c>
      <c r="C48" s="1440" t="s">
        <v>253</v>
      </c>
      <c r="D48" s="1441">
        <v>-91.8</v>
      </c>
      <c r="E48" s="1441">
        <v>196714.19999999998</v>
      </c>
      <c r="F48" s="1441">
        <v>49200.6</v>
      </c>
      <c r="G48" s="2070">
        <v>0</v>
      </c>
      <c r="H48" s="1442">
        <v>0</v>
      </c>
      <c r="I48" s="1444">
        <f t="shared" si="3"/>
        <v>245823</v>
      </c>
      <c r="J48" s="1443">
        <f t="shared" si="4"/>
        <v>0</v>
      </c>
    </row>
    <row r="49" spans="1:10" s="698" customFormat="1" x14ac:dyDescent="0.3">
      <c r="A49" s="1439" t="s">
        <v>114</v>
      </c>
      <c r="B49" s="1439" t="s">
        <v>115</v>
      </c>
      <c r="C49" s="1440" t="s">
        <v>253</v>
      </c>
      <c r="D49" s="1441"/>
      <c r="E49" s="1441"/>
      <c r="F49" s="1441"/>
      <c r="G49" s="2070"/>
      <c r="H49" s="1442"/>
      <c r="I49" s="1444">
        <f t="shared" si="3"/>
        <v>0</v>
      </c>
      <c r="J49" s="1443">
        <f t="shared" si="4"/>
        <v>0</v>
      </c>
    </row>
    <row r="50" spans="1:10" s="698" customFormat="1" x14ac:dyDescent="0.3">
      <c r="A50" s="1439" t="s">
        <v>118</v>
      </c>
      <c r="B50" s="1439" t="s">
        <v>119</v>
      </c>
      <c r="C50" s="1440" t="s">
        <v>252</v>
      </c>
      <c r="D50" s="1441">
        <v>-456.19</v>
      </c>
      <c r="E50" s="1441">
        <v>63999.270000000004</v>
      </c>
      <c r="F50" s="1441">
        <v>16777.45</v>
      </c>
      <c r="G50" s="2070">
        <v>0.01</v>
      </c>
      <c r="H50" s="1442">
        <v>0</v>
      </c>
      <c r="I50" s="1444">
        <f t="shared" si="3"/>
        <v>80320.539999999994</v>
      </c>
      <c r="J50" s="1443">
        <f t="shared" si="4"/>
        <v>0.01</v>
      </c>
    </row>
    <row r="51" spans="1:10" s="698" customFormat="1" x14ac:dyDescent="0.3">
      <c r="A51" s="1439" t="s">
        <v>120</v>
      </c>
      <c r="B51" s="1439" t="s">
        <v>121</v>
      </c>
      <c r="C51" s="1440" t="s">
        <v>252</v>
      </c>
      <c r="D51" s="1441">
        <v>-0.26</v>
      </c>
      <c r="E51" s="1441">
        <v>85628.45</v>
      </c>
      <c r="F51" s="1441">
        <v>23625.3</v>
      </c>
      <c r="G51" s="2070">
        <v>0.01</v>
      </c>
      <c r="H51" s="1442">
        <v>0</v>
      </c>
      <c r="I51" s="1444">
        <f t="shared" si="3"/>
        <v>109253.5</v>
      </c>
      <c r="J51" s="1443">
        <f t="shared" si="4"/>
        <v>0.01</v>
      </c>
    </row>
    <row r="52" spans="1:10" s="698" customFormat="1" x14ac:dyDescent="0.3">
      <c r="A52" s="1439" t="s">
        <v>122</v>
      </c>
      <c r="B52" s="1439" t="s">
        <v>259</v>
      </c>
      <c r="C52" s="1440" t="s">
        <v>254</v>
      </c>
      <c r="D52" s="1441">
        <v>0</v>
      </c>
      <c r="E52" s="1441">
        <v>4397.6000000000004</v>
      </c>
      <c r="F52" s="1441">
        <v>1099.4000000000001</v>
      </c>
      <c r="G52" s="2070">
        <v>0</v>
      </c>
      <c r="H52" s="1442">
        <v>0</v>
      </c>
      <c r="I52" s="1444">
        <f t="shared" si="3"/>
        <v>5497</v>
      </c>
      <c r="J52" s="1443">
        <f t="shared" si="4"/>
        <v>0</v>
      </c>
    </row>
    <row r="53" spans="1:10" s="698" customFormat="1" x14ac:dyDescent="0.3">
      <c r="A53" s="1439" t="s">
        <v>124</v>
      </c>
      <c r="B53" s="1439" t="s">
        <v>125</v>
      </c>
      <c r="C53" s="1440" t="s">
        <v>255</v>
      </c>
      <c r="D53" s="1441">
        <v>0</v>
      </c>
      <c r="E53" s="1441">
        <v>6174.4</v>
      </c>
      <c r="F53" s="1441">
        <v>1543.6</v>
      </c>
      <c r="G53" s="2070">
        <v>0</v>
      </c>
      <c r="H53" s="1442">
        <v>0</v>
      </c>
      <c r="I53" s="1444">
        <f t="shared" si="3"/>
        <v>7718</v>
      </c>
      <c r="J53" s="1443">
        <f t="shared" si="4"/>
        <v>0</v>
      </c>
    </row>
    <row r="54" spans="1:10" s="698" customFormat="1" x14ac:dyDescent="0.3">
      <c r="A54" s="1439" t="s">
        <v>126</v>
      </c>
      <c r="B54" s="1439" t="s">
        <v>127</v>
      </c>
      <c r="C54" s="1440" t="s">
        <v>254</v>
      </c>
      <c r="D54" s="1441">
        <v>0</v>
      </c>
      <c r="E54" s="1441">
        <v>35754.559999999998</v>
      </c>
      <c r="F54" s="1441">
        <v>9429.56</v>
      </c>
      <c r="G54" s="2070">
        <v>-0.12</v>
      </c>
      <c r="H54" s="1442">
        <v>0</v>
      </c>
      <c r="I54" s="1444">
        <f t="shared" si="3"/>
        <v>45183.999999999993</v>
      </c>
      <c r="J54" s="1443">
        <f t="shared" si="4"/>
        <v>-0.12</v>
      </c>
    </row>
    <row r="55" spans="1:10" s="698" customFormat="1" x14ac:dyDescent="0.3">
      <c r="A55" s="1439" t="s">
        <v>128</v>
      </c>
      <c r="B55" s="1439" t="s">
        <v>129</v>
      </c>
      <c r="C55" s="1440" t="s">
        <v>254</v>
      </c>
      <c r="D55" s="1441">
        <v>-255</v>
      </c>
      <c r="E55" s="1441">
        <v>35043.800000000003</v>
      </c>
      <c r="F55" s="1441">
        <v>8822.2000000000007</v>
      </c>
      <c r="G55" s="2070">
        <v>0</v>
      </c>
      <c r="H55" s="1442">
        <v>0</v>
      </c>
      <c r="I55" s="1444">
        <f t="shared" si="3"/>
        <v>43611</v>
      </c>
      <c r="J55" s="1443">
        <f t="shared" si="4"/>
        <v>0</v>
      </c>
    </row>
    <row r="56" spans="1:10" s="698" customFormat="1" x14ac:dyDescent="0.3">
      <c r="A56" s="1439" t="s">
        <v>130</v>
      </c>
      <c r="B56" s="1439" t="s">
        <v>131</v>
      </c>
      <c r="C56" s="1440" t="s">
        <v>256</v>
      </c>
      <c r="D56" s="1441">
        <v>-226.94</v>
      </c>
      <c r="E56" s="1441">
        <v>412342.76999999996</v>
      </c>
      <c r="F56" s="1441">
        <v>103140.2</v>
      </c>
      <c r="G56" s="2070">
        <v>0</v>
      </c>
      <c r="H56" s="1442">
        <v>0</v>
      </c>
      <c r="I56" s="1444">
        <f t="shared" si="3"/>
        <v>515256.02999999997</v>
      </c>
      <c r="J56" s="1443">
        <f t="shared" si="4"/>
        <v>0</v>
      </c>
    </row>
    <row r="57" spans="1:10" s="698" customFormat="1" x14ac:dyDescent="0.3">
      <c r="A57" s="1439" t="s">
        <v>132</v>
      </c>
      <c r="B57" s="1439" t="s">
        <v>133</v>
      </c>
      <c r="C57" s="1440" t="s">
        <v>255</v>
      </c>
      <c r="D57" s="1441">
        <v>7450</v>
      </c>
      <c r="E57" s="1441">
        <v>114197.95000000001</v>
      </c>
      <c r="F57" s="1441">
        <v>29337.53</v>
      </c>
      <c r="G57" s="2070">
        <v>0</v>
      </c>
      <c r="H57" s="1442">
        <v>0</v>
      </c>
      <c r="I57" s="1444">
        <f t="shared" si="3"/>
        <v>150985.48000000001</v>
      </c>
      <c r="J57" s="1443">
        <f t="shared" si="4"/>
        <v>0</v>
      </c>
    </row>
    <row r="58" spans="1:10" s="698" customFormat="1" x14ac:dyDescent="0.3">
      <c r="A58" s="1439" t="s">
        <v>134</v>
      </c>
      <c r="B58" s="1439" t="s">
        <v>135</v>
      </c>
      <c r="C58" s="1440" t="s">
        <v>255</v>
      </c>
      <c r="D58" s="1441">
        <v>-353.12</v>
      </c>
      <c r="E58" s="1441">
        <v>29934.32</v>
      </c>
      <c r="F58" s="1441">
        <v>7568.4</v>
      </c>
      <c r="G58" s="2070">
        <v>0</v>
      </c>
      <c r="H58" s="1442">
        <v>0</v>
      </c>
      <c r="I58" s="1444">
        <f t="shared" si="3"/>
        <v>37149.599999999999</v>
      </c>
      <c r="J58" s="1443">
        <f t="shared" si="4"/>
        <v>0</v>
      </c>
    </row>
    <row r="59" spans="1:10" s="698" customFormat="1" x14ac:dyDescent="0.3">
      <c r="A59" s="1439" t="s">
        <v>136</v>
      </c>
      <c r="B59" s="1439" t="s">
        <v>137</v>
      </c>
      <c r="C59" s="1440" t="s">
        <v>254</v>
      </c>
      <c r="D59" s="1441">
        <v>0</v>
      </c>
      <c r="E59" s="1441">
        <v>74374.399999999994</v>
      </c>
      <c r="F59" s="1441">
        <v>18593.599999999999</v>
      </c>
      <c r="G59" s="2070">
        <v>0</v>
      </c>
      <c r="H59" s="1442">
        <v>0</v>
      </c>
      <c r="I59" s="1444">
        <f t="shared" si="3"/>
        <v>92968</v>
      </c>
      <c r="J59" s="1443">
        <f t="shared" si="4"/>
        <v>0</v>
      </c>
    </row>
    <row r="60" spans="1:10" s="698" customFormat="1" x14ac:dyDescent="0.3">
      <c r="A60" s="1439" t="s">
        <v>140</v>
      </c>
      <c r="B60" s="1439" t="s">
        <v>141</v>
      </c>
      <c r="C60" s="1440" t="s">
        <v>255</v>
      </c>
      <c r="D60" s="1441">
        <v>0</v>
      </c>
      <c r="E60" s="1441">
        <v>13948.8</v>
      </c>
      <c r="F60" s="1441">
        <v>3487.2</v>
      </c>
      <c r="G60" s="2070">
        <v>500</v>
      </c>
      <c r="H60" s="1442">
        <v>0</v>
      </c>
      <c r="I60" s="1444">
        <f t="shared" si="3"/>
        <v>17936</v>
      </c>
      <c r="J60" s="1443">
        <f t="shared" si="4"/>
        <v>500</v>
      </c>
    </row>
    <row r="61" spans="1:10" s="698" customFormat="1" x14ac:dyDescent="0.3">
      <c r="A61" s="1439" t="s">
        <v>146</v>
      </c>
      <c r="B61" s="1439" t="s">
        <v>147</v>
      </c>
      <c r="C61" s="1440" t="s">
        <v>252</v>
      </c>
      <c r="D61" s="1441">
        <v>0</v>
      </c>
      <c r="E61" s="1441">
        <v>11830.4</v>
      </c>
      <c r="F61" s="1441">
        <v>2957.6</v>
      </c>
      <c r="G61" s="2070">
        <v>0</v>
      </c>
      <c r="H61" s="1442">
        <v>0</v>
      </c>
      <c r="I61" s="1444">
        <f t="shared" si="3"/>
        <v>14788</v>
      </c>
      <c r="J61" s="1443">
        <f t="shared" si="4"/>
        <v>0</v>
      </c>
    </row>
    <row r="62" spans="1:10" s="698" customFormat="1" x14ac:dyDescent="0.3">
      <c r="A62" s="1439" t="s">
        <v>148</v>
      </c>
      <c r="B62" s="1439" t="s">
        <v>149</v>
      </c>
      <c r="C62" s="1440" t="s">
        <v>253</v>
      </c>
      <c r="D62" s="1441">
        <v>5735.73</v>
      </c>
      <c r="E62" s="1441">
        <v>166235.06999999998</v>
      </c>
      <c r="F62" s="1441">
        <v>41568.199999999997</v>
      </c>
      <c r="G62" s="2070">
        <v>0</v>
      </c>
      <c r="H62" s="1442">
        <v>0</v>
      </c>
      <c r="I62" s="1444">
        <f t="shared" si="3"/>
        <v>213539</v>
      </c>
      <c r="J62" s="1443">
        <f t="shared" si="4"/>
        <v>0</v>
      </c>
    </row>
    <row r="63" spans="1:10" s="698" customFormat="1" x14ac:dyDescent="0.3">
      <c r="A63" s="1439" t="s">
        <v>150</v>
      </c>
      <c r="B63" s="1439" t="s">
        <v>151</v>
      </c>
      <c r="C63" s="1440" t="s">
        <v>254</v>
      </c>
      <c r="D63" s="1441">
        <v>0</v>
      </c>
      <c r="E63" s="1441">
        <v>26803.200000000001</v>
      </c>
      <c r="F63" s="1441">
        <v>6700.8</v>
      </c>
      <c r="G63" s="2070">
        <v>0</v>
      </c>
      <c r="H63" s="1442">
        <v>0</v>
      </c>
      <c r="I63" s="1444">
        <f t="shared" si="3"/>
        <v>33504</v>
      </c>
      <c r="J63" s="1443">
        <f t="shared" si="4"/>
        <v>0</v>
      </c>
    </row>
    <row r="64" spans="1:10" s="698" customFormat="1" x14ac:dyDescent="0.3">
      <c r="A64" s="1439" t="s">
        <v>152</v>
      </c>
      <c r="B64" s="1439" t="s">
        <v>153</v>
      </c>
      <c r="C64" s="1440" t="s">
        <v>256</v>
      </c>
      <c r="D64" s="1441">
        <v>-611.54999999999995</v>
      </c>
      <c r="E64" s="1441">
        <v>137696.4</v>
      </c>
      <c r="F64" s="1441">
        <v>34571</v>
      </c>
      <c r="G64" s="2070">
        <v>0</v>
      </c>
      <c r="H64" s="1442">
        <v>0</v>
      </c>
      <c r="I64" s="1444">
        <f t="shared" si="3"/>
        <v>171655.85</v>
      </c>
      <c r="J64" s="1443">
        <f t="shared" si="4"/>
        <v>0</v>
      </c>
    </row>
    <row r="65" spans="1:10" s="698" customFormat="1" x14ac:dyDescent="0.3">
      <c r="A65" s="1439" t="s">
        <v>154</v>
      </c>
      <c r="B65" s="1439" t="s">
        <v>155</v>
      </c>
      <c r="C65" s="1440" t="s">
        <v>253</v>
      </c>
      <c r="D65" s="1441">
        <v>0</v>
      </c>
      <c r="E65" s="1441">
        <v>53344.800000000003</v>
      </c>
      <c r="F65" s="1441">
        <v>13336.2</v>
      </c>
      <c r="G65" s="2070">
        <v>0</v>
      </c>
      <c r="H65" s="1442">
        <v>0</v>
      </c>
      <c r="I65" s="1444">
        <f t="shared" si="3"/>
        <v>66681</v>
      </c>
      <c r="J65" s="1443">
        <f t="shared" si="4"/>
        <v>0</v>
      </c>
    </row>
    <row r="66" spans="1:10" s="698" customFormat="1" x14ac:dyDescent="0.3">
      <c r="A66" s="1439" t="s">
        <v>156</v>
      </c>
      <c r="B66" s="1439" t="s">
        <v>157</v>
      </c>
      <c r="C66" s="1440" t="s">
        <v>254</v>
      </c>
      <c r="D66" s="1441">
        <v>0</v>
      </c>
      <c r="E66" s="1441">
        <v>4197.6000000000004</v>
      </c>
      <c r="F66" s="1441">
        <v>1049.4000000000001</v>
      </c>
      <c r="G66" s="2070">
        <v>0</v>
      </c>
      <c r="H66" s="1442">
        <v>0</v>
      </c>
      <c r="I66" s="1444">
        <f t="shared" si="3"/>
        <v>5247</v>
      </c>
      <c r="J66" s="1443">
        <f t="shared" si="4"/>
        <v>0</v>
      </c>
    </row>
    <row r="67" spans="1:10" s="698" customFormat="1" x14ac:dyDescent="0.3">
      <c r="A67" s="1439" t="s">
        <v>162</v>
      </c>
      <c r="B67" s="1439" t="s">
        <v>163</v>
      </c>
      <c r="C67" s="1440" t="s">
        <v>252</v>
      </c>
      <c r="D67" s="1441">
        <v>0</v>
      </c>
      <c r="E67" s="1441">
        <v>59310.400000000001</v>
      </c>
      <c r="F67" s="1441">
        <v>14827.6</v>
      </c>
      <c r="G67" s="2070">
        <v>0</v>
      </c>
      <c r="H67" s="1442">
        <v>0</v>
      </c>
      <c r="I67" s="1444">
        <f t="shared" si="3"/>
        <v>74138</v>
      </c>
      <c r="J67" s="1443">
        <f t="shared" si="4"/>
        <v>0</v>
      </c>
    </row>
    <row r="68" spans="1:10" s="698" customFormat="1" x14ac:dyDescent="0.3">
      <c r="A68" s="1439" t="s">
        <v>164</v>
      </c>
      <c r="B68" s="1439" t="s">
        <v>165</v>
      </c>
      <c r="C68" s="1440" t="s">
        <v>254</v>
      </c>
      <c r="D68" s="1441">
        <v>-439.78</v>
      </c>
      <c r="E68" s="1441">
        <v>13379.859999999999</v>
      </c>
      <c r="F68" s="1441">
        <v>3450.6</v>
      </c>
      <c r="G68" s="2070">
        <v>0</v>
      </c>
      <c r="H68" s="1442">
        <v>0</v>
      </c>
      <c r="I68" s="1444">
        <f t="shared" si="3"/>
        <v>16390.679999999997</v>
      </c>
      <c r="J68" s="1443">
        <f t="shared" si="4"/>
        <v>0</v>
      </c>
    </row>
    <row r="69" spans="1:10" s="698" customFormat="1" x14ac:dyDescent="0.3">
      <c r="A69" s="1439" t="s">
        <v>168</v>
      </c>
      <c r="B69" s="1439" t="s">
        <v>169</v>
      </c>
      <c r="C69" s="1440" t="s">
        <v>254</v>
      </c>
      <c r="D69" s="1441">
        <v>0</v>
      </c>
      <c r="E69" s="1441">
        <v>70476</v>
      </c>
      <c r="F69" s="1441">
        <v>17619</v>
      </c>
      <c r="G69" s="2070">
        <v>0</v>
      </c>
      <c r="H69" s="1442">
        <v>0</v>
      </c>
      <c r="I69" s="1444">
        <f t="shared" ref="I69:I100" si="5">SUM(D69:H69)</f>
        <v>88095</v>
      </c>
      <c r="J69" s="1443">
        <f t="shared" ref="J69:J100" si="6">G69+H69</f>
        <v>0</v>
      </c>
    </row>
    <row r="70" spans="1:10" s="698" customFormat="1" x14ac:dyDescent="0.3">
      <c r="A70" s="1439" t="s">
        <v>170</v>
      </c>
      <c r="B70" s="1439" t="s">
        <v>171</v>
      </c>
      <c r="C70" s="1440" t="s">
        <v>255</v>
      </c>
      <c r="D70" s="1441">
        <v>-53.55</v>
      </c>
      <c r="E70" s="1441">
        <v>48853.350000000006</v>
      </c>
      <c r="F70" s="1441">
        <v>12226.2</v>
      </c>
      <c r="G70" s="2070">
        <v>0</v>
      </c>
      <c r="H70" s="1442">
        <v>0</v>
      </c>
      <c r="I70" s="1444">
        <f t="shared" si="5"/>
        <v>61026</v>
      </c>
      <c r="J70" s="1443">
        <f t="shared" si="6"/>
        <v>0</v>
      </c>
    </row>
    <row r="71" spans="1:10" s="698" customFormat="1" x14ac:dyDescent="0.3">
      <c r="A71" s="1439" t="s">
        <v>172</v>
      </c>
      <c r="B71" s="1439" t="s">
        <v>173</v>
      </c>
      <c r="C71" s="1440" t="s">
        <v>255</v>
      </c>
      <c r="D71" s="1441">
        <v>-19.38</v>
      </c>
      <c r="E71" s="1441">
        <v>66675.78</v>
      </c>
      <c r="F71" s="1441">
        <v>16673.599999999999</v>
      </c>
      <c r="G71" s="2070">
        <v>0</v>
      </c>
      <c r="H71" s="1442">
        <v>0</v>
      </c>
      <c r="I71" s="1444">
        <f t="shared" si="5"/>
        <v>83330</v>
      </c>
      <c r="J71" s="1443">
        <f t="shared" si="6"/>
        <v>0</v>
      </c>
    </row>
    <row r="72" spans="1:10" s="698" customFormat="1" x14ac:dyDescent="0.3">
      <c r="A72" s="1439" t="s">
        <v>174</v>
      </c>
      <c r="B72" s="1439" t="s">
        <v>175</v>
      </c>
      <c r="C72" s="1440" t="s">
        <v>256</v>
      </c>
      <c r="D72" s="1441">
        <v>0</v>
      </c>
      <c r="E72" s="1441">
        <v>62031.199999999997</v>
      </c>
      <c r="F72" s="1441">
        <v>15507.8</v>
      </c>
      <c r="G72" s="2070">
        <v>0</v>
      </c>
      <c r="H72" s="1442">
        <v>0</v>
      </c>
      <c r="I72" s="1444">
        <f t="shared" si="5"/>
        <v>77539</v>
      </c>
      <c r="J72" s="1443">
        <f t="shared" si="6"/>
        <v>0</v>
      </c>
    </row>
    <row r="73" spans="1:10" s="698" customFormat="1" x14ac:dyDescent="0.3">
      <c r="A73" s="1439" t="s">
        <v>178</v>
      </c>
      <c r="B73" s="1439" t="s">
        <v>179</v>
      </c>
      <c r="C73" s="1440" t="s">
        <v>253</v>
      </c>
      <c r="D73" s="1441">
        <v>0</v>
      </c>
      <c r="E73" s="1441">
        <v>84489.600000000006</v>
      </c>
      <c r="F73" s="1441">
        <v>21122.400000000001</v>
      </c>
      <c r="G73" s="2070">
        <v>0</v>
      </c>
      <c r="H73" s="1442">
        <v>0</v>
      </c>
      <c r="I73" s="1444">
        <f t="shared" si="5"/>
        <v>105612</v>
      </c>
      <c r="J73" s="1443">
        <f t="shared" si="6"/>
        <v>0</v>
      </c>
    </row>
    <row r="74" spans="1:10" s="698" customFormat="1" x14ac:dyDescent="0.3">
      <c r="A74" s="1439" t="s">
        <v>182</v>
      </c>
      <c r="B74" s="1439" t="s">
        <v>183</v>
      </c>
      <c r="C74" s="1440" t="s">
        <v>254</v>
      </c>
      <c r="D74" s="1441">
        <v>0</v>
      </c>
      <c r="E74" s="1441">
        <v>44388.800000000003</v>
      </c>
      <c r="F74" s="1441">
        <v>11097.2</v>
      </c>
      <c r="G74" s="2070">
        <v>0</v>
      </c>
      <c r="H74" s="1442">
        <v>0</v>
      </c>
      <c r="I74" s="1444">
        <f t="shared" si="5"/>
        <v>55486</v>
      </c>
      <c r="J74" s="1443">
        <f t="shared" si="6"/>
        <v>0</v>
      </c>
    </row>
    <row r="75" spans="1:10" s="698" customFormat="1" x14ac:dyDescent="0.3">
      <c r="A75" s="1439" t="s">
        <v>184</v>
      </c>
      <c r="B75" s="1439" t="s">
        <v>185</v>
      </c>
      <c r="C75" s="1440" t="s">
        <v>254</v>
      </c>
      <c r="D75" s="1441">
        <v>0</v>
      </c>
      <c r="E75" s="1441">
        <v>83149.600000000006</v>
      </c>
      <c r="F75" s="1441">
        <v>20787.400000000001</v>
      </c>
      <c r="G75" s="2070">
        <v>0</v>
      </c>
      <c r="H75" s="1442">
        <v>0</v>
      </c>
      <c r="I75" s="1444">
        <f t="shared" si="5"/>
        <v>103937</v>
      </c>
      <c r="J75" s="1443">
        <f t="shared" si="6"/>
        <v>0</v>
      </c>
    </row>
    <row r="76" spans="1:10" s="698" customFormat="1" x14ac:dyDescent="0.3">
      <c r="A76" s="1439" t="s">
        <v>186</v>
      </c>
      <c r="B76" s="1439" t="s">
        <v>187</v>
      </c>
      <c r="C76" s="1440" t="s">
        <v>252</v>
      </c>
      <c r="D76" s="1441">
        <v>0</v>
      </c>
      <c r="E76" s="1441">
        <v>41222.400000000001</v>
      </c>
      <c r="F76" s="1441">
        <v>10305.6</v>
      </c>
      <c r="G76" s="2070">
        <v>0</v>
      </c>
      <c r="H76" s="1442">
        <v>0</v>
      </c>
      <c r="I76" s="1444">
        <f t="shared" si="5"/>
        <v>51528</v>
      </c>
      <c r="J76" s="1443">
        <f t="shared" si="6"/>
        <v>0</v>
      </c>
    </row>
    <row r="77" spans="1:10" s="698" customFormat="1" x14ac:dyDescent="0.3">
      <c r="A77" s="1439" t="s">
        <v>188</v>
      </c>
      <c r="B77" s="1439" t="s">
        <v>189</v>
      </c>
      <c r="C77" s="1440" t="s">
        <v>255</v>
      </c>
      <c r="D77" s="1441">
        <v>5749.4500000000007</v>
      </c>
      <c r="E77" s="1441">
        <v>320553.32</v>
      </c>
      <c r="F77" s="1441">
        <v>82119.600000000006</v>
      </c>
      <c r="G77" s="2070">
        <v>0.01</v>
      </c>
      <c r="H77" s="1442">
        <v>0</v>
      </c>
      <c r="I77" s="1444">
        <f t="shared" si="5"/>
        <v>408422.38</v>
      </c>
      <c r="J77" s="1443">
        <f t="shared" si="6"/>
        <v>0.01</v>
      </c>
    </row>
    <row r="78" spans="1:10" s="698" customFormat="1" x14ac:dyDescent="0.3">
      <c r="A78" s="1439" t="s">
        <v>190</v>
      </c>
      <c r="B78" s="1439" t="s">
        <v>191</v>
      </c>
      <c r="C78" s="1440" t="s">
        <v>256</v>
      </c>
      <c r="D78" s="1441">
        <v>-255</v>
      </c>
      <c r="E78" s="1441">
        <v>140414.20000000001</v>
      </c>
      <c r="F78" s="1441">
        <v>35164.800000000003</v>
      </c>
      <c r="G78" s="2070">
        <v>0</v>
      </c>
      <c r="H78" s="1442">
        <v>4000</v>
      </c>
      <c r="I78" s="1444">
        <f t="shared" si="5"/>
        <v>179324</v>
      </c>
      <c r="J78" s="1443">
        <f t="shared" si="6"/>
        <v>4000</v>
      </c>
    </row>
    <row r="79" spans="1:10" s="698" customFormat="1" x14ac:dyDescent="0.3">
      <c r="A79" s="1439" t="s">
        <v>194</v>
      </c>
      <c r="B79" s="1439" t="s">
        <v>195</v>
      </c>
      <c r="C79" s="1440" t="s">
        <v>255</v>
      </c>
      <c r="D79" s="1441">
        <v>0</v>
      </c>
      <c r="E79" s="1441">
        <v>5760.8</v>
      </c>
      <c r="F79" s="1441">
        <v>1440.2</v>
      </c>
      <c r="G79" s="2070">
        <v>0</v>
      </c>
      <c r="H79" s="1442">
        <v>0</v>
      </c>
      <c r="I79" s="1444">
        <f t="shared" si="5"/>
        <v>7201</v>
      </c>
      <c r="J79" s="1443">
        <f t="shared" si="6"/>
        <v>0</v>
      </c>
    </row>
    <row r="80" spans="1:10" s="698" customFormat="1" x14ac:dyDescent="0.3">
      <c r="A80" s="1439" t="s">
        <v>198</v>
      </c>
      <c r="B80" s="1439" t="s">
        <v>199</v>
      </c>
      <c r="C80" s="1440" t="s">
        <v>254</v>
      </c>
      <c r="D80" s="1441">
        <v>0</v>
      </c>
      <c r="E80" s="1441">
        <v>13302.4</v>
      </c>
      <c r="F80" s="1441">
        <v>3325.6</v>
      </c>
      <c r="G80" s="2070">
        <v>0</v>
      </c>
      <c r="H80" s="1442">
        <v>0</v>
      </c>
      <c r="I80" s="1444">
        <f t="shared" si="5"/>
        <v>16628</v>
      </c>
      <c r="J80" s="1443">
        <f t="shared" si="6"/>
        <v>0</v>
      </c>
    </row>
    <row r="81" spans="1:10" s="698" customFormat="1" x14ac:dyDescent="0.3">
      <c r="A81" s="1439" t="s">
        <v>202</v>
      </c>
      <c r="B81" s="1439" t="s">
        <v>203</v>
      </c>
      <c r="C81" s="1440" t="s">
        <v>253</v>
      </c>
      <c r="D81" s="1441">
        <v>-447.26</v>
      </c>
      <c r="E81" s="1441">
        <v>178572.68</v>
      </c>
      <c r="F81" s="1441">
        <v>44755.6</v>
      </c>
      <c r="G81" s="2070">
        <v>25818.880000000001</v>
      </c>
      <c r="H81" s="1442">
        <v>0</v>
      </c>
      <c r="I81" s="1444">
        <f t="shared" si="5"/>
        <v>248699.9</v>
      </c>
      <c r="J81" s="1443">
        <f t="shared" si="6"/>
        <v>25818.880000000001</v>
      </c>
    </row>
    <row r="82" spans="1:10" s="698" customFormat="1" x14ac:dyDescent="0.3">
      <c r="A82" s="1439" t="s">
        <v>204</v>
      </c>
      <c r="B82" s="1439" t="s">
        <v>205</v>
      </c>
      <c r="C82" s="1440" t="s">
        <v>253</v>
      </c>
      <c r="D82" s="1441">
        <v>-51</v>
      </c>
      <c r="E82" s="1441">
        <v>97145.400000000009</v>
      </c>
      <c r="F82" s="1441">
        <v>24298.600000000002</v>
      </c>
      <c r="G82" s="2070">
        <v>0</v>
      </c>
      <c r="H82" s="1442">
        <v>0</v>
      </c>
      <c r="I82" s="1444">
        <f t="shared" si="5"/>
        <v>121393.00000000001</v>
      </c>
      <c r="J82" s="1443">
        <f t="shared" si="6"/>
        <v>0</v>
      </c>
    </row>
    <row r="83" spans="1:10" s="698" customFormat="1" x14ac:dyDescent="0.3">
      <c r="A83" s="1439" t="s">
        <v>206</v>
      </c>
      <c r="B83" s="1439" t="s">
        <v>207</v>
      </c>
      <c r="C83" s="1440" t="s">
        <v>255</v>
      </c>
      <c r="D83" s="1441">
        <v>76172.73</v>
      </c>
      <c r="E83" s="1441">
        <v>191421.07</v>
      </c>
      <c r="F83" s="1441">
        <v>47957.8</v>
      </c>
      <c r="G83" s="2070">
        <v>0</v>
      </c>
      <c r="H83" s="1442">
        <v>0</v>
      </c>
      <c r="I83" s="1444">
        <f t="shared" si="5"/>
        <v>315551.59999999998</v>
      </c>
      <c r="J83" s="1443">
        <f t="shared" si="6"/>
        <v>0</v>
      </c>
    </row>
    <row r="84" spans="1:10" s="698" customFormat="1" x14ac:dyDescent="0.3">
      <c r="A84" s="1439" t="s">
        <v>208</v>
      </c>
      <c r="B84" s="1439" t="s">
        <v>209</v>
      </c>
      <c r="C84" s="1440" t="s">
        <v>256</v>
      </c>
      <c r="D84" s="1441">
        <v>-686.73</v>
      </c>
      <c r="E84" s="1441">
        <v>202698.58</v>
      </c>
      <c r="F84" s="1441">
        <v>50839.6</v>
      </c>
      <c r="G84" s="2070">
        <v>0</v>
      </c>
      <c r="H84" s="1442">
        <v>0</v>
      </c>
      <c r="I84" s="1444">
        <f t="shared" si="5"/>
        <v>252851.44999999998</v>
      </c>
      <c r="J84" s="1443">
        <f t="shared" si="6"/>
        <v>0</v>
      </c>
    </row>
    <row r="85" spans="1:10" s="698" customFormat="1" x14ac:dyDescent="0.3">
      <c r="A85" s="1439" t="s">
        <v>210</v>
      </c>
      <c r="B85" s="1439" t="s">
        <v>211</v>
      </c>
      <c r="C85" s="1440" t="s">
        <v>256</v>
      </c>
      <c r="D85" s="1441">
        <v>-28.05</v>
      </c>
      <c r="E85" s="1441">
        <v>173633.05</v>
      </c>
      <c r="F85" s="1441">
        <v>43415</v>
      </c>
      <c r="G85" s="2070">
        <v>0</v>
      </c>
      <c r="H85" s="1442">
        <v>0</v>
      </c>
      <c r="I85" s="1444">
        <f t="shared" si="5"/>
        <v>217020</v>
      </c>
      <c r="J85" s="1443">
        <f t="shared" si="6"/>
        <v>0</v>
      </c>
    </row>
    <row r="86" spans="1:10" s="698" customFormat="1" x14ac:dyDescent="0.3">
      <c r="A86" s="1439" t="s">
        <v>212</v>
      </c>
      <c r="B86" s="1439" t="s">
        <v>213</v>
      </c>
      <c r="C86" s="1440" t="s">
        <v>255</v>
      </c>
      <c r="D86" s="1441">
        <v>2618</v>
      </c>
      <c r="E86" s="1441">
        <v>145329.60000000001</v>
      </c>
      <c r="F86" s="1441">
        <v>36332.400000000001</v>
      </c>
      <c r="G86" s="2070">
        <v>0</v>
      </c>
      <c r="H86" s="1442">
        <v>0</v>
      </c>
      <c r="I86" s="1444">
        <f t="shared" si="5"/>
        <v>184280</v>
      </c>
      <c r="J86" s="1443">
        <f t="shared" si="6"/>
        <v>0</v>
      </c>
    </row>
    <row r="87" spans="1:10" s="698" customFormat="1" x14ac:dyDescent="0.3">
      <c r="A87" s="1439" t="s">
        <v>214</v>
      </c>
      <c r="B87" s="1439" t="s">
        <v>215</v>
      </c>
      <c r="C87" s="1440" t="s">
        <v>256</v>
      </c>
      <c r="D87" s="1441">
        <v>-776.39</v>
      </c>
      <c r="E87" s="1441">
        <v>252525.27000000002</v>
      </c>
      <c r="F87" s="1441">
        <v>63317.8</v>
      </c>
      <c r="G87" s="2070">
        <v>307.45</v>
      </c>
      <c r="H87" s="1442">
        <v>0</v>
      </c>
      <c r="I87" s="1444">
        <f t="shared" si="5"/>
        <v>315374.13</v>
      </c>
      <c r="J87" s="1443">
        <f t="shared" si="6"/>
        <v>307.45</v>
      </c>
    </row>
    <row r="88" spans="1:10" s="698" customFormat="1" x14ac:dyDescent="0.3">
      <c r="A88" s="1439" t="s">
        <v>216</v>
      </c>
      <c r="B88" s="1439" t="s">
        <v>217</v>
      </c>
      <c r="C88" s="1440" t="s">
        <v>252</v>
      </c>
      <c r="D88" s="1441">
        <v>-684.91</v>
      </c>
      <c r="E88" s="1441">
        <v>34858.75</v>
      </c>
      <c r="F88" s="1441">
        <v>8879.2000000000007</v>
      </c>
      <c r="G88" s="2070">
        <v>0</v>
      </c>
      <c r="H88" s="1442">
        <v>0</v>
      </c>
      <c r="I88" s="1444">
        <f t="shared" si="5"/>
        <v>43053.039999999994</v>
      </c>
      <c r="J88" s="1443">
        <f t="shared" si="6"/>
        <v>0</v>
      </c>
    </row>
    <row r="89" spans="1:10" s="698" customFormat="1" x14ac:dyDescent="0.3">
      <c r="A89" s="1439" t="s">
        <v>218</v>
      </c>
      <c r="B89" s="1439" t="s">
        <v>219</v>
      </c>
      <c r="C89" s="1440" t="s">
        <v>255</v>
      </c>
      <c r="D89" s="1441">
        <v>180517.68</v>
      </c>
      <c r="E89" s="1441">
        <v>78318.01999999999</v>
      </c>
      <c r="F89" s="1441">
        <v>19434.599999999999</v>
      </c>
      <c r="G89" s="2070">
        <v>0</v>
      </c>
      <c r="H89" s="1442">
        <v>0</v>
      </c>
      <c r="I89" s="1444">
        <f t="shared" si="5"/>
        <v>278270.3</v>
      </c>
      <c r="J89" s="1443">
        <f t="shared" si="6"/>
        <v>0</v>
      </c>
    </row>
    <row r="90" spans="1:10" s="698" customFormat="1" x14ac:dyDescent="0.3">
      <c r="A90" s="1439" t="s">
        <v>220</v>
      </c>
      <c r="B90" s="1439" t="s">
        <v>221</v>
      </c>
      <c r="C90" s="1440" t="s">
        <v>255</v>
      </c>
      <c r="D90" s="1441">
        <v>6980.79</v>
      </c>
      <c r="E90" s="1441">
        <v>32005.82</v>
      </c>
      <c r="F90" s="1441">
        <v>8456.67</v>
      </c>
      <c r="G90" s="2070">
        <v>0</v>
      </c>
      <c r="H90" s="1442">
        <v>0</v>
      </c>
      <c r="I90" s="1444">
        <f t="shared" si="5"/>
        <v>47443.28</v>
      </c>
      <c r="J90" s="1443">
        <f t="shared" si="6"/>
        <v>0</v>
      </c>
    </row>
    <row r="91" spans="1:10" s="698" customFormat="1" x14ac:dyDescent="0.3">
      <c r="A91" s="1439" t="s">
        <v>224</v>
      </c>
      <c r="B91" s="1439" t="s">
        <v>225</v>
      </c>
      <c r="C91" s="1440" t="s">
        <v>252</v>
      </c>
      <c r="D91" s="1441">
        <v>0</v>
      </c>
      <c r="E91" s="1441">
        <v>42724.800000000003</v>
      </c>
      <c r="F91" s="1441">
        <v>10681.2</v>
      </c>
      <c r="G91" s="2070">
        <v>0</v>
      </c>
      <c r="H91" s="1442">
        <v>0</v>
      </c>
      <c r="I91" s="1444">
        <f t="shared" si="5"/>
        <v>53406</v>
      </c>
      <c r="J91" s="1443">
        <f t="shared" si="6"/>
        <v>0</v>
      </c>
    </row>
    <row r="92" spans="1:10" s="698" customFormat="1" x14ac:dyDescent="0.3">
      <c r="A92" s="1439" t="s">
        <v>226</v>
      </c>
      <c r="B92" s="1439" t="s">
        <v>227</v>
      </c>
      <c r="C92" s="1440" t="s">
        <v>252</v>
      </c>
      <c r="D92" s="1441">
        <v>0</v>
      </c>
      <c r="E92" s="1441">
        <v>36239.199999999997</v>
      </c>
      <c r="F92" s="1441">
        <v>9059.7999999999993</v>
      </c>
      <c r="G92" s="2070">
        <v>0</v>
      </c>
      <c r="H92" s="1442">
        <v>0</v>
      </c>
      <c r="I92" s="1444">
        <f t="shared" si="5"/>
        <v>45299</v>
      </c>
      <c r="J92" s="1443">
        <f t="shared" si="6"/>
        <v>0</v>
      </c>
    </row>
    <row r="93" spans="1:10" s="698" customFormat="1" x14ac:dyDescent="0.3">
      <c r="A93" s="1439" t="s">
        <v>228</v>
      </c>
      <c r="B93" s="1439" t="s">
        <v>229</v>
      </c>
      <c r="C93" s="1440" t="s">
        <v>256</v>
      </c>
      <c r="D93" s="1441">
        <v>-700.44</v>
      </c>
      <c r="E93" s="1441">
        <v>239368.56999999998</v>
      </c>
      <c r="F93" s="1441">
        <v>60010.39</v>
      </c>
      <c r="G93" s="2070">
        <v>38650.949999999997</v>
      </c>
      <c r="H93" s="1442">
        <v>0</v>
      </c>
      <c r="I93" s="1444">
        <f t="shared" si="5"/>
        <v>337329.47</v>
      </c>
      <c r="J93" s="1443">
        <f t="shared" si="6"/>
        <v>38650.949999999997</v>
      </c>
    </row>
    <row r="94" spans="1:10" s="698" customFormat="1" x14ac:dyDescent="0.3">
      <c r="A94" s="1439" t="s">
        <v>232</v>
      </c>
      <c r="B94" s="1439" t="s">
        <v>233</v>
      </c>
      <c r="C94" s="1440" t="s">
        <v>255</v>
      </c>
      <c r="D94" s="1441">
        <v>-1524.9</v>
      </c>
      <c r="E94" s="1441">
        <v>78897.919999999998</v>
      </c>
      <c r="F94" s="1441">
        <v>20090.75</v>
      </c>
      <c r="G94" s="2070">
        <v>0</v>
      </c>
      <c r="H94" s="1442">
        <v>0</v>
      </c>
      <c r="I94" s="1444">
        <f t="shared" si="5"/>
        <v>97463.77</v>
      </c>
      <c r="J94" s="1443">
        <f t="shared" si="6"/>
        <v>0</v>
      </c>
    </row>
    <row r="95" spans="1:10" s="698" customFormat="1" x14ac:dyDescent="0.3">
      <c r="A95" s="1439" t="s">
        <v>234</v>
      </c>
      <c r="B95" s="1439" t="s">
        <v>235</v>
      </c>
      <c r="C95" s="1440" t="s">
        <v>256</v>
      </c>
      <c r="D95" s="1441">
        <v>0</v>
      </c>
      <c r="E95" s="1441">
        <v>624513.6</v>
      </c>
      <c r="F95" s="1441">
        <v>156128.4</v>
      </c>
      <c r="G95" s="2070">
        <v>4185.8599999999997</v>
      </c>
      <c r="H95" s="1442">
        <v>0</v>
      </c>
      <c r="I95" s="1444">
        <f t="shared" si="5"/>
        <v>784827.86</v>
      </c>
      <c r="J95" s="1443">
        <f t="shared" si="6"/>
        <v>4185.8599999999997</v>
      </c>
    </row>
    <row r="96" spans="1:10" s="698" customFormat="1" x14ac:dyDescent="0.3">
      <c r="A96" s="1439" t="s">
        <v>236</v>
      </c>
      <c r="B96" s="1439" t="s">
        <v>237</v>
      </c>
      <c r="C96" s="1440" t="s">
        <v>254</v>
      </c>
      <c r="D96" s="1441">
        <v>0</v>
      </c>
      <c r="E96" s="1441">
        <v>28863.200000000001</v>
      </c>
      <c r="F96" s="1441">
        <v>7215.8</v>
      </c>
      <c r="G96" s="2070">
        <v>2291</v>
      </c>
      <c r="H96" s="1442">
        <v>0</v>
      </c>
      <c r="I96" s="1444">
        <f t="shared" si="5"/>
        <v>38370</v>
      </c>
      <c r="J96" s="1443">
        <f t="shared" si="6"/>
        <v>2291</v>
      </c>
    </row>
    <row r="97" spans="1:10" s="698" customFormat="1" x14ac:dyDescent="0.3">
      <c r="A97" s="1439" t="s">
        <v>242</v>
      </c>
      <c r="B97" s="1439" t="s">
        <v>243</v>
      </c>
      <c r="C97" s="1440" t="s">
        <v>256</v>
      </c>
      <c r="D97" s="1441">
        <v>-929.29</v>
      </c>
      <c r="E97" s="1441">
        <v>136965.54</v>
      </c>
      <c r="F97" s="1441">
        <v>34464.6</v>
      </c>
      <c r="G97" s="2070">
        <v>0</v>
      </c>
      <c r="H97" s="1442">
        <v>0</v>
      </c>
      <c r="I97" s="1444">
        <f t="shared" si="5"/>
        <v>170500.85</v>
      </c>
      <c r="J97" s="1443">
        <f t="shared" si="6"/>
        <v>0</v>
      </c>
    </row>
    <row r="98" spans="1:10" s="698" customFormat="1" x14ac:dyDescent="0.3">
      <c r="A98" s="1439" t="s">
        <v>244</v>
      </c>
      <c r="B98" s="1439" t="s">
        <v>245</v>
      </c>
      <c r="C98" s="1440" t="s">
        <v>256</v>
      </c>
      <c r="D98" s="1441">
        <v>-705.07</v>
      </c>
      <c r="E98" s="1441">
        <v>121336.18000000001</v>
      </c>
      <c r="F98" s="1441">
        <v>30503.4</v>
      </c>
      <c r="G98" s="2070">
        <v>0</v>
      </c>
      <c r="H98" s="1442">
        <v>0</v>
      </c>
      <c r="I98" s="1444">
        <f t="shared" si="5"/>
        <v>151134.51</v>
      </c>
      <c r="J98" s="1443">
        <f t="shared" si="6"/>
        <v>0</v>
      </c>
    </row>
    <row r="99" spans="1:10" s="698" customFormat="1" x14ac:dyDescent="0.3">
      <c r="A99" s="1439" t="s">
        <v>246</v>
      </c>
      <c r="B99" s="1439" t="s">
        <v>298</v>
      </c>
      <c r="C99" s="1440" t="s">
        <v>252</v>
      </c>
      <c r="D99" s="1441">
        <v>-1112.8399999999999</v>
      </c>
      <c r="E99" s="1441">
        <v>66745</v>
      </c>
      <c r="F99" s="1441">
        <v>17294.8</v>
      </c>
      <c r="G99" s="2070">
        <v>0.04</v>
      </c>
      <c r="H99" s="1442">
        <v>0</v>
      </c>
      <c r="I99" s="1444">
        <f t="shared" si="5"/>
        <v>82927</v>
      </c>
      <c r="J99" s="1443">
        <f t="shared" si="6"/>
        <v>0.04</v>
      </c>
    </row>
    <row r="100" spans="1:10" s="698" customFormat="1" x14ac:dyDescent="0.3">
      <c r="A100" s="1439" t="s">
        <v>14</v>
      </c>
      <c r="B100" s="1439" t="s">
        <v>15</v>
      </c>
      <c r="C100" s="1440" t="s">
        <v>255</v>
      </c>
      <c r="D100" s="1441">
        <v>17636.54</v>
      </c>
      <c r="E100" s="1441">
        <v>131071.63</v>
      </c>
      <c r="F100" s="1441">
        <v>36616.400000000001</v>
      </c>
      <c r="G100" s="2070">
        <v>0</v>
      </c>
      <c r="H100" s="1442">
        <v>0</v>
      </c>
      <c r="I100" s="1444">
        <f t="shared" si="5"/>
        <v>185324.57</v>
      </c>
      <c r="J100" s="1443">
        <f t="shared" si="6"/>
        <v>0</v>
      </c>
    </row>
    <row r="101" spans="1:10" s="698" customFormat="1" x14ac:dyDescent="0.3">
      <c r="A101" s="1439" t="s">
        <v>34</v>
      </c>
      <c r="B101" s="1439" t="s">
        <v>35</v>
      </c>
      <c r="C101" s="1440" t="s">
        <v>256</v>
      </c>
      <c r="D101" s="1441">
        <v>0</v>
      </c>
      <c r="E101" s="1441">
        <v>226382.4</v>
      </c>
      <c r="F101" s="1441">
        <v>56812.6</v>
      </c>
      <c r="G101" s="2070">
        <v>0</v>
      </c>
      <c r="H101" s="1442">
        <v>0</v>
      </c>
      <c r="I101" s="1444">
        <f t="shared" ref="I101:I124" si="7">SUM(D101:H101)</f>
        <v>283195</v>
      </c>
      <c r="J101" s="1443">
        <f t="shared" ref="J101:J124" si="8">G101+H101</f>
        <v>0</v>
      </c>
    </row>
    <row r="102" spans="1:10" s="698" customFormat="1" x14ac:dyDescent="0.3">
      <c r="A102" s="1439" t="s">
        <v>52</v>
      </c>
      <c r="B102" s="1439" t="s">
        <v>53</v>
      </c>
      <c r="C102" s="1440" t="s">
        <v>253</v>
      </c>
      <c r="D102" s="1441">
        <v>-718.05</v>
      </c>
      <c r="E102" s="1441">
        <v>159146.51999999999</v>
      </c>
      <c r="F102" s="1441">
        <v>43324.53</v>
      </c>
      <c r="G102" s="2070">
        <v>-328.39000000000004</v>
      </c>
      <c r="H102" s="1442">
        <v>0</v>
      </c>
      <c r="I102" s="1444">
        <f t="shared" si="7"/>
        <v>201424.61</v>
      </c>
      <c r="J102" s="1443">
        <f t="shared" si="8"/>
        <v>-328.39000000000004</v>
      </c>
    </row>
    <row r="103" spans="1:10" s="698" customFormat="1" x14ac:dyDescent="0.3">
      <c r="A103" s="1439" t="s">
        <v>54</v>
      </c>
      <c r="B103" s="1439" t="s">
        <v>55</v>
      </c>
      <c r="C103" s="1440" t="s">
        <v>252</v>
      </c>
      <c r="D103" s="1441">
        <v>-1507.49</v>
      </c>
      <c r="E103" s="1441">
        <v>418998.02</v>
      </c>
      <c r="F103" s="1441">
        <v>105111.6</v>
      </c>
      <c r="G103" s="2070">
        <v>-375.86</v>
      </c>
      <c r="H103" s="1442">
        <v>0</v>
      </c>
      <c r="I103" s="1444">
        <f t="shared" si="7"/>
        <v>522226.27</v>
      </c>
      <c r="J103" s="1443">
        <f t="shared" si="8"/>
        <v>-375.86</v>
      </c>
    </row>
    <row r="104" spans="1:10" s="698" customFormat="1" x14ac:dyDescent="0.3">
      <c r="A104" s="1439" t="s">
        <v>66</v>
      </c>
      <c r="B104" s="1439" t="s">
        <v>67</v>
      </c>
      <c r="C104" s="1440" t="s">
        <v>253</v>
      </c>
      <c r="D104" s="1441">
        <v>-363.54</v>
      </c>
      <c r="E104" s="1441">
        <v>147889.12</v>
      </c>
      <c r="F104" s="1441">
        <v>37059.599999999999</v>
      </c>
      <c r="G104" s="2070">
        <v>0</v>
      </c>
      <c r="H104" s="1442">
        <v>0</v>
      </c>
      <c r="I104" s="1444">
        <f t="shared" si="7"/>
        <v>184585.18</v>
      </c>
      <c r="J104" s="1443">
        <f t="shared" si="8"/>
        <v>0</v>
      </c>
    </row>
    <row r="105" spans="1:10" s="698" customFormat="1" x14ac:dyDescent="0.3">
      <c r="A105" s="1439" t="s">
        <v>82</v>
      </c>
      <c r="B105" s="1439" t="s">
        <v>299</v>
      </c>
      <c r="C105" s="1440" t="s">
        <v>252</v>
      </c>
      <c r="D105" s="1441">
        <v>0</v>
      </c>
      <c r="E105" s="1441">
        <v>62860.800000000003</v>
      </c>
      <c r="F105" s="1441">
        <v>15715.2</v>
      </c>
      <c r="G105" s="2070">
        <v>0</v>
      </c>
      <c r="H105" s="1442">
        <v>0</v>
      </c>
      <c r="I105" s="1444">
        <f t="shared" si="7"/>
        <v>78576</v>
      </c>
      <c r="J105" s="1443">
        <f t="shared" si="8"/>
        <v>0</v>
      </c>
    </row>
    <row r="106" spans="1:10" s="698" customFormat="1" x14ac:dyDescent="0.3">
      <c r="A106" s="1439" t="s">
        <v>88</v>
      </c>
      <c r="B106" s="1439" t="s">
        <v>89</v>
      </c>
      <c r="C106" s="1440" t="s">
        <v>255</v>
      </c>
      <c r="D106" s="1441">
        <v>4406</v>
      </c>
      <c r="E106" s="1441">
        <v>89009.2</v>
      </c>
      <c r="F106" s="1441">
        <v>22276.799999999999</v>
      </c>
      <c r="G106" s="2070">
        <v>0</v>
      </c>
      <c r="H106" s="1442">
        <v>0</v>
      </c>
      <c r="I106" s="1444">
        <f t="shared" si="7"/>
        <v>115692</v>
      </c>
      <c r="J106" s="1443">
        <f t="shared" si="8"/>
        <v>0</v>
      </c>
    </row>
    <row r="107" spans="1:10" s="698" customFormat="1" x14ac:dyDescent="0.3">
      <c r="A107" s="1439" t="s">
        <v>90</v>
      </c>
      <c r="B107" s="1439" t="s">
        <v>91</v>
      </c>
      <c r="C107" s="1440" t="s">
        <v>256</v>
      </c>
      <c r="D107" s="1441">
        <v>-61.2</v>
      </c>
      <c r="E107" s="1441">
        <v>54963.6</v>
      </c>
      <c r="F107" s="1441">
        <v>13755.6</v>
      </c>
      <c r="G107" s="2070">
        <v>0</v>
      </c>
      <c r="H107" s="1442">
        <v>0</v>
      </c>
      <c r="I107" s="1444">
        <f t="shared" si="7"/>
        <v>68658</v>
      </c>
      <c r="J107" s="1443">
        <f t="shared" si="8"/>
        <v>0</v>
      </c>
    </row>
    <row r="108" spans="1:10" s="698" customFormat="1" x14ac:dyDescent="0.3">
      <c r="A108" s="1439" t="s">
        <v>106</v>
      </c>
      <c r="B108" s="1439" t="s">
        <v>107</v>
      </c>
      <c r="C108" s="1440" t="s">
        <v>252</v>
      </c>
      <c r="D108" s="1441">
        <v>-2093.4299999999998</v>
      </c>
      <c r="E108" s="1441">
        <v>363475.13</v>
      </c>
      <c r="F108" s="1441">
        <v>101452.19</v>
      </c>
      <c r="G108" s="2070">
        <v>1.9999999999999997E-2</v>
      </c>
      <c r="H108" s="1442">
        <v>0</v>
      </c>
      <c r="I108" s="1444">
        <f t="shared" si="7"/>
        <v>462833.91000000003</v>
      </c>
      <c r="J108" s="1443">
        <f t="shared" si="8"/>
        <v>1.9999999999999997E-2</v>
      </c>
    </row>
    <row r="109" spans="1:10" s="698" customFormat="1" x14ac:dyDescent="0.3">
      <c r="A109" s="1439" t="s">
        <v>116</v>
      </c>
      <c r="B109" s="1439" t="s">
        <v>117</v>
      </c>
      <c r="C109" s="1440" t="s">
        <v>254</v>
      </c>
      <c r="D109" s="1441">
        <v>0</v>
      </c>
      <c r="E109" s="1441">
        <v>63503.199999999997</v>
      </c>
      <c r="F109" s="1441">
        <v>15875.8</v>
      </c>
      <c r="G109" s="2070">
        <v>0</v>
      </c>
      <c r="H109" s="1442">
        <v>0</v>
      </c>
      <c r="I109" s="1444">
        <f t="shared" si="7"/>
        <v>79379</v>
      </c>
      <c r="J109" s="1443">
        <f t="shared" si="8"/>
        <v>0</v>
      </c>
    </row>
    <row r="110" spans="1:10" s="698" customFormat="1" x14ac:dyDescent="0.3">
      <c r="A110" s="1439" t="s">
        <v>138</v>
      </c>
      <c r="B110" s="1439" t="s">
        <v>139</v>
      </c>
      <c r="C110" s="1440" t="s">
        <v>253</v>
      </c>
      <c r="D110" s="1441">
        <v>0</v>
      </c>
      <c r="E110" s="1441">
        <v>318304</v>
      </c>
      <c r="F110" s="1441">
        <v>79576</v>
      </c>
      <c r="G110" s="2070">
        <v>0</v>
      </c>
      <c r="H110" s="1442">
        <v>0</v>
      </c>
      <c r="I110" s="1444">
        <f t="shared" si="7"/>
        <v>397880</v>
      </c>
      <c r="J110" s="1443">
        <f t="shared" si="8"/>
        <v>0</v>
      </c>
    </row>
    <row r="111" spans="1:10" s="698" customFormat="1" x14ac:dyDescent="0.3">
      <c r="A111" s="1439" t="s">
        <v>142</v>
      </c>
      <c r="B111" s="1439" t="s">
        <v>143</v>
      </c>
      <c r="C111" s="1440" t="s">
        <v>255</v>
      </c>
      <c r="D111" s="1441">
        <v>2341</v>
      </c>
      <c r="E111" s="1441">
        <v>9999.2000000000007</v>
      </c>
      <c r="F111" s="1441">
        <v>2499.8000000000002</v>
      </c>
      <c r="G111" s="2070">
        <v>0</v>
      </c>
      <c r="H111" s="1442">
        <v>0</v>
      </c>
      <c r="I111" s="1444">
        <f t="shared" si="7"/>
        <v>14840</v>
      </c>
      <c r="J111" s="1443">
        <f t="shared" si="8"/>
        <v>0</v>
      </c>
    </row>
    <row r="112" spans="1:10" s="698" customFormat="1" x14ac:dyDescent="0.3">
      <c r="A112" s="1439" t="s">
        <v>144</v>
      </c>
      <c r="B112" s="1439" t="s">
        <v>145</v>
      </c>
      <c r="C112" s="1440" t="s">
        <v>255</v>
      </c>
      <c r="D112" s="1441">
        <v>0</v>
      </c>
      <c r="E112" s="1441">
        <v>3064.8</v>
      </c>
      <c r="F112" s="1441">
        <v>766.2</v>
      </c>
      <c r="G112" s="2070">
        <v>0</v>
      </c>
      <c r="H112" s="1442">
        <v>0</v>
      </c>
      <c r="I112" s="1444">
        <f t="shared" si="7"/>
        <v>3831</v>
      </c>
      <c r="J112" s="1443">
        <f t="shared" si="8"/>
        <v>0</v>
      </c>
    </row>
    <row r="113" spans="1:10" s="698" customFormat="1" x14ac:dyDescent="0.3">
      <c r="A113" s="1439" t="s">
        <v>158</v>
      </c>
      <c r="B113" s="1439" t="s">
        <v>159</v>
      </c>
      <c r="C113" s="1440" t="s">
        <v>252</v>
      </c>
      <c r="D113" s="1441">
        <v>-2593.58</v>
      </c>
      <c r="E113" s="1441">
        <v>390413.86</v>
      </c>
      <c r="F113" s="1441">
        <v>101785.01000000001</v>
      </c>
      <c r="G113" s="2070">
        <v>-7.0000000000000007E-2</v>
      </c>
      <c r="H113" s="1442">
        <v>0</v>
      </c>
      <c r="I113" s="1444">
        <f t="shared" si="7"/>
        <v>489605.22</v>
      </c>
      <c r="J113" s="1443">
        <f t="shared" si="8"/>
        <v>-7.0000000000000007E-2</v>
      </c>
    </row>
    <row r="114" spans="1:10" s="698" customFormat="1" x14ac:dyDescent="0.3">
      <c r="A114" s="1439" t="s">
        <v>160</v>
      </c>
      <c r="B114" s="1439" t="s">
        <v>161</v>
      </c>
      <c r="C114" s="1440" t="s">
        <v>252</v>
      </c>
      <c r="D114" s="1441">
        <v>206481.6</v>
      </c>
      <c r="E114" s="1441">
        <v>671542.84</v>
      </c>
      <c r="F114" s="1441">
        <v>173607.37999999998</v>
      </c>
      <c r="G114" s="2070">
        <v>0</v>
      </c>
      <c r="H114" s="1442">
        <v>0</v>
      </c>
      <c r="I114" s="1444">
        <f t="shared" si="7"/>
        <v>1051631.8199999998</v>
      </c>
      <c r="J114" s="1443">
        <f t="shared" si="8"/>
        <v>0</v>
      </c>
    </row>
    <row r="115" spans="1:10" s="698" customFormat="1" x14ac:dyDescent="0.3">
      <c r="A115" s="1439" t="s">
        <v>166</v>
      </c>
      <c r="B115" s="1439" t="s">
        <v>167</v>
      </c>
      <c r="C115" s="1440" t="s">
        <v>256</v>
      </c>
      <c r="D115" s="1441">
        <v>0</v>
      </c>
      <c r="E115" s="1441">
        <v>35020</v>
      </c>
      <c r="F115" s="1441">
        <v>8755</v>
      </c>
      <c r="G115" s="2070">
        <v>0</v>
      </c>
      <c r="H115" s="1442">
        <v>0</v>
      </c>
      <c r="I115" s="1444">
        <f t="shared" si="7"/>
        <v>43775</v>
      </c>
      <c r="J115" s="1443">
        <f t="shared" si="8"/>
        <v>0</v>
      </c>
    </row>
    <row r="116" spans="1:10" s="698" customFormat="1" x14ac:dyDescent="0.3">
      <c r="A116" s="1439" t="s">
        <v>176</v>
      </c>
      <c r="B116" s="1439" t="s">
        <v>177</v>
      </c>
      <c r="C116" s="1440" t="s">
        <v>254</v>
      </c>
      <c r="D116" s="1441">
        <v>-1365.72</v>
      </c>
      <c r="E116" s="1441">
        <v>483491.7</v>
      </c>
      <c r="F116" s="1441">
        <v>121290.8</v>
      </c>
      <c r="G116" s="2070">
        <v>0</v>
      </c>
      <c r="H116" s="1442">
        <v>0</v>
      </c>
      <c r="I116" s="1444">
        <f t="shared" si="7"/>
        <v>603416.78</v>
      </c>
      <c r="J116" s="1443">
        <f t="shared" si="8"/>
        <v>0</v>
      </c>
    </row>
    <row r="117" spans="1:10" s="698" customFormat="1" x14ac:dyDescent="0.3">
      <c r="A117" s="1439" t="s">
        <v>180</v>
      </c>
      <c r="B117" s="1439" t="s">
        <v>181</v>
      </c>
      <c r="C117" s="1440" t="s">
        <v>252</v>
      </c>
      <c r="D117" s="1441">
        <v>55869.909999999996</v>
      </c>
      <c r="E117" s="1441">
        <v>365805.99</v>
      </c>
      <c r="F117" s="1441">
        <v>98196.05</v>
      </c>
      <c r="G117" s="2070">
        <v>0</v>
      </c>
      <c r="H117" s="1442">
        <v>0</v>
      </c>
      <c r="I117" s="1444">
        <f t="shared" si="7"/>
        <v>519871.94999999995</v>
      </c>
      <c r="J117" s="1443">
        <f t="shared" si="8"/>
        <v>0</v>
      </c>
    </row>
    <row r="118" spans="1:10" s="698" customFormat="1" x14ac:dyDescent="0.3">
      <c r="A118" s="1439" t="s">
        <v>192</v>
      </c>
      <c r="B118" s="1439" t="s">
        <v>193</v>
      </c>
      <c r="C118" s="1440" t="s">
        <v>256</v>
      </c>
      <c r="D118" s="1441">
        <v>0</v>
      </c>
      <c r="E118" s="1441">
        <v>72574.399999999994</v>
      </c>
      <c r="F118" s="1441">
        <v>18143.599999999999</v>
      </c>
      <c r="G118" s="2070">
        <v>0</v>
      </c>
      <c r="H118" s="1442">
        <v>0</v>
      </c>
      <c r="I118" s="1444">
        <f t="shared" si="7"/>
        <v>90718</v>
      </c>
      <c r="J118" s="1443">
        <f t="shared" si="8"/>
        <v>0</v>
      </c>
    </row>
    <row r="119" spans="1:10" s="698" customFormat="1" x14ac:dyDescent="0.3">
      <c r="A119" s="1439" t="s">
        <v>196</v>
      </c>
      <c r="B119" s="1439" t="s">
        <v>300</v>
      </c>
      <c r="C119" s="1440" t="s">
        <v>254</v>
      </c>
      <c r="D119" s="1441">
        <v>-564.36</v>
      </c>
      <c r="E119" s="1441">
        <v>1876450.08</v>
      </c>
      <c r="F119" s="1441">
        <v>472568.7</v>
      </c>
      <c r="G119" s="2070">
        <v>22445.5</v>
      </c>
      <c r="H119" s="1442">
        <v>6605.31</v>
      </c>
      <c r="I119" s="1444">
        <f t="shared" si="7"/>
        <v>2377505.23</v>
      </c>
      <c r="J119" s="1443">
        <f t="shared" si="8"/>
        <v>29050.81</v>
      </c>
    </row>
    <row r="120" spans="1:10" s="698" customFormat="1" x14ac:dyDescent="0.3">
      <c r="A120" s="1439" t="s">
        <v>200</v>
      </c>
      <c r="B120" s="1439" t="s">
        <v>301</v>
      </c>
      <c r="C120" s="1440" t="s">
        <v>253</v>
      </c>
      <c r="D120" s="1441">
        <v>183734.2</v>
      </c>
      <c r="E120" s="1441">
        <v>574405.42000000004</v>
      </c>
      <c r="F120" s="1441">
        <v>144658.6</v>
      </c>
      <c r="G120" s="2070">
        <v>-327.2</v>
      </c>
      <c r="H120" s="1442">
        <v>1963</v>
      </c>
      <c r="I120" s="1444">
        <f t="shared" si="7"/>
        <v>904434.02000000014</v>
      </c>
      <c r="J120" s="1443">
        <f t="shared" si="8"/>
        <v>1635.8</v>
      </c>
    </row>
    <row r="121" spans="1:10" s="698" customFormat="1" x14ac:dyDescent="0.3">
      <c r="A121" s="1439" t="s">
        <v>222</v>
      </c>
      <c r="B121" s="1439" t="s">
        <v>223</v>
      </c>
      <c r="C121" s="1440" t="s">
        <v>252</v>
      </c>
      <c r="D121" s="1441">
        <v>-716.52</v>
      </c>
      <c r="E121" s="1441">
        <v>118133.18000000001</v>
      </c>
      <c r="F121" s="1441">
        <v>29705.4</v>
      </c>
      <c r="G121" s="2070">
        <v>0</v>
      </c>
      <c r="H121" s="1442">
        <v>6150</v>
      </c>
      <c r="I121" s="1444">
        <f t="shared" si="7"/>
        <v>153272.06</v>
      </c>
      <c r="J121" s="1443">
        <f t="shared" si="8"/>
        <v>6150</v>
      </c>
    </row>
    <row r="122" spans="1:10" s="698" customFormat="1" x14ac:dyDescent="0.3">
      <c r="A122" s="1439" t="s">
        <v>230</v>
      </c>
      <c r="B122" s="1439" t="s">
        <v>231</v>
      </c>
      <c r="C122" s="1440" t="s">
        <v>252</v>
      </c>
      <c r="D122" s="1441">
        <v>160687.04000000001</v>
      </c>
      <c r="E122" s="1441">
        <v>617089.39</v>
      </c>
      <c r="F122" s="1441">
        <v>170269.31</v>
      </c>
      <c r="G122" s="2070">
        <v>43468.08</v>
      </c>
      <c r="H122" s="1442">
        <v>0</v>
      </c>
      <c r="I122" s="1444">
        <f t="shared" si="7"/>
        <v>991513.82</v>
      </c>
      <c r="J122" s="1443">
        <f t="shared" si="8"/>
        <v>43468.08</v>
      </c>
    </row>
    <row r="123" spans="1:10" s="698" customFormat="1" x14ac:dyDescent="0.3">
      <c r="A123" s="1445" t="s">
        <v>238</v>
      </c>
      <c r="B123" s="1445" t="s">
        <v>239</v>
      </c>
      <c r="C123" s="1440" t="s">
        <v>252</v>
      </c>
      <c r="D123" s="1441">
        <v>0</v>
      </c>
      <c r="E123" s="1441">
        <v>93133.6</v>
      </c>
      <c r="F123" s="1441">
        <v>23283.4</v>
      </c>
      <c r="G123" s="2070">
        <v>0</v>
      </c>
      <c r="H123" s="1442">
        <v>21635.040000000001</v>
      </c>
      <c r="I123" s="1444">
        <f t="shared" si="7"/>
        <v>138052.04</v>
      </c>
      <c r="J123" s="1443">
        <f t="shared" si="8"/>
        <v>21635.040000000001</v>
      </c>
    </row>
    <row r="124" spans="1:10" s="698" customFormat="1" x14ac:dyDescent="0.3">
      <c r="A124" s="1633" t="s">
        <v>240</v>
      </c>
      <c r="B124" s="1633" t="s">
        <v>241</v>
      </c>
      <c r="C124" s="1446" t="s">
        <v>255</v>
      </c>
      <c r="D124" s="1447">
        <v>-25.5</v>
      </c>
      <c r="E124" s="1447">
        <v>80615.5</v>
      </c>
      <c r="F124" s="1447">
        <v>20160</v>
      </c>
      <c r="G124" s="2071">
        <v>0</v>
      </c>
      <c r="H124" s="1448">
        <v>8431.36</v>
      </c>
      <c r="I124" s="1450">
        <f t="shared" si="7"/>
        <v>109181.36</v>
      </c>
      <c r="J124" s="1449">
        <f t="shared" si="8"/>
        <v>8431.36</v>
      </c>
    </row>
    <row r="126" spans="1:10" x14ac:dyDescent="0.3">
      <c r="A126" s="1451" t="s">
        <v>254</v>
      </c>
      <c r="B126" s="1451"/>
      <c r="C126" s="1451"/>
      <c r="D126" s="1581">
        <v>594810.68000000005</v>
      </c>
      <c r="E126" s="1581">
        <v>4435360.5399999991</v>
      </c>
      <c r="F126" s="1581">
        <v>1151895.25</v>
      </c>
      <c r="G126" s="2072">
        <v>252209.48</v>
      </c>
      <c r="H126" s="1581">
        <v>6625.31</v>
      </c>
      <c r="I126" s="1582">
        <f t="shared" ref="I126:I130" si="9">SUM(D126:H126)</f>
        <v>6440901.2599999988</v>
      </c>
      <c r="J126" s="1581">
        <f t="shared" ref="J126:J130" si="10">G126+H126</f>
        <v>258834.79</v>
      </c>
    </row>
    <row r="127" spans="1:10" x14ac:dyDescent="0.3">
      <c r="A127" s="1452" t="s">
        <v>252</v>
      </c>
      <c r="B127" s="1452"/>
      <c r="C127" s="1452"/>
      <c r="D127" s="1583">
        <v>425868.81</v>
      </c>
      <c r="E127" s="1583">
        <v>4085363.9200000013</v>
      </c>
      <c r="F127" s="1583">
        <v>1069465.6900000002</v>
      </c>
      <c r="G127" s="1583">
        <v>43092.23</v>
      </c>
      <c r="H127" s="1583">
        <v>27785.040000000001</v>
      </c>
      <c r="I127" s="1584">
        <f t="shared" si="9"/>
        <v>5651575.6900000023</v>
      </c>
      <c r="J127" s="1583">
        <f t="shared" si="10"/>
        <v>70877.27</v>
      </c>
    </row>
    <row r="128" spans="1:10" x14ac:dyDescent="0.3">
      <c r="A128" s="1452" t="s">
        <v>255</v>
      </c>
      <c r="B128" s="1452"/>
      <c r="C128" s="1452"/>
      <c r="D128" s="1583">
        <v>753150.53000000014</v>
      </c>
      <c r="E128" s="1583">
        <v>3222117.4099999992</v>
      </c>
      <c r="F128" s="1583">
        <v>832091.44</v>
      </c>
      <c r="G128" s="1583">
        <v>356039.62</v>
      </c>
      <c r="H128" s="1583">
        <v>30426.920000000002</v>
      </c>
      <c r="I128" s="1584">
        <f t="shared" si="9"/>
        <v>5193825.919999999</v>
      </c>
      <c r="J128" s="1583">
        <f t="shared" si="10"/>
        <v>386466.54</v>
      </c>
    </row>
    <row r="129" spans="1:10" x14ac:dyDescent="0.3">
      <c r="A129" s="1452" t="s">
        <v>253</v>
      </c>
      <c r="B129" s="1452"/>
      <c r="C129" s="1452"/>
      <c r="D129" s="1583">
        <v>550539.87999999966</v>
      </c>
      <c r="E129" s="1583">
        <v>3235329.1000000006</v>
      </c>
      <c r="F129" s="1583">
        <v>824119.88000000012</v>
      </c>
      <c r="G129" s="1583">
        <v>51764.729999999996</v>
      </c>
      <c r="H129" s="1583">
        <v>1963</v>
      </c>
      <c r="I129" s="1584">
        <f t="shared" si="9"/>
        <v>4663716.5900000008</v>
      </c>
      <c r="J129" s="1583">
        <f t="shared" si="10"/>
        <v>53727.729999999996</v>
      </c>
    </row>
    <row r="130" spans="1:10" x14ac:dyDescent="0.3">
      <c r="A130" s="1452" t="s">
        <v>256</v>
      </c>
      <c r="B130" s="1452"/>
      <c r="C130" s="1452"/>
      <c r="D130" s="1583">
        <v>-5229.1599999999989</v>
      </c>
      <c r="E130" s="1583">
        <v>3394439.81</v>
      </c>
      <c r="F130" s="1583">
        <v>850082.98999999987</v>
      </c>
      <c r="G130" s="1583">
        <v>47418.259999999995</v>
      </c>
      <c r="H130" s="1583">
        <v>4000</v>
      </c>
      <c r="I130" s="1584">
        <f t="shared" si="9"/>
        <v>4290711.8999999994</v>
      </c>
      <c r="J130" s="1583">
        <f t="shared" si="10"/>
        <v>51418.259999999995</v>
      </c>
    </row>
    <row r="131" spans="1:10" x14ac:dyDescent="0.3">
      <c r="A131" s="1453" t="s">
        <v>9</v>
      </c>
      <c r="B131" s="1453"/>
      <c r="C131" s="1453"/>
      <c r="D131" s="1585">
        <f>SUM(D126:D130)</f>
        <v>2319140.7399999993</v>
      </c>
      <c r="E131" s="1585">
        <f t="shared" ref="E131:I131" si="11">SUM(E126:E130)</f>
        <v>18372610.780000001</v>
      </c>
      <c r="F131" s="1585">
        <f t="shared" si="11"/>
        <v>4727655.2500000009</v>
      </c>
      <c r="G131" s="1585">
        <f t="shared" si="11"/>
        <v>750524.32000000007</v>
      </c>
      <c r="H131" s="1585">
        <f t="shared" si="11"/>
        <v>70800.27</v>
      </c>
      <c r="I131" s="1586">
        <f t="shared" si="11"/>
        <v>26240731.359999999</v>
      </c>
      <c r="J131" s="1585">
        <f>SUM(J126:J130)</f>
        <v>821324.59</v>
      </c>
    </row>
    <row r="133" spans="1:10" s="339" customFormat="1" x14ac:dyDescent="0.3">
      <c r="A133" s="839" t="s">
        <v>1105</v>
      </c>
      <c r="B133" s="605"/>
      <c r="C133" s="605"/>
      <c r="D133" s="558"/>
    </row>
    <row r="134" spans="1:10" s="339" customFormat="1" x14ac:dyDescent="0.3"/>
    <row r="135" spans="1:10" s="359" customFormat="1" x14ac:dyDescent="0.3">
      <c r="A135" s="359" t="s">
        <v>248</v>
      </c>
      <c r="J135" s="1198"/>
    </row>
    <row r="136" spans="1:10" x14ac:dyDescent="0.3">
      <c r="A136" s="360" t="s">
        <v>249</v>
      </c>
      <c r="B136" s="361" t="s">
        <v>250</v>
      </c>
      <c r="C136" s="361"/>
    </row>
  </sheetData>
  <autoFilter ref="A3:C124"/>
  <sortState ref="A5:J124">
    <sortCondition ref="A5:A124"/>
  </sortState>
  <hyperlinks>
    <hyperlink ref="B136" r:id="rId1"/>
  </hyperlinks>
  <pageMargins left="0.7" right="0.7" top="0.75" bottom="0.75" header="0.3" footer="0.3"/>
  <pageSetup orientation="portrait"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37"/>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RowHeight="15.6" x14ac:dyDescent="0.3"/>
  <cols>
    <col min="1" max="1" width="9.59765625" style="134" customWidth="1"/>
    <col min="2" max="2" width="29.296875" style="157" customWidth="1"/>
    <col min="3" max="3" width="9.19921875" style="157" customWidth="1"/>
    <col min="4" max="5" width="17.296875" bestFit="1" customWidth="1"/>
    <col min="6" max="6" width="13.296875" customWidth="1"/>
    <col min="7" max="7" width="11.796875" customWidth="1"/>
    <col min="8" max="8" width="15.09765625" customWidth="1"/>
    <col min="9" max="9" width="13.796875" customWidth="1"/>
  </cols>
  <sheetData>
    <row r="1" spans="1:9" x14ac:dyDescent="0.3">
      <c r="A1" s="620" t="s">
        <v>1157</v>
      </c>
      <c r="B1" s="621"/>
      <c r="C1" s="621"/>
    </row>
    <row r="4" spans="1:9" x14ac:dyDescent="0.3">
      <c r="A4" s="1636" t="s">
        <v>4</v>
      </c>
      <c r="B4" s="1637" t="s">
        <v>5</v>
      </c>
      <c r="C4" s="1637" t="s">
        <v>251</v>
      </c>
      <c r="D4" s="1643" t="s">
        <v>302</v>
      </c>
      <c r="E4" s="1644" t="s">
        <v>303</v>
      </c>
      <c r="F4" s="1644" t="s">
        <v>304</v>
      </c>
      <c r="G4" s="1644" t="s">
        <v>292</v>
      </c>
      <c r="H4" s="1644" t="s">
        <v>269</v>
      </c>
      <c r="I4" s="1645" t="s">
        <v>523</v>
      </c>
    </row>
    <row r="5" spans="1:9" x14ac:dyDescent="0.3">
      <c r="A5" s="1638" t="s">
        <v>8</v>
      </c>
      <c r="B5" s="1639" t="s">
        <v>9</v>
      </c>
      <c r="C5" s="1639"/>
      <c r="D5" s="1646">
        <f>SUM(D6:D125)</f>
        <v>6445308458.8074598</v>
      </c>
      <c r="E5" s="1647">
        <f t="shared" ref="E5:I5" si="0">SUM(E6:E125)</f>
        <v>5250228282.0447626</v>
      </c>
      <c r="F5" s="1647">
        <f t="shared" si="0"/>
        <v>157683789.44</v>
      </c>
      <c r="G5" s="1647">
        <f t="shared" si="0"/>
        <v>0</v>
      </c>
      <c r="H5" s="1648">
        <f t="shared" si="0"/>
        <v>11853220530.292227</v>
      </c>
      <c r="I5" s="1649">
        <f t="shared" si="0"/>
        <v>157683789.44</v>
      </c>
    </row>
    <row r="6" spans="1:9" x14ac:dyDescent="0.3">
      <c r="A6" s="1634" t="s">
        <v>10</v>
      </c>
      <c r="B6" s="1635" t="s">
        <v>11</v>
      </c>
      <c r="C6" s="1161" t="s">
        <v>252</v>
      </c>
      <c r="D6" s="1650">
        <f>'CSA LASER'!D5+'Medicaid &amp; FAMIS - LASER'!E5+'SNAP LASER'!E5+'Energy Assistance LASER'!E5+'TANF LASER'!D5+'ChildCare LASER'!I5</f>
        <v>41925371.179739952</v>
      </c>
      <c r="E6" s="1651">
        <f>'CSA LASER'!E5+'Medicaid &amp; FAMIS - LASER'!F5+'Energy Assistance LASER'!F5+'TANF LASER'!E5+'ChildCare LASER'!J5</f>
        <v>32361820.176644623</v>
      </c>
      <c r="F6" s="1651">
        <f>'CSA LASER'!F5+'Medicaid &amp; FAMIS - LASER'!G5+'Energy Assistance LASER'!G5+'TANF LASER'!F5</f>
        <v>212439.32</v>
      </c>
      <c r="G6" s="1651">
        <f>'CSA LASER'!G5+'Energy Assistance LASER'!H5+'TANF LASER'!G5</f>
        <v>0</v>
      </c>
      <c r="H6" s="1651">
        <f>SUM(D6:G6)</f>
        <v>74499630.676384568</v>
      </c>
      <c r="I6" s="1652">
        <f t="shared" ref="I6:I69" si="1">F6+G6</f>
        <v>212439.32</v>
      </c>
    </row>
    <row r="7" spans="1:9" x14ac:dyDescent="0.3">
      <c r="A7" s="1634" t="s">
        <v>12</v>
      </c>
      <c r="B7" s="1635" t="s">
        <v>13</v>
      </c>
      <c r="C7" s="1161" t="s">
        <v>253</v>
      </c>
      <c r="D7" s="1650">
        <f>'CSA LASER'!D6+'Medicaid &amp; FAMIS - LASER'!E6+'SNAP LASER'!E6+'Energy Assistance LASER'!E6+'TANF LASER'!D6+'ChildCare LASER'!I6</f>
        <v>49824416.886633806</v>
      </c>
      <c r="E7" s="1651">
        <f>'CSA LASER'!E6+'Medicaid &amp; FAMIS - LASER'!F6+'Energy Assistance LASER'!F6+'TANF LASER'!E6+'ChildCare LASER'!J6</f>
        <v>45543926.195036426</v>
      </c>
      <c r="F7" s="1651">
        <f>'CSA LASER'!F6+'Medicaid &amp; FAMIS - LASER'!G6+'Energy Assistance LASER'!G6+'TANF LASER'!F6</f>
        <v>3614622.55</v>
      </c>
      <c r="G7" s="1651">
        <f>'CSA LASER'!G6+'Energy Assistance LASER'!H6+'TANF LASER'!G6</f>
        <v>0</v>
      </c>
      <c r="H7" s="1651">
        <f t="shared" ref="H7:H70" si="2">SUM(D7:G7)</f>
        <v>98982965.631670222</v>
      </c>
      <c r="I7" s="1652">
        <f t="shared" si="1"/>
        <v>3614622.55</v>
      </c>
    </row>
    <row r="8" spans="1:9" x14ac:dyDescent="0.3">
      <c r="A8" s="1634" t="s">
        <v>16</v>
      </c>
      <c r="B8" s="1635" t="s">
        <v>285</v>
      </c>
      <c r="C8" s="1161" t="s">
        <v>253</v>
      </c>
      <c r="D8" s="1650">
        <f>'CSA LASER'!D7+'Medicaid &amp; FAMIS - LASER'!E7+'SNAP LASER'!E7+'Energy Assistance LASER'!E7+'TANF LASER'!D7+'ChildCare LASER'!I7</f>
        <v>26264194.444005325</v>
      </c>
      <c r="E8" s="1651">
        <f>'CSA LASER'!E7+'Medicaid &amp; FAMIS - LASER'!F7+'Energy Assistance LASER'!F7+'TANF LASER'!E7+'ChildCare LASER'!J7</f>
        <v>23691633.220893081</v>
      </c>
      <c r="F8" s="1651">
        <f>'CSA LASER'!F7+'Medicaid &amp; FAMIS - LASER'!G7+'Energy Assistance LASER'!G7+'TANF LASER'!F7</f>
        <v>822252.70000000007</v>
      </c>
      <c r="G8" s="1651">
        <f>'CSA LASER'!G7+'Energy Assistance LASER'!H7+'TANF LASER'!G7</f>
        <v>0</v>
      </c>
      <c r="H8" s="1651">
        <f t="shared" si="2"/>
        <v>50778080.364898413</v>
      </c>
      <c r="I8" s="1652">
        <f t="shared" si="1"/>
        <v>822252.70000000007</v>
      </c>
    </row>
    <row r="9" spans="1:9" x14ac:dyDescent="0.3">
      <c r="A9" s="1634" t="s">
        <v>18</v>
      </c>
      <c r="B9" s="1635" t="s">
        <v>19</v>
      </c>
      <c r="C9" s="1161" t="s">
        <v>254</v>
      </c>
      <c r="D9" s="1650">
        <f>'CSA LASER'!D8+'Medicaid &amp; FAMIS - LASER'!E8+'SNAP LASER'!E8+'Energy Assistance LASER'!E8+'TANF LASER'!D8+'ChildCare LASER'!I8</f>
        <v>12578225.896937393</v>
      </c>
      <c r="E9" s="1651">
        <f>'CSA LASER'!E8+'Medicaid &amp; FAMIS - LASER'!F8+'Energy Assistance LASER'!F8+'TANF LASER'!E8+'ChildCare LASER'!J8</f>
        <v>10297775.397921734</v>
      </c>
      <c r="F9" s="1651">
        <f>'CSA LASER'!F8+'Medicaid &amp; FAMIS - LASER'!G8+'Energy Assistance LASER'!G8+'TANF LASER'!F8</f>
        <v>206968.34</v>
      </c>
      <c r="G9" s="1651">
        <f>'CSA LASER'!G8+'Energy Assistance LASER'!H8+'TANF LASER'!G8</f>
        <v>0</v>
      </c>
      <c r="H9" s="1651">
        <f t="shared" si="2"/>
        <v>23082969.634859126</v>
      </c>
      <c r="I9" s="1652">
        <f t="shared" si="1"/>
        <v>206968.34</v>
      </c>
    </row>
    <row r="10" spans="1:9" x14ac:dyDescent="0.3">
      <c r="A10" s="1634" t="s">
        <v>20</v>
      </c>
      <c r="B10" s="1635" t="s">
        <v>21</v>
      </c>
      <c r="C10" s="1161" t="s">
        <v>253</v>
      </c>
      <c r="D10" s="1650">
        <f>'CSA LASER'!D9+'Medicaid &amp; FAMIS - LASER'!E9+'SNAP LASER'!E9+'Energy Assistance LASER'!E9+'TANF LASER'!D9+'ChildCare LASER'!I9</f>
        <v>33485252.239661694</v>
      </c>
      <c r="E10" s="1651">
        <f>'CSA LASER'!E9+'Medicaid &amp; FAMIS - LASER'!F9+'Energy Assistance LASER'!F9+'TANF LASER'!E9+'ChildCare LASER'!J9</f>
        <v>28347779.203747552</v>
      </c>
      <c r="F10" s="1651">
        <f>'CSA LASER'!F9+'Medicaid &amp; FAMIS - LASER'!G9+'Energy Assistance LASER'!G9+'TANF LASER'!F9</f>
        <v>530017.06999999995</v>
      </c>
      <c r="G10" s="1651">
        <f>'CSA LASER'!G9+'Energy Assistance LASER'!H9+'TANF LASER'!G9</f>
        <v>0</v>
      </c>
      <c r="H10" s="1651">
        <f t="shared" si="2"/>
        <v>62363048.513409249</v>
      </c>
      <c r="I10" s="1652">
        <f t="shared" si="1"/>
        <v>530017.06999999995</v>
      </c>
    </row>
    <row r="11" spans="1:9" x14ac:dyDescent="0.3">
      <c r="A11" s="1634" t="s">
        <v>22</v>
      </c>
      <c r="B11" s="1635" t="s">
        <v>23</v>
      </c>
      <c r="C11" s="1161" t="s">
        <v>253</v>
      </c>
      <c r="D11" s="1650">
        <f>'CSA LASER'!D10+'Medicaid &amp; FAMIS - LASER'!E10+'SNAP LASER'!E10+'Energy Assistance LASER'!E10+'TANF LASER'!D10+'ChildCare LASER'!I10</f>
        <v>19363722.212818656</v>
      </c>
      <c r="E11" s="1651">
        <f>'CSA LASER'!E10+'Medicaid &amp; FAMIS - LASER'!F10+'Energy Assistance LASER'!F10+'TANF LASER'!E10+'ChildCare LASER'!J10</f>
        <v>16756796.861948475</v>
      </c>
      <c r="F11" s="1651">
        <f>'CSA LASER'!F10+'Medicaid &amp; FAMIS - LASER'!G10+'Energy Assistance LASER'!G10+'TANF LASER'!F10</f>
        <v>513519.99</v>
      </c>
      <c r="G11" s="1651">
        <f>'CSA LASER'!G10+'Energy Assistance LASER'!H10+'TANF LASER'!G10</f>
        <v>0</v>
      </c>
      <c r="H11" s="1651">
        <f t="shared" si="2"/>
        <v>36634039.06476713</v>
      </c>
      <c r="I11" s="1652">
        <f t="shared" si="1"/>
        <v>513519.99</v>
      </c>
    </row>
    <row r="12" spans="1:9" x14ac:dyDescent="0.3">
      <c r="A12" s="1634" t="s">
        <v>24</v>
      </c>
      <c r="B12" s="1635" t="s">
        <v>25</v>
      </c>
      <c r="C12" s="1161" t="s">
        <v>255</v>
      </c>
      <c r="D12" s="1650">
        <f>'CSA LASER'!D11+'Medicaid &amp; FAMIS - LASER'!E11+'SNAP LASER'!E11+'Energy Assistance LASER'!E11+'TANF LASER'!D11+'ChildCare LASER'!I11</f>
        <v>77595912.049523503</v>
      </c>
      <c r="E12" s="1651">
        <f>'CSA LASER'!E11+'Medicaid &amp; FAMIS - LASER'!F11+'Energy Assistance LASER'!F11+'TANF LASER'!E11+'ChildCare LASER'!J11</f>
        <v>64608855.353579178</v>
      </c>
      <c r="F12" s="1651">
        <f>'CSA LASER'!F11+'Medicaid &amp; FAMIS - LASER'!G11+'Energy Assistance LASER'!G11+'TANF LASER'!F11</f>
        <v>1685103.9900000002</v>
      </c>
      <c r="G12" s="1651">
        <f>'CSA LASER'!G11+'Energy Assistance LASER'!H11+'TANF LASER'!G11</f>
        <v>0</v>
      </c>
      <c r="H12" s="1651">
        <f t="shared" si="2"/>
        <v>143889871.39310271</v>
      </c>
      <c r="I12" s="1652">
        <f t="shared" si="1"/>
        <v>1685103.9900000002</v>
      </c>
    </row>
    <row r="13" spans="1:9" x14ac:dyDescent="0.3">
      <c r="A13" s="1634" t="s">
        <v>26</v>
      </c>
      <c r="B13" s="1635" t="s">
        <v>286</v>
      </c>
      <c r="C13" s="1161" t="s">
        <v>253</v>
      </c>
      <c r="D13" s="1650">
        <f>'CSA LASER'!D12+'Medicaid &amp; FAMIS - LASER'!E12+'SNAP LASER'!E12+'Energy Assistance LASER'!E12+'TANF LASER'!D12+'ChildCare LASER'!I12</f>
        <v>101323125.4203552</v>
      </c>
      <c r="E13" s="1651">
        <f>'CSA LASER'!E12+'Medicaid &amp; FAMIS - LASER'!F12+'Energy Assistance LASER'!F12+'TANF LASER'!E12+'ChildCare LASER'!J12</f>
        <v>88560464.788418666</v>
      </c>
      <c r="F13" s="1651">
        <f>'CSA LASER'!F12+'Medicaid &amp; FAMIS - LASER'!G12+'Energy Assistance LASER'!G12+'TANF LASER'!F12</f>
        <v>4167622.4400000004</v>
      </c>
      <c r="G13" s="1651">
        <f>'CSA LASER'!G12+'Energy Assistance LASER'!H12+'TANF LASER'!G12</f>
        <v>0</v>
      </c>
      <c r="H13" s="1651">
        <f t="shared" si="2"/>
        <v>194051212.64877385</v>
      </c>
      <c r="I13" s="1652">
        <f t="shared" si="1"/>
        <v>4167622.4400000004</v>
      </c>
    </row>
    <row r="14" spans="1:9" x14ac:dyDescent="0.3">
      <c r="A14" s="1634" t="s">
        <v>27</v>
      </c>
      <c r="B14" s="1635" t="s">
        <v>28</v>
      </c>
      <c r="C14" s="1161" t="s">
        <v>253</v>
      </c>
      <c r="D14" s="1650">
        <f>'CSA LASER'!D13+'Medicaid &amp; FAMIS - LASER'!E13+'SNAP LASER'!E13+'Energy Assistance LASER'!E13+'TANF LASER'!D13+'ChildCare LASER'!I13</f>
        <v>2956931.7587511223</v>
      </c>
      <c r="E14" s="1651">
        <f>'CSA LASER'!E13+'Medicaid &amp; FAMIS - LASER'!F13+'Energy Assistance LASER'!F13+'TANF LASER'!E13+'ChildCare LASER'!J13</f>
        <v>2496226.8593759341</v>
      </c>
      <c r="F14" s="1651">
        <f>'CSA LASER'!F13+'Medicaid &amp; FAMIS - LASER'!G13+'Energy Assistance LASER'!G13+'TANF LASER'!F13</f>
        <v>45456.94</v>
      </c>
      <c r="G14" s="1651">
        <f>'CSA LASER'!G13+'Energy Assistance LASER'!H13+'TANF LASER'!G13</f>
        <v>0</v>
      </c>
      <c r="H14" s="1651">
        <f t="shared" si="2"/>
        <v>5498615.5581270568</v>
      </c>
      <c r="I14" s="1652">
        <f t="shared" si="1"/>
        <v>45456.94</v>
      </c>
    </row>
    <row r="15" spans="1:9" x14ac:dyDescent="0.3">
      <c r="A15" s="1634" t="s">
        <v>29</v>
      </c>
      <c r="B15" s="1635" t="s">
        <v>736</v>
      </c>
      <c r="C15" s="1161" t="s">
        <v>253</v>
      </c>
      <c r="D15" s="1650">
        <f>'CSA LASER'!D14+'Medicaid &amp; FAMIS - LASER'!E14+'SNAP LASER'!E14+'Energy Assistance LASER'!E14+'TANF LASER'!D14+'ChildCare LASER'!I14</f>
        <v>58908896.148004904</v>
      </c>
      <c r="E15" s="1651">
        <f>'CSA LASER'!E14+'Medicaid &amp; FAMIS - LASER'!F14+'Energy Assistance LASER'!F14+'TANF LASER'!E14+'ChildCare LASER'!J14</f>
        <v>51993359.942800455</v>
      </c>
      <c r="F15" s="1651">
        <f>'CSA LASER'!F14+'Medicaid &amp; FAMIS - LASER'!G14+'Energy Assistance LASER'!G14+'TANF LASER'!F14</f>
        <v>1798530.06</v>
      </c>
      <c r="G15" s="1651">
        <f>'CSA LASER'!G14+'Energy Assistance LASER'!H14+'TANF LASER'!G14</f>
        <v>0</v>
      </c>
      <c r="H15" s="1651">
        <f t="shared" si="2"/>
        <v>112700786.15080535</v>
      </c>
      <c r="I15" s="1652">
        <f t="shared" si="1"/>
        <v>1798530.06</v>
      </c>
    </row>
    <row r="16" spans="1:9" x14ac:dyDescent="0.3">
      <c r="A16" s="1634" t="s">
        <v>30</v>
      </c>
      <c r="B16" s="1635" t="s">
        <v>31</v>
      </c>
      <c r="C16" s="1161" t="s">
        <v>256</v>
      </c>
      <c r="D16" s="1650">
        <f>'CSA LASER'!D15+'Medicaid &amp; FAMIS - LASER'!E15+'SNAP LASER'!E15+'Energy Assistance LASER'!E15+'TANF LASER'!D15+'ChildCare LASER'!I15</f>
        <v>4465298.9286887189</v>
      </c>
      <c r="E16" s="1651">
        <f>'CSA LASER'!E15+'Medicaid &amp; FAMIS - LASER'!F15+'Energy Assistance LASER'!F15+'TANF LASER'!E15+'ChildCare LASER'!J15</f>
        <v>3944282.5324754408</v>
      </c>
      <c r="F16" s="1651">
        <f>'CSA LASER'!F15+'Medicaid &amp; FAMIS - LASER'!G15+'Energy Assistance LASER'!G15+'TANF LASER'!F15</f>
        <v>76675.920000000013</v>
      </c>
      <c r="G16" s="1651">
        <f>'CSA LASER'!G15+'Energy Assistance LASER'!H15+'TANF LASER'!G15</f>
        <v>0</v>
      </c>
      <c r="H16" s="1651">
        <f t="shared" si="2"/>
        <v>8486257.3811641596</v>
      </c>
      <c r="I16" s="1652">
        <f t="shared" si="1"/>
        <v>76675.920000000013</v>
      </c>
    </row>
    <row r="17" spans="1:9" x14ac:dyDescent="0.3">
      <c r="A17" s="1634" t="s">
        <v>32</v>
      </c>
      <c r="B17" s="1635" t="s">
        <v>33</v>
      </c>
      <c r="C17" s="1161" t="s">
        <v>253</v>
      </c>
      <c r="D17" s="1650">
        <f>'CSA LASER'!D16+'Medicaid &amp; FAMIS - LASER'!E16+'SNAP LASER'!E16+'Energy Assistance LASER'!E16+'TANF LASER'!D16+'ChildCare LASER'!I16</f>
        <v>19203190.158801533</v>
      </c>
      <c r="E17" s="1651">
        <f>'CSA LASER'!E16+'Medicaid &amp; FAMIS - LASER'!F16+'Energy Assistance LASER'!F16+'TANF LASER'!E16+'ChildCare LASER'!J16</f>
        <v>17014031.59089756</v>
      </c>
      <c r="F17" s="1651">
        <f>'CSA LASER'!F16+'Medicaid &amp; FAMIS - LASER'!G16+'Energy Assistance LASER'!G16+'TANF LASER'!F16</f>
        <v>458436.86</v>
      </c>
      <c r="G17" s="1651">
        <f>'CSA LASER'!G16+'Energy Assistance LASER'!H16+'TANF LASER'!G16</f>
        <v>0</v>
      </c>
      <c r="H17" s="1651">
        <f t="shared" si="2"/>
        <v>36675658.609699093</v>
      </c>
      <c r="I17" s="1652">
        <f t="shared" si="1"/>
        <v>458436.86</v>
      </c>
    </row>
    <row r="18" spans="1:9" x14ac:dyDescent="0.3">
      <c r="A18" s="1634" t="s">
        <v>36</v>
      </c>
      <c r="B18" s="1635" t="s">
        <v>37</v>
      </c>
      <c r="C18" s="1161" t="s">
        <v>252</v>
      </c>
      <c r="D18" s="1650">
        <f>'CSA LASER'!D17+'Medicaid &amp; FAMIS - LASER'!E17+'SNAP LASER'!E17+'Energy Assistance LASER'!E17+'TANF LASER'!D17+'ChildCare LASER'!I17</f>
        <v>26187162.63731325</v>
      </c>
      <c r="E18" s="1651">
        <f>'CSA LASER'!E17+'Medicaid &amp; FAMIS - LASER'!F17+'Energy Assistance LASER'!F17+'TANF LASER'!E17+'ChildCare LASER'!J17</f>
        <v>21491401.658447631</v>
      </c>
      <c r="F18" s="1651">
        <f>'CSA LASER'!F17+'Medicaid &amp; FAMIS - LASER'!G17+'Energy Assistance LASER'!G17+'TANF LASER'!F17</f>
        <v>254168.08</v>
      </c>
      <c r="G18" s="1651">
        <f>'CSA LASER'!G17+'Energy Assistance LASER'!H17+'TANF LASER'!G17</f>
        <v>0</v>
      </c>
      <c r="H18" s="1651">
        <f t="shared" si="2"/>
        <v>47932732.375760883</v>
      </c>
      <c r="I18" s="1652">
        <f t="shared" si="1"/>
        <v>254168.08</v>
      </c>
    </row>
    <row r="19" spans="1:9" x14ac:dyDescent="0.3">
      <c r="A19" s="1634" t="s">
        <v>38</v>
      </c>
      <c r="B19" s="1635" t="s">
        <v>39</v>
      </c>
      <c r="C19" s="1161" t="s">
        <v>256</v>
      </c>
      <c r="D19" s="1650">
        <f>'CSA LASER'!D18+'Medicaid &amp; FAMIS - LASER'!E18+'SNAP LASER'!E18+'Energy Assistance LASER'!E18+'TANF LASER'!D18+'ChildCare LASER'!I18</f>
        <v>34601934.189699799</v>
      </c>
      <c r="E19" s="1651">
        <f>'CSA LASER'!E18+'Medicaid &amp; FAMIS - LASER'!F18+'Energy Assistance LASER'!F18+'TANF LASER'!E18+'ChildCare LASER'!J18</f>
        <v>26846233.743525077</v>
      </c>
      <c r="F19" s="1651">
        <f>'CSA LASER'!F18+'Medicaid &amp; FAMIS - LASER'!G18+'Energy Assistance LASER'!G18+'TANF LASER'!F18</f>
        <v>339846.65</v>
      </c>
      <c r="G19" s="1651">
        <f>'CSA LASER'!G18+'Energy Assistance LASER'!H18+'TANF LASER'!G18</f>
        <v>0</v>
      </c>
      <c r="H19" s="1651">
        <f t="shared" si="2"/>
        <v>61788014.58322487</v>
      </c>
      <c r="I19" s="1652">
        <f t="shared" si="1"/>
        <v>339846.65</v>
      </c>
    </row>
    <row r="20" spans="1:9" x14ac:dyDescent="0.3">
      <c r="A20" s="1634" t="s">
        <v>40</v>
      </c>
      <c r="B20" s="1635" t="s">
        <v>41</v>
      </c>
      <c r="C20" s="1161" t="s">
        <v>254</v>
      </c>
      <c r="D20" s="1650">
        <f>'CSA LASER'!D19+'Medicaid &amp; FAMIS - LASER'!E19+'SNAP LASER'!E19+'Energy Assistance LASER'!E19+'TANF LASER'!D19+'ChildCare LASER'!I19</f>
        <v>19311004.209743068</v>
      </c>
      <c r="E20" s="1651">
        <f>'CSA LASER'!E19+'Medicaid &amp; FAMIS - LASER'!F19+'Energy Assistance LASER'!F19+'TANF LASER'!E19+'ChildCare LASER'!J19</f>
        <v>15988981.488752343</v>
      </c>
      <c r="F20" s="1651">
        <f>'CSA LASER'!F19+'Medicaid &amp; FAMIS - LASER'!G19+'Energy Assistance LASER'!G19+'TANF LASER'!F19</f>
        <v>398843.51</v>
      </c>
      <c r="G20" s="1651">
        <f>'CSA LASER'!G19+'Energy Assistance LASER'!H19+'TANF LASER'!G19</f>
        <v>0</v>
      </c>
      <c r="H20" s="1651">
        <f t="shared" si="2"/>
        <v>35698829.208495408</v>
      </c>
      <c r="I20" s="1652">
        <f t="shared" si="1"/>
        <v>398843.51</v>
      </c>
    </row>
    <row r="21" spans="1:9" x14ac:dyDescent="0.3">
      <c r="A21" s="1634" t="s">
        <v>42</v>
      </c>
      <c r="B21" s="1635" t="s">
        <v>43</v>
      </c>
      <c r="C21" s="1161" t="s">
        <v>253</v>
      </c>
      <c r="D21" s="1650">
        <f>'CSA LASER'!D20+'Medicaid &amp; FAMIS - LASER'!E20+'SNAP LASER'!E20+'Energy Assistance LASER'!E20+'TANF LASER'!D20+'ChildCare LASER'!I20</f>
        <v>54246562.729027107</v>
      </c>
      <c r="E21" s="1651">
        <f>'CSA LASER'!E20+'Medicaid &amp; FAMIS - LASER'!F20+'Energy Assistance LASER'!F20+'TANF LASER'!E20+'ChildCare LASER'!J20</f>
        <v>45264452.130670249</v>
      </c>
      <c r="F21" s="1651">
        <f>'CSA LASER'!F20+'Medicaid &amp; FAMIS - LASER'!G20+'Energy Assistance LASER'!G20+'TANF LASER'!F20</f>
        <v>1219455.1400000001</v>
      </c>
      <c r="G21" s="1651">
        <f>'CSA LASER'!G20+'Energy Assistance LASER'!H20+'TANF LASER'!G20</f>
        <v>0</v>
      </c>
      <c r="H21" s="1651">
        <f t="shared" si="2"/>
        <v>100730469.99969736</v>
      </c>
      <c r="I21" s="1652">
        <f t="shared" si="1"/>
        <v>1219455.1400000001</v>
      </c>
    </row>
    <row r="22" spans="1:9" x14ac:dyDescent="0.3">
      <c r="A22" s="1634" t="s">
        <v>44</v>
      </c>
      <c r="B22" s="1635" t="s">
        <v>45</v>
      </c>
      <c r="C22" s="1161" t="s">
        <v>254</v>
      </c>
      <c r="D22" s="1650">
        <f>'CSA LASER'!D21+'Medicaid &amp; FAMIS - LASER'!E21+'SNAP LASER'!E21+'Energy Assistance LASER'!E21+'TANF LASER'!D21+'ChildCare LASER'!I21</f>
        <v>27075373.368972708</v>
      </c>
      <c r="E22" s="1651">
        <f>'CSA LASER'!E21+'Medicaid &amp; FAMIS - LASER'!F21+'Energy Assistance LASER'!F21+'TANF LASER'!E21+'ChildCare LASER'!J21</f>
        <v>21171228.568980839</v>
      </c>
      <c r="F22" s="1651">
        <f>'CSA LASER'!F21+'Medicaid &amp; FAMIS - LASER'!G21+'Energy Assistance LASER'!G21+'TANF LASER'!F21</f>
        <v>522405.99</v>
      </c>
      <c r="G22" s="1651">
        <f>'CSA LASER'!G21+'Energy Assistance LASER'!H21+'TANF LASER'!G21</f>
        <v>0</v>
      </c>
      <c r="H22" s="1651">
        <f t="shared" si="2"/>
        <v>48769007.927953549</v>
      </c>
      <c r="I22" s="1652">
        <f t="shared" si="1"/>
        <v>522405.99</v>
      </c>
    </row>
    <row r="23" spans="1:9" x14ac:dyDescent="0.3">
      <c r="A23" s="1634" t="s">
        <v>46</v>
      </c>
      <c r="B23" s="1635" t="s">
        <v>47</v>
      </c>
      <c r="C23" s="1161" t="s">
        <v>256</v>
      </c>
      <c r="D23" s="1650">
        <f>'CSA LASER'!D22+'Medicaid &amp; FAMIS - LASER'!E22+'SNAP LASER'!E22+'Energy Assistance LASER'!E22+'TANF LASER'!D22+'ChildCare LASER'!I22</f>
        <v>35924464.403774932</v>
      </c>
      <c r="E23" s="1651">
        <f>'CSA LASER'!E22+'Medicaid &amp; FAMIS - LASER'!F22+'Energy Assistance LASER'!F22+'TANF LASER'!E22+'ChildCare LASER'!J22</f>
        <v>30640031.271823879</v>
      </c>
      <c r="F23" s="1651">
        <f>'CSA LASER'!F22+'Medicaid &amp; FAMIS - LASER'!G22+'Energy Assistance LASER'!G22+'TANF LASER'!F22</f>
        <v>1138318.3600000001</v>
      </c>
      <c r="G23" s="1651">
        <f>'CSA LASER'!G22+'Energy Assistance LASER'!H22+'TANF LASER'!G22</f>
        <v>0</v>
      </c>
      <c r="H23" s="1651">
        <f t="shared" si="2"/>
        <v>67702814.035598814</v>
      </c>
      <c r="I23" s="1652">
        <f t="shared" si="1"/>
        <v>1138318.3600000001</v>
      </c>
    </row>
    <row r="24" spans="1:9" x14ac:dyDescent="0.3">
      <c r="A24" s="1634" t="s">
        <v>48</v>
      </c>
      <c r="B24" s="1635" t="s">
        <v>257</v>
      </c>
      <c r="C24" s="1161" t="s">
        <v>254</v>
      </c>
      <c r="D24" s="1650">
        <f>'CSA LASER'!D23+'Medicaid &amp; FAMIS - LASER'!E23+'SNAP LASER'!E23+'Energy Assistance LASER'!E23+'TANF LASER'!D23+'ChildCare LASER'!I23</f>
        <v>7381942.4852125384</v>
      </c>
      <c r="E24" s="1651">
        <f>'CSA LASER'!E23+'Medicaid &amp; FAMIS - LASER'!F23+'Energy Assistance LASER'!F23+'TANF LASER'!E23+'ChildCare LASER'!J23</f>
        <v>6145744.470335531</v>
      </c>
      <c r="F24" s="1651">
        <f>'CSA LASER'!F23+'Medicaid &amp; FAMIS - LASER'!G23+'Energy Assistance LASER'!G23+'TANF LASER'!F23</f>
        <v>202649.21</v>
      </c>
      <c r="G24" s="1651">
        <f>'CSA LASER'!G23+'Energy Assistance LASER'!H23+'TANF LASER'!G23</f>
        <v>0</v>
      </c>
      <c r="H24" s="1651">
        <f t="shared" si="2"/>
        <v>13730336.165548071</v>
      </c>
      <c r="I24" s="1652">
        <f t="shared" si="1"/>
        <v>202649.21</v>
      </c>
    </row>
    <row r="25" spans="1:9" x14ac:dyDescent="0.3">
      <c r="A25" s="1634" t="s">
        <v>50</v>
      </c>
      <c r="B25" s="1635" t="s">
        <v>51</v>
      </c>
      <c r="C25" s="1161" t="s">
        <v>253</v>
      </c>
      <c r="D25" s="1650">
        <f>'CSA LASER'!D24+'Medicaid &amp; FAMIS - LASER'!E24+'SNAP LASER'!E24+'Energy Assistance LASER'!E24+'TANF LASER'!D24+'ChildCare LASER'!I24</f>
        <v>14961264.810274461</v>
      </c>
      <c r="E25" s="1651">
        <f>'CSA LASER'!E24+'Medicaid &amp; FAMIS - LASER'!F24+'Energy Assistance LASER'!F24+'TANF LASER'!E24+'ChildCare LASER'!J24</f>
        <v>12379921.521607699</v>
      </c>
      <c r="F25" s="1651">
        <f>'CSA LASER'!F24+'Medicaid &amp; FAMIS - LASER'!G24+'Energy Assistance LASER'!G24+'TANF LASER'!F24</f>
        <v>262820.93</v>
      </c>
      <c r="G25" s="1651">
        <f>'CSA LASER'!G24+'Energy Assistance LASER'!H24+'TANF LASER'!G24</f>
        <v>0</v>
      </c>
      <c r="H25" s="1651">
        <f t="shared" si="2"/>
        <v>27604007.26188216</v>
      </c>
      <c r="I25" s="1652">
        <f t="shared" si="1"/>
        <v>262820.93</v>
      </c>
    </row>
    <row r="26" spans="1:9" x14ac:dyDescent="0.3">
      <c r="A26" s="1634" t="s">
        <v>56</v>
      </c>
      <c r="B26" s="1635" t="s">
        <v>283</v>
      </c>
      <c r="C26" s="1161" t="s">
        <v>254</v>
      </c>
      <c r="D26" s="1650">
        <f>'CSA LASER'!D25+'Medicaid &amp; FAMIS - LASER'!E25+'SNAP LASER'!E25+'Energy Assistance LASER'!E25+'TANF LASER'!D25+'ChildCare LASER'!I25</f>
        <v>266894798.57645056</v>
      </c>
      <c r="E26" s="1651">
        <f>'CSA LASER'!E25+'Medicaid &amp; FAMIS - LASER'!F25+'Energy Assistance LASER'!F25+'TANF LASER'!E25+'ChildCare LASER'!J25</f>
        <v>216831121.66943935</v>
      </c>
      <c r="F26" s="1651">
        <f>'CSA LASER'!F25+'Medicaid &amp; FAMIS - LASER'!G25+'Energy Assistance LASER'!G25+'TANF LASER'!F25</f>
        <v>6005643.5599999996</v>
      </c>
      <c r="G26" s="1651">
        <f>'CSA LASER'!G25+'Energy Assistance LASER'!H25+'TANF LASER'!G25</f>
        <v>0</v>
      </c>
      <c r="H26" s="1651">
        <f t="shared" si="2"/>
        <v>489731563.8058899</v>
      </c>
      <c r="I26" s="1652">
        <f t="shared" si="1"/>
        <v>6005643.5599999996</v>
      </c>
    </row>
    <row r="27" spans="1:9" x14ac:dyDescent="0.3">
      <c r="A27" s="1634" t="s">
        <v>58</v>
      </c>
      <c r="B27" s="1635" t="s">
        <v>59</v>
      </c>
      <c r="C27" s="1161" t="s">
        <v>255</v>
      </c>
      <c r="D27" s="1650">
        <f>'CSA LASER'!D26+'Medicaid &amp; FAMIS - LASER'!E26+'SNAP LASER'!E26+'Energy Assistance LASER'!E26+'TANF LASER'!D26+'ChildCare LASER'!I26</f>
        <v>6638868.8863283126</v>
      </c>
      <c r="E27" s="1651">
        <f>'CSA LASER'!E26+'Medicaid &amp; FAMIS - LASER'!F26+'Energy Assistance LASER'!F26+'TANF LASER'!E26+'ChildCare LASER'!J26</f>
        <v>5703230.6724702874</v>
      </c>
      <c r="F27" s="1651">
        <f>'CSA LASER'!F26+'Medicaid &amp; FAMIS - LASER'!G26+'Energy Assistance LASER'!G26+'TANF LASER'!F26</f>
        <v>83765.670000000013</v>
      </c>
      <c r="G27" s="1651">
        <f>'CSA LASER'!G26+'Energy Assistance LASER'!H26+'TANF LASER'!G26</f>
        <v>0</v>
      </c>
      <c r="H27" s="1651">
        <f t="shared" si="2"/>
        <v>12425865.2287986</v>
      </c>
      <c r="I27" s="1652">
        <f t="shared" si="1"/>
        <v>83765.670000000013</v>
      </c>
    </row>
    <row r="28" spans="1:9" x14ac:dyDescent="0.3">
      <c r="A28" s="1634" t="s">
        <v>60</v>
      </c>
      <c r="B28" s="1635" t="s">
        <v>61</v>
      </c>
      <c r="C28" s="1161" t="s">
        <v>253</v>
      </c>
      <c r="D28" s="1650">
        <f>'CSA LASER'!D27+'Medicaid &amp; FAMIS - LASER'!E27+'SNAP LASER'!E27+'Energy Assistance LASER'!E27+'TANF LASER'!D27+'ChildCare LASER'!I27</f>
        <v>4126577.0336265392</v>
      </c>
      <c r="E28" s="1651">
        <f>'CSA LASER'!E27+'Medicaid &amp; FAMIS - LASER'!F27+'Energy Assistance LASER'!F27+'TANF LASER'!E27+'ChildCare LASER'!J27</f>
        <v>3594037.8129936359</v>
      </c>
      <c r="F28" s="1651">
        <f>'CSA LASER'!F27+'Medicaid &amp; FAMIS - LASER'!G27+'Energy Assistance LASER'!G27+'TANF LASER'!F27</f>
        <v>165044.76999999999</v>
      </c>
      <c r="G28" s="1651">
        <f>'CSA LASER'!G27+'Energy Assistance LASER'!H27+'TANF LASER'!G27</f>
        <v>0</v>
      </c>
      <c r="H28" s="1651">
        <f t="shared" si="2"/>
        <v>7885659.6166201746</v>
      </c>
      <c r="I28" s="1652">
        <f t="shared" si="1"/>
        <v>165044.76999999999</v>
      </c>
    </row>
    <row r="29" spans="1:9" x14ac:dyDescent="0.3">
      <c r="A29" s="1634" t="s">
        <v>62</v>
      </c>
      <c r="B29" s="1635" t="s">
        <v>63</v>
      </c>
      <c r="C29" s="1161" t="s">
        <v>255</v>
      </c>
      <c r="D29" s="1650">
        <f>'CSA LASER'!D28+'Medicaid &amp; FAMIS - LASER'!E28+'SNAP LASER'!E28+'Energy Assistance LASER'!E28+'TANF LASER'!D28+'ChildCare LASER'!I28</f>
        <v>42582356.715771861</v>
      </c>
      <c r="E29" s="1651">
        <f>'CSA LASER'!E28+'Medicaid &amp; FAMIS - LASER'!F28+'Energy Assistance LASER'!F28+'TANF LASER'!E28+'ChildCare LASER'!J28</f>
        <v>35232593.661873721</v>
      </c>
      <c r="F29" s="1651">
        <f>'CSA LASER'!F28+'Medicaid &amp; FAMIS - LASER'!G28+'Energy Assistance LASER'!G28+'TANF LASER'!F28</f>
        <v>1283864.48</v>
      </c>
      <c r="G29" s="1651">
        <f>'CSA LASER'!G28+'Energy Assistance LASER'!H28+'TANF LASER'!G28</f>
        <v>0</v>
      </c>
      <c r="H29" s="1651">
        <f t="shared" si="2"/>
        <v>79098814.857645586</v>
      </c>
      <c r="I29" s="1652">
        <f t="shared" si="1"/>
        <v>1283864.48</v>
      </c>
    </row>
    <row r="30" spans="1:9" x14ac:dyDescent="0.3">
      <c r="A30" s="1634" t="s">
        <v>64</v>
      </c>
      <c r="B30" s="1635" t="s">
        <v>65</v>
      </c>
      <c r="C30" s="1161" t="s">
        <v>254</v>
      </c>
      <c r="D30" s="1650">
        <f>'CSA LASER'!D29+'Medicaid &amp; FAMIS - LASER'!E29+'SNAP LASER'!E29+'Energy Assistance LASER'!E29+'TANF LASER'!D29+'ChildCare LASER'!I29</f>
        <v>14639524.308377596</v>
      </c>
      <c r="E30" s="1651">
        <f>'CSA LASER'!E29+'Medicaid &amp; FAMIS - LASER'!F29+'Energy Assistance LASER'!F29+'TANF LASER'!E29+'ChildCare LASER'!J29</f>
        <v>12209521.758167507</v>
      </c>
      <c r="F30" s="1651">
        <f>'CSA LASER'!F29+'Medicaid &amp; FAMIS - LASER'!G29+'Energy Assistance LASER'!G29+'TANF LASER'!F29</f>
        <v>393009.28</v>
      </c>
      <c r="G30" s="1651">
        <f>'CSA LASER'!G29+'Energy Assistance LASER'!H29+'TANF LASER'!G29</f>
        <v>0</v>
      </c>
      <c r="H30" s="1651">
        <f t="shared" si="2"/>
        <v>27242055.346545104</v>
      </c>
      <c r="I30" s="1652">
        <f t="shared" si="1"/>
        <v>393009.28</v>
      </c>
    </row>
    <row r="31" spans="1:9" x14ac:dyDescent="0.3">
      <c r="A31" s="1634" t="s">
        <v>68</v>
      </c>
      <c r="B31" s="1635" t="s">
        <v>69</v>
      </c>
      <c r="C31" s="1161" t="s">
        <v>256</v>
      </c>
      <c r="D31" s="1650">
        <f>'CSA LASER'!D30+'Medicaid &amp; FAMIS - LASER'!E30+'SNAP LASER'!E30+'Energy Assistance LASER'!E30+'TANF LASER'!D30+'ChildCare LASER'!I30</f>
        <v>21929195.852220707</v>
      </c>
      <c r="E31" s="1651">
        <f>'CSA LASER'!E30+'Medicaid &amp; FAMIS - LASER'!F30+'Energy Assistance LASER'!F30+'TANF LASER'!E30+'ChildCare LASER'!J30</f>
        <v>17815879.593438096</v>
      </c>
      <c r="F31" s="1651">
        <f>'CSA LASER'!F30+'Medicaid &amp; FAMIS - LASER'!G30+'Energy Assistance LASER'!G30+'TANF LASER'!F30</f>
        <v>464042.5</v>
      </c>
      <c r="G31" s="1651">
        <f>'CSA LASER'!G30+'Energy Assistance LASER'!H30+'TANF LASER'!G30</f>
        <v>0</v>
      </c>
      <c r="H31" s="1651">
        <f t="shared" si="2"/>
        <v>40209117.945658803</v>
      </c>
      <c r="I31" s="1652">
        <f t="shared" si="1"/>
        <v>464042.5</v>
      </c>
    </row>
    <row r="32" spans="1:9" x14ac:dyDescent="0.3">
      <c r="A32" s="1634" t="s">
        <v>70</v>
      </c>
      <c r="B32" s="1635" t="s">
        <v>71</v>
      </c>
      <c r="C32" s="1161" t="s">
        <v>252</v>
      </c>
      <c r="D32" s="1650">
        <f>'CSA LASER'!D31+'Medicaid &amp; FAMIS - LASER'!E31+'SNAP LASER'!E31+'Energy Assistance LASER'!E31+'TANF LASER'!D31+'ChildCare LASER'!I31</f>
        <v>29934605.150044832</v>
      </c>
      <c r="E32" s="1651">
        <f>'CSA LASER'!E31+'Medicaid &amp; FAMIS - LASER'!F31+'Energy Assistance LASER'!F31+'TANF LASER'!E31+'ChildCare LASER'!J31</f>
        <v>24083083.800244901</v>
      </c>
      <c r="F32" s="1651">
        <f>'CSA LASER'!F31+'Medicaid &amp; FAMIS - LASER'!G31+'Energy Assistance LASER'!G31+'TANF LASER'!F31</f>
        <v>810643.95000000007</v>
      </c>
      <c r="G32" s="1651">
        <f>'CSA LASER'!G31+'Energy Assistance LASER'!H31+'TANF LASER'!G31</f>
        <v>0</v>
      </c>
      <c r="H32" s="1651">
        <f t="shared" si="2"/>
        <v>54828332.900289737</v>
      </c>
      <c r="I32" s="1652">
        <f t="shared" si="1"/>
        <v>810643.95000000007</v>
      </c>
    </row>
    <row r="33" spans="1:9" x14ac:dyDescent="0.3">
      <c r="A33" s="1634" t="s">
        <v>72</v>
      </c>
      <c r="B33" s="1635" t="s">
        <v>73</v>
      </c>
      <c r="C33" s="1161" t="s">
        <v>254</v>
      </c>
      <c r="D33" s="1650">
        <f>'CSA LASER'!D32+'Medicaid &amp; FAMIS - LASER'!E32+'SNAP LASER'!E32+'Energy Assistance LASER'!E32+'TANF LASER'!D32+'ChildCare LASER'!I32</f>
        <v>13933654.976986006</v>
      </c>
      <c r="E33" s="1651">
        <f>'CSA LASER'!E32+'Medicaid &amp; FAMIS - LASER'!F32+'Energy Assistance LASER'!F32+'TANF LASER'!E32+'ChildCare LASER'!J32</f>
        <v>10881384.513189454</v>
      </c>
      <c r="F33" s="1651">
        <f>'CSA LASER'!F32+'Medicaid &amp; FAMIS - LASER'!G32+'Energy Assistance LASER'!G32+'TANF LASER'!F32</f>
        <v>470194.65</v>
      </c>
      <c r="G33" s="1651">
        <f>'CSA LASER'!G32+'Energy Assistance LASER'!H32+'TANF LASER'!G32</f>
        <v>0</v>
      </c>
      <c r="H33" s="1651">
        <f t="shared" si="2"/>
        <v>25285234.140175458</v>
      </c>
      <c r="I33" s="1652">
        <f t="shared" si="1"/>
        <v>470194.65</v>
      </c>
    </row>
    <row r="34" spans="1:9" x14ac:dyDescent="0.3">
      <c r="A34" s="1634" t="s">
        <v>74</v>
      </c>
      <c r="B34" s="1635" t="s">
        <v>472</v>
      </c>
      <c r="C34" s="1161" t="s">
        <v>255</v>
      </c>
      <c r="D34" s="1650">
        <f>'CSA LASER'!D33+'Medicaid &amp; FAMIS - LASER'!E33+'SNAP LASER'!E33+'Energy Assistance LASER'!E33+'TANF LASER'!D33+'ChildCare LASER'!I33</f>
        <v>456804863.45334339</v>
      </c>
      <c r="E34" s="1651">
        <f>'CSA LASER'!E33+'Medicaid &amp; FAMIS - LASER'!F33+'Energy Assistance LASER'!F33+'TANF LASER'!E33+'ChildCare LASER'!J33</f>
        <v>371372497.51690966</v>
      </c>
      <c r="F34" s="1651">
        <f>'CSA LASER'!F33+'Medicaid &amp; FAMIS - LASER'!G33+'Energy Assistance LASER'!G33+'TANF LASER'!F33</f>
        <v>17233602.720000003</v>
      </c>
      <c r="G34" s="1651">
        <f>'CSA LASER'!G33+'Energy Assistance LASER'!H33+'TANF LASER'!G33</f>
        <v>0</v>
      </c>
      <c r="H34" s="1651">
        <f t="shared" si="2"/>
        <v>845410963.69025302</v>
      </c>
      <c r="I34" s="1652">
        <f t="shared" si="1"/>
        <v>17233602.720000003</v>
      </c>
    </row>
    <row r="35" spans="1:9" x14ac:dyDescent="0.3">
      <c r="A35" s="1634" t="s">
        <v>76</v>
      </c>
      <c r="B35" s="1635" t="s">
        <v>77</v>
      </c>
      <c r="C35" s="1161" t="s">
        <v>255</v>
      </c>
      <c r="D35" s="1650">
        <f>'CSA LASER'!D34+'Medicaid &amp; FAMIS - LASER'!E34+'SNAP LASER'!E34+'Energy Assistance LASER'!E34+'TANF LASER'!D34+'ChildCare LASER'!I34</f>
        <v>35092217.14181041</v>
      </c>
      <c r="E35" s="1651">
        <f>'CSA LASER'!E34+'Medicaid &amp; FAMIS - LASER'!F34+'Energy Assistance LASER'!F34+'TANF LASER'!E34+'ChildCare LASER'!J34</f>
        <v>31243506.618096054</v>
      </c>
      <c r="F35" s="1651">
        <f>'CSA LASER'!F34+'Medicaid &amp; FAMIS - LASER'!G34+'Energy Assistance LASER'!G34+'TANF LASER'!F34</f>
        <v>1948544.06</v>
      </c>
      <c r="G35" s="1651">
        <f>'CSA LASER'!G34+'Energy Assistance LASER'!H34+'TANF LASER'!G34</f>
        <v>0</v>
      </c>
      <c r="H35" s="1651">
        <f t="shared" si="2"/>
        <v>68284267.819906458</v>
      </c>
      <c r="I35" s="1652">
        <f t="shared" si="1"/>
        <v>1948544.06</v>
      </c>
    </row>
    <row r="36" spans="1:9" x14ac:dyDescent="0.3">
      <c r="A36" s="1634" t="s">
        <v>78</v>
      </c>
      <c r="B36" s="1635" t="s">
        <v>79</v>
      </c>
      <c r="C36" s="1161" t="s">
        <v>256</v>
      </c>
      <c r="D36" s="1650">
        <f>'CSA LASER'!D35+'Medicaid &amp; FAMIS - LASER'!E35+'SNAP LASER'!E35+'Energy Assistance LASER'!E35+'TANF LASER'!D35+'ChildCare LASER'!I35</f>
        <v>16050293.909134159</v>
      </c>
      <c r="E36" s="1651">
        <f>'CSA LASER'!E35+'Medicaid &amp; FAMIS - LASER'!F35+'Energy Assistance LASER'!F35+'TANF LASER'!E35+'ChildCare LASER'!J35</f>
        <v>13499482.428620337</v>
      </c>
      <c r="F36" s="1651">
        <f>'CSA LASER'!F35+'Medicaid &amp; FAMIS - LASER'!G35+'Energy Assistance LASER'!G35+'TANF LASER'!F35</f>
        <v>224098.88</v>
      </c>
      <c r="G36" s="1651">
        <f>'CSA LASER'!G35+'Energy Assistance LASER'!H35+'TANF LASER'!G35</f>
        <v>0</v>
      </c>
      <c r="H36" s="1651">
        <f t="shared" si="2"/>
        <v>29773875.217754494</v>
      </c>
      <c r="I36" s="1652">
        <f t="shared" si="1"/>
        <v>224098.88</v>
      </c>
    </row>
    <row r="37" spans="1:9" x14ac:dyDescent="0.3">
      <c r="A37" s="1634" t="s">
        <v>80</v>
      </c>
      <c r="B37" s="1635" t="s">
        <v>81</v>
      </c>
      <c r="C37" s="1161" t="s">
        <v>254</v>
      </c>
      <c r="D37" s="1650">
        <f>'CSA LASER'!D36+'Medicaid &amp; FAMIS - LASER'!E36+'SNAP LASER'!E36+'Energy Assistance LASER'!E36+'TANF LASER'!D36+'ChildCare LASER'!I36</f>
        <v>15762027.53357044</v>
      </c>
      <c r="E37" s="1651">
        <f>'CSA LASER'!E36+'Medicaid &amp; FAMIS - LASER'!F36+'Energy Assistance LASER'!F36+'TANF LASER'!E36+'ChildCare LASER'!J36</f>
        <v>14311139.447051099</v>
      </c>
      <c r="F37" s="1651">
        <f>'CSA LASER'!F36+'Medicaid &amp; FAMIS - LASER'!G36+'Energy Assistance LASER'!G36+'TANF LASER'!F36</f>
        <v>894439.85</v>
      </c>
      <c r="G37" s="1651">
        <f>'CSA LASER'!G36+'Energy Assistance LASER'!H36+'TANF LASER'!G36</f>
        <v>0</v>
      </c>
      <c r="H37" s="1651">
        <f t="shared" si="2"/>
        <v>30967606.830621541</v>
      </c>
      <c r="I37" s="1652">
        <f t="shared" si="1"/>
        <v>894439.85</v>
      </c>
    </row>
    <row r="38" spans="1:9" x14ac:dyDescent="0.3">
      <c r="A38" s="1634" t="s">
        <v>84</v>
      </c>
      <c r="B38" s="1635" t="s">
        <v>296</v>
      </c>
      <c r="C38" s="1161" t="s">
        <v>253</v>
      </c>
      <c r="D38" s="1650">
        <f>'CSA LASER'!D37+'Medicaid &amp; FAMIS - LASER'!E37+'SNAP LASER'!E37+'Energy Assistance LASER'!E37+'TANF LASER'!D37+'ChildCare LASER'!I37</f>
        <v>50275135.031732626</v>
      </c>
      <c r="E38" s="1651">
        <f>'CSA LASER'!E37+'Medicaid &amp; FAMIS - LASER'!F37+'Energy Assistance LASER'!F37+'TANF LASER'!E37+'ChildCare LASER'!J37</f>
        <v>43955167.308029637</v>
      </c>
      <c r="F38" s="1651">
        <f>'CSA LASER'!F37+'Medicaid &amp; FAMIS - LASER'!G37+'Energy Assistance LASER'!G37+'TANF LASER'!F37</f>
        <v>2026307.45</v>
      </c>
      <c r="G38" s="1651">
        <f>'CSA LASER'!G37+'Energy Assistance LASER'!H37+'TANF LASER'!G37</f>
        <v>0</v>
      </c>
      <c r="H38" s="1651">
        <f t="shared" si="2"/>
        <v>96256609.789762273</v>
      </c>
      <c r="I38" s="1652">
        <f t="shared" si="1"/>
        <v>2026307.45</v>
      </c>
    </row>
    <row r="39" spans="1:9" x14ac:dyDescent="0.3">
      <c r="A39" s="1634" t="s">
        <v>86</v>
      </c>
      <c r="B39" s="1635" t="s">
        <v>87</v>
      </c>
      <c r="C39" s="1161" t="s">
        <v>255</v>
      </c>
      <c r="D39" s="1650">
        <f>'CSA LASER'!D38+'Medicaid &amp; FAMIS - LASER'!E38+'SNAP LASER'!E38+'Energy Assistance LASER'!E38+'TANF LASER'!D38+'ChildCare LASER'!I38</f>
        <v>47563605.530740514</v>
      </c>
      <c r="E39" s="1651">
        <f>'CSA LASER'!E38+'Medicaid &amp; FAMIS - LASER'!F38+'Energy Assistance LASER'!F38+'TANF LASER'!E38+'ChildCare LASER'!J38</f>
        <v>39177799.521537721</v>
      </c>
      <c r="F39" s="1651">
        <f>'CSA LASER'!F38+'Medicaid &amp; FAMIS - LASER'!G38+'Energy Assistance LASER'!G38+'TANF LASER'!F38</f>
        <v>1586002.53</v>
      </c>
      <c r="G39" s="1651">
        <f>'CSA LASER'!G38+'Energy Assistance LASER'!H38+'TANF LASER'!G38</f>
        <v>0</v>
      </c>
      <c r="H39" s="1651">
        <f t="shared" si="2"/>
        <v>88327407.582278237</v>
      </c>
      <c r="I39" s="1652">
        <f t="shared" si="1"/>
        <v>1586002.53</v>
      </c>
    </row>
    <row r="40" spans="1:9" x14ac:dyDescent="0.3">
      <c r="A40" s="1634" t="s">
        <v>92</v>
      </c>
      <c r="B40" s="1635" t="s">
        <v>93</v>
      </c>
      <c r="C40" s="1161" t="s">
        <v>256</v>
      </c>
      <c r="D40" s="1650">
        <f>'CSA LASER'!D39+'Medicaid &amp; FAMIS - LASER'!E39+'SNAP LASER'!E39+'Energy Assistance LASER'!E39+'TANF LASER'!D39+'ChildCare LASER'!I39</f>
        <v>16910557.921414398</v>
      </c>
      <c r="E40" s="1651">
        <f>'CSA LASER'!E39+'Medicaid &amp; FAMIS - LASER'!F39+'Energy Assistance LASER'!F39+'TANF LASER'!E39+'ChildCare LASER'!J39</f>
        <v>15143689.888805609</v>
      </c>
      <c r="F40" s="1651">
        <f>'CSA LASER'!F39+'Medicaid &amp; FAMIS - LASER'!G39+'Energy Assistance LASER'!G39+'TANF LASER'!F39</f>
        <v>611051.68999999994</v>
      </c>
      <c r="G40" s="1651">
        <f>'CSA LASER'!G39+'Energy Assistance LASER'!H39+'TANF LASER'!G39</f>
        <v>0</v>
      </c>
      <c r="H40" s="1651">
        <f t="shared" si="2"/>
        <v>32665299.500220008</v>
      </c>
      <c r="I40" s="1652">
        <f t="shared" si="1"/>
        <v>611051.68999999994</v>
      </c>
    </row>
    <row r="41" spans="1:9" x14ac:dyDescent="0.3">
      <c r="A41" s="1634" t="s">
        <v>94</v>
      </c>
      <c r="B41" s="1635" t="s">
        <v>95</v>
      </c>
      <c r="C41" s="1161" t="s">
        <v>252</v>
      </c>
      <c r="D41" s="1650">
        <f>'CSA LASER'!D40+'Medicaid &amp; FAMIS - LASER'!E40+'SNAP LASER'!E40+'Energy Assistance LASER'!E40+'TANF LASER'!D40+'ChildCare LASER'!I40</f>
        <v>28389645.354614392</v>
      </c>
      <c r="E41" s="1651">
        <f>'CSA LASER'!E40+'Medicaid &amp; FAMIS - LASER'!F40+'Energy Assistance LASER'!F40+'TANF LASER'!E40+'ChildCare LASER'!J40</f>
        <v>22835641.304615315</v>
      </c>
      <c r="F41" s="1651">
        <f>'CSA LASER'!F40+'Medicaid &amp; FAMIS - LASER'!G40+'Energy Assistance LASER'!G40+'TANF LASER'!F40</f>
        <v>345259.33</v>
      </c>
      <c r="G41" s="1651">
        <f>'CSA LASER'!G40+'Energy Assistance LASER'!H40+'TANF LASER'!G40</f>
        <v>0</v>
      </c>
      <c r="H41" s="1651">
        <f t="shared" si="2"/>
        <v>51570545.989229709</v>
      </c>
      <c r="I41" s="1652">
        <f t="shared" si="1"/>
        <v>345259.33</v>
      </c>
    </row>
    <row r="42" spans="1:9" x14ac:dyDescent="0.3">
      <c r="A42" s="1634" t="s">
        <v>96</v>
      </c>
      <c r="B42" s="1635" t="s">
        <v>97</v>
      </c>
      <c r="C42" s="1161" t="s">
        <v>254</v>
      </c>
      <c r="D42" s="1650">
        <f>'CSA LASER'!D41+'Medicaid &amp; FAMIS - LASER'!E41+'SNAP LASER'!E41+'Energy Assistance LASER'!E41+'TANF LASER'!D41+'ChildCare LASER'!I41</f>
        <v>10817973.429073324</v>
      </c>
      <c r="E42" s="1651">
        <f>'CSA LASER'!E41+'Medicaid &amp; FAMIS - LASER'!F41+'Energy Assistance LASER'!F41+'TANF LASER'!E41+'ChildCare LASER'!J41</f>
        <v>9256153.5879022721</v>
      </c>
      <c r="F42" s="1651">
        <f>'CSA LASER'!F41+'Medicaid &amp; FAMIS - LASER'!G41+'Energy Assistance LASER'!G41+'TANF LASER'!F41</f>
        <v>498029</v>
      </c>
      <c r="G42" s="1651">
        <f>'CSA LASER'!G41+'Energy Assistance LASER'!H41+'TANF LASER'!G41</f>
        <v>0</v>
      </c>
      <c r="H42" s="1651">
        <f t="shared" si="2"/>
        <v>20572156.016975597</v>
      </c>
      <c r="I42" s="1652">
        <f t="shared" si="1"/>
        <v>498029</v>
      </c>
    </row>
    <row r="43" spans="1:9" x14ac:dyDescent="0.3">
      <c r="A43" s="1634" t="s">
        <v>98</v>
      </c>
      <c r="B43" s="1635" t="s">
        <v>99</v>
      </c>
      <c r="C43" s="1161" t="s">
        <v>256</v>
      </c>
      <c r="D43" s="1650">
        <f>'CSA LASER'!D42+'Medicaid &amp; FAMIS - LASER'!E42+'SNAP LASER'!E42+'Energy Assistance LASER'!E42+'TANF LASER'!D42+'ChildCare LASER'!I42</f>
        <v>17812739.473694317</v>
      </c>
      <c r="E43" s="1651">
        <f>'CSA LASER'!E42+'Medicaid &amp; FAMIS - LASER'!F42+'Energy Assistance LASER'!F42+'TANF LASER'!E42+'ChildCare LASER'!J42</f>
        <v>14467104.181572232</v>
      </c>
      <c r="F43" s="1651">
        <f>'CSA LASER'!F42+'Medicaid &amp; FAMIS - LASER'!G42+'Energy Assistance LASER'!G42+'TANF LASER'!F42</f>
        <v>273466.90999999997</v>
      </c>
      <c r="G43" s="1651">
        <f>'CSA LASER'!G42+'Energy Assistance LASER'!H42+'TANF LASER'!G42</f>
        <v>0</v>
      </c>
      <c r="H43" s="1651">
        <f t="shared" si="2"/>
        <v>32553310.56526655</v>
      </c>
      <c r="I43" s="1652">
        <f t="shared" si="1"/>
        <v>273466.90999999997</v>
      </c>
    </row>
    <row r="44" spans="1:9" x14ac:dyDescent="0.3">
      <c r="A44" s="1634" t="s">
        <v>100</v>
      </c>
      <c r="B44" s="1635" t="s">
        <v>101</v>
      </c>
      <c r="C44" s="1161" t="s">
        <v>255</v>
      </c>
      <c r="D44" s="1650">
        <f>'CSA LASER'!D43+'Medicaid &amp; FAMIS - LASER'!E43+'SNAP LASER'!E43+'Energy Assistance LASER'!E43+'TANF LASER'!D43+'ChildCare LASER'!I43</f>
        <v>15056346.993001154</v>
      </c>
      <c r="E44" s="1651">
        <f>'CSA LASER'!E43+'Medicaid &amp; FAMIS - LASER'!F43+'Energy Assistance LASER'!F43+'TANF LASER'!E43+'ChildCare LASER'!J43</f>
        <v>12134829.334379431</v>
      </c>
      <c r="F44" s="1651">
        <f>'CSA LASER'!F43+'Medicaid &amp; FAMIS - LASER'!G43+'Energy Assistance LASER'!G43+'TANF LASER'!F43</f>
        <v>351677.39</v>
      </c>
      <c r="G44" s="1651">
        <f>'CSA LASER'!G43+'Energy Assistance LASER'!H43+'TANF LASER'!G43</f>
        <v>0</v>
      </c>
      <c r="H44" s="1651">
        <f t="shared" si="2"/>
        <v>27542853.717380583</v>
      </c>
      <c r="I44" s="1652">
        <f t="shared" si="1"/>
        <v>351677.39</v>
      </c>
    </row>
    <row r="45" spans="1:9" x14ac:dyDescent="0.3">
      <c r="A45" s="1634" t="s">
        <v>102</v>
      </c>
      <c r="B45" s="1635" t="s">
        <v>270</v>
      </c>
      <c r="C45" s="1161" t="s">
        <v>252</v>
      </c>
      <c r="D45" s="1650">
        <f>'CSA LASER'!D44+'Medicaid &amp; FAMIS - LASER'!E44+'SNAP LASER'!E44+'Energy Assistance LASER'!E44+'TANF LASER'!D44+'ChildCare LASER'!I44</f>
        <v>26206658.177165378</v>
      </c>
      <c r="E45" s="1651">
        <f>'CSA LASER'!E44+'Medicaid &amp; FAMIS - LASER'!F44+'Energy Assistance LASER'!F44+'TANF LASER'!E44+'ChildCare LASER'!J44</f>
        <v>20935272.51137441</v>
      </c>
      <c r="F45" s="1651">
        <f>'CSA LASER'!F44+'Medicaid &amp; FAMIS - LASER'!G44+'Energy Assistance LASER'!G44+'TANF LASER'!F44</f>
        <v>257983.79</v>
      </c>
      <c r="G45" s="1651">
        <f>'CSA LASER'!G44+'Energy Assistance LASER'!H44+'TANF LASER'!G44</f>
        <v>0</v>
      </c>
      <c r="H45" s="1651">
        <f t="shared" si="2"/>
        <v>47399914.478539787</v>
      </c>
      <c r="I45" s="1652">
        <f t="shared" si="1"/>
        <v>257983.79</v>
      </c>
    </row>
    <row r="46" spans="1:9" x14ac:dyDescent="0.3">
      <c r="A46" s="1634" t="s">
        <v>104</v>
      </c>
      <c r="B46" s="1635" t="s">
        <v>465</v>
      </c>
      <c r="C46" s="1161" t="s">
        <v>253</v>
      </c>
      <c r="D46" s="1650">
        <f>'CSA LASER'!D45+'Medicaid &amp; FAMIS - LASER'!E45+'SNAP LASER'!E45+'Energy Assistance LASER'!E45+'TANF LASER'!D45+'ChildCare LASER'!I45</f>
        <v>48643282.356247231</v>
      </c>
      <c r="E46" s="1651">
        <f>'CSA LASER'!E45+'Medicaid &amp; FAMIS - LASER'!F45+'Energy Assistance LASER'!F45+'TANF LASER'!E45+'ChildCare LASER'!J45</f>
        <v>40922125.534323558</v>
      </c>
      <c r="F46" s="1651">
        <f>'CSA LASER'!F45+'Medicaid &amp; FAMIS - LASER'!G45+'Energy Assistance LASER'!G45+'TANF LASER'!F45</f>
        <v>927339.02</v>
      </c>
      <c r="G46" s="1651">
        <f>'CSA LASER'!G45+'Energy Assistance LASER'!H45+'TANF LASER'!G45</f>
        <v>0</v>
      </c>
      <c r="H46" s="1651">
        <f t="shared" si="2"/>
        <v>90492746.910570785</v>
      </c>
      <c r="I46" s="1652">
        <f t="shared" si="1"/>
        <v>927339.02</v>
      </c>
    </row>
    <row r="47" spans="1:9" x14ac:dyDescent="0.3">
      <c r="A47" s="1634" t="s">
        <v>108</v>
      </c>
      <c r="B47" s="1635" t="s">
        <v>109</v>
      </c>
      <c r="C47" s="1161" t="s">
        <v>254</v>
      </c>
      <c r="D47" s="1650">
        <f>'CSA LASER'!D46+'Medicaid &amp; FAMIS - LASER'!E46+'SNAP LASER'!E46+'Energy Assistance LASER'!E46+'TANF LASER'!D46+'ChildCare LASER'!I46</f>
        <v>49493276.972350091</v>
      </c>
      <c r="E47" s="1651">
        <f>'CSA LASER'!E46+'Medicaid &amp; FAMIS - LASER'!F46+'Energy Assistance LASER'!F46+'TANF LASER'!E46+'ChildCare LASER'!J46</f>
        <v>42936964.558396377</v>
      </c>
      <c r="F47" s="1651">
        <f>'CSA LASER'!F46+'Medicaid &amp; FAMIS - LASER'!G46+'Energy Assistance LASER'!G46+'TANF LASER'!F46</f>
        <v>2643791.64</v>
      </c>
      <c r="G47" s="1651">
        <f>'CSA LASER'!G46+'Energy Assistance LASER'!H46+'TANF LASER'!G46</f>
        <v>0</v>
      </c>
      <c r="H47" s="1651">
        <f t="shared" si="2"/>
        <v>95074033.170746461</v>
      </c>
      <c r="I47" s="1652">
        <f t="shared" si="1"/>
        <v>2643791.64</v>
      </c>
    </row>
    <row r="48" spans="1:9" x14ac:dyDescent="0.3">
      <c r="A48" s="1634" t="s">
        <v>110</v>
      </c>
      <c r="B48" s="1635" t="s">
        <v>111</v>
      </c>
      <c r="C48" s="1161" t="s">
        <v>254</v>
      </c>
      <c r="D48" s="1650">
        <f>'CSA LASER'!D47+'Medicaid &amp; FAMIS - LASER'!E47+'SNAP LASER'!E47+'Energy Assistance LASER'!E47+'TANF LASER'!D47+'ChildCare LASER'!I47</f>
        <v>266496207.20975515</v>
      </c>
      <c r="E48" s="1651">
        <f>'CSA LASER'!E47+'Medicaid &amp; FAMIS - LASER'!F47+'Energy Assistance LASER'!F47+'TANF LASER'!E47+'ChildCare LASER'!J47</f>
        <v>213394686.94190454</v>
      </c>
      <c r="F48" s="1651">
        <f>'CSA LASER'!F47+'Medicaid &amp; FAMIS - LASER'!G47+'Energy Assistance LASER'!G47+'TANF LASER'!F47</f>
        <v>6818537.5700000003</v>
      </c>
      <c r="G48" s="1651">
        <f>'CSA LASER'!G47+'Energy Assistance LASER'!H47+'TANF LASER'!G47</f>
        <v>0</v>
      </c>
      <c r="H48" s="1651">
        <f t="shared" si="2"/>
        <v>486709431.72165972</v>
      </c>
      <c r="I48" s="1652">
        <f t="shared" si="1"/>
        <v>6818537.5700000003</v>
      </c>
    </row>
    <row r="49" spans="1:9" x14ac:dyDescent="0.3">
      <c r="A49" s="1634" t="s">
        <v>112</v>
      </c>
      <c r="B49" s="1635" t="s">
        <v>288</v>
      </c>
      <c r="C49" s="1161" t="s">
        <v>253</v>
      </c>
      <c r="D49" s="1650">
        <f>'CSA LASER'!D48+'Medicaid &amp; FAMIS - LASER'!E48+'SNAP LASER'!E48+'Energy Assistance LASER'!E48+'TANF LASER'!D48+'ChildCare LASER'!I48</f>
        <v>108235834.21947889</v>
      </c>
      <c r="E49" s="1651">
        <f>'CSA LASER'!E48+'Medicaid &amp; FAMIS - LASER'!F48+'Energy Assistance LASER'!F48+'TANF LASER'!E48+'ChildCare LASER'!J48</f>
        <v>86733536.987667978</v>
      </c>
      <c r="F49" s="1651">
        <f>'CSA LASER'!F48+'Medicaid &amp; FAMIS - LASER'!G48+'Energy Assistance LASER'!G48+'TANF LASER'!F48</f>
        <v>705934.6</v>
      </c>
      <c r="G49" s="1651">
        <f>'CSA LASER'!G48+'Energy Assistance LASER'!H48+'TANF LASER'!G48</f>
        <v>0</v>
      </c>
      <c r="H49" s="1651">
        <f t="shared" si="2"/>
        <v>195675305.80714688</v>
      </c>
      <c r="I49" s="1652">
        <f t="shared" si="1"/>
        <v>705934.6</v>
      </c>
    </row>
    <row r="50" spans="1:9" x14ac:dyDescent="0.3">
      <c r="A50" s="1634" t="s">
        <v>114</v>
      </c>
      <c r="B50" s="1635" t="s">
        <v>115</v>
      </c>
      <c r="C50" s="1161" t="s">
        <v>253</v>
      </c>
      <c r="D50" s="1650">
        <f>'CSA LASER'!D49+'Medicaid &amp; FAMIS - LASER'!E49+'SNAP LASER'!E49+'Energy Assistance LASER'!E49+'TANF LASER'!D49+'ChildCare LASER'!I49</f>
        <v>1299499.8663665706</v>
      </c>
      <c r="E50" s="1651">
        <f>'CSA LASER'!E49+'Medicaid &amp; FAMIS - LASER'!F49+'Energy Assistance LASER'!F49+'TANF LASER'!E49+'ChildCare LASER'!J49</f>
        <v>1150011.7045469182</v>
      </c>
      <c r="F50" s="1651">
        <f>'CSA LASER'!F49+'Medicaid &amp; FAMIS - LASER'!G49+'Energy Assistance LASER'!G49+'TANF LASER'!F49</f>
        <v>35102.980000000003</v>
      </c>
      <c r="G50" s="1651">
        <f>'CSA LASER'!G49+'Energy Assistance LASER'!H49+'TANF LASER'!G49</f>
        <v>0</v>
      </c>
      <c r="H50" s="1651">
        <f t="shared" si="2"/>
        <v>2484614.550913489</v>
      </c>
      <c r="I50" s="1652">
        <f t="shared" si="1"/>
        <v>35102.980000000003</v>
      </c>
    </row>
    <row r="51" spans="1:9" x14ac:dyDescent="0.3">
      <c r="A51" s="1634" t="s">
        <v>118</v>
      </c>
      <c r="B51" s="1635" t="s">
        <v>119</v>
      </c>
      <c r="C51" s="1161" t="s">
        <v>252</v>
      </c>
      <c r="D51" s="1650">
        <f>'CSA LASER'!D50+'Medicaid &amp; FAMIS - LASER'!E50+'SNAP LASER'!E50+'Energy Assistance LASER'!E50+'TANF LASER'!D50+'ChildCare LASER'!I50</f>
        <v>26102329.366142929</v>
      </c>
      <c r="E51" s="1651">
        <f>'CSA LASER'!E50+'Medicaid &amp; FAMIS - LASER'!F50+'Energy Assistance LASER'!F50+'TANF LASER'!E50+'ChildCare LASER'!J50</f>
        <v>21002324.847891215</v>
      </c>
      <c r="F51" s="1651">
        <f>'CSA LASER'!F50+'Medicaid &amp; FAMIS - LASER'!G50+'Energy Assistance LASER'!G50+'TANF LASER'!F50</f>
        <v>136205.60999999999</v>
      </c>
      <c r="G51" s="1651">
        <f>'CSA LASER'!G50+'Energy Assistance LASER'!H50+'TANF LASER'!G50</f>
        <v>0</v>
      </c>
      <c r="H51" s="1651">
        <f t="shared" si="2"/>
        <v>47240859.82403414</v>
      </c>
      <c r="I51" s="1652">
        <f t="shared" si="1"/>
        <v>136205.60999999999</v>
      </c>
    </row>
    <row r="52" spans="1:9" x14ac:dyDescent="0.3">
      <c r="A52" s="1634" t="s">
        <v>120</v>
      </c>
      <c r="B52" s="1635" t="s">
        <v>121</v>
      </c>
      <c r="C52" s="1161" t="s">
        <v>252</v>
      </c>
      <c r="D52" s="1650">
        <f>'CSA LASER'!D51+'Medicaid &amp; FAMIS - LASER'!E51+'SNAP LASER'!E51+'Energy Assistance LASER'!E51+'TANF LASER'!D51+'ChildCare LASER'!I51</f>
        <v>28611083.548423801</v>
      </c>
      <c r="E52" s="1651">
        <f>'CSA LASER'!E51+'Medicaid &amp; FAMIS - LASER'!F51+'Energy Assistance LASER'!F51+'TANF LASER'!E51+'ChildCare LASER'!J51</f>
        <v>21667231.967209231</v>
      </c>
      <c r="F52" s="1651">
        <f>'CSA LASER'!F51+'Medicaid &amp; FAMIS - LASER'!G51+'Energy Assistance LASER'!G51+'TANF LASER'!F51</f>
        <v>694963.43</v>
      </c>
      <c r="G52" s="1651">
        <f>'CSA LASER'!G51+'Energy Assistance LASER'!H51+'TANF LASER'!G51</f>
        <v>0</v>
      </c>
      <c r="H52" s="1651">
        <f t="shared" si="2"/>
        <v>50973278.945633031</v>
      </c>
      <c r="I52" s="1652">
        <f t="shared" si="1"/>
        <v>694963.43</v>
      </c>
    </row>
    <row r="53" spans="1:9" x14ac:dyDescent="0.3">
      <c r="A53" s="1634" t="s">
        <v>122</v>
      </c>
      <c r="B53" s="1635" t="s">
        <v>259</v>
      </c>
      <c r="C53" s="1161" t="s">
        <v>254</v>
      </c>
      <c r="D53" s="1650">
        <f>'CSA LASER'!D52+'Medicaid &amp; FAMIS - LASER'!E52+'SNAP LASER'!E52+'Energy Assistance LASER'!E52+'TANF LASER'!D52+'ChildCare LASER'!I52</f>
        <v>7317740.3449575994</v>
      </c>
      <c r="E53" s="1651">
        <f>'CSA LASER'!E52+'Medicaid &amp; FAMIS - LASER'!F52+'Energy Assistance LASER'!F52+'TANF LASER'!E52+'ChildCare LASER'!J52</f>
        <v>5806722.7494163001</v>
      </c>
      <c r="F53" s="1651">
        <f>'CSA LASER'!F52+'Medicaid &amp; FAMIS - LASER'!G52+'Energy Assistance LASER'!G52+'TANF LASER'!F52</f>
        <v>139110.85999999999</v>
      </c>
      <c r="G53" s="1651">
        <f>'CSA LASER'!G52+'Energy Assistance LASER'!H52+'TANF LASER'!G52</f>
        <v>0</v>
      </c>
      <c r="H53" s="1651">
        <f t="shared" si="2"/>
        <v>13263573.9543739</v>
      </c>
      <c r="I53" s="1652">
        <f t="shared" si="1"/>
        <v>139110.85999999999</v>
      </c>
    </row>
    <row r="54" spans="1:9" x14ac:dyDescent="0.3">
      <c r="A54" s="1634" t="s">
        <v>124</v>
      </c>
      <c r="B54" s="1635" t="s">
        <v>125</v>
      </c>
      <c r="C54" s="1161" t="s">
        <v>255</v>
      </c>
      <c r="D54" s="1650">
        <f>'CSA LASER'!D53+'Medicaid &amp; FAMIS - LASER'!E53+'SNAP LASER'!E53+'Energy Assistance LASER'!E53+'TANF LASER'!D53+'ChildCare LASER'!I53</f>
        <v>15877152.14454457</v>
      </c>
      <c r="E54" s="1651">
        <f>'CSA LASER'!E53+'Medicaid &amp; FAMIS - LASER'!F53+'Energy Assistance LASER'!F53+'TANF LASER'!E53+'ChildCare LASER'!J53</f>
        <v>13455996.881194539</v>
      </c>
      <c r="F54" s="1651">
        <f>'CSA LASER'!F53+'Medicaid &amp; FAMIS - LASER'!G53+'Energy Assistance LASER'!G53+'TANF LASER'!F53</f>
        <v>946235.92</v>
      </c>
      <c r="G54" s="1651">
        <f>'CSA LASER'!G53+'Energy Assistance LASER'!H53+'TANF LASER'!G53</f>
        <v>0</v>
      </c>
      <c r="H54" s="1651">
        <f t="shared" si="2"/>
        <v>30279384.945739113</v>
      </c>
      <c r="I54" s="1652">
        <f t="shared" si="1"/>
        <v>946235.92</v>
      </c>
    </row>
    <row r="55" spans="1:9" x14ac:dyDescent="0.3">
      <c r="A55" s="1634" t="s">
        <v>126</v>
      </c>
      <c r="B55" s="1635" t="s">
        <v>127</v>
      </c>
      <c r="C55" s="1161" t="s">
        <v>254</v>
      </c>
      <c r="D55" s="1650">
        <f>'CSA LASER'!D54+'Medicaid &amp; FAMIS - LASER'!E54+'SNAP LASER'!E54+'Energy Assistance LASER'!E54+'TANF LASER'!D54+'ChildCare LASER'!I54</f>
        <v>10920110.524459139</v>
      </c>
      <c r="E55" s="1651">
        <f>'CSA LASER'!E54+'Medicaid &amp; FAMIS - LASER'!F54+'Energy Assistance LASER'!F54+'TANF LASER'!E54+'ChildCare LASER'!J54</f>
        <v>9033070.0941612441</v>
      </c>
      <c r="F55" s="1651">
        <f>'CSA LASER'!F54+'Medicaid &amp; FAMIS - LASER'!G54+'Energy Assistance LASER'!G54+'TANF LASER'!F54</f>
        <v>435593.2</v>
      </c>
      <c r="G55" s="1651">
        <f>'CSA LASER'!G54+'Energy Assistance LASER'!H54+'TANF LASER'!G54</f>
        <v>0</v>
      </c>
      <c r="H55" s="1651">
        <f t="shared" si="2"/>
        <v>20388773.81862038</v>
      </c>
      <c r="I55" s="1652">
        <f t="shared" si="1"/>
        <v>435593.2</v>
      </c>
    </row>
    <row r="56" spans="1:9" x14ac:dyDescent="0.3">
      <c r="A56" s="1634" t="s">
        <v>128</v>
      </c>
      <c r="B56" s="1635" t="s">
        <v>129</v>
      </c>
      <c r="C56" s="1161" t="s">
        <v>254</v>
      </c>
      <c r="D56" s="1650">
        <f>'CSA LASER'!D55+'Medicaid &amp; FAMIS - LASER'!E55+'SNAP LASER'!E55+'Energy Assistance LASER'!E55+'TANF LASER'!D55+'ChildCare LASER'!I55</f>
        <v>11030616.842920329</v>
      </c>
      <c r="E56" s="1651">
        <f>'CSA LASER'!E55+'Medicaid &amp; FAMIS - LASER'!F55+'Energy Assistance LASER'!F55+'TANF LASER'!E55+'ChildCare LASER'!J55</f>
        <v>8766365.8702514954</v>
      </c>
      <c r="F56" s="1651">
        <f>'CSA LASER'!F55+'Medicaid &amp; FAMIS - LASER'!G55+'Energy Assistance LASER'!G55+'TANF LASER'!F55</f>
        <v>371086.46</v>
      </c>
      <c r="G56" s="1651">
        <f>'CSA LASER'!G55+'Energy Assistance LASER'!H55+'TANF LASER'!G55</f>
        <v>0</v>
      </c>
      <c r="H56" s="1651">
        <f t="shared" si="2"/>
        <v>20168069.173171826</v>
      </c>
      <c r="I56" s="1652">
        <f t="shared" si="1"/>
        <v>371086.46</v>
      </c>
    </row>
    <row r="57" spans="1:9" x14ac:dyDescent="0.3">
      <c r="A57" s="1634" t="s">
        <v>130</v>
      </c>
      <c r="B57" s="1635" t="s">
        <v>131</v>
      </c>
      <c r="C57" s="1161" t="s">
        <v>256</v>
      </c>
      <c r="D57" s="1650">
        <f>'CSA LASER'!D56+'Medicaid &amp; FAMIS - LASER'!E56+'SNAP LASER'!E56+'Energy Assistance LASER'!E56+'TANF LASER'!D56+'ChildCare LASER'!I56</f>
        <v>40840156.361915156</v>
      </c>
      <c r="E57" s="1651">
        <f>'CSA LASER'!E56+'Medicaid &amp; FAMIS - LASER'!F56+'Energy Assistance LASER'!F56+'TANF LASER'!E56+'ChildCare LASER'!J56</f>
        <v>32281521.849096637</v>
      </c>
      <c r="F57" s="1651">
        <f>'CSA LASER'!F56+'Medicaid &amp; FAMIS - LASER'!G56+'Energy Assistance LASER'!G56+'TANF LASER'!F56</f>
        <v>339486.95</v>
      </c>
      <c r="G57" s="1651">
        <f>'CSA LASER'!G56+'Energy Assistance LASER'!H56+'TANF LASER'!G56</f>
        <v>0</v>
      </c>
      <c r="H57" s="1651">
        <f t="shared" si="2"/>
        <v>73461165.1610118</v>
      </c>
      <c r="I57" s="1652">
        <f t="shared" si="1"/>
        <v>339486.95</v>
      </c>
    </row>
    <row r="58" spans="1:9" x14ac:dyDescent="0.3">
      <c r="A58" s="1634" t="s">
        <v>132</v>
      </c>
      <c r="B58" s="1635" t="s">
        <v>133</v>
      </c>
      <c r="C58" s="1161" t="s">
        <v>255</v>
      </c>
      <c r="D58" s="1650">
        <f>'CSA LASER'!D57+'Medicaid &amp; FAMIS - LASER'!E57+'SNAP LASER'!E57+'Energy Assistance LASER'!E57+'TANF LASER'!D57+'ChildCare LASER'!I57</f>
        <v>114395134.42136849</v>
      </c>
      <c r="E58" s="1651">
        <f>'CSA LASER'!E57+'Medicaid &amp; FAMIS - LASER'!F57+'Energy Assistance LASER'!F57+'TANF LASER'!E57+'ChildCare LASER'!J57</f>
        <v>93549390.124189198</v>
      </c>
      <c r="F58" s="1651">
        <f>'CSA LASER'!F57+'Medicaid &amp; FAMIS - LASER'!G57+'Energy Assistance LASER'!G57+'TANF LASER'!F57</f>
        <v>3217445.06</v>
      </c>
      <c r="G58" s="1651">
        <f>'CSA LASER'!G57+'Energy Assistance LASER'!H57+'TANF LASER'!G57</f>
        <v>0</v>
      </c>
      <c r="H58" s="1651">
        <f t="shared" si="2"/>
        <v>211161969.60555768</v>
      </c>
      <c r="I58" s="1652">
        <f t="shared" si="1"/>
        <v>3217445.06</v>
      </c>
    </row>
    <row r="59" spans="1:9" x14ac:dyDescent="0.3">
      <c r="A59" s="1634" t="s">
        <v>134</v>
      </c>
      <c r="B59" s="1635" t="s">
        <v>135</v>
      </c>
      <c r="C59" s="1161" t="s">
        <v>255</v>
      </c>
      <c r="D59" s="1650">
        <f>'CSA LASER'!D58+'Medicaid &amp; FAMIS - LASER'!E58+'SNAP LASER'!E58+'Energy Assistance LASER'!E58+'TANF LASER'!D58+'ChildCare LASER'!I58</f>
        <v>30014500.393608976</v>
      </c>
      <c r="E59" s="1651">
        <f>'CSA LASER'!E58+'Medicaid &amp; FAMIS - LASER'!F58+'Energy Assistance LASER'!F58+'TANF LASER'!E58+'ChildCare LASER'!J58</f>
        <v>25489355.333225578</v>
      </c>
      <c r="F59" s="1651">
        <f>'CSA LASER'!F58+'Medicaid &amp; FAMIS - LASER'!G58+'Energy Assistance LASER'!G58+'TANF LASER'!F58</f>
        <v>1424491.43</v>
      </c>
      <c r="G59" s="1651">
        <f>'CSA LASER'!G58+'Energy Assistance LASER'!H58+'TANF LASER'!G58</f>
        <v>0</v>
      </c>
      <c r="H59" s="1651">
        <f t="shared" si="2"/>
        <v>56928347.15683455</v>
      </c>
      <c r="I59" s="1652">
        <f t="shared" si="1"/>
        <v>1424491.43</v>
      </c>
    </row>
    <row r="60" spans="1:9" x14ac:dyDescent="0.3">
      <c r="A60" s="1634" t="s">
        <v>136</v>
      </c>
      <c r="B60" s="1635" t="s">
        <v>137</v>
      </c>
      <c r="C60" s="1161" t="s">
        <v>254</v>
      </c>
      <c r="D60" s="1650">
        <f>'CSA LASER'!D59+'Medicaid &amp; FAMIS - LASER'!E59+'SNAP LASER'!E59+'Energy Assistance LASER'!E59+'TANF LASER'!D59+'ChildCare LASER'!I59</f>
        <v>16841498.329901174</v>
      </c>
      <c r="E60" s="1651">
        <f>'CSA LASER'!E59+'Medicaid &amp; FAMIS - LASER'!F59+'Energy Assistance LASER'!F59+'TANF LASER'!E59+'ChildCare LASER'!J59</f>
        <v>14223554.935680112</v>
      </c>
      <c r="F60" s="1651">
        <f>'CSA LASER'!F59+'Medicaid &amp; FAMIS - LASER'!G59+'Energy Assistance LASER'!G59+'TANF LASER'!F59</f>
        <v>211942.79</v>
      </c>
      <c r="G60" s="1651">
        <f>'CSA LASER'!G59+'Energy Assistance LASER'!H59+'TANF LASER'!G59</f>
        <v>0</v>
      </c>
      <c r="H60" s="1651">
        <f t="shared" si="2"/>
        <v>31276996.055581287</v>
      </c>
      <c r="I60" s="1652">
        <f t="shared" si="1"/>
        <v>211942.79</v>
      </c>
    </row>
    <row r="61" spans="1:9" x14ac:dyDescent="0.3">
      <c r="A61" s="1634" t="s">
        <v>140</v>
      </c>
      <c r="B61" s="1635" t="s">
        <v>141</v>
      </c>
      <c r="C61" s="1161" t="s">
        <v>255</v>
      </c>
      <c r="D61" s="1650">
        <f>'CSA LASER'!D60+'Medicaid &amp; FAMIS - LASER'!E60+'SNAP LASER'!E60+'Energy Assistance LASER'!E60+'TANF LASER'!D60+'ChildCare LASER'!I60</f>
        <v>9580048.3994603232</v>
      </c>
      <c r="E61" s="1651">
        <f>'CSA LASER'!E60+'Medicaid &amp; FAMIS - LASER'!F60+'Energy Assistance LASER'!F60+'TANF LASER'!E60+'ChildCare LASER'!J60</f>
        <v>9032526.7606094293</v>
      </c>
      <c r="F61" s="1651">
        <f>'CSA LASER'!F60+'Medicaid &amp; FAMIS - LASER'!G60+'Energy Assistance LASER'!G60+'TANF LASER'!F60</f>
        <v>683190.72</v>
      </c>
      <c r="G61" s="1651">
        <f>'CSA LASER'!G60+'Energy Assistance LASER'!H60+'TANF LASER'!G60</f>
        <v>0</v>
      </c>
      <c r="H61" s="1651">
        <f t="shared" si="2"/>
        <v>19295765.880069751</v>
      </c>
      <c r="I61" s="1652">
        <f t="shared" si="1"/>
        <v>683190.72</v>
      </c>
    </row>
    <row r="62" spans="1:9" x14ac:dyDescent="0.3">
      <c r="A62" s="1634" t="s">
        <v>146</v>
      </c>
      <c r="B62" s="1635" t="s">
        <v>147</v>
      </c>
      <c r="C62" s="1161" t="s">
        <v>252</v>
      </c>
      <c r="D62" s="1650">
        <f>'CSA LASER'!D61+'Medicaid &amp; FAMIS - LASER'!E61+'SNAP LASER'!E61+'Energy Assistance LASER'!E61+'TANF LASER'!D61+'ChildCare LASER'!I61</f>
        <v>8042570.4054839853</v>
      </c>
      <c r="E62" s="1651">
        <f>'CSA LASER'!E61+'Medicaid &amp; FAMIS - LASER'!F61+'Energy Assistance LASER'!F61+'TANF LASER'!E61+'ChildCare LASER'!J61</f>
        <v>7022224.0436806399</v>
      </c>
      <c r="F62" s="1651">
        <f>'CSA LASER'!F61+'Medicaid &amp; FAMIS - LASER'!G61+'Energy Assistance LASER'!G61+'TANF LASER'!F61</f>
        <v>219096.53</v>
      </c>
      <c r="G62" s="1651">
        <f>'CSA LASER'!G61+'Energy Assistance LASER'!H61+'TANF LASER'!G61</f>
        <v>0</v>
      </c>
      <c r="H62" s="1651">
        <f t="shared" si="2"/>
        <v>15283890.979164625</v>
      </c>
      <c r="I62" s="1652">
        <f t="shared" si="1"/>
        <v>219096.53</v>
      </c>
    </row>
    <row r="63" spans="1:9" x14ac:dyDescent="0.3">
      <c r="A63" s="1634" t="s">
        <v>148</v>
      </c>
      <c r="B63" s="1635" t="s">
        <v>149</v>
      </c>
      <c r="C63" s="1161" t="s">
        <v>253</v>
      </c>
      <c r="D63" s="1650">
        <f>'CSA LASER'!D62+'Medicaid &amp; FAMIS - LASER'!E62+'SNAP LASER'!E62+'Energy Assistance LASER'!E62+'TANF LASER'!D62+'ChildCare LASER'!I62</f>
        <v>36090147.844103955</v>
      </c>
      <c r="E63" s="1651">
        <f>'CSA LASER'!E62+'Medicaid &amp; FAMIS - LASER'!F62+'Energy Assistance LASER'!F62+'TANF LASER'!E62+'ChildCare LASER'!J62</f>
        <v>30342966.941102047</v>
      </c>
      <c r="F63" s="1651">
        <f>'CSA LASER'!F62+'Medicaid &amp; FAMIS - LASER'!G62+'Energy Assistance LASER'!G62+'TANF LASER'!F62</f>
        <v>596420.02</v>
      </c>
      <c r="G63" s="1651">
        <f>'CSA LASER'!G62+'Energy Assistance LASER'!H62+'TANF LASER'!G62</f>
        <v>0</v>
      </c>
      <c r="H63" s="1651">
        <f t="shared" si="2"/>
        <v>67029534.805206008</v>
      </c>
      <c r="I63" s="1652">
        <f t="shared" si="1"/>
        <v>596420.02</v>
      </c>
    </row>
    <row r="64" spans="1:9" x14ac:dyDescent="0.3">
      <c r="A64" s="1634" t="s">
        <v>150</v>
      </c>
      <c r="B64" s="1635" t="s">
        <v>151</v>
      </c>
      <c r="C64" s="1161" t="s">
        <v>254</v>
      </c>
      <c r="D64" s="1650">
        <f>'CSA LASER'!D63+'Medicaid &amp; FAMIS - LASER'!E63+'SNAP LASER'!E63+'Energy Assistance LASER'!E63+'TANF LASER'!D63+'ChildCare LASER'!I63</f>
        <v>11582010.124053514</v>
      </c>
      <c r="E64" s="1651">
        <f>'CSA LASER'!E63+'Medicaid &amp; FAMIS - LASER'!F63+'Energy Assistance LASER'!F63+'TANF LASER'!E63+'ChildCare LASER'!J63</f>
        <v>9432381.0335152913</v>
      </c>
      <c r="F64" s="1651">
        <f>'CSA LASER'!F63+'Medicaid &amp; FAMIS - LASER'!G63+'Energy Assistance LASER'!G63+'TANF LASER'!F63</f>
        <v>349239.47</v>
      </c>
      <c r="G64" s="1651">
        <f>'CSA LASER'!G63+'Energy Assistance LASER'!H63+'TANF LASER'!G63</f>
        <v>0</v>
      </c>
      <c r="H64" s="1651">
        <f t="shared" si="2"/>
        <v>21363630.627568804</v>
      </c>
      <c r="I64" s="1652">
        <f t="shared" si="1"/>
        <v>349239.47</v>
      </c>
    </row>
    <row r="65" spans="1:9" x14ac:dyDescent="0.3">
      <c r="A65" s="1634" t="s">
        <v>152</v>
      </c>
      <c r="B65" s="1635" t="s">
        <v>153</v>
      </c>
      <c r="C65" s="1161" t="s">
        <v>256</v>
      </c>
      <c r="D65" s="1650">
        <f>'CSA LASER'!D64+'Medicaid &amp; FAMIS - LASER'!E64+'SNAP LASER'!E64+'Energy Assistance LASER'!E64+'TANF LASER'!D64+'ChildCare LASER'!I64</f>
        <v>50633808.963597648</v>
      </c>
      <c r="E65" s="1651">
        <f>'CSA LASER'!E64+'Medicaid &amp; FAMIS - LASER'!F64+'Energy Assistance LASER'!F64+'TANF LASER'!E64+'ChildCare LASER'!J64</f>
        <v>40134927.552304037</v>
      </c>
      <c r="F65" s="1651">
        <f>'CSA LASER'!F64+'Medicaid &amp; FAMIS - LASER'!G64+'Energy Assistance LASER'!G64+'TANF LASER'!F64</f>
        <v>232778.68</v>
      </c>
      <c r="G65" s="1651">
        <f>'CSA LASER'!G64+'Energy Assistance LASER'!H64+'TANF LASER'!G64</f>
        <v>0</v>
      </c>
      <c r="H65" s="1651">
        <f t="shared" si="2"/>
        <v>91001515.195901692</v>
      </c>
      <c r="I65" s="1652">
        <f t="shared" si="1"/>
        <v>232778.68</v>
      </c>
    </row>
    <row r="66" spans="1:9" x14ac:dyDescent="0.3">
      <c r="A66" s="1634" t="s">
        <v>154</v>
      </c>
      <c r="B66" s="1635" t="s">
        <v>155</v>
      </c>
      <c r="C66" s="1161" t="s">
        <v>253</v>
      </c>
      <c r="D66" s="1650">
        <f>'CSA LASER'!D65+'Medicaid &amp; FAMIS - LASER'!E65+'SNAP LASER'!E65+'Energy Assistance LASER'!E65+'TANF LASER'!D65+'ChildCare LASER'!I65</f>
        <v>14862093.759349197</v>
      </c>
      <c r="E66" s="1651">
        <f>'CSA LASER'!E65+'Medicaid &amp; FAMIS - LASER'!F65+'Energy Assistance LASER'!F65+'TANF LASER'!E65+'ChildCare LASER'!J65</f>
        <v>12740201.50530366</v>
      </c>
      <c r="F66" s="1651">
        <f>'CSA LASER'!F65+'Medicaid &amp; FAMIS - LASER'!G65+'Energy Assistance LASER'!G65+'TANF LASER'!F65</f>
        <v>433593.5</v>
      </c>
      <c r="G66" s="1651">
        <f>'CSA LASER'!G65+'Energy Assistance LASER'!H65+'TANF LASER'!G65</f>
        <v>0</v>
      </c>
      <c r="H66" s="1651">
        <f t="shared" si="2"/>
        <v>28035888.764652856</v>
      </c>
      <c r="I66" s="1652">
        <f t="shared" si="1"/>
        <v>433593.5</v>
      </c>
    </row>
    <row r="67" spans="1:9" x14ac:dyDescent="0.3">
      <c r="A67" s="1634" t="s">
        <v>156</v>
      </c>
      <c r="B67" s="1635" t="s">
        <v>157</v>
      </c>
      <c r="C67" s="1161" t="s">
        <v>254</v>
      </c>
      <c r="D67" s="1650">
        <f>'CSA LASER'!D66+'Medicaid &amp; FAMIS - LASER'!E66+'SNAP LASER'!E66+'Energy Assistance LASER'!E66+'TANF LASER'!D66+'ChildCare LASER'!I66</f>
        <v>10565636.047744822</v>
      </c>
      <c r="E67" s="1651">
        <f>'CSA LASER'!E66+'Medicaid &amp; FAMIS - LASER'!F66+'Energy Assistance LASER'!F66+'TANF LASER'!E66+'ChildCare LASER'!J66</f>
        <v>8814803.5685514752</v>
      </c>
      <c r="F67" s="1651">
        <f>'CSA LASER'!F66+'Medicaid &amp; FAMIS - LASER'!G66+'Energy Assistance LASER'!G66+'TANF LASER'!F66</f>
        <v>236691.31</v>
      </c>
      <c r="G67" s="1651">
        <f>'CSA LASER'!G66+'Energy Assistance LASER'!H66+'TANF LASER'!G66</f>
        <v>0</v>
      </c>
      <c r="H67" s="1651">
        <f t="shared" si="2"/>
        <v>19617130.926296297</v>
      </c>
      <c r="I67" s="1652">
        <f t="shared" si="1"/>
        <v>236691.31</v>
      </c>
    </row>
    <row r="68" spans="1:9" x14ac:dyDescent="0.3">
      <c r="A68" s="1634" t="s">
        <v>162</v>
      </c>
      <c r="B68" s="1635" t="s">
        <v>163</v>
      </c>
      <c r="C68" s="1161" t="s">
        <v>252</v>
      </c>
      <c r="D68" s="1650">
        <f>'CSA LASER'!D67+'Medicaid &amp; FAMIS - LASER'!E67+'SNAP LASER'!E67+'Energy Assistance LASER'!E67+'TANF LASER'!D67+'ChildCare LASER'!I67</f>
        <v>21805962.658068378</v>
      </c>
      <c r="E68" s="1651">
        <f>'CSA LASER'!E67+'Medicaid &amp; FAMIS - LASER'!F67+'Energy Assistance LASER'!F67+'TANF LASER'!E67+'ChildCare LASER'!J67</f>
        <v>18192485.379227299</v>
      </c>
      <c r="F68" s="1651">
        <f>'CSA LASER'!F67+'Medicaid &amp; FAMIS - LASER'!G67+'Energy Assistance LASER'!G67+'TANF LASER'!F67</f>
        <v>140201.26999999999</v>
      </c>
      <c r="G68" s="1651">
        <f>'CSA LASER'!G67+'Energy Assistance LASER'!H67+'TANF LASER'!G67</f>
        <v>0</v>
      </c>
      <c r="H68" s="1651">
        <f t="shared" si="2"/>
        <v>40138649.30729568</v>
      </c>
      <c r="I68" s="1652">
        <f t="shared" si="1"/>
        <v>140201.26999999999</v>
      </c>
    </row>
    <row r="69" spans="1:9" x14ac:dyDescent="0.3">
      <c r="A69" s="1634" t="s">
        <v>164</v>
      </c>
      <c r="B69" s="1635" t="s">
        <v>165</v>
      </c>
      <c r="C69" s="1161" t="s">
        <v>254</v>
      </c>
      <c r="D69" s="1650">
        <f>'CSA LASER'!D68+'Medicaid &amp; FAMIS - LASER'!E68+'SNAP LASER'!E68+'Energy Assistance LASER'!E68+'TANF LASER'!D68+'ChildCare LASER'!I68</f>
        <v>11102759.445689494</v>
      </c>
      <c r="E69" s="1651">
        <f>'CSA LASER'!E68+'Medicaid &amp; FAMIS - LASER'!F68+'Energy Assistance LASER'!F68+'TANF LASER'!E68+'ChildCare LASER'!J68</f>
        <v>8508087.9122837167</v>
      </c>
      <c r="F69" s="1651">
        <f>'CSA LASER'!F68+'Medicaid &amp; FAMIS - LASER'!G68+'Energy Assistance LASER'!G68+'TANF LASER'!F68</f>
        <v>163870.74</v>
      </c>
      <c r="G69" s="1651">
        <f>'CSA LASER'!G68+'Energy Assistance LASER'!H68+'TANF LASER'!G68</f>
        <v>0</v>
      </c>
      <c r="H69" s="1651">
        <f t="shared" si="2"/>
        <v>19774718.097973209</v>
      </c>
      <c r="I69" s="1652">
        <f t="shared" si="1"/>
        <v>163870.74</v>
      </c>
    </row>
    <row r="70" spans="1:9" x14ac:dyDescent="0.3">
      <c r="A70" s="1634" t="s">
        <v>168</v>
      </c>
      <c r="B70" s="1635" t="s">
        <v>169</v>
      </c>
      <c r="C70" s="1161" t="s">
        <v>254</v>
      </c>
      <c r="D70" s="1650">
        <f>'CSA LASER'!D69+'Medicaid &amp; FAMIS - LASER'!E69+'SNAP LASER'!E69+'Energy Assistance LASER'!E69+'TANF LASER'!D69+'ChildCare LASER'!I69</f>
        <v>20525156.178333484</v>
      </c>
      <c r="E70" s="1651">
        <f>'CSA LASER'!E69+'Medicaid &amp; FAMIS - LASER'!F69+'Energy Assistance LASER'!F69+'TANF LASER'!E69+'ChildCare LASER'!J69</f>
        <v>16257093.306670042</v>
      </c>
      <c r="F70" s="1651">
        <f>'CSA LASER'!F69+'Medicaid &amp; FAMIS - LASER'!G69+'Energy Assistance LASER'!G69+'TANF LASER'!F69</f>
        <v>416756.55000000005</v>
      </c>
      <c r="G70" s="1651">
        <f>'CSA LASER'!G69+'Energy Assistance LASER'!H69+'TANF LASER'!G69</f>
        <v>0</v>
      </c>
      <c r="H70" s="1651">
        <f t="shared" si="2"/>
        <v>37199006.035003521</v>
      </c>
      <c r="I70" s="1652">
        <f t="shared" ref="I70:I131" si="3">F70+G70</f>
        <v>416756.55000000005</v>
      </c>
    </row>
    <row r="71" spans="1:9" x14ac:dyDescent="0.3">
      <c r="A71" s="1634" t="s">
        <v>170</v>
      </c>
      <c r="B71" s="1635" t="s">
        <v>171</v>
      </c>
      <c r="C71" s="1161" t="s">
        <v>255</v>
      </c>
      <c r="D71" s="1650">
        <f>'CSA LASER'!D70+'Medicaid &amp; FAMIS - LASER'!E70+'SNAP LASER'!E70+'Energy Assistance LASER'!E70+'TANF LASER'!D70+'ChildCare LASER'!I70</f>
        <v>29239309.449037731</v>
      </c>
      <c r="E71" s="1651">
        <f>'CSA LASER'!E70+'Medicaid &amp; FAMIS - LASER'!F70+'Energy Assistance LASER'!F70+'TANF LASER'!E70+'ChildCare LASER'!J70</f>
        <v>25298603.609371293</v>
      </c>
      <c r="F71" s="1651">
        <f>'CSA LASER'!F70+'Medicaid &amp; FAMIS - LASER'!G70+'Energy Assistance LASER'!G70+'TANF LASER'!F70</f>
        <v>1292174.3700000001</v>
      </c>
      <c r="G71" s="1651">
        <f>'CSA LASER'!G70+'Energy Assistance LASER'!H70+'TANF LASER'!G70</f>
        <v>0</v>
      </c>
      <c r="H71" s="1651">
        <f t="shared" ref="H71:H125" si="4">SUM(D71:G71)</f>
        <v>55830087.428409018</v>
      </c>
      <c r="I71" s="1652">
        <f t="shared" si="3"/>
        <v>1292174.3700000001</v>
      </c>
    </row>
    <row r="72" spans="1:9" x14ac:dyDescent="0.3">
      <c r="A72" s="1634" t="s">
        <v>172</v>
      </c>
      <c r="B72" s="1635" t="s">
        <v>173</v>
      </c>
      <c r="C72" s="1161" t="s">
        <v>255</v>
      </c>
      <c r="D72" s="1650">
        <f>'CSA LASER'!D71+'Medicaid &amp; FAMIS - LASER'!E71+'SNAP LASER'!E71+'Energy Assistance LASER'!E71+'TANF LASER'!D71+'ChildCare LASER'!I71</f>
        <v>22114523.560625821</v>
      </c>
      <c r="E72" s="1651">
        <f>'CSA LASER'!E71+'Medicaid &amp; FAMIS - LASER'!F71+'Energy Assistance LASER'!F71+'TANF LASER'!E71+'ChildCare LASER'!J71</f>
        <v>18042583.173988611</v>
      </c>
      <c r="F72" s="1651">
        <f>'CSA LASER'!F71+'Medicaid &amp; FAMIS - LASER'!G71+'Energy Assistance LASER'!G71+'TANF LASER'!F71</f>
        <v>370289.83</v>
      </c>
      <c r="G72" s="1651">
        <f>'CSA LASER'!G71+'Energy Assistance LASER'!H71+'TANF LASER'!G71</f>
        <v>0</v>
      </c>
      <c r="H72" s="1651">
        <f t="shared" si="4"/>
        <v>40527396.56461443</v>
      </c>
      <c r="I72" s="1652">
        <f t="shared" si="3"/>
        <v>370289.83</v>
      </c>
    </row>
    <row r="73" spans="1:9" x14ac:dyDescent="0.3">
      <c r="A73" s="1634" t="s">
        <v>174</v>
      </c>
      <c r="B73" s="1635" t="s">
        <v>175</v>
      </c>
      <c r="C73" s="1161" t="s">
        <v>256</v>
      </c>
      <c r="D73" s="1650">
        <f>'CSA LASER'!D72+'Medicaid &amp; FAMIS - LASER'!E72+'SNAP LASER'!E72+'Energy Assistance LASER'!E72+'TANF LASER'!D72+'ChildCare LASER'!I72</f>
        <v>20784911.275842022</v>
      </c>
      <c r="E73" s="1651">
        <f>'CSA LASER'!E72+'Medicaid &amp; FAMIS - LASER'!F72+'Energy Assistance LASER'!F72+'TANF LASER'!E72+'ChildCare LASER'!J72</f>
        <v>16892723.571461637</v>
      </c>
      <c r="F73" s="1651">
        <f>'CSA LASER'!F72+'Medicaid &amp; FAMIS - LASER'!G72+'Energy Assistance LASER'!G72+'TANF LASER'!F72</f>
        <v>183125.86</v>
      </c>
      <c r="G73" s="1651">
        <f>'CSA LASER'!G72+'Energy Assistance LASER'!H72+'TANF LASER'!G72</f>
        <v>0</v>
      </c>
      <c r="H73" s="1651">
        <f t="shared" si="4"/>
        <v>37860760.707303658</v>
      </c>
      <c r="I73" s="1652">
        <f t="shared" si="3"/>
        <v>183125.86</v>
      </c>
    </row>
    <row r="74" spans="1:9" x14ac:dyDescent="0.3">
      <c r="A74" s="1634" t="s">
        <v>178</v>
      </c>
      <c r="B74" s="1635" t="s">
        <v>179</v>
      </c>
      <c r="C74" s="1161" t="s">
        <v>253</v>
      </c>
      <c r="D74" s="1650">
        <f>'CSA LASER'!D73+'Medicaid &amp; FAMIS - LASER'!E73+'SNAP LASER'!E73+'Energy Assistance LASER'!E73+'TANF LASER'!D73+'ChildCare LASER'!I73</f>
        <v>69665341.546974003</v>
      </c>
      <c r="E74" s="1651">
        <f>'CSA LASER'!E73+'Medicaid &amp; FAMIS - LASER'!F73+'Energy Assistance LASER'!F73+'TANF LASER'!E73+'ChildCare LASER'!J73</f>
        <v>59383130.752771176</v>
      </c>
      <c r="F74" s="1651">
        <f>'CSA LASER'!F73+'Medicaid &amp; FAMIS - LASER'!G73+'Energy Assistance LASER'!G73+'TANF LASER'!F73</f>
        <v>1337881.06</v>
      </c>
      <c r="G74" s="1651">
        <f>'CSA LASER'!G73+'Energy Assistance LASER'!H73+'TANF LASER'!G73</f>
        <v>0</v>
      </c>
      <c r="H74" s="1651">
        <f t="shared" si="4"/>
        <v>130386353.35974517</v>
      </c>
      <c r="I74" s="1652">
        <f t="shared" si="3"/>
        <v>1337881.06</v>
      </c>
    </row>
    <row r="75" spans="1:9" x14ac:dyDescent="0.3">
      <c r="A75" s="1634" t="s">
        <v>182</v>
      </c>
      <c r="B75" s="1635" t="s">
        <v>183</v>
      </c>
      <c r="C75" s="1161" t="s">
        <v>254</v>
      </c>
      <c r="D75" s="1650">
        <f>'CSA LASER'!D74+'Medicaid &amp; FAMIS - LASER'!E74+'SNAP LASER'!E74+'Energy Assistance LASER'!E74+'TANF LASER'!D74+'ChildCare LASER'!I74</f>
        <v>12358503.814289134</v>
      </c>
      <c r="E75" s="1651">
        <f>'CSA LASER'!E74+'Medicaid &amp; FAMIS - LASER'!F74+'Energy Assistance LASER'!F74+'TANF LASER'!E74+'ChildCare LASER'!J74</f>
        <v>10962215.129965898</v>
      </c>
      <c r="F75" s="1651">
        <f>'CSA LASER'!F74+'Medicaid &amp; FAMIS - LASER'!G74+'Energy Assistance LASER'!G74+'TANF LASER'!F74</f>
        <v>752681.98</v>
      </c>
      <c r="G75" s="1651">
        <f>'CSA LASER'!G74+'Energy Assistance LASER'!H74+'TANF LASER'!G74</f>
        <v>0</v>
      </c>
      <c r="H75" s="1651">
        <f t="shared" si="4"/>
        <v>24073400.924255032</v>
      </c>
      <c r="I75" s="1652">
        <f t="shared" si="3"/>
        <v>752681.98</v>
      </c>
    </row>
    <row r="76" spans="1:9" x14ac:dyDescent="0.3">
      <c r="A76" s="1634" t="s">
        <v>184</v>
      </c>
      <c r="B76" s="1635" t="s">
        <v>185</v>
      </c>
      <c r="C76" s="1161" t="s">
        <v>254</v>
      </c>
      <c r="D76" s="1650">
        <f>'CSA LASER'!D75+'Medicaid &amp; FAMIS - LASER'!E75+'SNAP LASER'!E75+'Energy Assistance LASER'!E75+'TANF LASER'!D75+'ChildCare LASER'!I75</f>
        <v>24927967.592924133</v>
      </c>
      <c r="E76" s="1651">
        <f>'CSA LASER'!E75+'Medicaid &amp; FAMIS - LASER'!F75+'Energy Assistance LASER'!F75+'TANF LASER'!E75+'ChildCare LASER'!J75</f>
        <v>20201180.791890219</v>
      </c>
      <c r="F76" s="1651">
        <f>'CSA LASER'!F75+'Medicaid &amp; FAMIS - LASER'!G75+'Energy Assistance LASER'!G75+'TANF LASER'!F75</f>
        <v>133723.30000000002</v>
      </c>
      <c r="G76" s="1651">
        <f>'CSA LASER'!G75+'Energy Assistance LASER'!H75+'TANF LASER'!G75</f>
        <v>0</v>
      </c>
      <c r="H76" s="1651">
        <f t="shared" si="4"/>
        <v>45262871.684814349</v>
      </c>
      <c r="I76" s="1652">
        <f t="shared" si="3"/>
        <v>133723.30000000002</v>
      </c>
    </row>
    <row r="77" spans="1:9" x14ac:dyDescent="0.3">
      <c r="A77" s="1634" t="s">
        <v>186</v>
      </c>
      <c r="B77" s="1635" t="s">
        <v>187</v>
      </c>
      <c r="C77" s="1161" t="s">
        <v>252</v>
      </c>
      <c r="D77" s="1650">
        <f>'CSA LASER'!D76+'Medicaid &amp; FAMIS - LASER'!E76+'SNAP LASER'!E76+'Energy Assistance LASER'!E76+'TANF LASER'!D76+'ChildCare LASER'!I76</f>
        <v>23203742.337544039</v>
      </c>
      <c r="E77" s="1651">
        <f>'CSA LASER'!E76+'Medicaid &amp; FAMIS - LASER'!F76+'Energy Assistance LASER'!F76+'TANF LASER'!E76+'ChildCare LASER'!J76</f>
        <v>18953482.864886139</v>
      </c>
      <c r="F77" s="1651">
        <f>'CSA LASER'!F76+'Medicaid &amp; FAMIS - LASER'!G76+'Energy Assistance LASER'!G76+'TANF LASER'!F76</f>
        <v>869724.87</v>
      </c>
      <c r="G77" s="1651">
        <f>'CSA LASER'!G76+'Energy Assistance LASER'!H76+'TANF LASER'!G76</f>
        <v>0</v>
      </c>
      <c r="H77" s="1651">
        <f t="shared" si="4"/>
        <v>43026950.072430171</v>
      </c>
      <c r="I77" s="1652">
        <f t="shared" si="3"/>
        <v>869724.87</v>
      </c>
    </row>
    <row r="78" spans="1:9" x14ac:dyDescent="0.3">
      <c r="A78" s="1634" t="s">
        <v>188</v>
      </c>
      <c r="B78" s="1635" t="s">
        <v>189</v>
      </c>
      <c r="C78" s="1161" t="s">
        <v>255</v>
      </c>
      <c r="D78" s="1650">
        <f>'CSA LASER'!D77+'Medicaid &amp; FAMIS - LASER'!E77+'SNAP LASER'!E77+'Energy Assistance LASER'!E77+'TANF LASER'!D77+'ChildCare LASER'!I77</f>
        <v>244837898.2414996</v>
      </c>
      <c r="E78" s="1651">
        <f>'CSA LASER'!E77+'Medicaid &amp; FAMIS - LASER'!F77+'Energy Assistance LASER'!F77+'TANF LASER'!E77+'ChildCare LASER'!J77</f>
        <v>197265160.82334659</v>
      </c>
      <c r="F78" s="1651">
        <f>'CSA LASER'!F77+'Medicaid &amp; FAMIS - LASER'!G77+'Energy Assistance LASER'!G77+'TANF LASER'!F77</f>
        <v>6483612.7300000004</v>
      </c>
      <c r="G78" s="1651">
        <f>'CSA LASER'!G77+'Energy Assistance LASER'!H77+'TANF LASER'!G77</f>
        <v>0</v>
      </c>
      <c r="H78" s="1651">
        <f t="shared" si="4"/>
        <v>448586671.79484618</v>
      </c>
      <c r="I78" s="1652">
        <f t="shared" si="3"/>
        <v>6483612.7300000004</v>
      </c>
    </row>
    <row r="79" spans="1:9" x14ac:dyDescent="0.3">
      <c r="A79" s="1634" t="s">
        <v>190</v>
      </c>
      <c r="B79" s="1635" t="s">
        <v>191</v>
      </c>
      <c r="C79" s="1161" t="s">
        <v>256</v>
      </c>
      <c r="D79" s="1650">
        <f>'CSA LASER'!D78+'Medicaid &amp; FAMIS - LASER'!E78+'SNAP LASER'!E78+'Energy Assistance LASER'!E78+'TANF LASER'!D78+'ChildCare LASER'!I78</f>
        <v>39011072.108302228</v>
      </c>
      <c r="E79" s="1651">
        <f>'CSA LASER'!E78+'Medicaid &amp; FAMIS - LASER'!F78+'Energy Assistance LASER'!F78+'TANF LASER'!E78+'ChildCare LASER'!J78</f>
        <v>32325800.371396642</v>
      </c>
      <c r="F79" s="1651">
        <f>'CSA LASER'!F78+'Medicaid &amp; FAMIS - LASER'!G78+'Energy Assistance LASER'!G78+'TANF LASER'!F78</f>
        <v>808371.79</v>
      </c>
      <c r="G79" s="1651">
        <f>'CSA LASER'!G78+'Energy Assistance LASER'!H78+'TANF LASER'!G78</f>
        <v>0</v>
      </c>
      <c r="H79" s="1651">
        <f t="shared" si="4"/>
        <v>72145244.269698873</v>
      </c>
      <c r="I79" s="1652">
        <f t="shared" si="3"/>
        <v>808371.79</v>
      </c>
    </row>
    <row r="80" spans="1:9" x14ac:dyDescent="0.3">
      <c r="A80" s="1634" t="s">
        <v>194</v>
      </c>
      <c r="B80" s="1635" t="s">
        <v>195</v>
      </c>
      <c r="C80" s="1161" t="s">
        <v>255</v>
      </c>
      <c r="D80" s="1650">
        <f>'CSA LASER'!D79+'Medicaid &amp; FAMIS - LASER'!E79+'SNAP LASER'!E79+'Energy Assistance LASER'!E79+'TANF LASER'!D79+'ChildCare LASER'!I79</f>
        <v>3331347.2222830858</v>
      </c>
      <c r="E80" s="1651">
        <f>'CSA LASER'!E79+'Medicaid &amp; FAMIS - LASER'!F79+'Energy Assistance LASER'!F79+'TANF LASER'!E79+'ChildCare LASER'!J79</f>
        <v>3331361.5437651048</v>
      </c>
      <c r="F80" s="1651">
        <f>'CSA LASER'!F79+'Medicaid &amp; FAMIS - LASER'!G79+'Energy Assistance LASER'!G79+'TANF LASER'!F79</f>
        <v>671606.24</v>
      </c>
      <c r="G80" s="1651">
        <f>'CSA LASER'!G79+'Energy Assistance LASER'!H79+'TANF LASER'!G79</f>
        <v>0</v>
      </c>
      <c r="H80" s="1651">
        <f t="shared" si="4"/>
        <v>7334315.0060481913</v>
      </c>
      <c r="I80" s="1652">
        <f t="shared" si="3"/>
        <v>671606.24</v>
      </c>
    </row>
    <row r="81" spans="1:9" x14ac:dyDescent="0.3">
      <c r="A81" s="1634" t="s">
        <v>198</v>
      </c>
      <c r="B81" s="1635" t="s">
        <v>199</v>
      </c>
      <c r="C81" s="1161" t="s">
        <v>254</v>
      </c>
      <c r="D81" s="1650">
        <f>'CSA LASER'!D80+'Medicaid &amp; FAMIS - LASER'!E80+'SNAP LASER'!E80+'Energy Assistance LASER'!E80+'TANF LASER'!D80+'ChildCare LASER'!I80</f>
        <v>9051875.4525288511</v>
      </c>
      <c r="E81" s="1651">
        <f>'CSA LASER'!E80+'Medicaid &amp; FAMIS - LASER'!F80+'Energy Assistance LASER'!F80+'TANF LASER'!E80+'ChildCare LASER'!J80</f>
        <v>6800020.321483735</v>
      </c>
      <c r="F81" s="1651">
        <f>'CSA LASER'!F80+'Medicaid &amp; FAMIS - LASER'!G80+'Energy Assistance LASER'!G80+'TANF LASER'!F80</f>
        <v>191337.82</v>
      </c>
      <c r="G81" s="1651">
        <f>'CSA LASER'!G80+'Energy Assistance LASER'!H80+'TANF LASER'!G80</f>
        <v>0</v>
      </c>
      <c r="H81" s="1651">
        <f t="shared" si="4"/>
        <v>16043233.594012586</v>
      </c>
      <c r="I81" s="1652">
        <f t="shared" si="3"/>
        <v>191337.82</v>
      </c>
    </row>
    <row r="82" spans="1:9" x14ac:dyDescent="0.3">
      <c r="A82" s="1634" t="s">
        <v>202</v>
      </c>
      <c r="B82" s="1635" t="s">
        <v>474</v>
      </c>
      <c r="C82" s="1161" t="s">
        <v>253</v>
      </c>
      <c r="D82" s="1650">
        <f>'CSA LASER'!D81+'Medicaid &amp; FAMIS - LASER'!E81+'SNAP LASER'!E81+'Energy Assistance LASER'!E81+'TANF LASER'!D81+'ChildCare LASER'!I81</f>
        <v>69858725.696163118</v>
      </c>
      <c r="E82" s="1651">
        <f>'CSA LASER'!E81+'Medicaid &amp; FAMIS - LASER'!F81+'Energy Assistance LASER'!F81+'TANF LASER'!E81+'ChildCare LASER'!J81</f>
        <v>61796699.962294966</v>
      </c>
      <c r="F82" s="1651">
        <f>'CSA LASER'!F81+'Medicaid &amp; FAMIS - LASER'!G81+'Energy Assistance LASER'!G81+'TANF LASER'!F81</f>
        <v>3997871.3000000003</v>
      </c>
      <c r="G82" s="1651">
        <f>'CSA LASER'!G81+'Energy Assistance LASER'!H81+'TANF LASER'!G81</f>
        <v>0</v>
      </c>
      <c r="H82" s="1651">
        <f t="shared" si="4"/>
        <v>135653296.9584581</v>
      </c>
      <c r="I82" s="1652">
        <f t="shared" si="3"/>
        <v>3997871.3000000003</v>
      </c>
    </row>
    <row r="83" spans="1:9" x14ac:dyDescent="0.3">
      <c r="A83" s="1634" t="s">
        <v>204</v>
      </c>
      <c r="B83" s="1635" t="s">
        <v>281</v>
      </c>
      <c r="C83" s="1161" t="s">
        <v>253</v>
      </c>
      <c r="D83" s="1650">
        <f>'CSA LASER'!D82+'Medicaid &amp; FAMIS - LASER'!E82+'SNAP LASER'!E82+'Energy Assistance LASER'!E82+'TANF LASER'!D82+'ChildCare LASER'!I82</f>
        <v>29843147.216357194</v>
      </c>
      <c r="E83" s="1651">
        <f>'CSA LASER'!E82+'Medicaid &amp; FAMIS - LASER'!F82+'Energy Assistance LASER'!F82+'TANF LASER'!E82+'ChildCare LASER'!J82</f>
        <v>29038937.010020126</v>
      </c>
      <c r="F83" s="1651">
        <f>'CSA LASER'!F82+'Medicaid &amp; FAMIS - LASER'!G82+'Energy Assistance LASER'!G82+'TANF LASER'!F82</f>
        <v>1858027</v>
      </c>
      <c r="G83" s="1651">
        <f>'CSA LASER'!G82+'Energy Assistance LASER'!H82+'TANF LASER'!G82</f>
        <v>0</v>
      </c>
      <c r="H83" s="1651">
        <f t="shared" si="4"/>
        <v>60740111.226377323</v>
      </c>
      <c r="I83" s="1652">
        <f t="shared" si="3"/>
        <v>1858027</v>
      </c>
    </row>
    <row r="84" spans="1:9" x14ac:dyDescent="0.3">
      <c r="A84" s="1634" t="s">
        <v>206</v>
      </c>
      <c r="B84" s="1635" t="s">
        <v>282</v>
      </c>
      <c r="C84" s="1161" t="s">
        <v>255</v>
      </c>
      <c r="D84" s="1650">
        <f>'CSA LASER'!D83+'Medicaid &amp; FAMIS - LASER'!E83+'SNAP LASER'!E83+'Energy Assistance LASER'!E83+'TANF LASER'!D83+'ChildCare LASER'!I83</f>
        <v>80912135.342330009</v>
      </c>
      <c r="E84" s="1651">
        <f>'CSA LASER'!E83+'Medicaid &amp; FAMIS - LASER'!F83+'Energy Assistance LASER'!F83+'TANF LASER'!E83+'ChildCare LASER'!J83</f>
        <v>68412962.675497562</v>
      </c>
      <c r="F84" s="1651">
        <f>'CSA LASER'!F83+'Medicaid &amp; FAMIS - LASER'!G83+'Energy Assistance LASER'!G83+'TANF LASER'!F83</f>
        <v>3968624.74</v>
      </c>
      <c r="G84" s="1651">
        <f>'CSA LASER'!G83+'Energy Assistance LASER'!H83+'TANF LASER'!G83</f>
        <v>0</v>
      </c>
      <c r="H84" s="1651">
        <f t="shared" si="4"/>
        <v>153293722.75782758</v>
      </c>
      <c r="I84" s="1652">
        <f t="shared" si="3"/>
        <v>3968624.74</v>
      </c>
    </row>
    <row r="85" spans="1:9" x14ac:dyDescent="0.3">
      <c r="A85" s="1634" t="s">
        <v>208</v>
      </c>
      <c r="B85" s="1635" t="s">
        <v>209</v>
      </c>
      <c r="C85" s="1161" t="s">
        <v>256</v>
      </c>
      <c r="D85" s="1650">
        <f>'CSA LASER'!D84+'Medicaid &amp; FAMIS - LASER'!E84+'SNAP LASER'!E84+'Energy Assistance LASER'!E84+'TANF LASER'!D84+'ChildCare LASER'!I84</f>
        <v>34238469.621630736</v>
      </c>
      <c r="E85" s="1651">
        <f>'CSA LASER'!E84+'Medicaid &amp; FAMIS - LASER'!F84+'Energy Assistance LASER'!F84+'TANF LASER'!E84+'ChildCare LASER'!J84</f>
        <v>26383219.640518021</v>
      </c>
      <c r="F85" s="1651">
        <f>'CSA LASER'!F84+'Medicaid &amp; FAMIS - LASER'!G84+'Energy Assistance LASER'!G84+'TANF LASER'!F84</f>
        <v>345319.53</v>
      </c>
      <c r="G85" s="1651">
        <f>'CSA LASER'!G84+'Energy Assistance LASER'!H84+'TANF LASER'!G84</f>
        <v>0</v>
      </c>
      <c r="H85" s="1651">
        <f t="shared" si="4"/>
        <v>60967008.792148754</v>
      </c>
      <c r="I85" s="1652">
        <f t="shared" si="3"/>
        <v>345319.53</v>
      </c>
    </row>
    <row r="86" spans="1:9" x14ac:dyDescent="0.3">
      <c r="A86" s="1634" t="s">
        <v>210</v>
      </c>
      <c r="B86" s="1635" t="s">
        <v>211</v>
      </c>
      <c r="C86" s="1161" t="s">
        <v>256</v>
      </c>
      <c r="D86" s="1650">
        <f>'CSA LASER'!D85+'Medicaid &amp; FAMIS - LASER'!E85+'SNAP LASER'!E85+'Energy Assistance LASER'!E85+'TANF LASER'!D85+'ChildCare LASER'!I85</f>
        <v>24513569.938389625</v>
      </c>
      <c r="E86" s="1651">
        <f>'CSA LASER'!E85+'Medicaid &amp; FAMIS - LASER'!F85+'Energy Assistance LASER'!F85+'TANF LASER'!E85+'ChildCare LASER'!J85</f>
        <v>19837913.900077473</v>
      </c>
      <c r="F86" s="1651">
        <f>'CSA LASER'!F85+'Medicaid &amp; FAMIS - LASER'!G85+'Energy Assistance LASER'!G85+'TANF LASER'!F85</f>
        <v>373534.04</v>
      </c>
      <c r="G86" s="1651">
        <f>'CSA LASER'!G85+'Energy Assistance LASER'!H85+'TANF LASER'!G85</f>
        <v>0</v>
      </c>
      <c r="H86" s="1651">
        <f t="shared" si="4"/>
        <v>44725017.878467098</v>
      </c>
      <c r="I86" s="1652">
        <f t="shared" si="3"/>
        <v>373534.04</v>
      </c>
    </row>
    <row r="87" spans="1:9" x14ac:dyDescent="0.3">
      <c r="A87" s="1634" t="s">
        <v>212</v>
      </c>
      <c r="B87" s="1635" t="s">
        <v>213</v>
      </c>
      <c r="C87" s="1161" t="s">
        <v>255</v>
      </c>
      <c r="D87" s="1650">
        <f>'CSA LASER'!D86+'Medicaid &amp; FAMIS - LASER'!E86+'SNAP LASER'!E86+'Energy Assistance LASER'!E86+'TANF LASER'!D86+'ChildCare LASER'!I86</f>
        <v>39958055.138547882</v>
      </c>
      <c r="E87" s="1651">
        <f>'CSA LASER'!E86+'Medicaid &amp; FAMIS - LASER'!F86+'Energy Assistance LASER'!F86+'TANF LASER'!E86+'ChildCare LASER'!J86</f>
        <v>34354671.08153642</v>
      </c>
      <c r="F87" s="1651">
        <f>'CSA LASER'!F86+'Medicaid &amp; FAMIS - LASER'!G86+'Energy Assistance LASER'!G86+'TANF LASER'!F86</f>
        <v>1347471.06</v>
      </c>
      <c r="G87" s="1651">
        <f>'CSA LASER'!G86+'Energy Assistance LASER'!H86+'TANF LASER'!G86</f>
        <v>0</v>
      </c>
      <c r="H87" s="1651">
        <f t="shared" si="4"/>
        <v>75660197.280084312</v>
      </c>
      <c r="I87" s="1652">
        <f t="shared" si="3"/>
        <v>1347471.06</v>
      </c>
    </row>
    <row r="88" spans="1:9" x14ac:dyDescent="0.3">
      <c r="A88" s="1634" t="s">
        <v>214</v>
      </c>
      <c r="B88" s="1635" t="s">
        <v>215</v>
      </c>
      <c r="C88" s="1161" t="s">
        <v>256</v>
      </c>
      <c r="D88" s="1650">
        <f>'CSA LASER'!D87+'Medicaid &amp; FAMIS - LASER'!E87+'SNAP LASER'!E87+'Energy Assistance LASER'!E87+'TANF LASER'!D87+'ChildCare LASER'!I87</f>
        <v>40023213.212343775</v>
      </c>
      <c r="E88" s="1651">
        <f>'CSA LASER'!E87+'Medicaid &amp; FAMIS - LASER'!F87+'Energy Assistance LASER'!F87+'TANF LASER'!E87+'ChildCare LASER'!J87</f>
        <v>31535802.752530467</v>
      </c>
      <c r="F88" s="1651">
        <f>'CSA LASER'!F87+'Medicaid &amp; FAMIS - LASER'!G87+'Energy Assistance LASER'!G87+'TANF LASER'!F87</f>
        <v>442437.88999999996</v>
      </c>
      <c r="G88" s="1651">
        <f>'CSA LASER'!G87+'Energy Assistance LASER'!H87+'TANF LASER'!G87</f>
        <v>0</v>
      </c>
      <c r="H88" s="1651">
        <f t="shared" si="4"/>
        <v>72001453.854874238</v>
      </c>
      <c r="I88" s="1652">
        <f t="shared" si="3"/>
        <v>442437.88999999996</v>
      </c>
    </row>
    <row r="89" spans="1:9" x14ac:dyDescent="0.3">
      <c r="A89" s="1634" t="s">
        <v>216</v>
      </c>
      <c r="B89" s="1635" t="s">
        <v>217</v>
      </c>
      <c r="C89" s="1161" t="s">
        <v>252</v>
      </c>
      <c r="D89" s="1650">
        <f>'CSA LASER'!D88+'Medicaid &amp; FAMIS - LASER'!E88+'SNAP LASER'!E88+'Energy Assistance LASER'!E88+'TANF LASER'!D88+'ChildCare LASER'!I88</f>
        <v>20483844.655099694</v>
      </c>
      <c r="E89" s="1651">
        <f>'CSA LASER'!E88+'Medicaid &amp; FAMIS - LASER'!F88+'Energy Assistance LASER'!F88+'TANF LASER'!E88+'ChildCare LASER'!J88</f>
        <v>16602769.255798664</v>
      </c>
      <c r="F89" s="1651">
        <f>'CSA LASER'!F88+'Medicaid &amp; FAMIS - LASER'!G88+'Energy Assistance LASER'!G88+'TANF LASER'!F88</f>
        <v>169283.30000000002</v>
      </c>
      <c r="G89" s="1651">
        <f>'CSA LASER'!G88+'Energy Assistance LASER'!H88+'TANF LASER'!G88</f>
        <v>0</v>
      </c>
      <c r="H89" s="1651">
        <f t="shared" si="4"/>
        <v>37255897.210898355</v>
      </c>
      <c r="I89" s="1652">
        <f t="shared" si="3"/>
        <v>169283.30000000002</v>
      </c>
    </row>
    <row r="90" spans="1:9" x14ac:dyDescent="0.3">
      <c r="A90" s="1634" t="s">
        <v>218</v>
      </c>
      <c r="B90" s="1635" t="s">
        <v>219</v>
      </c>
      <c r="C90" s="1161" t="s">
        <v>255</v>
      </c>
      <c r="D90" s="1650">
        <f>'CSA LASER'!D89+'Medicaid &amp; FAMIS - LASER'!E89+'SNAP LASER'!E89+'Energy Assistance LASER'!E89+'TANF LASER'!D89+'ChildCare LASER'!I89</f>
        <v>97898923.168792486</v>
      </c>
      <c r="E90" s="1651">
        <f>'CSA LASER'!E89+'Medicaid &amp; FAMIS - LASER'!F89+'Energy Assistance LASER'!F89+'TANF LASER'!E89+'ChildCare LASER'!J89</f>
        <v>83668658.965567246</v>
      </c>
      <c r="F90" s="1651">
        <f>'CSA LASER'!F89+'Medicaid &amp; FAMIS - LASER'!G89+'Energy Assistance LASER'!G89+'TANF LASER'!F89</f>
        <v>5797703.6900000004</v>
      </c>
      <c r="G90" s="1651">
        <f>'CSA LASER'!G89+'Energy Assistance LASER'!H89+'TANF LASER'!G89</f>
        <v>0</v>
      </c>
      <c r="H90" s="1651">
        <f t="shared" si="4"/>
        <v>187365285.82435971</v>
      </c>
      <c r="I90" s="1652">
        <f t="shared" si="3"/>
        <v>5797703.6900000004</v>
      </c>
    </row>
    <row r="91" spans="1:9" x14ac:dyDescent="0.3">
      <c r="A91" s="1634" t="s">
        <v>220</v>
      </c>
      <c r="B91" s="1635" t="s">
        <v>221</v>
      </c>
      <c r="C91" s="1161" t="s">
        <v>255</v>
      </c>
      <c r="D91" s="1650">
        <f>'CSA LASER'!D90+'Medicaid &amp; FAMIS - LASER'!E90+'SNAP LASER'!E90+'Energy Assistance LASER'!E90+'TANF LASER'!D90+'ChildCare LASER'!I90</f>
        <v>79682354.295910567</v>
      </c>
      <c r="E91" s="1651">
        <f>'CSA LASER'!E90+'Medicaid &amp; FAMIS - LASER'!F90+'Energy Assistance LASER'!F90+'TANF LASER'!E90+'ChildCare LASER'!J90</f>
        <v>65064647.021094315</v>
      </c>
      <c r="F91" s="1651">
        <f>'CSA LASER'!F90+'Medicaid &amp; FAMIS - LASER'!G90+'Energy Assistance LASER'!G90+'TANF LASER'!F90</f>
        <v>2908944.44</v>
      </c>
      <c r="G91" s="1651">
        <f>'CSA LASER'!G90+'Energy Assistance LASER'!H90+'TANF LASER'!G90</f>
        <v>0</v>
      </c>
      <c r="H91" s="1651">
        <f t="shared" si="4"/>
        <v>147655945.75700489</v>
      </c>
      <c r="I91" s="1652">
        <f t="shared" si="3"/>
        <v>2908944.44</v>
      </c>
    </row>
    <row r="92" spans="1:9" x14ac:dyDescent="0.3">
      <c r="A92" s="1634" t="s">
        <v>224</v>
      </c>
      <c r="B92" s="1635" t="s">
        <v>225</v>
      </c>
      <c r="C92" s="1161" t="s">
        <v>252</v>
      </c>
      <c r="D92" s="1650">
        <f>'CSA LASER'!D91+'Medicaid &amp; FAMIS - LASER'!E91+'SNAP LASER'!E91+'Energy Assistance LASER'!E91+'TANF LASER'!D91+'ChildCare LASER'!I91</f>
        <v>6186540.2573320828</v>
      </c>
      <c r="E92" s="1651">
        <f>'CSA LASER'!E91+'Medicaid &amp; FAMIS - LASER'!F91+'Energy Assistance LASER'!F91+'TANF LASER'!E91+'ChildCare LASER'!J91</f>
        <v>4844668.4200741202</v>
      </c>
      <c r="F92" s="1651">
        <f>'CSA LASER'!F91+'Medicaid &amp; FAMIS - LASER'!G91+'Energy Assistance LASER'!G91+'TANF LASER'!F91</f>
        <v>92184.99</v>
      </c>
      <c r="G92" s="1651">
        <f>'CSA LASER'!G91+'Energy Assistance LASER'!H91+'TANF LASER'!G91</f>
        <v>0</v>
      </c>
      <c r="H92" s="1651">
        <f t="shared" si="4"/>
        <v>11123393.667406203</v>
      </c>
      <c r="I92" s="1652">
        <f t="shared" si="3"/>
        <v>92184.99</v>
      </c>
    </row>
    <row r="93" spans="1:9" x14ac:dyDescent="0.3">
      <c r="A93" s="1634" t="s">
        <v>226</v>
      </c>
      <c r="B93" s="1635" t="s">
        <v>227</v>
      </c>
      <c r="C93" s="1161" t="s">
        <v>252</v>
      </c>
      <c r="D93" s="1650">
        <f>'CSA LASER'!D92+'Medicaid &amp; FAMIS - LASER'!E92+'SNAP LASER'!E92+'Energy Assistance LASER'!E92+'TANF LASER'!D92+'ChildCare LASER'!I92</f>
        <v>14184726.54838717</v>
      </c>
      <c r="E93" s="1651">
        <f>'CSA LASER'!E92+'Medicaid &amp; FAMIS - LASER'!F92+'Energy Assistance LASER'!F92+'TANF LASER'!E92+'ChildCare LASER'!J92</f>
        <v>11651061.795836121</v>
      </c>
      <c r="F93" s="1651">
        <f>'CSA LASER'!F92+'Medicaid &amp; FAMIS - LASER'!G92+'Energy Assistance LASER'!G92+'TANF LASER'!F92</f>
        <v>123568.23999999999</v>
      </c>
      <c r="G93" s="1651">
        <f>'CSA LASER'!G92+'Energy Assistance LASER'!H92+'TANF LASER'!G92</f>
        <v>0</v>
      </c>
      <c r="H93" s="1651">
        <f t="shared" si="4"/>
        <v>25959356.584223289</v>
      </c>
      <c r="I93" s="1652">
        <f t="shared" si="3"/>
        <v>123568.23999999999</v>
      </c>
    </row>
    <row r="94" spans="1:9" x14ac:dyDescent="0.3">
      <c r="A94" s="1634" t="s">
        <v>228</v>
      </c>
      <c r="B94" s="1635" t="s">
        <v>229</v>
      </c>
      <c r="C94" s="1161" t="s">
        <v>256</v>
      </c>
      <c r="D94" s="1650">
        <f>'CSA LASER'!D93+'Medicaid &amp; FAMIS - LASER'!E93+'SNAP LASER'!E93+'Energy Assistance LASER'!E93+'TANF LASER'!D93+'ChildCare LASER'!I93</f>
        <v>50802435.945568472</v>
      </c>
      <c r="E94" s="1651">
        <f>'CSA LASER'!E93+'Medicaid &amp; FAMIS - LASER'!F93+'Energy Assistance LASER'!F93+'TANF LASER'!E93+'ChildCare LASER'!J93</f>
        <v>39515122.69675719</v>
      </c>
      <c r="F94" s="1651">
        <f>'CSA LASER'!F93+'Medicaid &amp; FAMIS - LASER'!G93+'Energy Assistance LASER'!G93+'TANF LASER'!F93</f>
        <v>618519.02</v>
      </c>
      <c r="G94" s="1651">
        <f>'CSA LASER'!G93+'Energy Assistance LASER'!H93+'TANF LASER'!G93</f>
        <v>0</v>
      </c>
      <c r="H94" s="1651">
        <f t="shared" si="4"/>
        <v>90936077.662325665</v>
      </c>
      <c r="I94" s="1652">
        <f t="shared" si="3"/>
        <v>618519.02</v>
      </c>
    </row>
    <row r="95" spans="1:9" x14ac:dyDescent="0.3">
      <c r="A95" s="1634" t="s">
        <v>232</v>
      </c>
      <c r="B95" s="1635" t="s">
        <v>233</v>
      </c>
      <c r="C95" s="1161" t="s">
        <v>255</v>
      </c>
      <c r="D95" s="1650">
        <f>'CSA LASER'!D94+'Medicaid &amp; FAMIS - LASER'!E94+'SNAP LASER'!E94+'Energy Assistance LASER'!E94+'TANF LASER'!D94+'ChildCare LASER'!I94</f>
        <v>31927508.995394327</v>
      </c>
      <c r="E95" s="1651">
        <f>'CSA LASER'!E94+'Medicaid &amp; FAMIS - LASER'!F94+'Energy Assistance LASER'!F94+'TANF LASER'!E94+'ChildCare LASER'!J94</f>
        <v>25498707.300941523</v>
      </c>
      <c r="F95" s="1651">
        <f>'CSA LASER'!F94+'Medicaid &amp; FAMIS - LASER'!G94+'Energy Assistance LASER'!G94+'TANF LASER'!F94</f>
        <v>709428.03</v>
      </c>
      <c r="G95" s="1651">
        <f>'CSA LASER'!G94+'Energy Assistance LASER'!H94+'TANF LASER'!G94</f>
        <v>0</v>
      </c>
      <c r="H95" s="1651">
        <f t="shared" si="4"/>
        <v>58135644.326335847</v>
      </c>
      <c r="I95" s="1652">
        <f t="shared" si="3"/>
        <v>709428.03</v>
      </c>
    </row>
    <row r="96" spans="1:9" x14ac:dyDescent="0.3">
      <c r="A96" s="1634" t="s">
        <v>234</v>
      </c>
      <c r="B96" s="1635" t="s">
        <v>235</v>
      </c>
      <c r="C96" s="1161" t="s">
        <v>256</v>
      </c>
      <c r="D96" s="1650">
        <f>'CSA LASER'!D95+'Medicaid &amp; FAMIS - LASER'!E95+'SNAP LASER'!E95+'Energy Assistance LASER'!E95+'TANF LASER'!D95+'ChildCare LASER'!I95</f>
        <v>48530948.811350293</v>
      </c>
      <c r="E96" s="1651">
        <f>'CSA LASER'!E95+'Medicaid &amp; FAMIS - LASER'!F95+'Energy Assistance LASER'!F95+'TANF LASER'!E95+'ChildCare LASER'!J95</f>
        <v>38249508.222255036</v>
      </c>
      <c r="F96" s="1651">
        <f>'CSA LASER'!F95+'Medicaid &amp; FAMIS - LASER'!G95+'Energy Assistance LASER'!G95+'TANF LASER'!F95</f>
        <v>507734.69</v>
      </c>
      <c r="G96" s="1651">
        <f>'CSA LASER'!G95+'Energy Assistance LASER'!H95+'TANF LASER'!G95</f>
        <v>0</v>
      </c>
      <c r="H96" s="1651">
        <f t="shared" si="4"/>
        <v>87288191.723605335</v>
      </c>
      <c r="I96" s="1652">
        <f t="shared" si="3"/>
        <v>507734.69</v>
      </c>
    </row>
    <row r="97" spans="1:9" x14ac:dyDescent="0.3">
      <c r="A97" s="1634" t="s">
        <v>236</v>
      </c>
      <c r="B97" s="1635" t="s">
        <v>237</v>
      </c>
      <c r="C97" s="1161" t="s">
        <v>254</v>
      </c>
      <c r="D97" s="1650">
        <f>'CSA LASER'!D96+'Medicaid &amp; FAMIS - LASER'!E96+'SNAP LASER'!E96+'Energy Assistance LASER'!E96+'TANF LASER'!D96+'ChildCare LASER'!I96</f>
        <v>20249827.489306785</v>
      </c>
      <c r="E97" s="1651">
        <f>'CSA LASER'!E96+'Medicaid &amp; FAMIS - LASER'!F96+'Energy Assistance LASER'!F96+'TANF LASER'!E96+'ChildCare LASER'!J96</f>
        <v>16361741.754075753</v>
      </c>
      <c r="F97" s="1651">
        <f>'CSA LASER'!F96+'Medicaid &amp; FAMIS - LASER'!G96+'Energy Assistance LASER'!G96+'TANF LASER'!F96</f>
        <v>683105.08000000007</v>
      </c>
      <c r="G97" s="1651">
        <f>'CSA LASER'!G96+'Energy Assistance LASER'!H96+'TANF LASER'!G96</f>
        <v>0</v>
      </c>
      <c r="H97" s="1651">
        <f t="shared" si="4"/>
        <v>37294674.323382534</v>
      </c>
      <c r="I97" s="1652">
        <f t="shared" si="3"/>
        <v>683105.08000000007</v>
      </c>
    </row>
    <row r="98" spans="1:9" x14ac:dyDescent="0.3">
      <c r="A98" s="1634" t="s">
        <v>242</v>
      </c>
      <c r="B98" s="1635" t="s">
        <v>243</v>
      </c>
      <c r="C98" s="1161" t="s">
        <v>256</v>
      </c>
      <c r="D98" s="1650">
        <f>'CSA LASER'!D97+'Medicaid &amp; FAMIS - LASER'!E97+'SNAP LASER'!E97+'Energy Assistance LASER'!E97+'TANF LASER'!D97+'ChildCare LASER'!I97</f>
        <v>54493450.119380563</v>
      </c>
      <c r="E98" s="1651">
        <f>'CSA LASER'!E97+'Medicaid &amp; FAMIS - LASER'!F97+'Energy Assistance LASER'!F97+'TANF LASER'!E97+'ChildCare LASER'!J97</f>
        <v>43178165.671006612</v>
      </c>
      <c r="F98" s="1651">
        <f>'CSA LASER'!F97+'Medicaid &amp; FAMIS - LASER'!G97+'Energy Assistance LASER'!G97+'TANF LASER'!F97</f>
        <v>432204.36</v>
      </c>
      <c r="G98" s="1651">
        <f>'CSA LASER'!G97+'Energy Assistance LASER'!H97+'TANF LASER'!G97</f>
        <v>0</v>
      </c>
      <c r="H98" s="1651">
        <f t="shared" si="4"/>
        <v>98103820.150387183</v>
      </c>
      <c r="I98" s="1652">
        <f t="shared" si="3"/>
        <v>432204.36</v>
      </c>
    </row>
    <row r="99" spans="1:9" x14ac:dyDescent="0.3">
      <c r="A99" s="1634" t="s">
        <v>244</v>
      </c>
      <c r="B99" s="1635" t="s">
        <v>245</v>
      </c>
      <c r="C99" s="1161" t="s">
        <v>256</v>
      </c>
      <c r="D99" s="1650">
        <f>'CSA LASER'!D98+'Medicaid &amp; FAMIS - LASER'!E98+'SNAP LASER'!E98+'Energy Assistance LASER'!E98+'TANF LASER'!D98+'ChildCare LASER'!I98</f>
        <v>32667737.074036691</v>
      </c>
      <c r="E99" s="1651">
        <f>'CSA LASER'!E98+'Medicaid &amp; FAMIS - LASER'!F98+'Energy Assistance LASER'!F98+'TANF LASER'!E98+'ChildCare LASER'!J98</f>
        <v>27617109.419023078</v>
      </c>
      <c r="F99" s="1651">
        <f>'CSA LASER'!F98+'Medicaid &amp; FAMIS - LASER'!G98+'Energy Assistance LASER'!G98+'TANF LASER'!F98</f>
        <v>622530.8600000001</v>
      </c>
      <c r="G99" s="1651">
        <f>'CSA LASER'!G98+'Energy Assistance LASER'!H98+'TANF LASER'!G98</f>
        <v>0</v>
      </c>
      <c r="H99" s="1651">
        <f t="shared" si="4"/>
        <v>60907377.353059769</v>
      </c>
      <c r="I99" s="1652">
        <f t="shared" si="3"/>
        <v>622530.8600000001</v>
      </c>
    </row>
    <row r="100" spans="1:9" x14ac:dyDescent="0.3">
      <c r="A100" s="1634" t="s">
        <v>246</v>
      </c>
      <c r="B100" s="1635" t="s">
        <v>247</v>
      </c>
      <c r="C100" s="1161" t="s">
        <v>252</v>
      </c>
      <c r="D100" s="1650">
        <f>'CSA LASER'!D99+'Medicaid &amp; FAMIS - LASER'!E99+'SNAP LASER'!E99+'Energy Assistance LASER'!E99+'TANF LASER'!D99+'ChildCare LASER'!I99</f>
        <v>25360361.334267706</v>
      </c>
      <c r="E100" s="1651">
        <f>'CSA LASER'!E99+'Medicaid &amp; FAMIS - LASER'!F99+'Energy Assistance LASER'!F99+'TANF LASER'!E99+'ChildCare LASER'!J99</f>
        <v>21251641.213496316</v>
      </c>
      <c r="F100" s="1651">
        <f>'CSA LASER'!F99+'Medicaid &amp; FAMIS - LASER'!G99+'Energy Assistance LASER'!G99+'TANF LASER'!F99</f>
        <v>857086.34000000008</v>
      </c>
      <c r="G100" s="1651">
        <f>'CSA LASER'!G99+'Energy Assistance LASER'!H99+'TANF LASER'!G99</f>
        <v>0</v>
      </c>
      <c r="H100" s="1651">
        <f t="shared" si="4"/>
        <v>47469088.887764022</v>
      </c>
      <c r="I100" s="1652">
        <f t="shared" si="3"/>
        <v>857086.34000000008</v>
      </c>
    </row>
    <row r="101" spans="1:9" x14ac:dyDescent="0.3">
      <c r="A101" s="1634" t="s">
        <v>14</v>
      </c>
      <c r="B101" s="1635" t="s">
        <v>15</v>
      </c>
      <c r="C101" s="1161" t="s">
        <v>255</v>
      </c>
      <c r="D101" s="1650">
        <f>'CSA LASER'!D100+'Medicaid &amp; FAMIS - LASER'!E100+'SNAP LASER'!E100+'Energy Assistance LASER'!E100+'TANF LASER'!D100+'ChildCare LASER'!I100</f>
        <v>82096397.315547928</v>
      </c>
      <c r="E101" s="1651">
        <f>'CSA LASER'!E100+'Medicaid &amp; FAMIS - LASER'!F100+'Energy Assistance LASER'!F100+'TANF LASER'!E100+'ChildCare LASER'!J100</f>
        <v>64717173.531234697</v>
      </c>
      <c r="F101" s="1651">
        <f>'CSA LASER'!F100+'Medicaid &amp; FAMIS - LASER'!G100+'Energy Assistance LASER'!G100+'TANF LASER'!F100</f>
        <v>4052219.41</v>
      </c>
      <c r="G101" s="1651">
        <f>'CSA LASER'!G100+'Energy Assistance LASER'!H100+'TANF LASER'!G100</f>
        <v>0</v>
      </c>
      <c r="H101" s="1651">
        <f t="shared" si="4"/>
        <v>150865790.25678262</v>
      </c>
      <c r="I101" s="1652">
        <f t="shared" si="3"/>
        <v>4052219.41</v>
      </c>
    </row>
    <row r="102" spans="1:9" x14ac:dyDescent="0.3">
      <c r="A102" s="1634" t="s">
        <v>34</v>
      </c>
      <c r="B102" s="1635" t="s">
        <v>35</v>
      </c>
      <c r="C102" s="1161" t="s">
        <v>256</v>
      </c>
      <c r="D102" s="1650">
        <f>'CSA LASER'!D101+'Medicaid &amp; FAMIS - LASER'!E101+'SNAP LASER'!E101+'Energy Assistance LASER'!E101+'TANF LASER'!D101+'ChildCare LASER'!I101</f>
        <v>25861885.212543346</v>
      </c>
      <c r="E102" s="1651">
        <f>'CSA LASER'!E101+'Medicaid &amp; FAMIS - LASER'!F101+'Energy Assistance LASER'!F101+'TANF LASER'!E101+'ChildCare LASER'!J101</f>
        <v>20418996.927570395</v>
      </c>
      <c r="F102" s="1651">
        <f>'CSA LASER'!F101+'Medicaid &amp; FAMIS - LASER'!G101+'Energy Assistance LASER'!G101+'TANF LASER'!F101</f>
        <v>636988.88</v>
      </c>
      <c r="G102" s="1651">
        <f>'CSA LASER'!G101+'Energy Assistance LASER'!H101+'TANF LASER'!G101</f>
        <v>0</v>
      </c>
      <c r="H102" s="1651">
        <f t="shared" si="4"/>
        <v>46917871.020113744</v>
      </c>
      <c r="I102" s="1652">
        <f t="shared" si="3"/>
        <v>636988.88</v>
      </c>
    </row>
    <row r="103" spans="1:9" x14ac:dyDescent="0.3">
      <c r="A103" s="1634" t="s">
        <v>52</v>
      </c>
      <c r="B103" s="1635" t="s">
        <v>53</v>
      </c>
      <c r="C103" s="1161" t="s">
        <v>253</v>
      </c>
      <c r="D103" s="1650">
        <f>'CSA LASER'!D102+'Medicaid &amp; FAMIS - LASER'!E102+'SNAP LASER'!E102+'Energy Assistance LASER'!E102+'TANF LASER'!D102+'ChildCare LASER'!I102</f>
        <v>37553886.206001006</v>
      </c>
      <c r="E103" s="1651">
        <f>'CSA LASER'!E102+'Medicaid &amp; FAMIS - LASER'!F102+'Energy Assistance LASER'!F102+'TANF LASER'!E102+'ChildCare LASER'!J102</f>
        <v>37205437.437399134</v>
      </c>
      <c r="F103" s="1651">
        <f>'CSA LASER'!F102+'Medicaid &amp; FAMIS - LASER'!G102+'Energy Assistance LASER'!G102+'TANF LASER'!F102</f>
        <v>2628451</v>
      </c>
      <c r="G103" s="1651">
        <f>'CSA LASER'!G102+'Energy Assistance LASER'!H102+'TANF LASER'!G102</f>
        <v>0</v>
      </c>
      <c r="H103" s="1651">
        <f t="shared" si="4"/>
        <v>77387774.643400133</v>
      </c>
      <c r="I103" s="1652">
        <f t="shared" si="3"/>
        <v>2628451</v>
      </c>
    </row>
    <row r="104" spans="1:9" x14ac:dyDescent="0.3">
      <c r="A104" s="1634" t="s">
        <v>54</v>
      </c>
      <c r="B104" s="1635" t="s">
        <v>55</v>
      </c>
      <c r="C104" s="1161" t="s">
        <v>252</v>
      </c>
      <c r="D104" s="1650">
        <f>'CSA LASER'!D103+'Medicaid &amp; FAMIS - LASER'!E103+'SNAP LASER'!E103+'Energy Assistance LASER'!E103+'TANF LASER'!D103+'ChildCare LASER'!I103</f>
        <v>171743228.59765509</v>
      </c>
      <c r="E104" s="1651">
        <f>'CSA LASER'!E103+'Medicaid &amp; FAMIS - LASER'!F103+'Energy Assistance LASER'!F103+'TANF LASER'!E103+'ChildCare LASER'!J103</f>
        <v>136119113.98727432</v>
      </c>
      <c r="F104" s="1651">
        <f>'CSA LASER'!F103+'Medicaid &amp; FAMIS - LASER'!G103+'Energy Assistance LASER'!G103+'TANF LASER'!F103</f>
        <v>2023907.18</v>
      </c>
      <c r="G104" s="1651">
        <f>'CSA LASER'!G103+'Energy Assistance LASER'!H103+'TANF LASER'!G103</f>
        <v>0</v>
      </c>
      <c r="H104" s="1651">
        <f t="shared" si="4"/>
        <v>309886249.76492941</v>
      </c>
      <c r="I104" s="1652">
        <f t="shared" si="3"/>
        <v>2023907.18</v>
      </c>
    </row>
    <row r="105" spans="1:9" x14ac:dyDescent="0.3">
      <c r="A105" s="1634" t="s">
        <v>66</v>
      </c>
      <c r="B105" s="1635" t="s">
        <v>67</v>
      </c>
      <c r="C105" s="1161" t="s">
        <v>253</v>
      </c>
      <c r="D105" s="1650">
        <f>'CSA LASER'!D104+'Medicaid &amp; FAMIS - LASER'!E104+'SNAP LASER'!E104+'Energy Assistance LASER'!E104+'TANF LASER'!D104+'ChildCare LASER'!I104</f>
        <v>90689527.517233238</v>
      </c>
      <c r="E105" s="1651">
        <f>'CSA LASER'!E104+'Medicaid &amp; FAMIS - LASER'!F104+'Energy Assistance LASER'!F104+'TANF LASER'!E104+'ChildCare LASER'!J104</f>
        <v>73332198.355108857</v>
      </c>
      <c r="F105" s="1651">
        <f>'CSA LASER'!F104+'Medicaid &amp; FAMIS - LASER'!G104+'Energy Assistance LASER'!G104+'TANF LASER'!F104</f>
        <v>1047169.15</v>
      </c>
      <c r="G105" s="1651">
        <f>'CSA LASER'!G104+'Energy Assistance LASER'!H104+'TANF LASER'!G104</f>
        <v>0</v>
      </c>
      <c r="H105" s="1651">
        <f t="shared" si="4"/>
        <v>165068895.02234212</v>
      </c>
      <c r="I105" s="1652">
        <f t="shared" si="3"/>
        <v>1047169.15</v>
      </c>
    </row>
    <row r="106" spans="1:9" x14ac:dyDescent="0.3">
      <c r="A106" s="1634" t="s">
        <v>82</v>
      </c>
      <c r="B106" s="1635" t="s">
        <v>299</v>
      </c>
      <c r="C106" s="1161" t="s">
        <v>252</v>
      </c>
      <c r="D106" s="1650">
        <f>'CSA LASER'!D105+'Medicaid &amp; FAMIS - LASER'!E105+'SNAP LASER'!E105+'Energy Assistance LASER'!E105+'TANF LASER'!D105+'ChildCare LASER'!I105</f>
        <v>18892631.779490575</v>
      </c>
      <c r="E106" s="1651">
        <f>'CSA LASER'!E105+'Medicaid &amp; FAMIS - LASER'!F105+'Energy Assistance LASER'!F105+'TANF LASER'!E105+'ChildCare LASER'!J105</f>
        <v>14813525.408773523</v>
      </c>
      <c r="F106" s="1651">
        <f>'CSA LASER'!F105+'Medicaid &amp; FAMIS - LASER'!G105+'Energy Assistance LASER'!G105+'TANF LASER'!F105</f>
        <v>66181.86</v>
      </c>
      <c r="G106" s="1651">
        <f>'CSA LASER'!G105+'Energy Assistance LASER'!H105+'TANF LASER'!G105</f>
        <v>0</v>
      </c>
      <c r="H106" s="1651">
        <f t="shared" si="4"/>
        <v>33772339.048264101</v>
      </c>
      <c r="I106" s="1652">
        <f t="shared" si="3"/>
        <v>66181.86</v>
      </c>
    </row>
    <row r="107" spans="1:9" x14ac:dyDescent="0.3">
      <c r="A107" s="1634" t="s">
        <v>88</v>
      </c>
      <c r="B107" s="1635" t="s">
        <v>89</v>
      </c>
      <c r="C107" s="1161" t="s">
        <v>255</v>
      </c>
      <c r="D107" s="1650">
        <f>'CSA LASER'!D106+'Medicaid &amp; FAMIS - LASER'!E106+'SNAP LASER'!E106+'Energy Assistance LASER'!E106+'TANF LASER'!D106+'ChildCare LASER'!I106</f>
        <v>31021894.769062903</v>
      </c>
      <c r="E107" s="1651">
        <f>'CSA LASER'!E106+'Medicaid &amp; FAMIS - LASER'!F106+'Energy Assistance LASER'!F106+'TANF LASER'!E106+'ChildCare LASER'!J106</f>
        <v>25551015.717223585</v>
      </c>
      <c r="F107" s="1651">
        <f>'CSA LASER'!F106+'Medicaid &amp; FAMIS - LASER'!G106+'Energy Assistance LASER'!G106+'TANF LASER'!F106</f>
        <v>1170669.1299999999</v>
      </c>
      <c r="G107" s="1651">
        <f>'CSA LASER'!G106+'Energy Assistance LASER'!H106+'TANF LASER'!G106</f>
        <v>0</v>
      </c>
      <c r="H107" s="1651">
        <f t="shared" si="4"/>
        <v>57743579.616286494</v>
      </c>
      <c r="I107" s="1652">
        <f t="shared" si="3"/>
        <v>1170669.1299999999</v>
      </c>
    </row>
    <row r="108" spans="1:9" x14ac:dyDescent="0.3">
      <c r="A108" s="1634" t="s">
        <v>90</v>
      </c>
      <c r="B108" s="1635" t="s">
        <v>91</v>
      </c>
      <c r="C108" s="1161" t="s">
        <v>256</v>
      </c>
      <c r="D108" s="1650">
        <f>'CSA LASER'!D107+'Medicaid &amp; FAMIS - LASER'!E107+'SNAP LASER'!E107+'Energy Assistance LASER'!E107+'TANF LASER'!D107+'ChildCare LASER'!I107</f>
        <v>13636891.369851451</v>
      </c>
      <c r="E108" s="1651">
        <f>'CSA LASER'!E107+'Medicaid &amp; FAMIS - LASER'!F107+'Energy Assistance LASER'!F107+'TANF LASER'!E107+'ChildCare LASER'!J107</f>
        <v>11709871.365971847</v>
      </c>
      <c r="F108" s="1651">
        <f>'CSA LASER'!F107+'Medicaid &amp; FAMIS - LASER'!G107+'Energy Assistance LASER'!G107+'TANF LASER'!F107</f>
        <v>460104.32</v>
      </c>
      <c r="G108" s="1651">
        <f>'CSA LASER'!G107+'Energy Assistance LASER'!H107+'TANF LASER'!G107</f>
        <v>0</v>
      </c>
      <c r="H108" s="1651">
        <f t="shared" si="4"/>
        <v>25806867.055823296</v>
      </c>
      <c r="I108" s="1652">
        <f t="shared" si="3"/>
        <v>460104.32</v>
      </c>
    </row>
    <row r="109" spans="1:9" x14ac:dyDescent="0.3">
      <c r="A109" s="1634" t="s">
        <v>106</v>
      </c>
      <c r="B109" s="1635" t="s">
        <v>107</v>
      </c>
      <c r="C109" s="1161" t="s">
        <v>252</v>
      </c>
      <c r="D109" s="1650">
        <f>'CSA LASER'!D108+'Medicaid &amp; FAMIS - LASER'!E108+'SNAP LASER'!E108+'Energy Assistance LASER'!E108+'TANF LASER'!D108+'ChildCare LASER'!I108</f>
        <v>142869447.55086473</v>
      </c>
      <c r="E109" s="1651">
        <f>'CSA LASER'!E108+'Medicaid &amp; FAMIS - LASER'!F108+'Energy Assistance LASER'!F108+'TANF LASER'!E108+'ChildCare LASER'!J108</f>
        <v>113358108.83042291</v>
      </c>
      <c r="F109" s="1651">
        <f>'CSA LASER'!F108+'Medicaid &amp; FAMIS - LASER'!G108+'Energy Assistance LASER'!G108+'TANF LASER'!F108</f>
        <v>1354621.09</v>
      </c>
      <c r="G109" s="1651">
        <f>'CSA LASER'!G108+'Energy Assistance LASER'!H108+'TANF LASER'!G108</f>
        <v>0</v>
      </c>
      <c r="H109" s="1651">
        <f t="shared" si="4"/>
        <v>257582177.47128764</v>
      </c>
      <c r="I109" s="1652">
        <f t="shared" si="3"/>
        <v>1354621.09</v>
      </c>
    </row>
    <row r="110" spans="1:9" x14ac:dyDescent="0.3">
      <c r="A110" s="1634" t="s">
        <v>116</v>
      </c>
      <c r="B110" s="1635" t="s">
        <v>117</v>
      </c>
      <c r="C110" s="1161" t="s">
        <v>254</v>
      </c>
      <c r="D110" s="1650">
        <f>'CSA LASER'!D109+'Medicaid &amp; FAMIS - LASER'!E109+'SNAP LASER'!E109+'Energy Assistance LASER'!E109+'TANF LASER'!D109+'ChildCare LASER'!I109</f>
        <v>42399160.059194721</v>
      </c>
      <c r="E110" s="1651">
        <f>'CSA LASER'!E109+'Medicaid &amp; FAMIS - LASER'!F109+'Energy Assistance LASER'!F109+'TANF LASER'!E109+'ChildCare LASER'!J109</f>
        <v>32925107.40242774</v>
      </c>
      <c r="F110" s="1651">
        <f>'CSA LASER'!F109+'Medicaid &amp; FAMIS - LASER'!G109+'Energy Assistance LASER'!G109+'TANF LASER'!F109</f>
        <v>934171.42999999993</v>
      </c>
      <c r="G110" s="1651">
        <f>'CSA LASER'!G109+'Energy Assistance LASER'!H109+'TANF LASER'!G109</f>
        <v>0</v>
      </c>
      <c r="H110" s="1651">
        <f t="shared" si="4"/>
        <v>76258438.891622469</v>
      </c>
      <c r="I110" s="1652">
        <f t="shared" si="3"/>
        <v>934171.42999999993</v>
      </c>
    </row>
    <row r="111" spans="1:9" x14ac:dyDescent="0.3">
      <c r="A111" s="1634" t="s">
        <v>138</v>
      </c>
      <c r="B111" s="1635" t="s">
        <v>139</v>
      </c>
      <c r="C111" s="1161" t="s">
        <v>253</v>
      </c>
      <c r="D111" s="1650">
        <f>'CSA LASER'!D110+'Medicaid &amp; FAMIS - LASER'!E110+'SNAP LASER'!E110+'Energy Assistance LASER'!E110+'TANF LASER'!D110+'ChildCare LASER'!I110</f>
        <v>86462290.248377919</v>
      </c>
      <c r="E111" s="1651">
        <f>'CSA LASER'!E110+'Medicaid &amp; FAMIS - LASER'!F110+'Energy Assistance LASER'!F110+'TANF LASER'!E110+'ChildCare LASER'!J110</f>
        <v>70843607.010702804</v>
      </c>
      <c r="F111" s="1651">
        <f>'CSA LASER'!F110+'Medicaid &amp; FAMIS - LASER'!G110+'Energy Assistance LASER'!G110+'TANF LASER'!F110</f>
        <v>1895569.78</v>
      </c>
      <c r="G111" s="1651">
        <f>'CSA LASER'!G110+'Energy Assistance LASER'!H110+'TANF LASER'!G110</f>
        <v>0</v>
      </c>
      <c r="H111" s="1651">
        <f t="shared" si="4"/>
        <v>159201467.03908071</v>
      </c>
      <c r="I111" s="1652">
        <f t="shared" si="3"/>
        <v>1895569.78</v>
      </c>
    </row>
    <row r="112" spans="1:9" x14ac:dyDescent="0.3">
      <c r="A112" s="1634" t="s">
        <v>142</v>
      </c>
      <c r="B112" s="1635" t="s">
        <v>143</v>
      </c>
      <c r="C112" s="1161" t="s">
        <v>255</v>
      </c>
      <c r="D112" s="1650">
        <f>'CSA LASER'!D111+'Medicaid &amp; FAMIS - LASER'!E111+'SNAP LASER'!E111+'Energy Assistance LASER'!E111+'TANF LASER'!D111+'ChildCare LASER'!I111</f>
        <v>27890318.349160235</v>
      </c>
      <c r="E112" s="1651">
        <f>'CSA LASER'!E111+'Medicaid &amp; FAMIS - LASER'!F111+'Energy Assistance LASER'!F111+'TANF LASER'!E111+'ChildCare LASER'!J111</f>
        <v>20102416.956317212</v>
      </c>
      <c r="F112" s="1651">
        <f>'CSA LASER'!F111+'Medicaid &amp; FAMIS - LASER'!G111+'Energy Assistance LASER'!G111+'TANF LASER'!F111</f>
        <v>535525.88</v>
      </c>
      <c r="G112" s="1651">
        <f>'CSA LASER'!G111+'Energy Assistance LASER'!H111+'TANF LASER'!G111</f>
        <v>0</v>
      </c>
      <c r="H112" s="1651">
        <f t="shared" si="4"/>
        <v>48528261.18547745</v>
      </c>
      <c r="I112" s="1652">
        <f t="shared" si="3"/>
        <v>535525.88</v>
      </c>
    </row>
    <row r="113" spans="1:9" x14ac:dyDescent="0.3">
      <c r="A113" s="1634" t="s">
        <v>144</v>
      </c>
      <c r="B113" s="1635" t="s">
        <v>145</v>
      </c>
      <c r="C113" s="1161" t="s">
        <v>255</v>
      </c>
      <c r="D113" s="1650">
        <f>'CSA LASER'!D112+'Medicaid &amp; FAMIS - LASER'!E112+'SNAP LASER'!E112+'Energy Assistance LASER'!E112+'TANF LASER'!D112+'ChildCare LASER'!I112</f>
        <v>10723064.217110762</v>
      </c>
      <c r="E113" s="1651">
        <f>'CSA LASER'!E112+'Medicaid &amp; FAMIS - LASER'!F112+'Energy Assistance LASER'!F112+'TANF LASER'!E112+'ChildCare LASER'!J112</f>
        <v>8400542.0084571633</v>
      </c>
      <c r="F113" s="1651">
        <f>'CSA LASER'!F112+'Medicaid &amp; FAMIS - LASER'!G112+'Energy Assistance LASER'!G112+'TANF LASER'!F112</f>
        <v>385488.93</v>
      </c>
      <c r="G113" s="1651">
        <f>'CSA LASER'!G112+'Energy Assistance LASER'!H112+'TANF LASER'!G112</f>
        <v>0</v>
      </c>
      <c r="H113" s="1651">
        <f t="shared" si="4"/>
        <v>19509095.155567925</v>
      </c>
      <c r="I113" s="1652">
        <f t="shared" si="3"/>
        <v>385488.93</v>
      </c>
    </row>
    <row r="114" spans="1:9" x14ac:dyDescent="0.3">
      <c r="A114" s="1634" t="s">
        <v>158</v>
      </c>
      <c r="B114" s="1635" t="s">
        <v>159</v>
      </c>
      <c r="C114" s="1161" t="s">
        <v>252</v>
      </c>
      <c r="D114" s="1650">
        <f>'CSA LASER'!D113+'Medicaid &amp; FAMIS - LASER'!E113+'SNAP LASER'!E113+'Energy Assistance LASER'!E113+'TANF LASER'!D113+'ChildCare LASER'!I113</f>
        <v>202533308.68566039</v>
      </c>
      <c r="E114" s="1651">
        <f>'CSA LASER'!E113+'Medicaid &amp; FAMIS - LASER'!F113+'Energy Assistance LASER'!F113+'TANF LASER'!E113+'ChildCare LASER'!J113</f>
        <v>151958769.12320608</v>
      </c>
      <c r="F114" s="1651">
        <f>'CSA LASER'!F113+'Medicaid &amp; FAMIS - LASER'!G113+'Energy Assistance LASER'!G113+'TANF LASER'!F113</f>
        <v>2308135</v>
      </c>
      <c r="G114" s="1651">
        <f>'CSA LASER'!G113+'Energy Assistance LASER'!H113+'TANF LASER'!G113</f>
        <v>0</v>
      </c>
      <c r="H114" s="1651">
        <f t="shared" si="4"/>
        <v>356800212.8088665</v>
      </c>
      <c r="I114" s="1652">
        <f t="shared" si="3"/>
        <v>2308135</v>
      </c>
    </row>
    <row r="115" spans="1:9" x14ac:dyDescent="0.3">
      <c r="A115" s="1634" t="s">
        <v>160</v>
      </c>
      <c r="B115" s="1635" t="s">
        <v>161</v>
      </c>
      <c r="C115" s="1161" t="s">
        <v>252</v>
      </c>
      <c r="D115" s="1650">
        <f>'CSA LASER'!D114+'Medicaid &amp; FAMIS - LASER'!E114+'SNAP LASER'!E114+'Energy Assistance LASER'!E114+'TANF LASER'!D114+'ChildCare LASER'!I114</f>
        <v>283114437.32342052</v>
      </c>
      <c r="E115" s="1651">
        <f>'CSA LASER'!E114+'Medicaid &amp; FAMIS - LASER'!F114+'Energy Assistance LASER'!F114+'TANF LASER'!E114+'ChildCare LASER'!J114</f>
        <v>224103597.22930673</v>
      </c>
      <c r="F115" s="1651">
        <f>'CSA LASER'!F114+'Medicaid &amp; FAMIS - LASER'!G114+'Energy Assistance LASER'!G114+'TANF LASER'!F114</f>
        <v>2796932.38</v>
      </c>
      <c r="G115" s="1651">
        <f>'CSA LASER'!G114+'Energy Assistance LASER'!H114+'TANF LASER'!G114</f>
        <v>0</v>
      </c>
      <c r="H115" s="1651">
        <f t="shared" si="4"/>
        <v>510014966.93272722</v>
      </c>
      <c r="I115" s="1652">
        <f t="shared" si="3"/>
        <v>2796932.38</v>
      </c>
    </row>
    <row r="116" spans="1:9" x14ac:dyDescent="0.3">
      <c r="A116" s="1634" t="s">
        <v>166</v>
      </c>
      <c r="B116" s="1635" t="s">
        <v>167</v>
      </c>
      <c r="C116" s="1161" t="s">
        <v>256</v>
      </c>
      <c r="D116" s="1650">
        <f>'CSA LASER'!D115+'Medicaid &amp; FAMIS - LASER'!E115+'SNAP LASER'!E115+'Energy Assistance LASER'!E115+'TANF LASER'!D115+'ChildCare LASER'!I115</f>
        <v>5453006.4142551022</v>
      </c>
      <c r="E116" s="1651">
        <f>'CSA LASER'!E115+'Medicaid &amp; FAMIS - LASER'!F115+'Energy Assistance LASER'!F115+'TANF LASER'!E115+'ChildCare LASER'!J115</f>
        <v>4100683.1837567529</v>
      </c>
      <c r="F116" s="1651">
        <f>'CSA LASER'!F115+'Medicaid &amp; FAMIS - LASER'!G115+'Energy Assistance LASER'!G115+'TANF LASER'!F115</f>
        <v>45368.880000000005</v>
      </c>
      <c r="G116" s="1651">
        <f>'CSA LASER'!G115+'Energy Assistance LASER'!H115+'TANF LASER'!G115</f>
        <v>0</v>
      </c>
      <c r="H116" s="1651">
        <f t="shared" si="4"/>
        <v>9599058.4780118559</v>
      </c>
      <c r="I116" s="1652">
        <f t="shared" si="3"/>
        <v>45368.880000000005</v>
      </c>
    </row>
    <row r="117" spans="1:9" x14ac:dyDescent="0.3">
      <c r="A117" s="1634" t="s">
        <v>176</v>
      </c>
      <c r="B117" s="1635" t="s">
        <v>177</v>
      </c>
      <c r="C117" s="1161" t="s">
        <v>254</v>
      </c>
      <c r="D117" s="1650">
        <f>'CSA LASER'!D116+'Medicaid &amp; FAMIS - LASER'!E116+'SNAP LASER'!E116+'Energy Assistance LASER'!E116+'TANF LASER'!D116+'ChildCare LASER'!I116</f>
        <v>76910099.253765106</v>
      </c>
      <c r="E117" s="1651">
        <f>'CSA LASER'!E116+'Medicaid &amp; FAMIS - LASER'!F116+'Energy Assistance LASER'!F116+'TANF LASER'!E116+'ChildCare LASER'!J116</f>
        <v>61897039.483615406</v>
      </c>
      <c r="F117" s="1651">
        <f>'CSA LASER'!F116+'Medicaid &amp; FAMIS - LASER'!G116+'Energy Assistance LASER'!G116+'TANF LASER'!F116</f>
        <v>1514864.6</v>
      </c>
      <c r="G117" s="1651">
        <f>'CSA LASER'!G116+'Energy Assistance LASER'!H116+'TANF LASER'!G116</f>
        <v>0</v>
      </c>
      <c r="H117" s="1651">
        <f t="shared" si="4"/>
        <v>140322003.3373805</v>
      </c>
      <c r="I117" s="1652">
        <f t="shared" si="3"/>
        <v>1514864.6</v>
      </c>
    </row>
    <row r="118" spans="1:9" x14ac:dyDescent="0.3">
      <c r="A118" s="1634" t="s">
        <v>180</v>
      </c>
      <c r="B118" s="1635" t="s">
        <v>181</v>
      </c>
      <c r="C118" s="1161" t="s">
        <v>252</v>
      </c>
      <c r="D118" s="1650">
        <f>'CSA LASER'!D117+'Medicaid &amp; FAMIS - LASER'!E117+'SNAP LASER'!E117+'Energy Assistance LASER'!E117+'TANF LASER'!D117+'ChildCare LASER'!I117</f>
        <v>144782529.64772245</v>
      </c>
      <c r="E118" s="1651">
        <f>'CSA LASER'!E117+'Medicaid &amp; FAMIS - LASER'!F117+'Energy Assistance LASER'!F117+'TANF LASER'!E117+'ChildCare LASER'!J117</f>
        <v>108609286.43816364</v>
      </c>
      <c r="F118" s="1651">
        <f>'CSA LASER'!F117+'Medicaid &amp; FAMIS - LASER'!G117+'Energy Assistance LASER'!G117+'TANF LASER'!F117</f>
        <v>461117.93</v>
      </c>
      <c r="G118" s="1651">
        <f>'CSA LASER'!G117+'Energy Assistance LASER'!H117+'TANF LASER'!G117</f>
        <v>0</v>
      </c>
      <c r="H118" s="1651">
        <f t="shared" si="4"/>
        <v>253852934.0158861</v>
      </c>
      <c r="I118" s="1652">
        <f t="shared" si="3"/>
        <v>461117.93</v>
      </c>
    </row>
    <row r="119" spans="1:9" x14ac:dyDescent="0.3">
      <c r="A119" s="1634" t="s">
        <v>192</v>
      </c>
      <c r="B119" s="1635" t="s">
        <v>193</v>
      </c>
      <c r="C119" s="1161" t="s">
        <v>256</v>
      </c>
      <c r="D119" s="1650">
        <f>'CSA LASER'!D118+'Medicaid &amp; FAMIS - LASER'!E118+'SNAP LASER'!E118+'Energy Assistance LASER'!E118+'TANF LASER'!D118+'ChildCare LASER'!I118</f>
        <v>11091499.397368515</v>
      </c>
      <c r="E119" s="1651">
        <f>'CSA LASER'!E118+'Medicaid &amp; FAMIS - LASER'!F118+'Energy Assistance LASER'!F118+'TANF LASER'!E118+'ChildCare LASER'!J118</f>
        <v>9151780.8791298512</v>
      </c>
      <c r="F119" s="1651">
        <f>'CSA LASER'!F118+'Medicaid &amp; FAMIS - LASER'!G118+'Energy Assistance LASER'!G118+'TANF LASER'!F118</f>
        <v>145280.54999999999</v>
      </c>
      <c r="G119" s="1651">
        <f>'CSA LASER'!G118+'Energy Assistance LASER'!H118+'TANF LASER'!G118</f>
        <v>0</v>
      </c>
      <c r="H119" s="1651">
        <f t="shared" si="4"/>
        <v>20388560.826498367</v>
      </c>
      <c r="I119" s="1652">
        <f t="shared" si="3"/>
        <v>145280.54999999999</v>
      </c>
    </row>
    <row r="120" spans="1:9" x14ac:dyDescent="0.3">
      <c r="A120" s="1634" t="s">
        <v>196</v>
      </c>
      <c r="B120" s="1635" t="s">
        <v>300</v>
      </c>
      <c r="C120" s="1161" t="s">
        <v>254</v>
      </c>
      <c r="D120" s="1650">
        <f>'CSA LASER'!D119+'Medicaid &amp; FAMIS - LASER'!E119+'SNAP LASER'!E119+'Energy Assistance LASER'!E119+'TANF LASER'!D119+'ChildCare LASER'!I119</f>
        <v>313376746.67810392</v>
      </c>
      <c r="E120" s="1651">
        <f>'CSA LASER'!E119+'Medicaid &amp; FAMIS - LASER'!F119+'Energy Assistance LASER'!F119+'TANF LASER'!E119+'ChildCare LASER'!J119</f>
        <v>250892109.03562656</v>
      </c>
      <c r="F120" s="1651">
        <f>'CSA LASER'!F119+'Medicaid &amp; FAMIS - LASER'!G119+'Energy Assistance LASER'!G119+'TANF LASER'!F119</f>
        <v>6617736.9900000002</v>
      </c>
      <c r="G120" s="1651">
        <f>'CSA LASER'!G119+'Energy Assistance LASER'!H119+'TANF LASER'!G119</f>
        <v>0</v>
      </c>
      <c r="H120" s="1651">
        <f t="shared" si="4"/>
        <v>570886592.70373046</v>
      </c>
      <c r="I120" s="1652">
        <f t="shared" si="3"/>
        <v>6617736.9900000002</v>
      </c>
    </row>
    <row r="121" spans="1:9" x14ac:dyDescent="0.3">
      <c r="A121" s="1634" t="s">
        <v>200</v>
      </c>
      <c r="B121" s="1635" t="s">
        <v>301</v>
      </c>
      <c r="C121" s="1161" t="s">
        <v>253</v>
      </c>
      <c r="D121" s="1650">
        <f>'CSA LASER'!D120+'Medicaid &amp; FAMIS - LASER'!E120+'SNAP LASER'!E120+'Energy Assistance LASER'!E120+'TANF LASER'!D120+'ChildCare LASER'!I120</f>
        <v>153474665.13476527</v>
      </c>
      <c r="E121" s="1651">
        <f>'CSA LASER'!E120+'Medicaid &amp; FAMIS - LASER'!F120+'Energy Assistance LASER'!F120+'TANF LASER'!E120+'ChildCare LASER'!J120</f>
        <v>123603372.29936382</v>
      </c>
      <c r="F121" s="1651">
        <f>'CSA LASER'!F120+'Medicaid &amp; FAMIS - LASER'!G120+'Energy Assistance LASER'!G120+'TANF LASER'!F120</f>
        <v>3747632.76</v>
      </c>
      <c r="G121" s="1651">
        <f>'CSA LASER'!G120+'Energy Assistance LASER'!H120+'TANF LASER'!G120</f>
        <v>0</v>
      </c>
      <c r="H121" s="1651">
        <f t="shared" si="4"/>
        <v>280825670.19412911</v>
      </c>
      <c r="I121" s="1652">
        <f t="shared" si="3"/>
        <v>3747632.76</v>
      </c>
    </row>
    <row r="122" spans="1:9" x14ac:dyDescent="0.3">
      <c r="A122" s="1634" t="s">
        <v>222</v>
      </c>
      <c r="B122" s="1635" t="s">
        <v>223</v>
      </c>
      <c r="C122" s="1161" t="s">
        <v>252</v>
      </c>
      <c r="D122" s="1650">
        <f>'CSA LASER'!D121+'Medicaid &amp; FAMIS - LASER'!E121+'SNAP LASER'!E121+'Energy Assistance LASER'!E121+'TANF LASER'!D121+'ChildCare LASER'!I121</f>
        <v>91591807.030597806</v>
      </c>
      <c r="E122" s="1651">
        <f>'CSA LASER'!E121+'Medicaid &amp; FAMIS - LASER'!F121+'Energy Assistance LASER'!F121+'TANF LASER'!E121+'ChildCare LASER'!J121</f>
        <v>73848135.270527571</v>
      </c>
      <c r="F122" s="1651">
        <f>'CSA LASER'!F121+'Medicaid &amp; FAMIS - LASER'!G121+'Energy Assistance LASER'!G121+'TANF LASER'!F121</f>
        <v>445116.91</v>
      </c>
      <c r="G122" s="1651">
        <f>'CSA LASER'!G121+'Energy Assistance LASER'!H121+'TANF LASER'!G121</f>
        <v>0</v>
      </c>
      <c r="H122" s="1651">
        <f t="shared" si="4"/>
        <v>165885059.21112537</v>
      </c>
      <c r="I122" s="1652">
        <f t="shared" si="3"/>
        <v>445116.91</v>
      </c>
    </row>
    <row r="123" spans="1:9" x14ac:dyDescent="0.3">
      <c r="A123" s="1634" t="s">
        <v>230</v>
      </c>
      <c r="B123" s="1635" t="s">
        <v>231</v>
      </c>
      <c r="C123" s="1161" t="s">
        <v>252</v>
      </c>
      <c r="D123" s="1650">
        <f>'CSA LASER'!D122+'Medicaid &amp; FAMIS - LASER'!E122+'SNAP LASER'!E122+'Energy Assistance LASER'!E122+'TANF LASER'!D122+'ChildCare LASER'!I122</f>
        <v>267685254.32101876</v>
      </c>
      <c r="E123" s="1651">
        <f>'CSA LASER'!E122+'Medicaid &amp; FAMIS - LASER'!F122+'Energy Assistance LASER'!F122+'TANF LASER'!E122+'ChildCare LASER'!J122</f>
        <v>216790598.00538903</v>
      </c>
      <c r="F123" s="1651">
        <f>'CSA LASER'!F122+'Medicaid &amp; FAMIS - LASER'!G122+'Energy Assistance LASER'!G122+'TANF LASER'!F122</f>
        <v>4759186.09</v>
      </c>
      <c r="G123" s="1651">
        <f>'CSA LASER'!G122+'Energy Assistance LASER'!H122+'TANF LASER'!G122</f>
        <v>0</v>
      </c>
      <c r="H123" s="1651">
        <f t="shared" si="4"/>
        <v>489235038.41640776</v>
      </c>
      <c r="I123" s="1652">
        <f t="shared" si="3"/>
        <v>4759186.09</v>
      </c>
    </row>
    <row r="124" spans="1:9" x14ac:dyDescent="0.3">
      <c r="A124" s="1634" t="s">
        <v>238</v>
      </c>
      <c r="B124" s="1635" t="s">
        <v>239</v>
      </c>
      <c r="C124" s="1161" t="s">
        <v>252</v>
      </c>
      <c r="D124" s="1650">
        <f>'CSA LASER'!D123+'Medicaid &amp; FAMIS - LASER'!E123+'SNAP LASER'!E123+'Energy Assistance LASER'!E123+'TANF LASER'!D123+'ChildCare LASER'!I123</f>
        <v>7480121.5266801948</v>
      </c>
      <c r="E124" s="1651">
        <f>'CSA LASER'!E123+'Medicaid &amp; FAMIS - LASER'!F123+'Energy Assistance LASER'!F123+'TANF LASER'!E123+'ChildCare LASER'!J123</f>
        <v>5491569.664620813</v>
      </c>
      <c r="F124" s="1651">
        <f>'CSA LASER'!F123+'Medicaid &amp; FAMIS - LASER'!G123+'Energy Assistance LASER'!G123+'TANF LASER'!F123</f>
        <v>241552.16</v>
      </c>
      <c r="G124" s="1651">
        <f>'CSA LASER'!G123+'Energy Assistance LASER'!H123+'TANF LASER'!G123</f>
        <v>0</v>
      </c>
      <c r="H124" s="1651">
        <f t="shared" si="4"/>
        <v>13213243.351301007</v>
      </c>
      <c r="I124" s="1652">
        <f t="shared" si="3"/>
        <v>241552.16</v>
      </c>
    </row>
    <row r="125" spans="1:9" x14ac:dyDescent="0.3">
      <c r="A125" s="1640" t="s">
        <v>240</v>
      </c>
      <c r="B125" s="1641" t="s">
        <v>241</v>
      </c>
      <c r="C125" s="1642" t="s">
        <v>255</v>
      </c>
      <c r="D125" s="1653">
        <f>'CSA LASER'!D124+'Medicaid &amp; FAMIS - LASER'!E124+'SNAP LASER'!E124+'Energy Assistance LASER'!E124+'TANF LASER'!D124+'ChildCare LASER'!I124</f>
        <v>29717384.404203087</v>
      </c>
      <c r="E125" s="1654">
        <f>'CSA LASER'!E124+'Medicaid &amp; FAMIS - LASER'!F124+'Energy Assistance LASER'!F124+'TANF LASER'!E124+'ChildCare LASER'!J124</f>
        <v>24845312.289447121</v>
      </c>
      <c r="F125" s="1654">
        <f>'CSA LASER'!F124+'Medicaid &amp; FAMIS - LASER'!G124+'Energy Assistance LASER'!G124+'TANF LASER'!F124</f>
        <v>1543755.88</v>
      </c>
      <c r="G125" s="1654">
        <f>'CSA LASER'!G124+'Energy Assistance LASER'!H124+'TANF LASER'!G124</f>
        <v>0</v>
      </c>
      <c r="H125" s="1654">
        <f t="shared" si="4"/>
        <v>56106452.573650211</v>
      </c>
      <c r="I125" s="1655">
        <f t="shared" si="3"/>
        <v>1543755.88</v>
      </c>
    </row>
    <row r="126" spans="1:9" x14ac:dyDescent="0.3">
      <c r="A126" s="635"/>
      <c r="B126" s="635"/>
      <c r="C126" s="635"/>
    </row>
    <row r="127" spans="1:9" x14ac:dyDescent="0.3">
      <c r="A127" s="1656" t="s">
        <v>254</v>
      </c>
      <c r="B127" s="1656"/>
      <c r="C127" s="1656"/>
      <c r="D127" s="1657">
        <f>'CSA LASER'!D126+'Medicaid &amp; FAMIS - LASER'!E126+'SNAP LASER'!E126+'Energy Assistance LASER'!E126+'TANF LASER'!D126+'ChildCare LASER'!I126</f>
        <v>1303543717.1456013</v>
      </c>
      <c r="E127" s="1658">
        <f>'CSA LASER'!E126+'Medicaid &amp; FAMIS - LASER'!F126+'Energy Assistance LASER'!F126+'TANF LASER'!E126+'ChildCare LASER'!J126</f>
        <v>1054306195.7916561</v>
      </c>
      <c r="F127" s="1658">
        <f>'CSA LASER'!F126+'Medicaid &amp; FAMIS - LASER'!G126+'Energy Assistance LASER'!G126+'TANF LASER'!F126</f>
        <v>32206425.18</v>
      </c>
      <c r="G127" s="1658">
        <f>'CSA LASER'!G126+'Energy Assistance LASER'!H126+'TANF LASER'!G126</f>
        <v>0</v>
      </c>
      <c r="H127" s="1659">
        <f>SUM(D127:G127)</f>
        <v>2390056338.1172571</v>
      </c>
      <c r="I127" s="1660">
        <f t="shared" si="3"/>
        <v>32206425.18</v>
      </c>
    </row>
    <row r="128" spans="1:9" x14ac:dyDescent="0.3">
      <c r="A128" s="1656" t="s">
        <v>252</v>
      </c>
      <c r="B128" s="1656"/>
      <c r="C128" s="1656"/>
      <c r="D128" s="1657">
        <f>'CSA LASER'!D127+'Medicaid &amp; FAMIS - LASER'!E127+'SNAP LASER'!E127+'Energy Assistance LASER'!E127+'TANF LASER'!D127+'ChildCare LASER'!I127</f>
        <v>1657317370.0727384</v>
      </c>
      <c r="E128" s="1658">
        <f>'CSA LASER'!E127+'Medicaid &amp; FAMIS - LASER'!F127+'Energy Assistance LASER'!F127+'TANF LASER'!E127+'ChildCare LASER'!J127</f>
        <v>1307987813.1971111</v>
      </c>
      <c r="F128" s="1658">
        <f>'CSA LASER'!F127+'Medicaid &amp; FAMIS - LASER'!G127+'Energy Assistance LASER'!G127+'TANF LASER'!F127</f>
        <v>19639559.649999999</v>
      </c>
      <c r="G128" s="1658">
        <f>'CSA LASER'!G127+'Energy Assistance LASER'!H127+'TANF LASER'!G127</f>
        <v>0</v>
      </c>
      <c r="H128" s="1659">
        <f t="shared" ref="H128:H131" si="5">SUM(D128:G128)</f>
        <v>2984944742.9198499</v>
      </c>
      <c r="I128" s="1660">
        <f t="shared" si="3"/>
        <v>19639559.649999999</v>
      </c>
    </row>
    <row r="129" spans="1:9" x14ac:dyDescent="0.3">
      <c r="A129" s="1656" t="s">
        <v>255</v>
      </c>
      <c r="B129" s="1656"/>
      <c r="C129" s="1656"/>
      <c r="D129" s="1657">
        <f>'CSA LASER'!D128+'Medicaid &amp; FAMIS - LASER'!E128+'SNAP LASER'!E128+'Energy Assistance LASER'!E128+'TANF LASER'!D128+'ChildCare LASER'!I128</f>
        <v>1662552120.5990081</v>
      </c>
      <c r="E129" s="1658">
        <f>'CSA LASER'!E128+'Medicaid &amp; FAMIS - LASER'!F128+'Energy Assistance LASER'!F128+'TANF LASER'!E128+'ChildCare LASER'!J128</f>
        <v>1365554398.475853</v>
      </c>
      <c r="F129" s="1658">
        <f>'CSA LASER'!F128+'Medicaid &amp; FAMIS - LASER'!G128+'Energy Assistance LASER'!G128+'TANF LASER'!F128</f>
        <v>61681438.330000013</v>
      </c>
      <c r="G129" s="1658">
        <f>'CSA LASER'!G128+'Energy Assistance LASER'!H128+'TANF LASER'!G128</f>
        <v>0</v>
      </c>
      <c r="H129" s="1659">
        <f t="shared" si="5"/>
        <v>3089787957.404861</v>
      </c>
      <c r="I129" s="1660">
        <f t="shared" si="3"/>
        <v>61681438.330000013</v>
      </c>
    </row>
    <row r="130" spans="1:9" x14ac:dyDescent="0.3">
      <c r="A130" s="1656" t="s">
        <v>253</v>
      </c>
      <c r="B130" s="1656"/>
      <c r="C130" s="1656"/>
      <c r="D130" s="1657">
        <f>'CSA LASER'!D129+'Medicaid &amp; FAMIS - LASER'!E129+'SNAP LASER'!E129+'Energy Assistance LASER'!E129+'TANF LASER'!D129+'ChildCare LASER'!I129</f>
        <v>1181617710.4851108</v>
      </c>
      <c r="E130" s="1658">
        <f>'CSA LASER'!E129+'Medicaid &amp; FAMIS - LASER'!F129+'Energy Assistance LASER'!F129+'TANF LASER'!E129+'ChildCare LASER'!J129</f>
        <v>1006690022.9370245</v>
      </c>
      <c r="F130" s="1658">
        <f>'CSA LASER'!F129+'Medicaid &amp; FAMIS - LASER'!G129+'Energy Assistance LASER'!G129+'TANF LASER'!F129</f>
        <v>34835079.07</v>
      </c>
      <c r="G130" s="1658">
        <f>'CSA LASER'!G129+'Energy Assistance LASER'!H129+'TANF LASER'!G129</f>
        <v>0</v>
      </c>
      <c r="H130" s="1659">
        <f t="shared" si="5"/>
        <v>2223142812.4921355</v>
      </c>
      <c r="I130" s="1660">
        <f t="shared" si="3"/>
        <v>34835079.07</v>
      </c>
    </row>
    <row r="131" spans="1:9" x14ac:dyDescent="0.3">
      <c r="A131" s="1656" t="s">
        <v>256</v>
      </c>
      <c r="B131" s="1656"/>
      <c r="C131" s="1656"/>
      <c r="D131" s="1657">
        <f>'CSA LASER'!D130+'Medicaid &amp; FAMIS - LASER'!E130+'SNAP LASER'!E130+'Energy Assistance LASER'!E130+'TANF LASER'!D130+'ChildCare LASER'!I130</f>
        <v>640277540.50500274</v>
      </c>
      <c r="E131" s="1658">
        <f>'CSA LASER'!E130+'Medicaid &amp; FAMIS - LASER'!F130+'Energy Assistance LASER'!F130+'TANF LASER'!E130+'ChildCare LASER'!J130</f>
        <v>515689851.64311647</v>
      </c>
      <c r="F131" s="1658">
        <f>'CSA LASER'!F130+'Medicaid &amp; FAMIS - LASER'!G130+'Energy Assistance LASER'!G130+'TANF LASER'!F130</f>
        <v>9321287.2100000009</v>
      </c>
      <c r="G131" s="1658">
        <f>'CSA LASER'!G130+'Energy Assistance LASER'!H130+'TANF LASER'!G130</f>
        <v>0</v>
      </c>
      <c r="H131" s="1659">
        <f t="shared" si="5"/>
        <v>1165288679.3581192</v>
      </c>
      <c r="I131" s="1660">
        <f t="shared" si="3"/>
        <v>9321287.2100000009</v>
      </c>
    </row>
    <row r="132" spans="1:9" x14ac:dyDescent="0.3">
      <c r="A132" s="1656" t="s">
        <v>9</v>
      </c>
      <c r="B132" s="1656"/>
      <c r="C132" s="1656"/>
      <c r="D132" s="1661">
        <f>SUM(D127:D131)</f>
        <v>6445308458.8074627</v>
      </c>
      <c r="E132" s="1658">
        <f t="shared" ref="E132:I132" si="6">SUM(E127:E131)</f>
        <v>5250228282.0447617</v>
      </c>
      <c r="F132" s="1658">
        <f t="shared" si="6"/>
        <v>157683789.44000003</v>
      </c>
      <c r="G132" s="1658">
        <f t="shared" si="6"/>
        <v>0</v>
      </c>
      <c r="H132" s="1658">
        <f t="shared" si="6"/>
        <v>11853220530.292225</v>
      </c>
      <c r="I132" s="1660">
        <f t="shared" si="6"/>
        <v>157683789.44000003</v>
      </c>
    </row>
    <row r="133" spans="1:9" x14ac:dyDescent="0.3">
      <c r="A133" s="635"/>
      <c r="B133" s="635"/>
      <c r="C133" s="635"/>
    </row>
    <row r="134" spans="1:9" x14ac:dyDescent="0.3">
      <c r="A134" s="1269" t="s">
        <v>1106</v>
      </c>
      <c r="B134" s="635"/>
      <c r="C134" s="635"/>
    </row>
    <row r="135" spans="1:9" x14ac:dyDescent="0.3">
      <c r="A135" s="621"/>
      <c r="B135" s="621"/>
      <c r="C135" s="621"/>
    </row>
    <row r="136" spans="1:9" x14ac:dyDescent="0.3">
      <c r="A136" s="134" t="s">
        <v>248</v>
      </c>
      <c r="B136" s="636"/>
      <c r="C136" s="636"/>
    </row>
    <row r="137" spans="1:9" x14ac:dyDescent="0.3">
      <c r="A137" s="134" t="s">
        <v>249</v>
      </c>
      <c r="B137" s="361" t="s">
        <v>250</v>
      </c>
      <c r="C137" s="637"/>
    </row>
  </sheetData>
  <hyperlinks>
    <hyperlink ref="B137" r:id="rId1"/>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
  <sheetViews>
    <sheetView zoomScaleNormal="130" workbookViewId="0">
      <pane ySplit="2" topLeftCell="A3" activePane="bottomLeft" state="frozen"/>
      <selection pane="bottomLeft" activeCell="F19" sqref="F19"/>
    </sheetView>
  </sheetViews>
  <sheetFormatPr defaultColWidth="9" defaultRowHeight="13.2" x14ac:dyDescent="0.3"/>
  <cols>
    <col min="1" max="1" width="4.5" style="50" bestFit="1" customWidth="1"/>
    <col min="2" max="2" width="21.69921875" style="50" bestFit="1" customWidth="1"/>
    <col min="3" max="3" width="7.296875" style="50" bestFit="1" customWidth="1"/>
    <col min="4" max="4" width="8.69921875" style="50" customWidth="1"/>
    <col min="5" max="5" width="8.5" style="50" customWidth="1"/>
    <col min="6" max="6" width="8.796875" style="50" customWidth="1"/>
    <col min="7" max="16384" width="9" style="50"/>
  </cols>
  <sheetData>
    <row r="1" spans="1:6" x14ac:dyDescent="0.3">
      <c r="B1" s="2" t="s">
        <v>455</v>
      </c>
    </row>
    <row r="2" spans="1:6" ht="12.75" customHeight="1" x14ac:dyDescent="0.3">
      <c r="A2" s="50" t="s">
        <v>4</v>
      </c>
      <c r="B2" s="51" t="s">
        <v>5</v>
      </c>
      <c r="C2" s="52" t="s">
        <v>265</v>
      </c>
      <c r="D2" s="52" t="s">
        <v>266</v>
      </c>
      <c r="E2" s="52" t="s">
        <v>267</v>
      </c>
      <c r="F2" s="52" t="s">
        <v>313</v>
      </c>
    </row>
    <row r="3" spans="1:6" x14ac:dyDescent="0.25">
      <c r="A3" s="47" t="s">
        <v>10</v>
      </c>
      <c r="B3" s="53" t="s">
        <v>11</v>
      </c>
      <c r="C3" s="54">
        <v>7463</v>
      </c>
      <c r="D3" s="55" t="e">
        <f t="shared" ref="D3:D34" si="0">VLOOKUP(B3,_med2008,2,FALSE)</f>
        <v>#NAME?</v>
      </c>
      <c r="E3" s="55" t="e">
        <f t="shared" ref="E3:E34" si="1">VLOOKUP(B3,_med2009,2,FALSE)</f>
        <v>#NAME?</v>
      </c>
      <c r="F3" s="55" t="e">
        <f t="shared" ref="F3:F34" si="2">VLOOKUP(B3,_med2010,2,FALSE)</f>
        <v>#NAME?</v>
      </c>
    </row>
    <row r="4" spans="1:6" x14ac:dyDescent="0.25">
      <c r="A4" s="47" t="s">
        <v>12</v>
      </c>
      <c r="B4" s="53" t="s">
        <v>13</v>
      </c>
      <c r="C4" s="54">
        <v>7239</v>
      </c>
      <c r="D4" s="55" t="e">
        <f t="shared" si="0"/>
        <v>#NAME?</v>
      </c>
      <c r="E4" s="55" t="e">
        <f t="shared" si="1"/>
        <v>#NAME?</v>
      </c>
      <c r="F4" s="55" t="e">
        <f t="shared" si="2"/>
        <v>#NAME?</v>
      </c>
    </row>
    <row r="5" spans="1:6" x14ac:dyDescent="0.25">
      <c r="A5" s="47" t="s">
        <v>14</v>
      </c>
      <c r="B5" s="53" t="s">
        <v>15</v>
      </c>
      <c r="C5" s="54">
        <v>11870</v>
      </c>
      <c r="D5" s="55" t="e">
        <f t="shared" si="0"/>
        <v>#NAME?</v>
      </c>
      <c r="E5" s="55" t="e">
        <f t="shared" si="1"/>
        <v>#NAME?</v>
      </c>
      <c r="F5" s="55" t="e">
        <f t="shared" si="2"/>
        <v>#NAME?</v>
      </c>
    </row>
    <row r="6" spans="1:6" x14ac:dyDescent="0.25">
      <c r="A6" s="47" t="s">
        <v>16</v>
      </c>
      <c r="B6" s="53" t="s">
        <v>285</v>
      </c>
      <c r="C6" s="54">
        <v>4496</v>
      </c>
      <c r="D6" s="55" t="e">
        <f t="shared" si="0"/>
        <v>#NAME?</v>
      </c>
      <c r="E6" s="55" t="e">
        <f t="shared" si="1"/>
        <v>#NAME?</v>
      </c>
      <c r="F6" s="55" t="e">
        <f t="shared" si="2"/>
        <v>#NAME?</v>
      </c>
    </row>
    <row r="7" spans="1:6" x14ac:dyDescent="0.25">
      <c r="A7" s="47" t="s">
        <v>18</v>
      </c>
      <c r="B7" s="53" t="s">
        <v>19</v>
      </c>
      <c r="C7" s="54">
        <v>2040</v>
      </c>
      <c r="D7" s="55" t="e">
        <f t="shared" si="0"/>
        <v>#NAME?</v>
      </c>
      <c r="E7" s="55" t="e">
        <f t="shared" si="1"/>
        <v>#NAME?</v>
      </c>
      <c r="F7" s="55" t="e">
        <f t="shared" si="2"/>
        <v>#NAME?</v>
      </c>
    </row>
    <row r="8" spans="1:6" x14ac:dyDescent="0.25">
      <c r="A8" s="47" t="s">
        <v>20</v>
      </c>
      <c r="B8" s="53" t="s">
        <v>21</v>
      </c>
      <c r="C8" s="54">
        <v>4940</v>
      </c>
      <c r="D8" s="55" t="e">
        <f t="shared" si="0"/>
        <v>#NAME?</v>
      </c>
      <c r="E8" s="55" t="e">
        <f t="shared" si="1"/>
        <v>#NAME?</v>
      </c>
      <c r="F8" s="55" t="e">
        <f t="shared" si="2"/>
        <v>#NAME?</v>
      </c>
    </row>
    <row r="9" spans="1:6" x14ac:dyDescent="0.25">
      <c r="A9" s="47" t="s">
        <v>22</v>
      </c>
      <c r="B9" s="53" t="s">
        <v>23</v>
      </c>
      <c r="C9" s="54">
        <v>2749</v>
      </c>
      <c r="D9" s="55" t="e">
        <f t="shared" si="0"/>
        <v>#NAME?</v>
      </c>
      <c r="E9" s="55" t="e">
        <f t="shared" si="1"/>
        <v>#NAME?</v>
      </c>
      <c r="F9" s="55" t="e">
        <f t="shared" si="2"/>
        <v>#NAME?</v>
      </c>
    </row>
    <row r="10" spans="1:6" x14ac:dyDescent="0.25">
      <c r="A10" s="47" t="s">
        <v>24</v>
      </c>
      <c r="B10" s="53" t="s">
        <v>25</v>
      </c>
      <c r="C10" s="54">
        <v>11149</v>
      </c>
      <c r="D10" s="55" t="e">
        <f t="shared" si="0"/>
        <v>#NAME?</v>
      </c>
      <c r="E10" s="55" t="e">
        <f t="shared" si="1"/>
        <v>#NAME?</v>
      </c>
      <c r="F10" s="55" t="e">
        <f t="shared" si="2"/>
        <v>#NAME?</v>
      </c>
    </row>
    <row r="11" spans="1:6" x14ac:dyDescent="0.25">
      <c r="A11" s="47" t="s">
        <v>26</v>
      </c>
      <c r="B11" s="53" t="s">
        <v>286</v>
      </c>
      <c r="C11" s="54">
        <v>16664</v>
      </c>
      <c r="D11" s="55" t="e">
        <f t="shared" si="0"/>
        <v>#NAME?</v>
      </c>
      <c r="E11" s="55" t="e">
        <f t="shared" si="1"/>
        <v>#NAME?</v>
      </c>
      <c r="F11" s="55" t="e">
        <f t="shared" si="2"/>
        <v>#NAME?</v>
      </c>
    </row>
    <row r="12" spans="1:6" x14ac:dyDescent="0.25">
      <c r="A12" s="47" t="s">
        <v>27</v>
      </c>
      <c r="B12" s="53" t="s">
        <v>28</v>
      </c>
      <c r="C12" s="54">
        <v>503</v>
      </c>
      <c r="D12" s="55" t="e">
        <f t="shared" si="0"/>
        <v>#NAME?</v>
      </c>
      <c r="E12" s="55" t="e">
        <f t="shared" si="1"/>
        <v>#NAME?</v>
      </c>
      <c r="F12" s="55" t="e">
        <f t="shared" si="2"/>
        <v>#NAME?</v>
      </c>
    </row>
    <row r="13" spans="1:6" x14ac:dyDescent="0.25">
      <c r="A13" s="47" t="s">
        <v>29</v>
      </c>
      <c r="B13" s="53" t="s">
        <v>287</v>
      </c>
      <c r="C13" s="54">
        <v>8194</v>
      </c>
      <c r="D13" s="55" t="e">
        <f t="shared" si="0"/>
        <v>#NAME?</v>
      </c>
      <c r="E13" s="55" t="e">
        <f t="shared" si="1"/>
        <v>#NAME?</v>
      </c>
      <c r="F13" s="55" t="e">
        <f t="shared" si="2"/>
        <v>#NAME?</v>
      </c>
    </row>
    <row r="14" spans="1:6" x14ac:dyDescent="0.25">
      <c r="A14" s="47" t="s">
        <v>30</v>
      </c>
      <c r="B14" s="53" t="s">
        <v>31</v>
      </c>
      <c r="C14" s="54">
        <v>1029</v>
      </c>
      <c r="D14" s="55" t="e">
        <f t="shared" si="0"/>
        <v>#NAME?</v>
      </c>
      <c r="E14" s="55" t="e">
        <f t="shared" si="1"/>
        <v>#NAME?</v>
      </c>
      <c r="F14" s="55" t="e">
        <f t="shared" si="2"/>
        <v>#NAME?</v>
      </c>
    </row>
    <row r="15" spans="1:6" x14ac:dyDescent="0.25">
      <c r="A15" s="47" t="s">
        <v>32</v>
      </c>
      <c r="B15" s="53" t="s">
        <v>33</v>
      </c>
      <c r="C15" s="54">
        <v>2263</v>
      </c>
      <c r="D15" s="55" t="e">
        <f t="shared" si="0"/>
        <v>#NAME?</v>
      </c>
      <c r="E15" s="55" t="e">
        <f t="shared" si="1"/>
        <v>#NAME?</v>
      </c>
      <c r="F15" s="55" t="e">
        <f t="shared" si="2"/>
        <v>#NAME?</v>
      </c>
    </row>
    <row r="16" spans="1:6" x14ac:dyDescent="0.25">
      <c r="A16" s="47" t="s">
        <v>34</v>
      </c>
      <c r="B16" s="53" t="s">
        <v>35</v>
      </c>
      <c r="C16" s="54">
        <v>4845</v>
      </c>
      <c r="D16" s="55" t="e">
        <f t="shared" si="0"/>
        <v>#NAME?</v>
      </c>
      <c r="E16" s="55" t="e">
        <f t="shared" si="1"/>
        <v>#NAME?</v>
      </c>
      <c r="F16" s="55" t="e">
        <f t="shared" si="2"/>
        <v>#NAME?</v>
      </c>
    </row>
    <row r="17" spans="1:6" x14ac:dyDescent="0.25">
      <c r="A17" s="47" t="s">
        <v>36</v>
      </c>
      <c r="B17" s="53" t="s">
        <v>37</v>
      </c>
      <c r="C17" s="54">
        <v>4116</v>
      </c>
      <c r="D17" s="55" t="e">
        <f t="shared" si="0"/>
        <v>#NAME?</v>
      </c>
      <c r="E17" s="55" t="e">
        <f t="shared" si="1"/>
        <v>#NAME?</v>
      </c>
      <c r="F17" s="55" t="e">
        <f t="shared" si="2"/>
        <v>#NAME?</v>
      </c>
    </row>
    <row r="18" spans="1:6" x14ac:dyDescent="0.25">
      <c r="A18" s="47" t="s">
        <v>38</v>
      </c>
      <c r="B18" s="53" t="s">
        <v>39</v>
      </c>
      <c r="C18" s="54">
        <v>6782</v>
      </c>
      <c r="D18" s="55" t="e">
        <f t="shared" si="0"/>
        <v>#NAME?</v>
      </c>
      <c r="E18" s="55" t="e">
        <f t="shared" si="1"/>
        <v>#NAME?</v>
      </c>
      <c r="F18" s="55" t="e">
        <f t="shared" si="2"/>
        <v>#NAME?</v>
      </c>
    </row>
    <row r="19" spans="1:6" x14ac:dyDescent="0.25">
      <c r="A19" s="47" t="s">
        <v>40</v>
      </c>
      <c r="B19" s="53" t="s">
        <v>41</v>
      </c>
      <c r="C19" s="54">
        <v>2983</v>
      </c>
      <c r="D19" s="55" t="e">
        <f t="shared" si="0"/>
        <v>#NAME?</v>
      </c>
      <c r="E19" s="55" t="e">
        <f t="shared" si="1"/>
        <v>#NAME?</v>
      </c>
      <c r="F19" s="55" t="e">
        <f t="shared" si="2"/>
        <v>#NAME?</v>
      </c>
    </row>
    <row r="20" spans="1:6" x14ac:dyDescent="0.25">
      <c r="A20" s="47" t="s">
        <v>42</v>
      </c>
      <c r="B20" s="53" t="s">
        <v>43</v>
      </c>
      <c r="C20" s="54">
        <v>8789</v>
      </c>
      <c r="D20" s="55" t="e">
        <f t="shared" si="0"/>
        <v>#NAME?</v>
      </c>
      <c r="E20" s="55" t="e">
        <f t="shared" si="1"/>
        <v>#NAME?</v>
      </c>
      <c r="F20" s="55" t="e">
        <f t="shared" si="2"/>
        <v>#NAME?</v>
      </c>
    </row>
    <row r="21" spans="1:6" x14ac:dyDescent="0.25">
      <c r="A21" s="47" t="s">
        <v>44</v>
      </c>
      <c r="B21" s="53" t="s">
        <v>45</v>
      </c>
      <c r="C21" s="54">
        <v>4089</v>
      </c>
      <c r="D21" s="55" t="e">
        <f t="shared" si="0"/>
        <v>#NAME?</v>
      </c>
      <c r="E21" s="55" t="e">
        <f t="shared" si="1"/>
        <v>#NAME?</v>
      </c>
      <c r="F21" s="55" t="e">
        <f t="shared" si="2"/>
        <v>#NAME?</v>
      </c>
    </row>
    <row r="22" spans="1:6" x14ac:dyDescent="0.25">
      <c r="A22" s="47" t="s">
        <v>46</v>
      </c>
      <c r="B22" s="53" t="s">
        <v>47</v>
      </c>
      <c r="C22" s="54">
        <v>6099</v>
      </c>
      <c r="D22" s="55" t="e">
        <f t="shared" si="0"/>
        <v>#NAME?</v>
      </c>
      <c r="E22" s="55" t="e">
        <f t="shared" si="1"/>
        <v>#NAME?</v>
      </c>
      <c r="F22" s="55" t="e">
        <f t="shared" si="2"/>
        <v>#NAME?</v>
      </c>
    </row>
    <row r="23" spans="1:6" x14ac:dyDescent="0.25">
      <c r="A23" s="47" t="s">
        <v>48</v>
      </c>
      <c r="B23" s="53" t="s">
        <v>257</v>
      </c>
      <c r="C23" s="54">
        <v>1026</v>
      </c>
      <c r="D23" s="55" t="e">
        <f t="shared" si="0"/>
        <v>#NAME?</v>
      </c>
      <c r="E23" s="55" t="e">
        <f t="shared" si="1"/>
        <v>#NAME?</v>
      </c>
      <c r="F23" s="55" t="e">
        <f t="shared" si="2"/>
        <v>#NAME?</v>
      </c>
    </row>
    <row r="24" spans="1:6" x14ac:dyDescent="0.25">
      <c r="A24" s="47" t="s">
        <v>50</v>
      </c>
      <c r="B24" s="53" t="s">
        <v>51</v>
      </c>
      <c r="C24" s="54">
        <v>3005</v>
      </c>
      <c r="D24" s="55" t="e">
        <f t="shared" si="0"/>
        <v>#NAME?</v>
      </c>
      <c r="E24" s="55" t="e">
        <f t="shared" si="1"/>
        <v>#NAME?</v>
      </c>
      <c r="F24" s="55" t="e">
        <f t="shared" si="2"/>
        <v>#NAME?</v>
      </c>
    </row>
    <row r="25" spans="1:6" x14ac:dyDescent="0.25">
      <c r="A25" s="47" t="s">
        <v>52</v>
      </c>
      <c r="B25" s="53" t="s">
        <v>53</v>
      </c>
      <c r="C25" s="54">
        <v>6733</v>
      </c>
      <c r="D25" s="55" t="e">
        <f t="shared" si="0"/>
        <v>#NAME?</v>
      </c>
      <c r="E25" s="55" t="e">
        <f t="shared" si="1"/>
        <v>#NAME?</v>
      </c>
      <c r="F25" s="55" t="e">
        <f t="shared" si="2"/>
        <v>#NAME?</v>
      </c>
    </row>
    <row r="26" spans="1:6" x14ac:dyDescent="0.25">
      <c r="A26" s="47" t="s">
        <v>54</v>
      </c>
      <c r="B26" s="53" t="s">
        <v>55</v>
      </c>
      <c r="C26" s="54">
        <v>24491</v>
      </c>
      <c r="D26" s="55" t="e">
        <f t="shared" si="0"/>
        <v>#NAME?</v>
      </c>
      <c r="E26" s="55" t="e">
        <f t="shared" si="1"/>
        <v>#NAME?</v>
      </c>
      <c r="F26" s="55" t="e">
        <f t="shared" si="2"/>
        <v>#NAME?</v>
      </c>
    </row>
    <row r="27" spans="1:6" x14ac:dyDescent="0.25">
      <c r="A27" s="47" t="s">
        <v>56</v>
      </c>
      <c r="B27" s="53" t="s">
        <v>283</v>
      </c>
      <c r="C27" s="54">
        <v>30326</v>
      </c>
      <c r="D27" s="55" t="e">
        <f t="shared" si="0"/>
        <v>#NAME?</v>
      </c>
      <c r="E27" s="55" t="e">
        <f t="shared" si="1"/>
        <v>#NAME?</v>
      </c>
      <c r="F27" s="55" t="e">
        <f t="shared" si="2"/>
        <v>#NAME?</v>
      </c>
    </row>
    <row r="28" spans="1:6" x14ac:dyDescent="0.25">
      <c r="A28" s="47" t="s">
        <v>58</v>
      </c>
      <c r="B28" s="53" t="s">
        <v>59</v>
      </c>
      <c r="C28" s="54">
        <v>986</v>
      </c>
      <c r="D28" s="55" t="e">
        <f t="shared" si="0"/>
        <v>#NAME?</v>
      </c>
      <c r="E28" s="55" t="e">
        <f t="shared" si="1"/>
        <v>#NAME?</v>
      </c>
      <c r="F28" s="55" t="e">
        <f t="shared" si="2"/>
        <v>#NAME?</v>
      </c>
    </row>
    <row r="29" spans="1:6" x14ac:dyDescent="0.25">
      <c r="A29" s="47" t="s">
        <v>60</v>
      </c>
      <c r="B29" s="53" t="s">
        <v>61</v>
      </c>
      <c r="C29" s="54">
        <v>739</v>
      </c>
      <c r="D29" s="55" t="e">
        <f t="shared" si="0"/>
        <v>#NAME?</v>
      </c>
      <c r="E29" s="55" t="e">
        <f t="shared" si="1"/>
        <v>#NAME?</v>
      </c>
      <c r="F29" s="55" t="e">
        <f t="shared" si="2"/>
        <v>#NAME?</v>
      </c>
    </row>
    <row r="30" spans="1:6" x14ac:dyDescent="0.25">
      <c r="A30" s="47" t="s">
        <v>62</v>
      </c>
      <c r="B30" s="53" t="s">
        <v>63</v>
      </c>
      <c r="C30" s="54">
        <v>5420</v>
      </c>
      <c r="D30" s="55" t="e">
        <f t="shared" si="0"/>
        <v>#NAME?</v>
      </c>
      <c r="E30" s="55" t="e">
        <f t="shared" si="1"/>
        <v>#NAME?</v>
      </c>
      <c r="F30" s="55" t="e">
        <f t="shared" si="2"/>
        <v>#NAME?</v>
      </c>
    </row>
    <row r="31" spans="1:6" x14ac:dyDescent="0.25">
      <c r="A31" s="47" t="s">
        <v>64</v>
      </c>
      <c r="B31" s="53" t="s">
        <v>65</v>
      </c>
      <c r="C31" s="54">
        <v>2244</v>
      </c>
      <c r="D31" s="55" t="e">
        <f t="shared" si="0"/>
        <v>#NAME?</v>
      </c>
      <c r="E31" s="55" t="e">
        <f t="shared" si="1"/>
        <v>#NAME?</v>
      </c>
      <c r="F31" s="55" t="e">
        <f t="shared" si="2"/>
        <v>#NAME?</v>
      </c>
    </row>
    <row r="32" spans="1:6" x14ac:dyDescent="0.25">
      <c r="A32" s="47" t="s">
        <v>66</v>
      </c>
      <c r="B32" s="53" t="s">
        <v>67</v>
      </c>
      <c r="C32" s="54">
        <v>13346</v>
      </c>
      <c r="D32" s="55" t="e">
        <f t="shared" si="0"/>
        <v>#NAME?</v>
      </c>
      <c r="E32" s="55" t="e">
        <f t="shared" si="1"/>
        <v>#NAME?</v>
      </c>
      <c r="F32" s="55" t="e">
        <f t="shared" si="2"/>
        <v>#NAME?</v>
      </c>
    </row>
    <row r="33" spans="1:6" x14ac:dyDescent="0.25">
      <c r="A33" s="47" t="s">
        <v>68</v>
      </c>
      <c r="B33" s="53" t="s">
        <v>69</v>
      </c>
      <c r="C33" s="54">
        <v>4742</v>
      </c>
      <c r="D33" s="55" t="e">
        <f t="shared" si="0"/>
        <v>#NAME?</v>
      </c>
      <c r="E33" s="55" t="e">
        <f t="shared" si="1"/>
        <v>#NAME?</v>
      </c>
      <c r="F33" s="55" t="e">
        <f t="shared" si="2"/>
        <v>#NAME?</v>
      </c>
    </row>
    <row r="34" spans="1:6" x14ac:dyDescent="0.25">
      <c r="A34" s="47" t="s">
        <v>70</v>
      </c>
      <c r="B34" s="53" t="s">
        <v>71</v>
      </c>
      <c r="C34" s="54">
        <v>4542</v>
      </c>
      <c r="D34" s="55" t="e">
        <f t="shared" si="0"/>
        <v>#NAME?</v>
      </c>
      <c r="E34" s="55" t="e">
        <f t="shared" si="1"/>
        <v>#NAME?</v>
      </c>
      <c r="F34" s="55" t="e">
        <f t="shared" si="2"/>
        <v>#NAME?</v>
      </c>
    </row>
    <row r="35" spans="1:6" x14ac:dyDescent="0.25">
      <c r="A35" s="47" t="s">
        <v>72</v>
      </c>
      <c r="B35" s="53" t="s">
        <v>73</v>
      </c>
      <c r="C35" s="54">
        <v>2202</v>
      </c>
      <c r="D35" s="55" t="e">
        <f t="shared" ref="D35:D66" si="3">VLOOKUP(B35,_med2008,2,FALSE)</f>
        <v>#NAME?</v>
      </c>
      <c r="E35" s="55" t="e">
        <f t="shared" ref="E35:E66" si="4">VLOOKUP(B35,_med2009,2,FALSE)</f>
        <v>#NAME?</v>
      </c>
      <c r="F35" s="55" t="e">
        <f t="shared" ref="F35:F66" si="5">VLOOKUP(B35,_med2010,2,FALSE)</f>
        <v>#NAME?</v>
      </c>
    </row>
    <row r="36" spans="1:6" x14ac:dyDescent="0.25">
      <c r="A36" s="47" t="s">
        <v>74</v>
      </c>
      <c r="B36" s="53" t="s">
        <v>284</v>
      </c>
      <c r="C36" s="54">
        <v>66005</v>
      </c>
      <c r="D36" s="55" t="e">
        <f t="shared" si="3"/>
        <v>#NAME?</v>
      </c>
      <c r="E36" s="55" t="e">
        <f t="shared" si="4"/>
        <v>#NAME?</v>
      </c>
      <c r="F36" s="55" t="e">
        <f t="shared" si="5"/>
        <v>#NAME?</v>
      </c>
    </row>
    <row r="37" spans="1:6" x14ac:dyDescent="0.25">
      <c r="A37" s="47" t="s">
        <v>76</v>
      </c>
      <c r="B37" s="53" t="s">
        <v>77</v>
      </c>
      <c r="C37" s="54">
        <v>4472</v>
      </c>
      <c r="D37" s="55" t="e">
        <f t="shared" si="3"/>
        <v>#NAME?</v>
      </c>
      <c r="E37" s="55" t="e">
        <f t="shared" si="4"/>
        <v>#NAME?</v>
      </c>
      <c r="F37" s="55" t="e">
        <f t="shared" si="5"/>
        <v>#NAME?</v>
      </c>
    </row>
    <row r="38" spans="1:6" x14ac:dyDescent="0.25">
      <c r="A38" s="47" t="s">
        <v>78</v>
      </c>
      <c r="B38" s="53" t="s">
        <v>79</v>
      </c>
      <c r="C38" s="54">
        <v>2221</v>
      </c>
      <c r="D38" s="55" t="e">
        <f t="shared" si="3"/>
        <v>#NAME?</v>
      </c>
      <c r="E38" s="55" t="e">
        <f t="shared" si="4"/>
        <v>#NAME?</v>
      </c>
      <c r="F38" s="55" t="e">
        <f t="shared" si="5"/>
        <v>#NAME?</v>
      </c>
    </row>
    <row r="39" spans="1:6" x14ac:dyDescent="0.25">
      <c r="A39" s="47" t="s">
        <v>80</v>
      </c>
      <c r="B39" s="53" t="s">
        <v>81</v>
      </c>
      <c r="C39" s="54">
        <v>2055</v>
      </c>
      <c r="D39" s="55" t="e">
        <f t="shared" si="3"/>
        <v>#NAME?</v>
      </c>
      <c r="E39" s="55" t="e">
        <f t="shared" si="4"/>
        <v>#NAME?</v>
      </c>
      <c r="F39" s="55" t="e">
        <f t="shared" si="5"/>
        <v>#NAME?</v>
      </c>
    </row>
    <row r="40" spans="1:6" x14ac:dyDescent="0.25">
      <c r="A40" s="47" t="s">
        <v>82</v>
      </c>
      <c r="B40" s="53" t="s">
        <v>83</v>
      </c>
      <c r="C40" s="54">
        <v>2567</v>
      </c>
      <c r="D40" s="55" t="e">
        <f t="shared" si="3"/>
        <v>#NAME?</v>
      </c>
      <c r="E40" s="55" t="e">
        <f t="shared" si="4"/>
        <v>#NAME?</v>
      </c>
      <c r="F40" s="55" t="e">
        <f t="shared" si="5"/>
        <v>#NAME?</v>
      </c>
    </row>
    <row r="41" spans="1:6" x14ac:dyDescent="0.25">
      <c r="A41" s="47" t="s">
        <v>84</v>
      </c>
      <c r="B41" s="53" t="s">
        <v>85</v>
      </c>
      <c r="C41" s="54">
        <v>7976</v>
      </c>
      <c r="D41" s="55" t="e">
        <f t="shared" si="3"/>
        <v>#NAME?</v>
      </c>
      <c r="E41" s="55" t="e">
        <f t="shared" si="4"/>
        <v>#NAME?</v>
      </c>
      <c r="F41" s="55" t="e">
        <f t="shared" si="5"/>
        <v>#NAME?</v>
      </c>
    </row>
    <row r="42" spans="1:6" x14ac:dyDescent="0.25">
      <c r="A42" s="47" t="s">
        <v>86</v>
      </c>
      <c r="B42" s="53" t="s">
        <v>87</v>
      </c>
      <c r="C42" s="54">
        <v>6545</v>
      </c>
      <c r="D42" s="55" t="e">
        <f t="shared" si="3"/>
        <v>#NAME?</v>
      </c>
      <c r="E42" s="55" t="e">
        <f t="shared" si="4"/>
        <v>#NAME?</v>
      </c>
      <c r="F42" s="55" t="e">
        <f t="shared" si="5"/>
        <v>#NAME?</v>
      </c>
    </row>
    <row r="43" spans="1:6" x14ac:dyDescent="0.25">
      <c r="A43" s="47" t="s">
        <v>88</v>
      </c>
      <c r="B43" s="53" t="s">
        <v>89</v>
      </c>
      <c r="C43" s="54">
        <v>4329</v>
      </c>
      <c r="D43" s="55" t="e">
        <f t="shared" si="3"/>
        <v>#NAME?</v>
      </c>
      <c r="E43" s="55" t="e">
        <f t="shared" si="4"/>
        <v>#NAME?</v>
      </c>
      <c r="F43" s="55" t="e">
        <f t="shared" si="5"/>
        <v>#NAME?</v>
      </c>
    </row>
    <row r="44" spans="1:6" x14ac:dyDescent="0.25">
      <c r="A44" s="47" t="s">
        <v>90</v>
      </c>
      <c r="B44" s="53" t="s">
        <v>91</v>
      </c>
      <c r="C44" s="54">
        <v>2240</v>
      </c>
      <c r="D44" s="55" t="e">
        <f t="shared" si="3"/>
        <v>#NAME?</v>
      </c>
      <c r="E44" s="55" t="e">
        <f t="shared" si="4"/>
        <v>#NAME?</v>
      </c>
      <c r="F44" s="55" t="e">
        <f t="shared" si="5"/>
        <v>#NAME?</v>
      </c>
    </row>
    <row r="45" spans="1:6" x14ac:dyDescent="0.25">
      <c r="A45" s="47" t="s">
        <v>92</v>
      </c>
      <c r="B45" s="53" t="s">
        <v>93</v>
      </c>
      <c r="C45" s="54">
        <v>2917</v>
      </c>
      <c r="D45" s="55" t="e">
        <f t="shared" si="3"/>
        <v>#NAME?</v>
      </c>
      <c r="E45" s="55" t="e">
        <f t="shared" si="4"/>
        <v>#NAME?</v>
      </c>
      <c r="F45" s="55" t="e">
        <f t="shared" si="5"/>
        <v>#NAME?</v>
      </c>
    </row>
    <row r="46" spans="1:6" x14ac:dyDescent="0.25">
      <c r="A46" s="47" t="s">
        <v>94</v>
      </c>
      <c r="B46" s="53" t="s">
        <v>95</v>
      </c>
      <c r="C46" s="54">
        <v>4114</v>
      </c>
      <c r="D46" s="55" t="e">
        <f t="shared" si="3"/>
        <v>#NAME?</v>
      </c>
      <c r="E46" s="55" t="e">
        <f t="shared" si="4"/>
        <v>#NAME?</v>
      </c>
      <c r="F46" s="55" t="e">
        <f t="shared" si="5"/>
        <v>#NAME?</v>
      </c>
    </row>
    <row r="47" spans="1:6" x14ac:dyDescent="0.25">
      <c r="A47" s="47" t="s">
        <v>96</v>
      </c>
      <c r="B47" s="53" t="s">
        <v>97</v>
      </c>
      <c r="C47" s="54">
        <v>1386</v>
      </c>
      <c r="D47" s="55" t="e">
        <f t="shared" si="3"/>
        <v>#NAME?</v>
      </c>
      <c r="E47" s="55" t="e">
        <f t="shared" si="4"/>
        <v>#NAME?</v>
      </c>
      <c r="F47" s="55" t="e">
        <f t="shared" si="5"/>
        <v>#NAME?</v>
      </c>
    </row>
    <row r="48" spans="1:6" x14ac:dyDescent="0.25">
      <c r="A48" s="47" t="s">
        <v>98</v>
      </c>
      <c r="B48" s="53" t="s">
        <v>99</v>
      </c>
      <c r="C48" s="54">
        <v>3759</v>
      </c>
      <c r="D48" s="55" t="e">
        <f t="shared" si="3"/>
        <v>#NAME?</v>
      </c>
      <c r="E48" s="55" t="e">
        <f t="shared" si="4"/>
        <v>#NAME?</v>
      </c>
      <c r="F48" s="55" t="e">
        <f t="shared" si="5"/>
        <v>#NAME?</v>
      </c>
    </row>
    <row r="49" spans="1:6" x14ac:dyDescent="0.25">
      <c r="A49" s="47" t="s">
        <v>100</v>
      </c>
      <c r="B49" s="53" t="s">
        <v>101</v>
      </c>
      <c r="C49" s="54">
        <v>2234</v>
      </c>
      <c r="D49" s="55" t="e">
        <f t="shared" si="3"/>
        <v>#NAME?</v>
      </c>
      <c r="E49" s="55" t="e">
        <f t="shared" si="4"/>
        <v>#NAME?</v>
      </c>
      <c r="F49" s="55" t="e">
        <f t="shared" si="5"/>
        <v>#NAME?</v>
      </c>
    </row>
    <row r="50" spans="1:6" x14ac:dyDescent="0.25">
      <c r="A50" s="47" t="s">
        <v>102</v>
      </c>
      <c r="B50" s="53" t="s">
        <v>270</v>
      </c>
      <c r="C50" s="54">
        <v>4134</v>
      </c>
      <c r="D50" s="55" t="e">
        <f t="shared" si="3"/>
        <v>#NAME?</v>
      </c>
      <c r="E50" s="55" t="e">
        <f t="shared" si="4"/>
        <v>#NAME?</v>
      </c>
      <c r="F50" s="55" t="e">
        <f t="shared" si="5"/>
        <v>#NAME?</v>
      </c>
    </row>
    <row r="51" spans="1:6" x14ac:dyDescent="0.25">
      <c r="A51" s="47" t="s">
        <v>104</v>
      </c>
      <c r="B51" s="53" t="s">
        <v>105</v>
      </c>
      <c r="C51" s="54">
        <v>8414</v>
      </c>
      <c r="D51" s="55" t="e">
        <f t="shared" si="3"/>
        <v>#NAME?</v>
      </c>
      <c r="E51" s="55" t="e">
        <f t="shared" si="4"/>
        <v>#NAME?</v>
      </c>
      <c r="F51" s="55" t="e">
        <f t="shared" si="5"/>
        <v>#NAME?</v>
      </c>
    </row>
    <row r="52" spans="1:6" x14ac:dyDescent="0.25">
      <c r="A52" s="47" t="s">
        <v>106</v>
      </c>
      <c r="B52" s="53" t="s">
        <v>107</v>
      </c>
      <c r="C52" s="54">
        <v>23189</v>
      </c>
      <c r="D52" s="55" t="e">
        <f t="shared" si="3"/>
        <v>#NAME?</v>
      </c>
      <c r="E52" s="55" t="e">
        <f t="shared" si="4"/>
        <v>#NAME?</v>
      </c>
      <c r="F52" s="55" t="e">
        <f t="shared" si="5"/>
        <v>#NAME?</v>
      </c>
    </row>
    <row r="53" spans="1:6" x14ac:dyDescent="0.25">
      <c r="A53" s="47" t="s">
        <v>108</v>
      </c>
      <c r="B53" s="53" t="s">
        <v>109</v>
      </c>
      <c r="C53" s="54">
        <v>6268</v>
      </c>
      <c r="D53" s="55" t="e">
        <f t="shared" si="3"/>
        <v>#NAME?</v>
      </c>
      <c r="E53" s="55" t="e">
        <f t="shared" si="4"/>
        <v>#NAME?</v>
      </c>
      <c r="F53" s="55" t="e">
        <f t="shared" si="5"/>
        <v>#NAME?</v>
      </c>
    </row>
    <row r="54" spans="1:6" x14ac:dyDescent="0.25">
      <c r="A54" s="47" t="s">
        <v>110</v>
      </c>
      <c r="B54" s="53" t="s">
        <v>111</v>
      </c>
      <c r="C54" s="54">
        <v>31176</v>
      </c>
      <c r="D54" s="55" t="e">
        <f t="shared" si="3"/>
        <v>#NAME?</v>
      </c>
      <c r="E54" s="55" t="e">
        <f t="shared" si="4"/>
        <v>#NAME?</v>
      </c>
      <c r="F54" s="55" t="e">
        <f t="shared" si="5"/>
        <v>#NAME?</v>
      </c>
    </row>
    <row r="55" spans="1:6" x14ac:dyDescent="0.25">
      <c r="A55" s="47" t="s">
        <v>112</v>
      </c>
      <c r="B55" s="53" t="s">
        <v>288</v>
      </c>
      <c r="C55" s="54">
        <v>16087</v>
      </c>
      <c r="D55" s="55" t="e">
        <f t="shared" si="3"/>
        <v>#NAME?</v>
      </c>
      <c r="E55" s="55" t="e">
        <f t="shared" si="4"/>
        <v>#NAME?</v>
      </c>
      <c r="F55" s="55" t="e">
        <f t="shared" si="5"/>
        <v>#NAME?</v>
      </c>
    </row>
    <row r="56" spans="1:6" x14ac:dyDescent="0.25">
      <c r="A56" s="47" t="s">
        <v>114</v>
      </c>
      <c r="B56" s="53" t="s">
        <v>115</v>
      </c>
      <c r="C56" s="54">
        <v>290</v>
      </c>
      <c r="D56" s="55" t="e">
        <f t="shared" si="3"/>
        <v>#NAME?</v>
      </c>
      <c r="E56" s="55" t="e">
        <f t="shared" si="4"/>
        <v>#NAME?</v>
      </c>
      <c r="F56" s="55" t="e">
        <f t="shared" si="5"/>
        <v>#NAME?</v>
      </c>
    </row>
    <row r="57" spans="1:6" x14ac:dyDescent="0.25">
      <c r="A57" s="47" t="s">
        <v>116</v>
      </c>
      <c r="B57" s="53" t="s">
        <v>117</v>
      </c>
      <c r="C57" s="54">
        <v>6343</v>
      </c>
      <c r="D57" s="55" t="e">
        <f t="shared" si="3"/>
        <v>#NAME?</v>
      </c>
      <c r="E57" s="55" t="e">
        <f t="shared" si="4"/>
        <v>#NAME?</v>
      </c>
      <c r="F57" s="55" t="e">
        <f t="shared" si="5"/>
        <v>#NAME?</v>
      </c>
    </row>
    <row r="58" spans="1:6" x14ac:dyDescent="0.25">
      <c r="A58" s="47" t="s">
        <v>118</v>
      </c>
      <c r="B58" s="53" t="s">
        <v>258</v>
      </c>
      <c r="C58" s="54">
        <v>4418</v>
      </c>
      <c r="D58" s="55" t="e">
        <f t="shared" si="3"/>
        <v>#NAME?</v>
      </c>
      <c r="E58" s="55" t="e">
        <f t="shared" si="4"/>
        <v>#NAME?</v>
      </c>
      <c r="F58" s="55" t="e">
        <f t="shared" si="5"/>
        <v>#NAME?</v>
      </c>
    </row>
    <row r="59" spans="1:6" x14ac:dyDescent="0.25">
      <c r="A59" s="47" t="s">
        <v>120</v>
      </c>
      <c r="B59" s="53" t="s">
        <v>121</v>
      </c>
      <c r="C59" s="54">
        <v>4708</v>
      </c>
      <c r="D59" s="55" t="e">
        <f t="shared" si="3"/>
        <v>#NAME?</v>
      </c>
      <c r="E59" s="55" t="e">
        <f t="shared" si="4"/>
        <v>#NAME?</v>
      </c>
      <c r="F59" s="55" t="e">
        <f t="shared" si="5"/>
        <v>#NAME?</v>
      </c>
    </row>
    <row r="60" spans="1:6" x14ac:dyDescent="0.25">
      <c r="A60" s="47" t="s">
        <v>122</v>
      </c>
      <c r="B60" s="53" t="s">
        <v>275</v>
      </c>
      <c r="C60" s="54">
        <v>1328</v>
      </c>
      <c r="D60" s="55" t="e">
        <f t="shared" si="3"/>
        <v>#NAME?</v>
      </c>
      <c r="E60" s="55" t="e">
        <f t="shared" si="4"/>
        <v>#NAME?</v>
      </c>
      <c r="F60" s="55" t="e">
        <f t="shared" si="5"/>
        <v>#NAME?</v>
      </c>
    </row>
    <row r="61" spans="1:6" x14ac:dyDescent="0.25">
      <c r="A61" s="47" t="s">
        <v>124</v>
      </c>
      <c r="B61" s="53" t="s">
        <v>125</v>
      </c>
      <c r="C61" s="54">
        <v>2080</v>
      </c>
      <c r="D61" s="55" t="e">
        <f t="shared" si="3"/>
        <v>#NAME?</v>
      </c>
      <c r="E61" s="55" t="e">
        <f t="shared" si="4"/>
        <v>#NAME?</v>
      </c>
      <c r="F61" s="55" t="e">
        <f t="shared" si="5"/>
        <v>#NAME?</v>
      </c>
    </row>
    <row r="62" spans="1:6" x14ac:dyDescent="0.25">
      <c r="A62" s="47" t="s">
        <v>126</v>
      </c>
      <c r="B62" s="53" t="s">
        <v>127</v>
      </c>
      <c r="C62" s="54">
        <v>1653</v>
      </c>
      <c r="D62" s="55" t="e">
        <f t="shared" si="3"/>
        <v>#NAME?</v>
      </c>
      <c r="E62" s="55" t="e">
        <f t="shared" si="4"/>
        <v>#NAME?</v>
      </c>
      <c r="F62" s="55" t="e">
        <f t="shared" si="5"/>
        <v>#NAME?</v>
      </c>
    </row>
    <row r="63" spans="1:6" x14ac:dyDescent="0.25">
      <c r="A63" s="47" t="s">
        <v>128</v>
      </c>
      <c r="B63" s="53" t="s">
        <v>129</v>
      </c>
      <c r="C63" s="54">
        <v>2006</v>
      </c>
      <c r="D63" s="55" t="e">
        <f t="shared" si="3"/>
        <v>#NAME?</v>
      </c>
      <c r="E63" s="55" t="e">
        <f t="shared" si="4"/>
        <v>#NAME?</v>
      </c>
      <c r="F63" s="55" t="e">
        <f t="shared" si="5"/>
        <v>#NAME?</v>
      </c>
    </row>
    <row r="64" spans="1:6" x14ac:dyDescent="0.25">
      <c r="A64" s="47" t="s">
        <v>130</v>
      </c>
      <c r="B64" s="53" t="s">
        <v>131</v>
      </c>
      <c r="C64" s="54">
        <v>7728</v>
      </c>
      <c r="D64" s="55" t="e">
        <f t="shared" si="3"/>
        <v>#NAME?</v>
      </c>
      <c r="E64" s="55" t="e">
        <f t="shared" si="4"/>
        <v>#NAME?</v>
      </c>
      <c r="F64" s="55" t="e">
        <f t="shared" si="5"/>
        <v>#NAME?</v>
      </c>
    </row>
    <row r="65" spans="1:6" x14ac:dyDescent="0.25">
      <c r="A65" s="47" t="s">
        <v>132</v>
      </c>
      <c r="B65" s="53" t="s">
        <v>133</v>
      </c>
      <c r="C65" s="54">
        <v>10860</v>
      </c>
      <c r="D65" s="55" t="e">
        <f t="shared" si="3"/>
        <v>#NAME?</v>
      </c>
      <c r="E65" s="55" t="e">
        <f t="shared" si="4"/>
        <v>#NAME?</v>
      </c>
      <c r="F65" s="55" t="e">
        <f t="shared" si="5"/>
        <v>#NAME?</v>
      </c>
    </row>
    <row r="66" spans="1:6" x14ac:dyDescent="0.25">
      <c r="A66" s="47" t="s">
        <v>134</v>
      </c>
      <c r="B66" s="53" t="s">
        <v>135</v>
      </c>
      <c r="C66" s="54">
        <v>4296</v>
      </c>
      <c r="D66" s="55" t="e">
        <f t="shared" si="3"/>
        <v>#NAME?</v>
      </c>
      <c r="E66" s="55" t="e">
        <f t="shared" si="4"/>
        <v>#NAME?</v>
      </c>
      <c r="F66" s="55" t="e">
        <f t="shared" si="5"/>
        <v>#NAME?</v>
      </c>
    </row>
    <row r="67" spans="1:6" x14ac:dyDescent="0.25">
      <c r="A67" s="47" t="s">
        <v>136</v>
      </c>
      <c r="B67" s="53" t="s">
        <v>137</v>
      </c>
      <c r="C67" s="54">
        <v>2847</v>
      </c>
      <c r="D67" s="55" t="e">
        <f t="shared" ref="D67:D98" si="6">VLOOKUP(B67,_med2008,2,FALSE)</f>
        <v>#NAME?</v>
      </c>
      <c r="E67" s="55" t="e">
        <f t="shared" ref="E67:E98" si="7">VLOOKUP(B67,_med2009,2,FALSE)</f>
        <v>#NAME?</v>
      </c>
      <c r="F67" s="55" t="e">
        <f t="shared" ref="F67:F98" si="8">VLOOKUP(B67,_med2010,2,FALSE)</f>
        <v>#NAME?</v>
      </c>
    </row>
    <row r="68" spans="1:6" x14ac:dyDescent="0.25">
      <c r="A68" s="47" t="s">
        <v>138</v>
      </c>
      <c r="B68" s="53" t="s">
        <v>139</v>
      </c>
      <c r="C68" s="54">
        <v>13893</v>
      </c>
      <c r="D68" s="55" t="e">
        <f t="shared" si="6"/>
        <v>#NAME?</v>
      </c>
      <c r="E68" s="55" t="e">
        <f t="shared" si="7"/>
        <v>#NAME?</v>
      </c>
      <c r="F68" s="55" t="e">
        <f t="shared" si="8"/>
        <v>#NAME?</v>
      </c>
    </row>
    <row r="69" spans="1:6" x14ac:dyDescent="0.25">
      <c r="A69" s="47" t="s">
        <v>140</v>
      </c>
      <c r="B69" s="53" t="s">
        <v>141</v>
      </c>
      <c r="C69" s="54">
        <v>1528</v>
      </c>
      <c r="D69" s="55" t="e">
        <f t="shared" si="6"/>
        <v>#NAME?</v>
      </c>
      <c r="E69" s="55" t="e">
        <f t="shared" si="7"/>
        <v>#NAME?</v>
      </c>
      <c r="F69" s="55" t="e">
        <f t="shared" si="8"/>
        <v>#NAME?</v>
      </c>
    </row>
    <row r="70" spans="1:6" x14ac:dyDescent="0.25">
      <c r="A70" s="47" t="s">
        <v>142</v>
      </c>
      <c r="B70" s="53" t="s">
        <v>143</v>
      </c>
      <c r="C70" s="54">
        <v>5337</v>
      </c>
      <c r="D70" s="55" t="e">
        <f t="shared" si="6"/>
        <v>#NAME?</v>
      </c>
      <c r="E70" s="55" t="e">
        <f t="shared" si="7"/>
        <v>#NAME?</v>
      </c>
      <c r="F70" s="55" t="e">
        <f t="shared" si="8"/>
        <v>#NAME?</v>
      </c>
    </row>
    <row r="71" spans="1:6" x14ac:dyDescent="0.25">
      <c r="A71" s="47" t="s">
        <v>144</v>
      </c>
      <c r="B71" s="53" t="s">
        <v>145</v>
      </c>
      <c r="C71" s="54">
        <v>2146</v>
      </c>
      <c r="D71" s="55" t="e">
        <f t="shared" si="6"/>
        <v>#NAME?</v>
      </c>
      <c r="E71" s="55" t="e">
        <f t="shared" si="7"/>
        <v>#NAME?</v>
      </c>
      <c r="F71" s="55" t="e">
        <f t="shared" si="8"/>
        <v>#NAME?</v>
      </c>
    </row>
    <row r="72" spans="1:6" x14ac:dyDescent="0.25">
      <c r="A72" s="47" t="s">
        <v>146</v>
      </c>
      <c r="B72" s="53" t="s">
        <v>147</v>
      </c>
      <c r="C72" s="54">
        <v>1054</v>
      </c>
      <c r="D72" s="55" t="e">
        <f t="shared" si="6"/>
        <v>#NAME?</v>
      </c>
      <c r="E72" s="55" t="e">
        <f t="shared" si="7"/>
        <v>#NAME?</v>
      </c>
      <c r="F72" s="55" t="e">
        <f t="shared" si="8"/>
        <v>#NAME?</v>
      </c>
    </row>
    <row r="73" spans="1:6" x14ac:dyDescent="0.25">
      <c r="A73" s="47" t="s">
        <v>148</v>
      </c>
      <c r="B73" s="53" t="s">
        <v>149</v>
      </c>
      <c r="C73" s="54">
        <v>6603</v>
      </c>
      <c r="D73" s="55" t="e">
        <f t="shared" si="6"/>
        <v>#NAME?</v>
      </c>
      <c r="E73" s="55" t="e">
        <f t="shared" si="7"/>
        <v>#NAME?</v>
      </c>
      <c r="F73" s="55" t="e">
        <f t="shared" si="8"/>
        <v>#NAME?</v>
      </c>
    </row>
    <row r="74" spans="1:6" x14ac:dyDescent="0.25">
      <c r="A74" s="47" t="s">
        <v>150</v>
      </c>
      <c r="B74" s="53" t="s">
        <v>151</v>
      </c>
      <c r="C74" s="54">
        <v>1464</v>
      </c>
      <c r="D74" s="55" t="e">
        <f t="shared" si="6"/>
        <v>#NAME?</v>
      </c>
      <c r="E74" s="55" t="e">
        <f t="shared" si="7"/>
        <v>#NAME?</v>
      </c>
      <c r="F74" s="55" t="e">
        <f t="shared" si="8"/>
        <v>#NAME?</v>
      </c>
    </row>
    <row r="75" spans="1:6" x14ac:dyDescent="0.25">
      <c r="A75" s="47" t="s">
        <v>152</v>
      </c>
      <c r="B75" s="53" t="s">
        <v>153</v>
      </c>
      <c r="C75" s="54">
        <v>9035</v>
      </c>
      <c r="D75" s="55" t="e">
        <f t="shared" si="6"/>
        <v>#NAME?</v>
      </c>
      <c r="E75" s="55" t="e">
        <f t="shared" si="7"/>
        <v>#NAME?</v>
      </c>
      <c r="F75" s="55" t="e">
        <f t="shared" si="8"/>
        <v>#NAME?</v>
      </c>
    </row>
    <row r="76" spans="1:6" x14ac:dyDescent="0.25">
      <c r="A76" s="47" t="s">
        <v>154</v>
      </c>
      <c r="B76" s="53" t="s">
        <v>155</v>
      </c>
      <c r="C76" s="54">
        <v>2369</v>
      </c>
      <c r="D76" s="55" t="e">
        <f t="shared" si="6"/>
        <v>#NAME?</v>
      </c>
      <c r="E76" s="55" t="e">
        <f t="shared" si="7"/>
        <v>#NAME?</v>
      </c>
      <c r="F76" s="55" t="e">
        <f t="shared" si="8"/>
        <v>#NAME?</v>
      </c>
    </row>
    <row r="77" spans="1:6" x14ac:dyDescent="0.25">
      <c r="A77" s="47" t="s">
        <v>156</v>
      </c>
      <c r="B77" s="53" t="s">
        <v>157</v>
      </c>
      <c r="C77" s="54">
        <v>1076</v>
      </c>
      <c r="D77" s="55" t="e">
        <f t="shared" si="6"/>
        <v>#NAME?</v>
      </c>
      <c r="E77" s="55" t="e">
        <f t="shared" si="7"/>
        <v>#NAME?</v>
      </c>
      <c r="F77" s="55" t="e">
        <f t="shared" si="8"/>
        <v>#NAME?</v>
      </c>
    </row>
    <row r="78" spans="1:6" x14ac:dyDescent="0.25">
      <c r="A78" s="47" t="s">
        <v>158</v>
      </c>
      <c r="B78" s="53" t="s">
        <v>159</v>
      </c>
      <c r="C78" s="54">
        <v>36304</v>
      </c>
      <c r="D78" s="55" t="e">
        <f t="shared" si="6"/>
        <v>#NAME?</v>
      </c>
      <c r="E78" s="55" t="e">
        <f t="shared" si="7"/>
        <v>#NAME?</v>
      </c>
      <c r="F78" s="55" t="e">
        <f t="shared" si="8"/>
        <v>#NAME?</v>
      </c>
    </row>
    <row r="79" spans="1:6" x14ac:dyDescent="0.25">
      <c r="A79" s="47" t="s">
        <v>160</v>
      </c>
      <c r="B79" s="53" t="s">
        <v>161</v>
      </c>
      <c r="C79" s="54">
        <v>50779</v>
      </c>
      <c r="D79" s="55" t="e">
        <f t="shared" si="6"/>
        <v>#NAME?</v>
      </c>
      <c r="E79" s="55" t="e">
        <f t="shared" si="7"/>
        <v>#NAME?</v>
      </c>
      <c r="F79" s="55" t="e">
        <f t="shared" si="8"/>
        <v>#NAME?</v>
      </c>
    </row>
    <row r="80" spans="1:6" x14ac:dyDescent="0.25">
      <c r="A80" s="47" t="s">
        <v>162</v>
      </c>
      <c r="B80" s="53" t="s">
        <v>163</v>
      </c>
      <c r="C80" s="54">
        <v>3609</v>
      </c>
      <c r="D80" s="55" t="e">
        <f t="shared" si="6"/>
        <v>#NAME?</v>
      </c>
      <c r="E80" s="55" t="e">
        <f t="shared" si="7"/>
        <v>#NAME?</v>
      </c>
      <c r="F80" s="55" t="e">
        <f t="shared" si="8"/>
        <v>#NAME?</v>
      </c>
    </row>
    <row r="81" spans="1:6" x14ac:dyDescent="0.25">
      <c r="A81" s="47" t="s">
        <v>164</v>
      </c>
      <c r="B81" s="53" t="s">
        <v>165</v>
      </c>
      <c r="C81" s="54">
        <v>1857</v>
      </c>
      <c r="D81" s="55" t="e">
        <f t="shared" si="6"/>
        <v>#NAME?</v>
      </c>
      <c r="E81" s="55" t="e">
        <f t="shared" si="7"/>
        <v>#NAME?</v>
      </c>
      <c r="F81" s="55" t="e">
        <f t="shared" si="8"/>
        <v>#NAME?</v>
      </c>
    </row>
    <row r="82" spans="1:6" x14ac:dyDescent="0.25">
      <c r="A82" s="47" t="s">
        <v>166</v>
      </c>
      <c r="B82" s="53" t="s">
        <v>167</v>
      </c>
      <c r="C82" s="54">
        <v>1354</v>
      </c>
      <c r="D82" s="55" t="e">
        <f t="shared" si="6"/>
        <v>#NAME?</v>
      </c>
      <c r="E82" s="55" t="e">
        <f t="shared" si="7"/>
        <v>#NAME?</v>
      </c>
      <c r="F82" s="55" t="e">
        <f t="shared" si="8"/>
        <v>#NAME?</v>
      </c>
    </row>
    <row r="83" spans="1:6" x14ac:dyDescent="0.25">
      <c r="A83" s="47" t="s">
        <v>168</v>
      </c>
      <c r="B83" s="53" t="s">
        <v>169</v>
      </c>
      <c r="C83" s="54">
        <v>3392</v>
      </c>
      <c r="D83" s="55" t="e">
        <f t="shared" si="6"/>
        <v>#NAME?</v>
      </c>
      <c r="E83" s="55" t="e">
        <f t="shared" si="7"/>
        <v>#NAME?</v>
      </c>
      <c r="F83" s="55" t="e">
        <f t="shared" si="8"/>
        <v>#NAME?</v>
      </c>
    </row>
    <row r="84" spans="1:6" x14ac:dyDescent="0.25">
      <c r="A84" s="47" t="s">
        <v>170</v>
      </c>
      <c r="B84" s="53" t="s">
        <v>171</v>
      </c>
      <c r="C84" s="54">
        <v>3601</v>
      </c>
      <c r="D84" s="55" t="e">
        <f t="shared" si="6"/>
        <v>#NAME?</v>
      </c>
      <c r="E84" s="55" t="e">
        <f t="shared" si="7"/>
        <v>#NAME?</v>
      </c>
      <c r="F84" s="55" t="e">
        <f t="shared" si="8"/>
        <v>#NAME?</v>
      </c>
    </row>
    <row r="85" spans="1:6" x14ac:dyDescent="0.25">
      <c r="A85" s="47" t="s">
        <v>172</v>
      </c>
      <c r="B85" s="53" t="s">
        <v>173</v>
      </c>
      <c r="C85" s="54">
        <v>4183</v>
      </c>
      <c r="D85" s="55" t="e">
        <f t="shared" si="6"/>
        <v>#NAME?</v>
      </c>
      <c r="E85" s="55" t="e">
        <f t="shared" si="7"/>
        <v>#NAME?</v>
      </c>
      <c r="F85" s="55" t="e">
        <f t="shared" si="8"/>
        <v>#NAME?</v>
      </c>
    </row>
    <row r="86" spans="1:6" x14ac:dyDescent="0.25">
      <c r="A86" s="47" t="s">
        <v>174</v>
      </c>
      <c r="B86" s="53" t="s">
        <v>175</v>
      </c>
      <c r="C86" s="54">
        <v>4149</v>
      </c>
      <c r="D86" s="55" t="e">
        <f t="shared" si="6"/>
        <v>#NAME?</v>
      </c>
      <c r="E86" s="55" t="e">
        <f t="shared" si="7"/>
        <v>#NAME?</v>
      </c>
      <c r="F86" s="55" t="e">
        <f t="shared" si="8"/>
        <v>#NAME?</v>
      </c>
    </row>
    <row r="87" spans="1:6" x14ac:dyDescent="0.25">
      <c r="A87" s="47" t="s">
        <v>176</v>
      </c>
      <c r="B87" s="53" t="s">
        <v>177</v>
      </c>
      <c r="C87" s="54">
        <v>10541</v>
      </c>
      <c r="D87" s="55" t="e">
        <f t="shared" si="6"/>
        <v>#NAME?</v>
      </c>
      <c r="E87" s="55" t="e">
        <f t="shared" si="7"/>
        <v>#NAME?</v>
      </c>
      <c r="F87" s="55" t="e">
        <f t="shared" si="8"/>
        <v>#NAME?</v>
      </c>
    </row>
    <row r="88" spans="1:6" x14ac:dyDescent="0.25">
      <c r="A88" s="47" t="s">
        <v>178</v>
      </c>
      <c r="B88" s="53" t="s">
        <v>179</v>
      </c>
      <c r="C88" s="54">
        <v>11152</v>
      </c>
      <c r="D88" s="55" t="e">
        <f t="shared" si="6"/>
        <v>#NAME?</v>
      </c>
      <c r="E88" s="55" t="e">
        <f t="shared" si="7"/>
        <v>#NAME?</v>
      </c>
      <c r="F88" s="55" t="e">
        <f t="shared" si="8"/>
        <v>#NAME?</v>
      </c>
    </row>
    <row r="89" spans="1:6" x14ac:dyDescent="0.25">
      <c r="A89" s="47" t="s">
        <v>180</v>
      </c>
      <c r="B89" s="53" t="s">
        <v>181</v>
      </c>
      <c r="C89" s="54">
        <v>23485</v>
      </c>
      <c r="D89" s="55" t="e">
        <f t="shared" si="6"/>
        <v>#NAME?</v>
      </c>
      <c r="E89" s="55" t="e">
        <f t="shared" si="7"/>
        <v>#NAME?</v>
      </c>
      <c r="F89" s="55" t="e">
        <f t="shared" si="8"/>
        <v>#NAME?</v>
      </c>
    </row>
    <row r="90" spans="1:6" x14ac:dyDescent="0.25">
      <c r="A90" s="47" t="s">
        <v>182</v>
      </c>
      <c r="B90" s="53" t="s">
        <v>183</v>
      </c>
      <c r="C90" s="54">
        <v>1544</v>
      </c>
      <c r="D90" s="55" t="e">
        <f t="shared" si="6"/>
        <v>#NAME?</v>
      </c>
      <c r="E90" s="55" t="e">
        <f t="shared" si="7"/>
        <v>#NAME?</v>
      </c>
      <c r="F90" s="55" t="e">
        <f t="shared" si="8"/>
        <v>#NAME?</v>
      </c>
    </row>
    <row r="91" spans="1:6" x14ac:dyDescent="0.25">
      <c r="A91" s="47" t="s">
        <v>184</v>
      </c>
      <c r="B91" s="53" t="s">
        <v>185</v>
      </c>
      <c r="C91" s="54">
        <v>4112</v>
      </c>
      <c r="D91" s="55" t="e">
        <f t="shared" si="6"/>
        <v>#NAME?</v>
      </c>
      <c r="E91" s="55" t="e">
        <f t="shared" si="7"/>
        <v>#NAME?</v>
      </c>
      <c r="F91" s="55" t="e">
        <f t="shared" si="8"/>
        <v>#NAME?</v>
      </c>
    </row>
    <row r="92" spans="1:6" x14ac:dyDescent="0.25">
      <c r="A92" s="47" t="s">
        <v>186</v>
      </c>
      <c r="B92" s="53" t="s">
        <v>187</v>
      </c>
      <c r="C92" s="54">
        <v>2880</v>
      </c>
      <c r="D92" s="55" t="e">
        <f t="shared" si="6"/>
        <v>#NAME?</v>
      </c>
      <c r="E92" s="55" t="e">
        <f t="shared" si="7"/>
        <v>#NAME?</v>
      </c>
      <c r="F92" s="55" t="e">
        <f t="shared" si="8"/>
        <v>#NAME?</v>
      </c>
    </row>
    <row r="93" spans="1:6" x14ac:dyDescent="0.25">
      <c r="A93" s="47" t="s">
        <v>188</v>
      </c>
      <c r="B93" s="53" t="s">
        <v>189</v>
      </c>
      <c r="C93" s="54">
        <v>36640</v>
      </c>
      <c r="D93" s="55" t="e">
        <f t="shared" si="6"/>
        <v>#NAME?</v>
      </c>
      <c r="E93" s="55" t="e">
        <f t="shared" si="7"/>
        <v>#NAME?</v>
      </c>
      <c r="F93" s="55" t="e">
        <f t="shared" si="8"/>
        <v>#NAME?</v>
      </c>
    </row>
    <row r="94" spans="1:6" x14ac:dyDescent="0.25">
      <c r="A94" s="47" t="s">
        <v>190</v>
      </c>
      <c r="B94" s="53" t="s">
        <v>191</v>
      </c>
      <c r="C94" s="54">
        <v>6339</v>
      </c>
      <c r="D94" s="55" t="e">
        <f t="shared" si="6"/>
        <v>#NAME?</v>
      </c>
      <c r="E94" s="55" t="e">
        <f t="shared" si="7"/>
        <v>#NAME?</v>
      </c>
      <c r="F94" s="55" t="e">
        <f t="shared" si="8"/>
        <v>#NAME?</v>
      </c>
    </row>
    <row r="95" spans="1:6" x14ac:dyDescent="0.25">
      <c r="A95" s="47" t="s">
        <v>192</v>
      </c>
      <c r="B95" s="53" t="s">
        <v>193</v>
      </c>
      <c r="C95" s="54">
        <v>1886</v>
      </c>
      <c r="D95" s="55" t="e">
        <f t="shared" si="6"/>
        <v>#NAME?</v>
      </c>
      <c r="E95" s="55" t="e">
        <f t="shared" si="7"/>
        <v>#NAME?</v>
      </c>
      <c r="F95" s="55" t="e">
        <f t="shared" si="8"/>
        <v>#NAME?</v>
      </c>
    </row>
    <row r="96" spans="1:6" x14ac:dyDescent="0.25">
      <c r="A96" s="47" t="s">
        <v>194</v>
      </c>
      <c r="B96" s="53" t="s">
        <v>195</v>
      </c>
      <c r="C96" s="54">
        <v>600</v>
      </c>
      <c r="D96" s="55" t="e">
        <f t="shared" si="6"/>
        <v>#NAME?</v>
      </c>
      <c r="E96" s="55" t="e">
        <f t="shared" si="7"/>
        <v>#NAME?</v>
      </c>
      <c r="F96" s="55" t="e">
        <f t="shared" si="8"/>
        <v>#NAME?</v>
      </c>
    </row>
    <row r="97" spans="1:6" x14ac:dyDescent="0.25">
      <c r="A97" s="47" t="s">
        <v>196</v>
      </c>
      <c r="B97" s="53" t="s">
        <v>197</v>
      </c>
      <c r="C97" s="54">
        <v>52734</v>
      </c>
      <c r="D97" s="55" t="e">
        <f t="shared" si="6"/>
        <v>#NAME?</v>
      </c>
      <c r="E97" s="55" t="e">
        <f t="shared" si="7"/>
        <v>#NAME?</v>
      </c>
      <c r="F97" s="55" t="e">
        <f t="shared" si="8"/>
        <v>#NAME?</v>
      </c>
    </row>
    <row r="98" spans="1:6" x14ac:dyDescent="0.25">
      <c r="A98" s="47" t="s">
        <v>198</v>
      </c>
      <c r="B98" s="53" t="s">
        <v>260</v>
      </c>
      <c r="C98" s="54">
        <v>1523</v>
      </c>
      <c r="D98" s="55" t="e">
        <f t="shared" si="6"/>
        <v>#NAME?</v>
      </c>
      <c r="E98" s="55" t="e">
        <f t="shared" si="7"/>
        <v>#NAME?</v>
      </c>
      <c r="F98" s="55" t="e">
        <f t="shared" si="8"/>
        <v>#NAME?</v>
      </c>
    </row>
    <row r="99" spans="1:6" x14ac:dyDescent="0.25">
      <c r="A99" s="47" t="s">
        <v>200</v>
      </c>
      <c r="B99" s="53" t="s">
        <v>201</v>
      </c>
      <c r="C99" s="54">
        <v>23966</v>
      </c>
      <c r="D99" s="55" t="e">
        <f t="shared" ref="D99:D122" si="9">VLOOKUP(B99,_med2008,2,FALSE)</f>
        <v>#NAME?</v>
      </c>
      <c r="E99" s="55" t="e">
        <f t="shared" ref="E99:E122" si="10">VLOOKUP(B99,_med2009,2,FALSE)</f>
        <v>#NAME?</v>
      </c>
      <c r="F99" s="55" t="e">
        <f t="shared" ref="F99:F122" si="11">VLOOKUP(B99,_med2010,2,FALSE)</f>
        <v>#NAME?</v>
      </c>
    </row>
    <row r="100" spans="1:6" x14ac:dyDescent="0.25">
      <c r="A100" s="47" t="s">
        <v>202</v>
      </c>
      <c r="B100" s="53" t="s">
        <v>289</v>
      </c>
      <c r="C100" s="54">
        <v>10237</v>
      </c>
      <c r="D100" s="55" t="e">
        <f t="shared" si="9"/>
        <v>#NAME?</v>
      </c>
      <c r="E100" s="55" t="e">
        <f t="shared" si="10"/>
        <v>#NAME?</v>
      </c>
      <c r="F100" s="55" t="e">
        <f t="shared" si="11"/>
        <v>#NAME?</v>
      </c>
    </row>
    <row r="101" spans="1:6" x14ac:dyDescent="0.25">
      <c r="A101" s="47" t="s">
        <v>204</v>
      </c>
      <c r="B101" s="53" t="s">
        <v>281</v>
      </c>
      <c r="C101" s="54">
        <v>4580</v>
      </c>
      <c r="D101" s="55" t="e">
        <f t="shared" si="9"/>
        <v>#NAME?</v>
      </c>
      <c r="E101" s="55" t="e">
        <f t="shared" si="10"/>
        <v>#NAME?</v>
      </c>
      <c r="F101" s="55" t="e">
        <f t="shared" si="11"/>
        <v>#NAME?</v>
      </c>
    </row>
    <row r="102" spans="1:6" x14ac:dyDescent="0.25">
      <c r="A102" s="47" t="s">
        <v>206</v>
      </c>
      <c r="B102" s="53" t="s">
        <v>282</v>
      </c>
      <c r="C102" s="54">
        <v>14124</v>
      </c>
      <c r="D102" s="55" t="e">
        <f t="shared" si="9"/>
        <v>#NAME?</v>
      </c>
      <c r="E102" s="55" t="e">
        <f t="shared" si="10"/>
        <v>#NAME?</v>
      </c>
      <c r="F102" s="55" t="e">
        <f t="shared" si="11"/>
        <v>#NAME?</v>
      </c>
    </row>
    <row r="103" spans="1:6" x14ac:dyDescent="0.25">
      <c r="A103" s="47" t="s">
        <v>208</v>
      </c>
      <c r="B103" s="53" t="s">
        <v>209</v>
      </c>
      <c r="C103" s="54">
        <v>7462</v>
      </c>
      <c r="D103" s="55" t="e">
        <f t="shared" si="9"/>
        <v>#NAME?</v>
      </c>
      <c r="E103" s="55" t="e">
        <f t="shared" si="10"/>
        <v>#NAME?</v>
      </c>
      <c r="F103" s="55" t="e">
        <f t="shared" si="11"/>
        <v>#NAME?</v>
      </c>
    </row>
    <row r="104" spans="1:6" x14ac:dyDescent="0.25">
      <c r="A104" s="47" t="s">
        <v>210</v>
      </c>
      <c r="B104" s="53" t="s">
        <v>211</v>
      </c>
      <c r="C104" s="54">
        <v>5195</v>
      </c>
      <c r="D104" s="55" t="e">
        <f t="shared" si="9"/>
        <v>#NAME?</v>
      </c>
      <c r="E104" s="55" t="e">
        <f t="shared" si="10"/>
        <v>#NAME?</v>
      </c>
      <c r="F104" s="55" t="e">
        <f t="shared" si="11"/>
        <v>#NAME?</v>
      </c>
    </row>
    <row r="105" spans="1:6" x14ac:dyDescent="0.25">
      <c r="A105" s="47" t="s">
        <v>212</v>
      </c>
      <c r="B105" s="53" t="s">
        <v>213</v>
      </c>
      <c r="C105" s="54">
        <v>5195</v>
      </c>
      <c r="D105" s="55" t="e">
        <f t="shared" si="9"/>
        <v>#NAME?</v>
      </c>
      <c r="E105" s="55" t="e">
        <f t="shared" si="10"/>
        <v>#NAME?</v>
      </c>
      <c r="F105" s="55" t="e">
        <f t="shared" si="11"/>
        <v>#NAME?</v>
      </c>
    </row>
    <row r="106" spans="1:6" x14ac:dyDescent="0.25">
      <c r="A106" s="47" t="s">
        <v>214</v>
      </c>
      <c r="B106" s="53" t="s">
        <v>215</v>
      </c>
      <c r="C106" s="54">
        <v>7096</v>
      </c>
      <c r="D106" s="55" t="e">
        <f t="shared" si="9"/>
        <v>#NAME?</v>
      </c>
      <c r="E106" s="55" t="e">
        <f t="shared" si="10"/>
        <v>#NAME?</v>
      </c>
      <c r="F106" s="55" t="e">
        <f t="shared" si="11"/>
        <v>#NAME?</v>
      </c>
    </row>
    <row r="107" spans="1:6" x14ac:dyDescent="0.25">
      <c r="A107" s="47" t="s">
        <v>216</v>
      </c>
      <c r="B107" s="53" t="s">
        <v>217</v>
      </c>
      <c r="C107" s="54">
        <v>3525</v>
      </c>
      <c r="D107" s="55" t="e">
        <f t="shared" si="9"/>
        <v>#NAME?</v>
      </c>
      <c r="E107" s="55" t="e">
        <f t="shared" si="10"/>
        <v>#NAME?</v>
      </c>
      <c r="F107" s="55" t="e">
        <f t="shared" si="11"/>
        <v>#NAME?</v>
      </c>
    </row>
    <row r="108" spans="1:6" x14ac:dyDescent="0.25">
      <c r="A108" s="47" t="s">
        <v>218</v>
      </c>
      <c r="B108" s="53" t="s">
        <v>219</v>
      </c>
      <c r="C108" s="54">
        <v>10432</v>
      </c>
      <c r="D108" s="55" t="e">
        <f t="shared" si="9"/>
        <v>#NAME?</v>
      </c>
      <c r="E108" s="55" t="e">
        <f t="shared" si="10"/>
        <v>#NAME?</v>
      </c>
      <c r="F108" s="55" t="e">
        <f t="shared" si="11"/>
        <v>#NAME?</v>
      </c>
    </row>
    <row r="109" spans="1:6" x14ac:dyDescent="0.25">
      <c r="A109" s="47" t="s">
        <v>220</v>
      </c>
      <c r="B109" s="53" t="s">
        <v>221</v>
      </c>
      <c r="C109" s="54">
        <v>9491</v>
      </c>
      <c r="D109" s="55" t="e">
        <f t="shared" si="9"/>
        <v>#NAME?</v>
      </c>
      <c r="E109" s="55" t="e">
        <f t="shared" si="10"/>
        <v>#NAME?</v>
      </c>
      <c r="F109" s="55" t="e">
        <f t="shared" si="11"/>
        <v>#NAME?</v>
      </c>
    </row>
    <row r="110" spans="1:6" x14ac:dyDescent="0.25">
      <c r="A110" s="47" t="s">
        <v>222</v>
      </c>
      <c r="B110" s="53" t="s">
        <v>223</v>
      </c>
      <c r="C110" s="54">
        <v>12754</v>
      </c>
      <c r="D110" s="55" t="e">
        <f t="shared" si="9"/>
        <v>#NAME?</v>
      </c>
      <c r="E110" s="55" t="e">
        <f t="shared" si="10"/>
        <v>#NAME?</v>
      </c>
      <c r="F110" s="55" t="e">
        <f t="shared" si="11"/>
        <v>#NAME?</v>
      </c>
    </row>
    <row r="111" spans="1:6" x14ac:dyDescent="0.25">
      <c r="A111" s="47" t="s">
        <v>224</v>
      </c>
      <c r="B111" s="53" t="s">
        <v>225</v>
      </c>
      <c r="C111" s="54">
        <v>1157</v>
      </c>
      <c r="D111" s="55" t="e">
        <f t="shared" si="9"/>
        <v>#NAME?</v>
      </c>
      <c r="E111" s="55" t="e">
        <f t="shared" si="10"/>
        <v>#NAME?</v>
      </c>
      <c r="F111" s="55" t="e">
        <f t="shared" si="11"/>
        <v>#NAME?</v>
      </c>
    </row>
    <row r="112" spans="1:6" x14ac:dyDescent="0.25">
      <c r="A112" s="47" t="s">
        <v>226</v>
      </c>
      <c r="B112" s="53" t="s">
        <v>227</v>
      </c>
      <c r="C112" s="54">
        <v>2285</v>
      </c>
      <c r="D112" s="55" t="e">
        <f t="shared" si="9"/>
        <v>#NAME?</v>
      </c>
      <c r="E112" s="55" t="e">
        <f t="shared" si="10"/>
        <v>#NAME?</v>
      </c>
      <c r="F112" s="55" t="e">
        <f t="shared" si="11"/>
        <v>#NAME?</v>
      </c>
    </row>
    <row r="113" spans="1:6" x14ac:dyDescent="0.25">
      <c r="A113" s="47" t="s">
        <v>228</v>
      </c>
      <c r="B113" s="53" t="s">
        <v>229</v>
      </c>
      <c r="C113" s="54">
        <v>10374</v>
      </c>
      <c r="D113" s="55" t="e">
        <f t="shared" si="9"/>
        <v>#NAME?</v>
      </c>
      <c r="E113" s="55" t="e">
        <f t="shared" si="10"/>
        <v>#NAME?</v>
      </c>
      <c r="F113" s="55" t="e">
        <f t="shared" si="11"/>
        <v>#NAME?</v>
      </c>
    </row>
    <row r="114" spans="1:6" x14ac:dyDescent="0.25">
      <c r="A114" s="47" t="s">
        <v>230</v>
      </c>
      <c r="B114" s="53" t="s">
        <v>231</v>
      </c>
      <c r="C114" s="54">
        <v>37990</v>
      </c>
      <c r="D114" s="55" t="e">
        <f t="shared" si="9"/>
        <v>#NAME?</v>
      </c>
      <c r="E114" s="55" t="e">
        <f t="shared" si="10"/>
        <v>#NAME?</v>
      </c>
      <c r="F114" s="55" t="e">
        <f t="shared" si="11"/>
        <v>#NAME?</v>
      </c>
    </row>
    <row r="115" spans="1:6" x14ac:dyDescent="0.25">
      <c r="A115" s="47" t="s">
        <v>232</v>
      </c>
      <c r="B115" s="53" t="s">
        <v>233</v>
      </c>
      <c r="C115" s="54">
        <v>4412</v>
      </c>
      <c r="D115" s="55" t="e">
        <f t="shared" si="9"/>
        <v>#NAME?</v>
      </c>
      <c r="E115" s="55" t="e">
        <f t="shared" si="10"/>
        <v>#NAME?</v>
      </c>
      <c r="F115" s="55" t="e">
        <f t="shared" si="11"/>
        <v>#NAME?</v>
      </c>
    </row>
    <row r="116" spans="1:6" x14ac:dyDescent="0.25">
      <c r="A116" s="47" t="s">
        <v>234</v>
      </c>
      <c r="B116" s="53" t="s">
        <v>235</v>
      </c>
      <c r="C116" s="54">
        <v>8608</v>
      </c>
      <c r="D116" s="55" t="e">
        <f t="shared" si="9"/>
        <v>#NAME?</v>
      </c>
      <c r="E116" s="55" t="e">
        <f t="shared" si="10"/>
        <v>#NAME?</v>
      </c>
      <c r="F116" s="55" t="e">
        <f t="shared" si="11"/>
        <v>#NAME?</v>
      </c>
    </row>
    <row r="117" spans="1:6" x14ac:dyDescent="0.25">
      <c r="A117" s="47" t="s">
        <v>236</v>
      </c>
      <c r="B117" s="53" t="s">
        <v>237</v>
      </c>
      <c r="C117" s="54">
        <v>3160</v>
      </c>
      <c r="D117" s="55" t="e">
        <f t="shared" si="9"/>
        <v>#NAME?</v>
      </c>
      <c r="E117" s="55" t="e">
        <f t="shared" si="10"/>
        <v>#NAME?</v>
      </c>
      <c r="F117" s="55" t="e">
        <f t="shared" si="11"/>
        <v>#NAME?</v>
      </c>
    </row>
    <row r="118" spans="1:6" x14ac:dyDescent="0.25">
      <c r="A118" s="47" t="s">
        <v>238</v>
      </c>
      <c r="B118" s="53" t="s">
        <v>239</v>
      </c>
      <c r="C118" s="54">
        <v>969</v>
      </c>
      <c r="D118" s="55" t="e">
        <f t="shared" si="9"/>
        <v>#NAME?</v>
      </c>
      <c r="E118" s="55" t="e">
        <f t="shared" si="10"/>
        <v>#NAME?</v>
      </c>
      <c r="F118" s="55" t="e">
        <f t="shared" si="11"/>
        <v>#NAME?</v>
      </c>
    </row>
    <row r="119" spans="1:6" x14ac:dyDescent="0.25">
      <c r="A119" s="47" t="s">
        <v>240</v>
      </c>
      <c r="B119" s="53" t="s">
        <v>241</v>
      </c>
      <c r="C119" s="54">
        <v>4206</v>
      </c>
      <c r="D119" s="55" t="e">
        <f t="shared" si="9"/>
        <v>#NAME?</v>
      </c>
      <c r="E119" s="55" t="e">
        <f t="shared" si="10"/>
        <v>#NAME?</v>
      </c>
      <c r="F119" s="55" t="e">
        <f t="shared" si="11"/>
        <v>#NAME?</v>
      </c>
    </row>
    <row r="120" spans="1:6" x14ac:dyDescent="0.25">
      <c r="A120" s="47" t="s">
        <v>242</v>
      </c>
      <c r="B120" s="53" t="s">
        <v>243</v>
      </c>
      <c r="C120" s="54">
        <v>11327</v>
      </c>
      <c r="D120" s="55" t="e">
        <f t="shared" si="9"/>
        <v>#NAME?</v>
      </c>
      <c r="E120" s="55" t="e">
        <f t="shared" si="10"/>
        <v>#NAME?</v>
      </c>
      <c r="F120" s="55" t="e">
        <f t="shared" si="11"/>
        <v>#NAME?</v>
      </c>
    </row>
    <row r="121" spans="1:6" x14ac:dyDescent="0.25">
      <c r="A121" s="47" t="s">
        <v>244</v>
      </c>
      <c r="B121" s="53" t="s">
        <v>245</v>
      </c>
      <c r="C121" s="54">
        <v>5359</v>
      </c>
      <c r="D121" s="55" t="e">
        <f t="shared" si="9"/>
        <v>#NAME?</v>
      </c>
      <c r="E121" s="55" t="e">
        <f t="shared" si="10"/>
        <v>#NAME?</v>
      </c>
      <c r="F121" s="55" t="e">
        <f t="shared" si="11"/>
        <v>#NAME?</v>
      </c>
    </row>
    <row r="122" spans="1:6" x14ac:dyDescent="0.25">
      <c r="A122" s="47" t="s">
        <v>246</v>
      </c>
      <c r="B122" s="53" t="s">
        <v>247</v>
      </c>
      <c r="C122" s="54">
        <v>3577</v>
      </c>
      <c r="D122" s="55" t="e">
        <f t="shared" si="9"/>
        <v>#NAME?</v>
      </c>
      <c r="E122" s="55" t="e">
        <f t="shared" si="10"/>
        <v>#NAME?</v>
      </c>
      <c r="F122" s="55" t="e">
        <f t="shared" si="11"/>
        <v>#NAME?</v>
      </c>
    </row>
    <row r="123" spans="1:6" x14ac:dyDescent="0.3">
      <c r="B123" s="56"/>
      <c r="C123" s="54">
        <f>SUM(C3:C122)</f>
        <v>983399</v>
      </c>
      <c r="D123" s="54" t="e">
        <f>SUM(D3:D122)</f>
        <v>#NAME?</v>
      </c>
      <c r="E123" s="54" t="e">
        <f>SUM(E3:E122)</f>
        <v>#NAME?</v>
      </c>
      <c r="F123" s="54" t="e">
        <f>SUM(F3:F122)</f>
        <v>#NAME?</v>
      </c>
    </row>
    <row r="124" spans="1:6" x14ac:dyDescent="0.3">
      <c r="B124" s="56"/>
      <c r="C124" s="3"/>
      <c r="D124" s="57"/>
    </row>
    <row r="125" spans="1:6" x14ac:dyDescent="0.3">
      <c r="B125" s="58"/>
      <c r="C125" s="59">
        <v>983399</v>
      </c>
      <c r="D125" s="50" t="e">
        <f>VLOOKUP(B125,_med2008,2,FALSE)</f>
        <v>#NAME?</v>
      </c>
    </row>
    <row r="126" spans="1:6" s="62" customFormat="1" x14ac:dyDescent="0.3">
      <c r="B126" s="60">
        <v>40714</v>
      </c>
      <c r="C126" s="4" t="s">
        <v>412</v>
      </c>
      <c r="D126" s="61">
        <v>0.47415509</v>
      </c>
    </row>
  </sheetData>
  <pageMargins left="0.75" right="0.75" top="1" bottom="1" header="0.5" footer="0.5"/>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G139"/>
  <sheetViews>
    <sheetView workbookViewId="0">
      <pane xSplit="3" ySplit="5" topLeftCell="D116" activePane="bottomRight" state="frozen"/>
      <selection pane="topRight" activeCell="D1" sqref="D1"/>
      <selection pane="bottomLeft" activeCell="A5" sqref="A5"/>
      <selection pane="bottomRight" activeCell="A134" sqref="A134:E134"/>
    </sheetView>
  </sheetViews>
  <sheetFormatPr defaultColWidth="9" defaultRowHeight="15.6" x14ac:dyDescent="0.3"/>
  <cols>
    <col min="1" max="1" width="9" style="263"/>
    <col min="2" max="2" width="22.296875" style="263" customWidth="1"/>
    <col min="3" max="3" width="14.09765625" style="263" customWidth="1"/>
    <col min="4" max="4" width="12.5" style="263" customWidth="1"/>
    <col min="5" max="5" width="9" style="263"/>
    <col min="6" max="7" width="11" style="263" customWidth="1"/>
    <col min="8" max="8" width="9.69921875" style="263" customWidth="1"/>
    <col min="9" max="12" width="9" style="263"/>
    <col min="13" max="13" width="11.796875" style="263" customWidth="1"/>
    <col min="14" max="23" width="9" style="263"/>
    <col min="24" max="28" width="10.19921875" style="263" customWidth="1"/>
    <col min="29" max="31" width="9.796875" style="263" customWidth="1"/>
    <col min="32" max="16384" width="9" style="263"/>
  </cols>
  <sheetData>
    <row r="1" spans="1:33" x14ac:dyDescent="0.3">
      <c r="A1" s="180" t="s">
        <v>1120</v>
      </c>
    </row>
    <row r="2" spans="1:33" x14ac:dyDescent="0.3">
      <c r="A2" s="180"/>
    </row>
    <row r="3" spans="1:33" ht="32.25" customHeight="1" x14ac:dyDescent="0.3">
      <c r="E3" s="2318"/>
      <c r="F3" s="2694" t="s">
        <v>957</v>
      </c>
      <c r="G3" s="2696"/>
      <c r="H3" s="2695" t="s">
        <v>1118</v>
      </c>
      <c r="I3" s="2695"/>
      <c r="J3" s="2695"/>
      <c r="K3" s="2695"/>
      <c r="L3" s="2696"/>
      <c r="M3" s="2694" t="s">
        <v>479</v>
      </c>
      <c r="N3" s="2695"/>
      <c r="O3" s="2696"/>
      <c r="P3" s="2694" t="s">
        <v>417</v>
      </c>
      <c r="Q3" s="2695"/>
      <c r="R3" s="2695"/>
      <c r="S3" s="2694" t="s">
        <v>418</v>
      </c>
      <c r="T3" s="2695"/>
      <c r="U3" s="2696"/>
      <c r="V3" s="2697" t="s">
        <v>961</v>
      </c>
      <c r="W3" s="2698"/>
      <c r="X3" s="2694" t="s">
        <v>962</v>
      </c>
      <c r="Y3" s="2695"/>
      <c r="Z3" s="2695"/>
      <c r="AA3" s="2695"/>
      <c r="AB3" s="2696"/>
      <c r="AC3" s="2699" t="s">
        <v>963</v>
      </c>
      <c r="AD3" s="2700"/>
      <c r="AE3" s="2701"/>
      <c r="AF3" s="2314" t="s">
        <v>420</v>
      </c>
      <c r="AG3" s="64" t="s">
        <v>585</v>
      </c>
    </row>
    <row r="4" spans="1:33" ht="46.8" x14ac:dyDescent="0.3">
      <c r="A4" s="64" t="s">
        <v>4</v>
      </c>
      <c r="B4" s="64" t="s">
        <v>5</v>
      </c>
      <c r="C4" s="64" t="s">
        <v>251</v>
      </c>
      <c r="D4" s="64" t="s">
        <v>581</v>
      </c>
      <c r="E4" s="2319" t="s">
        <v>269</v>
      </c>
      <c r="F4" s="2319" t="s">
        <v>417</v>
      </c>
      <c r="G4" s="1718" t="s">
        <v>418</v>
      </c>
      <c r="H4" s="1721" t="s">
        <v>959</v>
      </c>
      <c r="I4" s="1721" t="s">
        <v>960</v>
      </c>
      <c r="J4" s="1721" t="s">
        <v>1119</v>
      </c>
      <c r="K4" s="1721" t="s">
        <v>450</v>
      </c>
      <c r="L4" s="1722" t="s">
        <v>958</v>
      </c>
      <c r="M4" s="2320" t="s">
        <v>951</v>
      </c>
      <c r="N4" s="1721" t="s">
        <v>579</v>
      </c>
      <c r="O4" s="1722" t="s">
        <v>956</v>
      </c>
      <c r="P4" s="2320" t="s">
        <v>951</v>
      </c>
      <c r="Q4" s="1721" t="s">
        <v>579</v>
      </c>
      <c r="R4" s="1721" t="s">
        <v>956</v>
      </c>
      <c r="S4" s="2320" t="s">
        <v>951</v>
      </c>
      <c r="T4" s="1721" t="s">
        <v>579</v>
      </c>
      <c r="U4" s="1722" t="s">
        <v>956</v>
      </c>
      <c r="V4" s="1721" t="s">
        <v>417</v>
      </c>
      <c r="W4" s="1721" t="s">
        <v>418</v>
      </c>
      <c r="X4" s="2321" t="s">
        <v>966</v>
      </c>
      <c r="Y4" s="2314" t="s">
        <v>965</v>
      </c>
      <c r="Z4" s="1721" t="s">
        <v>964</v>
      </c>
      <c r="AA4" s="1721" t="s">
        <v>316</v>
      </c>
      <c r="AB4" s="2316" t="s">
        <v>958</v>
      </c>
      <c r="AC4" s="2321" t="s">
        <v>951</v>
      </c>
      <c r="AD4" s="2315" t="s">
        <v>579</v>
      </c>
      <c r="AE4" s="2316" t="s">
        <v>956</v>
      </c>
      <c r="AF4" s="2319" t="s">
        <v>269</v>
      </c>
      <c r="AG4" s="64" t="s">
        <v>420</v>
      </c>
    </row>
    <row r="5" spans="1:33" x14ac:dyDescent="0.3">
      <c r="A5" s="516">
        <v>999</v>
      </c>
      <c r="B5" s="517" t="s">
        <v>9</v>
      </c>
      <c r="C5" s="517"/>
      <c r="D5" s="517"/>
      <c r="E5" s="2322">
        <f t="shared" ref="E5" si="0">SUM(E6:E125)</f>
        <v>8517685</v>
      </c>
      <c r="F5" s="2322">
        <f>SUM(F6:F125)</f>
        <v>4190648</v>
      </c>
      <c r="G5" s="2322">
        <f>SUM(G6:G125)</f>
        <v>4327037</v>
      </c>
      <c r="H5" s="519">
        <f t="shared" ref="H5:M5" si="1">SUM(H6:H125)</f>
        <v>5918670</v>
      </c>
      <c r="I5" s="519">
        <f t="shared" si="1"/>
        <v>1691267</v>
      </c>
      <c r="J5" s="519">
        <f t="shared" si="1"/>
        <v>589046</v>
      </c>
      <c r="K5" s="519">
        <f t="shared" si="1"/>
        <v>56407</v>
      </c>
      <c r="L5" s="1719">
        <f t="shared" si="1"/>
        <v>262295</v>
      </c>
      <c r="M5" s="2322">
        <f t="shared" si="1"/>
        <v>1869792</v>
      </c>
      <c r="N5" s="519">
        <f>SUM(N6:N125)</f>
        <v>5332492</v>
      </c>
      <c r="O5" s="1719">
        <f t="shared" ref="O5:U5" si="2">SUM(O6:O125)</f>
        <v>1315401</v>
      </c>
      <c r="P5" s="2322">
        <f t="shared" si="2"/>
        <v>955454</v>
      </c>
      <c r="Q5" s="519">
        <f t="shared" si="2"/>
        <v>2652212</v>
      </c>
      <c r="R5" s="519">
        <f t="shared" si="2"/>
        <v>582982</v>
      </c>
      <c r="S5" s="2322">
        <f t="shared" si="2"/>
        <v>914338</v>
      </c>
      <c r="T5" s="519">
        <f t="shared" si="2"/>
        <v>2680280</v>
      </c>
      <c r="U5" s="1719">
        <f t="shared" si="2"/>
        <v>732419</v>
      </c>
      <c r="V5" s="1725">
        <f t="shared" ref="V5" si="3">F5/E5</f>
        <v>0.49199377530397048</v>
      </c>
      <c r="W5" s="1725">
        <f t="shared" ref="W5" si="4">G5/E5</f>
        <v>0.50800622469602952</v>
      </c>
      <c r="X5" s="2323">
        <f t="shared" ref="X5" si="5">H5/E5</f>
        <v>0.69486838266500817</v>
      </c>
      <c r="Y5" s="1725">
        <f t="shared" ref="Y5" si="6">I5/E5</f>
        <v>0.19855946774270239</v>
      </c>
      <c r="Z5" s="1725">
        <f t="shared" ref="Z5" si="7">J5/E5</f>
        <v>6.9155644990393519E-2</v>
      </c>
      <c r="AA5" s="1725">
        <f t="shared" ref="AA5" si="8">K5/E5</f>
        <v>6.6223392858505564E-3</v>
      </c>
      <c r="AB5" s="2324">
        <f t="shared" ref="AB5" si="9">L5/E5</f>
        <v>3.0794165316045379E-2</v>
      </c>
      <c r="AC5" s="2325">
        <f t="shared" ref="AC5" si="10">M5/E5</f>
        <v>0.21951880117661077</v>
      </c>
      <c r="AD5" s="522">
        <f t="shared" ref="AD5" si="11">N5/E5</f>
        <v>0.62604944888194392</v>
      </c>
      <c r="AE5" s="2326">
        <f t="shared" ref="AE5" si="12">O5/E5</f>
        <v>0.15443174994144535</v>
      </c>
      <c r="AF5" s="2322">
        <f t="shared" ref="AF5" si="13">SUM(AF6:AF125)</f>
        <v>820874</v>
      </c>
      <c r="AG5" s="2327">
        <f t="shared" ref="AG5" si="14">AF5/E5</f>
        <v>9.6372899443921675E-2</v>
      </c>
    </row>
    <row r="6" spans="1:33" x14ac:dyDescent="0.3">
      <c r="A6" s="263" t="s">
        <v>10</v>
      </c>
      <c r="B6" s="263" t="s">
        <v>11</v>
      </c>
      <c r="C6" s="263" t="s">
        <v>252</v>
      </c>
      <c r="D6" s="263">
        <v>2</v>
      </c>
      <c r="E6" s="2328">
        <v>32412</v>
      </c>
      <c r="F6" s="2328">
        <v>15817</v>
      </c>
      <c r="G6" s="1720">
        <v>16595</v>
      </c>
      <c r="H6" s="521">
        <v>22067</v>
      </c>
      <c r="I6" s="521">
        <v>9262</v>
      </c>
      <c r="J6" s="521">
        <v>253</v>
      </c>
      <c r="K6" s="521">
        <v>281</v>
      </c>
      <c r="L6" s="1720">
        <v>549</v>
      </c>
      <c r="M6" s="2328">
        <f t="shared" ref="M6:M37" si="15">P6+S6</f>
        <v>6656</v>
      </c>
      <c r="N6" s="521">
        <f t="shared" ref="N6:N37" si="16">Q6+T6</f>
        <v>18118</v>
      </c>
      <c r="O6" s="1720">
        <f t="shared" ref="O6:O37" si="17">R6+U6</f>
        <v>7638</v>
      </c>
      <c r="P6" s="2328">
        <v>3457</v>
      </c>
      <c r="Q6" s="521">
        <v>8886</v>
      </c>
      <c r="R6" s="521">
        <v>3474</v>
      </c>
      <c r="S6" s="2328">
        <v>3199</v>
      </c>
      <c r="T6" s="521">
        <v>9232</v>
      </c>
      <c r="U6" s="1720">
        <v>4164</v>
      </c>
      <c r="V6" s="1047">
        <f t="shared" ref="V6:V37" si="18">F6/E6</f>
        <v>0.4879982722448476</v>
      </c>
      <c r="W6" s="1047">
        <f t="shared" ref="W6:W37" si="19">G6/E6</f>
        <v>0.5120017277551524</v>
      </c>
      <c r="X6" s="2329">
        <f t="shared" ref="X6:X37" si="20">H6/E6</f>
        <v>0.68082808836233488</v>
      </c>
      <c r="Y6" s="1047">
        <f t="shared" ref="Y6:Y37" si="21">I6/E6</f>
        <v>0.28575836110082686</v>
      </c>
      <c r="Z6" s="1047">
        <f t="shared" ref="Z6:Z37" si="22">J6/E6</f>
        <v>7.8057509564358881E-3</v>
      </c>
      <c r="AA6" s="1047">
        <f t="shared" ref="AA6:AA37" si="23">K6/E6</f>
        <v>8.6696285326422311E-3</v>
      </c>
      <c r="AB6" s="2330">
        <f t="shared" ref="AB6:AB37" si="24">L6/E6</f>
        <v>1.6938171047760089E-2</v>
      </c>
      <c r="AC6" s="2331">
        <f t="shared" ref="AC6:AC37" si="25">M6/E6</f>
        <v>0.20535604097247934</v>
      </c>
      <c r="AD6" s="524">
        <f t="shared" ref="AD6:AD37" si="26">N6/E6</f>
        <v>0.55899049734666173</v>
      </c>
      <c r="AE6" s="2332">
        <f t="shared" ref="AE6:AE37" si="27">O6/E6</f>
        <v>0.23565346168085893</v>
      </c>
      <c r="AF6" s="2328">
        <v>3027</v>
      </c>
      <c r="AG6" s="265">
        <f t="shared" ref="AG6:AG37" si="28">AF6/E6</f>
        <v>9.3391336542021475E-2</v>
      </c>
    </row>
    <row r="7" spans="1:33" x14ac:dyDescent="0.3">
      <c r="A7" s="263" t="s">
        <v>12</v>
      </c>
      <c r="B7" s="263" t="s">
        <v>13</v>
      </c>
      <c r="C7" s="263" t="s">
        <v>253</v>
      </c>
      <c r="D7" s="263">
        <v>3</v>
      </c>
      <c r="E7" s="2328">
        <v>108718</v>
      </c>
      <c r="F7" s="2328">
        <v>51970</v>
      </c>
      <c r="G7" s="1720">
        <v>56748</v>
      </c>
      <c r="H7" s="521">
        <v>88766</v>
      </c>
      <c r="I7" s="521">
        <v>10587</v>
      </c>
      <c r="J7" s="521">
        <v>6072</v>
      </c>
      <c r="K7" s="521">
        <v>518</v>
      </c>
      <c r="L7" s="1720">
        <v>2775</v>
      </c>
      <c r="M7" s="2328">
        <f t="shared" si="15"/>
        <v>21528</v>
      </c>
      <c r="N7" s="521">
        <f t="shared" si="16"/>
        <v>66942</v>
      </c>
      <c r="O7" s="1720">
        <f t="shared" si="17"/>
        <v>20248</v>
      </c>
      <c r="P7" s="2328">
        <v>10932</v>
      </c>
      <c r="Q7" s="521">
        <v>32125</v>
      </c>
      <c r="R7" s="521">
        <v>8913</v>
      </c>
      <c r="S7" s="2328">
        <v>10596</v>
      </c>
      <c r="T7" s="521">
        <v>34817</v>
      </c>
      <c r="U7" s="1720">
        <v>11335</v>
      </c>
      <c r="V7" s="1047">
        <f t="shared" si="18"/>
        <v>0.47802571791239723</v>
      </c>
      <c r="W7" s="1047">
        <f t="shared" si="19"/>
        <v>0.52197428208760277</v>
      </c>
      <c r="X7" s="2329">
        <f t="shared" si="20"/>
        <v>0.81647933184937171</v>
      </c>
      <c r="Y7" s="1047">
        <f t="shared" si="21"/>
        <v>9.7380378594161043E-2</v>
      </c>
      <c r="Z7" s="1047">
        <f t="shared" si="22"/>
        <v>5.5850917051454223E-2</v>
      </c>
      <c r="AA7" s="1047">
        <f t="shared" si="23"/>
        <v>4.7646203940469841E-3</v>
      </c>
      <c r="AB7" s="2330">
        <f t="shared" si="24"/>
        <v>2.5524752110965984E-2</v>
      </c>
      <c r="AC7" s="2331">
        <f t="shared" si="25"/>
        <v>0.19801688772788315</v>
      </c>
      <c r="AD7" s="524">
        <f t="shared" si="26"/>
        <v>0.61573980389631888</v>
      </c>
      <c r="AE7" s="2332">
        <f t="shared" si="27"/>
        <v>0.18624330837579794</v>
      </c>
      <c r="AF7" s="2328">
        <v>6468</v>
      </c>
      <c r="AG7" s="265">
        <f t="shared" si="28"/>
        <v>5.9493368163505582E-2</v>
      </c>
    </row>
    <row r="8" spans="1:33" x14ac:dyDescent="0.3">
      <c r="A8" s="263" t="s">
        <v>16</v>
      </c>
      <c r="B8" s="263" t="s">
        <v>285</v>
      </c>
      <c r="C8" s="263" t="s">
        <v>253</v>
      </c>
      <c r="D8" s="263">
        <v>2</v>
      </c>
      <c r="E8" s="2328">
        <v>20370</v>
      </c>
      <c r="F8" s="2328">
        <v>9928</v>
      </c>
      <c r="G8" s="1720">
        <v>10442</v>
      </c>
      <c r="H8" s="521">
        <v>18341</v>
      </c>
      <c r="I8" s="521">
        <v>1434</v>
      </c>
      <c r="J8" s="521">
        <v>106</v>
      </c>
      <c r="K8" s="521">
        <v>82</v>
      </c>
      <c r="L8" s="1720">
        <v>407</v>
      </c>
      <c r="M8" s="2328">
        <f t="shared" si="15"/>
        <v>3752</v>
      </c>
      <c r="N8" s="521">
        <f t="shared" si="16"/>
        <v>11776</v>
      </c>
      <c r="O8" s="1720">
        <f t="shared" si="17"/>
        <v>4842</v>
      </c>
      <c r="P8" s="2328">
        <v>1944</v>
      </c>
      <c r="Q8" s="521">
        <v>5826</v>
      </c>
      <c r="R8" s="521">
        <v>2158</v>
      </c>
      <c r="S8" s="2328">
        <v>1808</v>
      </c>
      <c r="T8" s="521">
        <v>5950</v>
      </c>
      <c r="U8" s="1720">
        <v>2684</v>
      </c>
      <c r="V8" s="1047">
        <f t="shared" si="18"/>
        <v>0.48738340697103583</v>
      </c>
      <c r="W8" s="1047">
        <f t="shared" si="19"/>
        <v>0.51261659302896412</v>
      </c>
      <c r="X8" s="2329">
        <f t="shared" si="20"/>
        <v>0.90039273441335299</v>
      </c>
      <c r="Y8" s="1047">
        <f t="shared" si="21"/>
        <v>7.0397643593519882E-2</v>
      </c>
      <c r="Z8" s="1047">
        <f t="shared" si="22"/>
        <v>5.2037309769268529E-3</v>
      </c>
      <c r="AA8" s="1047">
        <f t="shared" si="23"/>
        <v>4.0255277368679426E-3</v>
      </c>
      <c r="AB8" s="2330">
        <f t="shared" si="24"/>
        <v>1.998036327933235E-2</v>
      </c>
      <c r="AC8" s="2331">
        <f t="shared" si="25"/>
        <v>0.18419243986254297</v>
      </c>
      <c r="AD8" s="524">
        <f t="shared" si="26"/>
        <v>0.57810505645557186</v>
      </c>
      <c r="AE8" s="2332">
        <f t="shared" si="27"/>
        <v>0.23770250368188511</v>
      </c>
      <c r="AF8" s="2328">
        <v>342</v>
      </c>
      <c r="AG8" s="265">
        <f t="shared" si="28"/>
        <v>1.6789396170839469E-2</v>
      </c>
    </row>
    <row r="9" spans="1:33" x14ac:dyDescent="0.3">
      <c r="A9" s="263" t="s">
        <v>18</v>
      </c>
      <c r="B9" s="263" t="s">
        <v>19</v>
      </c>
      <c r="C9" s="263" t="s">
        <v>254</v>
      </c>
      <c r="D9" s="263">
        <v>1</v>
      </c>
      <c r="E9" s="2328">
        <v>13013</v>
      </c>
      <c r="F9" s="2328">
        <v>6416</v>
      </c>
      <c r="G9" s="1720">
        <v>6597</v>
      </c>
      <c r="H9" s="521">
        <v>9939</v>
      </c>
      <c r="I9" s="521">
        <v>2673</v>
      </c>
      <c r="J9" s="521">
        <v>80</v>
      </c>
      <c r="K9" s="521">
        <v>81</v>
      </c>
      <c r="L9" s="1720">
        <v>240</v>
      </c>
      <c r="M9" s="2328">
        <f t="shared" si="15"/>
        <v>2664</v>
      </c>
      <c r="N9" s="521">
        <f t="shared" si="16"/>
        <v>7773</v>
      </c>
      <c r="O9" s="1720">
        <f t="shared" si="17"/>
        <v>2576</v>
      </c>
      <c r="P9" s="2328">
        <v>1380</v>
      </c>
      <c r="Q9" s="521">
        <v>3868</v>
      </c>
      <c r="R9" s="521">
        <v>1168</v>
      </c>
      <c r="S9" s="2328">
        <v>1284</v>
      </c>
      <c r="T9" s="521">
        <v>3905</v>
      </c>
      <c r="U9" s="1720">
        <v>1408</v>
      </c>
      <c r="V9" s="1047">
        <f t="shared" si="18"/>
        <v>0.49304541612233921</v>
      </c>
      <c r="W9" s="1047">
        <f t="shared" si="19"/>
        <v>0.50695458387766079</v>
      </c>
      <c r="X9" s="2329">
        <f t="shared" si="20"/>
        <v>0.76377468685160987</v>
      </c>
      <c r="Y9" s="1047">
        <f t="shared" si="21"/>
        <v>0.20540997464074387</v>
      </c>
      <c r="Z9" s="1047">
        <f t="shared" si="22"/>
        <v>6.1476984553907633E-3</v>
      </c>
      <c r="AA9" s="1047">
        <f t="shared" si="23"/>
        <v>6.224544686083148E-3</v>
      </c>
      <c r="AB9" s="2330">
        <f t="shared" si="24"/>
        <v>1.844309536617229E-2</v>
      </c>
      <c r="AC9" s="2331">
        <f t="shared" si="25"/>
        <v>0.2047183585645124</v>
      </c>
      <c r="AD9" s="524">
        <f t="shared" si="26"/>
        <v>0.59732575117190501</v>
      </c>
      <c r="AE9" s="2332">
        <f t="shared" si="27"/>
        <v>0.19795589026358257</v>
      </c>
      <c r="AF9" s="2328">
        <v>372</v>
      </c>
      <c r="AG9" s="265">
        <f t="shared" si="28"/>
        <v>2.8586797817567049E-2</v>
      </c>
    </row>
    <row r="10" spans="1:33" x14ac:dyDescent="0.3">
      <c r="A10" s="263" t="s">
        <v>20</v>
      </c>
      <c r="B10" s="263" t="s">
        <v>21</v>
      </c>
      <c r="C10" s="263" t="s">
        <v>253</v>
      </c>
      <c r="D10" s="263">
        <v>2</v>
      </c>
      <c r="E10" s="2328">
        <v>31666</v>
      </c>
      <c r="F10" s="2328">
        <v>15368</v>
      </c>
      <c r="G10" s="1720">
        <v>16298</v>
      </c>
      <c r="H10" s="521">
        <v>24394</v>
      </c>
      <c r="I10" s="521">
        <v>6043</v>
      </c>
      <c r="J10" s="521">
        <v>174</v>
      </c>
      <c r="K10" s="521">
        <v>302</v>
      </c>
      <c r="L10" s="1720">
        <v>753</v>
      </c>
      <c r="M10" s="2328">
        <f t="shared" si="15"/>
        <v>6207</v>
      </c>
      <c r="N10" s="521">
        <f t="shared" si="16"/>
        <v>18758</v>
      </c>
      <c r="O10" s="1720">
        <f t="shared" si="17"/>
        <v>6701</v>
      </c>
      <c r="P10" s="2328">
        <v>3206</v>
      </c>
      <c r="Q10" s="521">
        <v>9187</v>
      </c>
      <c r="R10" s="521">
        <v>2975</v>
      </c>
      <c r="S10" s="2328">
        <v>3001</v>
      </c>
      <c r="T10" s="521">
        <v>9571</v>
      </c>
      <c r="U10" s="1720">
        <v>3726</v>
      </c>
      <c r="V10" s="1047">
        <f t="shared" si="18"/>
        <v>0.4853154803259016</v>
      </c>
      <c r="W10" s="1047">
        <f t="shared" si="19"/>
        <v>0.51468451967409845</v>
      </c>
      <c r="X10" s="2329">
        <f t="shared" si="20"/>
        <v>0.77035306006442239</v>
      </c>
      <c r="Y10" s="1047">
        <f t="shared" si="21"/>
        <v>0.1908355965388745</v>
      </c>
      <c r="Z10" s="1047">
        <f t="shared" si="22"/>
        <v>5.494852523211015E-3</v>
      </c>
      <c r="AA10" s="1047">
        <f t="shared" si="23"/>
        <v>9.5370428851133705E-3</v>
      </c>
      <c r="AB10" s="2330">
        <f t="shared" si="24"/>
        <v>2.3779447988378704E-2</v>
      </c>
      <c r="AC10" s="2331">
        <f t="shared" si="25"/>
        <v>0.1960146529400619</v>
      </c>
      <c r="AD10" s="524">
        <f t="shared" si="26"/>
        <v>0.59237036569190926</v>
      </c>
      <c r="AE10" s="2332">
        <f t="shared" si="27"/>
        <v>0.21161498136802881</v>
      </c>
      <c r="AF10" s="2328">
        <v>822</v>
      </c>
      <c r="AG10" s="265">
        <f t="shared" si="28"/>
        <v>2.5958441230341692E-2</v>
      </c>
    </row>
    <row r="11" spans="1:33" x14ac:dyDescent="0.3">
      <c r="A11" s="263" t="s">
        <v>22</v>
      </c>
      <c r="B11" s="263" t="s">
        <v>23</v>
      </c>
      <c r="C11" s="263" t="s">
        <v>253</v>
      </c>
      <c r="D11" s="263">
        <v>1</v>
      </c>
      <c r="E11" s="2328">
        <v>15841</v>
      </c>
      <c r="F11" s="2328">
        <v>7692</v>
      </c>
      <c r="G11" s="1720">
        <v>8149</v>
      </c>
      <c r="H11" s="521">
        <v>12389</v>
      </c>
      <c r="I11" s="521">
        <v>3004</v>
      </c>
      <c r="J11" s="521">
        <v>54</v>
      </c>
      <c r="K11" s="521">
        <v>58</v>
      </c>
      <c r="L11" s="1720">
        <v>336</v>
      </c>
      <c r="M11" s="2328">
        <f t="shared" si="15"/>
        <v>3350</v>
      </c>
      <c r="N11" s="521">
        <f t="shared" si="16"/>
        <v>9211</v>
      </c>
      <c r="O11" s="1720">
        <f t="shared" si="17"/>
        <v>3280</v>
      </c>
      <c r="P11" s="2328">
        <v>1698</v>
      </c>
      <c r="Q11" s="521">
        <v>4490</v>
      </c>
      <c r="R11" s="521">
        <v>1504</v>
      </c>
      <c r="S11" s="2328">
        <v>1652</v>
      </c>
      <c r="T11" s="521">
        <v>4721</v>
      </c>
      <c r="U11" s="1720">
        <v>1776</v>
      </c>
      <c r="V11" s="1047">
        <f t="shared" si="18"/>
        <v>0.48557540559308127</v>
      </c>
      <c r="W11" s="1047">
        <f t="shared" si="19"/>
        <v>0.51442459440691879</v>
      </c>
      <c r="X11" s="2329">
        <f t="shared" si="20"/>
        <v>0.78208446436462342</v>
      </c>
      <c r="Y11" s="1047">
        <f t="shared" si="21"/>
        <v>0.18963449277192096</v>
      </c>
      <c r="Z11" s="1047">
        <f t="shared" si="22"/>
        <v>3.4088757022915218E-3</v>
      </c>
      <c r="AA11" s="1047">
        <f t="shared" si="23"/>
        <v>3.6613850135723755E-3</v>
      </c>
      <c r="AB11" s="2330">
        <f t="shared" si="24"/>
        <v>2.1210782147591693E-2</v>
      </c>
      <c r="AC11" s="2331">
        <f t="shared" si="25"/>
        <v>0.2114765481977148</v>
      </c>
      <c r="AD11" s="524">
        <f t="shared" si="26"/>
        <v>0.58146581655198537</v>
      </c>
      <c r="AE11" s="2332">
        <f t="shared" si="27"/>
        <v>0.20705763525029985</v>
      </c>
      <c r="AF11" s="2328">
        <v>261</v>
      </c>
      <c r="AG11" s="265">
        <f t="shared" si="28"/>
        <v>1.647623256107569E-2</v>
      </c>
    </row>
    <row r="12" spans="1:33" x14ac:dyDescent="0.3">
      <c r="A12" s="263" t="s">
        <v>24</v>
      </c>
      <c r="B12" s="263" t="s">
        <v>25</v>
      </c>
      <c r="C12" s="263" t="s">
        <v>255</v>
      </c>
      <c r="D12" s="263">
        <v>3</v>
      </c>
      <c r="E12" s="2328">
        <v>237521</v>
      </c>
      <c r="F12" s="2328">
        <v>119009</v>
      </c>
      <c r="G12" s="1720">
        <v>118512</v>
      </c>
      <c r="H12" s="521">
        <v>178396</v>
      </c>
      <c r="I12" s="521">
        <v>22880</v>
      </c>
      <c r="J12" s="521">
        <v>26208</v>
      </c>
      <c r="K12" s="521">
        <v>1849</v>
      </c>
      <c r="L12" s="1720">
        <v>8188</v>
      </c>
      <c r="M12" s="2328">
        <f t="shared" si="15"/>
        <v>42959</v>
      </c>
      <c r="N12" s="521">
        <f t="shared" si="16"/>
        <v>169353</v>
      </c>
      <c r="O12" s="1720">
        <f t="shared" si="17"/>
        <v>25209</v>
      </c>
      <c r="P12" s="2328">
        <v>22019</v>
      </c>
      <c r="Q12" s="521">
        <v>85528</v>
      </c>
      <c r="R12" s="521">
        <v>11462</v>
      </c>
      <c r="S12" s="2328">
        <v>20940</v>
      </c>
      <c r="T12" s="521">
        <v>83825</v>
      </c>
      <c r="U12" s="1720">
        <v>13747</v>
      </c>
      <c r="V12" s="1047">
        <f t="shared" si="18"/>
        <v>0.50104622328130988</v>
      </c>
      <c r="W12" s="1047">
        <f t="shared" si="19"/>
        <v>0.49895377671869012</v>
      </c>
      <c r="X12" s="2329">
        <f t="shared" si="20"/>
        <v>0.75107464182114425</v>
      </c>
      <c r="Y12" s="1047">
        <f t="shared" si="21"/>
        <v>9.6328324653399064E-2</v>
      </c>
      <c r="Z12" s="1047">
        <f t="shared" si="22"/>
        <v>0.11033971733025712</v>
      </c>
      <c r="AA12" s="1047">
        <f t="shared" si="23"/>
        <v>7.7845748375933079E-3</v>
      </c>
      <c r="AB12" s="2330">
        <f t="shared" si="24"/>
        <v>3.4472741357606272E-2</v>
      </c>
      <c r="AC12" s="2331">
        <f t="shared" si="25"/>
        <v>0.18086400781404591</v>
      </c>
      <c r="AD12" s="524">
        <f t="shared" si="26"/>
        <v>0.71300221875118408</v>
      </c>
      <c r="AE12" s="2332">
        <f t="shared" si="27"/>
        <v>0.10613377343476998</v>
      </c>
      <c r="AF12" s="2328">
        <v>37505</v>
      </c>
      <c r="AG12" s="265">
        <f t="shared" si="28"/>
        <v>0.15790182762787291</v>
      </c>
    </row>
    <row r="13" spans="1:33" x14ac:dyDescent="0.3">
      <c r="A13" s="263" t="s">
        <v>26</v>
      </c>
      <c r="B13" s="263" t="s">
        <v>547</v>
      </c>
      <c r="C13" s="263" t="s">
        <v>253</v>
      </c>
      <c r="D13" s="263">
        <v>3</v>
      </c>
      <c r="E13" s="2328">
        <v>123007</v>
      </c>
      <c r="F13" s="2328">
        <v>60511</v>
      </c>
      <c r="G13" s="1720">
        <v>62496</v>
      </c>
      <c r="H13" s="521">
        <v>109323</v>
      </c>
      <c r="I13" s="521">
        <v>9246</v>
      </c>
      <c r="J13" s="521">
        <v>1265</v>
      </c>
      <c r="K13" s="521">
        <v>460</v>
      </c>
      <c r="L13" s="1720">
        <v>2713</v>
      </c>
      <c r="M13" s="2328">
        <f t="shared" si="15"/>
        <v>24543</v>
      </c>
      <c r="N13" s="521">
        <f t="shared" si="16"/>
        <v>73218</v>
      </c>
      <c r="O13" s="1720">
        <f t="shared" si="17"/>
        <v>25246</v>
      </c>
      <c r="P13" s="2328">
        <v>12525</v>
      </c>
      <c r="Q13" s="521">
        <v>36620</v>
      </c>
      <c r="R13" s="521">
        <v>11366</v>
      </c>
      <c r="S13" s="2328">
        <v>12018</v>
      </c>
      <c r="T13" s="521">
        <v>36598</v>
      </c>
      <c r="U13" s="1720">
        <v>13880</v>
      </c>
      <c r="V13" s="1047">
        <f t="shared" si="18"/>
        <v>0.49193135350020728</v>
      </c>
      <c r="W13" s="1047">
        <f t="shared" si="19"/>
        <v>0.50806864649979266</v>
      </c>
      <c r="X13" s="2329">
        <f t="shared" si="20"/>
        <v>0.88875429853585564</v>
      </c>
      <c r="Y13" s="1047">
        <f t="shared" si="21"/>
        <v>7.5166453941645603E-2</v>
      </c>
      <c r="Z13" s="1047">
        <f t="shared" si="22"/>
        <v>1.0283967579080865E-2</v>
      </c>
      <c r="AA13" s="1047">
        <f t="shared" si="23"/>
        <v>3.7396245742112237E-3</v>
      </c>
      <c r="AB13" s="2330">
        <f t="shared" si="24"/>
        <v>2.2055655369206631E-2</v>
      </c>
      <c r="AC13" s="2331">
        <f t="shared" si="25"/>
        <v>0.19952523027144797</v>
      </c>
      <c r="AD13" s="524">
        <f t="shared" si="26"/>
        <v>0.59523441755347262</v>
      </c>
      <c r="AE13" s="2332">
        <f t="shared" si="27"/>
        <v>0.20524035217507947</v>
      </c>
      <c r="AF13" s="2328">
        <v>4848</v>
      </c>
      <c r="AG13" s="265">
        <f t="shared" si="28"/>
        <v>3.9412391164730463E-2</v>
      </c>
    </row>
    <row r="14" spans="1:33" x14ac:dyDescent="0.3">
      <c r="A14" s="263" t="s">
        <v>27</v>
      </c>
      <c r="B14" s="263" t="s">
        <v>28</v>
      </c>
      <c r="C14" s="263" t="s">
        <v>253</v>
      </c>
      <c r="D14" s="263">
        <v>1</v>
      </c>
      <c r="E14" s="2328">
        <v>4292</v>
      </c>
      <c r="F14" s="2328">
        <v>2161</v>
      </c>
      <c r="G14" s="1720">
        <v>2131</v>
      </c>
      <c r="H14" s="521">
        <v>3994</v>
      </c>
      <c r="I14" s="521">
        <v>210</v>
      </c>
      <c r="J14" s="521">
        <v>19</v>
      </c>
      <c r="K14" s="521">
        <v>9</v>
      </c>
      <c r="L14" s="1720">
        <v>60</v>
      </c>
      <c r="M14" s="2328">
        <f t="shared" si="15"/>
        <v>650</v>
      </c>
      <c r="N14" s="521">
        <f t="shared" si="16"/>
        <v>2455</v>
      </c>
      <c r="O14" s="1720">
        <f t="shared" si="17"/>
        <v>1187</v>
      </c>
      <c r="P14" s="2328">
        <v>316</v>
      </c>
      <c r="Q14" s="521">
        <v>1252</v>
      </c>
      <c r="R14" s="521">
        <v>593</v>
      </c>
      <c r="S14" s="2328">
        <v>334</v>
      </c>
      <c r="T14" s="521">
        <v>1203</v>
      </c>
      <c r="U14" s="1720">
        <v>594</v>
      </c>
      <c r="V14" s="1047">
        <f t="shared" si="18"/>
        <v>0.50349487418452932</v>
      </c>
      <c r="W14" s="1047">
        <f t="shared" si="19"/>
        <v>0.49650512581547063</v>
      </c>
      <c r="X14" s="2329">
        <f t="shared" si="20"/>
        <v>0.93056849953401677</v>
      </c>
      <c r="Y14" s="1047">
        <f t="shared" si="21"/>
        <v>4.8928238583410999E-2</v>
      </c>
      <c r="Z14" s="1047">
        <f t="shared" si="22"/>
        <v>4.4268406337371856E-3</v>
      </c>
      <c r="AA14" s="1047">
        <f t="shared" si="23"/>
        <v>2.096924510717614E-3</v>
      </c>
      <c r="AB14" s="2330">
        <f t="shared" si="24"/>
        <v>1.3979496738117428E-2</v>
      </c>
      <c r="AC14" s="2331">
        <f t="shared" si="25"/>
        <v>0.15144454799627213</v>
      </c>
      <c r="AD14" s="524">
        <f t="shared" si="26"/>
        <v>0.57199440820130476</v>
      </c>
      <c r="AE14" s="2332">
        <f t="shared" si="27"/>
        <v>0.27656104380242313</v>
      </c>
      <c r="AF14" s="2328">
        <v>103</v>
      </c>
      <c r="AG14" s="265">
        <f t="shared" si="28"/>
        <v>2.3998136067101584E-2</v>
      </c>
    </row>
    <row r="15" spans="1:33" x14ac:dyDescent="0.3">
      <c r="A15" s="263" t="s">
        <v>29</v>
      </c>
      <c r="B15" s="395" t="s">
        <v>736</v>
      </c>
      <c r="C15" s="263" t="s">
        <v>253</v>
      </c>
      <c r="D15" s="263">
        <v>2</v>
      </c>
      <c r="E15" s="2328">
        <v>78747</v>
      </c>
      <c r="F15" s="2328">
        <v>38794</v>
      </c>
      <c r="G15" s="1720">
        <v>39953</v>
      </c>
      <c r="H15" s="521">
        <v>70588</v>
      </c>
      <c r="I15" s="521">
        <v>5612</v>
      </c>
      <c r="J15" s="521">
        <v>985</v>
      </c>
      <c r="K15" s="521">
        <v>300</v>
      </c>
      <c r="L15" s="1720">
        <v>1262</v>
      </c>
      <c r="M15" s="2328">
        <f t="shared" si="15"/>
        <v>15623</v>
      </c>
      <c r="N15" s="521">
        <f t="shared" si="16"/>
        <v>46335</v>
      </c>
      <c r="O15" s="1720">
        <f t="shared" si="17"/>
        <v>16789</v>
      </c>
      <c r="P15" s="2328">
        <v>7981</v>
      </c>
      <c r="Q15" s="521">
        <v>22936</v>
      </c>
      <c r="R15" s="521">
        <v>7877</v>
      </c>
      <c r="S15" s="2328">
        <v>7642</v>
      </c>
      <c r="T15" s="521">
        <v>23399</v>
      </c>
      <c r="U15" s="1720">
        <v>8912</v>
      </c>
      <c r="V15" s="1047">
        <f t="shared" si="18"/>
        <v>0.4926409894980126</v>
      </c>
      <c r="W15" s="1047">
        <f t="shared" si="19"/>
        <v>0.5073590105019874</v>
      </c>
      <c r="X15" s="2329">
        <f t="shared" si="20"/>
        <v>0.89638970373474547</v>
      </c>
      <c r="Y15" s="1047">
        <f t="shared" si="21"/>
        <v>7.1266206966614606E-2</v>
      </c>
      <c r="Z15" s="1047">
        <f t="shared" si="22"/>
        <v>1.2508413018908657E-2</v>
      </c>
      <c r="AA15" s="1047">
        <f t="shared" si="23"/>
        <v>3.809668939769134E-3</v>
      </c>
      <c r="AB15" s="2330">
        <f t="shared" si="24"/>
        <v>1.6026007339962157E-2</v>
      </c>
      <c r="AC15" s="2331">
        <f t="shared" si="25"/>
        <v>0.1983948594867106</v>
      </c>
      <c r="AD15" s="524">
        <f t="shared" si="26"/>
        <v>0.58840336774734281</v>
      </c>
      <c r="AE15" s="2332">
        <f t="shared" si="27"/>
        <v>0.21320177276594665</v>
      </c>
      <c r="AF15" s="2328">
        <v>1790</v>
      </c>
      <c r="AG15" s="265">
        <f t="shared" si="28"/>
        <v>2.2731024673955835E-2</v>
      </c>
    </row>
    <row r="16" spans="1:33" x14ac:dyDescent="0.3">
      <c r="A16" s="263" t="s">
        <v>30</v>
      </c>
      <c r="B16" s="263" t="s">
        <v>31</v>
      </c>
      <c r="C16" s="263" t="s">
        <v>256</v>
      </c>
      <c r="D16" s="263">
        <v>1</v>
      </c>
      <c r="E16" s="2328">
        <v>6293</v>
      </c>
      <c r="F16" s="2328">
        <v>3445</v>
      </c>
      <c r="G16" s="1720">
        <v>2848</v>
      </c>
      <c r="H16" s="521">
        <v>5940</v>
      </c>
      <c r="I16" s="521">
        <v>244</v>
      </c>
      <c r="J16" s="521">
        <v>36</v>
      </c>
      <c r="K16" s="521">
        <v>12</v>
      </c>
      <c r="L16" s="1720">
        <v>61</v>
      </c>
      <c r="M16" s="2328">
        <f t="shared" si="15"/>
        <v>965</v>
      </c>
      <c r="N16" s="521">
        <f t="shared" si="16"/>
        <v>3881</v>
      </c>
      <c r="O16" s="1720">
        <f t="shared" si="17"/>
        <v>1447</v>
      </c>
      <c r="P16" s="2328">
        <v>497</v>
      </c>
      <c r="Q16" s="521">
        <v>2247</v>
      </c>
      <c r="R16" s="521">
        <v>701</v>
      </c>
      <c r="S16" s="2328">
        <v>468</v>
      </c>
      <c r="T16" s="521">
        <v>1634</v>
      </c>
      <c r="U16" s="1720">
        <v>746</v>
      </c>
      <c r="V16" s="1047">
        <f t="shared" si="18"/>
        <v>0.54743365644366759</v>
      </c>
      <c r="W16" s="1047">
        <f t="shared" si="19"/>
        <v>0.45256634355633241</v>
      </c>
      <c r="X16" s="2329">
        <f t="shared" si="20"/>
        <v>0.94390592722072142</v>
      </c>
      <c r="Y16" s="1047">
        <f t="shared" si="21"/>
        <v>3.8773240108056571E-2</v>
      </c>
      <c r="Z16" s="1047">
        <f t="shared" si="22"/>
        <v>5.7206419831558877E-3</v>
      </c>
      <c r="AA16" s="1047">
        <f t="shared" si="23"/>
        <v>1.9068806610519624E-3</v>
      </c>
      <c r="AB16" s="2330">
        <f t="shared" si="24"/>
        <v>9.6933100270141428E-3</v>
      </c>
      <c r="AC16" s="2331">
        <f t="shared" si="25"/>
        <v>0.15334498649292866</v>
      </c>
      <c r="AD16" s="524">
        <f t="shared" si="26"/>
        <v>0.61671698712855549</v>
      </c>
      <c r="AE16" s="2332">
        <f t="shared" si="27"/>
        <v>0.22993802637851582</v>
      </c>
      <c r="AF16" s="2328">
        <v>53</v>
      </c>
      <c r="AG16" s="265">
        <f t="shared" si="28"/>
        <v>8.4220562529795009E-3</v>
      </c>
    </row>
    <row r="17" spans="1:33" x14ac:dyDescent="0.3">
      <c r="A17" s="263" t="s">
        <v>32</v>
      </c>
      <c r="B17" s="263" t="s">
        <v>33</v>
      </c>
      <c r="C17" s="263" t="s">
        <v>253</v>
      </c>
      <c r="D17" s="263">
        <v>1</v>
      </c>
      <c r="E17" s="2328">
        <v>33277</v>
      </c>
      <c r="F17" s="2328">
        <v>16494</v>
      </c>
      <c r="G17" s="1720">
        <v>16783</v>
      </c>
      <c r="H17" s="521">
        <v>31345</v>
      </c>
      <c r="I17" s="521">
        <v>1077</v>
      </c>
      <c r="J17" s="521">
        <v>273</v>
      </c>
      <c r="K17" s="521">
        <v>107</v>
      </c>
      <c r="L17" s="1720">
        <v>475</v>
      </c>
      <c r="M17" s="2328">
        <f t="shared" si="15"/>
        <v>6279</v>
      </c>
      <c r="N17" s="521">
        <f t="shared" si="16"/>
        <v>19429</v>
      </c>
      <c r="O17" s="1720">
        <f t="shared" si="17"/>
        <v>7569</v>
      </c>
      <c r="P17" s="2328">
        <v>3186</v>
      </c>
      <c r="Q17" s="521">
        <v>9771</v>
      </c>
      <c r="R17" s="521">
        <v>3537</v>
      </c>
      <c r="S17" s="2328">
        <v>3093</v>
      </c>
      <c r="T17" s="521">
        <v>9658</v>
      </c>
      <c r="U17" s="1720">
        <v>4032</v>
      </c>
      <c r="V17" s="1047">
        <f t="shared" si="18"/>
        <v>0.49565766144784684</v>
      </c>
      <c r="W17" s="1047">
        <f t="shared" si="19"/>
        <v>0.50434233855215316</v>
      </c>
      <c r="X17" s="2329">
        <f t="shared" si="20"/>
        <v>0.94194188178020855</v>
      </c>
      <c r="Y17" s="1047">
        <f t="shared" si="21"/>
        <v>3.2364696336809211E-2</v>
      </c>
      <c r="Z17" s="1047">
        <f t="shared" si="22"/>
        <v>8.2038645310574879E-3</v>
      </c>
      <c r="AA17" s="1047">
        <f t="shared" si="23"/>
        <v>3.2154340836012861E-3</v>
      </c>
      <c r="AB17" s="2330">
        <f t="shared" si="24"/>
        <v>1.4274123268323467E-2</v>
      </c>
      <c r="AC17" s="2331">
        <f t="shared" si="25"/>
        <v>0.1886888842143222</v>
      </c>
      <c r="AD17" s="524">
        <f t="shared" si="26"/>
        <v>0.58385671785317184</v>
      </c>
      <c r="AE17" s="2332">
        <f t="shared" si="27"/>
        <v>0.22745439793250594</v>
      </c>
      <c r="AF17" s="2328">
        <v>603</v>
      </c>
      <c r="AG17" s="265">
        <f t="shared" si="28"/>
        <v>1.8120623854313789E-2</v>
      </c>
    </row>
    <row r="18" spans="1:33" x14ac:dyDescent="0.3">
      <c r="A18" s="263" t="s">
        <v>36</v>
      </c>
      <c r="B18" s="263" t="s">
        <v>37</v>
      </c>
      <c r="C18" s="263" t="s">
        <v>252</v>
      </c>
      <c r="D18" s="263">
        <v>2</v>
      </c>
      <c r="E18" s="2328">
        <v>16384</v>
      </c>
      <c r="F18" s="2328">
        <v>8773</v>
      </c>
      <c r="G18" s="1720">
        <v>7611</v>
      </c>
      <c r="H18" s="521">
        <v>6932</v>
      </c>
      <c r="I18" s="521">
        <v>9011</v>
      </c>
      <c r="J18" s="521">
        <v>163</v>
      </c>
      <c r="K18" s="521">
        <v>65</v>
      </c>
      <c r="L18" s="1720">
        <v>213</v>
      </c>
      <c r="M18" s="2328">
        <f t="shared" si="15"/>
        <v>2674</v>
      </c>
      <c r="N18" s="521">
        <f t="shared" si="16"/>
        <v>10187</v>
      </c>
      <c r="O18" s="1720">
        <f t="shared" si="17"/>
        <v>3523</v>
      </c>
      <c r="P18" s="2328">
        <v>1336</v>
      </c>
      <c r="Q18" s="521">
        <v>5860</v>
      </c>
      <c r="R18" s="521">
        <v>1577</v>
      </c>
      <c r="S18" s="2328">
        <v>1338</v>
      </c>
      <c r="T18" s="521">
        <v>4327</v>
      </c>
      <c r="U18" s="1720">
        <v>1946</v>
      </c>
      <c r="V18" s="1047">
        <f t="shared" si="18"/>
        <v>0.53546142578125</v>
      </c>
      <c r="W18" s="1047">
        <f t="shared" si="19"/>
        <v>0.46453857421875</v>
      </c>
      <c r="X18" s="2329">
        <f t="shared" si="20"/>
        <v>0.423095703125</v>
      </c>
      <c r="Y18" s="1047">
        <f t="shared" si="21"/>
        <v>0.54998779296875</v>
      </c>
      <c r="Z18" s="1047">
        <f t="shared" si="22"/>
        <v>9.94873046875E-3</v>
      </c>
      <c r="AA18" s="1047">
        <f t="shared" si="23"/>
        <v>3.96728515625E-3</v>
      </c>
      <c r="AB18" s="2330">
        <f t="shared" si="24"/>
        <v>1.300048828125E-2</v>
      </c>
      <c r="AC18" s="2331">
        <f t="shared" si="25"/>
        <v>0.1632080078125</v>
      </c>
      <c r="AD18" s="524">
        <f t="shared" si="26"/>
        <v>0.62176513671875</v>
      </c>
      <c r="AE18" s="2332">
        <f t="shared" si="27"/>
        <v>0.21502685546875</v>
      </c>
      <c r="AF18" s="2328">
        <v>392</v>
      </c>
      <c r="AG18" s="265">
        <f t="shared" si="28"/>
        <v>2.392578125E-2</v>
      </c>
    </row>
    <row r="19" spans="1:33" x14ac:dyDescent="0.3">
      <c r="A19" s="263" t="s">
        <v>38</v>
      </c>
      <c r="B19" s="263" t="s">
        <v>39</v>
      </c>
      <c r="C19" s="263" t="s">
        <v>256</v>
      </c>
      <c r="D19" s="263">
        <v>2</v>
      </c>
      <c r="E19" s="2328">
        <v>21221</v>
      </c>
      <c r="F19" s="2328">
        <v>10735</v>
      </c>
      <c r="G19" s="1720">
        <v>10486</v>
      </c>
      <c r="H19" s="521">
        <v>20296</v>
      </c>
      <c r="I19" s="521">
        <v>657</v>
      </c>
      <c r="J19" s="521">
        <v>95</v>
      </c>
      <c r="K19" s="521">
        <v>33</v>
      </c>
      <c r="L19" s="1720">
        <v>140</v>
      </c>
      <c r="M19" s="2328">
        <f t="shared" si="15"/>
        <v>3662</v>
      </c>
      <c r="N19" s="521">
        <f t="shared" si="16"/>
        <v>12850</v>
      </c>
      <c r="O19" s="1720">
        <f t="shared" si="17"/>
        <v>4709</v>
      </c>
      <c r="P19" s="2328">
        <v>1876</v>
      </c>
      <c r="Q19" s="521">
        <v>6760</v>
      </c>
      <c r="R19" s="521">
        <v>2099</v>
      </c>
      <c r="S19" s="2328">
        <v>1786</v>
      </c>
      <c r="T19" s="521">
        <v>6090</v>
      </c>
      <c r="U19" s="1720">
        <v>2610</v>
      </c>
      <c r="V19" s="1047">
        <f t="shared" si="18"/>
        <v>0.50586683002686017</v>
      </c>
      <c r="W19" s="1047">
        <f t="shared" si="19"/>
        <v>0.49413316997313983</v>
      </c>
      <c r="X19" s="2329">
        <f t="shared" si="20"/>
        <v>0.95641110221007497</v>
      </c>
      <c r="Y19" s="1047">
        <f t="shared" si="21"/>
        <v>3.095989821403327E-2</v>
      </c>
      <c r="Z19" s="1047">
        <f t="shared" si="22"/>
        <v>4.4766976108571695E-3</v>
      </c>
      <c r="AA19" s="1047">
        <f t="shared" si="23"/>
        <v>1.5550633806135433E-3</v>
      </c>
      <c r="AB19" s="2330">
        <f t="shared" si="24"/>
        <v>6.5972385844210923E-3</v>
      </c>
      <c r="AC19" s="2331">
        <f t="shared" si="25"/>
        <v>0.17256491211535743</v>
      </c>
      <c r="AD19" s="524">
        <f t="shared" si="26"/>
        <v>0.60553225578436454</v>
      </c>
      <c r="AE19" s="2332">
        <f t="shared" si="27"/>
        <v>0.22190283210027803</v>
      </c>
      <c r="AF19" s="2328">
        <v>155</v>
      </c>
      <c r="AG19" s="265">
        <f t="shared" si="28"/>
        <v>7.3040855756090666E-3</v>
      </c>
    </row>
    <row r="20" spans="1:33" x14ac:dyDescent="0.3">
      <c r="A20" s="263" t="s">
        <v>40</v>
      </c>
      <c r="B20" s="263" t="s">
        <v>41</v>
      </c>
      <c r="C20" s="263" t="s">
        <v>254</v>
      </c>
      <c r="D20" s="263">
        <v>2</v>
      </c>
      <c r="E20" s="2328">
        <v>16999</v>
      </c>
      <c r="F20" s="2328">
        <v>9364</v>
      </c>
      <c r="G20" s="1720">
        <v>7635</v>
      </c>
      <c r="H20" s="521">
        <v>10745</v>
      </c>
      <c r="I20" s="521">
        <v>5768</v>
      </c>
      <c r="J20" s="521">
        <v>76</v>
      </c>
      <c r="K20" s="521">
        <v>77</v>
      </c>
      <c r="L20" s="1720">
        <v>333</v>
      </c>
      <c r="M20" s="2328">
        <f t="shared" si="15"/>
        <v>3000</v>
      </c>
      <c r="N20" s="521">
        <f t="shared" si="16"/>
        <v>10659</v>
      </c>
      <c r="O20" s="1720">
        <f t="shared" si="17"/>
        <v>3340</v>
      </c>
      <c r="P20" s="2328">
        <v>1558</v>
      </c>
      <c r="Q20" s="521">
        <v>6276</v>
      </c>
      <c r="R20" s="521">
        <v>1530</v>
      </c>
      <c r="S20" s="2328">
        <v>1442</v>
      </c>
      <c r="T20" s="521">
        <v>4383</v>
      </c>
      <c r="U20" s="1720">
        <v>1810</v>
      </c>
      <c r="V20" s="1047">
        <f t="shared" si="18"/>
        <v>0.55085593270192368</v>
      </c>
      <c r="W20" s="1047">
        <f t="shared" si="19"/>
        <v>0.44914406729807638</v>
      </c>
      <c r="X20" s="2329">
        <f t="shared" si="20"/>
        <v>0.63209600564739099</v>
      </c>
      <c r="Y20" s="1047">
        <f t="shared" si="21"/>
        <v>0.33931407729866464</v>
      </c>
      <c r="Z20" s="1047">
        <f t="shared" si="22"/>
        <v>4.4708512265427382E-3</v>
      </c>
      <c r="AA20" s="1047">
        <f t="shared" si="23"/>
        <v>4.529678216365669E-3</v>
      </c>
      <c r="AB20" s="2330">
        <f t="shared" si="24"/>
        <v>1.9589387611035944E-2</v>
      </c>
      <c r="AC20" s="2331">
        <f t="shared" si="25"/>
        <v>0.17648096946879227</v>
      </c>
      <c r="AD20" s="524">
        <f t="shared" si="26"/>
        <v>0.62703688452261896</v>
      </c>
      <c r="AE20" s="2332">
        <f t="shared" si="27"/>
        <v>0.19648214600858874</v>
      </c>
      <c r="AF20" s="2328">
        <v>426</v>
      </c>
      <c r="AG20" s="265">
        <f t="shared" si="28"/>
        <v>2.5060297664568503E-2</v>
      </c>
    </row>
    <row r="21" spans="1:33" x14ac:dyDescent="0.3">
      <c r="A21" s="263" t="s">
        <v>42</v>
      </c>
      <c r="B21" s="263" t="s">
        <v>43</v>
      </c>
      <c r="C21" s="263" t="s">
        <v>253</v>
      </c>
      <c r="D21" s="263">
        <v>2</v>
      </c>
      <c r="E21" s="2328">
        <v>54973</v>
      </c>
      <c r="F21" s="2328">
        <v>26723</v>
      </c>
      <c r="G21" s="1720">
        <v>28250</v>
      </c>
      <c r="H21" s="521">
        <v>45018</v>
      </c>
      <c r="I21" s="521">
        <v>8015</v>
      </c>
      <c r="J21" s="521">
        <v>594</v>
      </c>
      <c r="K21" s="521">
        <v>236</v>
      </c>
      <c r="L21" s="1720">
        <v>1110</v>
      </c>
      <c r="M21" s="2328">
        <f t="shared" si="15"/>
        <v>10628</v>
      </c>
      <c r="N21" s="521">
        <f t="shared" si="16"/>
        <v>33402</v>
      </c>
      <c r="O21" s="1720">
        <f t="shared" si="17"/>
        <v>10943</v>
      </c>
      <c r="P21" s="2328">
        <v>5385</v>
      </c>
      <c r="Q21" s="521">
        <v>16510</v>
      </c>
      <c r="R21" s="521">
        <v>4828</v>
      </c>
      <c r="S21" s="2328">
        <v>5243</v>
      </c>
      <c r="T21" s="521">
        <v>16892</v>
      </c>
      <c r="U21" s="1720">
        <v>6115</v>
      </c>
      <c r="V21" s="1047">
        <f t="shared" si="18"/>
        <v>0.48611136376039149</v>
      </c>
      <c r="W21" s="1047">
        <f t="shared" si="19"/>
        <v>0.51388863623960856</v>
      </c>
      <c r="X21" s="2329">
        <f t="shared" si="20"/>
        <v>0.81891110181361759</v>
      </c>
      <c r="Y21" s="1047">
        <f t="shared" si="21"/>
        <v>0.14579884670656504</v>
      </c>
      <c r="Z21" s="1047">
        <f t="shared" si="22"/>
        <v>1.0805304422170883E-2</v>
      </c>
      <c r="AA21" s="1047">
        <f t="shared" si="23"/>
        <v>4.2930165717715973E-3</v>
      </c>
      <c r="AB21" s="2330">
        <f t="shared" si="24"/>
        <v>2.0191730485874883E-2</v>
      </c>
      <c r="AC21" s="2331">
        <f t="shared" si="25"/>
        <v>0.19333127171520564</v>
      </c>
      <c r="AD21" s="524">
        <f t="shared" si="26"/>
        <v>0.60760737089116479</v>
      </c>
      <c r="AE21" s="2332">
        <f t="shared" si="27"/>
        <v>0.1990613573936296</v>
      </c>
      <c r="AF21" s="2328">
        <v>1517</v>
      </c>
      <c r="AG21" s="265">
        <f t="shared" si="28"/>
        <v>2.7595364997362343E-2</v>
      </c>
    </row>
    <row r="22" spans="1:33" x14ac:dyDescent="0.3">
      <c r="A22" s="263" t="s">
        <v>44</v>
      </c>
      <c r="B22" s="263" t="s">
        <v>45</v>
      </c>
      <c r="C22" s="263" t="s">
        <v>254</v>
      </c>
      <c r="D22" s="263">
        <v>2</v>
      </c>
      <c r="E22" s="2328">
        <v>30772</v>
      </c>
      <c r="F22" s="2328">
        <v>15214</v>
      </c>
      <c r="G22" s="1720">
        <v>15558</v>
      </c>
      <c r="H22" s="521">
        <v>20717</v>
      </c>
      <c r="I22" s="521">
        <v>8449</v>
      </c>
      <c r="J22" s="521">
        <v>303</v>
      </c>
      <c r="K22" s="521">
        <v>269</v>
      </c>
      <c r="L22" s="1720">
        <v>1034</v>
      </c>
      <c r="M22" s="2328">
        <f t="shared" si="15"/>
        <v>7079</v>
      </c>
      <c r="N22" s="521">
        <f t="shared" si="16"/>
        <v>18643</v>
      </c>
      <c r="O22" s="1720">
        <f t="shared" si="17"/>
        <v>5050</v>
      </c>
      <c r="P22" s="2328">
        <v>3578</v>
      </c>
      <c r="Q22" s="521">
        <v>9374</v>
      </c>
      <c r="R22" s="521">
        <v>2262</v>
      </c>
      <c r="S22" s="2328">
        <v>3501</v>
      </c>
      <c r="T22" s="521">
        <v>9269</v>
      </c>
      <c r="U22" s="1720">
        <v>2788</v>
      </c>
      <c r="V22" s="1047">
        <f t="shared" si="18"/>
        <v>0.49441050305472506</v>
      </c>
      <c r="W22" s="1047">
        <f t="shared" si="19"/>
        <v>0.50558949694527489</v>
      </c>
      <c r="X22" s="2329">
        <f t="shared" si="20"/>
        <v>0.67324190822825947</v>
      </c>
      <c r="Y22" s="1047">
        <f t="shared" si="21"/>
        <v>0.27456778889899908</v>
      </c>
      <c r="Z22" s="1047">
        <f t="shared" si="22"/>
        <v>9.8466138047575719E-3</v>
      </c>
      <c r="AA22" s="1047">
        <f t="shared" si="23"/>
        <v>8.7417132458078774E-3</v>
      </c>
      <c r="AB22" s="2330">
        <f t="shared" si="24"/>
        <v>3.3601975822176007E-2</v>
      </c>
      <c r="AC22" s="2331">
        <f t="shared" si="25"/>
        <v>0.23004679578837905</v>
      </c>
      <c r="AD22" s="524">
        <f t="shared" si="26"/>
        <v>0.60584297413232813</v>
      </c>
      <c r="AE22" s="2332">
        <f t="shared" si="27"/>
        <v>0.16411023007929287</v>
      </c>
      <c r="AF22" s="2328">
        <v>1550</v>
      </c>
      <c r="AG22" s="265">
        <f t="shared" si="28"/>
        <v>5.0370466658000781E-2</v>
      </c>
    </row>
    <row r="23" spans="1:33" x14ac:dyDescent="0.3">
      <c r="A23" s="263" t="s">
        <v>46</v>
      </c>
      <c r="B23" s="263" t="s">
        <v>47</v>
      </c>
      <c r="C23" s="263" t="s">
        <v>256</v>
      </c>
      <c r="D23" s="263">
        <v>2</v>
      </c>
      <c r="E23" s="2328">
        <v>29636</v>
      </c>
      <c r="F23" s="2328">
        <v>14676</v>
      </c>
      <c r="G23" s="1720">
        <v>14960</v>
      </c>
      <c r="H23" s="521">
        <v>28849</v>
      </c>
      <c r="I23" s="521">
        <v>243</v>
      </c>
      <c r="J23" s="521">
        <v>66</v>
      </c>
      <c r="K23" s="521">
        <v>106</v>
      </c>
      <c r="L23" s="1720">
        <v>372</v>
      </c>
      <c r="M23" s="2328">
        <f t="shared" si="15"/>
        <v>5384</v>
      </c>
      <c r="N23" s="521">
        <f t="shared" si="16"/>
        <v>16993</v>
      </c>
      <c r="O23" s="1720">
        <f t="shared" si="17"/>
        <v>7259</v>
      </c>
      <c r="P23" s="2328">
        <v>2775</v>
      </c>
      <c r="Q23" s="521">
        <v>8544</v>
      </c>
      <c r="R23" s="521">
        <v>3357</v>
      </c>
      <c r="S23" s="2328">
        <v>2609</v>
      </c>
      <c r="T23" s="521">
        <v>8449</v>
      </c>
      <c r="U23" s="1720">
        <v>3902</v>
      </c>
      <c r="V23" s="1047">
        <f t="shared" si="18"/>
        <v>0.49520853016601429</v>
      </c>
      <c r="W23" s="1047">
        <f t="shared" si="19"/>
        <v>0.50479146983398571</v>
      </c>
      <c r="X23" s="2329">
        <f t="shared" si="20"/>
        <v>0.97344445944122016</v>
      </c>
      <c r="Y23" s="1047">
        <f t="shared" si="21"/>
        <v>8.1994871102712922E-3</v>
      </c>
      <c r="Z23" s="1047">
        <f t="shared" si="22"/>
        <v>2.2270211904440547E-3</v>
      </c>
      <c r="AA23" s="1047">
        <f t="shared" si="23"/>
        <v>3.5767310028343908E-3</v>
      </c>
      <c r="AB23" s="2330">
        <f t="shared" si="24"/>
        <v>1.2552301255230125E-2</v>
      </c>
      <c r="AC23" s="2331">
        <f t="shared" si="25"/>
        <v>0.18167094074773923</v>
      </c>
      <c r="AD23" s="524">
        <f t="shared" si="26"/>
        <v>0.57339047104872454</v>
      </c>
      <c r="AE23" s="2332">
        <f t="shared" si="27"/>
        <v>0.24493858820353623</v>
      </c>
      <c r="AF23" s="2328">
        <v>1096</v>
      </c>
      <c r="AG23" s="265">
        <f t="shared" si="28"/>
        <v>3.6982048859495208E-2</v>
      </c>
    </row>
    <row r="24" spans="1:33" x14ac:dyDescent="0.3">
      <c r="A24" s="263" t="s">
        <v>48</v>
      </c>
      <c r="B24" s="263" t="s">
        <v>257</v>
      </c>
      <c r="C24" s="263" t="s">
        <v>254</v>
      </c>
      <c r="D24" s="263">
        <v>1</v>
      </c>
      <c r="E24" s="2328">
        <v>6941</v>
      </c>
      <c r="F24" s="2328">
        <v>3345</v>
      </c>
      <c r="G24" s="1720">
        <v>3596</v>
      </c>
      <c r="H24" s="521">
        <v>3040</v>
      </c>
      <c r="I24" s="521">
        <v>3153</v>
      </c>
      <c r="J24" s="521">
        <v>40</v>
      </c>
      <c r="K24" s="521">
        <v>480</v>
      </c>
      <c r="L24" s="1720">
        <v>228</v>
      </c>
      <c r="M24" s="2328">
        <f t="shared" si="15"/>
        <v>1052</v>
      </c>
      <c r="N24" s="521">
        <f t="shared" si="16"/>
        <v>4181</v>
      </c>
      <c r="O24" s="1720">
        <f t="shared" si="17"/>
        <v>1708</v>
      </c>
      <c r="P24" s="2328">
        <v>519</v>
      </c>
      <c r="Q24" s="521">
        <v>2062</v>
      </c>
      <c r="R24" s="521">
        <v>764</v>
      </c>
      <c r="S24" s="2328">
        <v>533</v>
      </c>
      <c r="T24" s="521">
        <v>2119</v>
      </c>
      <c r="U24" s="1720">
        <v>944</v>
      </c>
      <c r="V24" s="1047">
        <f t="shared" si="18"/>
        <v>0.48191903183979251</v>
      </c>
      <c r="W24" s="1047">
        <f t="shared" si="19"/>
        <v>0.51808096816020743</v>
      </c>
      <c r="X24" s="2329">
        <f t="shared" si="20"/>
        <v>0.43797723670940786</v>
      </c>
      <c r="Y24" s="1047">
        <f t="shared" si="21"/>
        <v>0.4542573116265668</v>
      </c>
      <c r="Z24" s="1047">
        <f t="shared" si="22"/>
        <v>5.762858377755367E-3</v>
      </c>
      <c r="AA24" s="1047">
        <f t="shared" si="23"/>
        <v>6.91543005330644E-2</v>
      </c>
      <c r="AB24" s="2330">
        <f t="shared" si="24"/>
        <v>3.2848292753205589E-2</v>
      </c>
      <c r="AC24" s="2331">
        <f t="shared" si="25"/>
        <v>0.15156317533496613</v>
      </c>
      <c r="AD24" s="524">
        <f t="shared" si="26"/>
        <v>0.60236277193487975</v>
      </c>
      <c r="AE24" s="2332">
        <f t="shared" si="27"/>
        <v>0.24607405273015415</v>
      </c>
      <c r="AF24" s="2328">
        <v>124</v>
      </c>
      <c r="AG24" s="265">
        <f t="shared" si="28"/>
        <v>1.7864860971041636E-2</v>
      </c>
    </row>
    <row r="25" spans="1:33" x14ac:dyDescent="0.3">
      <c r="A25" s="263" t="s">
        <v>50</v>
      </c>
      <c r="B25" s="263" t="s">
        <v>51</v>
      </c>
      <c r="C25" s="263" t="s">
        <v>253</v>
      </c>
      <c r="D25" s="263">
        <v>2</v>
      </c>
      <c r="E25" s="2328">
        <v>11938</v>
      </c>
      <c r="F25" s="2328">
        <v>5896</v>
      </c>
      <c r="G25" s="1720">
        <v>6042</v>
      </c>
      <c r="H25" s="521">
        <v>8272</v>
      </c>
      <c r="I25" s="521">
        <v>3356</v>
      </c>
      <c r="J25" s="521">
        <v>39</v>
      </c>
      <c r="K25" s="521">
        <v>46</v>
      </c>
      <c r="L25" s="1720">
        <v>225</v>
      </c>
      <c r="M25" s="2328">
        <f t="shared" si="15"/>
        <v>2491</v>
      </c>
      <c r="N25" s="521">
        <f t="shared" si="16"/>
        <v>6793</v>
      </c>
      <c r="O25" s="1720">
        <f t="shared" si="17"/>
        <v>2654</v>
      </c>
      <c r="P25" s="2328">
        <v>1306</v>
      </c>
      <c r="Q25" s="521">
        <v>3396</v>
      </c>
      <c r="R25" s="521">
        <v>1194</v>
      </c>
      <c r="S25" s="2328">
        <v>1185</v>
      </c>
      <c r="T25" s="521">
        <v>3397</v>
      </c>
      <c r="U25" s="1720">
        <v>1460</v>
      </c>
      <c r="V25" s="1047">
        <f t="shared" si="18"/>
        <v>0.49388507287652872</v>
      </c>
      <c r="W25" s="1047">
        <f t="shared" si="19"/>
        <v>0.50611492712347128</v>
      </c>
      <c r="X25" s="2329">
        <f t="shared" si="20"/>
        <v>0.69291338582677164</v>
      </c>
      <c r="Y25" s="1047">
        <f t="shared" si="21"/>
        <v>0.28111911542972023</v>
      </c>
      <c r="Z25" s="1047">
        <f t="shared" si="22"/>
        <v>3.2668788741832804E-3</v>
      </c>
      <c r="AA25" s="1047">
        <f t="shared" si="23"/>
        <v>3.8532417490366897E-3</v>
      </c>
      <c r="AB25" s="2330">
        <f t="shared" si="24"/>
        <v>1.8847378120288156E-2</v>
      </c>
      <c r="AC25" s="2331">
        <f t="shared" si="25"/>
        <v>0.20866141732283464</v>
      </c>
      <c r="AD25" s="524">
        <f t="shared" si="26"/>
        <v>0.56902328698274418</v>
      </c>
      <c r="AE25" s="2332">
        <f t="shared" si="27"/>
        <v>0.22231529569442118</v>
      </c>
      <c r="AF25" s="2328">
        <v>246</v>
      </c>
      <c r="AG25" s="265">
        <f t="shared" si="28"/>
        <v>2.0606466744848385E-2</v>
      </c>
    </row>
    <row r="26" spans="1:33" x14ac:dyDescent="0.3">
      <c r="A26" s="263" t="s">
        <v>56</v>
      </c>
      <c r="B26" s="263" t="s">
        <v>283</v>
      </c>
      <c r="C26" s="263" t="s">
        <v>254</v>
      </c>
      <c r="D26" s="263">
        <v>3</v>
      </c>
      <c r="E26" s="2328">
        <v>366389</v>
      </c>
      <c r="F26" s="2328">
        <v>176204</v>
      </c>
      <c r="G26" s="1720">
        <v>190185</v>
      </c>
      <c r="H26" s="521">
        <v>251927</v>
      </c>
      <c r="I26" s="521">
        <v>87628</v>
      </c>
      <c r="J26" s="521">
        <v>13672</v>
      </c>
      <c r="K26" s="521">
        <v>2703</v>
      </c>
      <c r="L26" s="1720">
        <v>10459</v>
      </c>
      <c r="M26" s="2328">
        <f t="shared" si="15"/>
        <v>87094</v>
      </c>
      <c r="N26" s="521">
        <f t="shared" si="16"/>
        <v>223772</v>
      </c>
      <c r="O26" s="1720">
        <f t="shared" si="17"/>
        <v>55523</v>
      </c>
      <c r="P26" s="2328">
        <v>44815</v>
      </c>
      <c r="Q26" s="521">
        <v>106895</v>
      </c>
      <c r="R26" s="521">
        <v>24494</v>
      </c>
      <c r="S26" s="2328">
        <v>42279</v>
      </c>
      <c r="T26" s="521">
        <v>116877</v>
      </c>
      <c r="U26" s="1720">
        <v>31029</v>
      </c>
      <c r="V26" s="1047">
        <f t="shared" si="18"/>
        <v>0.48092055165411624</v>
      </c>
      <c r="W26" s="1047">
        <f t="shared" si="19"/>
        <v>0.51907944834588371</v>
      </c>
      <c r="X26" s="2329">
        <f t="shared" si="20"/>
        <v>0.68759433279929261</v>
      </c>
      <c r="Y26" s="1047">
        <f t="shared" si="21"/>
        <v>0.23916656886533166</v>
      </c>
      <c r="Z26" s="1047">
        <f t="shared" si="22"/>
        <v>3.7315530761021759E-2</v>
      </c>
      <c r="AA26" s="1047">
        <f t="shared" si="23"/>
        <v>7.3774048893389269E-3</v>
      </c>
      <c r="AB26" s="2330">
        <f t="shared" si="24"/>
        <v>2.8546162685015107E-2</v>
      </c>
      <c r="AC26" s="2331">
        <f t="shared" si="25"/>
        <v>0.23770910152870309</v>
      </c>
      <c r="AD26" s="524">
        <f t="shared" si="26"/>
        <v>0.61074977687648924</v>
      </c>
      <c r="AE26" s="2332">
        <f t="shared" si="27"/>
        <v>0.1515411215948077</v>
      </c>
      <c r="AF26" s="2328">
        <v>33014</v>
      </c>
      <c r="AG26" s="265">
        <f t="shared" si="28"/>
        <v>9.0106416950290535E-2</v>
      </c>
    </row>
    <row r="27" spans="1:33" x14ac:dyDescent="0.3">
      <c r="A27" s="263" t="s">
        <v>58</v>
      </c>
      <c r="B27" s="263" t="s">
        <v>59</v>
      </c>
      <c r="C27" s="263" t="s">
        <v>255</v>
      </c>
      <c r="D27" s="263">
        <v>1</v>
      </c>
      <c r="E27" s="2328">
        <v>14523</v>
      </c>
      <c r="F27" s="2328">
        <v>7238</v>
      </c>
      <c r="G27" s="1720">
        <v>7285</v>
      </c>
      <c r="H27" s="521">
        <v>13165</v>
      </c>
      <c r="I27" s="521">
        <v>691</v>
      </c>
      <c r="J27" s="521">
        <v>214</v>
      </c>
      <c r="K27" s="521">
        <v>96</v>
      </c>
      <c r="L27" s="1720">
        <v>357</v>
      </c>
      <c r="M27" s="2328">
        <f t="shared" si="15"/>
        <v>2888</v>
      </c>
      <c r="N27" s="521">
        <f t="shared" si="16"/>
        <v>8567</v>
      </c>
      <c r="O27" s="1720">
        <f t="shared" si="17"/>
        <v>3068</v>
      </c>
      <c r="P27" s="2328">
        <v>1458</v>
      </c>
      <c r="Q27" s="521">
        <v>4333</v>
      </c>
      <c r="R27" s="521">
        <v>1447</v>
      </c>
      <c r="S27" s="2328">
        <v>1430</v>
      </c>
      <c r="T27" s="521">
        <v>4234</v>
      </c>
      <c r="U27" s="1720">
        <v>1621</v>
      </c>
      <c r="V27" s="1047">
        <f t="shared" si="18"/>
        <v>0.49838187702265374</v>
      </c>
      <c r="W27" s="1047">
        <f t="shared" si="19"/>
        <v>0.50161812297734631</v>
      </c>
      <c r="X27" s="2329">
        <f t="shared" si="20"/>
        <v>0.90649314879845766</v>
      </c>
      <c r="Y27" s="1047">
        <f t="shared" si="21"/>
        <v>4.7579701163671419E-2</v>
      </c>
      <c r="Z27" s="1047">
        <f t="shared" si="22"/>
        <v>1.4735247538387385E-2</v>
      </c>
      <c r="AA27" s="1047">
        <f t="shared" si="23"/>
        <v>6.6102045032018176E-3</v>
      </c>
      <c r="AB27" s="2330">
        <f t="shared" si="24"/>
        <v>2.4581697996281762E-2</v>
      </c>
      <c r="AC27" s="2331">
        <f t="shared" si="25"/>
        <v>0.19885698547132136</v>
      </c>
      <c r="AD27" s="524">
        <f t="shared" si="26"/>
        <v>0.58989189561385391</v>
      </c>
      <c r="AE27" s="2332">
        <f t="shared" si="27"/>
        <v>0.21125111891482476</v>
      </c>
      <c r="AF27" s="2328">
        <v>908</v>
      </c>
      <c r="AG27" s="265">
        <f t="shared" si="28"/>
        <v>6.2521517592783862E-2</v>
      </c>
    </row>
    <row r="28" spans="1:33" x14ac:dyDescent="0.3">
      <c r="A28" s="263" t="s">
        <v>60</v>
      </c>
      <c r="B28" s="263" t="s">
        <v>61</v>
      </c>
      <c r="C28" s="263" t="s">
        <v>253</v>
      </c>
      <c r="D28" s="263">
        <v>1</v>
      </c>
      <c r="E28" s="2328">
        <v>5064</v>
      </c>
      <c r="F28" s="2328">
        <v>2508</v>
      </c>
      <c r="G28" s="1720">
        <v>2556</v>
      </c>
      <c r="H28" s="521">
        <v>4970</v>
      </c>
      <c r="I28" s="521">
        <v>22</v>
      </c>
      <c r="J28" s="521">
        <v>8</v>
      </c>
      <c r="K28" s="521">
        <v>20</v>
      </c>
      <c r="L28" s="1720">
        <v>44</v>
      </c>
      <c r="M28" s="2328">
        <f t="shared" si="15"/>
        <v>888</v>
      </c>
      <c r="N28" s="521">
        <f t="shared" si="16"/>
        <v>2991</v>
      </c>
      <c r="O28" s="1720">
        <f t="shared" si="17"/>
        <v>1185</v>
      </c>
      <c r="P28" s="2328">
        <v>457</v>
      </c>
      <c r="Q28" s="521">
        <v>1510</v>
      </c>
      <c r="R28" s="521">
        <v>541</v>
      </c>
      <c r="S28" s="2328">
        <v>431</v>
      </c>
      <c r="T28" s="521">
        <v>1481</v>
      </c>
      <c r="U28" s="1720">
        <v>644</v>
      </c>
      <c r="V28" s="1047">
        <f t="shared" si="18"/>
        <v>0.49526066350710901</v>
      </c>
      <c r="W28" s="1047">
        <f t="shared" si="19"/>
        <v>0.50473933649289104</v>
      </c>
      <c r="X28" s="2329">
        <f t="shared" si="20"/>
        <v>0.98143759873617697</v>
      </c>
      <c r="Y28" s="1047">
        <f t="shared" si="21"/>
        <v>4.344391785150079E-3</v>
      </c>
      <c r="Z28" s="1047">
        <f t="shared" si="22"/>
        <v>1.5797788309636651E-3</v>
      </c>
      <c r="AA28" s="1047">
        <f t="shared" si="23"/>
        <v>3.9494470774091624E-3</v>
      </c>
      <c r="AB28" s="2330">
        <f t="shared" si="24"/>
        <v>8.6887835703001581E-3</v>
      </c>
      <c r="AC28" s="2331">
        <f t="shared" si="25"/>
        <v>0.17535545023696683</v>
      </c>
      <c r="AD28" s="524">
        <f t="shared" si="26"/>
        <v>0.59063981042654023</v>
      </c>
      <c r="AE28" s="2332">
        <f t="shared" si="27"/>
        <v>0.23400473933649288</v>
      </c>
      <c r="AF28" s="2328">
        <v>75</v>
      </c>
      <c r="AG28" s="265">
        <f t="shared" si="28"/>
        <v>1.481042654028436E-2</v>
      </c>
    </row>
    <row r="29" spans="1:33" x14ac:dyDescent="0.3">
      <c r="A29" s="263" t="s">
        <v>62</v>
      </c>
      <c r="B29" s="263" t="s">
        <v>63</v>
      </c>
      <c r="C29" s="263" t="s">
        <v>255</v>
      </c>
      <c r="D29" s="263">
        <v>2</v>
      </c>
      <c r="E29" s="2328">
        <v>51859</v>
      </c>
      <c r="F29" s="2328">
        <v>25944</v>
      </c>
      <c r="G29" s="1720">
        <v>25915</v>
      </c>
      <c r="H29" s="521">
        <v>41163</v>
      </c>
      <c r="I29" s="521">
        <v>7692</v>
      </c>
      <c r="J29" s="521">
        <v>880</v>
      </c>
      <c r="K29" s="521">
        <v>489</v>
      </c>
      <c r="L29" s="1720">
        <v>1635</v>
      </c>
      <c r="M29" s="2328">
        <f t="shared" si="15"/>
        <v>12864</v>
      </c>
      <c r="N29" s="521">
        <f t="shared" si="16"/>
        <v>30836</v>
      </c>
      <c r="O29" s="1720">
        <f t="shared" si="17"/>
        <v>8159</v>
      </c>
      <c r="P29" s="2328">
        <v>6455</v>
      </c>
      <c r="Q29" s="521">
        <v>15705</v>
      </c>
      <c r="R29" s="521">
        <v>3784</v>
      </c>
      <c r="S29" s="2328">
        <v>6409</v>
      </c>
      <c r="T29" s="521">
        <v>15131</v>
      </c>
      <c r="U29" s="1720">
        <v>4375</v>
      </c>
      <c r="V29" s="1047">
        <f t="shared" si="18"/>
        <v>0.50027960431169127</v>
      </c>
      <c r="W29" s="1047">
        <f t="shared" si="19"/>
        <v>0.49972039568830867</v>
      </c>
      <c r="X29" s="2329">
        <f t="shared" si="20"/>
        <v>0.79374843325170175</v>
      </c>
      <c r="Y29" s="1047">
        <f t="shared" si="21"/>
        <v>0.14832526658824891</v>
      </c>
      <c r="Z29" s="1047">
        <f t="shared" si="22"/>
        <v>1.6969089261266126E-2</v>
      </c>
      <c r="AA29" s="1047">
        <f t="shared" si="23"/>
        <v>9.4294143735899269E-3</v>
      </c>
      <c r="AB29" s="2330">
        <f t="shared" si="24"/>
        <v>3.1527796525193309E-2</v>
      </c>
      <c r="AC29" s="2331">
        <f t="shared" si="25"/>
        <v>0.24805723211014483</v>
      </c>
      <c r="AD29" s="524">
        <f t="shared" si="26"/>
        <v>0.59461231415954796</v>
      </c>
      <c r="AE29" s="2332">
        <f t="shared" si="27"/>
        <v>0.15733045373030718</v>
      </c>
      <c r="AF29" s="2328">
        <v>5851</v>
      </c>
      <c r="AG29" s="265">
        <f t="shared" si="28"/>
        <v>0.11282516053144102</v>
      </c>
    </row>
    <row r="30" spans="1:33" x14ac:dyDescent="0.3">
      <c r="A30" s="263" t="s">
        <v>64</v>
      </c>
      <c r="B30" s="263" t="s">
        <v>65</v>
      </c>
      <c r="C30" s="263" t="s">
        <v>254</v>
      </c>
      <c r="D30" s="263">
        <v>1</v>
      </c>
      <c r="E30" s="2328">
        <v>9809</v>
      </c>
      <c r="F30" s="2328">
        <v>4736</v>
      </c>
      <c r="G30" s="1720">
        <v>5073</v>
      </c>
      <c r="H30" s="521">
        <v>6448</v>
      </c>
      <c r="I30" s="521">
        <v>3026</v>
      </c>
      <c r="J30" s="521">
        <v>41</v>
      </c>
      <c r="K30" s="521">
        <v>68</v>
      </c>
      <c r="L30" s="1720">
        <v>226</v>
      </c>
      <c r="M30" s="2328">
        <f t="shared" si="15"/>
        <v>1900</v>
      </c>
      <c r="N30" s="521">
        <f t="shared" si="16"/>
        <v>5710</v>
      </c>
      <c r="O30" s="1720">
        <f t="shared" si="17"/>
        <v>2199</v>
      </c>
      <c r="P30" s="2328">
        <v>954</v>
      </c>
      <c r="Q30" s="521">
        <v>2780</v>
      </c>
      <c r="R30" s="521">
        <v>1002</v>
      </c>
      <c r="S30" s="2328">
        <v>946</v>
      </c>
      <c r="T30" s="521">
        <v>2930</v>
      </c>
      <c r="U30" s="1720">
        <v>1197</v>
      </c>
      <c r="V30" s="1047">
        <f t="shared" si="18"/>
        <v>0.48282189825670302</v>
      </c>
      <c r="W30" s="1047">
        <f t="shared" si="19"/>
        <v>0.51717810174329693</v>
      </c>
      <c r="X30" s="2329">
        <f t="shared" si="20"/>
        <v>0.65735548985625447</v>
      </c>
      <c r="Y30" s="1047">
        <f t="shared" si="21"/>
        <v>0.30849220103986136</v>
      </c>
      <c r="Z30" s="1047">
        <f t="shared" si="22"/>
        <v>4.1798348455500053E-3</v>
      </c>
      <c r="AA30" s="1047">
        <f t="shared" si="23"/>
        <v>6.9324090121317154E-3</v>
      </c>
      <c r="AB30" s="2330">
        <f t="shared" si="24"/>
        <v>2.3040065246202467E-2</v>
      </c>
      <c r="AC30" s="2331">
        <f t="shared" si="25"/>
        <v>0.19369966357426852</v>
      </c>
      <c r="AD30" s="524">
        <f t="shared" si="26"/>
        <v>0.58211846263635436</v>
      </c>
      <c r="AE30" s="2332">
        <f t="shared" si="27"/>
        <v>0.2241818737893771</v>
      </c>
      <c r="AF30" s="2328">
        <v>290</v>
      </c>
      <c r="AG30" s="265">
        <f t="shared" si="28"/>
        <v>2.9564685492914671E-2</v>
      </c>
    </row>
    <row r="31" spans="1:33" x14ac:dyDescent="0.3">
      <c r="A31" s="263" t="s">
        <v>68</v>
      </c>
      <c r="B31" s="263" t="s">
        <v>69</v>
      </c>
      <c r="C31" s="263" t="s">
        <v>256</v>
      </c>
      <c r="D31" s="263">
        <v>2</v>
      </c>
      <c r="E31" s="2328">
        <v>14523</v>
      </c>
      <c r="F31" s="2328">
        <v>7360</v>
      </c>
      <c r="G31" s="1720">
        <v>7163</v>
      </c>
      <c r="H31" s="521">
        <v>14276</v>
      </c>
      <c r="I31" s="521">
        <v>70</v>
      </c>
      <c r="J31" s="521">
        <v>31</v>
      </c>
      <c r="K31" s="521">
        <v>39</v>
      </c>
      <c r="L31" s="1720">
        <v>107</v>
      </c>
      <c r="M31" s="2328">
        <f t="shared" si="15"/>
        <v>2871</v>
      </c>
      <c r="N31" s="521">
        <f t="shared" si="16"/>
        <v>8454</v>
      </c>
      <c r="O31" s="1720">
        <f t="shared" si="17"/>
        <v>3198</v>
      </c>
      <c r="P31" s="2328">
        <v>1485</v>
      </c>
      <c r="Q31" s="521">
        <v>4411</v>
      </c>
      <c r="R31" s="521">
        <v>1464</v>
      </c>
      <c r="S31" s="2328">
        <v>1386</v>
      </c>
      <c r="T31" s="521">
        <v>4043</v>
      </c>
      <c r="U31" s="1720">
        <v>1734</v>
      </c>
      <c r="V31" s="1047">
        <f t="shared" si="18"/>
        <v>0.50678234524547272</v>
      </c>
      <c r="W31" s="1047">
        <f t="shared" si="19"/>
        <v>0.49321765475452728</v>
      </c>
      <c r="X31" s="2329">
        <f t="shared" si="20"/>
        <v>0.98299249466363703</v>
      </c>
      <c r="Y31" s="1047">
        <f t="shared" si="21"/>
        <v>4.819940783584659E-3</v>
      </c>
      <c r="Z31" s="1047">
        <f t="shared" si="22"/>
        <v>2.1345452041589205E-3</v>
      </c>
      <c r="AA31" s="1047">
        <f t="shared" si="23"/>
        <v>2.6853955794257384E-3</v>
      </c>
      <c r="AB31" s="2330">
        <f t="shared" si="24"/>
        <v>7.3676237691936925E-3</v>
      </c>
      <c r="AC31" s="2331">
        <f t="shared" si="25"/>
        <v>0.19768642842387937</v>
      </c>
      <c r="AD31" s="524">
        <f t="shared" si="26"/>
        <v>0.58211113406321013</v>
      </c>
      <c r="AE31" s="2332">
        <f t="shared" si="27"/>
        <v>0.22020243751291055</v>
      </c>
      <c r="AF31" s="2328">
        <v>146</v>
      </c>
      <c r="AG31" s="265">
        <f t="shared" si="28"/>
        <v>1.0053019348619432E-2</v>
      </c>
    </row>
    <row r="32" spans="1:33" x14ac:dyDescent="0.3">
      <c r="A32" s="263" t="s">
        <v>70</v>
      </c>
      <c r="B32" s="263" t="s">
        <v>71</v>
      </c>
      <c r="C32" s="263" t="s">
        <v>252</v>
      </c>
      <c r="D32" s="263">
        <v>2</v>
      </c>
      <c r="E32" s="2328">
        <v>28529</v>
      </c>
      <c r="F32" s="2328">
        <v>13941</v>
      </c>
      <c r="G32" s="1720">
        <v>14588</v>
      </c>
      <c r="H32" s="521">
        <v>18400</v>
      </c>
      <c r="I32" s="521">
        <v>9255</v>
      </c>
      <c r="J32" s="521">
        <v>256</v>
      </c>
      <c r="K32" s="521">
        <v>141</v>
      </c>
      <c r="L32" s="1720">
        <v>477</v>
      </c>
      <c r="M32" s="2328">
        <f t="shared" si="15"/>
        <v>5686</v>
      </c>
      <c r="N32" s="521">
        <f t="shared" si="16"/>
        <v>17862</v>
      </c>
      <c r="O32" s="1720">
        <f t="shared" si="17"/>
        <v>4981</v>
      </c>
      <c r="P32" s="2328">
        <v>2884</v>
      </c>
      <c r="Q32" s="521">
        <v>8805</v>
      </c>
      <c r="R32" s="521">
        <v>2252</v>
      </c>
      <c r="S32" s="2328">
        <v>2802</v>
      </c>
      <c r="T32" s="521">
        <v>9057</v>
      </c>
      <c r="U32" s="1720">
        <v>2729</v>
      </c>
      <c r="V32" s="1047">
        <f t="shared" si="18"/>
        <v>0.48866066108170636</v>
      </c>
      <c r="W32" s="1047">
        <f t="shared" si="19"/>
        <v>0.51133933891829364</v>
      </c>
      <c r="X32" s="2329">
        <f t="shared" si="20"/>
        <v>0.64495776227698132</v>
      </c>
      <c r="Y32" s="1047">
        <f t="shared" si="21"/>
        <v>0.32440674401486208</v>
      </c>
      <c r="Z32" s="1047">
        <f t="shared" si="22"/>
        <v>8.9733253882014787E-3</v>
      </c>
      <c r="AA32" s="1047">
        <f t="shared" si="23"/>
        <v>4.9423393739703456E-3</v>
      </c>
      <c r="AB32" s="2330">
        <f t="shared" si="24"/>
        <v>1.6719828945984786E-2</v>
      </c>
      <c r="AC32" s="2331">
        <f t="shared" si="25"/>
        <v>0.19930596936450629</v>
      </c>
      <c r="AD32" s="524">
        <f t="shared" si="26"/>
        <v>0.62609975814083918</v>
      </c>
      <c r="AE32" s="2332">
        <f t="shared" si="27"/>
        <v>0.17459427249465456</v>
      </c>
      <c r="AF32" s="2328">
        <v>1100</v>
      </c>
      <c r="AG32" s="265">
        <f t="shared" si="28"/>
        <v>3.8557257527428231E-2</v>
      </c>
    </row>
    <row r="33" spans="1:33" x14ac:dyDescent="0.3">
      <c r="A33" s="263" t="s">
        <v>72</v>
      </c>
      <c r="B33" s="263" t="s">
        <v>73</v>
      </c>
      <c r="C33" s="263" t="s">
        <v>254</v>
      </c>
      <c r="D33" s="263">
        <v>1</v>
      </c>
      <c r="E33" s="2328">
        <v>10919</v>
      </c>
      <c r="F33" s="2328">
        <v>5113</v>
      </c>
      <c r="G33" s="1720">
        <v>5806</v>
      </c>
      <c r="H33" s="521">
        <v>6209</v>
      </c>
      <c r="I33" s="521">
        <v>4159</v>
      </c>
      <c r="J33" s="521">
        <v>116</v>
      </c>
      <c r="K33" s="521">
        <v>121</v>
      </c>
      <c r="L33" s="1720">
        <v>314</v>
      </c>
      <c r="M33" s="2328">
        <f t="shared" si="15"/>
        <v>2028</v>
      </c>
      <c r="N33" s="521">
        <f t="shared" si="16"/>
        <v>6361</v>
      </c>
      <c r="O33" s="1720">
        <f t="shared" si="17"/>
        <v>2530</v>
      </c>
      <c r="P33" s="2328">
        <v>995</v>
      </c>
      <c r="Q33" s="521">
        <v>2993</v>
      </c>
      <c r="R33" s="521">
        <v>1125</v>
      </c>
      <c r="S33" s="2328">
        <v>1033</v>
      </c>
      <c r="T33" s="521">
        <v>3368</v>
      </c>
      <c r="U33" s="1720">
        <v>1405</v>
      </c>
      <c r="V33" s="1047">
        <f t="shared" si="18"/>
        <v>0.46826632475501417</v>
      </c>
      <c r="W33" s="1047">
        <f t="shared" si="19"/>
        <v>0.53173367524498583</v>
      </c>
      <c r="X33" s="2329">
        <f t="shared" si="20"/>
        <v>0.5686418170162103</v>
      </c>
      <c r="Y33" s="1047">
        <f t="shared" si="21"/>
        <v>0.38089568641817018</v>
      </c>
      <c r="Z33" s="1047">
        <f t="shared" si="22"/>
        <v>1.0623683487498856E-2</v>
      </c>
      <c r="AA33" s="1047">
        <f t="shared" si="23"/>
        <v>1.1081600879201393E-2</v>
      </c>
      <c r="AB33" s="2330">
        <f t="shared" si="24"/>
        <v>2.8757212198919316E-2</v>
      </c>
      <c r="AC33" s="2331">
        <f t="shared" si="25"/>
        <v>0.18573129407454894</v>
      </c>
      <c r="AD33" s="524">
        <f t="shared" si="26"/>
        <v>0.58256250572396739</v>
      </c>
      <c r="AE33" s="2332">
        <f t="shared" si="27"/>
        <v>0.23170620020148366</v>
      </c>
      <c r="AF33" s="2328">
        <v>424</v>
      </c>
      <c r="AG33" s="265">
        <f t="shared" si="28"/>
        <v>3.8831394816375125E-2</v>
      </c>
    </row>
    <row r="34" spans="1:33" x14ac:dyDescent="0.3">
      <c r="A34" s="263" t="s">
        <v>74</v>
      </c>
      <c r="B34" s="263" t="s">
        <v>525</v>
      </c>
      <c r="C34" s="263" t="s">
        <v>255</v>
      </c>
      <c r="D34" s="263">
        <v>3</v>
      </c>
      <c r="E34" s="2328">
        <v>1190141</v>
      </c>
      <c r="F34" s="2328">
        <v>590338</v>
      </c>
      <c r="G34" s="1720">
        <v>599803</v>
      </c>
      <c r="H34" s="521">
        <v>774988</v>
      </c>
      <c r="I34" s="521">
        <v>123022</v>
      </c>
      <c r="J34" s="521">
        <v>238766</v>
      </c>
      <c r="K34" s="521">
        <v>7674</v>
      </c>
      <c r="L34" s="1720">
        <v>45691</v>
      </c>
      <c r="M34" s="2328">
        <f t="shared" si="15"/>
        <v>279212</v>
      </c>
      <c r="N34" s="521">
        <f t="shared" si="16"/>
        <v>750621</v>
      </c>
      <c r="O34" s="1720">
        <f t="shared" si="17"/>
        <v>160308</v>
      </c>
      <c r="P34" s="2328">
        <v>142925</v>
      </c>
      <c r="Q34" s="521">
        <v>374202</v>
      </c>
      <c r="R34" s="521">
        <v>73211</v>
      </c>
      <c r="S34" s="2328">
        <v>136287</v>
      </c>
      <c r="T34" s="521">
        <v>376419</v>
      </c>
      <c r="U34" s="1720">
        <v>87097</v>
      </c>
      <c r="V34" s="1047">
        <f t="shared" si="18"/>
        <v>0.49602358039929723</v>
      </c>
      <c r="W34" s="1047">
        <f t="shared" si="19"/>
        <v>0.50397641960070272</v>
      </c>
      <c r="X34" s="2329">
        <f t="shared" si="20"/>
        <v>0.65117326434430878</v>
      </c>
      <c r="Y34" s="1047">
        <f t="shared" si="21"/>
        <v>0.10336758417700087</v>
      </c>
      <c r="Z34" s="1047">
        <f t="shared" si="22"/>
        <v>0.20061992654651845</v>
      </c>
      <c r="AA34" s="1047">
        <f t="shared" si="23"/>
        <v>6.4479754919795221E-3</v>
      </c>
      <c r="AB34" s="2330">
        <f t="shared" si="24"/>
        <v>3.8391249440192378E-2</v>
      </c>
      <c r="AC34" s="2331">
        <f t="shared" si="25"/>
        <v>0.2346041351402901</v>
      </c>
      <c r="AD34" s="524">
        <f t="shared" si="26"/>
        <v>0.63069921967229092</v>
      </c>
      <c r="AE34" s="2332">
        <f t="shared" si="27"/>
        <v>0.13469664518741897</v>
      </c>
      <c r="AF34" s="2328">
        <v>194539</v>
      </c>
      <c r="AG34" s="265">
        <f t="shared" si="28"/>
        <v>0.16345878345506962</v>
      </c>
    </row>
    <row r="35" spans="1:33" x14ac:dyDescent="0.3">
      <c r="A35" s="263" t="s">
        <v>76</v>
      </c>
      <c r="B35" s="263" t="s">
        <v>77</v>
      </c>
      <c r="C35" s="263" t="s">
        <v>255</v>
      </c>
      <c r="D35" s="263">
        <v>2</v>
      </c>
      <c r="E35" s="2328">
        <v>70675</v>
      </c>
      <c r="F35" s="2328">
        <v>34991</v>
      </c>
      <c r="G35" s="1720">
        <v>35684</v>
      </c>
      <c r="H35" s="521">
        <v>61626</v>
      </c>
      <c r="I35" s="521">
        <v>5525</v>
      </c>
      <c r="J35" s="521">
        <v>1183</v>
      </c>
      <c r="K35" s="521">
        <v>419</v>
      </c>
      <c r="L35" s="1720">
        <v>1922</v>
      </c>
      <c r="M35" s="2328">
        <f t="shared" si="15"/>
        <v>16513</v>
      </c>
      <c r="N35" s="521">
        <f t="shared" si="16"/>
        <v>42542</v>
      </c>
      <c r="O35" s="1720">
        <f t="shared" si="17"/>
        <v>11620</v>
      </c>
      <c r="P35" s="2328">
        <v>8451</v>
      </c>
      <c r="Q35" s="521">
        <v>21135</v>
      </c>
      <c r="R35" s="521">
        <v>5405</v>
      </c>
      <c r="S35" s="2328">
        <v>8062</v>
      </c>
      <c r="T35" s="521">
        <v>21407</v>
      </c>
      <c r="U35" s="1720">
        <v>6215</v>
      </c>
      <c r="V35" s="1047">
        <f t="shared" si="18"/>
        <v>0.49509727626459143</v>
      </c>
      <c r="W35" s="1047">
        <f t="shared" si="19"/>
        <v>0.50490272373540857</v>
      </c>
      <c r="X35" s="2329">
        <f t="shared" si="20"/>
        <v>0.87196321188539083</v>
      </c>
      <c r="Y35" s="1047">
        <f t="shared" si="21"/>
        <v>7.8174743544393355E-2</v>
      </c>
      <c r="Z35" s="1047">
        <f t="shared" si="22"/>
        <v>1.6738592147152457E-2</v>
      </c>
      <c r="AA35" s="1047">
        <f t="shared" si="23"/>
        <v>5.9285461620091967E-3</v>
      </c>
      <c r="AB35" s="2330">
        <f t="shared" si="24"/>
        <v>2.7194906261054121E-2</v>
      </c>
      <c r="AC35" s="2331">
        <f t="shared" si="25"/>
        <v>0.23364697559250089</v>
      </c>
      <c r="AD35" s="524">
        <f t="shared" si="26"/>
        <v>0.60193845065440399</v>
      </c>
      <c r="AE35" s="2332">
        <f t="shared" si="27"/>
        <v>0.16441457375309515</v>
      </c>
      <c r="AF35" s="2328">
        <v>6316</v>
      </c>
      <c r="AG35" s="265">
        <f t="shared" si="28"/>
        <v>8.9366819950477544E-2</v>
      </c>
    </row>
    <row r="36" spans="1:33" x14ac:dyDescent="0.3">
      <c r="A36" s="263" t="s">
        <v>78</v>
      </c>
      <c r="B36" s="263" t="s">
        <v>79</v>
      </c>
      <c r="C36" s="263" t="s">
        <v>256</v>
      </c>
      <c r="D36" s="263">
        <v>1</v>
      </c>
      <c r="E36" s="2328">
        <v>15795</v>
      </c>
      <c r="F36" s="2328">
        <v>7939</v>
      </c>
      <c r="G36" s="1720">
        <v>7856</v>
      </c>
      <c r="H36" s="521">
        <v>15106</v>
      </c>
      <c r="I36" s="521">
        <v>327</v>
      </c>
      <c r="J36" s="521">
        <v>75</v>
      </c>
      <c r="K36" s="521">
        <v>38</v>
      </c>
      <c r="L36" s="1720">
        <v>249</v>
      </c>
      <c r="M36" s="2328">
        <f t="shared" si="15"/>
        <v>3112</v>
      </c>
      <c r="N36" s="521">
        <f t="shared" si="16"/>
        <v>9079</v>
      </c>
      <c r="O36" s="1720">
        <f t="shared" si="17"/>
        <v>3604</v>
      </c>
      <c r="P36" s="2328">
        <v>1623</v>
      </c>
      <c r="Q36" s="521">
        <v>4608</v>
      </c>
      <c r="R36" s="521">
        <v>1708</v>
      </c>
      <c r="S36" s="2328">
        <v>1489</v>
      </c>
      <c r="T36" s="521">
        <v>4471</v>
      </c>
      <c r="U36" s="1720">
        <v>1896</v>
      </c>
      <c r="V36" s="1047">
        <f t="shared" si="18"/>
        <v>0.50262741373852482</v>
      </c>
      <c r="W36" s="1047">
        <f t="shared" si="19"/>
        <v>0.49737258626147512</v>
      </c>
      <c r="X36" s="2329">
        <f t="shared" si="20"/>
        <v>0.95637860082304527</v>
      </c>
      <c r="Y36" s="1047">
        <f t="shared" si="21"/>
        <v>2.0702754036087369E-2</v>
      </c>
      <c r="Z36" s="1047">
        <f t="shared" si="22"/>
        <v>4.7483380816714148E-3</v>
      </c>
      <c r="AA36" s="1047">
        <f t="shared" si="23"/>
        <v>2.4058246280468502E-3</v>
      </c>
      <c r="AB36" s="2330">
        <f t="shared" si="24"/>
        <v>1.5764482431149099E-2</v>
      </c>
      <c r="AC36" s="2331">
        <f t="shared" si="25"/>
        <v>0.19702437480215257</v>
      </c>
      <c r="AD36" s="524">
        <f t="shared" si="26"/>
        <v>0.57480215257993039</v>
      </c>
      <c r="AE36" s="2332">
        <f t="shared" si="27"/>
        <v>0.22817347261791707</v>
      </c>
      <c r="AF36" s="2328">
        <v>525</v>
      </c>
      <c r="AG36" s="265">
        <f t="shared" si="28"/>
        <v>3.3238366571699908E-2</v>
      </c>
    </row>
    <row r="37" spans="1:33" x14ac:dyDescent="0.3">
      <c r="A37" s="263" t="s">
        <v>80</v>
      </c>
      <c r="B37" s="263" t="s">
        <v>81</v>
      </c>
      <c r="C37" s="263" t="s">
        <v>254</v>
      </c>
      <c r="D37" s="263">
        <v>2</v>
      </c>
      <c r="E37" s="2328">
        <v>26783</v>
      </c>
      <c r="F37" s="2328">
        <v>12252</v>
      </c>
      <c r="G37" s="1720">
        <v>14531</v>
      </c>
      <c r="H37" s="521">
        <v>21681</v>
      </c>
      <c r="I37" s="521">
        <v>4082</v>
      </c>
      <c r="J37" s="521">
        <v>214</v>
      </c>
      <c r="K37" s="521">
        <v>118</v>
      </c>
      <c r="L37" s="1720">
        <v>688</v>
      </c>
      <c r="M37" s="2328">
        <f t="shared" si="15"/>
        <v>5277</v>
      </c>
      <c r="N37" s="521">
        <f t="shared" si="16"/>
        <v>16088</v>
      </c>
      <c r="O37" s="1720">
        <f t="shared" si="17"/>
        <v>5418</v>
      </c>
      <c r="P37" s="2328">
        <v>2640</v>
      </c>
      <c r="Q37" s="521">
        <v>7152</v>
      </c>
      <c r="R37" s="521">
        <v>2460</v>
      </c>
      <c r="S37" s="2328">
        <v>2637</v>
      </c>
      <c r="T37" s="521">
        <v>8936</v>
      </c>
      <c r="U37" s="1720">
        <v>2958</v>
      </c>
      <c r="V37" s="1047">
        <f t="shared" si="18"/>
        <v>0.45745435537467799</v>
      </c>
      <c r="W37" s="1047">
        <f t="shared" si="19"/>
        <v>0.54254564462532207</v>
      </c>
      <c r="X37" s="2329">
        <f t="shared" si="20"/>
        <v>0.80950602994436771</v>
      </c>
      <c r="Y37" s="1047">
        <f t="shared" si="21"/>
        <v>0.15241011089123699</v>
      </c>
      <c r="Z37" s="1047">
        <f t="shared" si="22"/>
        <v>7.9901430011574508E-3</v>
      </c>
      <c r="AA37" s="1047">
        <f t="shared" si="23"/>
        <v>4.4057797856849497E-3</v>
      </c>
      <c r="AB37" s="2330">
        <f t="shared" si="24"/>
        <v>2.5687936377552924E-2</v>
      </c>
      <c r="AC37" s="2331">
        <f t="shared" si="25"/>
        <v>0.19702796550050405</v>
      </c>
      <c r="AD37" s="524">
        <f t="shared" si="26"/>
        <v>0.60067953552626663</v>
      </c>
      <c r="AE37" s="2332">
        <f t="shared" si="27"/>
        <v>0.20229249897322929</v>
      </c>
      <c r="AF37" s="2328">
        <v>968</v>
      </c>
      <c r="AG37" s="265">
        <f t="shared" si="28"/>
        <v>3.6142329089347718E-2</v>
      </c>
    </row>
    <row r="38" spans="1:33" x14ac:dyDescent="0.3">
      <c r="A38" s="263" t="s">
        <v>84</v>
      </c>
      <c r="B38" s="263" t="s">
        <v>296</v>
      </c>
      <c r="C38" s="263" t="s">
        <v>253</v>
      </c>
      <c r="D38" s="263">
        <v>2</v>
      </c>
      <c r="E38" s="2328">
        <v>56195</v>
      </c>
      <c r="F38" s="2328">
        <v>27672</v>
      </c>
      <c r="G38" s="1720">
        <v>28523</v>
      </c>
      <c r="H38" s="521">
        <v>50321</v>
      </c>
      <c r="I38" s="521">
        <v>4469</v>
      </c>
      <c r="J38" s="521">
        <v>271</v>
      </c>
      <c r="K38" s="521">
        <v>287</v>
      </c>
      <c r="L38" s="1720">
        <v>847</v>
      </c>
      <c r="M38" s="2328">
        <f t="shared" ref="M38:M69" si="29">P38+S38</f>
        <v>10779</v>
      </c>
      <c r="N38" s="521">
        <f t="shared" ref="N38:N69" si="30">Q38+T38</f>
        <v>32197</v>
      </c>
      <c r="O38" s="1720">
        <f t="shared" ref="O38:O69" si="31">R38+U38</f>
        <v>13219</v>
      </c>
      <c r="P38" s="2328">
        <v>5448</v>
      </c>
      <c r="Q38" s="521">
        <v>15973</v>
      </c>
      <c r="R38" s="521">
        <v>6251</v>
      </c>
      <c r="S38" s="2328">
        <v>5331</v>
      </c>
      <c r="T38" s="521">
        <v>16224</v>
      </c>
      <c r="U38" s="1720">
        <v>6968</v>
      </c>
      <c r="V38" s="1047">
        <f t="shared" ref="V38:V69" si="32">F38/E38</f>
        <v>0.49242815197081591</v>
      </c>
      <c r="W38" s="1047">
        <f t="shared" ref="W38:W69" si="33">G38/E38</f>
        <v>0.50757184802918409</v>
      </c>
      <c r="X38" s="2329">
        <f t="shared" ref="X38:X69" si="34">H38/E38</f>
        <v>0.89547112732449508</v>
      </c>
      <c r="Y38" s="1047">
        <f t="shared" ref="Y38:Y69" si="35">I38/E38</f>
        <v>7.952664827831657E-2</v>
      </c>
      <c r="Z38" s="1047">
        <f t="shared" ref="Z38:Z69" si="36">J38/E38</f>
        <v>4.8224931043687157E-3</v>
      </c>
      <c r="AA38" s="1047">
        <f t="shared" ref="AA38:AA69" si="37">K38/E38</f>
        <v>5.1072159444790462E-3</v>
      </c>
      <c r="AB38" s="2330">
        <f t="shared" ref="AB38:AB69" si="38">L38/E38</f>
        <v>1.5072515348340599E-2</v>
      </c>
      <c r="AC38" s="2331">
        <f t="shared" ref="AC38:AC69" si="39">M38/E38</f>
        <v>0.19181421834682802</v>
      </c>
      <c r="AD38" s="524">
        <f t="shared" ref="AD38:AD69" si="40">N38/E38</f>
        <v>0.5729513301895186</v>
      </c>
      <c r="AE38" s="2332">
        <f t="shared" ref="AE38:AE69" si="41">O38/E38</f>
        <v>0.23523445146365335</v>
      </c>
      <c r="AF38" s="2328">
        <v>1653</v>
      </c>
      <c r="AG38" s="265">
        <f t="shared" ref="AG38:AG69" si="42">AF38/E38</f>
        <v>2.9415428418898479E-2</v>
      </c>
    </row>
    <row r="39" spans="1:33" x14ac:dyDescent="0.3">
      <c r="A39" s="263" t="s">
        <v>86</v>
      </c>
      <c r="B39" s="263" t="s">
        <v>87</v>
      </c>
      <c r="C39" s="263" t="s">
        <v>255</v>
      </c>
      <c r="D39" s="263">
        <v>2</v>
      </c>
      <c r="E39" s="2328">
        <v>88355</v>
      </c>
      <c r="F39" s="2328">
        <v>44026</v>
      </c>
      <c r="G39" s="1720">
        <v>44329</v>
      </c>
      <c r="H39" s="521">
        <v>80132</v>
      </c>
      <c r="I39" s="521">
        <v>4068</v>
      </c>
      <c r="J39" s="521">
        <v>1585</v>
      </c>
      <c r="K39" s="521">
        <v>489</v>
      </c>
      <c r="L39" s="1720">
        <v>2081</v>
      </c>
      <c r="M39" s="2328">
        <f t="shared" si="29"/>
        <v>20386</v>
      </c>
      <c r="N39" s="521">
        <f t="shared" si="30"/>
        <v>52705</v>
      </c>
      <c r="O39" s="1720">
        <f t="shared" si="31"/>
        <v>15264</v>
      </c>
      <c r="P39" s="2328">
        <v>10453</v>
      </c>
      <c r="Q39" s="521">
        <v>26516</v>
      </c>
      <c r="R39" s="521">
        <v>7057</v>
      </c>
      <c r="S39" s="2328">
        <v>9933</v>
      </c>
      <c r="T39" s="521">
        <v>26189</v>
      </c>
      <c r="U39" s="1720">
        <v>8207</v>
      </c>
      <c r="V39" s="1047">
        <f t="shared" si="32"/>
        <v>0.49828532624073341</v>
      </c>
      <c r="W39" s="1047">
        <f t="shared" si="33"/>
        <v>0.50171467375926659</v>
      </c>
      <c r="X39" s="2329">
        <f t="shared" si="34"/>
        <v>0.90693226189802501</v>
      </c>
      <c r="Y39" s="1047">
        <f t="shared" si="35"/>
        <v>4.6041536981495108E-2</v>
      </c>
      <c r="Z39" s="1047">
        <f t="shared" si="36"/>
        <v>1.793899609529738E-2</v>
      </c>
      <c r="AA39" s="1047">
        <f t="shared" si="37"/>
        <v>5.5344915398109901E-3</v>
      </c>
      <c r="AB39" s="2330">
        <f t="shared" si="38"/>
        <v>2.3552713485371513E-2</v>
      </c>
      <c r="AC39" s="2331">
        <f t="shared" si="39"/>
        <v>0.23072831192349047</v>
      </c>
      <c r="AD39" s="524">
        <f t="shared" si="40"/>
        <v>0.59651406258842166</v>
      </c>
      <c r="AE39" s="2332">
        <f t="shared" si="41"/>
        <v>0.17275762548808782</v>
      </c>
      <c r="AF39" s="2328">
        <v>8045</v>
      </c>
      <c r="AG39" s="265">
        <f t="shared" si="42"/>
        <v>9.1053137909569357E-2</v>
      </c>
    </row>
    <row r="40" spans="1:33" x14ac:dyDescent="0.3">
      <c r="A40" s="263" t="s">
        <v>92</v>
      </c>
      <c r="B40" s="263" t="s">
        <v>93</v>
      </c>
      <c r="C40" s="263" t="s">
        <v>256</v>
      </c>
      <c r="D40" s="263">
        <v>2</v>
      </c>
      <c r="E40" s="2328">
        <v>16844</v>
      </c>
      <c r="F40" s="2328">
        <v>8297</v>
      </c>
      <c r="G40" s="1720">
        <v>8547</v>
      </c>
      <c r="H40" s="521">
        <v>16216</v>
      </c>
      <c r="I40" s="521">
        <v>261</v>
      </c>
      <c r="J40" s="521">
        <v>113</v>
      </c>
      <c r="K40" s="521">
        <v>48</v>
      </c>
      <c r="L40" s="1720">
        <v>206</v>
      </c>
      <c r="M40" s="2328">
        <f t="shared" si="29"/>
        <v>3486</v>
      </c>
      <c r="N40" s="521">
        <f t="shared" si="30"/>
        <v>9677</v>
      </c>
      <c r="O40" s="1720">
        <f t="shared" si="31"/>
        <v>3681</v>
      </c>
      <c r="P40" s="2328">
        <v>1756</v>
      </c>
      <c r="Q40" s="521">
        <v>4845</v>
      </c>
      <c r="R40" s="521">
        <v>1696</v>
      </c>
      <c r="S40" s="2328">
        <v>1730</v>
      </c>
      <c r="T40" s="521">
        <v>4832</v>
      </c>
      <c r="U40" s="1720">
        <v>1985</v>
      </c>
      <c r="V40" s="1047">
        <f t="shared" si="32"/>
        <v>0.49257895986701494</v>
      </c>
      <c r="W40" s="1047">
        <f t="shared" si="33"/>
        <v>0.50742104013298506</v>
      </c>
      <c r="X40" s="2329">
        <f t="shared" si="34"/>
        <v>0.96271669437188312</v>
      </c>
      <c r="Y40" s="1047">
        <f t="shared" si="35"/>
        <v>1.5495131797672762E-2</v>
      </c>
      <c r="Z40" s="1047">
        <f t="shared" si="36"/>
        <v>6.7086202802184754E-3</v>
      </c>
      <c r="AA40" s="1047">
        <f t="shared" si="37"/>
        <v>2.8496794110662552E-3</v>
      </c>
      <c r="AB40" s="2330">
        <f t="shared" si="38"/>
        <v>1.2229874139159344E-2</v>
      </c>
      <c r="AC40" s="2331">
        <f t="shared" si="39"/>
        <v>0.20695796722868678</v>
      </c>
      <c r="AD40" s="524">
        <f t="shared" si="40"/>
        <v>0.57450724293516975</v>
      </c>
      <c r="AE40" s="2332">
        <f t="shared" si="41"/>
        <v>0.21853478983614344</v>
      </c>
      <c r="AF40" s="2328">
        <v>318</v>
      </c>
      <c r="AG40" s="265">
        <f t="shared" si="42"/>
        <v>1.887912609831394E-2</v>
      </c>
    </row>
    <row r="41" spans="1:33" x14ac:dyDescent="0.3">
      <c r="A41" s="263" t="s">
        <v>94</v>
      </c>
      <c r="B41" s="263" t="s">
        <v>95</v>
      </c>
      <c r="C41" s="263" t="s">
        <v>252</v>
      </c>
      <c r="D41" s="263">
        <v>2</v>
      </c>
      <c r="E41" s="2328">
        <v>37349</v>
      </c>
      <c r="F41" s="2328">
        <v>18376</v>
      </c>
      <c r="G41" s="1720">
        <v>18973</v>
      </c>
      <c r="H41" s="521">
        <v>32752</v>
      </c>
      <c r="I41" s="521">
        <v>3045</v>
      </c>
      <c r="J41" s="521">
        <v>331</v>
      </c>
      <c r="K41" s="521">
        <v>231</v>
      </c>
      <c r="L41" s="1720">
        <v>990</v>
      </c>
      <c r="M41" s="2328">
        <f t="shared" si="29"/>
        <v>7479</v>
      </c>
      <c r="N41" s="521">
        <f t="shared" si="30"/>
        <v>22752</v>
      </c>
      <c r="O41" s="1720">
        <f t="shared" si="31"/>
        <v>7118</v>
      </c>
      <c r="P41" s="2328">
        <v>3826</v>
      </c>
      <c r="Q41" s="521">
        <v>11267</v>
      </c>
      <c r="R41" s="521">
        <v>3283</v>
      </c>
      <c r="S41" s="2328">
        <v>3653</v>
      </c>
      <c r="T41" s="521">
        <v>11485</v>
      </c>
      <c r="U41" s="1720">
        <v>3835</v>
      </c>
      <c r="V41" s="1047">
        <f t="shared" si="32"/>
        <v>0.49200781814774158</v>
      </c>
      <c r="W41" s="1047">
        <f t="shared" si="33"/>
        <v>0.50799218185225847</v>
      </c>
      <c r="X41" s="2329">
        <f t="shared" si="34"/>
        <v>0.87691772202736351</v>
      </c>
      <c r="Y41" s="1047">
        <f t="shared" si="35"/>
        <v>8.1528287236606073E-2</v>
      </c>
      <c r="Z41" s="1047">
        <f t="shared" si="36"/>
        <v>8.8623524056868994E-3</v>
      </c>
      <c r="AA41" s="1047">
        <f t="shared" si="37"/>
        <v>6.1849045489839084E-3</v>
      </c>
      <c r="AB41" s="2330">
        <f t="shared" si="38"/>
        <v>2.6506733781359607E-2</v>
      </c>
      <c r="AC41" s="2331">
        <f t="shared" si="39"/>
        <v>0.20024632520281668</v>
      </c>
      <c r="AD41" s="524">
        <f t="shared" si="40"/>
        <v>0.60917293635706449</v>
      </c>
      <c r="AE41" s="2332">
        <f t="shared" si="41"/>
        <v>0.19058073844011889</v>
      </c>
      <c r="AF41" s="2328">
        <v>1418</v>
      </c>
      <c r="AG41" s="265">
        <f t="shared" si="42"/>
        <v>3.796621060804841E-2</v>
      </c>
    </row>
    <row r="42" spans="1:33" x14ac:dyDescent="0.3">
      <c r="A42" s="263" t="s">
        <v>96</v>
      </c>
      <c r="B42" s="263" t="s">
        <v>97</v>
      </c>
      <c r="C42" s="263" t="s">
        <v>254</v>
      </c>
      <c r="D42" s="263">
        <v>1</v>
      </c>
      <c r="E42" s="2328">
        <v>23244</v>
      </c>
      <c r="F42" s="2328">
        <v>11401</v>
      </c>
      <c r="G42" s="1720">
        <v>11843</v>
      </c>
      <c r="H42" s="521">
        <v>18654</v>
      </c>
      <c r="I42" s="521">
        <v>3732</v>
      </c>
      <c r="J42" s="521">
        <v>361</v>
      </c>
      <c r="K42" s="521">
        <v>96</v>
      </c>
      <c r="L42" s="1720">
        <v>401</v>
      </c>
      <c r="M42" s="2328">
        <f t="shared" si="29"/>
        <v>4119</v>
      </c>
      <c r="N42" s="521">
        <f t="shared" si="30"/>
        <v>13934</v>
      </c>
      <c r="O42" s="1720">
        <f t="shared" si="31"/>
        <v>5191</v>
      </c>
      <c r="P42" s="2328">
        <v>2100</v>
      </c>
      <c r="Q42" s="521">
        <v>6808</v>
      </c>
      <c r="R42" s="521">
        <v>2493</v>
      </c>
      <c r="S42" s="2328">
        <v>2019</v>
      </c>
      <c r="T42" s="521">
        <v>7126</v>
      </c>
      <c r="U42" s="1720">
        <v>2698</v>
      </c>
      <c r="V42" s="1047">
        <f t="shared" si="32"/>
        <v>0.49049217002237139</v>
      </c>
      <c r="W42" s="1047">
        <f t="shared" si="33"/>
        <v>0.50950782997762867</v>
      </c>
      <c r="X42" s="2329">
        <f t="shared" si="34"/>
        <v>0.80252968508002065</v>
      </c>
      <c r="Y42" s="1047">
        <f t="shared" si="35"/>
        <v>0.160557563242127</v>
      </c>
      <c r="Z42" s="1047">
        <f t="shared" si="36"/>
        <v>1.5530889691963517E-2</v>
      </c>
      <c r="AA42" s="1047">
        <f t="shared" si="37"/>
        <v>4.1300980898296338E-3</v>
      </c>
      <c r="AB42" s="2330">
        <f t="shared" si="38"/>
        <v>1.7251763896059199E-2</v>
      </c>
      <c r="AC42" s="2331">
        <f t="shared" si="39"/>
        <v>0.17720702116675272</v>
      </c>
      <c r="AD42" s="524">
        <f t="shared" si="40"/>
        <v>0.59946652899673036</v>
      </c>
      <c r="AE42" s="2332">
        <f t="shared" si="41"/>
        <v>0.22332644983651695</v>
      </c>
      <c r="AF42" s="2328">
        <v>697</v>
      </c>
      <c r="AG42" s="265">
        <f t="shared" si="42"/>
        <v>2.9986233006367234E-2</v>
      </c>
    </row>
    <row r="43" spans="1:33" x14ac:dyDescent="0.3">
      <c r="A43" s="263" t="s">
        <v>98</v>
      </c>
      <c r="B43" s="263" t="s">
        <v>99</v>
      </c>
      <c r="C43" s="263" t="s">
        <v>256</v>
      </c>
      <c r="D43" s="263">
        <v>2</v>
      </c>
      <c r="E43" s="2328">
        <v>15631</v>
      </c>
      <c r="F43" s="2328">
        <v>8047</v>
      </c>
      <c r="G43" s="1720">
        <v>7584</v>
      </c>
      <c r="H43" s="521">
        <v>14472</v>
      </c>
      <c r="I43" s="521">
        <v>889</v>
      </c>
      <c r="J43" s="521">
        <v>31</v>
      </c>
      <c r="K43" s="521">
        <v>56</v>
      </c>
      <c r="L43" s="1720">
        <v>183</v>
      </c>
      <c r="M43" s="2328">
        <f t="shared" si="29"/>
        <v>2612</v>
      </c>
      <c r="N43" s="521">
        <f t="shared" si="30"/>
        <v>9187</v>
      </c>
      <c r="O43" s="1720">
        <f t="shared" si="31"/>
        <v>3832</v>
      </c>
      <c r="P43" s="2328">
        <v>1310</v>
      </c>
      <c r="Q43" s="521">
        <v>4974</v>
      </c>
      <c r="R43" s="521">
        <v>1763</v>
      </c>
      <c r="S43" s="2328">
        <v>1302</v>
      </c>
      <c r="T43" s="521">
        <v>4213</v>
      </c>
      <c r="U43" s="1720">
        <v>2069</v>
      </c>
      <c r="V43" s="1047">
        <f t="shared" si="32"/>
        <v>0.51481031283986944</v>
      </c>
      <c r="W43" s="1047">
        <f t="shared" si="33"/>
        <v>0.4851896871601305</v>
      </c>
      <c r="X43" s="2329">
        <f t="shared" si="34"/>
        <v>0.92585247265050219</v>
      </c>
      <c r="Y43" s="1047">
        <f t="shared" si="35"/>
        <v>5.6874160322436182E-2</v>
      </c>
      <c r="Z43" s="1047">
        <f t="shared" si="36"/>
        <v>1.9832384364404068E-3</v>
      </c>
      <c r="AA43" s="1047">
        <f t="shared" si="37"/>
        <v>3.5826242722794446E-3</v>
      </c>
      <c r="AB43" s="2330">
        <f t="shared" si="38"/>
        <v>1.1707504318341756E-2</v>
      </c>
      <c r="AC43" s="2331">
        <f t="shared" si="39"/>
        <v>0.16710383212846266</v>
      </c>
      <c r="AD43" s="524">
        <f t="shared" si="40"/>
        <v>0.58774230695412966</v>
      </c>
      <c r="AE43" s="2332">
        <f t="shared" si="41"/>
        <v>0.24515386091740771</v>
      </c>
      <c r="AF43" s="2328">
        <v>569</v>
      </c>
      <c r="AG43" s="265">
        <f t="shared" si="42"/>
        <v>3.6402021623696504E-2</v>
      </c>
    </row>
    <row r="44" spans="1:33" x14ac:dyDescent="0.3">
      <c r="A44" s="263" t="s">
        <v>100</v>
      </c>
      <c r="B44" s="263" t="s">
        <v>101</v>
      </c>
      <c r="C44" s="263" t="s">
        <v>255</v>
      </c>
      <c r="D44" s="263">
        <v>1</v>
      </c>
      <c r="E44" s="2328">
        <v>19779</v>
      </c>
      <c r="F44" s="2328">
        <v>9632</v>
      </c>
      <c r="G44" s="1720">
        <v>10147</v>
      </c>
      <c r="H44" s="521">
        <v>17402</v>
      </c>
      <c r="I44" s="521">
        <v>1388</v>
      </c>
      <c r="J44" s="521">
        <v>379</v>
      </c>
      <c r="K44" s="521">
        <v>87</v>
      </c>
      <c r="L44" s="1720">
        <v>523</v>
      </c>
      <c r="M44" s="2328">
        <f t="shared" si="29"/>
        <v>4731</v>
      </c>
      <c r="N44" s="521">
        <f t="shared" si="30"/>
        <v>11616</v>
      </c>
      <c r="O44" s="1720">
        <f t="shared" si="31"/>
        <v>3432</v>
      </c>
      <c r="P44" s="2328">
        <v>2380</v>
      </c>
      <c r="Q44" s="521">
        <v>5711</v>
      </c>
      <c r="R44" s="521">
        <v>1541</v>
      </c>
      <c r="S44" s="2328">
        <v>2351</v>
      </c>
      <c r="T44" s="521">
        <v>5905</v>
      </c>
      <c r="U44" s="1720">
        <v>1891</v>
      </c>
      <c r="V44" s="1047">
        <f t="shared" si="32"/>
        <v>0.48698114161484402</v>
      </c>
      <c r="W44" s="1047">
        <f t="shared" si="33"/>
        <v>0.51301885838515593</v>
      </c>
      <c r="X44" s="2329">
        <f t="shared" si="34"/>
        <v>0.87982203346984178</v>
      </c>
      <c r="Y44" s="1047">
        <f t="shared" si="35"/>
        <v>7.0175438596491224E-2</v>
      </c>
      <c r="Z44" s="1047">
        <f t="shared" si="36"/>
        <v>1.9161737196015976E-2</v>
      </c>
      <c r="AA44" s="1047">
        <f t="shared" si="37"/>
        <v>4.398604580615805E-3</v>
      </c>
      <c r="AB44" s="2330">
        <f t="shared" si="38"/>
        <v>2.6442186157035238E-2</v>
      </c>
      <c r="AC44" s="2331">
        <f t="shared" si="39"/>
        <v>0.23919308357348704</v>
      </c>
      <c r="AD44" s="524">
        <f t="shared" si="40"/>
        <v>0.58728954952222057</v>
      </c>
      <c r="AE44" s="2332">
        <f t="shared" si="41"/>
        <v>0.17351736690429242</v>
      </c>
      <c r="AF44" s="2328">
        <v>1206</v>
      </c>
      <c r="AG44" s="265">
        <f t="shared" si="42"/>
        <v>6.097376004853633E-2</v>
      </c>
    </row>
    <row r="45" spans="1:33" x14ac:dyDescent="0.3">
      <c r="A45" s="263" t="s">
        <v>102</v>
      </c>
      <c r="B45" s="263" t="s">
        <v>103</v>
      </c>
      <c r="C45" s="263" t="s">
        <v>252</v>
      </c>
      <c r="D45" s="263">
        <v>2</v>
      </c>
      <c r="E45" s="2328">
        <v>16748</v>
      </c>
      <c r="F45" s="2328">
        <v>9655</v>
      </c>
      <c r="G45" s="1720">
        <v>7093</v>
      </c>
      <c r="H45" s="521">
        <v>6092</v>
      </c>
      <c r="I45" s="521">
        <v>10222</v>
      </c>
      <c r="J45" s="521">
        <v>152</v>
      </c>
      <c r="K45" s="521">
        <v>80</v>
      </c>
      <c r="L45" s="1720">
        <v>202</v>
      </c>
      <c r="M45" s="2328">
        <f t="shared" si="29"/>
        <v>3098</v>
      </c>
      <c r="N45" s="521">
        <f t="shared" si="30"/>
        <v>10859</v>
      </c>
      <c r="O45" s="1720">
        <f t="shared" si="31"/>
        <v>2791</v>
      </c>
      <c r="P45" s="2328">
        <v>1620</v>
      </c>
      <c r="Q45" s="521">
        <v>6807</v>
      </c>
      <c r="R45" s="521">
        <v>1228</v>
      </c>
      <c r="S45" s="2328">
        <v>1478</v>
      </c>
      <c r="T45" s="521">
        <v>4052</v>
      </c>
      <c r="U45" s="1720">
        <v>1563</v>
      </c>
      <c r="V45" s="1047">
        <f t="shared" si="32"/>
        <v>0.57648674468593264</v>
      </c>
      <c r="W45" s="1047">
        <f t="shared" si="33"/>
        <v>0.42351325531406736</v>
      </c>
      <c r="X45" s="2329">
        <f t="shared" si="34"/>
        <v>0.36374492476713638</v>
      </c>
      <c r="Y45" s="1047">
        <f t="shared" si="35"/>
        <v>0.61034153331741103</v>
      </c>
      <c r="Z45" s="1047">
        <f t="shared" si="36"/>
        <v>9.0757105326009068E-3</v>
      </c>
      <c r="AA45" s="1047">
        <f t="shared" si="37"/>
        <v>4.7766897540004773E-3</v>
      </c>
      <c r="AB45" s="2330">
        <f t="shared" si="38"/>
        <v>1.2061141628851206E-2</v>
      </c>
      <c r="AC45" s="2331">
        <f t="shared" si="39"/>
        <v>0.18497731072366849</v>
      </c>
      <c r="AD45" s="524">
        <f t="shared" si="40"/>
        <v>0.64837592548363987</v>
      </c>
      <c r="AE45" s="2332">
        <f t="shared" si="41"/>
        <v>0.16664676379269167</v>
      </c>
      <c r="AF45" s="2328">
        <v>634</v>
      </c>
      <c r="AG45" s="265">
        <f t="shared" si="42"/>
        <v>3.7855266300453785E-2</v>
      </c>
    </row>
    <row r="46" spans="1:33" x14ac:dyDescent="0.3">
      <c r="A46" s="263" t="s">
        <v>104</v>
      </c>
      <c r="B46" s="263" t="s">
        <v>511</v>
      </c>
      <c r="C46" s="263" t="s">
        <v>253</v>
      </c>
      <c r="D46" s="263">
        <v>2</v>
      </c>
      <c r="E46" s="2328">
        <v>34120</v>
      </c>
      <c r="F46" s="2328">
        <v>16355</v>
      </c>
      <c r="G46" s="1720">
        <v>17765</v>
      </c>
      <c r="H46" s="521">
        <v>20864</v>
      </c>
      <c r="I46" s="521">
        <v>12435</v>
      </c>
      <c r="J46" s="521">
        <v>227</v>
      </c>
      <c r="K46" s="521">
        <v>132</v>
      </c>
      <c r="L46" s="1720">
        <v>462</v>
      </c>
      <c r="M46" s="2328">
        <f t="shared" si="29"/>
        <v>6921</v>
      </c>
      <c r="N46" s="521">
        <f t="shared" si="30"/>
        <v>18886</v>
      </c>
      <c r="O46" s="1720">
        <f t="shared" si="31"/>
        <v>8313</v>
      </c>
      <c r="P46" s="2328">
        <v>3484</v>
      </c>
      <c r="Q46" s="521">
        <v>9297</v>
      </c>
      <c r="R46" s="521">
        <v>3574</v>
      </c>
      <c r="S46" s="2328">
        <v>3437</v>
      </c>
      <c r="T46" s="521">
        <v>9589</v>
      </c>
      <c r="U46" s="1720">
        <v>4739</v>
      </c>
      <c r="V46" s="1047">
        <f t="shared" si="32"/>
        <v>0.47933763188745604</v>
      </c>
      <c r="W46" s="1047">
        <f t="shared" si="33"/>
        <v>0.52066236811254396</v>
      </c>
      <c r="X46" s="2329">
        <f t="shared" si="34"/>
        <v>0.61148886283704573</v>
      </c>
      <c r="Y46" s="1047">
        <f t="shared" si="35"/>
        <v>0.36444900351699883</v>
      </c>
      <c r="Z46" s="1047">
        <f t="shared" si="36"/>
        <v>6.6529894490035173E-3</v>
      </c>
      <c r="AA46" s="1047">
        <f t="shared" si="37"/>
        <v>3.8686987104337633E-3</v>
      </c>
      <c r="AB46" s="2330">
        <f t="shared" si="38"/>
        <v>1.3540445486518171E-2</v>
      </c>
      <c r="AC46" s="2331">
        <f t="shared" si="39"/>
        <v>0.20284290738569755</v>
      </c>
      <c r="AD46" s="524">
        <f t="shared" si="40"/>
        <v>0.55351699882766703</v>
      </c>
      <c r="AE46" s="2332">
        <f t="shared" si="41"/>
        <v>0.2436400937866354</v>
      </c>
      <c r="AF46" s="2328">
        <v>715</v>
      </c>
      <c r="AG46" s="265">
        <f t="shared" si="42"/>
        <v>2.0955451348182885E-2</v>
      </c>
    </row>
    <row r="47" spans="1:33" x14ac:dyDescent="0.3">
      <c r="A47" s="263" t="s">
        <v>108</v>
      </c>
      <c r="B47" s="263" t="s">
        <v>109</v>
      </c>
      <c r="C47" s="263" t="s">
        <v>254</v>
      </c>
      <c r="D47" s="263">
        <v>2</v>
      </c>
      <c r="E47" s="2328">
        <v>107239</v>
      </c>
      <c r="F47" s="2328">
        <v>52476</v>
      </c>
      <c r="G47" s="1720">
        <v>54763</v>
      </c>
      <c r="H47" s="521">
        <v>92478</v>
      </c>
      <c r="I47" s="521">
        <v>10088</v>
      </c>
      <c r="J47" s="521">
        <v>1971</v>
      </c>
      <c r="K47" s="521">
        <v>634</v>
      </c>
      <c r="L47" s="1720">
        <v>2068</v>
      </c>
      <c r="M47" s="2328">
        <f t="shared" si="29"/>
        <v>23572</v>
      </c>
      <c r="N47" s="521">
        <f t="shared" si="30"/>
        <v>64635</v>
      </c>
      <c r="O47" s="1720">
        <f t="shared" si="31"/>
        <v>19032</v>
      </c>
      <c r="P47" s="2328">
        <v>12184</v>
      </c>
      <c r="Q47" s="521">
        <v>31751</v>
      </c>
      <c r="R47" s="521">
        <v>8541</v>
      </c>
      <c r="S47" s="2328">
        <v>11388</v>
      </c>
      <c r="T47" s="521">
        <v>32884</v>
      </c>
      <c r="U47" s="1720">
        <v>10491</v>
      </c>
      <c r="V47" s="1047">
        <f t="shared" si="32"/>
        <v>0.48933690168688632</v>
      </c>
      <c r="W47" s="1047">
        <f t="shared" si="33"/>
        <v>0.51066309831311374</v>
      </c>
      <c r="X47" s="2329">
        <f t="shared" si="34"/>
        <v>0.86235418084838533</v>
      </c>
      <c r="Y47" s="1047">
        <f t="shared" si="35"/>
        <v>9.407025429181548E-2</v>
      </c>
      <c r="Z47" s="1047">
        <f t="shared" si="36"/>
        <v>1.8379507455310102E-2</v>
      </c>
      <c r="AA47" s="1047">
        <f t="shared" si="37"/>
        <v>5.9120282732960956E-3</v>
      </c>
      <c r="AB47" s="2330">
        <f t="shared" si="38"/>
        <v>1.9284029131192943E-2</v>
      </c>
      <c r="AC47" s="2331">
        <f t="shared" si="39"/>
        <v>0.21980809220526115</v>
      </c>
      <c r="AD47" s="524">
        <f t="shared" si="40"/>
        <v>0.60271916000708703</v>
      </c>
      <c r="AE47" s="2332">
        <f t="shared" si="41"/>
        <v>0.17747274778765187</v>
      </c>
      <c r="AF47" s="2328">
        <v>3381</v>
      </c>
      <c r="AG47" s="265">
        <f t="shared" si="42"/>
        <v>3.1527709135668928E-2</v>
      </c>
    </row>
    <row r="48" spans="1:33" x14ac:dyDescent="0.3">
      <c r="A48" s="263" t="s">
        <v>110</v>
      </c>
      <c r="B48" s="263" t="s">
        <v>111</v>
      </c>
      <c r="C48" s="263" t="s">
        <v>254</v>
      </c>
      <c r="D48" s="263">
        <v>3</v>
      </c>
      <c r="E48" s="2328">
        <v>329261</v>
      </c>
      <c r="F48" s="2328">
        <v>156230</v>
      </c>
      <c r="G48" s="1720">
        <v>173031</v>
      </c>
      <c r="H48" s="521">
        <v>188931</v>
      </c>
      <c r="I48" s="521">
        <v>101116</v>
      </c>
      <c r="J48" s="521">
        <v>29756</v>
      </c>
      <c r="K48" s="521">
        <v>1393</v>
      </c>
      <c r="L48" s="1720">
        <v>8065</v>
      </c>
      <c r="M48" s="2328">
        <f t="shared" si="29"/>
        <v>74272</v>
      </c>
      <c r="N48" s="521">
        <f t="shared" si="30"/>
        <v>203944</v>
      </c>
      <c r="O48" s="1720">
        <f t="shared" si="31"/>
        <v>51045</v>
      </c>
      <c r="P48" s="2328">
        <v>38127</v>
      </c>
      <c r="Q48" s="521">
        <v>97111</v>
      </c>
      <c r="R48" s="521">
        <v>20992</v>
      </c>
      <c r="S48" s="2328">
        <v>36145</v>
      </c>
      <c r="T48" s="521">
        <v>106833</v>
      </c>
      <c r="U48" s="1720">
        <v>30053</v>
      </c>
      <c r="V48" s="1047">
        <f t="shared" si="32"/>
        <v>0.47448680530035442</v>
      </c>
      <c r="W48" s="1047">
        <f t="shared" si="33"/>
        <v>0.52551319469964552</v>
      </c>
      <c r="X48" s="2329">
        <f t="shared" si="34"/>
        <v>0.57380315312168761</v>
      </c>
      <c r="Y48" s="1047">
        <f t="shared" si="35"/>
        <v>0.30709983872976149</v>
      </c>
      <c r="Z48" s="1047">
        <f t="shared" si="36"/>
        <v>9.0372075648193981E-2</v>
      </c>
      <c r="AA48" s="1047">
        <f t="shared" si="37"/>
        <v>4.2306862944594108E-3</v>
      </c>
      <c r="AB48" s="2330">
        <f t="shared" si="38"/>
        <v>2.4494246205897449E-2</v>
      </c>
      <c r="AC48" s="2331">
        <f t="shared" si="39"/>
        <v>0.22557181081269875</v>
      </c>
      <c r="AD48" s="524">
        <f t="shared" si="40"/>
        <v>0.61939920002672655</v>
      </c>
      <c r="AE48" s="2332">
        <f t="shared" si="41"/>
        <v>0.15502898916057475</v>
      </c>
      <c r="AF48" s="2328">
        <v>19146</v>
      </c>
      <c r="AG48" s="265">
        <f t="shared" si="42"/>
        <v>5.8148398990466532E-2</v>
      </c>
    </row>
    <row r="49" spans="1:33" x14ac:dyDescent="0.3">
      <c r="A49" s="263" t="s">
        <v>112</v>
      </c>
      <c r="B49" s="263" t="s">
        <v>113</v>
      </c>
      <c r="C49" s="263" t="s">
        <v>253</v>
      </c>
      <c r="D49" s="263">
        <v>3</v>
      </c>
      <c r="E49" s="2328">
        <v>63855</v>
      </c>
      <c r="F49" s="2328">
        <v>30504</v>
      </c>
      <c r="G49" s="1720">
        <v>33351</v>
      </c>
      <c r="H49" s="521">
        <v>44172</v>
      </c>
      <c r="I49" s="521">
        <v>17568</v>
      </c>
      <c r="J49" s="521">
        <v>493</v>
      </c>
      <c r="K49" s="521">
        <v>277</v>
      </c>
      <c r="L49" s="1720">
        <v>1345</v>
      </c>
      <c r="M49" s="2328">
        <f t="shared" si="29"/>
        <v>13089</v>
      </c>
      <c r="N49" s="521">
        <f t="shared" si="30"/>
        <v>36146</v>
      </c>
      <c r="O49" s="1720">
        <f t="shared" si="31"/>
        <v>14620</v>
      </c>
      <c r="P49" s="2328">
        <v>6713</v>
      </c>
      <c r="Q49" s="521">
        <v>17523</v>
      </c>
      <c r="R49" s="521">
        <v>6268</v>
      </c>
      <c r="S49" s="2328">
        <v>6376</v>
      </c>
      <c r="T49" s="521">
        <v>18623</v>
      </c>
      <c r="U49" s="1720">
        <v>8352</v>
      </c>
      <c r="V49" s="1047">
        <f t="shared" si="32"/>
        <v>0.47770730561428237</v>
      </c>
      <c r="W49" s="1047">
        <f t="shared" si="33"/>
        <v>0.52229269438571768</v>
      </c>
      <c r="X49" s="2329">
        <f t="shared" si="34"/>
        <v>0.69175475687103594</v>
      </c>
      <c r="Y49" s="1047">
        <f t="shared" si="35"/>
        <v>0.27512332628611696</v>
      </c>
      <c r="Z49" s="1047">
        <f t="shared" si="36"/>
        <v>7.7206170229426043E-3</v>
      </c>
      <c r="AA49" s="1047">
        <f t="shared" si="37"/>
        <v>4.3379531751624777E-3</v>
      </c>
      <c r="AB49" s="2330">
        <f t="shared" si="38"/>
        <v>2.1063346644741993E-2</v>
      </c>
      <c r="AC49" s="2331">
        <f t="shared" si="39"/>
        <v>0.20498003288700964</v>
      </c>
      <c r="AD49" s="524">
        <f t="shared" si="40"/>
        <v>0.56606373815676136</v>
      </c>
      <c r="AE49" s="2332">
        <f t="shared" si="41"/>
        <v>0.22895622895622897</v>
      </c>
      <c r="AF49" s="2328">
        <v>3637</v>
      </c>
      <c r="AG49" s="265">
        <f t="shared" si="42"/>
        <v>5.695716858507556E-2</v>
      </c>
    </row>
    <row r="50" spans="1:33" x14ac:dyDescent="0.3">
      <c r="A50" s="263" t="s">
        <v>114</v>
      </c>
      <c r="B50" s="263" t="s">
        <v>115</v>
      </c>
      <c r="C50" s="263" t="s">
        <v>253</v>
      </c>
      <c r="D50" s="263">
        <v>1</v>
      </c>
      <c r="E50" s="2328">
        <v>2210</v>
      </c>
      <c r="F50" s="2328">
        <v>1100</v>
      </c>
      <c r="G50" s="1720">
        <v>1110</v>
      </c>
      <c r="H50" s="521">
        <v>2165</v>
      </c>
      <c r="I50" s="521">
        <v>19</v>
      </c>
      <c r="J50" s="521">
        <v>12</v>
      </c>
      <c r="K50" s="521">
        <v>7</v>
      </c>
      <c r="L50" s="1720">
        <v>7</v>
      </c>
      <c r="M50" s="2328">
        <f t="shared" si="29"/>
        <v>290</v>
      </c>
      <c r="N50" s="521">
        <f t="shared" si="30"/>
        <v>1160</v>
      </c>
      <c r="O50" s="1720">
        <f t="shared" si="31"/>
        <v>760</v>
      </c>
      <c r="P50" s="2328">
        <v>140</v>
      </c>
      <c r="Q50" s="521">
        <v>584</v>
      </c>
      <c r="R50" s="521">
        <v>376</v>
      </c>
      <c r="S50" s="2328">
        <v>150</v>
      </c>
      <c r="T50" s="521">
        <v>576</v>
      </c>
      <c r="U50" s="1720">
        <v>384</v>
      </c>
      <c r="V50" s="1047">
        <f t="shared" si="32"/>
        <v>0.49773755656108598</v>
      </c>
      <c r="W50" s="1047">
        <f t="shared" si="33"/>
        <v>0.50226244343891402</v>
      </c>
      <c r="X50" s="2329">
        <f t="shared" si="34"/>
        <v>0.97963800904977372</v>
      </c>
      <c r="Y50" s="1047">
        <f t="shared" si="35"/>
        <v>8.5972850678733038E-3</v>
      </c>
      <c r="Z50" s="1047">
        <f t="shared" si="36"/>
        <v>5.4298642533936649E-3</v>
      </c>
      <c r="AA50" s="1047">
        <f t="shared" si="37"/>
        <v>3.167420814479638E-3</v>
      </c>
      <c r="AB50" s="2330">
        <f t="shared" si="38"/>
        <v>3.167420814479638E-3</v>
      </c>
      <c r="AC50" s="2331">
        <f t="shared" si="39"/>
        <v>0.13122171945701358</v>
      </c>
      <c r="AD50" s="524">
        <f t="shared" si="40"/>
        <v>0.52488687782805432</v>
      </c>
      <c r="AE50" s="2332">
        <f t="shared" si="41"/>
        <v>0.34389140271493213</v>
      </c>
      <c r="AF50" s="2328">
        <v>23</v>
      </c>
      <c r="AG50" s="265">
        <f t="shared" si="42"/>
        <v>1.0407239819004524E-2</v>
      </c>
    </row>
    <row r="51" spans="1:33" x14ac:dyDescent="0.3">
      <c r="A51" s="263" t="s">
        <v>118</v>
      </c>
      <c r="B51" s="263" t="s">
        <v>119</v>
      </c>
      <c r="C51" s="263" t="s">
        <v>252</v>
      </c>
      <c r="D51" s="263">
        <v>2</v>
      </c>
      <c r="E51" s="2328">
        <v>36953</v>
      </c>
      <c r="F51" s="2328">
        <v>18094</v>
      </c>
      <c r="G51" s="1720">
        <v>18859</v>
      </c>
      <c r="H51" s="521">
        <v>26879</v>
      </c>
      <c r="I51" s="521">
        <v>8644</v>
      </c>
      <c r="J51" s="521">
        <v>352</v>
      </c>
      <c r="K51" s="521">
        <v>197</v>
      </c>
      <c r="L51" s="1720">
        <v>881</v>
      </c>
      <c r="M51" s="2328">
        <f t="shared" si="29"/>
        <v>7681</v>
      </c>
      <c r="N51" s="521">
        <f t="shared" si="30"/>
        <v>22197</v>
      </c>
      <c r="O51" s="1720">
        <f t="shared" si="31"/>
        <v>7075</v>
      </c>
      <c r="P51" s="2328">
        <v>3895</v>
      </c>
      <c r="Q51" s="521">
        <v>11021</v>
      </c>
      <c r="R51" s="521">
        <v>3178</v>
      </c>
      <c r="S51" s="2328">
        <v>3786</v>
      </c>
      <c r="T51" s="521">
        <v>11176</v>
      </c>
      <c r="U51" s="1720">
        <v>3897</v>
      </c>
      <c r="V51" s="1047">
        <f t="shared" si="32"/>
        <v>0.48964901361188534</v>
      </c>
      <c r="W51" s="1047">
        <f t="shared" si="33"/>
        <v>0.5103509863881146</v>
      </c>
      <c r="X51" s="2329">
        <f t="shared" si="34"/>
        <v>0.72738343300949859</v>
      </c>
      <c r="Y51" s="1047">
        <f t="shared" si="35"/>
        <v>0.23391876167022976</v>
      </c>
      <c r="Z51" s="1047">
        <f t="shared" si="36"/>
        <v>9.5256136172976475E-3</v>
      </c>
      <c r="AA51" s="1047">
        <f t="shared" si="37"/>
        <v>5.3310962574080589E-3</v>
      </c>
      <c r="AB51" s="2330">
        <f t="shared" si="38"/>
        <v>2.384109544556599E-2</v>
      </c>
      <c r="AC51" s="2331">
        <f t="shared" si="39"/>
        <v>0.20785863123427056</v>
      </c>
      <c r="AD51" s="524">
        <f t="shared" si="40"/>
        <v>0.6006819473385111</v>
      </c>
      <c r="AE51" s="2332">
        <f t="shared" si="41"/>
        <v>0.19145942142721836</v>
      </c>
      <c r="AF51" s="2328">
        <v>1231</v>
      </c>
      <c r="AG51" s="265">
        <f t="shared" si="42"/>
        <v>3.3312586258219902E-2</v>
      </c>
    </row>
    <row r="52" spans="1:33" x14ac:dyDescent="0.3">
      <c r="A52" s="263" t="s">
        <v>120</v>
      </c>
      <c r="B52" s="263" t="s">
        <v>121</v>
      </c>
      <c r="C52" s="263" t="s">
        <v>252</v>
      </c>
      <c r="D52" s="263">
        <v>2</v>
      </c>
      <c r="E52" s="2328">
        <v>76397</v>
      </c>
      <c r="F52" s="2328">
        <v>36921</v>
      </c>
      <c r="G52" s="1720">
        <v>39476</v>
      </c>
      <c r="H52" s="521">
        <v>61347</v>
      </c>
      <c r="I52" s="521">
        <v>10426</v>
      </c>
      <c r="J52" s="521">
        <v>2064</v>
      </c>
      <c r="K52" s="521">
        <v>383</v>
      </c>
      <c r="L52" s="1720">
        <v>2177</v>
      </c>
      <c r="M52" s="2328">
        <f t="shared" si="29"/>
        <v>15282</v>
      </c>
      <c r="N52" s="521">
        <f t="shared" si="30"/>
        <v>41814</v>
      </c>
      <c r="O52" s="1720">
        <f t="shared" si="31"/>
        <v>19301</v>
      </c>
      <c r="P52" s="2328">
        <v>7759</v>
      </c>
      <c r="Q52" s="521">
        <v>20386</v>
      </c>
      <c r="R52" s="521">
        <v>8776</v>
      </c>
      <c r="S52" s="2328">
        <v>7523</v>
      </c>
      <c r="T52" s="521">
        <v>21428</v>
      </c>
      <c r="U52" s="1720">
        <v>10525</v>
      </c>
      <c r="V52" s="1047">
        <f t="shared" si="32"/>
        <v>0.48327813919394741</v>
      </c>
      <c r="W52" s="1047">
        <f t="shared" si="33"/>
        <v>0.51672186080605265</v>
      </c>
      <c r="X52" s="2329">
        <f t="shared" si="34"/>
        <v>0.80300273570951741</v>
      </c>
      <c r="Y52" s="1047">
        <f t="shared" si="35"/>
        <v>0.1364713274081443</v>
      </c>
      <c r="Z52" s="1047">
        <f t="shared" si="36"/>
        <v>2.7016767674123331E-2</v>
      </c>
      <c r="AA52" s="1047">
        <f t="shared" si="37"/>
        <v>5.0132858620102879E-3</v>
      </c>
      <c r="AB52" s="2330">
        <f t="shared" si="38"/>
        <v>2.8495883346204693E-2</v>
      </c>
      <c r="AC52" s="2331">
        <f t="shared" si="39"/>
        <v>0.20003403274997708</v>
      </c>
      <c r="AD52" s="524">
        <f t="shared" si="40"/>
        <v>0.54732515674699267</v>
      </c>
      <c r="AE52" s="2332">
        <f t="shared" si="41"/>
        <v>0.25264081050303022</v>
      </c>
      <c r="AF52" s="2328">
        <v>4475</v>
      </c>
      <c r="AG52" s="265">
        <f t="shared" si="42"/>
        <v>5.8575598518266422E-2</v>
      </c>
    </row>
    <row r="53" spans="1:33" x14ac:dyDescent="0.3">
      <c r="A53" s="263" t="s">
        <v>122</v>
      </c>
      <c r="B53" s="263" t="s">
        <v>259</v>
      </c>
      <c r="C53" s="263" t="s">
        <v>254</v>
      </c>
      <c r="D53" s="263">
        <v>1</v>
      </c>
      <c r="E53" s="2328">
        <v>7042</v>
      </c>
      <c r="F53" s="2328">
        <v>3567</v>
      </c>
      <c r="G53" s="1720">
        <v>3475</v>
      </c>
      <c r="H53" s="521">
        <v>4806</v>
      </c>
      <c r="I53" s="521">
        <v>1881</v>
      </c>
      <c r="J53" s="521">
        <v>32</v>
      </c>
      <c r="K53" s="521">
        <v>127</v>
      </c>
      <c r="L53" s="1720">
        <v>196</v>
      </c>
      <c r="M53" s="2328">
        <f t="shared" si="29"/>
        <v>1236</v>
      </c>
      <c r="N53" s="521">
        <f t="shared" si="30"/>
        <v>4194</v>
      </c>
      <c r="O53" s="1720">
        <f t="shared" si="31"/>
        <v>1612</v>
      </c>
      <c r="P53" s="2328">
        <v>618</v>
      </c>
      <c r="Q53" s="521">
        <v>2194</v>
      </c>
      <c r="R53" s="521">
        <v>755</v>
      </c>
      <c r="S53" s="2328">
        <v>618</v>
      </c>
      <c r="T53" s="521">
        <v>2000</v>
      </c>
      <c r="U53" s="1720">
        <v>857</v>
      </c>
      <c r="V53" s="1047">
        <f t="shared" si="32"/>
        <v>0.50653223516046575</v>
      </c>
      <c r="W53" s="1047">
        <f t="shared" si="33"/>
        <v>0.49346776483953425</v>
      </c>
      <c r="X53" s="2329">
        <f t="shared" si="34"/>
        <v>0.68247656915648969</v>
      </c>
      <c r="Y53" s="1047">
        <f t="shared" si="35"/>
        <v>0.26711161601817668</v>
      </c>
      <c r="Z53" s="1047">
        <f t="shared" si="36"/>
        <v>4.5441635898892359E-3</v>
      </c>
      <c r="AA53" s="1047">
        <f t="shared" si="37"/>
        <v>1.8034649247372907E-2</v>
      </c>
      <c r="AB53" s="2330">
        <f t="shared" si="38"/>
        <v>2.7833001988071572E-2</v>
      </c>
      <c r="AC53" s="2331">
        <f t="shared" si="39"/>
        <v>0.17551831865947173</v>
      </c>
      <c r="AD53" s="524">
        <f t="shared" si="40"/>
        <v>0.59556944049985805</v>
      </c>
      <c r="AE53" s="2332">
        <f t="shared" si="41"/>
        <v>0.22891224084067027</v>
      </c>
      <c r="AF53" s="2328">
        <v>230</v>
      </c>
      <c r="AG53" s="265">
        <f t="shared" si="42"/>
        <v>3.2661175802328885E-2</v>
      </c>
    </row>
    <row r="54" spans="1:33" x14ac:dyDescent="0.3">
      <c r="A54" s="263" t="s">
        <v>124</v>
      </c>
      <c r="B54" s="263" t="s">
        <v>125</v>
      </c>
      <c r="C54" s="263" t="s">
        <v>255</v>
      </c>
      <c r="D54" s="263">
        <v>1</v>
      </c>
      <c r="E54" s="2328">
        <v>26575</v>
      </c>
      <c r="F54" s="2328">
        <v>13459</v>
      </c>
      <c r="G54" s="1720">
        <v>13116</v>
      </c>
      <c r="H54" s="521">
        <v>20688</v>
      </c>
      <c r="I54" s="521">
        <v>4297</v>
      </c>
      <c r="J54" s="521">
        <v>409</v>
      </c>
      <c r="K54" s="521">
        <v>236</v>
      </c>
      <c r="L54" s="1720">
        <v>945</v>
      </c>
      <c r="M54" s="2328">
        <f t="shared" si="29"/>
        <v>6621</v>
      </c>
      <c r="N54" s="521">
        <f t="shared" si="30"/>
        <v>16478</v>
      </c>
      <c r="O54" s="1720">
        <f t="shared" si="31"/>
        <v>3476</v>
      </c>
      <c r="P54" s="2328">
        <v>3398</v>
      </c>
      <c r="Q54" s="521">
        <v>8412</v>
      </c>
      <c r="R54" s="521">
        <v>1649</v>
      </c>
      <c r="S54" s="2328">
        <v>3223</v>
      </c>
      <c r="T54" s="521">
        <v>8066</v>
      </c>
      <c r="U54" s="1720">
        <v>1827</v>
      </c>
      <c r="V54" s="1047">
        <f t="shared" si="32"/>
        <v>0.506453433678269</v>
      </c>
      <c r="W54" s="1047">
        <f t="shared" si="33"/>
        <v>0.49354656632173094</v>
      </c>
      <c r="X54" s="2329">
        <f t="shared" si="34"/>
        <v>0.77847601128880528</v>
      </c>
      <c r="Y54" s="1047">
        <f t="shared" si="35"/>
        <v>0.16169332079021637</v>
      </c>
      <c r="Z54" s="1047">
        <f t="shared" si="36"/>
        <v>1.5390404515522108E-2</v>
      </c>
      <c r="AA54" s="1047">
        <f t="shared" si="37"/>
        <v>8.8805268109125122E-3</v>
      </c>
      <c r="AB54" s="2330">
        <f t="shared" si="38"/>
        <v>3.5559736594543742E-2</v>
      </c>
      <c r="AC54" s="2331">
        <f t="shared" si="39"/>
        <v>0.24914393226716838</v>
      </c>
      <c r="AD54" s="524">
        <f t="shared" si="40"/>
        <v>0.62005644402634053</v>
      </c>
      <c r="AE54" s="2332">
        <f t="shared" si="41"/>
        <v>0.13079962370649106</v>
      </c>
      <c r="AF54" s="2328">
        <v>1506</v>
      </c>
      <c r="AG54" s="265">
        <f t="shared" si="42"/>
        <v>5.6669802445907809E-2</v>
      </c>
    </row>
    <row r="55" spans="1:33" x14ac:dyDescent="0.3">
      <c r="A55" s="263" t="s">
        <v>126</v>
      </c>
      <c r="B55" s="263" t="s">
        <v>127</v>
      </c>
      <c r="C55" s="263" t="s">
        <v>254</v>
      </c>
      <c r="D55" s="263">
        <v>1</v>
      </c>
      <c r="E55" s="2328">
        <v>16939</v>
      </c>
      <c r="F55" s="2328">
        <v>8291</v>
      </c>
      <c r="G55" s="1720">
        <v>8648</v>
      </c>
      <c r="H55" s="521">
        <v>13396</v>
      </c>
      <c r="I55" s="521">
        <v>2654</v>
      </c>
      <c r="J55" s="521">
        <v>216</v>
      </c>
      <c r="K55" s="521">
        <v>257</v>
      </c>
      <c r="L55" s="1720">
        <v>416</v>
      </c>
      <c r="M55" s="2328">
        <f t="shared" si="29"/>
        <v>3909</v>
      </c>
      <c r="N55" s="521">
        <f t="shared" si="30"/>
        <v>10302</v>
      </c>
      <c r="O55" s="1720">
        <f t="shared" si="31"/>
        <v>2728</v>
      </c>
      <c r="P55" s="2328">
        <v>2010</v>
      </c>
      <c r="Q55" s="521">
        <v>5061</v>
      </c>
      <c r="R55" s="521">
        <v>1220</v>
      </c>
      <c r="S55" s="2328">
        <v>1899</v>
      </c>
      <c r="T55" s="521">
        <v>5241</v>
      </c>
      <c r="U55" s="1720">
        <v>1508</v>
      </c>
      <c r="V55" s="1047">
        <f t="shared" si="32"/>
        <v>0.48946218785052248</v>
      </c>
      <c r="W55" s="1047">
        <f t="shared" si="33"/>
        <v>0.51053781214947758</v>
      </c>
      <c r="X55" s="2329">
        <f t="shared" si="34"/>
        <v>0.7908377117893618</v>
      </c>
      <c r="Y55" s="1047">
        <f t="shared" si="35"/>
        <v>0.15667985123088729</v>
      </c>
      <c r="Z55" s="1047">
        <f t="shared" si="36"/>
        <v>1.2751638231300549E-2</v>
      </c>
      <c r="AA55" s="1047">
        <f t="shared" si="37"/>
        <v>1.5172088080760376E-2</v>
      </c>
      <c r="AB55" s="2330">
        <f t="shared" si="38"/>
        <v>2.4558710667689946E-2</v>
      </c>
      <c r="AC55" s="2331">
        <f t="shared" si="39"/>
        <v>0.23076923076923078</v>
      </c>
      <c r="AD55" s="524">
        <f t="shared" si="40"/>
        <v>0.60818230119841787</v>
      </c>
      <c r="AE55" s="2332">
        <f t="shared" si="41"/>
        <v>0.16104846803235137</v>
      </c>
      <c r="AF55" s="2328">
        <v>455</v>
      </c>
      <c r="AG55" s="265">
        <f t="shared" si="42"/>
        <v>2.686108979278588E-2</v>
      </c>
    </row>
    <row r="56" spans="1:33" x14ac:dyDescent="0.3">
      <c r="A56" s="263" t="s">
        <v>128</v>
      </c>
      <c r="B56" s="263" t="s">
        <v>129</v>
      </c>
      <c r="C56" s="263" t="s">
        <v>254</v>
      </c>
      <c r="D56" s="263">
        <v>1</v>
      </c>
      <c r="E56" s="2328">
        <v>10783</v>
      </c>
      <c r="F56" s="2328">
        <v>5083</v>
      </c>
      <c r="G56" s="1720">
        <v>5700</v>
      </c>
      <c r="H56" s="521">
        <v>7386</v>
      </c>
      <c r="I56" s="521">
        <v>3125</v>
      </c>
      <c r="J56" s="521">
        <v>77</v>
      </c>
      <c r="K56" s="521">
        <v>37</v>
      </c>
      <c r="L56" s="1720">
        <v>158</v>
      </c>
      <c r="M56" s="2328">
        <f t="shared" si="29"/>
        <v>1723</v>
      </c>
      <c r="N56" s="521">
        <f t="shared" si="30"/>
        <v>5164</v>
      </c>
      <c r="O56" s="1720">
        <f t="shared" si="31"/>
        <v>3896</v>
      </c>
      <c r="P56" s="2328">
        <v>908</v>
      </c>
      <c r="Q56" s="521">
        <v>2418</v>
      </c>
      <c r="R56" s="521">
        <v>1757</v>
      </c>
      <c r="S56" s="2328">
        <v>815</v>
      </c>
      <c r="T56" s="521">
        <v>2746</v>
      </c>
      <c r="U56" s="1720">
        <v>2139</v>
      </c>
      <c r="V56" s="1047">
        <f t="shared" si="32"/>
        <v>0.47139015116386906</v>
      </c>
      <c r="W56" s="1047">
        <f t="shared" si="33"/>
        <v>0.52860984883613094</v>
      </c>
      <c r="X56" s="2329">
        <f t="shared" si="34"/>
        <v>0.6849670778076602</v>
      </c>
      <c r="Y56" s="1047">
        <f t="shared" si="35"/>
        <v>0.28980803116015952</v>
      </c>
      <c r="Z56" s="1047">
        <f t="shared" si="36"/>
        <v>7.1408698877863299E-3</v>
      </c>
      <c r="AA56" s="1047">
        <f t="shared" si="37"/>
        <v>3.4313270889362885E-3</v>
      </c>
      <c r="AB56" s="2330">
        <f t="shared" si="38"/>
        <v>1.4652694055457665E-2</v>
      </c>
      <c r="AC56" s="2331">
        <f t="shared" si="39"/>
        <v>0.15978855606046555</v>
      </c>
      <c r="AD56" s="524">
        <f t="shared" si="40"/>
        <v>0.47890197533154039</v>
      </c>
      <c r="AE56" s="2332">
        <f t="shared" si="41"/>
        <v>0.36130946860799407</v>
      </c>
      <c r="AF56" s="2328">
        <v>245</v>
      </c>
      <c r="AG56" s="265">
        <f t="shared" si="42"/>
        <v>2.2720949642956505E-2</v>
      </c>
    </row>
    <row r="57" spans="1:33" x14ac:dyDescent="0.3">
      <c r="A57" s="263" t="s">
        <v>130</v>
      </c>
      <c r="B57" s="263" t="s">
        <v>131</v>
      </c>
      <c r="C57" s="263" t="s">
        <v>256</v>
      </c>
      <c r="D57" s="263">
        <v>2</v>
      </c>
      <c r="E57" s="2328">
        <v>23541</v>
      </c>
      <c r="F57" s="2328">
        <v>12237</v>
      </c>
      <c r="G57" s="1720">
        <v>11304</v>
      </c>
      <c r="H57" s="521">
        <v>22275</v>
      </c>
      <c r="I57" s="521">
        <v>867</v>
      </c>
      <c r="J57" s="521">
        <v>60</v>
      </c>
      <c r="K57" s="521">
        <v>103</v>
      </c>
      <c r="L57" s="1720">
        <v>236</v>
      </c>
      <c r="M57" s="2328">
        <f t="shared" si="29"/>
        <v>4412</v>
      </c>
      <c r="N57" s="521">
        <f t="shared" si="30"/>
        <v>14103</v>
      </c>
      <c r="O57" s="1720">
        <f t="shared" si="31"/>
        <v>5026</v>
      </c>
      <c r="P57" s="2328">
        <v>2303</v>
      </c>
      <c r="Q57" s="521">
        <v>7600</v>
      </c>
      <c r="R57" s="521">
        <v>2334</v>
      </c>
      <c r="S57" s="2328">
        <v>2109</v>
      </c>
      <c r="T57" s="521">
        <v>6503</v>
      </c>
      <c r="U57" s="1720">
        <v>2692</v>
      </c>
      <c r="V57" s="1047">
        <f t="shared" si="32"/>
        <v>0.51981649037848865</v>
      </c>
      <c r="W57" s="1047">
        <f t="shared" si="33"/>
        <v>0.48018350962151141</v>
      </c>
      <c r="X57" s="2329">
        <f t="shared" si="34"/>
        <v>0.94622148591818533</v>
      </c>
      <c r="Y57" s="1047">
        <f t="shared" si="35"/>
        <v>3.6829361539441823E-2</v>
      </c>
      <c r="Z57" s="1047">
        <f t="shared" si="36"/>
        <v>2.5487447432139673E-3</v>
      </c>
      <c r="AA57" s="1047">
        <f t="shared" si="37"/>
        <v>4.3753451425173106E-3</v>
      </c>
      <c r="AB57" s="2330">
        <f t="shared" si="38"/>
        <v>1.0025062656641603E-2</v>
      </c>
      <c r="AC57" s="2331">
        <f t="shared" si="39"/>
        <v>0.1874176967843337</v>
      </c>
      <c r="AD57" s="524">
        <f t="shared" si="40"/>
        <v>0.59908245189244302</v>
      </c>
      <c r="AE57" s="2332">
        <f t="shared" si="41"/>
        <v>0.2134998513232233</v>
      </c>
      <c r="AF57" s="2328">
        <v>451</v>
      </c>
      <c r="AG57" s="265">
        <f t="shared" si="42"/>
        <v>1.9158064653158318E-2</v>
      </c>
    </row>
    <row r="58" spans="1:33" x14ac:dyDescent="0.3">
      <c r="A58" s="263" t="s">
        <v>132</v>
      </c>
      <c r="B58" s="263" t="s">
        <v>133</v>
      </c>
      <c r="C58" s="263" t="s">
        <v>255</v>
      </c>
      <c r="D58" s="263">
        <v>3</v>
      </c>
      <c r="E58" s="2328">
        <v>406850</v>
      </c>
      <c r="F58" s="2328">
        <v>201469</v>
      </c>
      <c r="G58" s="1720">
        <v>205381</v>
      </c>
      <c r="H58" s="521">
        <v>274959</v>
      </c>
      <c r="I58" s="521">
        <v>32536</v>
      </c>
      <c r="J58" s="521">
        <v>81265</v>
      </c>
      <c r="K58" s="521">
        <v>2298</v>
      </c>
      <c r="L58" s="1720">
        <v>15792</v>
      </c>
      <c r="M58" s="2328">
        <f t="shared" si="29"/>
        <v>115028</v>
      </c>
      <c r="N58" s="521">
        <f t="shared" si="30"/>
        <v>254020</v>
      </c>
      <c r="O58" s="1720">
        <f t="shared" si="31"/>
        <v>37802</v>
      </c>
      <c r="P58" s="2328">
        <v>58412</v>
      </c>
      <c r="Q58" s="521">
        <v>126295</v>
      </c>
      <c r="R58" s="521">
        <v>16762</v>
      </c>
      <c r="S58" s="2328">
        <v>56616</v>
      </c>
      <c r="T58" s="521">
        <v>127725</v>
      </c>
      <c r="U58" s="1720">
        <v>21040</v>
      </c>
      <c r="V58" s="1047">
        <f t="shared" si="32"/>
        <v>0.49519233132604151</v>
      </c>
      <c r="W58" s="1047">
        <f t="shared" si="33"/>
        <v>0.50480766867395843</v>
      </c>
      <c r="X58" s="2329">
        <f t="shared" si="34"/>
        <v>0.67582401376428658</v>
      </c>
      <c r="Y58" s="1047">
        <f t="shared" si="35"/>
        <v>7.9970505100159767E-2</v>
      </c>
      <c r="Z58" s="1047">
        <f t="shared" si="36"/>
        <v>0.19974191962639792</v>
      </c>
      <c r="AA58" s="1047">
        <f t="shared" si="37"/>
        <v>5.648273319405186E-3</v>
      </c>
      <c r="AB58" s="2330">
        <f t="shared" si="38"/>
        <v>3.8815288189750524E-2</v>
      </c>
      <c r="AC58" s="2331">
        <f t="shared" si="39"/>
        <v>0.28272827823522184</v>
      </c>
      <c r="AD58" s="524">
        <f t="shared" si="40"/>
        <v>0.62435787145139487</v>
      </c>
      <c r="AE58" s="2332">
        <f t="shared" si="41"/>
        <v>9.2913850313383312E-2</v>
      </c>
      <c r="AF58" s="2328">
        <v>56335</v>
      </c>
      <c r="AG58" s="265">
        <f t="shared" si="42"/>
        <v>0.13846626520830774</v>
      </c>
    </row>
    <row r="59" spans="1:33" x14ac:dyDescent="0.3">
      <c r="A59" s="263" t="s">
        <v>134</v>
      </c>
      <c r="B59" s="263" t="s">
        <v>135</v>
      </c>
      <c r="C59" s="263" t="s">
        <v>255</v>
      </c>
      <c r="D59" s="263">
        <v>2</v>
      </c>
      <c r="E59" s="2328">
        <v>36778</v>
      </c>
      <c r="F59" s="2328">
        <v>18169</v>
      </c>
      <c r="G59" s="1720">
        <v>18609</v>
      </c>
      <c r="H59" s="521">
        <v>29612</v>
      </c>
      <c r="I59" s="521">
        <v>5826</v>
      </c>
      <c r="J59" s="521">
        <v>247</v>
      </c>
      <c r="K59" s="521">
        <v>254</v>
      </c>
      <c r="L59" s="1720">
        <v>839</v>
      </c>
      <c r="M59" s="2328">
        <f t="shared" si="29"/>
        <v>7407</v>
      </c>
      <c r="N59" s="521">
        <f t="shared" si="30"/>
        <v>22087</v>
      </c>
      <c r="O59" s="1720">
        <f t="shared" si="31"/>
        <v>7284</v>
      </c>
      <c r="P59" s="2328">
        <v>3747</v>
      </c>
      <c r="Q59" s="521">
        <v>10933</v>
      </c>
      <c r="R59" s="521">
        <v>3489</v>
      </c>
      <c r="S59" s="2328">
        <v>3660</v>
      </c>
      <c r="T59" s="521">
        <v>11154</v>
      </c>
      <c r="U59" s="1720">
        <v>3795</v>
      </c>
      <c r="V59" s="1047">
        <f t="shared" si="32"/>
        <v>0.49401816303224755</v>
      </c>
      <c r="W59" s="1047">
        <f t="shared" si="33"/>
        <v>0.50598183696775245</v>
      </c>
      <c r="X59" s="2329">
        <f t="shared" si="34"/>
        <v>0.80515525585948122</v>
      </c>
      <c r="Y59" s="1047">
        <f t="shared" si="35"/>
        <v>0.15840991897329926</v>
      </c>
      <c r="Z59" s="1047">
        <f t="shared" si="36"/>
        <v>6.7159715047038987E-3</v>
      </c>
      <c r="AA59" s="1047">
        <f t="shared" si="37"/>
        <v>6.9063026809505681E-3</v>
      </c>
      <c r="AB59" s="2330">
        <f t="shared" si="38"/>
        <v>2.2812550981565066E-2</v>
      </c>
      <c r="AC59" s="2331">
        <f t="shared" si="39"/>
        <v>0.20139757463701125</v>
      </c>
      <c r="AD59" s="524">
        <f t="shared" si="40"/>
        <v>0.60054924139431187</v>
      </c>
      <c r="AE59" s="2332">
        <f t="shared" si="41"/>
        <v>0.19805318396867694</v>
      </c>
      <c r="AF59" s="2328">
        <v>1152</v>
      </c>
      <c r="AG59" s="265">
        <f t="shared" si="42"/>
        <v>3.1323073576594702E-2</v>
      </c>
    </row>
    <row r="60" spans="1:33" x14ac:dyDescent="0.3">
      <c r="A60" s="263" t="s">
        <v>136</v>
      </c>
      <c r="B60" s="263" t="s">
        <v>137</v>
      </c>
      <c r="C60" s="263" t="s">
        <v>254</v>
      </c>
      <c r="D60" s="263">
        <v>1</v>
      </c>
      <c r="E60" s="2328">
        <v>12086</v>
      </c>
      <c r="F60" s="2328">
        <v>6400</v>
      </c>
      <c r="G60" s="1720">
        <v>5686</v>
      </c>
      <c r="H60" s="521">
        <v>7585</v>
      </c>
      <c r="I60" s="521">
        <v>4129</v>
      </c>
      <c r="J60" s="521">
        <v>38</v>
      </c>
      <c r="K60" s="521">
        <v>90</v>
      </c>
      <c r="L60" s="1720">
        <v>244</v>
      </c>
      <c r="M60" s="2328">
        <f t="shared" si="29"/>
        <v>2243</v>
      </c>
      <c r="N60" s="521">
        <f t="shared" si="30"/>
        <v>7146</v>
      </c>
      <c r="O60" s="1720">
        <f t="shared" si="31"/>
        <v>2697</v>
      </c>
      <c r="P60" s="2328">
        <v>1171</v>
      </c>
      <c r="Q60" s="521">
        <v>4010</v>
      </c>
      <c r="R60" s="521">
        <v>1219</v>
      </c>
      <c r="S60" s="2328">
        <v>1072</v>
      </c>
      <c r="T60" s="521">
        <v>3136</v>
      </c>
      <c r="U60" s="1720">
        <v>1478</v>
      </c>
      <c r="V60" s="1047">
        <f t="shared" si="32"/>
        <v>0.52953830878702635</v>
      </c>
      <c r="W60" s="1047">
        <f t="shared" si="33"/>
        <v>0.47046169121297371</v>
      </c>
      <c r="X60" s="2329">
        <f t="shared" si="34"/>
        <v>0.62758563627337416</v>
      </c>
      <c r="Y60" s="1047">
        <f t="shared" si="35"/>
        <v>0.34163494952837992</v>
      </c>
      <c r="Z60" s="1047">
        <f t="shared" si="36"/>
        <v>3.1441337084229686E-3</v>
      </c>
      <c r="AA60" s="1047">
        <f t="shared" si="37"/>
        <v>7.4466324673175578E-3</v>
      </c>
      <c r="AB60" s="2330">
        <f t="shared" si="38"/>
        <v>2.018864802250538E-2</v>
      </c>
      <c r="AC60" s="2331">
        <f t="shared" si="39"/>
        <v>0.18558662915770313</v>
      </c>
      <c r="AD60" s="524">
        <f t="shared" si="40"/>
        <v>0.59126261790501411</v>
      </c>
      <c r="AE60" s="2332">
        <f t="shared" si="41"/>
        <v>0.22315075293728281</v>
      </c>
      <c r="AF60" s="2328">
        <v>580</v>
      </c>
      <c r="AG60" s="265">
        <f t="shared" si="42"/>
        <v>4.7989409233824262E-2</v>
      </c>
    </row>
    <row r="61" spans="1:33" x14ac:dyDescent="0.3">
      <c r="A61" s="263" t="s">
        <v>140</v>
      </c>
      <c r="B61" s="263" t="s">
        <v>141</v>
      </c>
      <c r="C61" s="263" t="s">
        <v>255</v>
      </c>
      <c r="D61" s="263">
        <v>1</v>
      </c>
      <c r="E61" s="2328">
        <v>13295</v>
      </c>
      <c r="F61" s="2328">
        <v>6416</v>
      </c>
      <c r="G61" s="1720">
        <v>6879</v>
      </c>
      <c r="H61" s="521">
        <v>11559</v>
      </c>
      <c r="I61" s="521">
        <v>1219</v>
      </c>
      <c r="J61" s="521">
        <v>90</v>
      </c>
      <c r="K61" s="521">
        <v>39</v>
      </c>
      <c r="L61" s="1720">
        <v>388</v>
      </c>
      <c r="M61" s="2328">
        <f t="shared" si="29"/>
        <v>2706</v>
      </c>
      <c r="N61" s="521">
        <f t="shared" si="30"/>
        <v>7630</v>
      </c>
      <c r="O61" s="1720">
        <f t="shared" si="31"/>
        <v>2959</v>
      </c>
      <c r="P61" s="2328">
        <v>1327</v>
      </c>
      <c r="Q61" s="521">
        <v>3738</v>
      </c>
      <c r="R61" s="521">
        <v>1351</v>
      </c>
      <c r="S61" s="2328">
        <v>1379</v>
      </c>
      <c r="T61" s="521">
        <v>3892</v>
      </c>
      <c r="U61" s="1720">
        <v>1608</v>
      </c>
      <c r="V61" s="1047">
        <f t="shared" si="32"/>
        <v>0.48258743888679956</v>
      </c>
      <c r="W61" s="1047">
        <f t="shared" si="33"/>
        <v>0.51741256111320044</v>
      </c>
      <c r="X61" s="2329">
        <f t="shared" si="34"/>
        <v>0.86942459571267394</v>
      </c>
      <c r="Y61" s="1047">
        <f t="shared" si="35"/>
        <v>9.1688604738623544E-2</v>
      </c>
      <c r="Z61" s="1047">
        <f t="shared" si="36"/>
        <v>6.7694622038360283E-3</v>
      </c>
      <c r="AA61" s="1047">
        <f t="shared" si="37"/>
        <v>2.933433621662279E-3</v>
      </c>
      <c r="AB61" s="2330">
        <f t="shared" si="38"/>
        <v>2.9183903723204212E-2</v>
      </c>
      <c r="AC61" s="2331">
        <f t="shared" si="39"/>
        <v>0.2035351635953366</v>
      </c>
      <c r="AD61" s="524">
        <f t="shared" si="40"/>
        <v>0.57389996239187668</v>
      </c>
      <c r="AE61" s="2332">
        <f t="shared" si="41"/>
        <v>0.22256487401278677</v>
      </c>
      <c r="AF61" s="2328">
        <v>406</v>
      </c>
      <c r="AG61" s="265">
        <f t="shared" si="42"/>
        <v>3.0537796163971419E-2</v>
      </c>
    </row>
    <row r="62" spans="1:33" x14ac:dyDescent="0.3">
      <c r="A62" s="263" t="s">
        <v>146</v>
      </c>
      <c r="B62" s="263" t="s">
        <v>147</v>
      </c>
      <c r="C62" s="263" t="s">
        <v>252</v>
      </c>
      <c r="D62" s="263">
        <v>1</v>
      </c>
      <c r="E62" s="2328">
        <v>8802</v>
      </c>
      <c r="F62" s="2328">
        <v>4235</v>
      </c>
      <c r="G62" s="1720">
        <v>4567</v>
      </c>
      <c r="H62" s="521">
        <v>7723</v>
      </c>
      <c r="I62" s="521">
        <v>762</v>
      </c>
      <c r="J62" s="521">
        <v>89</v>
      </c>
      <c r="K62" s="521">
        <v>38</v>
      </c>
      <c r="L62" s="1720">
        <v>190</v>
      </c>
      <c r="M62" s="2328">
        <f t="shared" si="29"/>
        <v>1360</v>
      </c>
      <c r="N62" s="521">
        <f t="shared" si="30"/>
        <v>4708</v>
      </c>
      <c r="O62" s="1720">
        <f t="shared" si="31"/>
        <v>2734</v>
      </c>
      <c r="P62" s="2328">
        <v>671</v>
      </c>
      <c r="Q62" s="521">
        <v>2303</v>
      </c>
      <c r="R62" s="521">
        <v>1261</v>
      </c>
      <c r="S62" s="2328">
        <v>689</v>
      </c>
      <c r="T62" s="521">
        <v>2405</v>
      </c>
      <c r="U62" s="1720">
        <v>1473</v>
      </c>
      <c r="V62" s="1047">
        <f t="shared" si="32"/>
        <v>0.48114064985230631</v>
      </c>
      <c r="W62" s="1047">
        <f t="shared" si="33"/>
        <v>0.51885935014769369</v>
      </c>
      <c r="X62" s="2329">
        <f t="shared" si="34"/>
        <v>0.87741422403999092</v>
      </c>
      <c r="Y62" s="1047">
        <f t="shared" si="35"/>
        <v>8.6571233810497611E-2</v>
      </c>
      <c r="Z62" s="1047">
        <f t="shared" si="36"/>
        <v>1.0111338332197227E-2</v>
      </c>
      <c r="AA62" s="1047">
        <f t="shared" si="37"/>
        <v>4.3172006362190412E-3</v>
      </c>
      <c r="AB62" s="2330">
        <f t="shared" si="38"/>
        <v>2.1586003181095204E-2</v>
      </c>
      <c r="AC62" s="2331">
        <f t="shared" si="39"/>
        <v>0.15451033855941831</v>
      </c>
      <c r="AD62" s="524">
        <f t="shared" si="40"/>
        <v>0.53487843671892754</v>
      </c>
      <c r="AE62" s="2332">
        <f t="shared" si="41"/>
        <v>0.31061122472165414</v>
      </c>
      <c r="AF62" s="2328">
        <v>244</v>
      </c>
      <c r="AG62" s="265">
        <f t="shared" si="42"/>
        <v>2.7720972506248581E-2</v>
      </c>
    </row>
    <row r="63" spans="1:33" x14ac:dyDescent="0.3">
      <c r="A63" s="263" t="s">
        <v>148</v>
      </c>
      <c r="B63" s="263" t="s">
        <v>149</v>
      </c>
      <c r="C63" s="263" t="s">
        <v>253</v>
      </c>
      <c r="D63" s="263">
        <v>2</v>
      </c>
      <c r="E63" s="2328">
        <v>30650</v>
      </c>
      <c r="F63" s="2328">
        <v>14885</v>
      </c>
      <c r="G63" s="1720">
        <v>15765</v>
      </c>
      <c r="H63" s="521">
        <v>19080</v>
      </c>
      <c r="I63" s="521">
        <v>10614</v>
      </c>
      <c r="J63" s="521">
        <v>272</v>
      </c>
      <c r="K63" s="521">
        <v>141</v>
      </c>
      <c r="L63" s="1720">
        <v>543</v>
      </c>
      <c r="M63" s="2328">
        <f t="shared" si="29"/>
        <v>5681</v>
      </c>
      <c r="N63" s="521">
        <f t="shared" si="30"/>
        <v>17111</v>
      </c>
      <c r="O63" s="1720">
        <f t="shared" si="31"/>
        <v>7858</v>
      </c>
      <c r="P63" s="2328">
        <v>2879</v>
      </c>
      <c r="Q63" s="521">
        <v>8491</v>
      </c>
      <c r="R63" s="521">
        <v>3515</v>
      </c>
      <c r="S63" s="2328">
        <v>2802</v>
      </c>
      <c r="T63" s="521">
        <v>8620</v>
      </c>
      <c r="U63" s="1720">
        <v>4343</v>
      </c>
      <c r="V63" s="1047">
        <f t="shared" si="32"/>
        <v>0.48564437194127241</v>
      </c>
      <c r="W63" s="1047">
        <f t="shared" si="33"/>
        <v>0.51435562805872759</v>
      </c>
      <c r="X63" s="2329">
        <f t="shared" si="34"/>
        <v>0.6225122349102773</v>
      </c>
      <c r="Y63" s="1047">
        <f t="shared" si="35"/>
        <v>0.34629690048939643</v>
      </c>
      <c r="Z63" s="1047">
        <f t="shared" si="36"/>
        <v>8.874388254486134E-3</v>
      </c>
      <c r="AA63" s="1047">
        <f t="shared" si="37"/>
        <v>4.6003262642740619E-3</v>
      </c>
      <c r="AB63" s="2330">
        <f t="shared" si="38"/>
        <v>1.771615008156607E-2</v>
      </c>
      <c r="AC63" s="2331">
        <f t="shared" si="39"/>
        <v>0.18535073409461664</v>
      </c>
      <c r="AD63" s="524">
        <f t="shared" si="40"/>
        <v>0.55827079934747148</v>
      </c>
      <c r="AE63" s="2332">
        <f t="shared" si="41"/>
        <v>0.25637846655791191</v>
      </c>
      <c r="AF63" s="2328">
        <v>935</v>
      </c>
      <c r="AG63" s="265">
        <f t="shared" si="42"/>
        <v>3.0505709624796085E-2</v>
      </c>
    </row>
    <row r="64" spans="1:33" x14ac:dyDescent="0.3">
      <c r="A64" s="263" t="s">
        <v>150</v>
      </c>
      <c r="B64" s="263" t="s">
        <v>151</v>
      </c>
      <c r="C64" s="263" t="s">
        <v>254</v>
      </c>
      <c r="D64" s="263">
        <v>1</v>
      </c>
      <c r="E64" s="2328">
        <v>10769</v>
      </c>
      <c r="F64" s="2328">
        <v>5243</v>
      </c>
      <c r="G64" s="1720">
        <v>5526</v>
      </c>
      <c r="H64" s="521">
        <v>8593</v>
      </c>
      <c r="I64" s="521">
        <v>1810</v>
      </c>
      <c r="J64" s="521">
        <v>50</v>
      </c>
      <c r="K64" s="521">
        <v>63</v>
      </c>
      <c r="L64" s="1720">
        <v>253</v>
      </c>
      <c r="M64" s="2328">
        <f t="shared" si="29"/>
        <v>1764</v>
      </c>
      <c r="N64" s="521">
        <f t="shared" si="30"/>
        <v>5652</v>
      </c>
      <c r="O64" s="1720">
        <f t="shared" si="31"/>
        <v>3353</v>
      </c>
      <c r="P64" s="2328">
        <v>895</v>
      </c>
      <c r="Q64" s="521">
        <v>2805</v>
      </c>
      <c r="R64" s="521">
        <v>1543</v>
      </c>
      <c r="S64" s="2328">
        <v>869</v>
      </c>
      <c r="T64" s="521">
        <v>2847</v>
      </c>
      <c r="U64" s="1720">
        <v>1810</v>
      </c>
      <c r="V64" s="1047">
        <f t="shared" si="32"/>
        <v>0.48686043272355839</v>
      </c>
      <c r="W64" s="1047">
        <f t="shared" si="33"/>
        <v>0.51313956727644161</v>
      </c>
      <c r="X64" s="2329">
        <f t="shared" si="34"/>
        <v>0.79793852725415548</v>
      </c>
      <c r="Y64" s="1047">
        <f t="shared" si="35"/>
        <v>0.16807503017921813</v>
      </c>
      <c r="Z64" s="1047">
        <f t="shared" si="36"/>
        <v>4.6429566347850311E-3</v>
      </c>
      <c r="AA64" s="1047">
        <f t="shared" si="37"/>
        <v>5.850125359829139E-3</v>
      </c>
      <c r="AB64" s="2330">
        <f t="shared" si="38"/>
        <v>2.3493360572012258E-2</v>
      </c>
      <c r="AC64" s="2331">
        <f t="shared" si="39"/>
        <v>0.1638035100752159</v>
      </c>
      <c r="AD64" s="524">
        <f t="shared" si="40"/>
        <v>0.52483981799609991</v>
      </c>
      <c r="AE64" s="2332">
        <f t="shared" si="41"/>
        <v>0.31135667192868416</v>
      </c>
      <c r="AF64" s="2328">
        <v>301</v>
      </c>
      <c r="AG64" s="265">
        <f t="shared" si="42"/>
        <v>2.7950598941405887E-2</v>
      </c>
    </row>
    <row r="65" spans="1:33" x14ac:dyDescent="0.3">
      <c r="A65" s="263" t="s">
        <v>152</v>
      </c>
      <c r="B65" s="263" t="s">
        <v>153</v>
      </c>
      <c r="C65" s="263" t="s">
        <v>256</v>
      </c>
      <c r="D65" s="263">
        <v>2</v>
      </c>
      <c r="E65" s="2328">
        <v>98985</v>
      </c>
      <c r="F65" s="2328">
        <v>51452</v>
      </c>
      <c r="G65" s="1720">
        <v>47533</v>
      </c>
      <c r="H65" s="521">
        <v>85432</v>
      </c>
      <c r="I65" s="521">
        <v>4198</v>
      </c>
      <c r="J65" s="521">
        <v>6509</v>
      </c>
      <c r="K65" s="521">
        <v>359</v>
      </c>
      <c r="L65" s="1720">
        <v>2487</v>
      </c>
      <c r="M65" s="2328">
        <f t="shared" si="29"/>
        <v>15305</v>
      </c>
      <c r="N65" s="521">
        <f t="shared" si="30"/>
        <v>71205</v>
      </c>
      <c r="O65" s="1720">
        <f t="shared" si="31"/>
        <v>12475</v>
      </c>
      <c r="P65" s="2328">
        <v>7876</v>
      </c>
      <c r="Q65" s="521">
        <v>38005</v>
      </c>
      <c r="R65" s="521">
        <v>5571</v>
      </c>
      <c r="S65" s="2328">
        <v>7429</v>
      </c>
      <c r="T65" s="521">
        <v>33200</v>
      </c>
      <c r="U65" s="1720">
        <v>6904</v>
      </c>
      <c r="V65" s="1047">
        <f t="shared" si="32"/>
        <v>0.51979592867606206</v>
      </c>
      <c r="W65" s="1047">
        <f t="shared" si="33"/>
        <v>0.480204071323938</v>
      </c>
      <c r="X65" s="2329">
        <f t="shared" si="34"/>
        <v>0.86308026468656862</v>
      </c>
      <c r="Y65" s="1047">
        <f t="shared" si="35"/>
        <v>4.2410466232257416E-2</v>
      </c>
      <c r="Z65" s="1047">
        <f t="shared" si="36"/>
        <v>6.5757437995655907E-2</v>
      </c>
      <c r="AA65" s="1047">
        <f t="shared" si="37"/>
        <v>3.6268121432540285E-3</v>
      </c>
      <c r="AB65" s="2330">
        <f t="shared" si="38"/>
        <v>2.5125018942263981E-2</v>
      </c>
      <c r="AC65" s="2331">
        <f t="shared" si="39"/>
        <v>0.15461938677577411</v>
      </c>
      <c r="AD65" s="524">
        <f t="shared" si="40"/>
        <v>0.71935141688134563</v>
      </c>
      <c r="AE65" s="2332">
        <f t="shared" si="41"/>
        <v>0.12602919634288023</v>
      </c>
      <c r="AF65" s="2328">
        <v>3286</v>
      </c>
      <c r="AG65" s="265">
        <f t="shared" si="42"/>
        <v>3.3196949032681722E-2</v>
      </c>
    </row>
    <row r="66" spans="1:33" x14ac:dyDescent="0.3">
      <c r="A66" s="263" t="s">
        <v>154</v>
      </c>
      <c r="B66" s="263" t="s">
        <v>155</v>
      </c>
      <c r="C66" s="263" t="s">
        <v>253</v>
      </c>
      <c r="D66" s="263">
        <v>1</v>
      </c>
      <c r="E66" s="2328">
        <v>14836</v>
      </c>
      <c r="F66" s="2328">
        <v>7170</v>
      </c>
      <c r="G66" s="1720">
        <v>7666</v>
      </c>
      <c r="H66" s="521">
        <v>12604</v>
      </c>
      <c r="I66" s="521">
        <v>1721</v>
      </c>
      <c r="J66" s="521">
        <v>114</v>
      </c>
      <c r="K66" s="521">
        <v>84</v>
      </c>
      <c r="L66" s="1720">
        <v>313</v>
      </c>
      <c r="M66" s="2328">
        <f t="shared" si="29"/>
        <v>2632</v>
      </c>
      <c r="N66" s="521">
        <f t="shared" si="30"/>
        <v>8151</v>
      </c>
      <c r="O66" s="1720">
        <f t="shared" si="31"/>
        <v>4053</v>
      </c>
      <c r="P66" s="2328">
        <v>1325</v>
      </c>
      <c r="Q66" s="521">
        <v>3969</v>
      </c>
      <c r="R66" s="521">
        <v>1876</v>
      </c>
      <c r="S66" s="2328">
        <v>1307</v>
      </c>
      <c r="T66" s="521">
        <v>4182</v>
      </c>
      <c r="U66" s="1720">
        <v>2177</v>
      </c>
      <c r="V66" s="1047">
        <f t="shared" si="32"/>
        <v>0.48328390401725535</v>
      </c>
      <c r="W66" s="1047">
        <f t="shared" si="33"/>
        <v>0.51671609598274471</v>
      </c>
      <c r="X66" s="2329">
        <f t="shared" si="34"/>
        <v>0.84955513615529787</v>
      </c>
      <c r="Y66" s="1047">
        <f t="shared" si="35"/>
        <v>0.11600161768670801</v>
      </c>
      <c r="Z66" s="1047">
        <f t="shared" si="36"/>
        <v>7.6840118630358591E-3</v>
      </c>
      <c r="AA66" s="1047">
        <f t="shared" si="37"/>
        <v>5.6619034780264225E-3</v>
      </c>
      <c r="AB66" s="2330">
        <f t="shared" si="38"/>
        <v>2.1097330816931787E-2</v>
      </c>
      <c r="AC66" s="2331">
        <f t="shared" si="39"/>
        <v>0.17740630897816123</v>
      </c>
      <c r="AD66" s="524">
        <f t="shared" si="40"/>
        <v>0.54940684820706387</v>
      </c>
      <c r="AE66" s="2332">
        <f t="shared" si="41"/>
        <v>0.2731868428147749</v>
      </c>
      <c r="AF66" s="2328">
        <v>664</v>
      </c>
      <c r="AG66" s="265">
        <f t="shared" si="42"/>
        <v>4.4755998921542195E-2</v>
      </c>
    </row>
    <row r="67" spans="1:33" x14ac:dyDescent="0.3">
      <c r="A67" s="263" t="s">
        <v>156</v>
      </c>
      <c r="B67" s="263" t="s">
        <v>157</v>
      </c>
      <c r="C67" s="263" t="s">
        <v>254</v>
      </c>
      <c r="D67" s="263">
        <v>1</v>
      </c>
      <c r="E67" s="2328">
        <v>22391</v>
      </c>
      <c r="F67" s="2328">
        <v>11450</v>
      </c>
      <c r="G67" s="1720">
        <v>10941</v>
      </c>
      <c r="H67" s="521">
        <v>18160</v>
      </c>
      <c r="I67" s="521">
        <v>3073</v>
      </c>
      <c r="J67" s="521">
        <v>273</v>
      </c>
      <c r="K67" s="521">
        <v>266</v>
      </c>
      <c r="L67" s="1720">
        <v>619</v>
      </c>
      <c r="M67" s="2328">
        <f t="shared" si="29"/>
        <v>4489</v>
      </c>
      <c r="N67" s="521">
        <f t="shared" si="30"/>
        <v>14042</v>
      </c>
      <c r="O67" s="1720">
        <f t="shared" si="31"/>
        <v>3860</v>
      </c>
      <c r="P67" s="2328">
        <v>2322</v>
      </c>
      <c r="Q67" s="521">
        <v>7272</v>
      </c>
      <c r="R67" s="521">
        <v>1856</v>
      </c>
      <c r="S67" s="2328">
        <v>2167</v>
      </c>
      <c r="T67" s="521">
        <v>6770</v>
      </c>
      <c r="U67" s="1720">
        <v>2004</v>
      </c>
      <c r="V67" s="1047">
        <f t="shared" si="32"/>
        <v>0.51136617390915995</v>
      </c>
      <c r="W67" s="1047">
        <f t="shared" si="33"/>
        <v>0.48863382609084005</v>
      </c>
      <c r="X67" s="2329">
        <f t="shared" si="34"/>
        <v>0.81104015006029206</v>
      </c>
      <c r="Y67" s="1047">
        <f t="shared" si="35"/>
        <v>0.13724264213299986</v>
      </c>
      <c r="Z67" s="1047">
        <f t="shared" si="36"/>
        <v>1.2192398731633245E-2</v>
      </c>
      <c r="AA67" s="1047">
        <f t="shared" si="37"/>
        <v>1.1879773123129829E-2</v>
      </c>
      <c r="AB67" s="2330">
        <f t="shared" si="38"/>
        <v>2.764503595194498E-2</v>
      </c>
      <c r="AC67" s="2331">
        <f t="shared" si="39"/>
        <v>0.20048233665311957</v>
      </c>
      <c r="AD67" s="524">
        <f t="shared" si="40"/>
        <v>0.62712697065785361</v>
      </c>
      <c r="AE67" s="2332">
        <f t="shared" si="41"/>
        <v>0.17239069268902685</v>
      </c>
      <c r="AF67" s="2328">
        <v>824</v>
      </c>
      <c r="AG67" s="265">
        <f t="shared" si="42"/>
        <v>3.6800500200973606E-2</v>
      </c>
    </row>
    <row r="68" spans="1:33" x14ac:dyDescent="0.3">
      <c r="A68" s="263" t="s">
        <v>162</v>
      </c>
      <c r="B68" s="263" t="s">
        <v>163</v>
      </c>
      <c r="C68" s="263" t="s">
        <v>252</v>
      </c>
      <c r="D68" s="263">
        <v>2</v>
      </c>
      <c r="E68" s="2328">
        <v>11735</v>
      </c>
      <c r="F68" s="2328">
        <v>5603</v>
      </c>
      <c r="G68" s="1720">
        <v>6132</v>
      </c>
      <c r="H68" s="521">
        <v>7338</v>
      </c>
      <c r="I68" s="521">
        <v>3982</v>
      </c>
      <c r="J68" s="521">
        <v>117</v>
      </c>
      <c r="K68" s="521">
        <v>68</v>
      </c>
      <c r="L68" s="1720">
        <v>230</v>
      </c>
      <c r="M68" s="2328">
        <f t="shared" si="29"/>
        <v>2301</v>
      </c>
      <c r="N68" s="521">
        <f t="shared" si="30"/>
        <v>6336</v>
      </c>
      <c r="O68" s="1720">
        <f t="shared" si="31"/>
        <v>3098</v>
      </c>
      <c r="P68" s="2328">
        <v>1200</v>
      </c>
      <c r="Q68" s="521">
        <v>3040</v>
      </c>
      <c r="R68" s="521">
        <v>1363</v>
      </c>
      <c r="S68" s="2328">
        <v>1101</v>
      </c>
      <c r="T68" s="521">
        <v>3296</v>
      </c>
      <c r="U68" s="1720">
        <v>1735</v>
      </c>
      <c r="V68" s="1047">
        <f t="shared" si="32"/>
        <v>0.47746058798466129</v>
      </c>
      <c r="W68" s="1047">
        <f t="shared" si="33"/>
        <v>0.52253941201533871</v>
      </c>
      <c r="X68" s="2329">
        <f t="shared" si="34"/>
        <v>0.6253089049850874</v>
      </c>
      <c r="Y68" s="1047">
        <f t="shared" si="35"/>
        <v>0.33932680017043032</v>
      </c>
      <c r="Z68" s="1047">
        <f t="shared" si="36"/>
        <v>9.9701746910950146E-3</v>
      </c>
      <c r="AA68" s="1047">
        <f t="shared" si="37"/>
        <v>5.7946314443971031E-3</v>
      </c>
      <c r="AB68" s="2330">
        <f t="shared" si="38"/>
        <v>1.9599488708990202E-2</v>
      </c>
      <c r="AC68" s="2331">
        <f t="shared" si="39"/>
        <v>0.19608010225820197</v>
      </c>
      <c r="AD68" s="524">
        <f t="shared" si="40"/>
        <v>0.53992330634853003</v>
      </c>
      <c r="AE68" s="2332">
        <f t="shared" si="41"/>
        <v>0.26399659139326798</v>
      </c>
      <c r="AF68" s="2328">
        <v>1093</v>
      </c>
      <c r="AG68" s="265">
        <f t="shared" si="42"/>
        <v>9.3140178951853433E-2</v>
      </c>
    </row>
    <row r="69" spans="1:33" x14ac:dyDescent="0.3">
      <c r="A69" s="263" t="s">
        <v>164</v>
      </c>
      <c r="B69" s="263" t="s">
        <v>165</v>
      </c>
      <c r="C69" s="263" t="s">
        <v>254</v>
      </c>
      <c r="D69" s="263">
        <v>1</v>
      </c>
      <c r="E69" s="2328">
        <v>12147</v>
      </c>
      <c r="F69" s="2328">
        <v>5956</v>
      </c>
      <c r="G69" s="1720">
        <v>6191</v>
      </c>
      <c r="H69" s="521">
        <v>8786</v>
      </c>
      <c r="I69" s="521">
        <v>3042</v>
      </c>
      <c r="J69" s="521">
        <v>59</v>
      </c>
      <c r="K69" s="521">
        <v>41</v>
      </c>
      <c r="L69" s="1720">
        <v>219</v>
      </c>
      <c r="M69" s="2328">
        <f t="shared" si="29"/>
        <v>1764</v>
      </c>
      <c r="N69" s="521">
        <f t="shared" si="30"/>
        <v>5927</v>
      </c>
      <c r="O69" s="1720">
        <f t="shared" si="31"/>
        <v>4456</v>
      </c>
      <c r="P69" s="2328">
        <v>943</v>
      </c>
      <c r="Q69" s="521">
        <v>2858</v>
      </c>
      <c r="R69" s="521">
        <v>2155</v>
      </c>
      <c r="S69" s="2328">
        <v>821</v>
      </c>
      <c r="T69" s="521">
        <v>3069</v>
      </c>
      <c r="U69" s="1720">
        <v>2301</v>
      </c>
      <c r="V69" s="1047">
        <f t="shared" si="32"/>
        <v>0.49032682966987734</v>
      </c>
      <c r="W69" s="1047">
        <f t="shared" si="33"/>
        <v>0.50967317033012272</v>
      </c>
      <c r="X69" s="2329">
        <f t="shared" si="34"/>
        <v>0.72330616613155507</v>
      </c>
      <c r="Y69" s="1047">
        <f t="shared" si="35"/>
        <v>0.25043220548283529</v>
      </c>
      <c r="Z69" s="1047">
        <f t="shared" si="36"/>
        <v>4.8571663785296785E-3</v>
      </c>
      <c r="AA69" s="1047">
        <f t="shared" si="37"/>
        <v>3.3753190088087592E-3</v>
      </c>
      <c r="AB69" s="2330">
        <f t="shared" si="38"/>
        <v>1.8029142998271179E-2</v>
      </c>
      <c r="AC69" s="2331">
        <f t="shared" si="39"/>
        <v>0.14522104223265003</v>
      </c>
      <c r="AD69" s="524">
        <f t="shared" si="40"/>
        <v>0.48793940890754917</v>
      </c>
      <c r="AE69" s="2332">
        <f t="shared" si="41"/>
        <v>0.3668395488598008</v>
      </c>
      <c r="AF69" s="2328">
        <v>463</v>
      </c>
      <c r="AG69" s="265">
        <f t="shared" si="42"/>
        <v>3.8116407343376964E-2</v>
      </c>
    </row>
    <row r="70" spans="1:33" x14ac:dyDescent="0.3">
      <c r="A70" s="263" t="s">
        <v>168</v>
      </c>
      <c r="B70" s="263" t="s">
        <v>169</v>
      </c>
      <c r="C70" s="263" t="s">
        <v>254</v>
      </c>
      <c r="D70" s="263">
        <v>1</v>
      </c>
      <c r="E70" s="2328">
        <v>15420</v>
      </c>
      <c r="F70" s="2328">
        <v>8338</v>
      </c>
      <c r="G70" s="1720">
        <v>7082</v>
      </c>
      <c r="H70" s="521">
        <v>8862</v>
      </c>
      <c r="I70" s="521">
        <v>6067</v>
      </c>
      <c r="J70" s="521">
        <v>106</v>
      </c>
      <c r="K70" s="521">
        <v>130</v>
      </c>
      <c r="L70" s="1720">
        <v>255</v>
      </c>
      <c r="M70" s="2328">
        <f t="shared" ref="M70:M101" si="43">P70+S70</f>
        <v>2947</v>
      </c>
      <c r="N70" s="521">
        <f t="shared" ref="N70:N101" si="44">Q70+T70</f>
        <v>9514</v>
      </c>
      <c r="O70" s="1720">
        <f t="shared" ref="O70:O101" si="45">R70+U70</f>
        <v>2959</v>
      </c>
      <c r="P70" s="2328">
        <v>1469</v>
      </c>
      <c r="Q70" s="521">
        <v>5552</v>
      </c>
      <c r="R70" s="521">
        <v>1317</v>
      </c>
      <c r="S70" s="2328">
        <v>1478</v>
      </c>
      <c r="T70" s="521">
        <v>3962</v>
      </c>
      <c r="U70" s="1720">
        <v>1642</v>
      </c>
      <c r="V70" s="1047">
        <f t="shared" ref="V70:V101" si="46">F70/E70</f>
        <v>0.54072632944228272</v>
      </c>
      <c r="W70" s="1047">
        <f t="shared" ref="W70:W101" si="47">G70/E70</f>
        <v>0.45927367055771723</v>
      </c>
      <c r="X70" s="2329">
        <f t="shared" ref="X70:X101" si="48">H70/E70</f>
        <v>0.57470817120622564</v>
      </c>
      <c r="Y70" s="1047">
        <f t="shared" ref="Y70:Y101" si="49">I70/E70</f>
        <v>0.39345006485084305</v>
      </c>
      <c r="Z70" s="1047">
        <f t="shared" ref="Z70:Z101" si="50">J70/E70</f>
        <v>6.8741893644617379E-3</v>
      </c>
      <c r="AA70" s="1047">
        <f t="shared" ref="AA70:AA101" si="51">K70/E70</f>
        <v>8.4306095979247726E-3</v>
      </c>
      <c r="AB70" s="2330">
        <f t="shared" ref="AB70:AB101" si="52">L70/E70</f>
        <v>1.6536964980544747E-2</v>
      </c>
      <c r="AC70" s="2331">
        <f t="shared" ref="AC70:AC101" si="53">M70/E70</f>
        <v>0.1911154345006485</v>
      </c>
      <c r="AD70" s="524">
        <f t="shared" ref="AD70:AD101" si="54">N70/E70</f>
        <v>0.61699092088197149</v>
      </c>
      <c r="AE70" s="2332">
        <f t="shared" ref="AE70:AE101" si="55">O70/E70</f>
        <v>0.19189364461738004</v>
      </c>
      <c r="AF70" s="2328">
        <v>726</v>
      </c>
      <c r="AG70" s="265">
        <f t="shared" ref="AG70:AG101" si="56">AF70/E70</f>
        <v>4.7081712062256809E-2</v>
      </c>
    </row>
    <row r="71" spans="1:33" x14ac:dyDescent="0.3">
      <c r="A71" s="263" t="s">
        <v>170</v>
      </c>
      <c r="B71" s="263" t="s">
        <v>171</v>
      </c>
      <c r="C71" s="263" t="s">
        <v>255</v>
      </c>
      <c r="D71" s="263">
        <v>2</v>
      </c>
      <c r="E71" s="2328">
        <v>36644</v>
      </c>
      <c r="F71" s="2328">
        <v>17877</v>
      </c>
      <c r="G71" s="1720">
        <v>18767</v>
      </c>
      <c r="H71" s="521">
        <v>30102</v>
      </c>
      <c r="I71" s="521">
        <v>4857</v>
      </c>
      <c r="J71" s="521">
        <v>402</v>
      </c>
      <c r="K71" s="521">
        <v>239</v>
      </c>
      <c r="L71" s="1720">
        <v>1044</v>
      </c>
      <c r="M71" s="2328">
        <f t="shared" si="43"/>
        <v>7722</v>
      </c>
      <c r="N71" s="521">
        <f t="shared" si="44"/>
        <v>21458</v>
      </c>
      <c r="O71" s="1720">
        <f t="shared" si="45"/>
        <v>7464</v>
      </c>
      <c r="P71" s="2328">
        <v>3852</v>
      </c>
      <c r="Q71" s="521">
        <v>10687</v>
      </c>
      <c r="R71" s="521">
        <v>3338</v>
      </c>
      <c r="S71" s="2328">
        <v>3870</v>
      </c>
      <c r="T71" s="521">
        <v>10771</v>
      </c>
      <c r="U71" s="1720">
        <v>4126</v>
      </c>
      <c r="V71" s="1047">
        <f t="shared" si="46"/>
        <v>0.48785612924353239</v>
      </c>
      <c r="W71" s="1047">
        <f t="shared" si="47"/>
        <v>0.51214387075646761</v>
      </c>
      <c r="X71" s="2329">
        <f t="shared" si="48"/>
        <v>0.82147145508132302</v>
      </c>
      <c r="Y71" s="1047">
        <f t="shared" si="49"/>
        <v>0.13254557362733327</v>
      </c>
      <c r="Z71" s="1047">
        <f t="shared" si="50"/>
        <v>1.0970418076629188E-2</v>
      </c>
      <c r="AA71" s="1047">
        <f t="shared" si="51"/>
        <v>6.5222137321253142E-3</v>
      </c>
      <c r="AB71" s="2330">
        <f t="shared" si="52"/>
        <v>2.8490339482589236E-2</v>
      </c>
      <c r="AC71" s="2331">
        <f t="shared" si="53"/>
        <v>0.21073026962122038</v>
      </c>
      <c r="AD71" s="524">
        <f t="shared" si="54"/>
        <v>0.58558017683658992</v>
      </c>
      <c r="AE71" s="2332">
        <f t="shared" si="55"/>
        <v>0.20368955354218971</v>
      </c>
      <c r="AF71" s="2328">
        <v>1933</v>
      </c>
      <c r="AG71" s="265">
        <f t="shared" si="56"/>
        <v>5.2750791398318959E-2</v>
      </c>
    </row>
    <row r="72" spans="1:33" x14ac:dyDescent="0.3">
      <c r="A72" s="263" t="s">
        <v>172</v>
      </c>
      <c r="B72" s="263" t="s">
        <v>173</v>
      </c>
      <c r="C72" s="263" t="s">
        <v>255</v>
      </c>
      <c r="D72" s="263">
        <v>2</v>
      </c>
      <c r="E72" s="2328">
        <v>23933</v>
      </c>
      <c r="F72" s="2328">
        <v>11830</v>
      </c>
      <c r="G72" s="1720">
        <v>12103</v>
      </c>
      <c r="H72" s="521">
        <v>22917</v>
      </c>
      <c r="I72" s="521">
        <v>500</v>
      </c>
      <c r="J72" s="521">
        <v>120</v>
      </c>
      <c r="K72" s="521">
        <v>75</v>
      </c>
      <c r="L72" s="1720">
        <v>321</v>
      </c>
      <c r="M72" s="2328">
        <f t="shared" si="43"/>
        <v>4757</v>
      </c>
      <c r="N72" s="521">
        <f t="shared" si="44"/>
        <v>14063</v>
      </c>
      <c r="O72" s="1720">
        <f t="shared" si="45"/>
        <v>5113</v>
      </c>
      <c r="P72" s="2328">
        <v>2402</v>
      </c>
      <c r="Q72" s="521">
        <v>7044</v>
      </c>
      <c r="R72" s="521">
        <v>2384</v>
      </c>
      <c r="S72" s="2328">
        <v>2355</v>
      </c>
      <c r="T72" s="521">
        <v>7019</v>
      </c>
      <c r="U72" s="1720">
        <v>2729</v>
      </c>
      <c r="V72" s="1047">
        <f t="shared" si="46"/>
        <v>0.49429657794676807</v>
      </c>
      <c r="W72" s="1047">
        <f t="shared" si="47"/>
        <v>0.50570342205323193</v>
      </c>
      <c r="X72" s="2329">
        <f t="shared" si="48"/>
        <v>0.95754815526678649</v>
      </c>
      <c r="Y72" s="1047">
        <f t="shared" si="49"/>
        <v>2.0891655872644466E-2</v>
      </c>
      <c r="Z72" s="1047">
        <f t="shared" si="50"/>
        <v>5.013997409434672E-3</v>
      </c>
      <c r="AA72" s="1047">
        <f t="shared" si="51"/>
        <v>3.1337483808966697E-3</v>
      </c>
      <c r="AB72" s="2330">
        <f t="shared" si="52"/>
        <v>1.3412443070237747E-2</v>
      </c>
      <c r="AC72" s="2331">
        <f t="shared" si="53"/>
        <v>0.19876321397233945</v>
      </c>
      <c r="AD72" s="524">
        <f t="shared" si="54"/>
        <v>0.58759871307399825</v>
      </c>
      <c r="AE72" s="2332">
        <f t="shared" si="55"/>
        <v>0.2136380729536623</v>
      </c>
      <c r="AF72" s="2328">
        <v>513</v>
      </c>
      <c r="AG72" s="265">
        <f t="shared" si="56"/>
        <v>2.1434838925333221E-2</v>
      </c>
    </row>
    <row r="73" spans="1:33" x14ac:dyDescent="0.3">
      <c r="A73" s="263" t="s">
        <v>174</v>
      </c>
      <c r="B73" s="263" t="s">
        <v>175</v>
      </c>
      <c r="C73" s="263" t="s">
        <v>256</v>
      </c>
      <c r="D73" s="263">
        <v>2</v>
      </c>
      <c r="E73" s="2328">
        <v>17673</v>
      </c>
      <c r="F73" s="2328">
        <v>8730</v>
      </c>
      <c r="G73" s="1720">
        <v>8943</v>
      </c>
      <c r="H73" s="521">
        <v>16316</v>
      </c>
      <c r="I73" s="521">
        <v>969</v>
      </c>
      <c r="J73" s="521">
        <v>60</v>
      </c>
      <c r="K73" s="521">
        <v>106</v>
      </c>
      <c r="L73" s="1720">
        <v>222</v>
      </c>
      <c r="M73" s="2328">
        <f t="shared" si="43"/>
        <v>3078</v>
      </c>
      <c r="N73" s="521">
        <f t="shared" si="44"/>
        <v>9928</v>
      </c>
      <c r="O73" s="1720">
        <f t="shared" si="45"/>
        <v>4667</v>
      </c>
      <c r="P73" s="2328">
        <v>1561</v>
      </c>
      <c r="Q73" s="521">
        <v>5024</v>
      </c>
      <c r="R73" s="521">
        <v>2145</v>
      </c>
      <c r="S73" s="2328">
        <v>1517</v>
      </c>
      <c r="T73" s="521">
        <v>4904</v>
      </c>
      <c r="U73" s="1720">
        <v>2522</v>
      </c>
      <c r="V73" s="1047">
        <f t="shared" si="46"/>
        <v>0.4939738584281107</v>
      </c>
      <c r="W73" s="1047">
        <f t="shared" si="47"/>
        <v>0.5060261415718893</v>
      </c>
      <c r="X73" s="2329">
        <f t="shared" si="48"/>
        <v>0.92321620551123185</v>
      </c>
      <c r="Y73" s="1047">
        <f t="shared" si="49"/>
        <v>5.4829400780852147E-2</v>
      </c>
      <c r="Z73" s="1047">
        <f t="shared" si="50"/>
        <v>3.3950093362756749E-3</v>
      </c>
      <c r="AA73" s="1047">
        <f t="shared" si="51"/>
        <v>5.9978498274203583E-3</v>
      </c>
      <c r="AB73" s="2330">
        <f t="shared" si="52"/>
        <v>1.2561534544219996E-2</v>
      </c>
      <c r="AC73" s="2331">
        <f t="shared" si="53"/>
        <v>0.17416397895094213</v>
      </c>
      <c r="AD73" s="524">
        <f t="shared" si="54"/>
        <v>0.56176087817574827</v>
      </c>
      <c r="AE73" s="2332">
        <f t="shared" si="55"/>
        <v>0.26407514287330958</v>
      </c>
      <c r="AF73" s="2328">
        <v>560</v>
      </c>
      <c r="AG73" s="265">
        <f t="shared" si="56"/>
        <v>3.168675380523963E-2</v>
      </c>
    </row>
    <row r="74" spans="1:33" x14ac:dyDescent="0.3">
      <c r="A74" s="263" t="s">
        <v>178</v>
      </c>
      <c r="B74" s="263" t="s">
        <v>179</v>
      </c>
      <c r="C74" s="263" t="s">
        <v>253</v>
      </c>
      <c r="D74" s="263">
        <v>2</v>
      </c>
      <c r="E74" s="2328">
        <v>60949</v>
      </c>
      <c r="F74" s="2328">
        <v>30048</v>
      </c>
      <c r="G74" s="1720">
        <v>30901</v>
      </c>
      <c r="H74" s="521">
        <v>46413</v>
      </c>
      <c r="I74" s="521">
        <v>13133</v>
      </c>
      <c r="J74" s="521">
        <v>308</v>
      </c>
      <c r="K74" s="521">
        <v>221</v>
      </c>
      <c r="L74" s="1720">
        <v>874</v>
      </c>
      <c r="M74" s="2328">
        <f t="shared" si="43"/>
        <v>11523</v>
      </c>
      <c r="N74" s="521">
        <f t="shared" si="44"/>
        <v>35636</v>
      </c>
      <c r="O74" s="1720">
        <f t="shared" si="45"/>
        <v>13790</v>
      </c>
      <c r="P74" s="2328">
        <v>5804</v>
      </c>
      <c r="Q74" s="521">
        <v>18016</v>
      </c>
      <c r="R74" s="521">
        <v>6228</v>
      </c>
      <c r="S74" s="2328">
        <v>5719</v>
      </c>
      <c r="T74" s="521">
        <v>17620</v>
      </c>
      <c r="U74" s="1720">
        <v>7562</v>
      </c>
      <c r="V74" s="1047">
        <f t="shared" si="46"/>
        <v>0.49300234622389211</v>
      </c>
      <c r="W74" s="1047">
        <f t="shared" si="47"/>
        <v>0.50699765377610795</v>
      </c>
      <c r="X74" s="2329">
        <f t="shared" si="48"/>
        <v>0.76150552100936852</v>
      </c>
      <c r="Y74" s="1047">
        <f t="shared" si="49"/>
        <v>0.21547523339185221</v>
      </c>
      <c r="Z74" s="1047">
        <f t="shared" si="50"/>
        <v>5.0534053060755715E-3</v>
      </c>
      <c r="AA74" s="1047">
        <f t="shared" si="51"/>
        <v>3.6259823787100692E-3</v>
      </c>
      <c r="AB74" s="2330">
        <f t="shared" si="52"/>
        <v>1.4339857913993666E-2</v>
      </c>
      <c r="AC74" s="2331">
        <f t="shared" si="53"/>
        <v>0.18905970565554808</v>
      </c>
      <c r="AD74" s="524">
        <f t="shared" si="54"/>
        <v>0.58468555677697742</v>
      </c>
      <c r="AE74" s="2332">
        <f t="shared" si="55"/>
        <v>0.22625473756747444</v>
      </c>
      <c r="AF74" s="2328">
        <v>1675</v>
      </c>
      <c r="AG74" s="265">
        <f t="shared" si="56"/>
        <v>2.7481993141807083E-2</v>
      </c>
    </row>
    <row r="75" spans="1:33" x14ac:dyDescent="0.3">
      <c r="A75" s="263" t="s">
        <v>182</v>
      </c>
      <c r="B75" s="263" t="s">
        <v>183</v>
      </c>
      <c r="C75" s="263" t="s">
        <v>254</v>
      </c>
      <c r="D75" s="263">
        <v>1</v>
      </c>
      <c r="E75" s="2328">
        <v>29189</v>
      </c>
      <c r="F75" s="2328">
        <v>15130</v>
      </c>
      <c r="G75" s="1720">
        <v>14059</v>
      </c>
      <c r="H75" s="521">
        <v>25654</v>
      </c>
      <c r="I75" s="521">
        <v>2777</v>
      </c>
      <c r="J75" s="521">
        <v>182</v>
      </c>
      <c r="K75" s="521">
        <v>168</v>
      </c>
      <c r="L75" s="1720">
        <v>408</v>
      </c>
      <c r="M75" s="2328">
        <f t="shared" si="43"/>
        <v>5323</v>
      </c>
      <c r="N75" s="521">
        <f t="shared" si="44"/>
        <v>18542</v>
      </c>
      <c r="O75" s="1720">
        <f t="shared" si="45"/>
        <v>5324</v>
      </c>
      <c r="P75" s="2328">
        <v>2795</v>
      </c>
      <c r="Q75" s="521">
        <v>9775</v>
      </c>
      <c r="R75" s="521">
        <v>2560</v>
      </c>
      <c r="S75" s="2328">
        <v>2528</v>
      </c>
      <c r="T75" s="521">
        <v>8767</v>
      </c>
      <c r="U75" s="1720">
        <v>2764</v>
      </c>
      <c r="V75" s="1047">
        <f t="shared" si="46"/>
        <v>0.51834595224228308</v>
      </c>
      <c r="W75" s="1047">
        <f t="shared" si="47"/>
        <v>0.48165404775771697</v>
      </c>
      <c r="X75" s="2329">
        <f t="shared" si="48"/>
        <v>0.87889273356401387</v>
      </c>
      <c r="Y75" s="1047">
        <f t="shared" si="49"/>
        <v>9.5138579601904832E-2</v>
      </c>
      <c r="Z75" s="1047">
        <f t="shared" si="50"/>
        <v>6.2352255986844358E-3</v>
      </c>
      <c r="AA75" s="1047">
        <f t="shared" si="51"/>
        <v>5.7555928603240944E-3</v>
      </c>
      <c r="AB75" s="2330">
        <f t="shared" si="52"/>
        <v>1.3977868375072802E-2</v>
      </c>
      <c r="AC75" s="2331">
        <f t="shared" si="53"/>
        <v>0.18236321902086403</v>
      </c>
      <c r="AD75" s="524">
        <f t="shared" si="54"/>
        <v>0.63523930247696048</v>
      </c>
      <c r="AE75" s="2332">
        <f t="shared" si="55"/>
        <v>0.18239747850217547</v>
      </c>
      <c r="AF75" s="2328">
        <v>703</v>
      </c>
      <c r="AG75" s="265">
        <f t="shared" si="56"/>
        <v>2.4084415361951422E-2</v>
      </c>
    </row>
    <row r="76" spans="1:33" x14ac:dyDescent="0.3">
      <c r="A76" s="263" t="s">
        <v>184</v>
      </c>
      <c r="B76" s="263" t="s">
        <v>185</v>
      </c>
      <c r="C76" s="263" t="s">
        <v>254</v>
      </c>
      <c r="D76" s="263">
        <v>2</v>
      </c>
      <c r="E76" s="2328">
        <v>22950</v>
      </c>
      <c r="F76" s="2328">
        <v>11491</v>
      </c>
      <c r="G76" s="1720">
        <v>11459</v>
      </c>
      <c r="H76" s="521">
        <v>14423</v>
      </c>
      <c r="I76" s="521">
        <v>7635</v>
      </c>
      <c r="J76" s="521">
        <v>353</v>
      </c>
      <c r="K76" s="521">
        <v>93</v>
      </c>
      <c r="L76" s="1720">
        <v>446</v>
      </c>
      <c r="M76" s="2328">
        <f t="shared" si="43"/>
        <v>3767</v>
      </c>
      <c r="N76" s="521">
        <f t="shared" si="44"/>
        <v>15404</v>
      </c>
      <c r="O76" s="1720">
        <f t="shared" si="45"/>
        <v>3779</v>
      </c>
      <c r="P76" s="2328">
        <v>1938</v>
      </c>
      <c r="Q76" s="521">
        <v>7927</v>
      </c>
      <c r="R76" s="521">
        <v>1626</v>
      </c>
      <c r="S76" s="2328">
        <v>1829</v>
      </c>
      <c r="T76" s="521">
        <v>7477</v>
      </c>
      <c r="U76" s="1720">
        <v>2153</v>
      </c>
      <c r="V76" s="1047">
        <f t="shared" si="46"/>
        <v>0.50069716775599127</v>
      </c>
      <c r="W76" s="1047">
        <f t="shared" si="47"/>
        <v>0.49930283224400873</v>
      </c>
      <c r="X76" s="2329">
        <f t="shared" si="48"/>
        <v>0.62845315904139432</v>
      </c>
      <c r="Y76" s="1047">
        <f t="shared" si="49"/>
        <v>0.33267973856209149</v>
      </c>
      <c r="Z76" s="1047">
        <f t="shared" si="50"/>
        <v>1.5381263616557735E-2</v>
      </c>
      <c r="AA76" s="1047">
        <f t="shared" si="51"/>
        <v>4.0522875816993466E-3</v>
      </c>
      <c r="AB76" s="2330">
        <f t="shared" si="52"/>
        <v>1.9433551198257081E-2</v>
      </c>
      <c r="AC76" s="2331">
        <f t="shared" si="53"/>
        <v>0.16413943355119825</v>
      </c>
      <c r="AD76" s="524">
        <f t="shared" si="54"/>
        <v>0.67119825708060998</v>
      </c>
      <c r="AE76" s="2332">
        <f t="shared" si="55"/>
        <v>0.16466230936819173</v>
      </c>
      <c r="AF76" s="2328">
        <v>617</v>
      </c>
      <c r="AG76" s="265">
        <f t="shared" si="56"/>
        <v>2.6884531590413943E-2</v>
      </c>
    </row>
    <row r="77" spans="1:33" x14ac:dyDescent="0.3">
      <c r="A77" s="263" t="s">
        <v>186</v>
      </c>
      <c r="B77" s="263" t="s">
        <v>187</v>
      </c>
      <c r="C77" s="263" t="s">
        <v>252</v>
      </c>
      <c r="D77" s="263">
        <v>2</v>
      </c>
      <c r="E77" s="2328">
        <v>38082</v>
      </c>
      <c r="F77" s="2328">
        <v>20584</v>
      </c>
      <c r="G77" s="1720">
        <v>17498</v>
      </c>
      <c r="H77" s="521">
        <v>23024</v>
      </c>
      <c r="I77" s="521">
        <v>12448</v>
      </c>
      <c r="J77" s="521">
        <v>839</v>
      </c>
      <c r="K77" s="521">
        <v>441</v>
      </c>
      <c r="L77" s="1720">
        <v>1330</v>
      </c>
      <c r="M77" s="2328">
        <f t="shared" si="43"/>
        <v>8222</v>
      </c>
      <c r="N77" s="521">
        <f t="shared" si="44"/>
        <v>24513</v>
      </c>
      <c r="O77" s="1720">
        <f t="shared" si="45"/>
        <v>5347</v>
      </c>
      <c r="P77" s="2328">
        <v>4190</v>
      </c>
      <c r="Q77" s="521">
        <v>13908</v>
      </c>
      <c r="R77" s="521">
        <v>2486</v>
      </c>
      <c r="S77" s="2328">
        <v>4032</v>
      </c>
      <c r="T77" s="521">
        <v>10605</v>
      </c>
      <c r="U77" s="1720">
        <v>2861</v>
      </c>
      <c r="V77" s="1047">
        <f t="shared" si="46"/>
        <v>0.54051782994590625</v>
      </c>
      <c r="W77" s="1047">
        <f t="shared" si="47"/>
        <v>0.45948217005409381</v>
      </c>
      <c r="X77" s="2329">
        <f t="shared" si="48"/>
        <v>0.60459009505803263</v>
      </c>
      <c r="Y77" s="1047">
        <f t="shared" si="49"/>
        <v>0.32687358857202881</v>
      </c>
      <c r="Z77" s="1047">
        <f t="shared" si="50"/>
        <v>2.2031405913554961E-2</v>
      </c>
      <c r="AA77" s="1047">
        <f t="shared" si="51"/>
        <v>1.158027414526548E-2</v>
      </c>
      <c r="AB77" s="2330">
        <f t="shared" si="52"/>
        <v>3.4924636311118112E-2</v>
      </c>
      <c r="AC77" s="2331">
        <f t="shared" si="53"/>
        <v>0.21590252612782942</v>
      </c>
      <c r="AD77" s="524">
        <f t="shared" si="54"/>
        <v>0.64368993225145743</v>
      </c>
      <c r="AE77" s="2332">
        <f t="shared" si="55"/>
        <v>0.1404075416207132</v>
      </c>
      <c r="AF77" s="2328">
        <v>3222</v>
      </c>
      <c r="AG77" s="265">
        <f t="shared" si="56"/>
        <v>8.4606900898062082E-2</v>
      </c>
    </row>
    <row r="78" spans="1:33" x14ac:dyDescent="0.3">
      <c r="A78" s="263" t="s">
        <v>188</v>
      </c>
      <c r="B78" s="263" t="s">
        <v>189</v>
      </c>
      <c r="C78" s="263" t="s">
        <v>255</v>
      </c>
      <c r="D78" s="263">
        <v>3</v>
      </c>
      <c r="E78" s="2328">
        <v>468011</v>
      </c>
      <c r="F78" s="2328">
        <v>233996</v>
      </c>
      <c r="G78" s="1720">
        <v>234015</v>
      </c>
      <c r="H78" s="521">
        <v>293097</v>
      </c>
      <c r="I78" s="521">
        <v>103768</v>
      </c>
      <c r="J78" s="521">
        <v>43459</v>
      </c>
      <c r="K78" s="521">
        <v>6049</v>
      </c>
      <c r="L78" s="1720">
        <v>21638</v>
      </c>
      <c r="M78" s="2328">
        <f t="shared" si="43"/>
        <v>127210</v>
      </c>
      <c r="N78" s="521">
        <f t="shared" si="44"/>
        <v>294482</v>
      </c>
      <c r="O78" s="1720">
        <f t="shared" si="45"/>
        <v>46319</v>
      </c>
      <c r="P78" s="2328">
        <v>65575</v>
      </c>
      <c r="Q78" s="521">
        <v>147664</v>
      </c>
      <c r="R78" s="521">
        <v>20757</v>
      </c>
      <c r="S78" s="2328">
        <v>61635</v>
      </c>
      <c r="T78" s="521">
        <v>146818</v>
      </c>
      <c r="U78" s="1720">
        <v>25562</v>
      </c>
      <c r="V78" s="1047">
        <f t="shared" si="46"/>
        <v>0.4999797013318063</v>
      </c>
      <c r="W78" s="1047">
        <f t="shared" si="47"/>
        <v>0.50002029866819364</v>
      </c>
      <c r="X78" s="2329">
        <f t="shared" si="48"/>
        <v>0.62626092121766364</v>
      </c>
      <c r="Y78" s="1047">
        <f t="shared" si="49"/>
        <v>0.22172128432878715</v>
      </c>
      <c r="Z78" s="1047">
        <f t="shared" si="50"/>
        <v>9.2858928529457638E-2</v>
      </c>
      <c r="AA78" s="1047">
        <f t="shared" si="51"/>
        <v>1.2924909884596729E-2</v>
      </c>
      <c r="AB78" s="2330">
        <f t="shared" si="52"/>
        <v>4.6233956039494796E-2</v>
      </c>
      <c r="AC78" s="2331">
        <f t="shared" si="53"/>
        <v>0.27180985062316909</v>
      </c>
      <c r="AD78" s="524">
        <f t="shared" si="54"/>
        <v>0.62922025337011311</v>
      </c>
      <c r="AE78" s="2332">
        <f t="shared" si="55"/>
        <v>9.8969896006717795E-2</v>
      </c>
      <c r="AF78" s="2328">
        <v>113113</v>
      </c>
      <c r="AG78" s="265">
        <f t="shared" si="56"/>
        <v>0.24168876372563894</v>
      </c>
    </row>
    <row r="79" spans="1:33" x14ac:dyDescent="0.3">
      <c r="A79" s="263" t="s">
        <v>190</v>
      </c>
      <c r="B79" s="263" t="s">
        <v>191</v>
      </c>
      <c r="C79" s="263" t="s">
        <v>256</v>
      </c>
      <c r="D79" s="263">
        <v>2</v>
      </c>
      <c r="E79" s="2328">
        <v>34066</v>
      </c>
      <c r="F79" s="2328">
        <v>17016</v>
      </c>
      <c r="G79" s="1720">
        <v>17050</v>
      </c>
      <c r="H79" s="521">
        <v>31488</v>
      </c>
      <c r="I79" s="521">
        <v>1735</v>
      </c>
      <c r="J79" s="521">
        <v>203</v>
      </c>
      <c r="K79" s="521">
        <v>86</v>
      </c>
      <c r="L79" s="1720">
        <v>554</v>
      </c>
      <c r="M79" s="2328">
        <f t="shared" si="43"/>
        <v>6007</v>
      </c>
      <c r="N79" s="521">
        <f t="shared" si="44"/>
        <v>20245</v>
      </c>
      <c r="O79" s="1720">
        <f t="shared" si="45"/>
        <v>7814</v>
      </c>
      <c r="P79" s="2328">
        <v>3032</v>
      </c>
      <c r="Q79" s="521">
        <v>10494</v>
      </c>
      <c r="R79" s="521">
        <v>3490</v>
      </c>
      <c r="S79" s="2328">
        <v>2975</v>
      </c>
      <c r="T79" s="521">
        <v>9751</v>
      </c>
      <c r="U79" s="1720">
        <v>4324</v>
      </c>
      <c r="V79" s="1047">
        <f t="shared" si="46"/>
        <v>0.49950096870780253</v>
      </c>
      <c r="W79" s="1047">
        <f t="shared" si="47"/>
        <v>0.50049903129219753</v>
      </c>
      <c r="X79" s="2329">
        <f t="shared" si="48"/>
        <v>0.92432337227734396</v>
      </c>
      <c r="Y79" s="1047">
        <f t="shared" si="49"/>
        <v>5.0930546586038863E-2</v>
      </c>
      <c r="Z79" s="1047">
        <f t="shared" si="50"/>
        <v>5.9590207244760171E-3</v>
      </c>
      <c r="AA79" s="1047">
        <f t="shared" si="51"/>
        <v>2.5245112428814655E-3</v>
      </c>
      <c r="AB79" s="2330">
        <f t="shared" si="52"/>
        <v>1.6262549169259673E-2</v>
      </c>
      <c r="AC79" s="2331">
        <f t="shared" si="53"/>
        <v>0.17633417483708097</v>
      </c>
      <c r="AD79" s="524">
        <f t="shared" si="54"/>
        <v>0.59428755944343337</v>
      </c>
      <c r="AE79" s="2332">
        <f t="shared" si="55"/>
        <v>0.22937826571948569</v>
      </c>
      <c r="AF79" s="2328">
        <v>616</v>
      </c>
      <c r="AG79" s="265">
        <f t="shared" si="56"/>
        <v>1.8082545646685846E-2</v>
      </c>
    </row>
    <row r="80" spans="1:33" x14ac:dyDescent="0.3">
      <c r="A80" s="263" t="s">
        <v>194</v>
      </c>
      <c r="B80" s="263" t="s">
        <v>195</v>
      </c>
      <c r="C80" s="263" t="s">
        <v>255</v>
      </c>
      <c r="D80" s="263">
        <v>1</v>
      </c>
      <c r="E80" s="2328">
        <v>7252</v>
      </c>
      <c r="F80" s="2328">
        <v>3559</v>
      </c>
      <c r="G80" s="1720">
        <v>3693</v>
      </c>
      <c r="H80" s="521">
        <v>6690</v>
      </c>
      <c r="I80" s="521">
        <v>316</v>
      </c>
      <c r="J80" s="521">
        <v>62</v>
      </c>
      <c r="K80" s="521">
        <v>31</v>
      </c>
      <c r="L80" s="1720">
        <v>153</v>
      </c>
      <c r="M80" s="2328">
        <f t="shared" si="43"/>
        <v>1178</v>
      </c>
      <c r="N80" s="521">
        <f t="shared" si="44"/>
        <v>4093</v>
      </c>
      <c r="O80" s="1720">
        <f t="shared" si="45"/>
        <v>1981</v>
      </c>
      <c r="P80" s="2328">
        <v>591</v>
      </c>
      <c r="Q80" s="521">
        <v>2010</v>
      </c>
      <c r="R80" s="521">
        <v>958</v>
      </c>
      <c r="S80" s="2328">
        <v>587</v>
      </c>
      <c r="T80" s="521">
        <v>2083</v>
      </c>
      <c r="U80" s="1720">
        <v>1023</v>
      </c>
      <c r="V80" s="1047">
        <f t="shared" si="46"/>
        <v>0.49076116933259789</v>
      </c>
      <c r="W80" s="1047">
        <f t="shared" si="47"/>
        <v>0.50923883066740205</v>
      </c>
      <c r="X80" s="2329">
        <f t="shared" si="48"/>
        <v>0.9225041367898511</v>
      </c>
      <c r="Y80" s="1047">
        <f t="shared" si="49"/>
        <v>4.3574186431329286E-2</v>
      </c>
      <c r="Z80" s="1047">
        <f t="shared" si="50"/>
        <v>8.5493656922228344E-3</v>
      </c>
      <c r="AA80" s="1047">
        <f t="shared" si="51"/>
        <v>4.2746828461114172E-3</v>
      </c>
      <c r="AB80" s="2330">
        <f t="shared" si="52"/>
        <v>2.1097628240485382E-2</v>
      </c>
      <c r="AC80" s="2331">
        <f t="shared" si="53"/>
        <v>0.16243794815223386</v>
      </c>
      <c r="AD80" s="524">
        <f t="shared" si="54"/>
        <v>0.56439602868174299</v>
      </c>
      <c r="AE80" s="2332">
        <f t="shared" si="55"/>
        <v>0.27316602316602318</v>
      </c>
      <c r="AF80" s="2328">
        <v>279</v>
      </c>
      <c r="AG80" s="265">
        <f t="shared" si="56"/>
        <v>3.8472145615002756E-2</v>
      </c>
    </row>
    <row r="81" spans="1:33" x14ac:dyDescent="0.3">
      <c r="A81" s="263" t="s">
        <v>198</v>
      </c>
      <c r="B81" s="263" t="s">
        <v>199</v>
      </c>
      <c r="C81" s="263" t="s">
        <v>254</v>
      </c>
      <c r="D81" s="263">
        <v>1</v>
      </c>
      <c r="E81" s="2328">
        <v>9038</v>
      </c>
      <c r="F81" s="2328">
        <v>5084</v>
      </c>
      <c r="G81" s="1720">
        <v>3954</v>
      </c>
      <c r="H81" s="521">
        <v>6036</v>
      </c>
      <c r="I81" s="521">
        <v>2695</v>
      </c>
      <c r="J81" s="521">
        <v>57</v>
      </c>
      <c r="K81" s="521">
        <v>48</v>
      </c>
      <c r="L81" s="1720">
        <v>202</v>
      </c>
      <c r="M81" s="2328">
        <f t="shared" si="43"/>
        <v>1553</v>
      </c>
      <c r="N81" s="521">
        <f t="shared" si="44"/>
        <v>5584</v>
      </c>
      <c r="O81" s="1720">
        <f t="shared" si="45"/>
        <v>1901</v>
      </c>
      <c r="P81" s="2328">
        <v>785</v>
      </c>
      <c r="Q81" s="521">
        <v>3522</v>
      </c>
      <c r="R81" s="521">
        <v>777</v>
      </c>
      <c r="S81" s="2328">
        <v>768</v>
      </c>
      <c r="T81" s="521">
        <v>2062</v>
      </c>
      <c r="U81" s="1720">
        <v>1124</v>
      </c>
      <c r="V81" s="1047">
        <f t="shared" si="46"/>
        <v>0.56251383049347203</v>
      </c>
      <c r="W81" s="1047">
        <f t="shared" si="47"/>
        <v>0.43748616950652797</v>
      </c>
      <c r="X81" s="2329">
        <f t="shared" si="48"/>
        <v>0.66784686877627797</v>
      </c>
      <c r="Y81" s="1047">
        <f t="shared" si="49"/>
        <v>0.29818543925647267</v>
      </c>
      <c r="Z81" s="1047">
        <f t="shared" si="50"/>
        <v>6.306705023235229E-3</v>
      </c>
      <c r="AA81" s="1047">
        <f t="shared" si="51"/>
        <v>5.3109094932507189E-3</v>
      </c>
      <c r="AB81" s="2330">
        <f t="shared" si="52"/>
        <v>2.2350077450763443E-2</v>
      </c>
      <c r="AC81" s="2331">
        <f t="shared" si="53"/>
        <v>0.17183005089621597</v>
      </c>
      <c r="AD81" s="524">
        <f t="shared" si="54"/>
        <v>0.61783580438150032</v>
      </c>
      <c r="AE81" s="2332">
        <f t="shared" si="55"/>
        <v>0.21033414472228368</v>
      </c>
      <c r="AF81" s="2328">
        <v>650</v>
      </c>
      <c r="AG81" s="265">
        <f t="shared" si="56"/>
        <v>7.1918566054436819E-2</v>
      </c>
    </row>
    <row r="82" spans="1:33" x14ac:dyDescent="0.3">
      <c r="A82" s="263" t="s">
        <v>202</v>
      </c>
      <c r="B82" s="263" t="s">
        <v>203</v>
      </c>
      <c r="C82" s="263" t="s">
        <v>253</v>
      </c>
      <c r="D82" s="263">
        <v>3</v>
      </c>
      <c r="E82" s="2328">
        <v>119716</v>
      </c>
      <c r="F82" s="2328">
        <v>57535</v>
      </c>
      <c r="G82" s="1720">
        <v>62181</v>
      </c>
      <c r="H82" s="521">
        <v>105342</v>
      </c>
      <c r="I82" s="521">
        <v>7873</v>
      </c>
      <c r="J82" s="521">
        <v>3847</v>
      </c>
      <c r="K82" s="521">
        <v>371</v>
      </c>
      <c r="L82" s="1720">
        <v>2283</v>
      </c>
      <c r="M82" s="2328">
        <f t="shared" si="43"/>
        <v>23763</v>
      </c>
      <c r="N82" s="521">
        <f t="shared" si="44"/>
        <v>70966</v>
      </c>
      <c r="O82" s="1720">
        <f t="shared" si="45"/>
        <v>24987</v>
      </c>
      <c r="P82" s="2328">
        <v>12301</v>
      </c>
      <c r="Q82" s="521">
        <v>34609</v>
      </c>
      <c r="R82" s="521">
        <v>10625</v>
      </c>
      <c r="S82" s="2328">
        <v>11462</v>
      </c>
      <c r="T82" s="521">
        <v>36357</v>
      </c>
      <c r="U82" s="1720">
        <v>14362</v>
      </c>
      <c r="V82" s="1047">
        <f t="shared" si="46"/>
        <v>0.48059574325904642</v>
      </c>
      <c r="W82" s="1047">
        <f t="shared" si="47"/>
        <v>0.51940425674095358</v>
      </c>
      <c r="X82" s="2329">
        <f t="shared" si="48"/>
        <v>0.8799325069330749</v>
      </c>
      <c r="Y82" s="1047">
        <f t="shared" si="49"/>
        <v>6.5763974740218514E-2</v>
      </c>
      <c r="Z82" s="1047">
        <f t="shared" si="50"/>
        <v>3.2134384710481474E-2</v>
      </c>
      <c r="AA82" s="1047">
        <f t="shared" si="51"/>
        <v>3.0990009689598717E-3</v>
      </c>
      <c r="AB82" s="2330">
        <f t="shared" si="52"/>
        <v>1.9070132647265193E-2</v>
      </c>
      <c r="AC82" s="2331">
        <f t="shared" si="53"/>
        <v>0.19849477095793377</v>
      </c>
      <c r="AD82" s="524">
        <f t="shared" si="54"/>
        <v>0.59278626081726749</v>
      </c>
      <c r="AE82" s="2332">
        <f t="shared" si="55"/>
        <v>0.20871896822479868</v>
      </c>
      <c r="AF82" s="2328">
        <v>3833</v>
      </c>
      <c r="AG82" s="265">
        <f t="shared" si="56"/>
        <v>3.2017441277690531E-2</v>
      </c>
    </row>
    <row r="83" spans="1:33" x14ac:dyDescent="0.3">
      <c r="A83" s="263" t="s">
        <v>204</v>
      </c>
      <c r="B83" s="263" t="s">
        <v>205</v>
      </c>
      <c r="C83" s="263" t="s">
        <v>253</v>
      </c>
      <c r="D83" s="263">
        <v>2</v>
      </c>
      <c r="E83" s="2328">
        <v>36125</v>
      </c>
      <c r="F83" s="2328">
        <v>18206</v>
      </c>
      <c r="G83" s="1720">
        <v>17919</v>
      </c>
      <c r="H83" s="521">
        <v>32986</v>
      </c>
      <c r="I83" s="521">
        <v>1756</v>
      </c>
      <c r="J83" s="521">
        <v>442</v>
      </c>
      <c r="K83" s="521">
        <v>266</v>
      </c>
      <c r="L83" s="1720">
        <v>675</v>
      </c>
      <c r="M83" s="2328">
        <f t="shared" si="43"/>
        <v>5742</v>
      </c>
      <c r="N83" s="521">
        <f t="shared" si="44"/>
        <v>22099</v>
      </c>
      <c r="O83" s="1720">
        <f t="shared" si="45"/>
        <v>8284</v>
      </c>
      <c r="P83" s="2328">
        <v>2946</v>
      </c>
      <c r="Q83" s="521">
        <v>11455</v>
      </c>
      <c r="R83" s="521">
        <v>3805</v>
      </c>
      <c r="S83" s="2328">
        <v>2796</v>
      </c>
      <c r="T83" s="521">
        <v>10644</v>
      </c>
      <c r="U83" s="1720">
        <v>4479</v>
      </c>
      <c r="V83" s="1047">
        <f t="shared" si="46"/>
        <v>0.50397231833910039</v>
      </c>
      <c r="W83" s="1047">
        <f t="shared" si="47"/>
        <v>0.49602768166089967</v>
      </c>
      <c r="X83" s="2329">
        <f t="shared" si="48"/>
        <v>0.91310726643598616</v>
      </c>
      <c r="Y83" s="1047">
        <f t="shared" si="49"/>
        <v>4.8608996539792386E-2</v>
      </c>
      <c r="Z83" s="1047">
        <f t="shared" si="50"/>
        <v>1.2235294117647059E-2</v>
      </c>
      <c r="AA83" s="1047">
        <f t="shared" si="51"/>
        <v>7.3633217993079583E-3</v>
      </c>
      <c r="AB83" s="2330">
        <f t="shared" si="52"/>
        <v>1.8685121107266434E-2</v>
      </c>
      <c r="AC83" s="2331">
        <f t="shared" si="53"/>
        <v>0.15894809688581316</v>
      </c>
      <c r="AD83" s="524">
        <f t="shared" si="54"/>
        <v>0.61173702422145326</v>
      </c>
      <c r="AE83" s="2332">
        <f t="shared" si="55"/>
        <v>0.22931487889273355</v>
      </c>
      <c r="AF83" s="2328">
        <v>882</v>
      </c>
      <c r="AG83" s="265">
        <f t="shared" si="56"/>
        <v>2.441522491349481E-2</v>
      </c>
    </row>
    <row r="84" spans="1:33" x14ac:dyDescent="0.3">
      <c r="A84" s="263" t="s">
        <v>206</v>
      </c>
      <c r="B84" s="263" t="s">
        <v>207</v>
      </c>
      <c r="C84" s="263" t="s">
        <v>255</v>
      </c>
      <c r="D84" s="263">
        <v>3</v>
      </c>
      <c r="E84" s="2328">
        <v>135277</v>
      </c>
      <c r="F84" s="2328">
        <v>65962</v>
      </c>
      <c r="G84" s="1720">
        <v>69315</v>
      </c>
      <c r="H84" s="521">
        <v>121505</v>
      </c>
      <c r="I84" s="521">
        <v>6746</v>
      </c>
      <c r="J84" s="521">
        <v>3167</v>
      </c>
      <c r="K84" s="521">
        <v>1100</v>
      </c>
      <c r="L84" s="1720">
        <v>2759</v>
      </c>
      <c r="M84" s="2328">
        <f t="shared" si="43"/>
        <v>26965</v>
      </c>
      <c r="N84" s="521">
        <f t="shared" si="44"/>
        <v>87756</v>
      </c>
      <c r="O84" s="1720">
        <f t="shared" si="45"/>
        <v>20556</v>
      </c>
      <c r="P84" s="2328">
        <v>13784</v>
      </c>
      <c r="Q84" s="521">
        <v>42903</v>
      </c>
      <c r="R84" s="521">
        <v>9275</v>
      </c>
      <c r="S84" s="2328">
        <v>13181</v>
      </c>
      <c r="T84" s="521">
        <v>44853</v>
      </c>
      <c r="U84" s="1720">
        <v>11281</v>
      </c>
      <c r="V84" s="1047">
        <f t="shared" si="46"/>
        <v>0.48760691026560316</v>
      </c>
      <c r="W84" s="1047">
        <f t="shared" si="47"/>
        <v>0.51239308973439679</v>
      </c>
      <c r="X84" s="2329">
        <f t="shared" si="48"/>
        <v>0.898194075859163</v>
      </c>
      <c r="Y84" s="1047">
        <f t="shared" si="49"/>
        <v>4.9868048522660913E-2</v>
      </c>
      <c r="Z84" s="1047">
        <f t="shared" si="50"/>
        <v>2.3411222898201467E-2</v>
      </c>
      <c r="AA84" s="1047">
        <f t="shared" si="51"/>
        <v>8.1314635895237183E-3</v>
      </c>
      <c r="AB84" s="2330">
        <f t="shared" si="52"/>
        <v>2.0395189130450853E-2</v>
      </c>
      <c r="AC84" s="2331">
        <f t="shared" si="53"/>
        <v>0.1993317415377337</v>
      </c>
      <c r="AD84" s="524">
        <f t="shared" si="54"/>
        <v>0.64871338069294859</v>
      </c>
      <c r="AE84" s="2332">
        <f t="shared" si="55"/>
        <v>0.15195487776931776</v>
      </c>
      <c r="AF84" s="2328">
        <v>17109</v>
      </c>
      <c r="AG84" s="265">
        <f t="shared" si="56"/>
        <v>0.12647382777560118</v>
      </c>
    </row>
    <row r="85" spans="1:33" x14ac:dyDescent="0.3">
      <c r="A85" s="263" t="s">
        <v>208</v>
      </c>
      <c r="B85" s="263" t="s">
        <v>209</v>
      </c>
      <c r="C85" s="263" t="s">
        <v>256</v>
      </c>
      <c r="D85" s="263">
        <v>2</v>
      </c>
      <c r="E85" s="2328">
        <v>26748</v>
      </c>
      <c r="F85" s="2328">
        <v>13083</v>
      </c>
      <c r="G85" s="1720">
        <v>13665</v>
      </c>
      <c r="H85" s="521">
        <v>26096</v>
      </c>
      <c r="I85" s="521">
        <v>295</v>
      </c>
      <c r="J85" s="521">
        <v>62</v>
      </c>
      <c r="K85" s="521">
        <v>75</v>
      </c>
      <c r="L85" s="1720">
        <v>220</v>
      </c>
      <c r="M85" s="2328">
        <f t="shared" si="43"/>
        <v>5052</v>
      </c>
      <c r="N85" s="521">
        <f t="shared" si="44"/>
        <v>15923</v>
      </c>
      <c r="O85" s="1720">
        <f t="shared" si="45"/>
        <v>5773</v>
      </c>
      <c r="P85" s="2328">
        <v>2529</v>
      </c>
      <c r="Q85" s="521">
        <v>7949</v>
      </c>
      <c r="R85" s="521">
        <v>2605</v>
      </c>
      <c r="S85" s="2328">
        <v>2523</v>
      </c>
      <c r="T85" s="521">
        <v>7974</v>
      </c>
      <c r="U85" s="1720">
        <v>3168</v>
      </c>
      <c r="V85" s="1047">
        <f t="shared" si="46"/>
        <v>0.48912068192014357</v>
      </c>
      <c r="W85" s="1047">
        <f t="shared" si="47"/>
        <v>0.51087931807985643</v>
      </c>
      <c r="X85" s="2329">
        <f t="shared" si="48"/>
        <v>0.9756243457454763</v>
      </c>
      <c r="Y85" s="1047">
        <f t="shared" si="49"/>
        <v>1.1028861970988485E-2</v>
      </c>
      <c r="Z85" s="1047">
        <f t="shared" si="50"/>
        <v>2.3179303125467326E-3</v>
      </c>
      <c r="AA85" s="1047">
        <f t="shared" si="51"/>
        <v>2.8039479587258862E-3</v>
      </c>
      <c r="AB85" s="2330">
        <f t="shared" si="52"/>
        <v>8.2249140122625988E-3</v>
      </c>
      <c r="AC85" s="2331">
        <f t="shared" si="53"/>
        <v>0.18887393449977569</v>
      </c>
      <c r="AD85" s="524">
        <f t="shared" si="54"/>
        <v>0.59529684462389709</v>
      </c>
      <c r="AE85" s="2332">
        <f t="shared" si="55"/>
        <v>0.21582922087632719</v>
      </c>
      <c r="AF85" s="2328">
        <v>372</v>
      </c>
      <c r="AG85" s="265">
        <f t="shared" si="56"/>
        <v>1.3907581875280395E-2</v>
      </c>
    </row>
    <row r="86" spans="1:33" x14ac:dyDescent="0.3">
      <c r="A86" s="263" t="s">
        <v>210</v>
      </c>
      <c r="B86" s="263" t="s">
        <v>211</v>
      </c>
      <c r="C86" s="263" t="s">
        <v>256</v>
      </c>
      <c r="D86" s="263">
        <v>2</v>
      </c>
      <c r="E86" s="2328">
        <v>21534</v>
      </c>
      <c r="F86" s="2328">
        <v>10829</v>
      </c>
      <c r="G86" s="1720">
        <v>10705</v>
      </c>
      <c r="H86" s="521">
        <v>21038</v>
      </c>
      <c r="I86" s="521">
        <v>177</v>
      </c>
      <c r="J86" s="521">
        <v>41</v>
      </c>
      <c r="K86" s="521">
        <v>79</v>
      </c>
      <c r="L86" s="1720">
        <v>199</v>
      </c>
      <c r="M86" s="2328">
        <f t="shared" si="43"/>
        <v>3831</v>
      </c>
      <c r="N86" s="521">
        <f t="shared" si="44"/>
        <v>12492</v>
      </c>
      <c r="O86" s="1720">
        <f t="shared" si="45"/>
        <v>5211</v>
      </c>
      <c r="P86" s="2328">
        <v>1940</v>
      </c>
      <c r="Q86" s="521">
        <v>6461</v>
      </c>
      <c r="R86" s="521">
        <v>2428</v>
      </c>
      <c r="S86" s="2328">
        <v>1891</v>
      </c>
      <c r="T86" s="521">
        <v>6031</v>
      </c>
      <c r="U86" s="1720">
        <v>2783</v>
      </c>
      <c r="V86" s="1047">
        <f t="shared" si="46"/>
        <v>0.50287916782762143</v>
      </c>
      <c r="W86" s="1047">
        <f t="shared" si="47"/>
        <v>0.49712083217237857</v>
      </c>
      <c r="X86" s="2329">
        <f t="shared" si="48"/>
        <v>0.97696665737902855</v>
      </c>
      <c r="Y86" s="1047">
        <f t="shared" si="49"/>
        <v>8.2195597659515188E-3</v>
      </c>
      <c r="Z86" s="1047">
        <f t="shared" si="50"/>
        <v>1.9039658214915947E-3</v>
      </c>
      <c r="AA86" s="1047">
        <f t="shared" si="51"/>
        <v>3.6686170706789261E-3</v>
      </c>
      <c r="AB86" s="2330">
        <f t="shared" si="52"/>
        <v>9.241199962849448E-3</v>
      </c>
      <c r="AC86" s="2331">
        <f t="shared" si="53"/>
        <v>0.17790470883254389</v>
      </c>
      <c r="AD86" s="524">
        <f t="shared" si="54"/>
        <v>0.58010587907495126</v>
      </c>
      <c r="AE86" s="2332">
        <f t="shared" si="55"/>
        <v>0.24198941209250488</v>
      </c>
      <c r="AF86" s="2328">
        <v>307</v>
      </c>
      <c r="AG86" s="265">
        <f t="shared" si="56"/>
        <v>1.4256524565802916E-2</v>
      </c>
    </row>
    <row r="87" spans="1:33" x14ac:dyDescent="0.3">
      <c r="A87" s="263" t="s">
        <v>212</v>
      </c>
      <c r="B87" s="263" t="s">
        <v>213</v>
      </c>
      <c r="C87" s="263" t="s">
        <v>255</v>
      </c>
      <c r="D87" s="263">
        <v>2</v>
      </c>
      <c r="E87" s="2328">
        <v>43497</v>
      </c>
      <c r="F87" s="2328">
        <v>21277</v>
      </c>
      <c r="G87" s="1720">
        <v>22220</v>
      </c>
      <c r="H87" s="521">
        <v>40772</v>
      </c>
      <c r="I87" s="521">
        <v>1210</v>
      </c>
      <c r="J87" s="521">
        <v>502</v>
      </c>
      <c r="K87" s="521">
        <v>207</v>
      </c>
      <c r="L87" s="1720">
        <v>806</v>
      </c>
      <c r="M87" s="2328">
        <f t="shared" si="43"/>
        <v>9220</v>
      </c>
      <c r="N87" s="521">
        <f t="shared" si="44"/>
        <v>24834</v>
      </c>
      <c r="O87" s="1720">
        <f t="shared" si="45"/>
        <v>9443</v>
      </c>
      <c r="P87" s="2328">
        <v>4669</v>
      </c>
      <c r="Q87" s="521">
        <v>12309</v>
      </c>
      <c r="R87" s="521">
        <v>4299</v>
      </c>
      <c r="S87" s="2328">
        <v>4551</v>
      </c>
      <c r="T87" s="521">
        <v>12525</v>
      </c>
      <c r="U87" s="1720">
        <v>5144</v>
      </c>
      <c r="V87" s="1047">
        <f t="shared" si="46"/>
        <v>0.48916017196588268</v>
      </c>
      <c r="W87" s="1047">
        <f t="shared" si="47"/>
        <v>0.51083982803411732</v>
      </c>
      <c r="X87" s="2329">
        <f t="shared" si="48"/>
        <v>0.93735200128744511</v>
      </c>
      <c r="Y87" s="1047">
        <f t="shared" si="49"/>
        <v>2.7818010437501439E-2</v>
      </c>
      <c r="Z87" s="1047">
        <f t="shared" si="50"/>
        <v>1.1541025817872497E-2</v>
      </c>
      <c r="AA87" s="1047">
        <f t="shared" si="51"/>
        <v>4.7589488930271052E-3</v>
      </c>
      <c r="AB87" s="2330">
        <f t="shared" si="52"/>
        <v>1.853001356415385E-2</v>
      </c>
      <c r="AC87" s="2331">
        <f t="shared" si="53"/>
        <v>0.21196864151550682</v>
      </c>
      <c r="AD87" s="524">
        <f t="shared" si="54"/>
        <v>0.57093592661562864</v>
      </c>
      <c r="AE87" s="2332">
        <f t="shared" si="55"/>
        <v>0.21709543186886451</v>
      </c>
      <c r="AF87" s="2328">
        <v>3178</v>
      </c>
      <c r="AG87" s="265">
        <f t="shared" si="56"/>
        <v>7.3062510058164928E-2</v>
      </c>
    </row>
    <row r="88" spans="1:33" x14ac:dyDescent="0.3">
      <c r="A88" s="263" t="s">
        <v>214</v>
      </c>
      <c r="B88" s="263" t="s">
        <v>215</v>
      </c>
      <c r="C88" s="263" t="s">
        <v>256</v>
      </c>
      <c r="D88" s="263">
        <v>2</v>
      </c>
      <c r="E88" s="2328">
        <v>30472</v>
      </c>
      <c r="F88" s="2328">
        <v>14944</v>
      </c>
      <c r="G88" s="1720">
        <v>15528</v>
      </c>
      <c r="H88" s="521">
        <v>29184</v>
      </c>
      <c r="I88" s="521">
        <v>750</v>
      </c>
      <c r="J88" s="521">
        <v>143</v>
      </c>
      <c r="K88" s="521">
        <v>58</v>
      </c>
      <c r="L88" s="1720">
        <v>337</v>
      </c>
      <c r="M88" s="2328">
        <f t="shared" si="43"/>
        <v>5857</v>
      </c>
      <c r="N88" s="521">
        <f t="shared" si="44"/>
        <v>17909</v>
      </c>
      <c r="O88" s="1720">
        <f t="shared" si="45"/>
        <v>6706</v>
      </c>
      <c r="P88" s="2328">
        <v>3012</v>
      </c>
      <c r="Q88" s="521">
        <v>8993</v>
      </c>
      <c r="R88" s="521">
        <v>2939</v>
      </c>
      <c r="S88" s="2328">
        <v>2845</v>
      </c>
      <c r="T88" s="521">
        <v>8916</v>
      </c>
      <c r="U88" s="1720">
        <v>3767</v>
      </c>
      <c r="V88" s="1047">
        <f t="shared" si="46"/>
        <v>0.49041743239695457</v>
      </c>
      <c r="W88" s="1047">
        <f t="shared" si="47"/>
        <v>0.50958256760304543</v>
      </c>
      <c r="X88" s="2329">
        <f t="shared" si="48"/>
        <v>0.95773168810711473</v>
      </c>
      <c r="Y88" s="1047">
        <f t="shared" si="49"/>
        <v>2.461275925439748E-2</v>
      </c>
      <c r="Z88" s="1047">
        <f t="shared" si="50"/>
        <v>4.6928327645051199E-3</v>
      </c>
      <c r="AA88" s="1047">
        <f t="shared" si="51"/>
        <v>1.9033867156734051E-3</v>
      </c>
      <c r="AB88" s="2330">
        <f t="shared" si="52"/>
        <v>1.1059333158309268E-2</v>
      </c>
      <c r="AC88" s="2331">
        <f t="shared" si="53"/>
        <v>0.19220924127067471</v>
      </c>
      <c r="AD88" s="524">
        <f t="shared" si="54"/>
        <v>0.58771987398267267</v>
      </c>
      <c r="AE88" s="2332">
        <f t="shared" si="55"/>
        <v>0.22007088474665268</v>
      </c>
      <c r="AF88" s="2328">
        <v>656</v>
      </c>
      <c r="AG88" s="265">
        <f t="shared" si="56"/>
        <v>2.1527960094512997E-2</v>
      </c>
    </row>
    <row r="89" spans="1:33" x14ac:dyDescent="0.3">
      <c r="A89" s="263" t="s">
        <v>216</v>
      </c>
      <c r="B89" s="263" t="s">
        <v>217</v>
      </c>
      <c r="C89" s="263" t="s">
        <v>252</v>
      </c>
      <c r="D89" s="263">
        <v>2</v>
      </c>
      <c r="E89" s="2328">
        <v>17586</v>
      </c>
      <c r="F89" s="2328">
        <v>9142</v>
      </c>
      <c r="G89" s="1720">
        <v>8444</v>
      </c>
      <c r="H89" s="521">
        <v>10936</v>
      </c>
      <c r="I89" s="521">
        <v>6138</v>
      </c>
      <c r="J89" s="521">
        <v>83</v>
      </c>
      <c r="K89" s="521">
        <v>101</v>
      </c>
      <c r="L89" s="1720">
        <v>328</v>
      </c>
      <c r="M89" s="2328">
        <f t="shared" si="43"/>
        <v>3197</v>
      </c>
      <c r="N89" s="521">
        <f t="shared" si="44"/>
        <v>10833</v>
      </c>
      <c r="O89" s="1720">
        <f t="shared" si="45"/>
        <v>3556</v>
      </c>
      <c r="P89" s="2328">
        <v>1617</v>
      </c>
      <c r="Q89" s="521">
        <v>5860</v>
      </c>
      <c r="R89" s="521">
        <v>1665</v>
      </c>
      <c r="S89" s="2328">
        <v>1580</v>
      </c>
      <c r="T89" s="521">
        <v>4973</v>
      </c>
      <c r="U89" s="1720">
        <v>1891</v>
      </c>
      <c r="V89" s="1047">
        <f t="shared" si="46"/>
        <v>0.51984533151370405</v>
      </c>
      <c r="W89" s="1047">
        <f t="shared" si="47"/>
        <v>0.4801546684862959</v>
      </c>
      <c r="X89" s="2329">
        <f t="shared" si="48"/>
        <v>0.62185829637211421</v>
      </c>
      <c r="Y89" s="1047">
        <f t="shared" si="49"/>
        <v>0.3490276356192426</v>
      </c>
      <c r="Z89" s="1047">
        <f t="shared" si="50"/>
        <v>4.7196633685886499E-3</v>
      </c>
      <c r="AA89" s="1047">
        <f t="shared" si="51"/>
        <v>5.743204822017514E-3</v>
      </c>
      <c r="AB89" s="2330">
        <f t="shared" si="52"/>
        <v>1.8651199818037076E-2</v>
      </c>
      <c r="AC89" s="2331">
        <f t="shared" si="53"/>
        <v>0.18179233481178209</v>
      </c>
      <c r="AD89" s="524">
        <f t="shared" si="54"/>
        <v>0.61600136472193789</v>
      </c>
      <c r="AE89" s="2332">
        <f t="shared" si="55"/>
        <v>0.20220630046627999</v>
      </c>
      <c r="AF89" s="2328">
        <v>323</v>
      </c>
      <c r="AG89" s="265">
        <f t="shared" si="56"/>
        <v>1.836688274764017E-2</v>
      </c>
    </row>
    <row r="90" spans="1:33" x14ac:dyDescent="0.3">
      <c r="A90" s="263" t="s">
        <v>218</v>
      </c>
      <c r="B90" s="263" t="s">
        <v>219</v>
      </c>
      <c r="C90" s="263" t="s">
        <v>255</v>
      </c>
      <c r="D90" s="263">
        <v>2</v>
      </c>
      <c r="E90" s="2328">
        <v>134238</v>
      </c>
      <c r="F90" s="2328">
        <v>65903</v>
      </c>
      <c r="G90" s="1720">
        <v>68335</v>
      </c>
      <c r="H90" s="521">
        <v>101771</v>
      </c>
      <c r="I90" s="521">
        <v>22943</v>
      </c>
      <c r="J90" s="521">
        <v>3907</v>
      </c>
      <c r="K90" s="521">
        <v>820</v>
      </c>
      <c r="L90" s="1720">
        <v>4797</v>
      </c>
      <c r="M90" s="2328">
        <f t="shared" si="43"/>
        <v>33164</v>
      </c>
      <c r="N90" s="521">
        <f t="shared" si="44"/>
        <v>81945</v>
      </c>
      <c r="O90" s="1720">
        <f t="shared" si="45"/>
        <v>19129</v>
      </c>
      <c r="P90" s="2328">
        <v>16929</v>
      </c>
      <c r="Q90" s="521">
        <v>40416</v>
      </c>
      <c r="R90" s="521">
        <v>8558</v>
      </c>
      <c r="S90" s="2328">
        <v>16235</v>
      </c>
      <c r="T90" s="521">
        <v>41529</v>
      </c>
      <c r="U90" s="1720">
        <v>10571</v>
      </c>
      <c r="V90" s="1047">
        <f t="shared" si="46"/>
        <v>0.49094146217911472</v>
      </c>
      <c r="W90" s="1047">
        <f t="shared" si="47"/>
        <v>0.50905853782088528</v>
      </c>
      <c r="X90" s="2329">
        <f t="shared" si="48"/>
        <v>0.75813853007345167</v>
      </c>
      <c r="Y90" s="1047">
        <f t="shared" si="49"/>
        <v>0.17091285627020664</v>
      </c>
      <c r="Z90" s="1047">
        <f t="shared" si="50"/>
        <v>2.910502242286089E-2</v>
      </c>
      <c r="AA90" s="1047">
        <f t="shared" si="51"/>
        <v>6.1085534647417278E-3</v>
      </c>
      <c r="AB90" s="2330">
        <f t="shared" si="52"/>
        <v>3.5735037768739104E-2</v>
      </c>
      <c r="AC90" s="2331">
        <f t="shared" si="53"/>
        <v>0.24705374037157884</v>
      </c>
      <c r="AD90" s="524">
        <f t="shared" si="54"/>
        <v>0.61044562642470834</v>
      </c>
      <c r="AE90" s="2332">
        <f t="shared" si="55"/>
        <v>0.14250063320371281</v>
      </c>
      <c r="AF90" s="2328">
        <v>13761</v>
      </c>
      <c r="AG90" s="265">
        <f t="shared" si="56"/>
        <v>0.10251195637598892</v>
      </c>
    </row>
    <row r="91" spans="1:33" x14ac:dyDescent="0.3">
      <c r="A91" s="263" t="s">
        <v>220</v>
      </c>
      <c r="B91" s="263" t="s">
        <v>221</v>
      </c>
      <c r="C91" s="263" t="s">
        <v>255</v>
      </c>
      <c r="D91" s="263">
        <v>2</v>
      </c>
      <c r="E91" s="2328">
        <v>149960</v>
      </c>
      <c r="F91" s="2328">
        <v>75624</v>
      </c>
      <c r="G91" s="1720">
        <v>74336</v>
      </c>
      <c r="H91" s="521">
        <v>107329</v>
      </c>
      <c r="I91" s="521">
        <v>29190</v>
      </c>
      <c r="J91" s="521">
        <v>5589</v>
      </c>
      <c r="K91" s="521">
        <v>1298</v>
      </c>
      <c r="L91" s="1720">
        <v>6554</v>
      </c>
      <c r="M91" s="2328">
        <f t="shared" si="43"/>
        <v>39088</v>
      </c>
      <c r="N91" s="521">
        <f t="shared" si="44"/>
        <v>95198</v>
      </c>
      <c r="O91" s="1720">
        <f t="shared" si="45"/>
        <v>15674</v>
      </c>
      <c r="P91" s="2328">
        <v>20008</v>
      </c>
      <c r="Q91" s="521">
        <v>48445</v>
      </c>
      <c r="R91" s="521">
        <v>7171</v>
      </c>
      <c r="S91" s="2328">
        <v>19080</v>
      </c>
      <c r="T91" s="521">
        <v>46753</v>
      </c>
      <c r="U91" s="1720">
        <v>8503</v>
      </c>
      <c r="V91" s="1047">
        <f t="shared" si="46"/>
        <v>0.50429447852760734</v>
      </c>
      <c r="W91" s="1047">
        <f t="shared" si="47"/>
        <v>0.49570552147239266</v>
      </c>
      <c r="X91" s="2329">
        <f t="shared" si="48"/>
        <v>0.71571752467324623</v>
      </c>
      <c r="Y91" s="1047">
        <f t="shared" si="49"/>
        <v>0.19465190717524672</v>
      </c>
      <c r="Z91" s="1047">
        <f t="shared" si="50"/>
        <v>3.7269938650306748E-2</v>
      </c>
      <c r="AA91" s="1047">
        <f t="shared" si="51"/>
        <v>8.655641504401174E-3</v>
      </c>
      <c r="AB91" s="2330">
        <f t="shared" si="52"/>
        <v>4.3704987996799144E-2</v>
      </c>
      <c r="AC91" s="2331">
        <f t="shared" si="53"/>
        <v>0.26065617497999466</v>
      </c>
      <c r="AD91" s="524">
        <f t="shared" si="54"/>
        <v>0.63482261936516404</v>
      </c>
      <c r="AE91" s="2332">
        <f t="shared" si="55"/>
        <v>0.10452120565484128</v>
      </c>
      <c r="AF91" s="2328">
        <v>20360</v>
      </c>
      <c r="AG91" s="265">
        <f t="shared" si="56"/>
        <v>0.13576953854361162</v>
      </c>
    </row>
    <row r="92" spans="1:33" x14ac:dyDescent="0.3">
      <c r="A92" s="263" t="s">
        <v>224</v>
      </c>
      <c r="B92" s="263" t="s">
        <v>225</v>
      </c>
      <c r="C92" s="263" t="s">
        <v>252</v>
      </c>
      <c r="D92" s="263">
        <v>2</v>
      </c>
      <c r="E92" s="2328">
        <v>6474</v>
      </c>
      <c r="F92" s="2328">
        <v>3198</v>
      </c>
      <c r="G92" s="1720">
        <v>3276</v>
      </c>
      <c r="H92" s="521">
        <v>3534</v>
      </c>
      <c r="I92" s="521">
        <v>2740</v>
      </c>
      <c r="J92" s="521">
        <v>31</v>
      </c>
      <c r="K92" s="521">
        <v>35</v>
      </c>
      <c r="L92" s="1720">
        <v>134</v>
      </c>
      <c r="M92" s="2328">
        <f t="shared" si="43"/>
        <v>1084</v>
      </c>
      <c r="N92" s="521">
        <f t="shared" si="44"/>
        <v>3922</v>
      </c>
      <c r="O92" s="1720">
        <f t="shared" si="45"/>
        <v>1468</v>
      </c>
      <c r="P92" s="2328">
        <v>567</v>
      </c>
      <c r="Q92" s="521">
        <v>1942</v>
      </c>
      <c r="R92" s="521">
        <v>689</v>
      </c>
      <c r="S92" s="2328">
        <v>517</v>
      </c>
      <c r="T92" s="521">
        <v>1980</v>
      </c>
      <c r="U92" s="1720">
        <v>779</v>
      </c>
      <c r="V92" s="1047">
        <f t="shared" si="46"/>
        <v>0.49397590361445781</v>
      </c>
      <c r="W92" s="1047">
        <f t="shared" si="47"/>
        <v>0.50602409638554213</v>
      </c>
      <c r="X92" s="2329">
        <f t="shared" si="48"/>
        <v>0.54587581093605186</v>
      </c>
      <c r="Y92" s="1047">
        <f t="shared" si="49"/>
        <v>0.4232313870868088</v>
      </c>
      <c r="Z92" s="1047">
        <f t="shared" si="50"/>
        <v>4.7883843064565959E-3</v>
      </c>
      <c r="AA92" s="1047">
        <f t="shared" si="51"/>
        <v>5.4062403459993824E-3</v>
      </c>
      <c r="AB92" s="2330">
        <f t="shared" si="52"/>
        <v>2.0698177324683348E-2</v>
      </c>
      <c r="AC92" s="2331">
        <f t="shared" si="53"/>
        <v>0.16743898671609514</v>
      </c>
      <c r="AD92" s="524">
        <f t="shared" si="54"/>
        <v>0.60580784677170219</v>
      </c>
      <c r="AE92" s="2332">
        <f t="shared" si="55"/>
        <v>0.22675316651220265</v>
      </c>
      <c r="AF92" s="2328">
        <v>165</v>
      </c>
      <c r="AG92" s="265">
        <f t="shared" si="56"/>
        <v>2.5486561631139944E-2</v>
      </c>
    </row>
    <row r="93" spans="1:33" x14ac:dyDescent="0.3">
      <c r="A93" s="263" t="s">
        <v>226</v>
      </c>
      <c r="B93" s="263" t="s">
        <v>227</v>
      </c>
      <c r="C93" s="263" t="s">
        <v>252</v>
      </c>
      <c r="D93" s="263">
        <v>2</v>
      </c>
      <c r="E93" s="2328">
        <v>11237</v>
      </c>
      <c r="F93" s="2328">
        <v>6658</v>
      </c>
      <c r="G93" s="1720">
        <v>4579</v>
      </c>
      <c r="H93" s="521">
        <v>4606</v>
      </c>
      <c r="I93" s="521">
        <v>6371</v>
      </c>
      <c r="J93" s="521">
        <v>45</v>
      </c>
      <c r="K93" s="521">
        <v>58</v>
      </c>
      <c r="L93" s="1720">
        <v>157</v>
      </c>
      <c r="M93" s="2328">
        <f t="shared" si="43"/>
        <v>1732</v>
      </c>
      <c r="N93" s="521">
        <f t="shared" si="44"/>
        <v>7509</v>
      </c>
      <c r="O93" s="1720">
        <f t="shared" si="45"/>
        <v>1996</v>
      </c>
      <c r="P93" s="2328">
        <v>846</v>
      </c>
      <c r="Q93" s="521">
        <v>4913</v>
      </c>
      <c r="R93" s="521">
        <v>899</v>
      </c>
      <c r="S93" s="2328">
        <v>886</v>
      </c>
      <c r="T93" s="521">
        <v>2596</v>
      </c>
      <c r="U93" s="1720">
        <v>1097</v>
      </c>
      <c r="V93" s="1047">
        <f t="shared" si="46"/>
        <v>0.59250689685859215</v>
      </c>
      <c r="W93" s="1047">
        <f t="shared" si="47"/>
        <v>0.40749310314140785</v>
      </c>
      <c r="X93" s="2329">
        <f t="shared" si="48"/>
        <v>0.40989587968318947</v>
      </c>
      <c r="Y93" s="1047">
        <f t="shared" si="49"/>
        <v>0.56696627213669126</v>
      </c>
      <c r="Z93" s="1047">
        <f t="shared" si="50"/>
        <v>4.0046275696360234E-3</v>
      </c>
      <c r="AA93" s="1047">
        <f t="shared" si="51"/>
        <v>5.1615199786419867E-3</v>
      </c>
      <c r="AB93" s="2330">
        <f t="shared" si="52"/>
        <v>1.3971700631841239E-2</v>
      </c>
      <c r="AC93" s="2331">
        <f t="shared" si="53"/>
        <v>0.15413366556910207</v>
      </c>
      <c r="AD93" s="524">
        <f t="shared" si="54"/>
        <v>0.66823885378659786</v>
      </c>
      <c r="AE93" s="2332">
        <f t="shared" si="55"/>
        <v>0.17762748064430009</v>
      </c>
      <c r="AF93" s="2328">
        <v>349</v>
      </c>
      <c r="AG93" s="265">
        <f t="shared" si="56"/>
        <v>3.1058111595621607E-2</v>
      </c>
    </row>
    <row r="94" spans="1:33" x14ac:dyDescent="0.3">
      <c r="A94" s="263" t="s">
        <v>228</v>
      </c>
      <c r="B94" s="263" t="s">
        <v>229</v>
      </c>
      <c r="C94" s="263" t="s">
        <v>256</v>
      </c>
      <c r="D94" s="263">
        <v>2</v>
      </c>
      <c r="E94" s="2328">
        <v>40855</v>
      </c>
      <c r="F94" s="2328">
        <v>20225</v>
      </c>
      <c r="G94" s="1720">
        <v>20630</v>
      </c>
      <c r="H94" s="521">
        <v>38691</v>
      </c>
      <c r="I94" s="521">
        <v>1319</v>
      </c>
      <c r="J94" s="521">
        <v>276</v>
      </c>
      <c r="K94" s="521">
        <v>91</v>
      </c>
      <c r="L94" s="1720">
        <v>478</v>
      </c>
      <c r="M94" s="2328">
        <f t="shared" si="43"/>
        <v>7883</v>
      </c>
      <c r="N94" s="521">
        <f t="shared" si="44"/>
        <v>23882</v>
      </c>
      <c r="O94" s="1720">
        <f t="shared" si="45"/>
        <v>9090</v>
      </c>
      <c r="P94" s="2328">
        <v>3913</v>
      </c>
      <c r="Q94" s="521">
        <v>12264</v>
      </c>
      <c r="R94" s="521">
        <v>4048</v>
      </c>
      <c r="S94" s="2328">
        <v>3970</v>
      </c>
      <c r="T94" s="521">
        <v>11618</v>
      </c>
      <c r="U94" s="1720">
        <v>5042</v>
      </c>
      <c r="V94" s="1047">
        <f t="shared" si="46"/>
        <v>0.49504344633459796</v>
      </c>
      <c r="W94" s="1047">
        <f t="shared" si="47"/>
        <v>0.50495655366540204</v>
      </c>
      <c r="X94" s="2329">
        <f t="shared" si="48"/>
        <v>0.94703218700281488</v>
      </c>
      <c r="Y94" s="1047">
        <f t="shared" si="49"/>
        <v>3.2284910047729778E-2</v>
      </c>
      <c r="Z94" s="1047">
        <f t="shared" si="50"/>
        <v>6.7555990698812875E-3</v>
      </c>
      <c r="AA94" s="1047">
        <f t="shared" si="51"/>
        <v>2.2273895484028884E-3</v>
      </c>
      <c r="AB94" s="2330">
        <f t="shared" si="52"/>
        <v>1.1699914331171216E-2</v>
      </c>
      <c r="AC94" s="2331">
        <f t="shared" si="53"/>
        <v>0.19295067923142822</v>
      </c>
      <c r="AD94" s="524">
        <f t="shared" si="54"/>
        <v>0.58455513401052506</v>
      </c>
      <c r="AE94" s="2332">
        <f t="shared" si="55"/>
        <v>0.22249418675804675</v>
      </c>
      <c r="AF94" s="2328">
        <v>434</v>
      </c>
      <c r="AG94" s="265">
        <f t="shared" si="56"/>
        <v>1.0622934769306083E-2</v>
      </c>
    </row>
    <row r="95" spans="1:33" x14ac:dyDescent="0.3">
      <c r="A95" s="263" t="s">
        <v>232</v>
      </c>
      <c r="B95" s="263" t="s">
        <v>233</v>
      </c>
      <c r="C95" s="263" t="s">
        <v>255</v>
      </c>
      <c r="D95" s="263">
        <v>2</v>
      </c>
      <c r="E95" s="2328">
        <v>40003</v>
      </c>
      <c r="F95" s="2328">
        <v>19939</v>
      </c>
      <c r="G95" s="1720">
        <v>20064</v>
      </c>
      <c r="H95" s="521">
        <v>36266</v>
      </c>
      <c r="I95" s="521">
        <v>1963</v>
      </c>
      <c r="J95" s="521">
        <v>538</v>
      </c>
      <c r="K95" s="521">
        <v>239</v>
      </c>
      <c r="L95" s="1720">
        <v>997</v>
      </c>
      <c r="M95" s="2328">
        <f t="shared" si="43"/>
        <v>8799</v>
      </c>
      <c r="N95" s="521">
        <f t="shared" si="44"/>
        <v>24784</v>
      </c>
      <c r="O95" s="1720">
        <f t="shared" si="45"/>
        <v>6420</v>
      </c>
      <c r="P95" s="2328">
        <v>4483</v>
      </c>
      <c r="Q95" s="521">
        <v>12495</v>
      </c>
      <c r="R95" s="521">
        <v>2961</v>
      </c>
      <c r="S95" s="2328">
        <v>4316</v>
      </c>
      <c r="T95" s="521">
        <v>12289</v>
      </c>
      <c r="U95" s="1720">
        <v>3459</v>
      </c>
      <c r="V95" s="1047">
        <f t="shared" si="46"/>
        <v>0.4984376171787116</v>
      </c>
      <c r="W95" s="1047">
        <f t="shared" si="47"/>
        <v>0.5015623828212884</v>
      </c>
      <c r="X95" s="2329">
        <f t="shared" si="48"/>
        <v>0.90658200634952379</v>
      </c>
      <c r="Y95" s="1047">
        <f t="shared" si="49"/>
        <v>4.9071319651026173E-2</v>
      </c>
      <c r="Z95" s="1047">
        <f t="shared" si="50"/>
        <v>1.3448991325650576E-2</v>
      </c>
      <c r="AA95" s="1047">
        <f t="shared" si="51"/>
        <v>5.9745519086068545E-3</v>
      </c>
      <c r="AB95" s="2330">
        <f t="shared" si="52"/>
        <v>2.4923130765192609E-2</v>
      </c>
      <c r="AC95" s="2331">
        <f t="shared" si="53"/>
        <v>0.21995850311226658</v>
      </c>
      <c r="AD95" s="524">
        <f t="shared" si="54"/>
        <v>0.61955353348498865</v>
      </c>
      <c r="AE95" s="2332">
        <f t="shared" si="55"/>
        <v>0.16048796340274479</v>
      </c>
      <c r="AF95" s="2328">
        <v>1951</v>
      </c>
      <c r="AG95" s="265">
        <f t="shared" si="56"/>
        <v>4.8771342149338801E-2</v>
      </c>
    </row>
    <row r="96" spans="1:33" x14ac:dyDescent="0.3">
      <c r="A96" s="263" t="s">
        <v>234</v>
      </c>
      <c r="B96" s="263" t="s">
        <v>235</v>
      </c>
      <c r="C96" s="263" t="s">
        <v>256</v>
      </c>
      <c r="D96" s="263">
        <v>2</v>
      </c>
      <c r="E96" s="2328">
        <v>54402</v>
      </c>
      <c r="F96" s="2328">
        <v>26798</v>
      </c>
      <c r="G96" s="1720">
        <v>27604</v>
      </c>
      <c r="H96" s="521">
        <v>52593</v>
      </c>
      <c r="I96" s="521">
        <v>822</v>
      </c>
      <c r="J96" s="521">
        <v>294</v>
      </c>
      <c r="K96" s="521">
        <v>160</v>
      </c>
      <c r="L96" s="1720">
        <v>533</v>
      </c>
      <c r="M96" s="2328">
        <f t="shared" si="43"/>
        <v>10061</v>
      </c>
      <c r="N96" s="521">
        <f t="shared" si="44"/>
        <v>31967</v>
      </c>
      <c r="O96" s="1720">
        <f t="shared" si="45"/>
        <v>12374</v>
      </c>
      <c r="P96" s="2328">
        <v>5143</v>
      </c>
      <c r="Q96" s="521">
        <v>15996</v>
      </c>
      <c r="R96" s="521">
        <v>5659</v>
      </c>
      <c r="S96" s="2328">
        <v>4918</v>
      </c>
      <c r="T96" s="521">
        <v>15971</v>
      </c>
      <c r="U96" s="1720">
        <v>6715</v>
      </c>
      <c r="V96" s="1047">
        <f t="shared" si="46"/>
        <v>0.4925921841108783</v>
      </c>
      <c r="W96" s="1047">
        <f t="shared" si="47"/>
        <v>0.50740781588912176</v>
      </c>
      <c r="X96" s="2329">
        <f t="shared" si="48"/>
        <v>0.96674754604610125</v>
      </c>
      <c r="Y96" s="1047">
        <f t="shared" si="49"/>
        <v>1.5109738612551009E-2</v>
      </c>
      <c r="Z96" s="1047">
        <f t="shared" si="50"/>
        <v>5.4042130804014561E-3</v>
      </c>
      <c r="AA96" s="1047">
        <f t="shared" si="51"/>
        <v>2.9410683430756224E-3</v>
      </c>
      <c r="AB96" s="2330">
        <f t="shared" si="52"/>
        <v>9.7974339178706661E-3</v>
      </c>
      <c r="AC96" s="2331">
        <f t="shared" si="53"/>
        <v>0.18493805374802397</v>
      </c>
      <c r="AD96" s="524">
        <f t="shared" si="54"/>
        <v>0.58760707326936512</v>
      </c>
      <c r="AE96" s="2332">
        <f t="shared" si="55"/>
        <v>0.22745487298261094</v>
      </c>
      <c r="AF96" s="2328">
        <v>891</v>
      </c>
      <c r="AG96" s="265">
        <f t="shared" si="56"/>
        <v>1.6378074335502372E-2</v>
      </c>
    </row>
    <row r="97" spans="1:33" x14ac:dyDescent="0.3">
      <c r="A97" s="263" t="s">
        <v>236</v>
      </c>
      <c r="B97" s="263" t="s">
        <v>237</v>
      </c>
      <c r="C97" s="263" t="s">
        <v>254</v>
      </c>
      <c r="D97" s="263">
        <v>2</v>
      </c>
      <c r="E97" s="2328">
        <v>17830</v>
      </c>
      <c r="F97" s="2328">
        <v>8700</v>
      </c>
      <c r="G97" s="1720">
        <v>9130</v>
      </c>
      <c r="H97" s="521">
        <v>12326</v>
      </c>
      <c r="I97" s="521">
        <v>4665</v>
      </c>
      <c r="J97" s="521">
        <v>158</v>
      </c>
      <c r="K97" s="521">
        <v>165</v>
      </c>
      <c r="L97" s="1720">
        <v>516</v>
      </c>
      <c r="M97" s="2328">
        <f t="shared" si="43"/>
        <v>3363</v>
      </c>
      <c r="N97" s="521">
        <f t="shared" si="44"/>
        <v>9947</v>
      </c>
      <c r="O97" s="1720">
        <f t="shared" si="45"/>
        <v>4520</v>
      </c>
      <c r="P97" s="2328">
        <v>1747</v>
      </c>
      <c r="Q97" s="521">
        <v>4893</v>
      </c>
      <c r="R97" s="521">
        <v>2060</v>
      </c>
      <c r="S97" s="2328">
        <v>1616</v>
      </c>
      <c r="T97" s="521">
        <v>5054</v>
      </c>
      <c r="U97" s="1720">
        <v>2460</v>
      </c>
      <c r="V97" s="1047">
        <f t="shared" si="46"/>
        <v>0.48794167134043748</v>
      </c>
      <c r="W97" s="1047">
        <f t="shared" si="47"/>
        <v>0.51205832865956258</v>
      </c>
      <c r="X97" s="2329">
        <f t="shared" si="48"/>
        <v>0.69130678631519915</v>
      </c>
      <c r="Y97" s="1047">
        <f t="shared" si="49"/>
        <v>0.26163768928771736</v>
      </c>
      <c r="Z97" s="1047">
        <f t="shared" si="50"/>
        <v>8.8614694335389793E-3</v>
      </c>
      <c r="AA97" s="1047">
        <f t="shared" si="51"/>
        <v>9.2540661805945029E-3</v>
      </c>
      <c r="AB97" s="2330">
        <f t="shared" si="52"/>
        <v>2.8939988782950083E-2</v>
      </c>
      <c r="AC97" s="2331">
        <f t="shared" si="53"/>
        <v>0.1886146943353898</v>
      </c>
      <c r="AD97" s="524">
        <f t="shared" si="54"/>
        <v>0.55787997756590013</v>
      </c>
      <c r="AE97" s="2332">
        <f t="shared" si="55"/>
        <v>0.25350532809871001</v>
      </c>
      <c r="AF97" s="2328">
        <v>1188</v>
      </c>
      <c r="AG97" s="265">
        <f t="shared" si="56"/>
        <v>6.6629276500280429E-2</v>
      </c>
    </row>
    <row r="98" spans="1:33" x14ac:dyDescent="0.3">
      <c r="A98" s="263" t="s">
        <v>242</v>
      </c>
      <c r="B98" s="263" t="s">
        <v>243</v>
      </c>
      <c r="C98" s="263" t="s">
        <v>256</v>
      </c>
      <c r="D98" s="263">
        <v>3</v>
      </c>
      <c r="E98" s="2328">
        <v>38012</v>
      </c>
      <c r="F98" s="2328">
        <v>19779</v>
      </c>
      <c r="G98" s="1720">
        <v>18233</v>
      </c>
      <c r="H98" s="521">
        <v>35150</v>
      </c>
      <c r="I98" s="521">
        <v>2181</v>
      </c>
      <c r="J98" s="521">
        <v>165</v>
      </c>
      <c r="K98" s="521">
        <v>79</v>
      </c>
      <c r="L98" s="1720">
        <v>437</v>
      </c>
      <c r="M98" s="2328">
        <f t="shared" si="43"/>
        <v>7477</v>
      </c>
      <c r="N98" s="521">
        <f t="shared" si="44"/>
        <v>23604</v>
      </c>
      <c r="O98" s="1720">
        <f t="shared" si="45"/>
        <v>6931</v>
      </c>
      <c r="P98" s="2328">
        <v>3757</v>
      </c>
      <c r="Q98" s="521">
        <v>12850</v>
      </c>
      <c r="R98" s="521">
        <v>3172</v>
      </c>
      <c r="S98" s="2328">
        <v>3720</v>
      </c>
      <c r="T98" s="521">
        <v>10754</v>
      </c>
      <c r="U98" s="1720">
        <v>3759</v>
      </c>
      <c r="V98" s="1047">
        <f t="shared" si="46"/>
        <v>0.52033568346837844</v>
      </c>
      <c r="W98" s="1047">
        <f t="shared" si="47"/>
        <v>0.47966431653162162</v>
      </c>
      <c r="X98" s="2329">
        <f t="shared" si="48"/>
        <v>0.92470798695148904</v>
      </c>
      <c r="Y98" s="1047">
        <f t="shared" si="49"/>
        <v>5.737661791013364E-2</v>
      </c>
      <c r="Z98" s="1047">
        <f t="shared" si="50"/>
        <v>4.3407345048931912E-3</v>
      </c>
      <c r="AA98" s="1047">
        <f t="shared" si="51"/>
        <v>2.0782910659791643E-3</v>
      </c>
      <c r="AB98" s="2330">
        <f t="shared" si="52"/>
        <v>1.1496369567504999E-2</v>
      </c>
      <c r="AC98" s="2331">
        <f t="shared" si="53"/>
        <v>0.19670104177628117</v>
      </c>
      <c r="AD98" s="524">
        <f t="shared" si="54"/>
        <v>0.62096180153635694</v>
      </c>
      <c r="AE98" s="2332">
        <f t="shared" si="55"/>
        <v>0.18233715668736189</v>
      </c>
      <c r="AF98" s="2328">
        <v>471</v>
      </c>
      <c r="AG98" s="265">
        <f t="shared" si="56"/>
        <v>1.2390823950331474E-2</v>
      </c>
    </row>
    <row r="99" spans="1:33" x14ac:dyDescent="0.3">
      <c r="A99" s="263" t="s">
        <v>244</v>
      </c>
      <c r="B99" s="263" t="s">
        <v>245</v>
      </c>
      <c r="C99" s="263" t="s">
        <v>256</v>
      </c>
      <c r="D99" s="263">
        <v>2</v>
      </c>
      <c r="E99" s="2328">
        <v>28754</v>
      </c>
      <c r="F99" s="2328">
        <v>14037</v>
      </c>
      <c r="G99" s="1720">
        <v>14717</v>
      </c>
      <c r="H99" s="521">
        <v>27216</v>
      </c>
      <c r="I99" s="521">
        <v>837</v>
      </c>
      <c r="J99" s="521">
        <v>179</v>
      </c>
      <c r="K99" s="521">
        <v>80</v>
      </c>
      <c r="L99" s="1720">
        <v>442</v>
      </c>
      <c r="M99" s="2328">
        <f t="shared" si="43"/>
        <v>5672</v>
      </c>
      <c r="N99" s="521">
        <f t="shared" si="44"/>
        <v>16869</v>
      </c>
      <c r="O99" s="1720">
        <f t="shared" si="45"/>
        <v>6213</v>
      </c>
      <c r="P99" s="2328">
        <v>2900</v>
      </c>
      <c r="Q99" s="521">
        <v>8343</v>
      </c>
      <c r="R99" s="521">
        <v>2794</v>
      </c>
      <c r="S99" s="2328">
        <v>2772</v>
      </c>
      <c r="T99" s="521">
        <v>8526</v>
      </c>
      <c r="U99" s="1720">
        <v>3419</v>
      </c>
      <c r="V99" s="1047">
        <f t="shared" si="46"/>
        <v>0.48817555818320929</v>
      </c>
      <c r="W99" s="1047">
        <f t="shared" si="47"/>
        <v>0.51182444181679065</v>
      </c>
      <c r="X99" s="2329">
        <f t="shared" si="48"/>
        <v>0.9465117896640467</v>
      </c>
      <c r="Y99" s="1047">
        <f t="shared" si="49"/>
        <v>2.9108993531334771E-2</v>
      </c>
      <c r="Z99" s="1047">
        <f t="shared" si="50"/>
        <v>6.2252208388398136E-3</v>
      </c>
      <c r="AA99" s="1047">
        <f t="shared" si="51"/>
        <v>2.7822216039507545E-3</v>
      </c>
      <c r="AB99" s="2330">
        <f t="shared" si="52"/>
        <v>1.537177436182792E-2</v>
      </c>
      <c r="AC99" s="2331">
        <f t="shared" si="53"/>
        <v>0.1972595117201085</v>
      </c>
      <c r="AD99" s="524">
        <f t="shared" si="54"/>
        <v>0.58666620296306604</v>
      </c>
      <c r="AE99" s="2332">
        <f t="shared" si="55"/>
        <v>0.21607428531682549</v>
      </c>
      <c r="AF99" s="2328">
        <v>394</v>
      </c>
      <c r="AG99" s="265">
        <f t="shared" si="56"/>
        <v>1.3702441399457466E-2</v>
      </c>
    </row>
    <row r="100" spans="1:33" x14ac:dyDescent="0.3">
      <c r="A100" s="263" t="s">
        <v>246</v>
      </c>
      <c r="B100" s="263" t="s">
        <v>247</v>
      </c>
      <c r="C100" s="263" t="s">
        <v>252</v>
      </c>
      <c r="D100" s="263">
        <v>2</v>
      </c>
      <c r="E100" s="2328">
        <v>80036</v>
      </c>
      <c r="F100" s="2328">
        <v>39369</v>
      </c>
      <c r="G100" s="1720">
        <v>40667</v>
      </c>
      <c r="H100" s="521">
        <v>62683</v>
      </c>
      <c r="I100" s="521">
        <v>9509</v>
      </c>
      <c r="J100" s="521">
        <v>4312</v>
      </c>
      <c r="K100" s="521">
        <v>618</v>
      </c>
      <c r="L100" s="1720">
        <v>2914</v>
      </c>
      <c r="M100" s="2328">
        <f t="shared" si="43"/>
        <v>18855</v>
      </c>
      <c r="N100" s="521">
        <f t="shared" si="44"/>
        <v>47864</v>
      </c>
      <c r="O100" s="1720">
        <f t="shared" si="45"/>
        <v>13317</v>
      </c>
      <c r="P100" s="2328">
        <v>9491</v>
      </c>
      <c r="Q100" s="521">
        <v>23817</v>
      </c>
      <c r="R100" s="521">
        <v>6061</v>
      </c>
      <c r="S100" s="2328">
        <v>9364</v>
      </c>
      <c r="T100" s="521">
        <v>24047</v>
      </c>
      <c r="U100" s="1720">
        <v>7256</v>
      </c>
      <c r="V100" s="1047">
        <f t="shared" si="46"/>
        <v>0.49189114898295766</v>
      </c>
      <c r="W100" s="1047">
        <f t="shared" si="47"/>
        <v>0.50810885101704228</v>
      </c>
      <c r="X100" s="2329">
        <f t="shared" si="48"/>
        <v>0.78318506671997601</v>
      </c>
      <c r="Y100" s="1047">
        <f t="shared" si="49"/>
        <v>0.11880903593382977</v>
      </c>
      <c r="Z100" s="1047">
        <f t="shared" si="50"/>
        <v>5.3875755909840568E-2</v>
      </c>
      <c r="AA100" s="1047">
        <f t="shared" si="51"/>
        <v>7.7215253136088758E-3</v>
      </c>
      <c r="AB100" s="2330">
        <f t="shared" si="52"/>
        <v>3.6408616122744764E-2</v>
      </c>
      <c r="AC100" s="2331">
        <f t="shared" si="53"/>
        <v>0.23558148833025139</v>
      </c>
      <c r="AD100" s="524">
        <f t="shared" si="54"/>
        <v>0.59803088610125443</v>
      </c>
      <c r="AE100" s="2332">
        <f t="shared" si="55"/>
        <v>0.16638762556849418</v>
      </c>
      <c r="AF100" s="2328">
        <v>4847</v>
      </c>
      <c r="AG100" s="265">
        <f t="shared" si="56"/>
        <v>6.05602478884502E-2</v>
      </c>
    </row>
    <row r="101" spans="1:33" x14ac:dyDescent="0.3">
      <c r="A101" s="263" t="s">
        <v>14</v>
      </c>
      <c r="B101" s="263" t="s">
        <v>15</v>
      </c>
      <c r="C101" s="263" t="s">
        <v>255</v>
      </c>
      <c r="D101" s="263">
        <v>3</v>
      </c>
      <c r="E101" s="2328">
        <v>160530</v>
      </c>
      <c r="F101" s="2328">
        <v>77269</v>
      </c>
      <c r="G101" s="1720">
        <v>83261</v>
      </c>
      <c r="H101" s="521">
        <v>106284</v>
      </c>
      <c r="I101" s="521">
        <v>36912</v>
      </c>
      <c r="J101" s="521">
        <v>10805</v>
      </c>
      <c r="K101" s="521">
        <v>1250</v>
      </c>
      <c r="L101" s="1720">
        <v>5279</v>
      </c>
      <c r="M101" s="2328">
        <f t="shared" si="43"/>
        <v>29434</v>
      </c>
      <c r="N101" s="521">
        <f t="shared" si="44"/>
        <v>112631</v>
      </c>
      <c r="O101" s="1720">
        <f t="shared" si="45"/>
        <v>18465</v>
      </c>
      <c r="P101" s="2328">
        <v>15138</v>
      </c>
      <c r="Q101" s="521">
        <v>54213</v>
      </c>
      <c r="R101" s="521">
        <v>7918</v>
      </c>
      <c r="S101" s="2328">
        <v>14296</v>
      </c>
      <c r="T101" s="521">
        <v>58418</v>
      </c>
      <c r="U101" s="1720">
        <v>10547</v>
      </c>
      <c r="V101" s="1047">
        <f t="shared" si="46"/>
        <v>0.48133682177786086</v>
      </c>
      <c r="W101" s="1047">
        <f t="shared" si="47"/>
        <v>0.51866317822213914</v>
      </c>
      <c r="X101" s="2329">
        <f t="shared" si="48"/>
        <v>0.6620818538590918</v>
      </c>
      <c r="Y101" s="1047">
        <f t="shared" si="49"/>
        <v>0.22993832928424593</v>
      </c>
      <c r="Z101" s="1047">
        <f t="shared" si="50"/>
        <v>6.7308291285118046E-2</v>
      </c>
      <c r="AA101" s="1047">
        <f t="shared" si="51"/>
        <v>7.786706534604124E-3</v>
      </c>
      <c r="AB101" s="2330">
        <f t="shared" si="52"/>
        <v>3.2884819036940134E-2</v>
      </c>
      <c r="AC101" s="2331">
        <f t="shared" si="53"/>
        <v>0.18335513611163023</v>
      </c>
      <c r="AD101" s="524">
        <f t="shared" si="54"/>
        <v>0.70161963495919766</v>
      </c>
      <c r="AE101" s="2332">
        <f t="shared" si="55"/>
        <v>0.11502522892917212</v>
      </c>
      <c r="AF101" s="2328">
        <v>26887</v>
      </c>
      <c r="AG101" s="265">
        <f t="shared" si="56"/>
        <v>0.16748894287672086</v>
      </c>
    </row>
    <row r="102" spans="1:33" x14ac:dyDescent="0.3">
      <c r="A102" s="263" t="s">
        <v>34</v>
      </c>
      <c r="B102" s="263" t="s">
        <v>35</v>
      </c>
      <c r="C102" s="263" t="s">
        <v>256</v>
      </c>
      <c r="D102" s="263">
        <v>2</v>
      </c>
      <c r="E102" s="2328">
        <v>16482</v>
      </c>
      <c r="F102" s="2328">
        <v>7811</v>
      </c>
      <c r="G102" s="1720">
        <v>8671</v>
      </c>
      <c r="H102" s="521">
        <v>14829</v>
      </c>
      <c r="I102" s="521">
        <v>1042</v>
      </c>
      <c r="J102" s="521">
        <v>156</v>
      </c>
      <c r="K102" s="521">
        <v>90</v>
      </c>
      <c r="L102" s="1720">
        <v>365</v>
      </c>
      <c r="M102" s="2328">
        <f t="shared" ref="M102:M125" si="57">P102+S102</f>
        <v>3323</v>
      </c>
      <c r="N102" s="521">
        <f t="shared" ref="N102:N125" si="58">Q102+T102</f>
        <v>9683</v>
      </c>
      <c r="O102" s="1720">
        <f t="shared" ref="O102:O125" si="59">R102+U102</f>
        <v>3476</v>
      </c>
      <c r="P102" s="2328">
        <v>1677</v>
      </c>
      <c r="Q102" s="521">
        <v>4797</v>
      </c>
      <c r="R102" s="521">
        <v>1337</v>
      </c>
      <c r="S102" s="2328">
        <v>1646</v>
      </c>
      <c r="T102" s="521">
        <v>4886</v>
      </c>
      <c r="U102" s="1720">
        <v>2139</v>
      </c>
      <c r="V102" s="1047">
        <f t="shared" ref="V102:V125" si="60">F102/E102</f>
        <v>0.47391093313918214</v>
      </c>
      <c r="W102" s="1047">
        <f t="shared" ref="W102:W125" si="61">G102/E102</f>
        <v>0.52608906686081791</v>
      </c>
      <c r="X102" s="2329">
        <f t="shared" ref="X102:X125" si="62">H102/E102</f>
        <v>0.89970877320713505</v>
      </c>
      <c r="Y102" s="1047">
        <f t="shared" ref="Y102:Y125" si="63">I102/E102</f>
        <v>6.3220482951098167E-2</v>
      </c>
      <c r="Z102" s="1047">
        <f t="shared" ref="Z102:Z125" si="64">J102/E102</f>
        <v>9.4648707681106656E-3</v>
      </c>
      <c r="AA102" s="1047">
        <f t="shared" ref="AA102:AA125" si="65">K102/E102</f>
        <v>5.4605023662176923E-3</v>
      </c>
      <c r="AB102" s="2330">
        <f t="shared" ref="AB102:AB125" si="66">L102/E102</f>
        <v>2.2145370707438418E-2</v>
      </c>
      <c r="AC102" s="2331">
        <f t="shared" ref="AC102:AC125" si="67">M102/E102</f>
        <v>0.20161388181045989</v>
      </c>
      <c r="AD102" s="524">
        <f t="shared" ref="AD102:AD125" si="68">N102/E102</f>
        <v>0.58748938235651016</v>
      </c>
      <c r="AE102" s="2332">
        <f t="shared" ref="AE102:AE125" si="69">O102/E102</f>
        <v>0.21089673583302998</v>
      </c>
      <c r="AF102" s="2328">
        <v>430</v>
      </c>
      <c r="AG102" s="265">
        <f t="shared" ref="AG102:AG125" si="70">AF102/E102</f>
        <v>2.6089066860817862E-2</v>
      </c>
    </row>
    <row r="103" spans="1:33" x14ac:dyDescent="0.3">
      <c r="A103" s="263" t="s">
        <v>52</v>
      </c>
      <c r="B103" s="263" t="s">
        <v>53</v>
      </c>
      <c r="C103" s="263" t="s">
        <v>253</v>
      </c>
      <c r="D103" s="263">
        <v>3</v>
      </c>
      <c r="E103" s="2328">
        <v>48117</v>
      </c>
      <c r="F103" s="2328">
        <v>23316</v>
      </c>
      <c r="G103" s="1720">
        <v>24801</v>
      </c>
      <c r="H103" s="521">
        <v>33921</v>
      </c>
      <c r="I103" s="521">
        <v>8819</v>
      </c>
      <c r="J103" s="521">
        <v>3646</v>
      </c>
      <c r="K103" s="521">
        <v>234</v>
      </c>
      <c r="L103" s="1720">
        <v>1497</v>
      </c>
      <c r="M103" s="2328">
        <f t="shared" si="57"/>
        <v>7675</v>
      </c>
      <c r="N103" s="521">
        <f t="shared" si="58"/>
        <v>34862</v>
      </c>
      <c r="O103" s="1720">
        <f t="shared" si="59"/>
        <v>5580</v>
      </c>
      <c r="P103" s="2328">
        <v>3954</v>
      </c>
      <c r="Q103" s="521">
        <v>16985</v>
      </c>
      <c r="R103" s="521">
        <v>2377</v>
      </c>
      <c r="S103" s="2328">
        <v>3721</v>
      </c>
      <c r="T103" s="521">
        <v>17877</v>
      </c>
      <c r="U103" s="1720">
        <v>3203</v>
      </c>
      <c r="V103" s="1047">
        <f t="shared" si="60"/>
        <v>0.48456886339547356</v>
      </c>
      <c r="W103" s="1047">
        <f t="shared" si="61"/>
        <v>0.51543113660452644</v>
      </c>
      <c r="X103" s="2329">
        <f t="shared" si="62"/>
        <v>0.70496913772679093</v>
      </c>
      <c r="Y103" s="1047">
        <f t="shared" si="63"/>
        <v>0.18328241577820728</v>
      </c>
      <c r="Z103" s="1047">
        <f t="shared" si="64"/>
        <v>7.5773635097782482E-2</v>
      </c>
      <c r="AA103" s="1047">
        <f t="shared" si="65"/>
        <v>4.8631460814265231E-3</v>
      </c>
      <c r="AB103" s="2330">
        <f t="shared" si="66"/>
        <v>3.1111665315792757E-2</v>
      </c>
      <c r="AC103" s="2331">
        <f t="shared" si="67"/>
        <v>0.15950703493567761</v>
      </c>
      <c r="AD103" s="524">
        <f t="shared" si="68"/>
        <v>0.72452563543030535</v>
      </c>
      <c r="AE103" s="2332">
        <f t="shared" si="69"/>
        <v>0.11596732963401708</v>
      </c>
      <c r="AF103" s="2328">
        <v>2762</v>
      </c>
      <c r="AG103" s="265">
        <f t="shared" si="70"/>
        <v>5.7401749901282294E-2</v>
      </c>
    </row>
    <row r="104" spans="1:33" x14ac:dyDescent="0.3">
      <c r="A104" s="263" t="s">
        <v>54</v>
      </c>
      <c r="B104" s="263" t="s">
        <v>55</v>
      </c>
      <c r="C104" s="263" t="s">
        <v>252</v>
      </c>
      <c r="D104" s="263">
        <v>3</v>
      </c>
      <c r="E104" s="2328">
        <v>242634</v>
      </c>
      <c r="F104" s="2328">
        <v>118401</v>
      </c>
      <c r="G104" s="1720">
        <v>124233</v>
      </c>
      <c r="H104" s="521">
        <v>149688</v>
      </c>
      <c r="I104" s="521">
        <v>74080</v>
      </c>
      <c r="J104" s="521">
        <v>8560</v>
      </c>
      <c r="K104" s="521">
        <v>1502</v>
      </c>
      <c r="L104" s="1720">
        <v>8804</v>
      </c>
      <c r="M104" s="2328">
        <f t="shared" si="57"/>
        <v>58443</v>
      </c>
      <c r="N104" s="521">
        <f t="shared" si="58"/>
        <v>151956</v>
      </c>
      <c r="O104" s="1720">
        <f t="shared" si="59"/>
        <v>32235</v>
      </c>
      <c r="P104" s="2328">
        <v>29751</v>
      </c>
      <c r="Q104" s="521">
        <v>74663</v>
      </c>
      <c r="R104" s="521">
        <v>13987</v>
      </c>
      <c r="S104" s="2328">
        <v>28692</v>
      </c>
      <c r="T104" s="521">
        <v>77293</v>
      </c>
      <c r="U104" s="1720">
        <v>18248</v>
      </c>
      <c r="V104" s="1047">
        <f t="shared" si="60"/>
        <v>0.48798189866218256</v>
      </c>
      <c r="W104" s="1047">
        <f t="shared" si="61"/>
        <v>0.51201810133781744</v>
      </c>
      <c r="X104" s="2329">
        <f t="shared" si="62"/>
        <v>0.61692920200796264</v>
      </c>
      <c r="Y104" s="1047">
        <f t="shared" si="63"/>
        <v>0.3053158254820017</v>
      </c>
      <c r="Z104" s="1047">
        <f t="shared" si="64"/>
        <v>3.5279474434745335E-2</v>
      </c>
      <c r="AA104" s="1047">
        <f t="shared" si="65"/>
        <v>6.1903937617976048E-3</v>
      </c>
      <c r="AB104" s="2330">
        <f t="shared" si="66"/>
        <v>3.6285104313492751E-2</v>
      </c>
      <c r="AC104" s="2331">
        <f t="shared" si="67"/>
        <v>0.24086896312965206</v>
      </c>
      <c r="AD104" s="524">
        <f t="shared" si="68"/>
        <v>0.62627661415959845</v>
      </c>
      <c r="AE104" s="2332">
        <f t="shared" si="69"/>
        <v>0.13285442271074951</v>
      </c>
      <c r="AF104" s="2328">
        <v>15846</v>
      </c>
      <c r="AG104" s="265">
        <f t="shared" si="70"/>
        <v>6.5308242043571801E-2</v>
      </c>
    </row>
    <row r="105" spans="1:33" x14ac:dyDescent="0.3">
      <c r="A105" s="263" t="s">
        <v>66</v>
      </c>
      <c r="B105" s="263" t="s">
        <v>67</v>
      </c>
      <c r="C105" s="263" t="s">
        <v>253</v>
      </c>
      <c r="D105" s="263">
        <v>3</v>
      </c>
      <c r="E105" s="2328">
        <v>40693</v>
      </c>
      <c r="F105" s="2328">
        <v>18720</v>
      </c>
      <c r="G105" s="1720">
        <v>21973</v>
      </c>
      <c r="H105" s="521">
        <v>18490</v>
      </c>
      <c r="I105" s="521">
        <v>20772</v>
      </c>
      <c r="J105" s="521">
        <v>546</v>
      </c>
      <c r="K105" s="521">
        <v>221</v>
      </c>
      <c r="L105" s="1720">
        <v>664</v>
      </c>
      <c r="M105" s="2328">
        <f t="shared" si="57"/>
        <v>8821</v>
      </c>
      <c r="N105" s="521">
        <f t="shared" si="58"/>
        <v>23354</v>
      </c>
      <c r="O105" s="1720">
        <f t="shared" si="59"/>
        <v>8518</v>
      </c>
      <c r="P105" s="2328">
        <v>4457</v>
      </c>
      <c r="Q105" s="521">
        <v>10942</v>
      </c>
      <c r="R105" s="521">
        <v>3321</v>
      </c>
      <c r="S105" s="2328">
        <v>4364</v>
      </c>
      <c r="T105" s="521">
        <v>12412</v>
      </c>
      <c r="U105" s="1720">
        <v>5197</v>
      </c>
      <c r="V105" s="1047">
        <f t="shared" si="60"/>
        <v>0.46002998058634165</v>
      </c>
      <c r="W105" s="1047">
        <f t="shared" si="61"/>
        <v>0.53997001941365841</v>
      </c>
      <c r="X105" s="2329">
        <f t="shared" si="62"/>
        <v>0.45437790283341117</v>
      </c>
      <c r="Y105" s="1047">
        <f t="shared" si="63"/>
        <v>0.51045634384292138</v>
      </c>
      <c r="Z105" s="1047">
        <f t="shared" si="64"/>
        <v>1.3417541100434964E-2</v>
      </c>
      <c r="AA105" s="1047">
        <f t="shared" si="65"/>
        <v>5.4309094930331996E-3</v>
      </c>
      <c r="AB105" s="2330">
        <f t="shared" si="66"/>
        <v>1.6317302730199296E-2</v>
      </c>
      <c r="AC105" s="2331">
        <f t="shared" si="67"/>
        <v>0.21676946895043372</v>
      </c>
      <c r="AD105" s="524">
        <f t="shared" si="68"/>
        <v>0.57390706018234094</v>
      </c>
      <c r="AE105" s="2332">
        <f t="shared" si="69"/>
        <v>0.20932347086722533</v>
      </c>
      <c r="AF105" s="2328">
        <v>1889</v>
      </c>
      <c r="AG105" s="265">
        <f t="shared" si="70"/>
        <v>4.6420760327329023E-2</v>
      </c>
    </row>
    <row r="106" spans="1:33" x14ac:dyDescent="0.3">
      <c r="A106" s="263" t="s">
        <v>82</v>
      </c>
      <c r="B106" s="263" t="s">
        <v>299</v>
      </c>
      <c r="C106" s="263" t="s">
        <v>252</v>
      </c>
      <c r="D106" s="263">
        <v>2</v>
      </c>
      <c r="E106" s="2328">
        <v>8013</v>
      </c>
      <c r="F106" s="2328">
        <v>3616</v>
      </c>
      <c r="G106" s="1720">
        <v>4397</v>
      </c>
      <c r="H106" s="521">
        <v>3098</v>
      </c>
      <c r="I106" s="521">
        <v>4647</v>
      </c>
      <c r="J106" s="521">
        <v>77</v>
      </c>
      <c r="K106" s="521">
        <v>40</v>
      </c>
      <c r="L106" s="1720">
        <v>151</v>
      </c>
      <c r="M106" s="2328">
        <f t="shared" si="57"/>
        <v>1897</v>
      </c>
      <c r="N106" s="521">
        <f t="shared" si="58"/>
        <v>4537</v>
      </c>
      <c r="O106" s="1720">
        <f t="shared" si="59"/>
        <v>1579</v>
      </c>
      <c r="P106" s="2328">
        <v>982</v>
      </c>
      <c r="Q106" s="521">
        <v>1987</v>
      </c>
      <c r="R106" s="521">
        <v>647</v>
      </c>
      <c r="S106" s="2328">
        <v>915</v>
      </c>
      <c r="T106" s="521">
        <v>2550</v>
      </c>
      <c r="U106" s="1720">
        <v>932</v>
      </c>
      <c r="V106" s="1047">
        <f t="shared" si="60"/>
        <v>0.45126669162610755</v>
      </c>
      <c r="W106" s="1047">
        <f t="shared" si="61"/>
        <v>0.54873330837389245</v>
      </c>
      <c r="X106" s="2329">
        <f t="shared" si="62"/>
        <v>0.38662173967303132</v>
      </c>
      <c r="Y106" s="1047">
        <f t="shared" si="63"/>
        <v>0.57993260950954695</v>
      </c>
      <c r="Z106" s="1047">
        <f t="shared" si="64"/>
        <v>9.6093847497816052E-3</v>
      </c>
      <c r="AA106" s="1047">
        <f t="shared" si="65"/>
        <v>4.9918881817047301E-3</v>
      </c>
      <c r="AB106" s="2330">
        <f t="shared" si="66"/>
        <v>1.8844377885935355E-2</v>
      </c>
      <c r="AC106" s="2331">
        <f t="shared" si="67"/>
        <v>0.23674029701734681</v>
      </c>
      <c r="AD106" s="524">
        <f t="shared" si="68"/>
        <v>0.56620491700985898</v>
      </c>
      <c r="AE106" s="2332">
        <f t="shared" si="69"/>
        <v>0.19705478597279422</v>
      </c>
      <c r="AF106" s="2328">
        <v>205</v>
      </c>
      <c r="AG106" s="265">
        <f t="shared" si="70"/>
        <v>2.558342693123674E-2</v>
      </c>
    </row>
    <row r="107" spans="1:33" x14ac:dyDescent="0.3">
      <c r="A107" s="263" t="s">
        <v>88</v>
      </c>
      <c r="B107" s="263" t="s">
        <v>89</v>
      </c>
      <c r="C107" s="263" t="s">
        <v>255</v>
      </c>
      <c r="D107" s="263">
        <v>2</v>
      </c>
      <c r="E107" s="2328">
        <v>29144</v>
      </c>
      <c r="F107" s="2328">
        <v>13450</v>
      </c>
      <c r="G107" s="1720">
        <v>15694</v>
      </c>
      <c r="H107" s="521">
        <v>19687</v>
      </c>
      <c r="I107" s="521">
        <v>7125</v>
      </c>
      <c r="J107" s="521">
        <v>869</v>
      </c>
      <c r="K107" s="521">
        <v>260</v>
      </c>
      <c r="L107" s="1720">
        <v>1203</v>
      </c>
      <c r="M107" s="2328">
        <f t="shared" si="57"/>
        <v>6097</v>
      </c>
      <c r="N107" s="521">
        <f t="shared" si="58"/>
        <v>19797</v>
      </c>
      <c r="O107" s="1720">
        <f t="shared" si="59"/>
        <v>3250</v>
      </c>
      <c r="P107" s="2328">
        <v>3097</v>
      </c>
      <c r="Q107" s="521">
        <v>9013</v>
      </c>
      <c r="R107" s="521">
        <v>1340</v>
      </c>
      <c r="S107" s="2328">
        <v>3000</v>
      </c>
      <c r="T107" s="521">
        <v>10784</v>
      </c>
      <c r="U107" s="1720">
        <v>1910</v>
      </c>
      <c r="V107" s="1047">
        <f t="shared" si="60"/>
        <v>0.46150150974471588</v>
      </c>
      <c r="W107" s="1047">
        <f t="shared" si="61"/>
        <v>0.53849849025528407</v>
      </c>
      <c r="X107" s="2329">
        <f t="shared" si="62"/>
        <v>0.67550782322261871</v>
      </c>
      <c r="Y107" s="1047">
        <f t="shared" si="63"/>
        <v>0.24447570683502609</v>
      </c>
      <c r="Z107" s="1047">
        <f t="shared" si="64"/>
        <v>2.9817458138896514E-2</v>
      </c>
      <c r="AA107" s="1047">
        <f t="shared" si="65"/>
        <v>8.9212187757342857E-3</v>
      </c>
      <c r="AB107" s="2330">
        <f t="shared" si="66"/>
        <v>4.1277793027724406E-2</v>
      </c>
      <c r="AC107" s="2331">
        <f t="shared" si="67"/>
        <v>0.20920258029096897</v>
      </c>
      <c r="AD107" s="524">
        <f t="shared" si="68"/>
        <v>0.67928218501235249</v>
      </c>
      <c r="AE107" s="2332">
        <f t="shared" si="69"/>
        <v>0.11151523469667857</v>
      </c>
      <c r="AF107" s="2328">
        <v>3193</v>
      </c>
      <c r="AG107" s="265">
        <f t="shared" si="70"/>
        <v>0.10955942904199835</v>
      </c>
    </row>
    <row r="108" spans="1:33" x14ac:dyDescent="0.3">
      <c r="A108" s="263" t="s">
        <v>90</v>
      </c>
      <c r="B108" s="263" t="s">
        <v>91</v>
      </c>
      <c r="C108" s="263" t="s">
        <v>256</v>
      </c>
      <c r="D108" s="263">
        <v>1</v>
      </c>
      <c r="E108" s="2328">
        <v>6423</v>
      </c>
      <c r="F108" s="2328">
        <v>2979</v>
      </c>
      <c r="G108" s="1720">
        <v>3444</v>
      </c>
      <c r="H108" s="521">
        <v>5730</v>
      </c>
      <c r="I108" s="521">
        <v>439</v>
      </c>
      <c r="J108" s="521">
        <v>51</v>
      </c>
      <c r="K108" s="521">
        <v>48</v>
      </c>
      <c r="L108" s="1720">
        <v>155</v>
      </c>
      <c r="M108" s="2328">
        <f t="shared" si="57"/>
        <v>1403</v>
      </c>
      <c r="N108" s="521">
        <f t="shared" si="58"/>
        <v>3726</v>
      </c>
      <c r="O108" s="1720">
        <f t="shared" si="59"/>
        <v>1294</v>
      </c>
      <c r="P108" s="2328">
        <v>699</v>
      </c>
      <c r="Q108" s="521">
        <v>1795</v>
      </c>
      <c r="R108" s="521">
        <v>485</v>
      </c>
      <c r="S108" s="2328">
        <v>704</v>
      </c>
      <c r="T108" s="521">
        <v>1931</v>
      </c>
      <c r="U108" s="1720">
        <v>809</v>
      </c>
      <c r="V108" s="1047">
        <f t="shared" si="60"/>
        <v>0.4638019617001401</v>
      </c>
      <c r="W108" s="1047">
        <f t="shared" si="61"/>
        <v>0.5361980382998599</v>
      </c>
      <c r="X108" s="2329">
        <f t="shared" si="62"/>
        <v>0.89210649229332084</v>
      </c>
      <c r="Y108" s="1047">
        <f t="shared" si="63"/>
        <v>6.8348123929627899E-2</v>
      </c>
      <c r="Z108" s="1047">
        <f t="shared" si="64"/>
        <v>7.9402148528724889E-3</v>
      </c>
      <c r="AA108" s="1047">
        <f t="shared" si="65"/>
        <v>7.4731433909388132E-3</v>
      </c>
      <c r="AB108" s="2330">
        <f t="shared" si="66"/>
        <v>2.4132025533239919E-2</v>
      </c>
      <c r="AC108" s="2331">
        <f t="shared" si="67"/>
        <v>0.21843375369764909</v>
      </c>
      <c r="AD108" s="524">
        <f t="shared" si="68"/>
        <v>0.5801027557216254</v>
      </c>
      <c r="AE108" s="2332">
        <f t="shared" si="69"/>
        <v>0.20146349058072552</v>
      </c>
      <c r="AF108" s="2328">
        <v>1018</v>
      </c>
      <c r="AG108" s="265">
        <f t="shared" si="70"/>
        <v>0.15849291608282734</v>
      </c>
    </row>
    <row r="109" spans="1:33" x14ac:dyDescent="0.3">
      <c r="A109" s="263" t="s">
        <v>106</v>
      </c>
      <c r="B109" s="263" t="s">
        <v>107</v>
      </c>
      <c r="C109" s="263" t="s">
        <v>252</v>
      </c>
      <c r="D109" s="263">
        <v>3</v>
      </c>
      <c r="E109" s="2328">
        <v>134313</v>
      </c>
      <c r="F109" s="2328">
        <v>64558</v>
      </c>
      <c r="G109" s="1720">
        <v>69755</v>
      </c>
      <c r="H109" s="521">
        <v>55859</v>
      </c>
      <c r="I109" s="521">
        <v>68635</v>
      </c>
      <c r="J109" s="521">
        <v>3288</v>
      </c>
      <c r="K109" s="521">
        <v>957</v>
      </c>
      <c r="L109" s="1720">
        <v>5574</v>
      </c>
      <c r="M109" s="2328">
        <f t="shared" si="57"/>
        <v>28086</v>
      </c>
      <c r="N109" s="521">
        <f t="shared" si="58"/>
        <v>85482</v>
      </c>
      <c r="O109" s="1720">
        <f t="shared" si="59"/>
        <v>20745</v>
      </c>
      <c r="P109" s="2328">
        <v>14446</v>
      </c>
      <c r="Q109" s="521">
        <v>41428</v>
      </c>
      <c r="R109" s="521">
        <v>8684</v>
      </c>
      <c r="S109" s="2328">
        <v>13640</v>
      </c>
      <c r="T109" s="521">
        <v>44054</v>
      </c>
      <c r="U109" s="1720">
        <v>12061</v>
      </c>
      <c r="V109" s="1047">
        <f t="shared" si="60"/>
        <v>0.48065339914974725</v>
      </c>
      <c r="W109" s="1047">
        <f t="shared" si="61"/>
        <v>0.51934660085025275</v>
      </c>
      <c r="X109" s="2329">
        <f t="shared" si="62"/>
        <v>0.41588677194314772</v>
      </c>
      <c r="Y109" s="1047">
        <f t="shared" si="63"/>
        <v>0.51100786967754419</v>
      </c>
      <c r="Z109" s="1047">
        <f t="shared" si="64"/>
        <v>2.4480132228451454E-2</v>
      </c>
      <c r="AA109" s="1047">
        <f t="shared" si="65"/>
        <v>7.1251479752518368E-3</v>
      </c>
      <c r="AB109" s="2330">
        <f t="shared" si="66"/>
        <v>4.1500078175604742E-2</v>
      </c>
      <c r="AC109" s="2331">
        <f t="shared" si="67"/>
        <v>0.20910857474704608</v>
      </c>
      <c r="AD109" s="524">
        <f t="shared" si="68"/>
        <v>0.63643876616559825</v>
      </c>
      <c r="AE109" s="2332">
        <f t="shared" si="69"/>
        <v>0.15445265908735564</v>
      </c>
      <c r="AF109" s="2328">
        <v>8086</v>
      </c>
      <c r="AG109" s="265">
        <f t="shared" si="70"/>
        <v>6.0202660948679577E-2</v>
      </c>
    </row>
    <row r="110" spans="1:33" x14ac:dyDescent="0.3">
      <c r="A110" s="263" t="s">
        <v>116</v>
      </c>
      <c r="B110" s="263" t="s">
        <v>117</v>
      </c>
      <c r="C110" s="263" t="s">
        <v>254</v>
      </c>
      <c r="D110" s="263">
        <v>2</v>
      </c>
      <c r="E110" s="2328">
        <v>22596</v>
      </c>
      <c r="F110" s="2328">
        <v>10536</v>
      </c>
      <c r="G110" s="1720">
        <v>12060</v>
      </c>
      <c r="H110" s="521">
        <v>11626</v>
      </c>
      <c r="I110" s="521">
        <v>9625</v>
      </c>
      <c r="J110" s="521">
        <v>317</v>
      </c>
      <c r="K110" s="521">
        <v>212</v>
      </c>
      <c r="L110" s="1720">
        <v>816</v>
      </c>
      <c r="M110" s="2328">
        <f t="shared" si="57"/>
        <v>5867</v>
      </c>
      <c r="N110" s="521">
        <f t="shared" si="58"/>
        <v>13183</v>
      </c>
      <c r="O110" s="1720">
        <f t="shared" si="59"/>
        <v>3546</v>
      </c>
      <c r="P110" s="2328">
        <v>2992</v>
      </c>
      <c r="Q110" s="521">
        <v>6134</v>
      </c>
      <c r="R110" s="521">
        <v>1410</v>
      </c>
      <c r="S110" s="2328">
        <v>2875</v>
      </c>
      <c r="T110" s="521">
        <v>7049</v>
      </c>
      <c r="U110" s="1720">
        <v>2136</v>
      </c>
      <c r="V110" s="1047">
        <f t="shared" si="60"/>
        <v>0.46627721720658521</v>
      </c>
      <c r="W110" s="1047">
        <f t="shared" si="61"/>
        <v>0.53372278279341479</v>
      </c>
      <c r="X110" s="2329">
        <f t="shared" si="62"/>
        <v>0.51451584351212609</v>
      </c>
      <c r="Y110" s="1047">
        <f t="shared" si="63"/>
        <v>0.42596034696406443</v>
      </c>
      <c r="Z110" s="1047">
        <f t="shared" si="64"/>
        <v>1.4029031687024253E-2</v>
      </c>
      <c r="AA110" s="1047">
        <f t="shared" si="65"/>
        <v>9.3821915383253667E-3</v>
      </c>
      <c r="AB110" s="2330">
        <f t="shared" si="66"/>
        <v>3.6112586298459905E-2</v>
      </c>
      <c r="AC110" s="2331">
        <f t="shared" si="67"/>
        <v>0.25964772526110819</v>
      </c>
      <c r="AD110" s="524">
        <f t="shared" si="68"/>
        <v>0.58342184457426094</v>
      </c>
      <c r="AE110" s="2332">
        <f t="shared" si="69"/>
        <v>0.1569304301646309</v>
      </c>
      <c r="AF110" s="2328">
        <v>1880</v>
      </c>
      <c r="AG110" s="265">
        <f t="shared" si="70"/>
        <v>8.3200566471941934E-2</v>
      </c>
    </row>
    <row r="111" spans="1:33" x14ac:dyDescent="0.3">
      <c r="A111" s="263" t="s">
        <v>138</v>
      </c>
      <c r="B111" s="263" t="s">
        <v>139</v>
      </c>
      <c r="C111" s="263" t="s">
        <v>253</v>
      </c>
      <c r="D111" s="263">
        <v>3</v>
      </c>
      <c r="E111" s="2328">
        <v>82126</v>
      </c>
      <c r="F111" s="2328">
        <v>38521</v>
      </c>
      <c r="G111" s="1720">
        <v>43605</v>
      </c>
      <c r="H111" s="521">
        <v>54195</v>
      </c>
      <c r="I111" s="521">
        <v>23220</v>
      </c>
      <c r="J111" s="521">
        <v>2407</v>
      </c>
      <c r="K111" s="521">
        <v>423</v>
      </c>
      <c r="L111" s="1720">
        <v>1881</v>
      </c>
      <c r="M111" s="2328">
        <f t="shared" si="57"/>
        <v>15946</v>
      </c>
      <c r="N111" s="521">
        <f t="shared" si="58"/>
        <v>54357</v>
      </c>
      <c r="O111" s="1720">
        <f t="shared" si="59"/>
        <v>11823</v>
      </c>
      <c r="P111" s="2328">
        <v>8112</v>
      </c>
      <c r="Q111" s="521">
        <v>25597</v>
      </c>
      <c r="R111" s="521">
        <v>4812</v>
      </c>
      <c r="S111" s="2328">
        <v>7834</v>
      </c>
      <c r="T111" s="521">
        <v>28760</v>
      </c>
      <c r="U111" s="1720">
        <v>7011</v>
      </c>
      <c r="V111" s="1047">
        <f t="shared" si="60"/>
        <v>0.46904756106470546</v>
      </c>
      <c r="W111" s="1047">
        <f t="shared" si="61"/>
        <v>0.53095243893529454</v>
      </c>
      <c r="X111" s="2329">
        <f t="shared" si="62"/>
        <v>0.65990064047926356</v>
      </c>
      <c r="Y111" s="1047">
        <f t="shared" si="63"/>
        <v>0.28273628327204542</v>
      </c>
      <c r="Z111" s="1047">
        <f t="shared" si="64"/>
        <v>2.9308623334875678E-2</v>
      </c>
      <c r="AA111" s="1047">
        <f t="shared" si="65"/>
        <v>5.1506222146457878E-3</v>
      </c>
      <c r="AB111" s="2330">
        <f t="shared" si="66"/>
        <v>2.2903830699169569E-2</v>
      </c>
      <c r="AC111" s="2331">
        <f t="shared" si="67"/>
        <v>0.19416506343910575</v>
      </c>
      <c r="AD111" s="524">
        <f t="shared" si="68"/>
        <v>0.66187321919976616</v>
      </c>
      <c r="AE111" s="2332">
        <f t="shared" si="69"/>
        <v>0.14396171736112803</v>
      </c>
      <c r="AF111" s="2328">
        <v>3617</v>
      </c>
      <c r="AG111" s="265">
        <f t="shared" si="70"/>
        <v>4.4042081679370723E-2</v>
      </c>
    </row>
    <row r="112" spans="1:33" x14ac:dyDescent="0.3">
      <c r="A112" s="263" t="s">
        <v>142</v>
      </c>
      <c r="B112" s="263" t="s">
        <v>143</v>
      </c>
      <c r="C112" s="263" t="s">
        <v>255</v>
      </c>
      <c r="D112" s="263">
        <v>2</v>
      </c>
      <c r="E112" s="2328">
        <v>41641</v>
      </c>
      <c r="F112" s="2328">
        <v>20875</v>
      </c>
      <c r="G112" s="1720">
        <v>20766</v>
      </c>
      <c r="H112" s="521">
        <v>30528</v>
      </c>
      <c r="I112" s="521">
        <v>6371</v>
      </c>
      <c r="J112" s="521">
        <v>2606</v>
      </c>
      <c r="K112" s="521">
        <v>676</v>
      </c>
      <c r="L112" s="1720">
        <v>1460</v>
      </c>
      <c r="M112" s="2328">
        <f t="shared" si="57"/>
        <v>11234</v>
      </c>
      <c r="N112" s="521">
        <f t="shared" si="58"/>
        <v>26087</v>
      </c>
      <c r="O112" s="1720">
        <f t="shared" si="59"/>
        <v>4320</v>
      </c>
      <c r="P112" s="2328">
        <v>5829</v>
      </c>
      <c r="Q112" s="521">
        <v>13110</v>
      </c>
      <c r="R112" s="521">
        <v>1936</v>
      </c>
      <c r="S112" s="2328">
        <v>5405</v>
      </c>
      <c r="T112" s="521">
        <v>12977</v>
      </c>
      <c r="U112" s="1720">
        <v>2384</v>
      </c>
      <c r="V112" s="1047">
        <f t="shared" si="60"/>
        <v>0.50130880622463436</v>
      </c>
      <c r="W112" s="1047">
        <f t="shared" si="61"/>
        <v>0.49869119377536564</v>
      </c>
      <c r="X112" s="2329">
        <f t="shared" si="62"/>
        <v>0.73312360414015032</v>
      </c>
      <c r="Y112" s="1047">
        <f t="shared" si="63"/>
        <v>0.15299824692010278</v>
      </c>
      <c r="Z112" s="1047">
        <f t="shared" si="64"/>
        <v>6.2582550851324414E-2</v>
      </c>
      <c r="AA112" s="1047">
        <f t="shared" si="65"/>
        <v>1.623400014408876E-2</v>
      </c>
      <c r="AB112" s="2330">
        <f t="shared" si="66"/>
        <v>3.5061597944333708E-2</v>
      </c>
      <c r="AC112" s="2331">
        <f t="shared" si="67"/>
        <v>0.26978218582646912</v>
      </c>
      <c r="AD112" s="524">
        <f t="shared" si="68"/>
        <v>0.62647390792728319</v>
      </c>
      <c r="AE112" s="2332">
        <f t="shared" si="69"/>
        <v>0.10374390624624769</v>
      </c>
      <c r="AF112" s="2328">
        <v>15720</v>
      </c>
      <c r="AG112" s="265">
        <f t="shared" si="70"/>
        <v>0.37751254772940129</v>
      </c>
    </row>
    <row r="113" spans="1:33" x14ac:dyDescent="0.3">
      <c r="A113" s="263" t="s">
        <v>144</v>
      </c>
      <c r="B113" s="263" t="s">
        <v>145</v>
      </c>
      <c r="C113" s="263" t="s">
        <v>255</v>
      </c>
      <c r="D113" s="263">
        <v>1</v>
      </c>
      <c r="E113" s="2328">
        <v>17307</v>
      </c>
      <c r="F113" s="2328">
        <v>8910</v>
      </c>
      <c r="G113" s="1720">
        <v>8397</v>
      </c>
      <c r="H113" s="521">
        <v>11696</v>
      </c>
      <c r="I113" s="521">
        <v>2639</v>
      </c>
      <c r="J113" s="521">
        <v>2056</v>
      </c>
      <c r="K113" s="521">
        <v>329</v>
      </c>
      <c r="L113" s="1720">
        <v>587</v>
      </c>
      <c r="M113" s="2328">
        <f t="shared" si="57"/>
        <v>3918</v>
      </c>
      <c r="N113" s="521">
        <f t="shared" si="58"/>
        <v>12005</v>
      </c>
      <c r="O113" s="1720">
        <f t="shared" si="59"/>
        <v>1384</v>
      </c>
      <c r="P113" s="2328">
        <v>2085</v>
      </c>
      <c r="Q113" s="521">
        <v>6217</v>
      </c>
      <c r="R113" s="521">
        <v>608</v>
      </c>
      <c r="S113" s="2328">
        <v>1833</v>
      </c>
      <c r="T113" s="521">
        <v>5788</v>
      </c>
      <c r="U113" s="1720">
        <v>776</v>
      </c>
      <c r="V113" s="1047">
        <f t="shared" si="60"/>
        <v>0.51482059282371295</v>
      </c>
      <c r="W113" s="1047">
        <f t="shared" si="61"/>
        <v>0.48517940717628705</v>
      </c>
      <c r="X113" s="2329">
        <f t="shared" si="62"/>
        <v>0.67579592072571792</v>
      </c>
      <c r="Y113" s="1047">
        <f t="shared" si="63"/>
        <v>0.15248165482174841</v>
      </c>
      <c r="Z113" s="1047">
        <f t="shared" si="64"/>
        <v>0.11879586294562894</v>
      </c>
      <c r="AA113" s="1047">
        <f t="shared" si="65"/>
        <v>1.9009649274859885E-2</v>
      </c>
      <c r="AB113" s="2330">
        <f t="shared" si="66"/>
        <v>3.3916912232044835E-2</v>
      </c>
      <c r="AC113" s="2331">
        <f t="shared" si="67"/>
        <v>0.22638238862887849</v>
      </c>
      <c r="AD113" s="524">
        <f t="shared" si="68"/>
        <v>0.69364996822095104</v>
      </c>
      <c r="AE113" s="2332">
        <f t="shared" si="69"/>
        <v>7.996764315017045E-2</v>
      </c>
      <c r="AF113" s="2328">
        <v>6940</v>
      </c>
      <c r="AG113" s="265">
        <f t="shared" si="70"/>
        <v>0.40099381753047902</v>
      </c>
    </row>
    <row r="114" spans="1:33" x14ac:dyDescent="0.3">
      <c r="A114" s="263" t="s">
        <v>158</v>
      </c>
      <c r="B114" s="263" t="s">
        <v>159</v>
      </c>
      <c r="C114" s="263" t="s">
        <v>252</v>
      </c>
      <c r="D114" s="263">
        <v>3</v>
      </c>
      <c r="E114" s="2328">
        <v>178626</v>
      </c>
      <c r="F114" s="2328">
        <v>86229</v>
      </c>
      <c r="G114" s="1720">
        <v>92397</v>
      </c>
      <c r="H114" s="521">
        <v>87155</v>
      </c>
      <c r="I114" s="521">
        <v>76222</v>
      </c>
      <c r="J114" s="521">
        <v>6023</v>
      </c>
      <c r="K114" s="521">
        <v>1457</v>
      </c>
      <c r="L114" s="1720">
        <v>7769</v>
      </c>
      <c r="M114" s="2328">
        <f t="shared" si="57"/>
        <v>41279</v>
      </c>
      <c r="N114" s="521">
        <f t="shared" si="58"/>
        <v>114006</v>
      </c>
      <c r="O114" s="1720">
        <f t="shared" si="59"/>
        <v>23341</v>
      </c>
      <c r="P114" s="2328">
        <v>21111</v>
      </c>
      <c r="Q114" s="521">
        <v>55598</v>
      </c>
      <c r="R114" s="521">
        <v>9520</v>
      </c>
      <c r="S114" s="2328">
        <v>20168</v>
      </c>
      <c r="T114" s="521">
        <v>58408</v>
      </c>
      <c r="U114" s="1720">
        <v>13821</v>
      </c>
      <c r="V114" s="1047">
        <f t="shared" si="60"/>
        <v>0.48273487622182659</v>
      </c>
      <c r="W114" s="1047">
        <f t="shared" si="61"/>
        <v>0.51726512377817335</v>
      </c>
      <c r="X114" s="2329">
        <f t="shared" si="62"/>
        <v>0.48791889198660887</v>
      </c>
      <c r="Y114" s="1047">
        <f t="shared" si="63"/>
        <v>0.42671279656936839</v>
      </c>
      <c r="Z114" s="1047">
        <f t="shared" si="64"/>
        <v>3.3718495627736163E-2</v>
      </c>
      <c r="AA114" s="1047">
        <f t="shared" si="65"/>
        <v>8.1567073102459895E-3</v>
      </c>
      <c r="AB114" s="2330">
        <f t="shared" si="66"/>
        <v>4.3493108506040552E-2</v>
      </c>
      <c r="AC114" s="2331">
        <f t="shared" si="67"/>
        <v>0.23109177835253547</v>
      </c>
      <c r="AD114" s="524">
        <f t="shared" si="68"/>
        <v>0.63823855429780663</v>
      </c>
      <c r="AE114" s="2332">
        <f t="shared" si="69"/>
        <v>0.13066966734965793</v>
      </c>
      <c r="AF114" s="2328">
        <v>16401</v>
      </c>
      <c r="AG114" s="265">
        <f t="shared" si="70"/>
        <v>9.181754055960499E-2</v>
      </c>
    </row>
    <row r="115" spans="1:33" x14ac:dyDescent="0.3">
      <c r="A115" s="263" t="s">
        <v>160</v>
      </c>
      <c r="B115" s="263" t="s">
        <v>161</v>
      </c>
      <c r="C115" s="263" t="s">
        <v>252</v>
      </c>
      <c r="D115" s="263">
        <v>3</v>
      </c>
      <c r="E115" s="2328">
        <v>244076</v>
      </c>
      <c r="F115" s="2328">
        <v>127235</v>
      </c>
      <c r="G115" s="1720">
        <v>116841</v>
      </c>
      <c r="H115" s="521">
        <v>120025</v>
      </c>
      <c r="I115" s="521">
        <v>103358</v>
      </c>
      <c r="J115" s="521">
        <v>9410</v>
      </c>
      <c r="K115" s="521">
        <v>2144</v>
      </c>
      <c r="L115" s="1720">
        <v>9139</v>
      </c>
      <c r="M115" s="2328">
        <f t="shared" si="57"/>
        <v>47785</v>
      </c>
      <c r="N115" s="521">
        <f t="shared" si="58"/>
        <v>168957</v>
      </c>
      <c r="O115" s="1720">
        <f t="shared" si="59"/>
        <v>27334</v>
      </c>
      <c r="P115" s="2328">
        <v>24255</v>
      </c>
      <c r="Q115" s="521">
        <v>91495</v>
      </c>
      <c r="R115" s="521">
        <v>11485</v>
      </c>
      <c r="S115" s="2328">
        <v>23530</v>
      </c>
      <c r="T115" s="521">
        <v>77462</v>
      </c>
      <c r="U115" s="1720">
        <v>15849</v>
      </c>
      <c r="V115" s="1047">
        <f t="shared" si="60"/>
        <v>0.52129254822268478</v>
      </c>
      <c r="W115" s="1047">
        <f t="shared" si="61"/>
        <v>0.47870745177731527</v>
      </c>
      <c r="X115" s="2329">
        <f t="shared" si="62"/>
        <v>0.4917525688719907</v>
      </c>
      <c r="Y115" s="1047">
        <f t="shared" si="63"/>
        <v>0.423466461266163</v>
      </c>
      <c r="Z115" s="1047">
        <f t="shared" si="64"/>
        <v>3.8553565282944659E-2</v>
      </c>
      <c r="AA115" s="1047">
        <f t="shared" si="65"/>
        <v>8.7841491994296861E-3</v>
      </c>
      <c r="AB115" s="2330">
        <f t="shared" si="66"/>
        <v>3.7443255379471969E-2</v>
      </c>
      <c r="AC115" s="2331">
        <f t="shared" si="67"/>
        <v>0.19577918353299792</v>
      </c>
      <c r="AD115" s="524">
        <f t="shared" si="68"/>
        <v>0.69223110834330293</v>
      </c>
      <c r="AE115" s="2332">
        <f t="shared" si="69"/>
        <v>0.11198970812369917</v>
      </c>
      <c r="AF115" s="2328">
        <v>20406</v>
      </c>
      <c r="AG115" s="265">
        <f t="shared" si="70"/>
        <v>8.3605106606139068E-2</v>
      </c>
    </row>
    <row r="116" spans="1:33" x14ac:dyDescent="0.3">
      <c r="A116" s="263" t="s">
        <v>166</v>
      </c>
      <c r="B116" s="263" t="s">
        <v>167</v>
      </c>
      <c r="C116" s="263" t="s">
        <v>256</v>
      </c>
      <c r="D116" s="263">
        <v>1</v>
      </c>
      <c r="E116" s="2328">
        <v>3968</v>
      </c>
      <c r="F116" s="2328">
        <v>1859</v>
      </c>
      <c r="G116" s="1720">
        <v>2109</v>
      </c>
      <c r="H116" s="521">
        <v>3564</v>
      </c>
      <c r="I116" s="521">
        <v>227</v>
      </c>
      <c r="J116" s="521">
        <v>75</v>
      </c>
      <c r="K116" s="521">
        <v>15</v>
      </c>
      <c r="L116" s="1720">
        <v>87</v>
      </c>
      <c r="M116" s="2328">
        <f t="shared" si="57"/>
        <v>793</v>
      </c>
      <c r="N116" s="521">
        <f t="shared" si="58"/>
        <v>2435</v>
      </c>
      <c r="O116" s="1720">
        <f t="shared" si="59"/>
        <v>740</v>
      </c>
      <c r="P116" s="2328">
        <v>387</v>
      </c>
      <c r="Q116" s="521">
        <v>1200</v>
      </c>
      <c r="R116" s="521">
        <v>272</v>
      </c>
      <c r="S116" s="2328">
        <v>406</v>
      </c>
      <c r="T116" s="521">
        <v>1235</v>
      </c>
      <c r="U116" s="1720">
        <v>468</v>
      </c>
      <c r="V116" s="1047">
        <f t="shared" si="60"/>
        <v>0.46849798387096775</v>
      </c>
      <c r="W116" s="1047">
        <f t="shared" si="61"/>
        <v>0.53150201612903225</v>
      </c>
      <c r="X116" s="2329">
        <f t="shared" si="62"/>
        <v>0.89818548387096775</v>
      </c>
      <c r="Y116" s="1047">
        <f t="shared" si="63"/>
        <v>5.7207661290322578E-2</v>
      </c>
      <c r="Z116" s="1047">
        <f t="shared" si="64"/>
        <v>1.8901209677419355E-2</v>
      </c>
      <c r="AA116" s="1047">
        <f t="shared" si="65"/>
        <v>3.7802419354838711E-3</v>
      </c>
      <c r="AB116" s="2330">
        <f t="shared" si="66"/>
        <v>2.1925403225806453E-2</v>
      </c>
      <c r="AC116" s="2331">
        <f t="shared" si="67"/>
        <v>0.19984879032258066</v>
      </c>
      <c r="AD116" s="524">
        <f t="shared" si="68"/>
        <v>0.61365927419354838</v>
      </c>
      <c r="AE116" s="2332">
        <f t="shared" si="69"/>
        <v>0.18649193548387097</v>
      </c>
      <c r="AF116" s="2328">
        <v>192</v>
      </c>
      <c r="AG116" s="265">
        <f t="shared" si="70"/>
        <v>4.8387096774193547E-2</v>
      </c>
    </row>
    <row r="117" spans="1:33" x14ac:dyDescent="0.3">
      <c r="A117" s="263" t="s">
        <v>176</v>
      </c>
      <c r="B117" s="263" t="s">
        <v>177</v>
      </c>
      <c r="C117" s="263" t="s">
        <v>254</v>
      </c>
      <c r="D117" s="263">
        <v>3</v>
      </c>
      <c r="E117" s="2328">
        <v>31567</v>
      </c>
      <c r="F117" s="2328">
        <v>14508</v>
      </c>
      <c r="G117" s="1720">
        <v>17059</v>
      </c>
      <c r="H117" s="521">
        <v>5646</v>
      </c>
      <c r="I117" s="521">
        <v>24524</v>
      </c>
      <c r="J117" s="521">
        <v>362</v>
      </c>
      <c r="K117" s="521">
        <v>208</v>
      </c>
      <c r="L117" s="1720">
        <v>827</v>
      </c>
      <c r="M117" s="2328">
        <f t="shared" si="57"/>
        <v>7133</v>
      </c>
      <c r="N117" s="521">
        <f t="shared" si="58"/>
        <v>19079</v>
      </c>
      <c r="O117" s="1720">
        <f t="shared" si="59"/>
        <v>5355</v>
      </c>
      <c r="P117" s="2328">
        <v>3654</v>
      </c>
      <c r="Q117" s="521">
        <v>8820</v>
      </c>
      <c r="R117" s="521">
        <v>2034</v>
      </c>
      <c r="S117" s="2328">
        <v>3479</v>
      </c>
      <c r="T117" s="521">
        <v>10259</v>
      </c>
      <c r="U117" s="1720">
        <v>3321</v>
      </c>
      <c r="V117" s="1047">
        <f t="shared" si="60"/>
        <v>0.45959387968448062</v>
      </c>
      <c r="W117" s="1047">
        <f t="shared" si="61"/>
        <v>0.54040612031551938</v>
      </c>
      <c r="X117" s="2329">
        <f t="shared" si="62"/>
        <v>0.17885766781765769</v>
      </c>
      <c r="Y117" s="1047">
        <f t="shared" si="63"/>
        <v>0.77688725567839834</v>
      </c>
      <c r="Z117" s="1047">
        <f t="shared" si="64"/>
        <v>1.1467671935882408E-2</v>
      </c>
      <c r="AA117" s="1047">
        <f t="shared" si="65"/>
        <v>6.5891595653688982E-3</v>
      </c>
      <c r="AB117" s="2330">
        <f t="shared" si="66"/>
        <v>2.6198245002692685E-2</v>
      </c>
      <c r="AC117" s="2331">
        <f t="shared" si="67"/>
        <v>0.22596382297969397</v>
      </c>
      <c r="AD117" s="524">
        <f t="shared" si="68"/>
        <v>0.60439699686381343</v>
      </c>
      <c r="AE117" s="2332">
        <f t="shared" si="69"/>
        <v>0.16963918015649254</v>
      </c>
      <c r="AF117" s="2328">
        <v>1641</v>
      </c>
      <c r="AG117" s="265">
        <f t="shared" si="70"/>
        <v>5.1984667532549815E-2</v>
      </c>
    </row>
    <row r="118" spans="1:33" x14ac:dyDescent="0.3">
      <c r="A118" s="263" t="s">
        <v>180</v>
      </c>
      <c r="B118" s="263" t="s">
        <v>181</v>
      </c>
      <c r="C118" s="263" t="s">
        <v>252</v>
      </c>
      <c r="D118" s="263">
        <v>3</v>
      </c>
      <c r="E118" s="2328">
        <v>94632</v>
      </c>
      <c r="F118" s="2328">
        <v>45452</v>
      </c>
      <c r="G118" s="1720">
        <v>49180</v>
      </c>
      <c r="H118" s="521">
        <v>38162</v>
      </c>
      <c r="I118" s="521">
        <v>51506</v>
      </c>
      <c r="J118" s="521">
        <v>1449</v>
      </c>
      <c r="K118" s="521">
        <v>637</v>
      </c>
      <c r="L118" s="1720">
        <v>2878</v>
      </c>
      <c r="M118" s="2328">
        <f t="shared" si="57"/>
        <v>22052</v>
      </c>
      <c r="N118" s="521">
        <f t="shared" si="58"/>
        <v>58452</v>
      </c>
      <c r="O118" s="1720">
        <f t="shared" si="59"/>
        <v>14128</v>
      </c>
      <c r="P118" s="2328">
        <v>11113</v>
      </c>
      <c r="Q118" s="521">
        <v>28545</v>
      </c>
      <c r="R118" s="521">
        <v>5794</v>
      </c>
      <c r="S118" s="2328">
        <v>10939</v>
      </c>
      <c r="T118" s="521">
        <v>29907</v>
      </c>
      <c r="U118" s="1720">
        <v>8334</v>
      </c>
      <c r="V118" s="1047">
        <f t="shared" si="60"/>
        <v>0.48030264603939471</v>
      </c>
      <c r="W118" s="1047">
        <f t="shared" si="61"/>
        <v>0.51969735396060535</v>
      </c>
      <c r="X118" s="2329">
        <f t="shared" si="62"/>
        <v>0.4032673936934652</v>
      </c>
      <c r="Y118" s="1047">
        <f t="shared" si="63"/>
        <v>0.54427677741144642</v>
      </c>
      <c r="Z118" s="1047">
        <f t="shared" si="64"/>
        <v>1.531194521937611E-2</v>
      </c>
      <c r="AA118" s="1047">
        <f t="shared" si="65"/>
        <v>6.7313382365373235E-3</v>
      </c>
      <c r="AB118" s="2330">
        <f t="shared" si="66"/>
        <v>3.0412545439174907E-2</v>
      </c>
      <c r="AC118" s="2331">
        <f t="shared" si="67"/>
        <v>0.23302899653394202</v>
      </c>
      <c r="AD118" s="524">
        <f t="shared" si="68"/>
        <v>0.61767689576464624</v>
      </c>
      <c r="AE118" s="2332">
        <f t="shared" si="69"/>
        <v>0.14929410770141177</v>
      </c>
      <c r="AF118" s="2328">
        <v>4408</v>
      </c>
      <c r="AG118" s="265">
        <f t="shared" si="70"/>
        <v>4.6580437906839127E-2</v>
      </c>
    </row>
    <row r="119" spans="1:33" x14ac:dyDescent="0.3">
      <c r="A119" s="263" t="s">
        <v>192</v>
      </c>
      <c r="B119" s="263" t="s">
        <v>193</v>
      </c>
      <c r="C119" s="263" t="s">
        <v>256</v>
      </c>
      <c r="D119" s="263">
        <v>1</v>
      </c>
      <c r="E119" s="2328">
        <v>18339</v>
      </c>
      <c r="F119" s="2328">
        <v>8619</v>
      </c>
      <c r="G119" s="1720">
        <v>9720</v>
      </c>
      <c r="H119" s="521">
        <v>15640</v>
      </c>
      <c r="I119" s="521">
        <v>1787</v>
      </c>
      <c r="J119" s="521">
        <v>391</v>
      </c>
      <c r="K119" s="521">
        <v>52</v>
      </c>
      <c r="L119" s="1720">
        <v>469</v>
      </c>
      <c r="M119" s="2328">
        <f t="shared" si="57"/>
        <v>2285</v>
      </c>
      <c r="N119" s="521">
        <f t="shared" si="58"/>
        <v>14382</v>
      </c>
      <c r="O119" s="1720">
        <f t="shared" si="59"/>
        <v>1672</v>
      </c>
      <c r="P119" s="2328">
        <v>1150</v>
      </c>
      <c r="Q119" s="521">
        <v>6747</v>
      </c>
      <c r="R119" s="521">
        <v>722</v>
      </c>
      <c r="S119" s="2328">
        <v>1135</v>
      </c>
      <c r="T119" s="521">
        <v>7635</v>
      </c>
      <c r="U119" s="1720">
        <v>950</v>
      </c>
      <c r="V119" s="1047">
        <f t="shared" si="60"/>
        <v>0.46998200556191722</v>
      </c>
      <c r="W119" s="1047">
        <f t="shared" si="61"/>
        <v>0.53001799443808273</v>
      </c>
      <c r="X119" s="2329">
        <f t="shared" si="62"/>
        <v>0.85282730792300565</v>
      </c>
      <c r="Y119" s="1047">
        <f t="shared" si="63"/>
        <v>9.7442608648236007E-2</v>
      </c>
      <c r="Z119" s="1047">
        <f t="shared" si="64"/>
        <v>2.132068269807514E-2</v>
      </c>
      <c r="AA119" s="1047">
        <f t="shared" si="65"/>
        <v>2.8354872130432413E-3</v>
      </c>
      <c r="AB119" s="2330">
        <f t="shared" si="66"/>
        <v>2.5573913517640001E-2</v>
      </c>
      <c r="AC119" s="2331">
        <f t="shared" si="67"/>
        <v>0.12459785157315012</v>
      </c>
      <c r="AD119" s="524">
        <f t="shared" si="68"/>
        <v>0.78423032880745946</v>
      </c>
      <c r="AE119" s="2332">
        <f t="shared" si="69"/>
        <v>9.1171819619390373E-2</v>
      </c>
      <c r="AF119" s="2328">
        <v>552</v>
      </c>
      <c r="AG119" s="265">
        <f t="shared" si="70"/>
        <v>3.0099787338459021E-2</v>
      </c>
    </row>
    <row r="120" spans="1:33" x14ac:dyDescent="0.3">
      <c r="A120" s="263" t="s">
        <v>196</v>
      </c>
      <c r="B120" s="263" t="s">
        <v>300</v>
      </c>
      <c r="C120" s="263" t="s">
        <v>254</v>
      </c>
      <c r="D120" s="263">
        <v>3</v>
      </c>
      <c r="E120" s="2328">
        <v>228783</v>
      </c>
      <c r="F120" s="2328">
        <v>108456</v>
      </c>
      <c r="G120" s="1720">
        <v>120327</v>
      </c>
      <c r="H120" s="521">
        <v>107247</v>
      </c>
      <c r="I120" s="521">
        <v>109314</v>
      </c>
      <c r="J120" s="521">
        <v>5396</v>
      </c>
      <c r="K120" s="521">
        <v>1592</v>
      </c>
      <c r="L120" s="1720">
        <v>5234</v>
      </c>
      <c r="M120" s="2328">
        <f t="shared" si="57"/>
        <v>40064</v>
      </c>
      <c r="N120" s="521">
        <f t="shared" si="58"/>
        <v>158547</v>
      </c>
      <c r="O120" s="1720">
        <f t="shared" si="59"/>
        <v>30172</v>
      </c>
      <c r="P120" s="2328">
        <v>20184</v>
      </c>
      <c r="Q120" s="521">
        <v>75642</v>
      </c>
      <c r="R120" s="521">
        <v>12630</v>
      </c>
      <c r="S120" s="2328">
        <v>19880</v>
      </c>
      <c r="T120" s="521">
        <v>82905</v>
      </c>
      <c r="U120" s="1720">
        <v>17542</v>
      </c>
      <c r="V120" s="1047">
        <f t="shared" si="60"/>
        <v>0.47405620172827528</v>
      </c>
      <c r="W120" s="1047">
        <f t="shared" si="61"/>
        <v>0.52594379827172477</v>
      </c>
      <c r="X120" s="2329">
        <f t="shared" si="62"/>
        <v>0.46877171817836116</v>
      </c>
      <c r="Y120" s="1047">
        <f t="shared" si="63"/>
        <v>0.47780648037660139</v>
      </c>
      <c r="Z120" s="1047">
        <f t="shared" si="64"/>
        <v>2.3585668515580267E-2</v>
      </c>
      <c r="AA120" s="1047">
        <f t="shared" si="65"/>
        <v>6.9585589838405829E-3</v>
      </c>
      <c r="AB120" s="2330">
        <f t="shared" si="66"/>
        <v>2.287757394561659E-2</v>
      </c>
      <c r="AC120" s="2331">
        <f t="shared" si="67"/>
        <v>0.17511790648780723</v>
      </c>
      <c r="AD120" s="524">
        <f t="shared" si="68"/>
        <v>0.6930016653335257</v>
      </c>
      <c r="AE120" s="2332">
        <f t="shared" si="69"/>
        <v>0.13188042817866713</v>
      </c>
      <c r="AF120" s="2328">
        <v>16175</v>
      </c>
      <c r="AG120" s="265">
        <f t="shared" si="70"/>
        <v>7.0700183142978282E-2</v>
      </c>
    </row>
    <row r="121" spans="1:33" x14ac:dyDescent="0.3">
      <c r="A121" s="263" t="s">
        <v>200</v>
      </c>
      <c r="B121" s="263" t="s">
        <v>301</v>
      </c>
      <c r="C121" s="263" t="s">
        <v>253</v>
      </c>
      <c r="D121" s="263">
        <v>3</v>
      </c>
      <c r="E121" s="2328">
        <v>99920</v>
      </c>
      <c r="F121" s="2328">
        <v>47891</v>
      </c>
      <c r="G121" s="1720">
        <v>52029</v>
      </c>
      <c r="H121" s="521">
        <v>63304</v>
      </c>
      <c r="I121" s="521">
        <v>29547</v>
      </c>
      <c r="J121" s="521">
        <v>3438</v>
      </c>
      <c r="K121" s="521">
        <v>526</v>
      </c>
      <c r="L121" s="1720">
        <v>3105</v>
      </c>
      <c r="M121" s="2328">
        <f t="shared" si="57"/>
        <v>22537</v>
      </c>
      <c r="N121" s="521">
        <f t="shared" si="58"/>
        <v>60863</v>
      </c>
      <c r="O121" s="1720">
        <f t="shared" si="59"/>
        <v>16520</v>
      </c>
      <c r="P121" s="2328">
        <v>11524</v>
      </c>
      <c r="Q121" s="521">
        <v>29739</v>
      </c>
      <c r="R121" s="521">
        <v>6628</v>
      </c>
      <c r="S121" s="2328">
        <v>11013</v>
      </c>
      <c r="T121" s="521">
        <v>31124</v>
      </c>
      <c r="U121" s="1720">
        <v>9892</v>
      </c>
      <c r="V121" s="1047">
        <f t="shared" si="60"/>
        <v>0.47929343474779823</v>
      </c>
      <c r="W121" s="1047">
        <f t="shared" si="61"/>
        <v>0.52070656525220171</v>
      </c>
      <c r="X121" s="2329">
        <f t="shared" si="62"/>
        <v>0.63354683746997598</v>
      </c>
      <c r="Y121" s="1047">
        <f t="shared" si="63"/>
        <v>0.29570656525220174</v>
      </c>
      <c r="Z121" s="1047">
        <f t="shared" si="64"/>
        <v>3.4407526020816655E-2</v>
      </c>
      <c r="AA121" s="1047">
        <f t="shared" si="65"/>
        <v>5.2642113690952765E-3</v>
      </c>
      <c r="AB121" s="2330">
        <f t="shared" si="66"/>
        <v>3.1074859887910328E-2</v>
      </c>
      <c r="AC121" s="2331">
        <f t="shared" si="67"/>
        <v>0.22555044035228183</v>
      </c>
      <c r="AD121" s="524">
        <f t="shared" si="68"/>
        <v>0.60911729383506807</v>
      </c>
      <c r="AE121" s="2332">
        <f t="shared" si="69"/>
        <v>0.16533226581265012</v>
      </c>
      <c r="AF121" s="2328">
        <v>6537</v>
      </c>
      <c r="AG121" s="265">
        <f t="shared" si="70"/>
        <v>6.5422337870296235E-2</v>
      </c>
    </row>
    <row r="122" spans="1:33" x14ac:dyDescent="0.3">
      <c r="A122" s="263" t="s">
        <v>222</v>
      </c>
      <c r="B122" s="263" t="s">
        <v>223</v>
      </c>
      <c r="C122" s="263" t="s">
        <v>252</v>
      </c>
      <c r="D122" s="263">
        <v>3</v>
      </c>
      <c r="E122" s="2328">
        <v>91185</v>
      </c>
      <c r="F122" s="2328">
        <v>44173</v>
      </c>
      <c r="G122" s="1720">
        <v>47012</v>
      </c>
      <c r="H122" s="521">
        <v>47734</v>
      </c>
      <c r="I122" s="521">
        <v>38671</v>
      </c>
      <c r="J122" s="521">
        <v>1706</v>
      </c>
      <c r="K122" s="521">
        <v>492</v>
      </c>
      <c r="L122" s="1720">
        <v>2582</v>
      </c>
      <c r="M122" s="2328">
        <f t="shared" si="57"/>
        <v>22132</v>
      </c>
      <c r="N122" s="521">
        <f t="shared" si="58"/>
        <v>55889</v>
      </c>
      <c r="O122" s="1720">
        <f t="shared" si="59"/>
        <v>13164</v>
      </c>
      <c r="P122" s="2328">
        <v>11355</v>
      </c>
      <c r="Q122" s="521">
        <v>27057</v>
      </c>
      <c r="R122" s="521">
        <v>5761</v>
      </c>
      <c r="S122" s="2328">
        <v>10777</v>
      </c>
      <c r="T122" s="521">
        <v>28832</v>
      </c>
      <c r="U122" s="1720">
        <v>7403</v>
      </c>
      <c r="V122" s="1047">
        <f t="shared" si="60"/>
        <v>0.48443274661402641</v>
      </c>
      <c r="W122" s="1047">
        <f t="shared" si="61"/>
        <v>0.51556725338597353</v>
      </c>
      <c r="X122" s="2329">
        <f t="shared" si="62"/>
        <v>0.52348522235016726</v>
      </c>
      <c r="Y122" s="1047">
        <f t="shared" si="63"/>
        <v>0.42409387508910457</v>
      </c>
      <c r="Z122" s="1047">
        <f t="shared" si="64"/>
        <v>1.8709217524812194E-2</v>
      </c>
      <c r="AA122" s="1047">
        <f t="shared" si="65"/>
        <v>5.3956242803092618E-3</v>
      </c>
      <c r="AB122" s="2330">
        <f t="shared" si="66"/>
        <v>2.8316060755606734E-2</v>
      </c>
      <c r="AC122" s="2331">
        <f t="shared" si="67"/>
        <v>0.24271535888578166</v>
      </c>
      <c r="AD122" s="524">
        <f t="shared" si="68"/>
        <v>0.61291879146789496</v>
      </c>
      <c r="AE122" s="2332">
        <f t="shared" si="69"/>
        <v>0.1443658496463234</v>
      </c>
      <c r="AF122" s="2328">
        <v>4259</v>
      </c>
      <c r="AG122" s="265">
        <f t="shared" si="70"/>
        <v>4.6707243515929156E-2</v>
      </c>
    </row>
    <row r="123" spans="1:33" x14ac:dyDescent="0.3">
      <c r="A123" s="263" t="s">
        <v>230</v>
      </c>
      <c r="B123" s="263" t="s">
        <v>231</v>
      </c>
      <c r="C123" s="263" t="s">
        <v>252</v>
      </c>
      <c r="D123" s="263">
        <v>3</v>
      </c>
      <c r="E123" s="2328">
        <v>450189</v>
      </c>
      <c r="F123" s="2328">
        <v>221065</v>
      </c>
      <c r="G123" s="1720">
        <v>229124</v>
      </c>
      <c r="H123" s="521">
        <v>303731</v>
      </c>
      <c r="I123" s="521">
        <v>91216</v>
      </c>
      <c r="J123" s="521">
        <v>33383</v>
      </c>
      <c r="K123" s="521">
        <v>2871</v>
      </c>
      <c r="L123" s="1720">
        <v>18988</v>
      </c>
      <c r="M123" s="2328">
        <f t="shared" si="57"/>
        <v>99573</v>
      </c>
      <c r="N123" s="521">
        <f t="shared" si="58"/>
        <v>286612</v>
      </c>
      <c r="O123" s="1720">
        <f t="shared" si="59"/>
        <v>64004</v>
      </c>
      <c r="P123" s="2328">
        <v>50974</v>
      </c>
      <c r="Q123" s="521">
        <v>142574</v>
      </c>
      <c r="R123" s="521">
        <v>27517</v>
      </c>
      <c r="S123" s="2328">
        <v>48599</v>
      </c>
      <c r="T123" s="521">
        <v>144038</v>
      </c>
      <c r="U123" s="1720">
        <v>36487</v>
      </c>
      <c r="V123" s="1047">
        <f t="shared" si="60"/>
        <v>0.49104931484332137</v>
      </c>
      <c r="W123" s="1047">
        <f t="shared" si="61"/>
        <v>0.50895068515667863</v>
      </c>
      <c r="X123" s="2329">
        <f t="shared" si="62"/>
        <v>0.67467441452367782</v>
      </c>
      <c r="Y123" s="1047">
        <f t="shared" si="63"/>
        <v>0.20261712303054938</v>
      </c>
      <c r="Z123" s="1047">
        <f t="shared" si="64"/>
        <v>7.4153300058419913E-2</v>
      </c>
      <c r="AA123" s="1047">
        <f t="shared" si="65"/>
        <v>6.3773215249595169E-3</v>
      </c>
      <c r="AB123" s="2330">
        <f t="shared" si="66"/>
        <v>4.2177840862393352E-2</v>
      </c>
      <c r="AC123" s="2331">
        <f t="shared" si="67"/>
        <v>0.22118043754956251</v>
      </c>
      <c r="AD123" s="524">
        <f t="shared" si="68"/>
        <v>0.63664816332695828</v>
      </c>
      <c r="AE123" s="2332">
        <f t="shared" si="69"/>
        <v>0.14217139912347926</v>
      </c>
      <c r="AF123" s="2328">
        <v>37365</v>
      </c>
      <c r="AG123" s="265">
        <f t="shared" si="70"/>
        <v>8.2998473974264145E-2</v>
      </c>
    </row>
    <row r="124" spans="1:33" x14ac:dyDescent="0.3">
      <c r="A124" s="263" t="s">
        <v>238</v>
      </c>
      <c r="B124" s="263" t="s">
        <v>239</v>
      </c>
      <c r="C124" s="263" t="s">
        <v>252</v>
      </c>
      <c r="D124" s="263">
        <v>1</v>
      </c>
      <c r="E124" s="2328">
        <v>14896</v>
      </c>
      <c r="F124" s="2328">
        <v>6853</v>
      </c>
      <c r="G124" s="1720">
        <v>8043</v>
      </c>
      <c r="H124" s="521">
        <v>10903</v>
      </c>
      <c r="I124" s="521">
        <v>2404</v>
      </c>
      <c r="J124" s="521">
        <v>949</v>
      </c>
      <c r="K124" s="521">
        <v>97</v>
      </c>
      <c r="L124" s="1720">
        <v>543</v>
      </c>
      <c r="M124" s="2328">
        <f t="shared" si="57"/>
        <v>1712</v>
      </c>
      <c r="N124" s="521">
        <f t="shared" si="58"/>
        <v>10752</v>
      </c>
      <c r="O124" s="1720">
        <f t="shared" si="59"/>
        <v>2432</v>
      </c>
      <c r="P124" s="2328">
        <v>847</v>
      </c>
      <c r="Q124" s="521">
        <v>4916</v>
      </c>
      <c r="R124" s="521">
        <v>1090</v>
      </c>
      <c r="S124" s="2328">
        <v>865</v>
      </c>
      <c r="T124" s="521">
        <v>5836</v>
      </c>
      <c r="U124" s="1720">
        <v>1342</v>
      </c>
      <c r="V124" s="1047">
        <f t="shared" si="60"/>
        <v>0.46005639097744361</v>
      </c>
      <c r="W124" s="1047">
        <f t="shared" si="61"/>
        <v>0.53994360902255634</v>
      </c>
      <c r="X124" s="2329">
        <f t="shared" si="62"/>
        <v>0.73194146079484423</v>
      </c>
      <c r="Y124" s="1047">
        <f t="shared" si="63"/>
        <v>0.16138560687432868</v>
      </c>
      <c r="Z124" s="1047">
        <f t="shared" si="64"/>
        <v>6.3708378088077333E-2</v>
      </c>
      <c r="AA124" s="1047">
        <f t="shared" si="65"/>
        <v>6.5118152524167566E-3</v>
      </c>
      <c r="AB124" s="2330">
        <f t="shared" si="66"/>
        <v>3.6452738990332974E-2</v>
      </c>
      <c r="AC124" s="2331">
        <f t="shared" si="67"/>
        <v>0.11493018259935553</v>
      </c>
      <c r="AD124" s="524">
        <f t="shared" si="68"/>
        <v>0.72180451127819545</v>
      </c>
      <c r="AE124" s="2332">
        <f t="shared" si="69"/>
        <v>0.16326530612244897</v>
      </c>
      <c r="AF124" s="2328">
        <v>1047</v>
      </c>
      <c r="AG124" s="265">
        <f t="shared" si="70"/>
        <v>7.0287325456498392E-2</v>
      </c>
    </row>
    <row r="125" spans="1:33" x14ac:dyDescent="0.3">
      <c r="A125" s="263" t="s">
        <v>240</v>
      </c>
      <c r="B125" s="263" t="s">
        <v>241</v>
      </c>
      <c r="C125" s="263" t="s">
        <v>255</v>
      </c>
      <c r="D125" s="263">
        <v>2</v>
      </c>
      <c r="E125" s="2328">
        <v>28108</v>
      </c>
      <c r="F125" s="2328">
        <v>13689</v>
      </c>
      <c r="G125" s="1720">
        <v>14419</v>
      </c>
      <c r="H125" s="521">
        <v>22713</v>
      </c>
      <c r="I125" s="521">
        <v>3251</v>
      </c>
      <c r="J125" s="521">
        <v>776</v>
      </c>
      <c r="K125" s="521">
        <v>292</v>
      </c>
      <c r="L125" s="1720">
        <v>1076</v>
      </c>
      <c r="M125" s="2328">
        <f t="shared" si="57"/>
        <v>6354</v>
      </c>
      <c r="N125" s="521">
        <f t="shared" si="58"/>
        <v>17288</v>
      </c>
      <c r="O125" s="1720">
        <f t="shared" si="59"/>
        <v>4466</v>
      </c>
      <c r="P125" s="2328">
        <v>3289</v>
      </c>
      <c r="Q125" s="521">
        <v>8437</v>
      </c>
      <c r="R125" s="521">
        <v>1963</v>
      </c>
      <c r="S125" s="2328">
        <v>3065</v>
      </c>
      <c r="T125" s="521">
        <v>8851</v>
      </c>
      <c r="U125" s="1720">
        <v>2503</v>
      </c>
      <c r="V125" s="1047">
        <f t="shared" si="60"/>
        <v>0.48701437313220436</v>
      </c>
      <c r="W125" s="1047">
        <f t="shared" si="61"/>
        <v>0.5129856268677957</v>
      </c>
      <c r="X125" s="2329">
        <f t="shared" si="62"/>
        <v>0.80806176177600686</v>
      </c>
      <c r="Y125" s="1047">
        <f t="shared" si="63"/>
        <v>0.11566102177316066</v>
      </c>
      <c r="Z125" s="1047">
        <f t="shared" si="64"/>
        <v>2.7607798491532661E-2</v>
      </c>
      <c r="AA125" s="1047">
        <f t="shared" si="65"/>
        <v>1.0388501494236516E-2</v>
      </c>
      <c r="AB125" s="2330">
        <f t="shared" si="66"/>
        <v>3.8280916465063326E-2</v>
      </c>
      <c r="AC125" s="2331">
        <f t="shared" si="67"/>
        <v>0.22605663867937953</v>
      </c>
      <c r="AD125" s="524">
        <f t="shared" si="68"/>
        <v>0.61505621175466063</v>
      </c>
      <c r="AE125" s="2332">
        <f t="shared" si="69"/>
        <v>0.15888714956595987</v>
      </c>
      <c r="AF125" s="2328">
        <v>5166</v>
      </c>
      <c r="AG125" s="265">
        <f t="shared" si="70"/>
        <v>0.18379109150419809</v>
      </c>
    </row>
    <row r="126" spans="1:33" x14ac:dyDescent="0.3">
      <c r="E126" s="264"/>
      <c r="F126" s="264"/>
      <c r="G126" s="264"/>
      <c r="H126" s="264"/>
      <c r="I126" s="264"/>
      <c r="J126" s="264"/>
      <c r="K126" s="264"/>
      <c r="L126" s="264"/>
      <c r="M126" s="264"/>
      <c r="N126" s="264"/>
      <c r="O126" s="264"/>
      <c r="P126" s="264"/>
      <c r="Q126" s="264"/>
      <c r="R126" s="264"/>
      <c r="S126" s="264"/>
      <c r="T126" s="264"/>
      <c r="U126" s="264"/>
      <c r="V126" s="264"/>
      <c r="W126" s="264"/>
      <c r="X126" s="521"/>
      <c r="Y126" s="521"/>
      <c r="Z126" s="521"/>
      <c r="AA126" s="521"/>
      <c r="AB126" s="521"/>
      <c r="AC126" s="521"/>
      <c r="AD126" s="521"/>
      <c r="AE126" s="1720"/>
      <c r="AF126" s="264"/>
    </row>
    <row r="127" spans="1:33" x14ac:dyDescent="0.3">
      <c r="A127" s="263" t="s">
        <v>254</v>
      </c>
      <c r="E127" s="896">
        <v>1410899</v>
      </c>
      <c r="F127" s="2333">
        <v>680984</v>
      </c>
      <c r="G127" s="1724">
        <v>729915</v>
      </c>
      <c r="H127" s="2333">
        <v>891301</v>
      </c>
      <c r="I127" s="1723">
        <v>420890</v>
      </c>
      <c r="J127" s="1723">
        <v>54306</v>
      </c>
      <c r="K127" s="1723">
        <v>9537</v>
      </c>
      <c r="L127" s="1724">
        <v>34865</v>
      </c>
      <c r="M127" s="2333">
        <f t="shared" ref="M127:O131" si="71">P127+S127</f>
        <v>299202</v>
      </c>
      <c r="N127" s="1723">
        <f t="shared" si="71"/>
        <v>877927</v>
      </c>
      <c r="O127" s="1724">
        <f t="shared" si="71"/>
        <v>233770</v>
      </c>
      <c r="P127" s="2333">
        <v>153281</v>
      </c>
      <c r="Q127" s="1723">
        <v>425953</v>
      </c>
      <c r="R127" s="1723">
        <v>101750</v>
      </c>
      <c r="S127" s="2333">
        <v>145921</v>
      </c>
      <c r="T127" s="1723">
        <v>451974</v>
      </c>
      <c r="U127" s="1724">
        <v>132020</v>
      </c>
      <c r="V127" s="1726">
        <f t="shared" ref="V127:V131" si="72">F127/E127</f>
        <v>0.48265963757859348</v>
      </c>
      <c r="W127" s="1726">
        <f t="shared" ref="W127:W131" si="73">G127/E127</f>
        <v>0.51734036242140646</v>
      </c>
      <c r="X127" s="2334">
        <f t="shared" ref="X127:X131" si="74">H127/E127</f>
        <v>0.63172558772810816</v>
      </c>
      <c r="Y127" s="1727">
        <f t="shared" ref="Y127:Y131" si="75">I127/E127</f>
        <v>0.29831334489570127</v>
      </c>
      <c r="Z127" s="1727">
        <f t="shared" ref="Z127:Z131" si="76">J127/E127</f>
        <v>3.8490352604970308E-2</v>
      </c>
      <c r="AA127" s="1727">
        <f t="shared" ref="AA127:AA131" si="77">K127/E127</f>
        <v>6.7595199939896478E-3</v>
      </c>
      <c r="AB127" s="2335">
        <f t="shared" ref="AB127:AB131" si="78">L127/E127</f>
        <v>2.4711194777230688E-2</v>
      </c>
      <c r="AC127" s="2336">
        <f>M127/E127</f>
        <v>0.21206478989637104</v>
      </c>
      <c r="AD127" s="897">
        <f>N127/E127</f>
        <v>0.6222465250879049</v>
      </c>
      <c r="AE127" s="2337">
        <f>O127/E127</f>
        <v>0.16568868501572401</v>
      </c>
      <c r="AF127" s="896">
        <v>87070</v>
      </c>
      <c r="AG127" s="2338">
        <f>AF127/E127</f>
        <v>6.1712425907169827E-2</v>
      </c>
    </row>
    <row r="128" spans="1:33" x14ac:dyDescent="0.3">
      <c r="A128" s="263" t="s">
        <v>252</v>
      </c>
      <c r="E128" s="896">
        <v>1877288</v>
      </c>
      <c r="F128" s="2333">
        <v>927948</v>
      </c>
      <c r="G128" s="1724">
        <v>949340</v>
      </c>
      <c r="H128" s="2333">
        <v>1110668</v>
      </c>
      <c r="I128" s="1723">
        <v>612554</v>
      </c>
      <c r="J128" s="1723">
        <v>73932</v>
      </c>
      <c r="K128" s="1723">
        <v>12934</v>
      </c>
      <c r="L128" s="1724">
        <v>67200</v>
      </c>
      <c r="M128" s="2333">
        <f t="shared" si="71"/>
        <v>408266</v>
      </c>
      <c r="N128" s="1723">
        <f t="shared" si="71"/>
        <v>1186117</v>
      </c>
      <c r="O128" s="1724">
        <f t="shared" si="71"/>
        <v>282905</v>
      </c>
      <c r="P128" s="2333">
        <v>208193</v>
      </c>
      <c r="Q128" s="1723">
        <v>597078</v>
      </c>
      <c r="R128" s="1723">
        <v>122677</v>
      </c>
      <c r="S128" s="2333">
        <v>200073</v>
      </c>
      <c r="T128" s="1723">
        <v>589039</v>
      </c>
      <c r="U128" s="1724">
        <v>160228</v>
      </c>
      <c r="V128" s="1726">
        <f t="shared" si="72"/>
        <v>0.49430241923455537</v>
      </c>
      <c r="W128" s="1726">
        <f t="shared" si="73"/>
        <v>0.50569758076544458</v>
      </c>
      <c r="X128" s="2334">
        <f t="shared" si="74"/>
        <v>0.59163431503317554</v>
      </c>
      <c r="Y128" s="1727">
        <f t="shared" si="75"/>
        <v>0.32629729695177301</v>
      </c>
      <c r="Z128" s="1727">
        <f t="shared" si="76"/>
        <v>3.9382343039533627E-2</v>
      </c>
      <c r="AA128" s="1727">
        <f t="shared" si="77"/>
        <v>6.8897260303160731E-3</v>
      </c>
      <c r="AB128" s="2335">
        <f t="shared" si="78"/>
        <v>3.5796318945201799E-2</v>
      </c>
      <c r="AC128" s="2336">
        <f>M128/E128</f>
        <v>0.2174764873583595</v>
      </c>
      <c r="AD128" s="897">
        <f>N128/E128</f>
        <v>0.63182473866556432</v>
      </c>
      <c r="AE128" s="2337">
        <f>O128/E128</f>
        <v>0.15069877397607612</v>
      </c>
      <c r="AF128" s="896">
        <v>130543</v>
      </c>
      <c r="AG128" s="2338">
        <f>AF128/E128</f>
        <v>6.9538078334277956E-2</v>
      </c>
    </row>
    <row r="129" spans="1:33" x14ac:dyDescent="0.3">
      <c r="A129" s="263" t="s">
        <v>255</v>
      </c>
      <c r="E129" s="896">
        <v>3471896</v>
      </c>
      <c r="F129" s="2333">
        <v>1720851</v>
      </c>
      <c r="G129" s="1724">
        <v>1751045</v>
      </c>
      <c r="H129" s="2333">
        <v>2455047</v>
      </c>
      <c r="I129" s="1723">
        <v>436935</v>
      </c>
      <c r="J129" s="1723">
        <v>426084</v>
      </c>
      <c r="K129" s="1723">
        <v>26795</v>
      </c>
      <c r="L129" s="1724">
        <v>127035</v>
      </c>
      <c r="M129" s="2333">
        <f t="shared" si="71"/>
        <v>826455</v>
      </c>
      <c r="N129" s="1723">
        <f t="shared" si="71"/>
        <v>2202876</v>
      </c>
      <c r="O129" s="1724">
        <f t="shared" si="71"/>
        <v>442565</v>
      </c>
      <c r="P129" s="2333">
        <v>422756</v>
      </c>
      <c r="Q129" s="1723">
        <v>1097471</v>
      </c>
      <c r="R129" s="1723">
        <v>200624</v>
      </c>
      <c r="S129" s="2333">
        <v>403699</v>
      </c>
      <c r="T129" s="1723">
        <v>1105405</v>
      </c>
      <c r="U129" s="1724">
        <v>241941</v>
      </c>
      <c r="V129" s="1726">
        <f t="shared" si="72"/>
        <v>0.49565165546433421</v>
      </c>
      <c r="W129" s="1726">
        <f t="shared" si="73"/>
        <v>0.50434834453566579</v>
      </c>
      <c r="X129" s="2334">
        <f t="shared" si="74"/>
        <v>0.70711997133554694</v>
      </c>
      <c r="Y129" s="1727">
        <f t="shared" si="75"/>
        <v>0.12584910377499786</v>
      </c>
      <c r="Z129" s="1727">
        <f t="shared" si="76"/>
        <v>0.12272372213914241</v>
      </c>
      <c r="AA129" s="1727">
        <f t="shared" si="77"/>
        <v>7.7176850919497587E-3</v>
      </c>
      <c r="AB129" s="2335">
        <f t="shared" si="78"/>
        <v>3.658951765836304E-2</v>
      </c>
      <c r="AC129" s="2336">
        <f>M129/E129</f>
        <v>0.23804140446603239</v>
      </c>
      <c r="AD129" s="897">
        <f>N129/E129</f>
        <v>0.63448789940712513</v>
      </c>
      <c r="AE129" s="2337">
        <f>O129/E129</f>
        <v>0.1274706961268425</v>
      </c>
      <c r="AF129" s="896">
        <v>543872</v>
      </c>
      <c r="AG129" s="2338">
        <f>AF129/E129</f>
        <v>0.15664985356704234</v>
      </c>
    </row>
    <row r="130" spans="1:33" x14ac:dyDescent="0.3">
      <c r="A130" s="263" t="s">
        <v>253</v>
      </c>
      <c r="E130" s="896">
        <v>1177405</v>
      </c>
      <c r="F130" s="2333">
        <v>569968</v>
      </c>
      <c r="G130" s="1724">
        <v>607437</v>
      </c>
      <c r="H130" s="2333">
        <v>921257</v>
      </c>
      <c r="I130" s="1723">
        <v>200552</v>
      </c>
      <c r="J130" s="1723">
        <v>25612</v>
      </c>
      <c r="K130" s="1723">
        <v>5328</v>
      </c>
      <c r="L130" s="1724">
        <v>24656</v>
      </c>
      <c r="M130" s="2333">
        <f t="shared" si="71"/>
        <v>231338</v>
      </c>
      <c r="N130" s="1723">
        <f t="shared" si="71"/>
        <v>707098</v>
      </c>
      <c r="O130" s="1724">
        <f t="shared" si="71"/>
        <v>238969</v>
      </c>
      <c r="P130" s="2333">
        <v>118023</v>
      </c>
      <c r="Q130" s="1723">
        <v>346803</v>
      </c>
      <c r="R130" s="1723">
        <v>105142</v>
      </c>
      <c r="S130" s="2333">
        <v>113315</v>
      </c>
      <c r="T130" s="1723">
        <v>360295</v>
      </c>
      <c r="U130" s="1724">
        <v>133827</v>
      </c>
      <c r="V130" s="1726">
        <f t="shared" si="72"/>
        <v>0.48408831285751291</v>
      </c>
      <c r="W130" s="1726">
        <f t="shared" si="73"/>
        <v>0.51591168714248703</v>
      </c>
      <c r="X130" s="2334">
        <f t="shared" si="74"/>
        <v>0.78244699147701935</v>
      </c>
      <c r="Y130" s="1727">
        <f t="shared" si="75"/>
        <v>0.17033391229016354</v>
      </c>
      <c r="Z130" s="1727">
        <f t="shared" si="76"/>
        <v>2.175292274111287E-2</v>
      </c>
      <c r="AA130" s="1727">
        <f t="shared" si="77"/>
        <v>4.5252058552494685E-3</v>
      </c>
      <c r="AB130" s="2335">
        <f t="shared" si="78"/>
        <v>2.0940967636454744E-2</v>
      </c>
      <c r="AC130" s="2336">
        <f>M130/E130</f>
        <v>0.19648124477134035</v>
      </c>
      <c r="AD130" s="897">
        <f>N130/E130</f>
        <v>0.60055630815225003</v>
      </c>
      <c r="AE130" s="2337">
        <f>O130/E130</f>
        <v>0.20296244707640956</v>
      </c>
      <c r="AF130" s="896">
        <v>45897</v>
      </c>
      <c r="AG130" s="2338">
        <f>AF130/E130</f>
        <v>3.8981488952399557E-2</v>
      </c>
    </row>
    <row r="131" spans="1:33" x14ac:dyDescent="0.3">
      <c r="A131" s="263" t="s">
        <v>256</v>
      </c>
      <c r="E131" s="896">
        <v>580197</v>
      </c>
      <c r="F131" s="2333">
        <v>290897</v>
      </c>
      <c r="G131" s="1724">
        <v>289300</v>
      </c>
      <c r="H131" s="2333">
        <v>540397</v>
      </c>
      <c r="I131" s="1723">
        <v>20336</v>
      </c>
      <c r="J131" s="1723">
        <v>9112</v>
      </c>
      <c r="K131" s="1723">
        <v>1813</v>
      </c>
      <c r="L131" s="1724">
        <v>8539</v>
      </c>
      <c r="M131" s="2333">
        <f t="shared" si="71"/>
        <v>104531</v>
      </c>
      <c r="N131" s="1723">
        <f t="shared" si="71"/>
        <v>358474</v>
      </c>
      <c r="O131" s="1724">
        <f t="shared" si="71"/>
        <v>117192</v>
      </c>
      <c r="P131" s="2333">
        <v>53201</v>
      </c>
      <c r="Q131" s="1723">
        <v>184907</v>
      </c>
      <c r="R131" s="1723">
        <v>52789</v>
      </c>
      <c r="S131" s="2333">
        <v>51330</v>
      </c>
      <c r="T131" s="1723">
        <v>173567</v>
      </c>
      <c r="U131" s="1724">
        <v>64403</v>
      </c>
      <c r="V131" s="1726">
        <f t="shared" si="72"/>
        <v>0.50137625668522934</v>
      </c>
      <c r="W131" s="1726">
        <f t="shared" si="73"/>
        <v>0.49862374331477066</v>
      </c>
      <c r="X131" s="2334">
        <f t="shared" si="74"/>
        <v>0.93140260980322198</v>
      </c>
      <c r="Y131" s="1727">
        <f t="shared" si="75"/>
        <v>3.5050163996022038E-2</v>
      </c>
      <c r="Z131" s="1727">
        <f t="shared" si="76"/>
        <v>1.5705010539523643E-2</v>
      </c>
      <c r="AA131" s="1727">
        <f t="shared" si="77"/>
        <v>3.1248007142401632E-3</v>
      </c>
      <c r="AB131" s="2335">
        <f t="shared" si="78"/>
        <v>1.4717414946992143E-2</v>
      </c>
      <c r="AC131" s="2336">
        <f>M131/E131</f>
        <v>0.18016466820752261</v>
      </c>
      <c r="AD131" s="897">
        <f>N131/E131</f>
        <v>0.61784876516079879</v>
      </c>
      <c r="AE131" s="2337">
        <f>O131/E131</f>
        <v>0.20198656663167855</v>
      </c>
      <c r="AF131" s="896">
        <v>13492</v>
      </c>
      <c r="AG131" s="2338">
        <f>AF131/E131</f>
        <v>2.3254170566204237E-2</v>
      </c>
    </row>
    <row r="133" spans="1:33" ht="16.8" x14ac:dyDescent="0.4">
      <c r="A133" s="1728" t="s">
        <v>1122</v>
      </c>
      <c r="B133" s="1728"/>
      <c r="C133" s="1728"/>
      <c r="D133" s="1728"/>
      <c r="E133" s="1730"/>
    </row>
    <row r="134" spans="1:33" ht="16.8" x14ac:dyDescent="0.3">
      <c r="A134" s="2702" t="s">
        <v>1121</v>
      </c>
      <c r="B134" s="2702"/>
      <c r="C134" s="2702"/>
      <c r="D134" s="2702"/>
      <c r="E134" s="2702"/>
    </row>
    <row r="135" spans="1:33" ht="16.8" x14ac:dyDescent="0.4">
      <c r="A135" s="1729" t="s">
        <v>967</v>
      </c>
      <c r="B135" s="1731"/>
      <c r="C135" s="1731"/>
      <c r="D135" s="1731"/>
      <c r="E135" s="1731"/>
    </row>
    <row r="136" spans="1:33" ht="16.8" x14ac:dyDescent="0.4">
      <c r="A136" s="1729" t="s">
        <v>970</v>
      </c>
    </row>
    <row r="137" spans="1:33" ht="16.8" x14ac:dyDescent="0.4">
      <c r="A137" s="1729"/>
    </row>
    <row r="138" spans="1:33" x14ac:dyDescent="0.3">
      <c r="A138" s="359" t="s">
        <v>248</v>
      </c>
      <c r="B138" s="359"/>
    </row>
    <row r="139" spans="1:33" x14ac:dyDescent="0.3">
      <c r="A139" s="360" t="s">
        <v>249</v>
      </c>
      <c r="B139" s="361" t="s">
        <v>250</v>
      </c>
    </row>
  </sheetData>
  <autoFilter ref="A4:D125"/>
  <sortState ref="A6:AG125">
    <sortCondition ref="A6:A125"/>
  </sortState>
  <mergeCells count="9">
    <mergeCell ref="S3:U3"/>
    <mergeCell ref="V3:W3"/>
    <mergeCell ref="X3:AB3"/>
    <mergeCell ref="AC3:AE3"/>
    <mergeCell ref="A134:E134"/>
    <mergeCell ref="F3:G3"/>
    <mergeCell ref="H3:L3"/>
    <mergeCell ref="M3:O3"/>
    <mergeCell ref="P3:R3"/>
  </mergeCells>
  <hyperlinks>
    <hyperlink ref="B139" r:id="rId1"/>
  </hyperlinks>
  <pageMargins left="0.7" right="0.7" top="0.75" bottom="0.75" header="0.3" footer="0.3"/>
  <pageSetup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J133"/>
  <sheetViews>
    <sheetView workbookViewId="0">
      <pane xSplit="3" ySplit="6" topLeftCell="D7" activePane="bottomRight" state="frozen"/>
      <selection pane="topRight" activeCell="E1" sqref="E1"/>
      <selection pane="bottomLeft" activeCell="A7" sqref="A7"/>
      <selection pane="bottomRight" activeCell="E121" sqref="E121"/>
    </sheetView>
  </sheetViews>
  <sheetFormatPr defaultColWidth="9" defaultRowHeight="15.6" x14ac:dyDescent="0.3"/>
  <cols>
    <col min="1" max="1" width="6.09765625" style="263" bestFit="1" customWidth="1"/>
    <col min="2" max="2" width="26.296875" style="638" customWidth="1"/>
    <col min="3" max="3" width="10.296875" style="638" customWidth="1"/>
    <col min="4" max="15" width="8.59765625" style="263" customWidth="1"/>
    <col min="16" max="19" width="9.796875" style="263" customWidth="1"/>
    <col min="20" max="20" width="16.09765625" style="263" customWidth="1"/>
    <col min="21" max="16384" width="9" style="263"/>
  </cols>
  <sheetData>
    <row r="1" spans="1:36" x14ac:dyDescent="0.3">
      <c r="A1" s="64" t="s">
        <v>1080</v>
      </c>
      <c r="B1" s="263"/>
      <c r="C1" s="263"/>
    </row>
    <row r="3" spans="1:36" x14ac:dyDescent="0.3">
      <c r="B3" s="263"/>
      <c r="C3" s="263"/>
    </row>
    <row r="4" spans="1:36" ht="15.75" customHeight="1" x14ac:dyDescent="0.3">
      <c r="D4" s="2783" t="s">
        <v>498</v>
      </c>
      <c r="E4" s="2785"/>
      <c r="F4" s="2785"/>
      <c r="G4" s="2786"/>
      <c r="H4" s="2783" t="s">
        <v>514</v>
      </c>
      <c r="I4" s="2785"/>
      <c r="J4" s="2785"/>
      <c r="K4" s="2786"/>
      <c r="L4" s="2783" t="s">
        <v>515</v>
      </c>
      <c r="M4" s="2785"/>
      <c r="N4" s="2785"/>
      <c r="O4" s="2786"/>
      <c r="P4" s="2787" t="s">
        <v>568</v>
      </c>
      <c r="Q4" s="2790" t="s">
        <v>679</v>
      </c>
      <c r="R4" s="2791"/>
      <c r="S4" s="2792"/>
      <c r="T4" s="2789" t="s">
        <v>569</v>
      </c>
      <c r="U4" s="2783" t="s">
        <v>516</v>
      </c>
      <c r="V4" s="2784"/>
      <c r="W4" s="2785"/>
      <c r="X4" s="2786"/>
      <c r="Y4" s="2782" t="s">
        <v>1017</v>
      </c>
      <c r="Z4" s="2782"/>
      <c r="AA4" s="2782"/>
      <c r="AB4" s="2782" t="s">
        <v>1018</v>
      </c>
      <c r="AC4" s="2782"/>
      <c r="AD4" s="2782"/>
      <c r="AE4" s="2782" t="s">
        <v>1019</v>
      </c>
      <c r="AF4" s="2782"/>
      <c r="AG4" s="2782"/>
      <c r="AH4" s="2782" t="s">
        <v>1020</v>
      </c>
      <c r="AI4" s="2782"/>
      <c r="AJ4" s="2782"/>
    </row>
    <row r="5" spans="1:36" x14ac:dyDescent="0.3">
      <c r="A5" s="639" t="s">
        <v>4</v>
      </c>
      <c r="B5" s="640" t="s">
        <v>506</v>
      </c>
      <c r="C5" s="640" t="s">
        <v>251</v>
      </c>
      <c r="D5" s="623" t="s">
        <v>676</v>
      </c>
      <c r="E5" s="624" t="s">
        <v>677</v>
      </c>
      <c r="F5" s="624" t="s">
        <v>646</v>
      </c>
      <c r="G5" s="625" t="s">
        <v>496</v>
      </c>
      <c r="H5" s="623" t="s">
        <v>676</v>
      </c>
      <c r="I5" s="624" t="s">
        <v>677</v>
      </c>
      <c r="J5" s="624" t="s">
        <v>646</v>
      </c>
      <c r="K5" s="343" t="s">
        <v>496</v>
      </c>
      <c r="L5" s="623" t="s">
        <v>676</v>
      </c>
      <c r="M5" s="624" t="s">
        <v>677</v>
      </c>
      <c r="N5" s="624" t="s">
        <v>646</v>
      </c>
      <c r="O5" s="343" t="s">
        <v>496</v>
      </c>
      <c r="P5" s="2788"/>
      <c r="Q5" s="818" t="s">
        <v>676</v>
      </c>
      <c r="R5" s="818" t="s">
        <v>677</v>
      </c>
      <c r="S5" s="818" t="s">
        <v>646</v>
      </c>
      <c r="T5" s="2789"/>
      <c r="U5" s="626" t="s">
        <v>676</v>
      </c>
      <c r="V5" s="627" t="s">
        <v>677</v>
      </c>
      <c r="W5" s="628" t="s">
        <v>646</v>
      </c>
      <c r="X5" s="629" t="s">
        <v>269</v>
      </c>
      <c r="Y5" s="263" t="s">
        <v>1016</v>
      </c>
      <c r="Z5" s="263" t="s">
        <v>773</v>
      </c>
      <c r="AA5" s="263" t="s">
        <v>774</v>
      </c>
      <c r="AB5" s="263" t="s">
        <v>1016</v>
      </c>
      <c r="AC5" s="263" t="s">
        <v>773</v>
      </c>
      <c r="AD5" s="263" t="s">
        <v>774</v>
      </c>
      <c r="AE5" s="263" t="s">
        <v>1016</v>
      </c>
      <c r="AF5" s="263" t="s">
        <v>773</v>
      </c>
      <c r="AG5" s="263" t="s">
        <v>774</v>
      </c>
      <c r="AH5" s="263" t="s">
        <v>1016</v>
      </c>
      <c r="AI5" s="263" t="s">
        <v>773</v>
      </c>
      <c r="AJ5" s="263" t="s">
        <v>774</v>
      </c>
    </row>
    <row r="6" spans="1:36" x14ac:dyDescent="0.3">
      <c r="A6" s="641" t="s">
        <v>8</v>
      </c>
      <c r="B6" s="642" t="s">
        <v>9</v>
      </c>
      <c r="C6" s="642"/>
      <c r="D6" s="660">
        <f>SUM(D7:D126)</f>
        <v>5819</v>
      </c>
      <c r="E6" s="661">
        <f t="shared" ref="E6:J6" si="0">SUM(E7:E126)</f>
        <v>2933</v>
      </c>
      <c r="F6" s="661">
        <f t="shared" si="0"/>
        <v>338</v>
      </c>
      <c r="G6" s="662">
        <f t="shared" ref="G6:G37" si="1">SUM(D6:F6)</f>
        <v>9090</v>
      </c>
      <c r="H6" s="661">
        <f t="shared" si="0"/>
        <v>1284</v>
      </c>
      <c r="I6" s="661">
        <f t="shared" si="0"/>
        <v>524</v>
      </c>
      <c r="J6" s="661">
        <f t="shared" si="0"/>
        <v>102</v>
      </c>
      <c r="K6" s="662">
        <f t="shared" ref="K6:K37" si="2">SUM(H6:J6)</f>
        <v>1910</v>
      </c>
      <c r="L6" s="663">
        <f>SUM(L7:L126)</f>
        <v>47</v>
      </c>
      <c r="M6" s="664">
        <f>SUM(M7:M126)</f>
        <v>12</v>
      </c>
      <c r="N6" s="664">
        <f>SUM(N7:N126)</f>
        <v>1</v>
      </c>
      <c r="O6" s="665">
        <f t="shared" ref="O6:O37" si="3">SUM(L6:N6)</f>
        <v>60</v>
      </c>
      <c r="P6" s="666">
        <f t="shared" ref="P6:P37" si="4">G6+K6+O6</f>
        <v>11060</v>
      </c>
      <c r="Q6" s="666">
        <f>D6+H6</f>
        <v>7103</v>
      </c>
      <c r="R6" s="666">
        <f>E6+I6</f>
        <v>3457</v>
      </c>
      <c r="S6" s="666">
        <f>F6+J6</f>
        <v>440</v>
      </c>
      <c r="T6" s="666">
        <f>G6+K6</f>
        <v>11000</v>
      </c>
      <c r="U6" s="658">
        <f t="shared" ref="U6:U37" si="5">IF((D6+H6)=0,"NA",(H6/(D6+H6)))</f>
        <v>0.18076868928621709</v>
      </c>
      <c r="V6" s="658">
        <f t="shared" ref="V6:V37" si="6">IF((E6+I6)=0,"NA",(I6/(E6+I6)))</f>
        <v>0.15157651142609199</v>
      </c>
      <c r="W6" s="658">
        <f t="shared" ref="W6:W37" si="7">IF((F6+J6)=0,"NA",(J6/(F6+J6)))</f>
        <v>0.23181818181818181</v>
      </c>
      <c r="X6" s="659">
        <f t="shared" ref="X6:X37" si="8">IF((G6+K6)=0,"NA",(K6/(G6+K6)))</f>
        <v>0.17363636363636364</v>
      </c>
      <c r="Y6" s="2046">
        <f>SUM(Y7:Y126)</f>
        <v>1804</v>
      </c>
      <c r="Z6" s="2046">
        <f t="shared" ref="Z6:AD6" si="9">SUM(Z7:Z126)</f>
        <v>4456</v>
      </c>
      <c r="AA6" s="2046">
        <f t="shared" si="9"/>
        <v>2830</v>
      </c>
      <c r="AB6" s="2046">
        <f t="shared" si="9"/>
        <v>370</v>
      </c>
      <c r="AC6" s="2046">
        <f t="shared" si="9"/>
        <v>903</v>
      </c>
      <c r="AD6" s="2046">
        <f t="shared" si="9"/>
        <v>637</v>
      </c>
      <c r="AE6" s="2046">
        <f>Y6+AB6</f>
        <v>2174</v>
      </c>
      <c r="AF6" s="2046">
        <f>Z6+AC6</f>
        <v>5359</v>
      </c>
      <c r="AG6" s="2046">
        <f>AA6+AD6</f>
        <v>3467</v>
      </c>
      <c r="AH6" s="2043">
        <f>AB6/AE6</f>
        <v>0.17019319227230911</v>
      </c>
      <c r="AI6" s="2043">
        <f>AC6/AF6</f>
        <v>0.16850158611681285</v>
      </c>
      <c r="AJ6" s="2043">
        <f>AD6/AG6</f>
        <v>0.18373233342947792</v>
      </c>
    </row>
    <row r="7" spans="1:36" x14ac:dyDescent="0.3">
      <c r="A7" s="433" t="s">
        <v>10</v>
      </c>
      <c r="B7" s="371" t="s">
        <v>11</v>
      </c>
      <c r="C7" s="395" t="s">
        <v>252</v>
      </c>
      <c r="D7" s="643">
        <v>40</v>
      </c>
      <c r="E7" s="644">
        <v>18</v>
      </c>
      <c r="F7" s="644"/>
      <c r="G7" s="305">
        <f t="shared" si="1"/>
        <v>58</v>
      </c>
      <c r="H7" s="643">
        <v>4</v>
      </c>
      <c r="I7" s="644">
        <v>2</v>
      </c>
      <c r="J7" s="644"/>
      <c r="K7" s="305">
        <f t="shared" si="2"/>
        <v>6</v>
      </c>
      <c r="L7" s="643"/>
      <c r="M7" s="644"/>
      <c r="N7" s="644"/>
      <c r="O7" s="305">
        <f t="shared" si="3"/>
        <v>0</v>
      </c>
      <c r="P7" s="645">
        <f t="shared" si="4"/>
        <v>64</v>
      </c>
      <c r="Q7" s="819">
        <f t="shared" ref="Q7:Q70" si="10">D7+H7</f>
        <v>44</v>
      </c>
      <c r="R7" s="819">
        <f t="shared" ref="R7:R70" si="11">E7+I7</f>
        <v>20</v>
      </c>
      <c r="S7" s="819">
        <f t="shared" ref="S7:S70" si="12">F7+J7</f>
        <v>0</v>
      </c>
      <c r="T7" s="645">
        <f t="shared" ref="T7:T38" si="13">G7+K7</f>
        <v>64</v>
      </c>
      <c r="U7" s="646">
        <f t="shared" si="5"/>
        <v>9.0909090909090912E-2</v>
      </c>
      <c r="V7" s="647">
        <f t="shared" si="6"/>
        <v>0.1</v>
      </c>
      <c r="W7" s="648" t="str">
        <f t="shared" si="7"/>
        <v>NA</v>
      </c>
      <c r="X7" s="649">
        <f t="shared" si="8"/>
        <v>9.375E-2</v>
      </c>
      <c r="Y7" s="708">
        <v>13</v>
      </c>
      <c r="Z7" s="708">
        <v>31</v>
      </c>
      <c r="AA7" s="708">
        <v>14</v>
      </c>
      <c r="AB7" s="708">
        <v>1</v>
      </c>
      <c r="AC7" s="708">
        <v>4</v>
      </c>
      <c r="AD7" s="708">
        <v>1</v>
      </c>
      <c r="AE7" s="708">
        <f t="shared" ref="AE7:AE70" si="14">Y7+AB7</f>
        <v>14</v>
      </c>
      <c r="AF7" s="708">
        <f t="shared" ref="AF7:AF70" si="15">Z7+AC7</f>
        <v>35</v>
      </c>
      <c r="AG7" s="708">
        <f t="shared" ref="AG7:AG70" si="16">AA7+AD7</f>
        <v>15</v>
      </c>
      <c r="AH7" s="2031">
        <f t="shared" ref="AH7:AH70" si="17">AB7/AE7</f>
        <v>7.1428571428571425E-2</v>
      </c>
      <c r="AI7" s="2031">
        <f t="shared" ref="AI7:AI70" si="18">AC7/AF7</f>
        <v>0.11428571428571428</v>
      </c>
      <c r="AJ7" s="2031">
        <f t="shared" ref="AJ7:AJ70" si="19">AD7/AG7</f>
        <v>6.6666666666666666E-2</v>
      </c>
    </row>
    <row r="8" spans="1:36" x14ac:dyDescent="0.3">
      <c r="A8" s="433" t="s">
        <v>12</v>
      </c>
      <c r="B8" s="371" t="s">
        <v>13</v>
      </c>
      <c r="C8" s="395" t="s">
        <v>253</v>
      </c>
      <c r="D8" s="643">
        <v>80</v>
      </c>
      <c r="E8" s="644">
        <v>46</v>
      </c>
      <c r="F8" s="644">
        <v>14</v>
      </c>
      <c r="G8" s="305">
        <f t="shared" si="1"/>
        <v>140</v>
      </c>
      <c r="H8" s="643">
        <v>11</v>
      </c>
      <c r="I8" s="644">
        <v>4</v>
      </c>
      <c r="J8" s="644">
        <v>4</v>
      </c>
      <c r="K8" s="305">
        <f t="shared" si="2"/>
        <v>19</v>
      </c>
      <c r="L8" s="643"/>
      <c r="M8" s="644"/>
      <c r="N8" s="644"/>
      <c r="O8" s="305">
        <f t="shared" si="3"/>
        <v>0</v>
      </c>
      <c r="P8" s="645">
        <f t="shared" si="4"/>
        <v>159</v>
      </c>
      <c r="Q8" s="819">
        <f t="shared" si="10"/>
        <v>91</v>
      </c>
      <c r="R8" s="819">
        <f t="shared" si="11"/>
        <v>50</v>
      </c>
      <c r="S8" s="819">
        <f t="shared" si="12"/>
        <v>18</v>
      </c>
      <c r="T8" s="645">
        <f t="shared" si="13"/>
        <v>159</v>
      </c>
      <c r="U8" s="646">
        <f t="shared" si="5"/>
        <v>0.12087912087912088</v>
      </c>
      <c r="V8" s="647">
        <f t="shared" si="6"/>
        <v>0.08</v>
      </c>
      <c r="W8" s="648">
        <f t="shared" si="7"/>
        <v>0.22222222222222221</v>
      </c>
      <c r="X8" s="649">
        <f t="shared" si="8"/>
        <v>0.11949685534591195</v>
      </c>
      <c r="Y8" s="708">
        <v>34</v>
      </c>
      <c r="Z8" s="708">
        <v>49</v>
      </c>
      <c r="AA8" s="708">
        <v>57</v>
      </c>
      <c r="AB8" s="708">
        <v>4</v>
      </c>
      <c r="AC8" s="708">
        <v>4</v>
      </c>
      <c r="AD8" s="708">
        <v>11</v>
      </c>
      <c r="AE8" s="708">
        <f t="shared" si="14"/>
        <v>38</v>
      </c>
      <c r="AF8" s="708">
        <f t="shared" si="15"/>
        <v>53</v>
      </c>
      <c r="AG8" s="708">
        <f t="shared" si="16"/>
        <v>68</v>
      </c>
      <c r="AH8" s="2031">
        <f t="shared" si="17"/>
        <v>0.10526315789473684</v>
      </c>
      <c r="AI8" s="2031">
        <f t="shared" si="18"/>
        <v>7.5471698113207544E-2</v>
      </c>
      <c r="AJ8" s="2031">
        <f t="shared" si="19"/>
        <v>0.16176470588235295</v>
      </c>
    </row>
    <row r="9" spans="1:36" x14ac:dyDescent="0.3">
      <c r="A9" s="433" t="s">
        <v>16</v>
      </c>
      <c r="B9" s="371" t="s">
        <v>285</v>
      </c>
      <c r="C9" s="395" t="s">
        <v>253</v>
      </c>
      <c r="D9" s="643">
        <v>27</v>
      </c>
      <c r="E9" s="644">
        <v>12</v>
      </c>
      <c r="F9" s="644"/>
      <c r="G9" s="305">
        <f t="shared" si="1"/>
        <v>39</v>
      </c>
      <c r="H9" s="643"/>
      <c r="I9" s="644"/>
      <c r="J9" s="644"/>
      <c r="K9" s="305">
        <f t="shared" si="2"/>
        <v>0</v>
      </c>
      <c r="L9" s="643"/>
      <c r="M9" s="644"/>
      <c r="N9" s="644"/>
      <c r="O9" s="305">
        <f t="shared" si="3"/>
        <v>0</v>
      </c>
      <c r="P9" s="645">
        <f t="shared" si="4"/>
        <v>39</v>
      </c>
      <c r="Q9" s="819">
        <f t="shared" si="10"/>
        <v>27</v>
      </c>
      <c r="R9" s="819">
        <f t="shared" si="11"/>
        <v>12</v>
      </c>
      <c r="S9" s="819">
        <f t="shared" si="12"/>
        <v>0</v>
      </c>
      <c r="T9" s="645">
        <f t="shared" si="13"/>
        <v>39</v>
      </c>
      <c r="U9" s="646">
        <f t="shared" si="5"/>
        <v>0</v>
      </c>
      <c r="V9" s="647">
        <f t="shared" si="6"/>
        <v>0</v>
      </c>
      <c r="W9" s="648" t="str">
        <f t="shared" si="7"/>
        <v>NA</v>
      </c>
      <c r="X9" s="649">
        <f t="shared" si="8"/>
        <v>0</v>
      </c>
      <c r="Y9" s="708">
        <v>5</v>
      </c>
      <c r="Z9" s="708">
        <v>25</v>
      </c>
      <c r="AA9" s="708">
        <v>9</v>
      </c>
      <c r="AB9" s="708"/>
      <c r="AC9" s="708"/>
      <c r="AD9" s="708"/>
      <c r="AE9" s="708">
        <f t="shared" si="14"/>
        <v>5</v>
      </c>
      <c r="AF9" s="708">
        <f t="shared" si="15"/>
        <v>25</v>
      </c>
      <c r="AG9" s="708">
        <f t="shared" si="16"/>
        <v>9</v>
      </c>
      <c r="AH9" s="2031">
        <f t="shared" si="17"/>
        <v>0</v>
      </c>
      <c r="AI9" s="2031">
        <f t="shared" si="18"/>
        <v>0</v>
      </c>
      <c r="AJ9" s="2031">
        <f t="shared" si="19"/>
        <v>0</v>
      </c>
    </row>
    <row r="10" spans="1:36" x14ac:dyDescent="0.3">
      <c r="A10" s="433" t="s">
        <v>18</v>
      </c>
      <c r="B10" s="371" t="s">
        <v>19</v>
      </c>
      <c r="C10" s="395" t="s">
        <v>254</v>
      </c>
      <c r="D10" s="643">
        <v>12</v>
      </c>
      <c r="E10" s="644">
        <v>7</v>
      </c>
      <c r="F10" s="644"/>
      <c r="G10" s="305">
        <f t="shared" si="1"/>
        <v>19</v>
      </c>
      <c r="H10" s="643"/>
      <c r="I10" s="644"/>
      <c r="J10" s="644">
        <v>1</v>
      </c>
      <c r="K10" s="305">
        <f t="shared" si="2"/>
        <v>1</v>
      </c>
      <c r="L10" s="643"/>
      <c r="M10" s="644"/>
      <c r="N10" s="644"/>
      <c r="O10" s="305">
        <f t="shared" si="3"/>
        <v>0</v>
      </c>
      <c r="P10" s="645">
        <f t="shared" si="4"/>
        <v>20</v>
      </c>
      <c r="Q10" s="819">
        <f t="shared" si="10"/>
        <v>12</v>
      </c>
      <c r="R10" s="819">
        <f t="shared" si="11"/>
        <v>7</v>
      </c>
      <c r="S10" s="819">
        <f t="shared" si="12"/>
        <v>1</v>
      </c>
      <c r="T10" s="645">
        <f t="shared" si="13"/>
        <v>20</v>
      </c>
      <c r="U10" s="646">
        <f t="shared" si="5"/>
        <v>0</v>
      </c>
      <c r="V10" s="647">
        <f t="shared" si="6"/>
        <v>0</v>
      </c>
      <c r="W10" s="648">
        <f t="shared" si="7"/>
        <v>1</v>
      </c>
      <c r="X10" s="649">
        <f t="shared" si="8"/>
        <v>0.05</v>
      </c>
      <c r="Y10" s="708">
        <v>5</v>
      </c>
      <c r="Z10" s="708">
        <v>9</v>
      </c>
      <c r="AA10" s="708">
        <v>5</v>
      </c>
      <c r="AB10" s="708"/>
      <c r="AC10" s="708"/>
      <c r="AD10" s="708">
        <v>1</v>
      </c>
      <c r="AE10" s="708">
        <f t="shared" si="14"/>
        <v>5</v>
      </c>
      <c r="AF10" s="708">
        <f t="shared" si="15"/>
        <v>9</v>
      </c>
      <c r="AG10" s="708">
        <f t="shared" si="16"/>
        <v>6</v>
      </c>
      <c r="AH10" s="2031">
        <f t="shared" si="17"/>
        <v>0</v>
      </c>
      <c r="AI10" s="2031">
        <f t="shared" si="18"/>
        <v>0</v>
      </c>
      <c r="AJ10" s="2031">
        <f t="shared" si="19"/>
        <v>0.16666666666666666</v>
      </c>
    </row>
    <row r="11" spans="1:36" x14ac:dyDescent="0.3">
      <c r="A11" s="433" t="s">
        <v>20</v>
      </c>
      <c r="B11" s="371" t="s">
        <v>21</v>
      </c>
      <c r="C11" s="395" t="s">
        <v>253</v>
      </c>
      <c r="D11" s="643">
        <v>32</v>
      </c>
      <c r="E11" s="644">
        <v>12</v>
      </c>
      <c r="F11" s="644"/>
      <c r="G11" s="305">
        <f t="shared" si="1"/>
        <v>44</v>
      </c>
      <c r="H11" s="643">
        <v>5</v>
      </c>
      <c r="I11" s="644"/>
      <c r="J11" s="644"/>
      <c r="K11" s="305">
        <f t="shared" si="2"/>
        <v>5</v>
      </c>
      <c r="L11" s="643"/>
      <c r="M11" s="644"/>
      <c r="N11" s="644"/>
      <c r="O11" s="305">
        <f t="shared" si="3"/>
        <v>0</v>
      </c>
      <c r="P11" s="645">
        <f t="shared" si="4"/>
        <v>49</v>
      </c>
      <c r="Q11" s="819">
        <f t="shared" si="10"/>
        <v>37</v>
      </c>
      <c r="R11" s="819">
        <f t="shared" si="11"/>
        <v>12</v>
      </c>
      <c r="S11" s="819">
        <f t="shared" si="12"/>
        <v>0</v>
      </c>
      <c r="T11" s="645">
        <f t="shared" si="13"/>
        <v>49</v>
      </c>
      <c r="U11" s="646">
        <f t="shared" si="5"/>
        <v>0.13513513513513514</v>
      </c>
      <c r="V11" s="647">
        <f t="shared" si="6"/>
        <v>0</v>
      </c>
      <c r="W11" s="648" t="str">
        <f t="shared" si="7"/>
        <v>NA</v>
      </c>
      <c r="X11" s="649">
        <f t="shared" si="8"/>
        <v>0.10204081632653061</v>
      </c>
      <c r="Y11" s="708">
        <v>8</v>
      </c>
      <c r="Z11" s="708">
        <v>23</v>
      </c>
      <c r="AA11" s="708">
        <v>13</v>
      </c>
      <c r="AB11" s="708"/>
      <c r="AC11" s="708">
        <v>3</v>
      </c>
      <c r="AD11" s="708">
        <v>2</v>
      </c>
      <c r="AE11" s="708">
        <f t="shared" si="14"/>
        <v>8</v>
      </c>
      <c r="AF11" s="708">
        <f t="shared" si="15"/>
        <v>26</v>
      </c>
      <c r="AG11" s="708">
        <f t="shared" si="16"/>
        <v>15</v>
      </c>
      <c r="AH11" s="2031">
        <f t="shared" si="17"/>
        <v>0</v>
      </c>
      <c r="AI11" s="2031">
        <f t="shared" si="18"/>
        <v>0.11538461538461539</v>
      </c>
      <c r="AJ11" s="2031">
        <f t="shared" si="19"/>
        <v>0.13333333333333333</v>
      </c>
    </row>
    <row r="12" spans="1:36" x14ac:dyDescent="0.3">
      <c r="A12" s="433" t="s">
        <v>22</v>
      </c>
      <c r="B12" s="371" t="s">
        <v>23</v>
      </c>
      <c r="C12" s="395" t="s">
        <v>253</v>
      </c>
      <c r="D12" s="643">
        <v>16</v>
      </c>
      <c r="E12" s="644">
        <v>7</v>
      </c>
      <c r="F12" s="644"/>
      <c r="G12" s="305">
        <f t="shared" si="1"/>
        <v>23</v>
      </c>
      <c r="H12" s="643">
        <v>2</v>
      </c>
      <c r="I12" s="644"/>
      <c r="J12" s="644"/>
      <c r="K12" s="305">
        <f t="shared" si="2"/>
        <v>2</v>
      </c>
      <c r="L12" s="643"/>
      <c r="M12" s="644"/>
      <c r="N12" s="644"/>
      <c r="O12" s="305">
        <f t="shared" si="3"/>
        <v>0</v>
      </c>
      <c r="P12" s="645">
        <f t="shared" si="4"/>
        <v>25</v>
      </c>
      <c r="Q12" s="819">
        <f t="shared" si="10"/>
        <v>18</v>
      </c>
      <c r="R12" s="819">
        <f t="shared" si="11"/>
        <v>7</v>
      </c>
      <c r="S12" s="819">
        <f t="shared" si="12"/>
        <v>0</v>
      </c>
      <c r="T12" s="645">
        <f t="shared" si="13"/>
        <v>25</v>
      </c>
      <c r="U12" s="646">
        <f t="shared" si="5"/>
        <v>0.1111111111111111</v>
      </c>
      <c r="V12" s="647">
        <f t="shared" si="6"/>
        <v>0</v>
      </c>
      <c r="W12" s="648" t="str">
        <f t="shared" si="7"/>
        <v>NA</v>
      </c>
      <c r="X12" s="649">
        <f t="shared" si="8"/>
        <v>0.08</v>
      </c>
      <c r="Y12" s="708">
        <v>4</v>
      </c>
      <c r="Z12" s="708">
        <v>13</v>
      </c>
      <c r="AA12" s="708">
        <v>6</v>
      </c>
      <c r="AB12" s="708"/>
      <c r="AC12" s="708">
        <v>1</v>
      </c>
      <c r="AD12" s="708">
        <v>1</v>
      </c>
      <c r="AE12" s="708">
        <f t="shared" si="14"/>
        <v>4</v>
      </c>
      <c r="AF12" s="708">
        <f t="shared" si="15"/>
        <v>14</v>
      </c>
      <c r="AG12" s="708">
        <f t="shared" si="16"/>
        <v>7</v>
      </c>
      <c r="AH12" s="2031">
        <f t="shared" si="17"/>
        <v>0</v>
      </c>
      <c r="AI12" s="2031">
        <f t="shared" si="18"/>
        <v>7.1428571428571425E-2</v>
      </c>
      <c r="AJ12" s="2031">
        <f t="shared" si="19"/>
        <v>0.14285714285714285</v>
      </c>
    </row>
    <row r="13" spans="1:36" x14ac:dyDescent="0.3">
      <c r="A13" s="433" t="s">
        <v>24</v>
      </c>
      <c r="B13" s="371" t="s">
        <v>25</v>
      </c>
      <c r="C13" s="395" t="s">
        <v>255</v>
      </c>
      <c r="D13" s="643">
        <v>102</v>
      </c>
      <c r="E13" s="644">
        <v>50</v>
      </c>
      <c r="F13" s="644">
        <v>3</v>
      </c>
      <c r="G13" s="305">
        <f t="shared" si="1"/>
        <v>155</v>
      </c>
      <c r="H13" s="643">
        <v>17</v>
      </c>
      <c r="I13" s="644">
        <v>9</v>
      </c>
      <c r="J13" s="644"/>
      <c r="K13" s="305">
        <f t="shared" si="2"/>
        <v>26</v>
      </c>
      <c r="L13" s="643"/>
      <c r="M13" s="644"/>
      <c r="N13" s="644"/>
      <c r="O13" s="305">
        <f t="shared" si="3"/>
        <v>0</v>
      </c>
      <c r="P13" s="645">
        <f t="shared" si="4"/>
        <v>181</v>
      </c>
      <c r="Q13" s="819">
        <f t="shared" si="10"/>
        <v>119</v>
      </c>
      <c r="R13" s="819">
        <f t="shared" si="11"/>
        <v>59</v>
      </c>
      <c r="S13" s="819">
        <f t="shared" si="12"/>
        <v>3</v>
      </c>
      <c r="T13" s="645">
        <f t="shared" si="13"/>
        <v>181</v>
      </c>
      <c r="U13" s="646">
        <f t="shared" si="5"/>
        <v>0.14285714285714285</v>
      </c>
      <c r="V13" s="647">
        <f t="shared" si="6"/>
        <v>0.15254237288135594</v>
      </c>
      <c r="W13" s="648">
        <f t="shared" si="7"/>
        <v>0</v>
      </c>
      <c r="X13" s="649">
        <f t="shared" si="8"/>
        <v>0.143646408839779</v>
      </c>
      <c r="Y13" s="708">
        <v>38</v>
      </c>
      <c r="Z13" s="708">
        <v>58</v>
      </c>
      <c r="AA13" s="708">
        <v>59</v>
      </c>
      <c r="AB13" s="708">
        <v>7</v>
      </c>
      <c r="AC13" s="708">
        <v>15</v>
      </c>
      <c r="AD13" s="708">
        <v>4</v>
      </c>
      <c r="AE13" s="708">
        <f t="shared" si="14"/>
        <v>45</v>
      </c>
      <c r="AF13" s="708">
        <f t="shared" si="15"/>
        <v>73</v>
      </c>
      <c r="AG13" s="708">
        <f t="shared" si="16"/>
        <v>63</v>
      </c>
      <c r="AH13" s="2031">
        <f t="shared" si="17"/>
        <v>0.15555555555555556</v>
      </c>
      <c r="AI13" s="2031">
        <f t="shared" si="18"/>
        <v>0.20547945205479451</v>
      </c>
      <c r="AJ13" s="2031">
        <f t="shared" si="19"/>
        <v>6.3492063492063489E-2</v>
      </c>
    </row>
    <row r="14" spans="1:36" x14ac:dyDescent="0.3">
      <c r="A14" s="433" t="s">
        <v>26</v>
      </c>
      <c r="B14" s="371" t="s">
        <v>286</v>
      </c>
      <c r="C14" s="395" t="s">
        <v>253</v>
      </c>
      <c r="D14" s="643">
        <v>104</v>
      </c>
      <c r="E14" s="644">
        <v>51</v>
      </c>
      <c r="F14" s="644">
        <v>1</v>
      </c>
      <c r="G14" s="305">
        <f t="shared" si="1"/>
        <v>156</v>
      </c>
      <c r="H14" s="643">
        <v>19</v>
      </c>
      <c r="I14" s="644">
        <v>7</v>
      </c>
      <c r="J14" s="644"/>
      <c r="K14" s="305">
        <f t="shared" si="2"/>
        <v>26</v>
      </c>
      <c r="L14" s="643"/>
      <c r="M14" s="644"/>
      <c r="N14" s="644"/>
      <c r="O14" s="305">
        <f t="shared" si="3"/>
        <v>0</v>
      </c>
      <c r="P14" s="645">
        <f t="shared" si="4"/>
        <v>182</v>
      </c>
      <c r="Q14" s="819">
        <f t="shared" si="10"/>
        <v>123</v>
      </c>
      <c r="R14" s="819">
        <f t="shared" si="11"/>
        <v>58</v>
      </c>
      <c r="S14" s="819">
        <f t="shared" si="12"/>
        <v>1</v>
      </c>
      <c r="T14" s="645">
        <f t="shared" si="13"/>
        <v>182</v>
      </c>
      <c r="U14" s="646">
        <f t="shared" si="5"/>
        <v>0.15447154471544716</v>
      </c>
      <c r="V14" s="647">
        <f t="shared" si="6"/>
        <v>0.1206896551724138</v>
      </c>
      <c r="W14" s="648">
        <f t="shared" si="7"/>
        <v>0</v>
      </c>
      <c r="X14" s="649">
        <f t="shared" si="8"/>
        <v>0.14285714285714285</v>
      </c>
      <c r="Y14" s="708">
        <v>34</v>
      </c>
      <c r="Z14" s="708">
        <v>69</v>
      </c>
      <c r="AA14" s="708">
        <v>53</v>
      </c>
      <c r="AB14" s="708">
        <v>6</v>
      </c>
      <c r="AC14" s="708">
        <v>14</v>
      </c>
      <c r="AD14" s="708">
        <v>6</v>
      </c>
      <c r="AE14" s="708">
        <f t="shared" si="14"/>
        <v>40</v>
      </c>
      <c r="AF14" s="708">
        <f t="shared" si="15"/>
        <v>83</v>
      </c>
      <c r="AG14" s="708">
        <f t="shared" si="16"/>
        <v>59</v>
      </c>
      <c r="AH14" s="2031">
        <f t="shared" si="17"/>
        <v>0.15</v>
      </c>
      <c r="AI14" s="2031">
        <f t="shared" si="18"/>
        <v>0.16867469879518071</v>
      </c>
      <c r="AJ14" s="2031">
        <f t="shared" si="19"/>
        <v>0.10169491525423729</v>
      </c>
    </row>
    <row r="15" spans="1:36" x14ac:dyDescent="0.3">
      <c r="A15" s="433" t="s">
        <v>27</v>
      </c>
      <c r="B15" s="371" t="s">
        <v>28</v>
      </c>
      <c r="C15" s="395" t="s">
        <v>253</v>
      </c>
      <c r="D15" s="643">
        <v>5</v>
      </c>
      <c r="E15" s="644">
        <v>4</v>
      </c>
      <c r="F15" s="644"/>
      <c r="G15" s="305">
        <f t="shared" si="1"/>
        <v>9</v>
      </c>
      <c r="H15" s="643"/>
      <c r="I15" s="644"/>
      <c r="J15" s="644"/>
      <c r="K15" s="305">
        <f t="shared" si="2"/>
        <v>0</v>
      </c>
      <c r="L15" s="643"/>
      <c r="M15" s="644"/>
      <c r="N15" s="644"/>
      <c r="O15" s="305">
        <f t="shared" si="3"/>
        <v>0</v>
      </c>
      <c r="P15" s="645">
        <f t="shared" si="4"/>
        <v>9</v>
      </c>
      <c r="Q15" s="819">
        <f t="shared" si="10"/>
        <v>5</v>
      </c>
      <c r="R15" s="819">
        <f t="shared" si="11"/>
        <v>4</v>
      </c>
      <c r="S15" s="819">
        <f t="shared" si="12"/>
        <v>0</v>
      </c>
      <c r="T15" s="645">
        <f t="shared" si="13"/>
        <v>9</v>
      </c>
      <c r="U15" s="646">
        <f t="shared" si="5"/>
        <v>0</v>
      </c>
      <c r="V15" s="647">
        <f t="shared" si="6"/>
        <v>0</v>
      </c>
      <c r="W15" s="648" t="str">
        <f t="shared" si="7"/>
        <v>NA</v>
      </c>
      <c r="X15" s="649">
        <f t="shared" si="8"/>
        <v>0</v>
      </c>
      <c r="Y15" s="708">
        <v>2</v>
      </c>
      <c r="Z15" s="708">
        <v>5</v>
      </c>
      <c r="AA15" s="708">
        <v>2</v>
      </c>
      <c r="AB15" s="708"/>
      <c r="AC15" s="708"/>
      <c r="AD15" s="708"/>
      <c r="AE15" s="708">
        <f t="shared" si="14"/>
        <v>2</v>
      </c>
      <c r="AF15" s="708">
        <f t="shared" si="15"/>
        <v>5</v>
      </c>
      <c r="AG15" s="708">
        <f t="shared" si="16"/>
        <v>2</v>
      </c>
      <c r="AH15" s="2031">
        <f t="shared" si="17"/>
        <v>0</v>
      </c>
      <c r="AI15" s="2031">
        <f t="shared" si="18"/>
        <v>0</v>
      </c>
      <c r="AJ15" s="2031">
        <f t="shared" si="19"/>
        <v>0</v>
      </c>
    </row>
    <row r="16" spans="1:36" x14ac:dyDescent="0.3">
      <c r="A16" s="433" t="s">
        <v>29</v>
      </c>
      <c r="B16" s="371" t="s">
        <v>736</v>
      </c>
      <c r="C16" s="395" t="s">
        <v>253</v>
      </c>
      <c r="D16" s="643">
        <v>74</v>
      </c>
      <c r="E16" s="644">
        <v>20</v>
      </c>
      <c r="F16" s="644">
        <v>9</v>
      </c>
      <c r="G16" s="305">
        <f t="shared" si="1"/>
        <v>103</v>
      </c>
      <c r="H16" s="643">
        <v>5</v>
      </c>
      <c r="I16" s="644">
        <v>2</v>
      </c>
      <c r="J16" s="644">
        <v>2</v>
      </c>
      <c r="K16" s="305">
        <f t="shared" si="2"/>
        <v>9</v>
      </c>
      <c r="L16" s="643"/>
      <c r="M16" s="644"/>
      <c r="N16" s="644"/>
      <c r="O16" s="305">
        <f t="shared" si="3"/>
        <v>0</v>
      </c>
      <c r="P16" s="645">
        <f t="shared" si="4"/>
        <v>112</v>
      </c>
      <c r="Q16" s="819">
        <f t="shared" si="10"/>
        <v>79</v>
      </c>
      <c r="R16" s="819">
        <f t="shared" si="11"/>
        <v>22</v>
      </c>
      <c r="S16" s="819">
        <f t="shared" si="12"/>
        <v>11</v>
      </c>
      <c r="T16" s="645">
        <f t="shared" si="13"/>
        <v>112</v>
      </c>
      <c r="U16" s="646">
        <f t="shared" si="5"/>
        <v>6.3291139240506333E-2</v>
      </c>
      <c r="V16" s="647">
        <f t="shared" si="6"/>
        <v>9.0909090909090912E-2</v>
      </c>
      <c r="W16" s="648">
        <f t="shared" si="7"/>
        <v>0.18181818181818182</v>
      </c>
      <c r="X16" s="649">
        <f t="shared" si="8"/>
        <v>8.0357142857142863E-2</v>
      </c>
      <c r="Y16" s="708">
        <v>11</v>
      </c>
      <c r="Z16" s="708">
        <v>51</v>
      </c>
      <c r="AA16" s="708">
        <v>41</v>
      </c>
      <c r="AB16" s="708">
        <v>2</v>
      </c>
      <c r="AC16" s="708">
        <v>2</v>
      </c>
      <c r="AD16" s="708">
        <v>5</v>
      </c>
      <c r="AE16" s="708">
        <f t="shared" si="14"/>
        <v>13</v>
      </c>
      <c r="AF16" s="708">
        <f t="shared" si="15"/>
        <v>53</v>
      </c>
      <c r="AG16" s="708">
        <f t="shared" si="16"/>
        <v>46</v>
      </c>
      <c r="AH16" s="2031">
        <f t="shared" si="17"/>
        <v>0.15384615384615385</v>
      </c>
      <c r="AI16" s="2031">
        <f t="shared" si="18"/>
        <v>3.7735849056603772E-2</v>
      </c>
      <c r="AJ16" s="2031">
        <f t="shared" si="19"/>
        <v>0.10869565217391304</v>
      </c>
    </row>
    <row r="17" spans="1:36" x14ac:dyDescent="0.3">
      <c r="A17" s="433" t="s">
        <v>30</v>
      </c>
      <c r="B17" s="371" t="s">
        <v>31</v>
      </c>
      <c r="C17" s="395" t="s">
        <v>256</v>
      </c>
      <c r="D17" s="643">
        <v>8</v>
      </c>
      <c r="E17" s="644">
        <v>3</v>
      </c>
      <c r="F17" s="644"/>
      <c r="G17" s="305">
        <f t="shared" si="1"/>
        <v>11</v>
      </c>
      <c r="H17" s="643"/>
      <c r="I17" s="644"/>
      <c r="J17" s="644"/>
      <c r="K17" s="305">
        <f t="shared" si="2"/>
        <v>0</v>
      </c>
      <c r="L17" s="643"/>
      <c r="M17" s="644"/>
      <c r="N17" s="644"/>
      <c r="O17" s="305">
        <f t="shared" si="3"/>
        <v>0</v>
      </c>
      <c r="P17" s="645">
        <f t="shared" si="4"/>
        <v>11</v>
      </c>
      <c r="Q17" s="819">
        <f t="shared" si="10"/>
        <v>8</v>
      </c>
      <c r="R17" s="819">
        <f t="shared" si="11"/>
        <v>3</v>
      </c>
      <c r="S17" s="819">
        <f t="shared" si="12"/>
        <v>0</v>
      </c>
      <c r="T17" s="645">
        <f t="shared" si="13"/>
        <v>11</v>
      </c>
      <c r="U17" s="646">
        <f t="shared" si="5"/>
        <v>0</v>
      </c>
      <c r="V17" s="647">
        <f t="shared" si="6"/>
        <v>0</v>
      </c>
      <c r="W17" s="648" t="str">
        <f t="shared" si="7"/>
        <v>NA</v>
      </c>
      <c r="X17" s="649">
        <f t="shared" si="8"/>
        <v>0</v>
      </c>
      <c r="Y17" s="708">
        <v>3</v>
      </c>
      <c r="Z17" s="708">
        <v>5</v>
      </c>
      <c r="AA17" s="708">
        <v>3</v>
      </c>
      <c r="AB17" s="708"/>
      <c r="AC17" s="708"/>
      <c r="AD17" s="708"/>
      <c r="AE17" s="708">
        <f t="shared" si="14"/>
        <v>3</v>
      </c>
      <c r="AF17" s="708">
        <f t="shared" si="15"/>
        <v>5</v>
      </c>
      <c r="AG17" s="708">
        <f t="shared" si="16"/>
        <v>3</v>
      </c>
      <c r="AH17" s="2031">
        <f t="shared" si="17"/>
        <v>0</v>
      </c>
      <c r="AI17" s="2031">
        <f t="shared" si="18"/>
        <v>0</v>
      </c>
      <c r="AJ17" s="2031">
        <f t="shared" si="19"/>
        <v>0</v>
      </c>
    </row>
    <row r="18" spans="1:36" x14ac:dyDescent="0.3">
      <c r="A18" s="433" t="s">
        <v>32</v>
      </c>
      <c r="B18" s="371" t="s">
        <v>33</v>
      </c>
      <c r="C18" s="395" t="s">
        <v>253</v>
      </c>
      <c r="D18" s="643">
        <v>17</v>
      </c>
      <c r="E18" s="644">
        <v>5</v>
      </c>
      <c r="F18" s="644"/>
      <c r="G18" s="305">
        <f t="shared" si="1"/>
        <v>22</v>
      </c>
      <c r="H18" s="643">
        <v>4</v>
      </c>
      <c r="I18" s="644">
        <v>2</v>
      </c>
      <c r="J18" s="644"/>
      <c r="K18" s="305">
        <f t="shared" si="2"/>
        <v>6</v>
      </c>
      <c r="L18" s="643"/>
      <c r="M18" s="644"/>
      <c r="N18" s="644"/>
      <c r="O18" s="305">
        <f t="shared" si="3"/>
        <v>0</v>
      </c>
      <c r="P18" s="645">
        <f t="shared" si="4"/>
        <v>28</v>
      </c>
      <c r="Q18" s="819">
        <f t="shared" si="10"/>
        <v>21</v>
      </c>
      <c r="R18" s="819">
        <f t="shared" si="11"/>
        <v>7</v>
      </c>
      <c r="S18" s="819">
        <f t="shared" si="12"/>
        <v>0</v>
      </c>
      <c r="T18" s="645">
        <f t="shared" si="13"/>
        <v>28</v>
      </c>
      <c r="U18" s="646">
        <f t="shared" si="5"/>
        <v>0.19047619047619047</v>
      </c>
      <c r="V18" s="647">
        <f t="shared" si="6"/>
        <v>0.2857142857142857</v>
      </c>
      <c r="W18" s="648" t="str">
        <f t="shared" si="7"/>
        <v>NA</v>
      </c>
      <c r="X18" s="649">
        <f t="shared" si="8"/>
        <v>0.21428571428571427</v>
      </c>
      <c r="Y18" s="708">
        <v>3</v>
      </c>
      <c r="Z18" s="708">
        <v>14</v>
      </c>
      <c r="AA18" s="708">
        <v>5</v>
      </c>
      <c r="AB18" s="708">
        <v>2</v>
      </c>
      <c r="AC18" s="708">
        <v>3</v>
      </c>
      <c r="AD18" s="708">
        <v>1</v>
      </c>
      <c r="AE18" s="708">
        <f t="shared" si="14"/>
        <v>5</v>
      </c>
      <c r="AF18" s="708">
        <f t="shared" si="15"/>
        <v>17</v>
      </c>
      <c r="AG18" s="708">
        <f t="shared" si="16"/>
        <v>6</v>
      </c>
      <c r="AH18" s="2031">
        <f t="shared" si="17"/>
        <v>0.4</v>
      </c>
      <c r="AI18" s="2031">
        <f t="shared" si="18"/>
        <v>0.17647058823529413</v>
      </c>
      <c r="AJ18" s="2031">
        <f t="shared" si="19"/>
        <v>0.16666666666666666</v>
      </c>
    </row>
    <row r="19" spans="1:36" x14ac:dyDescent="0.3">
      <c r="A19" s="433" t="s">
        <v>36</v>
      </c>
      <c r="B19" s="371" t="s">
        <v>37</v>
      </c>
      <c r="C19" s="395" t="s">
        <v>252</v>
      </c>
      <c r="D19" s="643">
        <v>19</v>
      </c>
      <c r="E19" s="644">
        <v>10</v>
      </c>
      <c r="F19" s="644"/>
      <c r="G19" s="305">
        <f t="shared" si="1"/>
        <v>29</v>
      </c>
      <c r="H19" s="643">
        <v>7</v>
      </c>
      <c r="I19" s="644">
        <v>1</v>
      </c>
      <c r="J19" s="644"/>
      <c r="K19" s="305">
        <f t="shared" si="2"/>
        <v>8</v>
      </c>
      <c r="L19" s="643"/>
      <c r="M19" s="644"/>
      <c r="N19" s="644"/>
      <c r="O19" s="305">
        <f t="shared" si="3"/>
        <v>0</v>
      </c>
      <c r="P19" s="645">
        <f t="shared" si="4"/>
        <v>37</v>
      </c>
      <c r="Q19" s="819">
        <f t="shared" si="10"/>
        <v>26</v>
      </c>
      <c r="R19" s="819">
        <f t="shared" si="11"/>
        <v>11</v>
      </c>
      <c r="S19" s="819">
        <f t="shared" si="12"/>
        <v>0</v>
      </c>
      <c r="T19" s="645">
        <f t="shared" si="13"/>
        <v>37</v>
      </c>
      <c r="U19" s="646">
        <f t="shared" si="5"/>
        <v>0.26923076923076922</v>
      </c>
      <c r="V19" s="647">
        <f t="shared" si="6"/>
        <v>9.0909090909090912E-2</v>
      </c>
      <c r="W19" s="648" t="str">
        <f t="shared" si="7"/>
        <v>NA</v>
      </c>
      <c r="X19" s="649">
        <f t="shared" si="8"/>
        <v>0.21621621621621623</v>
      </c>
      <c r="Y19" s="708">
        <v>7</v>
      </c>
      <c r="Z19" s="708">
        <v>17</v>
      </c>
      <c r="AA19" s="708">
        <v>5</v>
      </c>
      <c r="AB19" s="708">
        <v>1</v>
      </c>
      <c r="AC19" s="708">
        <v>4</v>
      </c>
      <c r="AD19" s="708">
        <v>3</v>
      </c>
      <c r="AE19" s="708">
        <f t="shared" si="14"/>
        <v>8</v>
      </c>
      <c r="AF19" s="708">
        <f t="shared" si="15"/>
        <v>21</v>
      </c>
      <c r="AG19" s="708">
        <f t="shared" si="16"/>
        <v>8</v>
      </c>
      <c r="AH19" s="2031">
        <f t="shared" si="17"/>
        <v>0.125</v>
      </c>
      <c r="AI19" s="2031">
        <f t="shared" si="18"/>
        <v>0.19047619047619047</v>
      </c>
      <c r="AJ19" s="2031">
        <f t="shared" si="19"/>
        <v>0.375</v>
      </c>
    </row>
    <row r="20" spans="1:36" x14ac:dyDescent="0.3">
      <c r="A20" s="433" t="s">
        <v>38</v>
      </c>
      <c r="B20" s="371" t="s">
        <v>39</v>
      </c>
      <c r="C20" s="395" t="s">
        <v>256</v>
      </c>
      <c r="D20" s="643">
        <v>39</v>
      </c>
      <c r="E20" s="644">
        <v>13</v>
      </c>
      <c r="F20" s="644"/>
      <c r="G20" s="305">
        <f t="shared" si="1"/>
        <v>52</v>
      </c>
      <c r="H20" s="643">
        <v>8</v>
      </c>
      <c r="I20" s="644">
        <v>2</v>
      </c>
      <c r="J20" s="644"/>
      <c r="K20" s="305">
        <f t="shared" si="2"/>
        <v>10</v>
      </c>
      <c r="L20" s="643"/>
      <c r="M20" s="644"/>
      <c r="N20" s="644"/>
      <c r="O20" s="305">
        <f t="shared" si="3"/>
        <v>0</v>
      </c>
      <c r="P20" s="645">
        <f t="shared" si="4"/>
        <v>62</v>
      </c>
      <c r="Q20" s="819">
        <f t="shared" si="10"/>
        <v>47</v>
      </c>
      <c r="R20" s="819">
        <f t="shared" si="11"/>
        <v>15</v>
      </c>
      <c r="S20" s="819">
        <f t="shared" si="12"/>
        <v>0</v>
      </c>
      <c r="T20" s="645">
        <f t="shared" si="13"/>
        <v>62</v>
      </c>
      <c r="U20" s="646">
        <f t="shared" si="5"/>
        <v>0.1702127659574468</v>
      </c>
      <c r="V20" s="647">
        <f t="shared" si="6"/>
        <v>0.13333333333333333</v>
      </c>
      <c r="W20" s="648" t="str">
        <f t="shared" si="7"/>
        <v>NA</v>
      </c>
      <c r="X20" s="649">
        <f t="shared" si="8"/>
        <v>0.16129032258064516</v>
      </c>
      <c r="Y20" s="708">
        <v>9</v>
      </c>
      <c r="Z20" s="708">
        <v>27</v>
      </c>
      <c r="AA20" s="708">
        <v>16</v>
      </c>
      <c r="AB20" s="708">
        <v>2</v>
      </c>
      <c r="AC20" s="708">
        <v>4</v>
      </c>
      <c r="AD20" s="708">
        <v>4</v>
      </c>
      <c r="AE20" s="708">
        <f t="shared" si="14"/>
        <v>11</v>
      </c>
      <c r="AF20" s="708">
        <f t="shared" si="15"/>
        <v>31</v>
      </c>
      <c r="AG20" s="708">
        <f t="shared" si="16"/>
        <v>20</v>
      </c>
      <c r="AH20" s="2031">
        <f t="shared" si="17"/>
        <v>0.18181818181818182</v>
      </c>
      <c r="AI20" s="2031">
        <f t="shared" si="18"/>
        <v>0.12903225806451613</v>
      </c>
      <c r="AJ20" s="2031">
        <f t="shared" si="19"/>
        <v>0.2</v>
      </c>
    </row>
    <row r="21" spans="1:36" x14ac:dyDescent="0.3">
      <c r="A21" s="433" t="s">
        <v>40</v>
      </c>
      <c r="B21" s="371" t="s">
        <v>41</v>
      </c>
      <c r="C21" s="395" t="s">
        <v>254</v>
      </c>
      <c r="D21" s="643">
        <v>14</v>
      </c>
      <c r="E21" s="644">
        <v>6</v>
      </c>
      <c r="F21" s="644"/>
      <c r="G21" s="305">
        <f t="shared" si="1"/>
        <v>20</v>
      </c>
      <c r="H21" s="643">
        <v>4</v>
      </c>
      <c r="I21" s="644">
        <v>1</v>
      </c>
      <c r="J21" s="644"/>
      <c r="K21" s="305">
        <f t="shared" si="2"/>
        <v>5</v>
      </c>
      <c r="L21" s="643"/>
      <c r="M21" s="644"/>
      <c r="N21" s="644"/>
      <c r="O21" s="305">
        <f t="shared" si="3"/>
        <v>0</v>
      </c>
      <c r="P21" s="645">
        <f t="shared" si="4"/>
        <v>25</v>
      </c>
      <c r="Q21" s="819">
        <f t="shared" si="10"/>
        <v>18</v>
      </c>
      <c r="R21" s="819">
        <f t="shared" si="11"/>
        <v>7</v>
      </c>
      <c r="S21" s="819">
        <f t="shared" si="12"/>
        <v>0</v>
      </c>
      <c r="T21" s="645">
        <f t="shared" si="13"/>
        <v>25</v>
      </c>
      <c r="U21" s="646">
        <f t="shared" si="5"/>
        <v>0.22222222222222221</v>
      </c>
      <c r="V21" s="647">
        <f t="shared" si="6"/>
        <v>0.14285714285714285</v>
      </c>
      <c r="W21" s="648" t="str">
        <f t="shared" si="7"/>
        <v>NA</v>
      </c>
      <c r="X21" s="649">
        <f t="shared" si="8"/>
        <v>0.2</v>
      </c>
      <c r="Y21" s="708">
        <v>4</v>
      </c>
      <c r="Z21" s="708">
        <v>11</v>
      </c>
      <c r="AA21" s="708">
        <v>5</v>
      </c>
      <c r="AB21" s="708">
        <v>1</v>
      </c>
      <c r="AC21" s="708">
        <v>1</v>
      </c>
      <c r="AD21" s="708">
        <v>3</v>
      </c>
      <c r="AE21" s="708">
        <f t="shared" si="14"/>
        <v>5</v>
      </c>
      <c r="AF21" s="708">
        <f t="shared" si="15"/>
        <v>12</v>
      </c>
      <c r="AG21" s="708">
        <f t="shared" si="16"/>
        <v>8</v>
      </c>
      <c r="AH21" s="2031">
        <f t="shared" si="17"/>
        <v>0.2</v>
      </c>
      <c r="AI21" s="2031">
        <f t="shared" si="18"/>
        <v>8.3333333333333329E-2</v>
      </c>
      <c r="AJ21" s="2031">
        <f t="shared" si="19"/>
        <v>0.375</v>
      </c>
    </row>
    <row r="22" spans="1:36" x14ac:dyDescent="0.3">
      <c r="A22" s="433" t="s">
        <v>42</v>
      </c>
      <c r="B22" s="371" t="s">
        <v>43</v>
      </c>
      <c r="C22" s="395" t="s">
        <v>253</v>
      </c>
      <c r="D22" s="643">
        <v>50</v>
      </c>
      <c r="E22" s="644">
        <v>25</v>
      </c>
      <c r="F22" s="644">
        <v>2</v>
      </c>
      <c r="G22" s="305">
        <f t="shared" si="1"/>
        <v>77</v>
      </c>
      <c r="H22" s="643">
        <v>6</v>
      </c>
      <c r="I22" s="644">
        <v>5</v>
      </c>
      <c r="J22" s="644"/>
      <c r="K22" s="305">
        <f t="shared" si="2"/>
        <v>11</v>
      </c>
      <c r="L22" s="643"/>
      <c r="M22" s="644"/>
      <c r="N22" s="644"/>
      <c r="O22" s="305">
        <f t="shared" si="3"/>
        <v>0</v>
      </c>
      <c r="P22" s="645">
        <f t="shared" si="4"/>
        <v>88</v>
      </c>
      <c r="Q22" s="819">
        <f t="shared" si="10"/>
        <v>56</v>
      </c>
      <c r="R22" s="819">
        <f t="shared" si="11"/>
        <v>30</v>
      </c>
      <c r="S22" s="819">
        <f t="shared" si="12"/>
        <v>2</v>
      </c>
      <c r="T22" s="645">
        <f t="shared" si="13"/>
        <v>88</v>
      </c>
      <c r="U22" s="646">
        <f t="shared" si="5"/>
        <v>0.10714285714285714</v>
      </c>
      <c r="V22" s="647">
        <f t="shared" si="6"/>
        <v>0.16666666666666666</v>
      </c>
      <c r="W22" s="648">
        <f t="shared" si="7"/>
        <v>0</v>
      </c>
      <c r="X22" s="649">
        <f t="shared" si="8"/>
        <v>0.125</v>
      </c>
      <c r="Y22" s="708">
        <v>12</v>
      </c>
      <c r="Z22" s="708">
        <v>40</v>
      </c>
      <c r="AA22" s="708">
        <v>25</v>
      </c>
      <c r="AB22" s="708">
        <v>4</v>
      </c>
      <c r="AC22" s="708">
        <v>3</v>
      </c>
      <c r="AD22" s="708">
        <v>4</v>
      </c>
      <c r="AE22" s="708">
        <f t="shared" si="14"/>
        <v>16</v>
      </c>
      <c r="AF22" s="708">
        <f t="shared" si="15"/>
        <v>43</v>
      </c>
      <c r="AG22" s="708">
        <f t="shared" si="16"/>
        <v>29</v>
      </c>
      <c r="AH22" s="2031">
        <f t="shared" si="17"/>
        <v>0.25</v>
      </c>
      <c r="AI22" s="2031">
        <f t="shared" si="18"/>
        <v>6.9767441860465115E-2</v>
      </c>
      <c r="AJ22" s="2031">
        <f t="shared" si="19"/>
        <v>0.13793103448275862</v>
      </c>
    </row>
    <row r="23" spans="1:36" x14ac:dyDescent="0.3">
      <c r="A23" s="433" t="s">
        <v>44</v>
      </c>
      <c r="B23" s="371" t="s">
        <v>45</v>
      </c>
      <c r="C23" s="395" t="s">
        <v>254</v>
      </c>
      <c r="D23" s="643">
        <v>24</v>
      </c>
      <c r="E23" s="644">
        <v>9</v>
      </c>
      <c r="F23" s="644"/>
      <c r="G23" s="305">
        <f t="shared" si="1"/>
        <v>33</v>
      </c>
      <c r="H23" s="643">
        <v>2</v>
      </c>
      <c r="I23" s="644"/>
      <c r="J23" s="644"/>
      <c r="K23" s="305">
        <f t="shared" si="2"/>
        <v>2</v>
      </c>
      <c r="L23" s="643"/>
      <c r="M23" s="644"/>
      <c r="N23" s="644"/>
      <c r="O23" s="305">
        <f t="shared" si="3"/>
        <v>0</v>
      </c>
      <c r="P23" s="645">
        <f t="shared" si="4"/>
        <v>35</v>
      </c>
      <c r="Q23" s="819">
        <f t="shared" si="10"/>
        <v>26</v>
      </c>
      <c r="R23" s="819">
        <f t="shared" si="11"/>
        <v>9</v>
      </c>
      <c r="S23" s="819">
        <f t="shared" si="12"/>
        <v>0</v>
      </c>
      <c r="T23" s="645">
        <f t="shared" si="13"/>
        <v>35</v>
      </c>
      <c r="U23" s="646">
        <f t="shared" si="5"/>
        <v>7.6923076923076927E-2</v>
      </c>
      <c r="V23" s="647">
        <f t="shared" si="6"/>
        <v>0</v>
      </c>
      <c r="W23" s="648" t="str">
        <f t="shared" si="7"/>
        <v>NA</v>
      </c>
      <c r="X23" s="649">
        <f t="shared" si="8"/>
        <v>5.7142857142857141E-2</v>
      </c>
      <c r="Y23" s="708">
        <v>4</v>
      </c>
      <c r="Z23" s="708">
        <v>21</v>
      </c>
      <c r="AA23" s="708">
        <v>8</v>
      </c>
      <c r="AB23" s="708"/>
      <c r="AC23" s="708">
        <v>1</v>
      </c>
      <c r="AD23" s="708">
        <v>1</v>
      </c>
      <c r="AE23" s="708">
        <f t="shared" si="14"/>
        <v>4</v>
      </c>
      <c r="AF23" s="708">
        <f t="shared" si="15"/>
        <v>22</v>
      </c>
      <c r="AG23" s="708">
        <f t="shared" si="16"/>
        <v>9</v>
      </c>
      <c r="AH23" s="2031">
        <f t="shared" si="17"/>
        <v>0</v>
      </c>
      <c r="AI23" s="2031">
        <f t="shared" si="18"/>
        <v>4.5454545454545456E-2</v>
      </c>
      <c r="AJ23" s="2031">
        <f t="shared" si="19"/>
        <v>0.1111111111111111</v>
      </c>
    </row>
    <row r="24" spans="1:36" x14ac:dyDescent="0.3">
      <c r="A24" s="433" t="s">
        <v>46</v>
      </c>
      <c r="B24" s="371" t="s">
        <v>47</v>
      </c>
      <c r="C24" s="395" t="s">
        <v>256</v>
      </c>
      <c r="D24" s="643">
        <v>27</v>
      </c>
      <c r="E24" s="644">
        <v>11</v>
      </c>
      <c r="F24" s="644"/>
      <c r="G24" s="305">
        <f t="shared" si="1"/>
        <v>38</v>
      </c>
      <c r="H24" s="643">
        <v>4</v>
      </c>
      <c r="I24" s="644">
        <v>1</v>
      </c>
      <c r="J24" s="644"/>
      <c r="K24" s="305">
        <f t="shared" si="2"/>
        <v>5</v>
      </c>
      <c r="L24" s="643"/>
      <c r="M24" s="644"/>
      <c r="N24" s="644"/>
      <c r="O24" s="305">
        <f t="shared" si="3"/>
        <v>0</v>
      </c>
      <c r="P24" s="645">
        <f t="shared" si="4"/>
        <v>43</v>
      </c>
      <c r="Q24" s="819">
        <f t="shared" si="10"/>
        <v>31</v>
      </c>
      <c r="R24" s="819">
        <f t="shared" si="11"/>
        <v>12</v>
      </c>
      <c r="S24" s="819">
        <f t="shared" si="12"/>
        <v>0</v>
      </c>
      <c r="T24" s="645">
        <f t="shared" si="13"/>
        <v>43</v>
      </c>
      <c r="U24" s="646">
        <f t="shared" si="5"/>
        <v>0.12903225806451613</v>
      </c>
      <c r="V24" s="647">
        <f t="shared" si="6"/>
        <v>8.3333333333333329E-2</v>
      </c>
      <c r="W24" s="648" t="str">
        <f t="shared" si="7"/>
        <v>NA</v>
      </c>
      <c r="X24" s="649">
        <f t="shared" si="8"/>
        <v>0.11627906976744186</v>
      </c>
      <c r="Y24" s="708">
        <v>7</v>
      </c>
      <c r="Z24" s="708">
        <v>22</v>
      </c>
      <c r="AA24" s="708">
        <v>9</v>
      </c>
      <c r="AB24" s="708">
        <v>1</v>
      </c>
      <c r="AC24" s="708">
        <v>1</v>
      </c>
      <c r="AD24" s="708">
        <v>3</v>
      </c>
      <c r="AE24" s="708">
        <f t="shared" si="14"/>
        <v>8</v>
      </c>
      <c r="AF24" s="708">
        <f t="shared" si="15"/>
        <v>23</v>
      </c>
      <c r="AG24" s="708">
        <f t="shared" si="16"/>
        <v>12</v>
      </c>
      <c r="AH24" s="2031">
        <f t="shared" si="17"/>
        <v>0.125</v>
      </c>
      <c r="AI24" s="2031">
        <f t="shared" si="18"/>
        <v>4.3478260869565216E-2</v>
      </c>
      <c r="AJ24" s="2031">
        <f t="shared" si="19"/>
        <v>0.25</v>
      </c>
    </row>
    <row r="25" spans="1:36" x14ac:dyDescent="0.3">
      <c r="A25" s="433" t="s">
        <v>48</v>
      </c>
      <c r="B25" s="371" t="s">
        <v>257</v>
      </c>
      <c r="C25" s="395" t="s">
        <v>254</v>
      </c>
      <c r="D25" s="643">
        <v>2</v>
      </c>
      <c r="E25" s="644">
        <v>6</v>
      </c>
      <c r="F25" s="644"/>
      <c r="G25" s="305">
        <f t="shared" si="1"/>
        <v>8</v>
      </c>
      <c r="H25" s="643">
        <v>9</v>
      </c>
      <c r="I25" s="644">
        <v>2</v>
      </c>
      <c r="J25" s="644"/>
      <c r="K25" s="305">
        <f t="shared" si="2"/>
        <v>11</v>
      </c>
      <c r="L25" s="643"/>
      <c r="M25" s="644"/>
      <c r="N25" s="644"/>
      <c r="O25" s="305">
        <f t="shared" si="3"/>
        <v>0</v>
      </c>
      <c r="P25" s="645">
        <f t="shared" si="4"/>
        <v>19</v>
      </c>
      <c r="Q25" s="819">
        <f t="shared" si="10"/>
        <v>11</v>
      </c>
      <c r="R25" s="819">
        <f t="shared" si="11"/>
        <v>8</v>
      </c>
      <c r="S25" s="819">
        <f t="shared" si="12"/>
        <v>0</v>
      </c>
      <c r="T25" s="645">
        <f t="shared" si="13"/>
        <v>19</v>
      </c>
      <c r="U25" s="646">
        <f t="shared" si="5"/>
        <v>0.81818181818181823</v>
      </c>
      <c r="V25" s="647">
        <f t="shared" si="6"/>
        <v>0.25</v>
      </c>
      <c r="W25" s="648" t="str">
        <f t="shared" si="7"/>
        <v>NA</v>
      </c>
      <c r="X25" s="649">
        <f t="shared" si="8"/>
        <v>0.57894736842105265</v>
      </c>
      <c r="Y25" s="708">
        <v>4</v>
      </c>
      <c r="Z25" s="708">
        <v>2</v>
      </c>
      <c r="AA25" s="708">
        <v>2</v>
      </c>
      <c r="AB25" s="708">
        <v>1</v>
      </c>
      <c r="AC25" s="708">
        <v>6</v>
      </c>
      <c r="AD25" s="708">
        <v>4</v>
      </c>
      <c r="AE25" s="708">
        <f t="shared" si="14"/>
        <v>5</v>
      </c>
      <c r="AF25" s="708">
        <f t="shared" si="15"/>
        <v>8</v>
      </c>
      <c r="AG25" s="708">
        <f t="shared" si="16"/>
        <v>6</v>
      </c>
      <c r="AH25" s="2031">
        <f t="shared" si="17"/>
        <v>0.2</v>
      </c>
      <c r="AI25" s="2031">
        <f t="shared" si="18"/>
        <v>0.75</v>
      </c>
      <c r="AJ25" s="2031">
        <f t="shared" si="19"/>
        <v>0.66666666666666663</v>
      </c>
    </row>
    <row r="26" spans="1:36" x14ac:dyDescent="0.3">
      <c r="A26" s="433" t="s">
        <v>50</v>
      </c>
      <c r="B26" s="371" t="s">
        <v>51</v>
      </c>
      <c r="C26" s="395" t="s">
        <v>253</v>
      </c>
      <c r="D26" s="643">
        <v>18</v>
      </c>
      <c r="E26" s="644">
        <v>7</v>
      </c>
      <c r="F26" s="644"/>
      <c r="G26" s="305">
        <f t="shared" si="1"/>
        <v>25</v>
      </c>
      <c r="H26" s="643"/>
      <c r="I26" s="644">
        <v>2</v>
      </c>
      <c r="J26" s="644"/>
      <c r="K26" s="305">
        <f t="shared" si="2"/>
        <v>2</v>
      </c>
      <c r="L26" s="643"/>
      <c r="M26" s="644"/>
      <c r="N26" s="644"/>
      <c r="O26" s="305">
        <f t="shared" si="3"/>
        <v>0</v>
      </c>
      <c r="P26" s="645">
        <f t="shared" si="4"/>
        <v>27</v>
      </c>
      <c r="Q26" s="819">
        <f t="shared" si="10"/>
        <v>18</v>
      </c>
      <c r="R26" s="819">
        <f t="shared" si="11"/>
        <v>9</v>
      </c>
      <c r="S26" s="819">
        <f t="shared" si="12"/>
        <v>0</v>
      </c>
      <c r="T26" s="645">
        <f t="shared" si="13"/>
        <v>27</v>
      </c>
      <c r="U26" s="646">
        <f t="shared" si="5"/>
        <v>0</v>
      </c>
      <c r="V26" s="647">
        <f t="shared" si="6"/>
        <v>0.22222222222222221</v>
      </c>
      <c r="W26" s="648" t="str">
        <f t="shared" si="7"/>
        <v>NA</v>
      </c>
      <c r="X26" s="649">
        <f t="shared" si="8"/>
        <v>7.407407407407407E-2</v>
      </c>
      <c r="Y26" s="708">
        <v>4</v>
      </c>
      <c r="Z26" s="708">
        <v>15</v>
      </c>
      <c r="AA26" s="708">
        <v>6</v>
      </c>
      <c r="AB26" s="708">
        <v>1</v>
      </c>
      <c r="AC26" s="708">
        <v>1</v>
      </c>
      <c r="AD26" s="708"/>
      <c r="AE26" s="708">
        <f t="shared" si="14"/>
        <v>5</v>
      </c>
      <c r="AF26" s="708">
        <f t="shared" si="15"/>
        <v>16</v>
      </c>
      <c r="AG26" s="708">
        <f t="shared" si="16"/>
        <v>6</v>
      </c>
      <c r="AH26" s="2031">
        <f t="shared" si="17"/>
        <v>0.2</v>
      </c>
      <c r="AI26" s="2031">
        <f t="shared" si="18"/>
        <v>6.25E-2</v>
      </c>
      <c r="AJ26" s="2031">
        <f t="shared" si="19"/>
        <v>0</v>
      </c>
    </row>
    <row r="27" spans="1:36" x14ac:dyDescent="0.3">
      <c r="A27" s="433" t="s">
        <v>56</v>
      </c>
      <c r="B27" s="371" t="s">
        <v>283</v>
      </c>
      <c r="C27" s="395" t="s">
        <v>254</v>
      </c>
      <c r="D27" s="643">
        <v>124</v>
      </c>
      <c r="E27" s="644">
        <v>84</v>
      </c>
      <c r="F27" s="644">
        <v>4</v>
      </c>
      <c r="G27" s="305">
        <f t="shared" si="1"/>
        <v>212</v>
      </c>
      <c r="H27" s="643">
        <v>24</v>
      </c>
      <c r="I27" s="644">
        <v>7</v>
      </c>
      <c r="J27" s="644">
        <v>1</v>
      </c>
      <c r="K27" s="305">
        <f t="shared" si="2"/>
        <v>32</v>
      </c>
      <c r="L27" s="643"/>
      <c r="M27" s="644"/>
      <c r="N27" s="644"/>
      <c r="O27" s="305">
        <f t="shared" si="3"/>
        <v>0</v>
      </c>
      <c r="P27" s="645">
        <f t="shared" si="4"/>
        <v>244</v>
      </c>
      <c r="Q27" s="819">
        <f t="shared" si="10"/>
        <v>148</v>
      </c>
      <c r="R27" s="819">
        <f t="shared" si="11"/>
        <v>91</v>
      </c>
      <c r="S27" s="819">
        <f t="shared" si="12"/>
        <v>5</v>
      </c>
      <c r="T27" s="645">
        <f t="shared" si="13"/>
        <v>244</v>
      </c>
      <c r="U27" s="646">
        <f t="shared" si="5"/>
        <v>0.16216216216216217</v>
      </c>
      <c r="V27" s="647">
        <f t="shared" si="6"/>
        <v>7.6923076923076927E-2</v>
      </c>
      <c r="W27" s="648">
        <f t="shared" si="7"/>
        <v>0.2</v>
      </c>
      <c r="X27" s="649">
        <f t="shared" si="8"/>
        <v>0.13114754098360656</v>
      </c>
      <c r="Y27" s="708">
        <v>31</v>
      </c>
      <c r="Z27" s="708">
        <v>123</v>
      </c>
      <c r="AA27" s="708">
        <v>58</v>
      </c>
      <c r="AB27" s="708">
        <v>2</v>
      </c>
      <c r="AC27" s="708">
        <v>17</v>
      </c>
      <c r="AD27" s="708">
        <v>13</v>
      </c>
      <c r="AE27" s="708">
        <f t="shared" si="14"/>
        <v>33</v>
      </c>
      <c r="AF27" s="708">
        <f t="shared" si="15"/>
        <v>140</v>
      </c>
      <c r="AG27" s="708">
        <f t="shared" si="16"/>
        <v>71</v>
      </c>
      <c r="AH27" s="2031">
        <f t="shared" si="17"/>
        <v>6.0606060606060608E-2</v>
      </c>
      <c r="AI27" s="2031">
        <f t="shared" si="18"/>
        <v>0.12142857142857143</v>
      </c>
      <c r="AJ27" s="2031">
        <f t="shared" si="19"/>
        <v>0.18309859154929578</v>
      </c>
    </row>
    <row r="28" spans="1:36" x14ac:dyDescent="0.3">
      <c r="A28" s="433" t="s">
        <v>58</v>
      </c>
      <c r="B28" s="371" t="s">
        <v>59</v>
      </c>
      <c r="C28" s="395" t="s">
        <v>255</v>
      </c>
      <c r="D28" s="643">
        <v>8</v>
      </c>
      <c r="E28" s="644">
        <v>7</v>
      </c>
      <c r="F28" s="644"/>
      <c r="G28" s="305">
        <f t="shared" si="1"/>
        <v>15</v>
      </c>
      <c r="H28" s="643">
        <v>4</v>
      </c>
      <c r="I28" s="644">
        <v>1</v>
      </c>
      <c r="J28" s="644"/>
      <c r="K28" s="305">
        <f t="shared" si="2"/>
        <v>5</v>
      </c>
      <c r="L28" s="643"/>
      <c r="M28" s="644"/>
      <c r="N28" s="644"/>
      <c r="O28" s="305">
        <f t="shared" si="3"/>
        <v>0</v>
      </c>
      <c r="P28" s="645">
        <f t="shared" si="4"/>
        <v>20</v>
      </c>
      <c r="Q28" s="819">
        <f t="shared" si="10"/>
        <v>12</v>
      </c>
      <c r="R28" s="819">
        <f t="shared" si="11"/>
        <v>8</v>
      </c>
      <c r="S28" s="819">
        <f t="shared" si="12"/>
        <v>0</v>
      </c>
      <c r="T28" s="645">
        <f t="shared" si="13"/>
        <v>20</v>
      </c>
      <c r="U28" s="646">
        <f t="shared" si="5"/>
        <v>0.33333333333333331</v>
      </c>
      <c r="V28" s="647">
        <f t="shared" si="6"/>
        <v>0.125</v>
      </c>
      <c r="W28" s="648" t="str">
        <f t="shared" si="7"/>
        <v>NA</v>
      </c>
      <c r="X28" s="649">
        <f t="shared" si="8"/>
        <v>0.25</v>
      </c>
      <c r="Y28" s="708">
        <v>5</v>
      </c>
      <c r="Z28" s="708">
        <v>7</v>
      </c>
      <c r="AA28" s="708">
        <v>3</v>
      </c>
      <c r="AB28" s="708"/>
      <c r="AC28" s="708">
        <v>3</v>
      </c>
      <c r="AD28" s="708">
        <v>2</v>
      </c>
      <c r="AE28" s="708">
        <f t="shared" si="14"/>
        <v>5</v>
      </c>
      <c r="AF28" s="708">
        <f t="shared" si="15"/>
        <v>10</v>
      </c>
      <c r="AG28" s="708">
        <f t="shared" si="16"/>
        <v>5</v>
      </c>
      <c r="AH28" s="2031">
        <f t="shared" si="17"/>
        <v>0</v>
      </c>
      <c r="AI28" s="2031">
        <f t="shared" si="18"/>
        <v>0.3</v>
      </c>
      <c r="AJ28" s="2031">
        <f t="shared" si="19"/>
        <v>0.4</v>
      </c>
    </row>
    <row r="29" spans="1:36" x14ac:dyDescent="0.3">
      <c r="A29" s="433" t="s">
        <v>60</v>
      </c>
      <c r="B29" s="371" t="s">
        <v>61</v>
      </c>
      <c r="C29" s="395" t="s">
        <v>253</v>
      </c>
      <c r="D29" s="643">
        <v>10</v>
      </c>
      <c r="E29" s="644">
        <v>6</v>
      </c>
      <c r="F29" s="644"/>
      <c r="G29" s="305">
        <f t="shared" si="1"/>
        <v>16</v>
      </c>
      <c r="H29" s="643">
        <v>1</v>
      </c>
      <c r="I29" s="644"/>
      <c r="J29" s="644"/>
      <c r="K29" s="305">
        <f t="shared" si="2"/>
        <v>1</v>
      </c>
      <c r="L29" s="643"/>
      <c r="M29" s="644"/>
      <c r="N29" s="644"/>
      <c r="O29" s="305">
        <f t="shared" si="3"/>
        <v>0</v>
      </c>
      <c r="P29" s="645">
        <f t="shared" si="4"/>
        <v>17</v>
      </c>
      <c r="Q29" s="819">
        <f t="shared" si="10"/>
        <v>11</v>
      </c>
      <c r="R29" s="819">
        <f t="shared" si="11"/>
        <v>6</v>
      </c>
      <c r="S29" s="819">
        <f t="shared" si="12"/>
        <v>0</v>
      </c>
      <c r="T29" s="645">
        <f t="shared" si="13"/>
        <v>17</v>
      </c>
      <c r="U29" s="646">
        <f t="shared" si="5"/>
        <v>9.0909090909090912E-2</v>
      </c>
      <c r="V29" s="647">
        <f t="shared" si="6"/>
        <v>0</v>
      </c>
      <c r="W29" s="648" t="str">
        <f t="shared" si="7"/>
        <v>NA</v>
      </c>
      <c r="X29" s="649">
        <f t="shared" si="8"/>
        <v>5.8823529411764705E-2</v>
      </c>
      <c r="Y29" s="708">
        <v>3</v>
      </c>
      <c r="Z29" s="708">
        <v>9</v>
      </c>
      <c r="AA29" s="708">
        <v>4</v>
      </c>
      <c r="AB29" s="708"/>
      <c r="AC29" s="708"/>
      <c r="AD29" s="708">
        <v>1</v>
      </c>
      <c r="AE29" s="708">
        <f t="shared" si="14"/>
        <v>3</v>
      </c>
      <c r="AF29" s="708">
        <f t="shared" si="15"/>
        <v>9</v>
      </c>
      <c r="AG29" s="708">
        <f t="shared" si="16"/>
        <v>5</v>
      </c>
      <c r="AH29" s="2031">
        <f t="shared" si="17"/>
        <v>0</v>
      </c>
      <c r="AI29" s="2031">
        <f t="shared" si="18"/>
        <v>0</v>
      </c>
      <c r="AJ29" s="2031">
        <f t="shared" si="19"/>
        <v>0.2</v>
      </c>
    </row>
    <row r="30" spans="1:36" x14ac:dyDescent="0.3">
      <c r="A30" s="433" t="s">
        <v>62</v>
      </c>
      <c r="B30" s="371" t="s">
        <v>63</v>
      </c>
      <c r="C30" s="395" t="s">
        <v>255</v>
      </c>
      <c r="D30" s="643">
        <v>38</v>
      </c>
      <c r="E30" s="644">
        <v>22</v>
      </c>
      <c r="F30" s="644"/>
      <c r="G30" s="305">
        <f t="shared" si="1"/>
        <v>60</v>
      </c>
      <c r="H30" s="643">
        <v>5</v>
      </c>
      <c r="I30" s="644">
        <v>6</v>
      </c>
      <c r="J30" s="644"/>
      <c r="K30" s="305">
        <f t="shared" si="2"/>
        <v>11</v>
      </c>
      <c r="L30" s="643"/>
      <c r="M30" s="644"/>
      <c r="N30" s="644"/>
      <c r="O30" s="305">
        <f t="shared" si="3"/>
        <v>0</v>
      </c>
      <c r="P30" s="645">
        <f t="shared" si="4"/>
        <v>71</v>
      </c>
      <c r="Q30" s="819">
        <f t="shared" si="10"/>
        <v>43</v>
      </c>
      <c r="R30" s="819">
        <f t="shared" si="11"/>
        <v>28</v>
      </c>
      <c r="S30" s="819">
        <f t="shared" si="12"/>
        <v>0</v>
      </c>
      <c r="T30" s="645">
        <f t="shared" si="13"/>
        <v>71</v>
      </c>
      <c r="U30" s="646">
        <f t="shared" si="5"/>
        <v>0.11627906976744186</v>
      </c>
      <c r="V30" s="647">
        <f t="shared" si="6"/>
        <v>0.21428571428571427</v>
      </c>
      <c r="W30" s="648" t="str">
        <f t="shared" si="7"/>
        <v>NA</v>
      </c>
      <c r="X30" s="649">
        <f t="shared" si="8"/>
        <v>0.15492957746478872</v>
      </c>
      <c r="Y30" s="708">
        <v>14</v>
      </c>
      <c r="Z30" s="708">
        <v>32</v>
      </c>
      <c r="AA30" s="708">
        <v>14</v>
      </c>
      <c r="AB30" s="708">
        <v>3</v>
      </c>
      <c r="AC30" s="708">
        <v>4</v>
      </c>
      <c r="AD30" s="708">
        <v>4</v>
      </c>
      <c r="AE30" s="708">
        <f t="shared" si="14"/>
        <v>17</v>
      </c>
      <c r="AF30" s="708">
        <f t="shared" si="15"/>
        <v>36</v>
      </c>
      <c r="AG30" s="708">
        <f t="shared" si="16"/>
        <v>18</v>
      </c>
      <c r="AH30" s="2031">
        <f t="shared" si="17"/>
        <v>0.17647058823529413</v>
      </c>
      <c r="AI30" s="2031">
        <f t="shared" si="18"/>
        <v>0.1111111111111111</v>
      </c>
      <c r="AJ30" s="2031">
        <f t="shared" si="19"/>
        <v>0.22222222222222221</v>
      </c>
    </row>
    <row r="31" spans="1:36" x14ac:dyDescent="0.3">
      <c r="A31" s="433" t="s">
        <v>64</v>
      </c>
      <c r="B31" s="371" t="s">
        <v>65</v>
      </c>
      <c r="C31" s="395" t="s">
        <v>254</v>
      </c>
      <c r="D31" s="643">
        <v>11</v>
      </c>
      <c r="E31" s="644">
        <v>6</v>
      </c>
      <c r="F31" s="644"/>
      <c r="G31" s="305">
        <f t="shared" si="1"/>
        <v>17</v>
      </c>
      <c r="H31" s="643">
        <v>4</v>
      </c>
      <c r="I31" s="644">
        <v>1</v>
      </c>
      <c r="J31" s="644"/>
      <c r="K31" s="305">
        <f t="shared" si="2"/>
        <v>5</v>
      </c>
      <c r="L31" s="643">
        <v>1</v>
      </c>
      <c r="M31" s="644"/>
      <c r="N31" s="644"/>
      <c r="O31" s="305">
        <f t="shared" si="3"/>
        <v>1</v>
      </c>
      <c r="P31" s="645">
        <f t="shared" si="4"/>
        <v>23</v>
      </c>
      <c r="Q31" s="819">
        <f t="shared" si="10"/>
        <v>15</v>
      </c>
      <c r="R31" s="819">
        <f t="shared" si="11"/>
        <v>7</v>
      </c>
      <c r="S31" s="819">
        <f t="shared" si="12"/>
        <v>0</v>
      </c>
      <c r="T31" s="645">
        <f t="shared" si="13"/>
        <v>22</v>
      </c>
      <c r="U31" s="646">
        <f t="shared" si="5"/>
        <v>0.26666666666666666</v>
      </c>
      <c r="V31" s="647">
        <f t="shared" si="6"/>
        <v>0.14285714285714285</v>
      </c>
      <c r="W31" s="648" t="str">
        <f t="shared" si="7"/>
        <v>NA</v>
      </c>
      <c r="X31" s="649">
        <f t="shared" si="8"/>
        <v>0.22727272727272727</v>
      </c>
      <c r="Y31" s="708">
        <v>4</v>
      </c>
      <c r="Z31" s="708">
        <v>8</v>
      </c>
      <c r="AA31" s="708">
        <v>5</v>
      </c>
      <c r="AB31" s="708"/>
      <c r="AC31" s="708">
        <v>3</v>
      </c>
      <c r="AD31" s="708">
        <v>2</v>
      </c>
      <c r="AE31" s="708">
        <f t="shared" si="14"/>
        <v>4</v>
      </c>
      <c r="AF31" s="708">
        <f t="shared" si="15"/>
        <v>11</v>
      </c>
      <c r="AG31" s="708">
        <f t="shared" si="16"/>
        <v>7</v>
      </c>
      <c r="AH31" s="2031">
        <f t="shared" si="17"/>
        <v>0</v>
      </c>
      <c r="AI31" s="2031">
        <f t="shared" si="18"/>
        <v>0.27272727272727271</v>
      </c>
      <c r="AJ31" s="2031">
        <f t="shared" si="19"/>
        <v>0.2857142857142857</v>
      </c>
    </row>
    <row r="32" spans="1:36" x14ac:dyDescent="0.3">
      <c r="A32" s="433" t="s">
        <v>68</v>
      </c>
      <c r="B32" s="371" t="s">
        <v>69</v>
      </c>
      <c r="C32" s="395" t="s">
        <v>256</v>
      </c>
      <c r="D32" s="643">
        <v>34</v>
      </c>
      <c r="E32" s="644">
        <v>13</v>
      </c>
      <c r="F32" s="644">
        <v>1</v>
      </c>
      <c r="G32" s="305">
        <f t="shared" si="1"/>
        <v>48</v>
      </c>
      <c r="H32" s="643">
        <v>3</v>
      </c>
      <c r="I32" s="644"/>
      <c r="J32" s="644"/>
      <c r="K32" s="305">
        <f t="shared" si="2"/>
        <v>3</v>
      </c>
      <c r="L32" s="643"/>
      <c r="M32" s="644"/>
      <c r="N32" s="644"/>
      <c r="O32" s="305">
        <f t="shared" si="3"/>
        <v>0</v>
      </c>
      <c r="P32" s="645">
        <f t="shared" si="4"/>
        <v>51</v>
      </c>
      <c r="Q32" s="819">
        <f t="shared" si="10"/>
        <v>37</v>
      </c>
      <c r="R32" s="819">
        <f t="shared" si="11"/>
        <v>13</v>
      </c>
      <c r="S32" s="819">
        <f t="shared" si="12"/>
        <v>1</v>
      </c>
      <c r="T32" s="645">
        <f t="shared" si="13"/>
        <v>51</v>
      </c>
      <c r="U32" s="646">
        <f t="shared" si="5"/>
        <v>8.1081081081081086E-2</v>
      </c>
      <c r="V32" s="647">
        <f t="shared" si="6"/>
        <v>0</v>
      </c>
      <c r="W32" s="648">
        <f t="shared" si="7"/>
        <v>0</v>
      </c>
      <c r="X32" s="649">
        <f t="shared" si="8"/>
        <v>5.8823529411764705E-2</v>
      </c>
      <c r="Y32" s="708">
        <v>7</v>
      </c>
      <c r="Z32" s="708">
        <v>26</v>
      </c>
      <c r="AA32" s="708">
        <v>15</v>
      </c>
      <c r="AB32" s="708"/>
      <c r="AC32" s="708">
        <v>1</v>
      </c>
      <c r="AD32" s="708">
        <v>2</v>
      </c>
      <c r="AE32" s="708">
        <f t="shared" si="14"/>
        <v>7</v>
      </c>
      <c r="AF32" s="708">
        <f t="shared" si="15"/>
        <v>27</v>
      </c>
      <c r="AG32" s="708">
        <f t="shared" si="16"/>
        <v>17</v>
      </c>
      <c r="AH32" s="2031">
        <f t="shared" si="17"/>
        <v>0</v>
      </c>
      <c r="AI32" s="2031">
        <f t="shared" si="18"/>
        <v>3.7037037037037035E-2</v>
      </c>
      <c r="AJ32" s="2031">
        <f t="shared" si="19"/>
        <v>0.11764705882352941</v>
      </c>
    </row>
    <row r="33" spans="1:36" x14ac:dyDescent="0.3">
      <c r="A33" s="433" t="s">
        <v>70</v>
      </c>
      <c r="B33" s="371" t="s">
        <v>71</v>
      </c>
      <c r="C33" s="395" t="s">
        <v>252</v>
      </c>
      <c r="D33" s="643">
        <v>17</v>
      </c>
      <c r="E33" s="644">
        <v>7</v>
      </c>
      <c r="F33" s="644"/>
      <c r="G33" s="305">
        <f t="shared" si="1"/>
        <v>24</v>
      </c>
      <c r="H33" s="643">
        <v>8</v>
      </c>
      <c r="I33" s="644">
        <v>2</v>
      </c>
      <c r="J33" s="644"/>
      <c r="K33" s="305">
        <f t="shared" si="2"/>
        <v>10</v>
      </c>
      <c r="L33" s="643"/>
      <c r="M33" s="644"/>
      <c r="N33" s="644"/>
      <c r="O33" s="305">
        <f t="shared" si="3"/>
        <v>0</v>
      </c>
      <c r="P33" s="645">
        <f t="shared" si="4"/>
        <v>34</v>
      </c>
      <c r="Q33" s="819">
        <f t="shared" si="10"/>
        <v>25</v>
      </c>
      <c r="R33" s="819">
        <f t="shared" si="11"/>
        <v>9</v>
      </c>
      <c r="S33" s="819">
        <f t="shared" si="12"/>
        <v>0</v>
      </c>
      <c r="T33" s="645">
        <f t="shared" si="13"/>
        <v>34</v>
      </c>
      <c r="U33" s="646">
        <f t="shared" si="5"/>
        <v>0.32</v>
      </c>
      <c r="V33" s="647">
        <f t="shared" si="6"/>
        <v>0.22222222222222221</v>
      </c>
      <c r="W33" s="648" t="str">
        <f t="shared" si="7"/>
        <v>NA</v>
      </c>
      <c r="X33" s="649">
        <f t="shared" si="8"/>
        <v>0.29411764705882354</v>
      </c>
      <c r="Y33" s="708">
        <v>4</v>
      </c>
      <c r="Z33" s="708">
        <v>14</v>
      </c>
      <c r="AA33" s="708">
        <v>6</v>
      </c>
      <c r="AB33" s="708">
        <v>1</v>
      </c>
      <c r="AC33" s="708">
        <v>6</v>
      </c>
      <c r="AD33" s="708">
        <v>3</v>
      </c>
      <c r="AE33" s="708">
        <f t="shared" si="14"/>
        <v>5</v>
      </c>
      <c r="AF33" s="708">
        <f t="shared" si="15"/>
        <v>20</v>
      </c>
      <c r="AG33" s="708">
        <f t="shared" si="16"/>
        <v>9</v>
      </c>
      <c r="AH33" s="2031">
        <f t="shared" si="17"/>
        <v>0.2</v>
      </c>
      <c r="AI33" s="2031">
        <f t="shared" si="18"/>
        <v>0.3</v>
      </c>
      <c r="AJ33" s="2031">
        <f t="shared" si="19"/>
        <v>0.33333333333333331</v>
      </c>
    </row>
    <row r="34" spans="1:36" x14ac:dyDescent="0.3">
      <c r="A34" s="433" t="s">
        <v>72</v>
      </c>
      <c r="B34" s="371" t="s">
        <v>73</v>
      </c>
      <c r="C34" s="395" t="s">
        <v>254</v>
      </c>
      <c r="D34" s="643">
        <v>12</v>
      </c>
      <c r="E34" s="644">
        <v>8</v>
      </c>
      <c r="F34" s="644"/>
      <c r="G34" s="305">
        <f t="shared" si="1"/>
        <v>20</v>
      </c>
      <c r="H34" s="643">
        <v>7</v>
      </c>
      <c r="I34" s="644">
        <v>1</v>
      </c>
      <c r="J34" s="644"/>
      <c r="K34" s="305">
        <f t="shared" si="2"/>
        <v>8</v>
      </c>
      <c r="L34" s="643"/>
      <c r="M34" s="644"/>
      <c r="N34" s="644"/>
      <c r="O34" s="305">
        <f t="shared" si="3"/>
        <v>0</v>
      </c>
      <c r="P34" s="645">
        <f t="shared" si="4"/>
        <v>28</v>
      </c>
      <c r="Q34" s="819">
        <f t="shared" si="10"/>
        <v>19</v>
      </c>
      <c r="R34" s="819">
        <f t="shared" si="11"/>
        <v>9</v>
      </c>
      <c r="S34" s="819">
        <f t="shared" si="12"/>
        <v>0</v>
      </c>
      <c r="T34" s="645">
        <f t="shared" si="13"/>
        <v>28</v>
      </c>
      <c r="U34" s="646">
        <f t="shared" si="5"/>
        <v>0.36842105263157893</v>
      </c>
      <c r="V34" s="647">
        <f t="shared" si="6"/>
        <v>0.1111111111111111</v>
      </c>
      <c r="W34" s="648" t="str">
        <f t="shared" si="7"/>
        <v>NA</v>
      </c>
      <c r="X34" s="649">
        <f t="shared" si="8"/>
        <v>0.2857142857142857</v>
      </c>
      <c r="Y34" s="708">
        <v>5</v>
      </c>
      <c r="Z34" s="708">
        <v>10</v>
      </c>
      <c r="AA34" s="708">
        <v>5</v>
      </c>
      <c r="AB34" s="708">
        <v>2</v>
      </c>
      <c r="AC34" s="708">
        <v>4</v>
      </c>
      <c r="AD34" s="708">
        <v>2</v>
      </c>
      <c r="AE34" s="708">
        <f t="shared" si="14"/>
        <v>7</v>
      </c>
      <c r="AF34" s="708">
        <f t="shared" si="15"/>
        <v>14</v>
      </c>
      <c r="AG34" s="708">
        <f t="shared" si="16"/>
        <v>7</v>
      </c>
      <c r="AH34" s="2031">
        <f t="shared" si="17"/>
        <v>0.2857142857142857</v>
      </c>
      <c r="AI34" s="2031">
        <f t="shared" si="18"/>
        <v>0.2857142857142857</v>
      </c>
      <c r="AJ34" s="2031">
        <f t="shared" si="19"/>
        <v>0.2857142857142857</v>
      </c>
    </row>
    <row r="35" spans="1:36" x14ac:dyDescent="0.3">
      <c r="A35" s="433" t="s">
        <v>74</v>
      </c>
      <c r="B35" s="371" t="s">
        <v>472</v>
      </c>
      <c r="C35" s="395" t="s">
        <v>255</v>
      </c>
      <c r="D35" s="643">
        <v>452</v>
      </c>
      <c r="E35" s="644">
        <v>329</v>
      </c>
      <c r="F35" s="644">
        <v>221</v>
      </c>
      <c r="G35" s="305">
        <f t="shared" si="1"/>
        <v>1002</v>
      </c>
      <c r="H35" s="643">
        <v>110</v>
      </c>
      <c r="I35" s="644">
        <v>39</v>
      </c>
      <c r="J35" s="644">
        <v>36</v>
      </c>
      <c r="K35" s="305">
        <f t="shared" si="2"/>
        <v>185</v>
      </c>
      <c r="L35" s="643">
        <v>6</v>
      </c>
      <c r="M35" s="644"/>
      <c r="N35" s="644"/>
      <c r="O35" s="305">
        <f t="shared" si="3"/>
        <v>6</v>
      </c>
      <c r="P35" s="650">
        <f t="shared" si="4"/>
        <v>1193</v>
      </c>
      <c r="Q35" s="820">
        <f t="shared" si="10"/>
        <v>562</v>
      </c>
      <c r="R35" s="820">
        <f t="shared" si="11"/>
        <v>368</v>
      </c>
      <c r="S35" s="820">
        <f t="shared" si="12"/>
        <v>257</v>
      </c>
      <c r="T35" s="650">
        <f t="shared" si="13"/>
        <v>1187</v>
      </c>
      <c r="U35" s="646">
        <f t="shared" si="5"/>
        <v>0.19572953736654805</v>
      </c>
      <c r="V35" s="647">
        <f t="shared" si="6"/>
        <v>0.10597826086956522</v>
      </c>
      <c r="W35" s="648">
        <f t="shared" si="7"/>
        <v>0.14007782101167315</v>
      </c>
      <c r="X35" s="649">
        <f t="shared" si="8"/>
        <v>0.15585509688289806</v>
      </c>
      <c r="Y35" s="708">
        <v>210</v>
      </c>
      <c r="Z35" s="708">
        <v>420</v>
      </c>
      <c r="AA35" s="708">
        <v>372</v>
      </c>
      <c r="AB35" s="708">
        <v>30</v>
      </c>
      <c r="AC35" s="708">
        <v>103</v>
      </c>
      <c r="AD35" s="708">
        <v>52</v>
      </c>
      <c r="AE35" s="708">
        <f t="shared" si="14"/>
        <v>240</v>
      </c>
      <c r="AF35" s="708">
        <f t="shared" si="15"/>
        <v>523</v>
      </c>
      <c r="AG35" s="708">
        <f t="shared" si="16"/>
        <v>424</v>
      </c>
      <c r="AH35" s="2031">
        <f t="shared" si="17"/>
        <v>0.125</v>
      </c>
      <c r="AI35" s="2031">
        <f t="shared" si="18"/>
        <v>0.19694072657743786</v>
      </c>
      <c r="AJ35" s="2031">
        <f t="shared" si="19"/>
        <v>0.12264150943396226</v>
      </c>
    </row>
    <row r="36" spans="1:36" x14ac:dyDescent="0.3">
      <c r="A36" s="433" t="s">
        <v>76</v>
      </c>
      <c r="B36" s="371" t="s">
        <v>77</v>
      </c>
      <c r="C36" s="395" t="s">
        <v>255</v>
      </c>
      <c r="D36" s="643">
        <v>41</v>
      </c>
      <c r="E36" s="644">
        <v>13</v>
      </c>
      <c r="F36" s="644">
        <v>7</v>
      </c>
      <c r="G36" s="305">
        <f t="shared" si="1"/>
        <v>61</v>
      </c>
      <c r="H36" s="643">
        <v>4</v>
      </c>
      <c r="I36" s="644">
        <v>2</v>
      </c>
      <c r="J36" s="644">
        <v>1</v>
      </c>
      <c r="K36" s="305">
        <f t="shared" si="2"/>
        <v>7</v>
      </c>
      <c r="L36" s="643"/>
      <c r="M36" s="644"/>
      <c r="N36" s="644"/>
      <c r="O36" s="305">
        <f t="shared" si="3"/>
        <v>0</v>
      </c>
      <c r="P36" s="645">
        <f t="shared" si="4"/>
        <v>68</v>
      </c>
      <c r="Q36" s="819">
        <f t="shared" si="10"/>
        <v>45</v>
      </c>
      <c r="R36" s="819">
        <f t="shared" si="11"/>
        <v>15</v>
      </c>
      <c r="S36" s="819">
        <f t="shared" si="12"/>
        <v>8</v>
      </c>
      <c r="T36" s="645">
        <f t="shared" si="13"/>
        <v>68</v>
      </c>
      <c r="U36" s="646">
        <f t="shared" si="5"/>
        <v>8.8888888888888892E-2</v>
      </c>
      <c r="V36" s="647">
        <f t="shared" si="6"/>
        <v>0.13333333333333333</v>
      </c>
      <c r="W36" s="648">
        <f t="shared" si="7"/>
        <v>0.125</v>
      </c>
      <c r="X36" s="649">
        <f t="shared" si="8"/>
        <v>0.10294117647058823</v>
      </c>
      <c r="Y36" s="708">
        <v>10</v>
      </c>
      <c r="Z36" s="708">
        <v>24</v>
      </c>
      <c r="AA36" s="708">
        <v>27</v>
      </c>
      <c r="AB36" s="708"/>
      <c r="AC36" s="708">
        <v>5</v>
      </c>
      <c r="AD36" s="708">
        <v>2</v>
      </c>
      <c r="AE36" s="708">
        <f t="shared" si="14"/>
        <v>10</v>
      </c>
      <c r="AF36" s="708">
        <f t="shared" si="15"/>
        <v>29</v>
      </c>
      <c r="AG36" s="708">
        <f t="shared" si="16"/>
        <v>29</v>
      </c>
      <c r="AH36" s="2031">
        <f t="shared" si="17"/>
        <v>0</v>
      </c>
      <c r="AI36" s="2031">
        <f t="shared" si="18"/>
        <v>0.17241379310344829</v>
      </c>
      <c r="AJ36" s="2031">
        <f t="shared" si="19"/>
        <v>6.8965517241379309E-2</v>
      </c>
    </row>
    <row r="37" spans="1:36" x14ac:dyDescent="0.3">
      <c r="A37" s="433" t="s">
        <v>78</v>
      </c>
      <c r="B37" s="371" t="s">
        <v>79</v>
      </c>
      <c r="C37" s="395" t="s">
        <v>256</v>
      </c>
      <c r="D37" s="643">
        <v>12</v>
      </c>
      <c r="E37" s="644">
        <v>4</v>
      </c>
      <c r="F37" s="644"/>
      <c r="G37" s="305">
        <f t="shared" si="1"/>
        <v>16</v>
      </c>
      <c r="H37" s="643"/>
      <c r="I37" s="644">
        <v>1</v>
      </c>
      <c r="J37" s="644"/>
      <c r="K37" s="305">
        <f t="shared" si="2"/>
        <v>1</v>
      </c>
      <c r="L37" s="643"/>
      <c r="M37" s="644"/>
      <c r="N37" s="644"/>
      <c r="O37" s="305">
        <f t="shared" si="3"/>
        <v>0</v>
      </c>
      <c r="P37" s="645">
        <f t="shared" si="4"/>
        <v>17</v>
      </c>
      <c r="Q37" s="819">
        <f t="shared" si="10"/>
        <v>12</v>
      </c>
      <c r="R37" s="819">
        <f t="shared" si="11"/>
        <v>5</v>
      </c>
      <c r="S37" s="819">
        <f t="shared" si="12"/>
        <v>0</v>
      </c>
      <c r="T37" s="645">
        <f t="shared" si="13"/>
        <v>17</v>
      </c>
      <c r="U37" s="646">
        <f t="shared" si="5"/>
        <v>0</v>
      </c>
      <c r="V37" s="647">
        <f t="shared" si="6"/>
        <v>0.2</v>
      </c>
      <c r="W37" s="648" t="str">
        <f t="shared" si="7"/>
        <v>NA</v>
      </c>
      <c r="X37" s="649">
        <f t="shared" si="8"/>
        <v>5.8823529411764705E-2</v>
      </c>
      <c r="Y37" s="708">
        <v>2</v>
      </c>
      <c r="Z37" s="708">
        <v>9</v>
      </c>
      <c r="AA37" s="708">
        <v>5</v>
      </c>
      <c r="AB37" s="708">
        <v>1</v>
      </c>
      <c r="AC37" s="708"/>
      <c r="AD37" s="708"/>
      <c r="AE37" s="708">
        <f t="shared" si="14"/>
        <v>3</v>
      </c>
      <c r="AF37" s="708">
        <f t="shared" si="15"/>
        <v>9</v>
      </c>
      <c r="AG37" s="708">
        <f t="shared" si="16"/>
        <v>5</v>
      </c>
      <c r="AH37" s="2031">
        <f t="shared" si="17"/>
        <v>0.33333333333333331</v>
      </c>
      <c r="AI37" s="2031">
        <f t="shared" si="18"/>
        <v>0</v>
      </c>
      <c r="AJ37" s="2031">
        <f t="shared" si="19"/>
        <v>0</v>
      </c>
    </row>
    <row r="38" spans="1:36" x14ac:dyDescent="0.3">
      <c r="A38" s="433" t="s">
        <v>80</v>
      </c>
      <c r="B38" s="371" t="s">
        <v>81</v>
      </c>
      <c r="C38" s="395" t="s">
        <v>254</v>
      </c>
      <c r="D38" s="643">
        <v>24</v>
      </c>
      <c r="E38" s="644">
        <v>12</v>
      </c>
      <c r="F38" s="644"/>
      <c r="G38" s="305">
        <f t="shared" ref="G38:G69" si="20">SUM(D38:F38)</f>
        <v>36</v>
      </c>
      <c r="H38" s="643">
        <v>3</v>
      </c>
      <c r="I38" s="644"/>
      <c r="J38" s="644"/>
      <c r="K38" s="305">
        <f t="shared" ref="K38:K69" si="21">SUM(H38:J38)</f>
        <v>3</v>
      </c>
      <c r="L38" s="643"/>
      <c r="M38" s="644"/>
      <c r="N38" s="644"/>
      <c r="O38" s="305">
        <f t="shared" ref="O38:O69" si="22">SUM(L38:N38)</f>
        <v>0</v>
      </c>
      <c r="P38" s="645">
        <f t="shared" ref="P38:P69" si="23">G38+K38+O38</f>
        <v>39</v>
      </c>
      <c r="Q38" s="819">
        <f t="shared" si="10"/>
        <v>27</v>
      </c>
      <c r="R38" s="819">
        <f t="shared" si="11"/>
        <v>12</v>
      </c>
      <c r="S38" s="819">
        <f t="shared" si="12"/>
        <v>0</v>
      </c>
      <c r="T38" s="645">
        <f t="shared" si="13"/>
        <v>39</v>
      </c>
      <c r="U38" s="646">
        <f t="shared" ref="U38:U69" si="24">IF((D38+H38)=0,"NA",(H38/(D38+H38)))</f>
        <v>0.1111111111111111</v>
      </c>
      <c r="V38" s="647">
        <f t="shared" ref="V38:V69" si="25">IF((E38+I38)=0,"NA",(I38/(E38+I38)))</f>
        <v>0</v>
      </c>
      <c r="W38" s="648" t="str">
        <f t="shared" ref="W38:W69" si="26">IF((F38+J38)=0,"NA",(J38/(F38+J38)))</f>
        <v>NA</v>
      </c>
      <c r="X38" s="649">
        <f t="shared" ref="X38:X69" si="27">IF((G38+K38)=0,"NA",(K38/(G38+K38)))</f>
        <v>7.6923076923076927E-2</v>
      </c>
      <c r="Y38" s="708">
        <v>7</v>
      </c>
      <c r="Z38" s="708">
        <v>16</v>
      </c>
      <c r="AA38" s="708">
        <v>13</v>
      </c>
      <c r="AB38" s="708"/>
      <c r="AC38" s="708">
        <v>1</v>
      </c>
      <c r="AD38" s="708">
        <v>2</v>
      </c>
      <c r="AE38" s="708">
        <f t="shared" si="14"/>
        <v>7</v>
      </c>
      <c r="AF38" s="708">
        <f t="shared" si="15"/>
        <v>17</v>
      </c>
      <c r="AG38" s="708">
        <f t="shared" si="16"/>
        <v>15</v>
      </c>
      <c r="AH38" s="2031">
        <f t="shared" si="17"/>
        <v>0</v>
      </c>
      <c r="AI38" s="2031">
        <f t="shared" si="18"/>
        <v>5.8823529411764705E-2</v>
      </c>
      <c r="AJ38" s="2031">
        <f t="shared" si="19"/>
        <v>0.13333333333333333</v>
      </c>
    </row>
    <row r="39" spans="1:36" x14ac:dyDescent="0.3">
      <c r="A39" s="433" t="s">
        <v>84</v>
      </c>
      <c r="B39" s="371" t="s">
        <v>296</v>
      </c>
      <c r="C39" s="395" t="s">
        <v>253</v>
      </c>
      <c r="D39" s="643">
        <v>53</v>
      </c>
      <c r="E39" s="644">
        <v>25</v>
      </c>
      <c r="F39" s="644"/>
      <c r="G39" s="305">
        <f t="shared" si="20"/>
        <v>78</v>
      </c>
      <c r="H39" s="643">
        <v>13</v>
      </c>
      <c r="I39" s="644">
        <v>2</v>
      </c>
      <c r="J39" s="644"/>
      <c r="K39" s="305">
        <f t="shared" si="21"/>
        <v>15</v>
      </c>
      <c r="L39" s="643"/>
      <c r="M39" s="644"/>
      <c r="N39" s="644"/>
      <c r="O39" s="305">
        <f t="shared" si="22"/>
        <v>0</v>
      </c>
      <c r="P39" s="645">
        <f t="shared" si="23"/>
        <v>93</v>
      </c>
      <c r="Q39" s="819">
        <f t="shared" si="10"/>
        <v>66</v>
      </c>
      <c r="R39" s="819">
        <f t="shared" si="11"/>
        <v>27</v>
      </c>
      <c r="S39" s="819">
        <f t="shared" si="12"/>
        <v>0</v>
      </c>
      <c r="T39" s="645">
        <f t="shared" ref="T39:T70" si="28">G39+K39</f>
        <v>93</v>
      </c>
      <c r="U39" s="646">
        <f t="shared" si="24"/>
        <v>0.19696969696969696</v>
      </c>
      <c r="V39" s="647">
        <f t="shared" si="25"/>
        <v>7.407407407407407E-2</v>
      </c>
      <c r="W39" s="648" t="str">
        <f t="shared" si="26"/>
        <v>NA</v>
      </c>
      <c r="X39" s="649">
        <f t="shared" si="27"/>
        <v>0.16129032258064516</v>
      </c>
      <c r="Y39" s="708">
        <v>12</v>
      </c>
      <c r="Z39" s="708">
        <v>40</v>
      </c>
      <c r="AA39" s="708">
        <v>26</v>
      </c>
      <c r="AB39" s="708">
        <v>2</v>
      </c>
      <c r="AC39" s="708">
        <v>9</v>
      </c>
      <c r="AD39" s="708">
        <v>4</v>
      </c>
      <c r="AE39" s="708">
        <f t="shared" si="14"/>
        <v>14</v>
      </c>
      <c r="AF39" s="708">
        <f t="shared" si="15"/>
        <v>49</v>
      </c>
      <c r="AG39" s="708">
        <f t="shared" si="16"/>
        <v>30</v>
      </c>
      <c r="AH39" s="2031">
        <f t="shared" si="17"/>
        <v>0.14285714285714285</v>
      </c>
      <c r="AI39" s="2031">
        <f t="shared" si="18"/>
        <v>0.18367346938775511</v>
      </c>
      <c r="AJ39" s="2031">
        <f t="shared" si="19"/>
        <v>0.13333333333333333</v>
      </c>
    </row>
    <row r="40" spans="1:36" x14ac:dyDescent="0.3">
      <c r="A40" s="433" t="s">
        <v>86</v>
      </c>
      <c r="B40" s="371" t="s">
        <v>87</v>
      </c>
      <c r="C40" s="395" t="s">
        <v>255</v>
      </c>
      <c r="D40" s="643">
        <v>51</v>
      </c>
      <c r="E40" s="644">
        <v>19</v>
      </c>
      <c r="F40" s="644"/>
      <c r="G40" s="305">
        <f t="shared" si="20"/>
        <v>70</v>
      </c>
      <c r="H40" s="643">
        <v>11</v>
      </c>
      <c r="I40" s="644">
        <v>4</v>
      </c>
      <c r="J40" s="644"/>
      <c r="K40" s="305">
        <f t="shared" si="21"/>
        <v>15</v>
      </c>
      <c r="L40" s="643"/>
      <c r="M40" s="644"/>
      <c r="N40" s="644"/>
      <c r="O40" s="305">
        <f t="shared" si="22"/>
        <v>0</v>
      </c>
      <c r="P40" s="645">
        <f t="shared" si="23"/>
        <v>85</v>
      </c>
      <c r="Q40" s="819">
        <f t="shared" si="10"/>
        <v>62</v>
      </c>
      <c r="R40" s="819">
        <f t="shared" si="11"/>
        <v>23</v>
      </c>
      <c r="S40" s="819">
        <f t="shared" si="12"/>
        <v>0</v>
      </c>
      <c r="T40" s="645">
        <f t="shared" si="28"/>
        <v>85</v>
      </c>
      <c r="U40" s="646">
        <f t="shared" si="24"/>
        <v>0.17741935483870969</v>
      </c>
      <c r="V40" s="647">
        <f t="shared" si="25"/>
        <v>0.17391304347826086</v>
      </c>
      <c r="W40" s="648" t="str">
        <f t="shared" si="26"/>
        <v>NA</v>
      </c>
      <c r="X40" s="649">
        <f t="shared" si="27"/>
        <v>0.17647058823529413</v>
      </c>
      <c r="Y40" s="708">
        <v>9</v>
      </c>
      <c r="Z40" s="708">
        <v>36</v>
      </c>
      <c r="AA40" s="708">
        <v>25</v>
      </c>
      <c r="AB40" s="708">
        <v>2</v>
      </c>
      <c r="AC40" s="708">
        <v>6</v>
      </c>
      <c r="AD40" s="708">
        <v>7</v>
      </c>
      <c r="AE40" s="708">
        <f t="shared" si="14"/>
        <v>11</v>
      </c>
      <c r="AF40" s="708">
        <f t="shared" si="15"/>
        <v>42</v>
      </c>
      <c r="AG40" s="708">
        <f t="shared" si="16"/>
        <v>32</v>
      </c>
      <c r="AH40" s="2031">
        <f t="shared" si="17"/>
        <v>0.18181818181818182</v>
      </c>
      <c r="AI40" s="2031">
        <f t="shared" si="18"/>
        <v>0.14285714285714285</v>
      </c>
      <c r="AJ40" s="2031">
        <f t="shared" si="19"/>
        <v>0.21875</v>
      </c>
    </row>
    <row r="41" spans="1:36" x14ac:dyDescent="0.3">
      <c r="A41" s="433" t="s">
        <v>92</v>
      </c>
      <c r="B41" s="371" t="s">
        <v>93</v>
      </c>
      <c r="C41" s="395" t="s">
        <v>256</v>
      </c>
      <c r="D41" s="643">
        <v>22</v>
      </c>
      <c r="E41" s="644">
        <v>8</v>
      </c>
      <c r="F41" s="644"/>
      <c r="G41" s="305">
        <f t="shared" si="20"/>
        <v>30</v>
      </c>
      <c r="H41" s="643">
        <v>7</v>
      </c>
      <c r="I41" s="644">
        <v>3</v>
      </c>
      <c r="J41" s="644"/>
      <c r="K41" s="305">
        <f t="shared" si="21"/>
        <v>10</v>
      </c>
      <c r="L41" s="643"/>
      <c r="M41" s="644"/>
      <c r="N41" s="644"/>
      <c r="O41" s="305">
        <f t="shared" si="22"/>
        <v>0</v>
      </c>
      <c r="P41" s="645">
        <f t="shared" si="23"/>
        <v>40</v>
      </c>
      <c r="Q41" s="819">
        <f t="shared" si="10"/>
        <v>29</v>
      </c>
      <c r="R41" s="819">
        <f t="shared" si="11"/>
        <v>11</v>
      </c>
      <c r="S41" s="819">
        <f t="shared" si="12"/>
        <v>0</v>
      </c>
      <c r="T41" s="645">
        <f t="shared" si="28"/>
        <v>40</v>
      </c>
      <c r="U41" s="646">
        <f t="shared" si="24"/>
        <v>0.2413793103448276</v>
      </c>
      <c r="V41" s="647">
        <f t="shared" si="25"/>
        <v>0.27272727272727271</v>
      </c>
      <c r="W41" s="648" t="str">
        <f t="shared" si="26"/>
        <v>NA</v>
      </c>
      <c r="X41" s="649">
        <f t="shared" si="27"/>
        <v>0.25</v>
      </c>
      <c r="Y41" s="708">
        <v>4</v>
      </c>
      <c r="Z41" s="708">
        <v>16</v>
      </c>
      <c r="AA41" s="708">
        <v>10</v>
      </c>
      <c r="AB41" s="708">
        <v>2</v>
      </c>
      <c r="AC41" s="708">
        <v>3</v>
      </c>
      <c r="AD41" s="708">
        <v>5</v>
      </c>
      <c r="AE41" s="708">
        <f t="shared" si="14"/>
        <v>6</v>
      </c>
      <c r="AF41" s="708">
        <f t="shared" si="15"/>
        <v>19</v>
      </c>
      <c r="AG41" s="708">
        <f t="shared" si="16"/>
        <v>15</v>
      </c>
      <c r="AH41" s="2031">
        <f t="shared" si="17"/>
        <v>0.33333333333333331</v>
      </c>
      <c r="AI41" s="2031">
        <f t="shared" si="18"/>
        <v>0.15789473684210525</v>
      </c>
      <c r="AJ41" s="2031">
        <f t="shared" si="19"/>
        <v>0.33333333333333331</v>
      </c>
    </row>
    <row r="42" spans="1:36" x14ac:dyDescent="0.3">
      <c r="A42" s="433" t="s">
        <v>94</v>
      </c>
      <c r="B42" s="371" t="s">
        <v>95</v>
      </c>
      <c r="C42" s="395" t="s">
        <v>252</v>
      </c>
      <c r="D42" s="643">
        <v>33</v>
      </c>
      <c r="E42" s="644">
        <v>16</v>
      </c>
      <c r="F42" s="644"/>
      <c r="G42" s="305">
        <f t="shared" si="20"/>
        <v>49</v>
      </c>
      <c r="H42" s="643"/>
      <c r="I42" s="644">
        <v>1</v>
      </c>
      <c r="J42" s="644"/>
      <c r="K42" s="305">
        <f t="shared" si="21"/>
        <v>1</v>
      </c>
      <c r="L42" s="643"/>
      <c r="M42" s="644"/>
      <c r="N42" s="644"/>
      <c r="O42" s="305">
        <f t="shared" si="22"/>
        <v>0</v>
      </c>
      <c r="P42" s="645">
        <f t="shared" si="23"/>
        <v>50</v>
      </c>
      <c r="Q42" s="819">
        <f t="shared" si="10"/>
        <v>33</v>
      </c>
      <c r="R42" s="819">
        <f t="shared" si="11"/>
        <v>17</v>
      </c>
      <c r="S42" s="819">
        <f t="shared" si="12"/>
        <v>0</v>
      </c>
      <c r="T42" s="645">
        <f t="shared" si="28"/>
        <v>50</v>
      </c>
      <c r="U42" s="646">
        <f t="shared" si="24"/>
        <v>0</v>
      </c>
      <c r="V42" s="647">
        <f t="shared" si="25"/>
        <v>5.8823529411764705E-2</v>
      </c>
      <c r="W42" s="648" t="str">
        <f t="shared" si="26"/>
        <v>NA</v>
      </c>
      <c r="X42" s="649">
        <f t="shared" si="27"/>
        <v>0.02</v>
      </c>
      <c r="Y42" s="708">
        <v>11</v>
      </c>
      <c r="Z42" s="708">
        <v>24</v>
      </c>
      <c r="AA42" s="708">
        <v>14</v>
      </c>
      <c r="AB42" s="708"/>
      <c r="AC42" s="708">
        <v>1</v>
      </c>
      <c r="AD42" s="708"/>
      <c r="AE42" s="708">
        <f t="shared" si="14"/>
        <v>11</v>
      </c>
      <c r="AF42" s="708">
        <f t="shared" si="15"/>
        <v>25</v>
      </c>
      <c r="AG42" s="708">
        <f t="shared" si="16"/>
        <v>14</v>
      </c>
      <c r="AH42" s="2031">
        <f t="shared" si="17"/>
        <v>0</v>
      </c>
      <c r="AI42" s="2031">
        <f t="shared" si="18"/>
        <v>0.04</v>
      </c>
      <c r="AJ42" s="2031">
        <f t="shared" si="19"/>
        <v>0</v>
      </c>
    </row>
    <row r="43" spans="1:36" x14ac:dyDescent="0.3">
      <c r="A43" s="433" t="s">
        <v>96</v>
      </c>
      <c r="B43" s="371" t="s">
        <v>97</v>
      </c>
      <c r="C43" s="395" t="s">
        <v>254</v>
      </c>
      <c r="D43" s="643">
        <v>17</v>
      </c>
      <c r="E43" s="644">
        <v>10</v>
      </c>
      <c r="F43" s="644"/>
      <c r="G43" s="305">
        <f t="shared" si="20"/>
        <v>27</v>
      </c>
      <c r="H43" s="643"/>
      <c r="I43" s="644">
        <v>2</v>
      </c>
      <c r="J43" s="644"/>
      <c r="K43" s="305">
        <f t="shared" si="21"/>
        <v>2</v>
      </c>
      <c r="L43" s="643"/>
      <c r="M43" s="644"/>
      <c r="N43" s="644"/>
      <c r="O43" s="305">
        <f t="shared" si="22"/>
        <v>0</v>
      </c>
      <c r="P43" s="645">
        <f t="shared" si="23"/>
        <v>29</v>
      </c>
      <c r="Q43" s="819">
        <f t="shared" si="10"/>
        <v>17</v>
      </c>
      <c r="R43" s="819">
        <f t="shared" si="11"/>
        <v>12</v>
      </c>
      <c r="S43" s="819">
        <f t="shared" si="12"/>
        <v>0</v>
      </c>
      <c r="T43" s="645">
        <f t="shared" si="28"/>
        <v>29</v>
      </c>
      <c r="U43" s="646">
        <f t="shared" si="24"/>
        <v>0</v>
      </c>
      <c r="V43" s="647">
        <f t="shared" si="25"/>
        <v>0.16666666666666666</v>
      </c>
      <c r="W43" s="648" t="str">
        <f t="shared" si="26"/>
        <v>NA</v>
      </c>
      <c r="X43" s="649">
        <f t="shared" si="27"/>
        <v>6.8965517241379309E-2</v>
      </c>
      <c r="Y43" s="708">
        <v>4</v>
      </c>
      <c r="Z43" s="708">
        <v>14</v>
      </c>
      <c r="AA43" s="708">
        <v>9</v>
      </c>
      <c r="AB43" s="708">
        <v>1</v>
      </c>
      <c r="AC43" s="708">
        <v>1</v>
      </c>
      <c r="AD43" s="708"/>
      <c r="AE43" s="708">
        <f t="shared" si="14"/>
        <v>5</v>
      </c>
      <c r="AF43" s="708">
        <f t="shared" si="15"/>
        <v>15</v>
      </c>
      <c r="AG43" s="708">
        <f t="shared" si="16"/>
        <v>9</v>
      </c>
      <c r="AH43" s="2031">
        <f t="shared" si="17"/>
        <v>0.2</v>
      </c>
      <c r="AI43" s="2031">
        <f t="shared" si="18"/>
        <v>6.6666666666666666E-2</v>
      </c>
      <c r="AJ43" s="2031">
        <f t="shared" si="19"/>
        <v>0</v>
      </c>
    </row>
    <row r="44" spans="1:36" x14ac:dyDescent="0.3">
      <c r="A44" s="433" t="s">
        <v>98</v>
      </c>
      <c r="B44" s="371" t="s">
        <v>99</v>
      </c>
      <c r="C44" s="395" t="s">
        <v>256</v>
      </c>
      <c r="D44" s="643">
        <v>20</v>
      </c>
      <c r="E44" s="644">
        <v>8</v>
      </c>
      <c r="F44" s="644"/>
      <c r="G44" s="305">
        <f t="shared" si="20"/>
        <v>28</v>
      </c>
      <c r="H44" s="643">
        <v>1</v>
      </c>
      <c r="I44" s="644">
        <v>1</v>
      </c>
      <c r="J44" s="644"/>
      <c r="K44" s="305">
        <f t="shared" si="21"/>
        <v>2</v>
      </c>
      <c r="L44" s="643">
        <v>1</v>
      </c>
      <c r="M44" s="644"/>
      <c r="N44" s="644"/>
      <c r="O44" s="305">
        <f t="shared" si="22"/>
        <v>1</v>
      </c>
      <c r="P44" s="645">
        <f t="shared" si="23"/>
        <v>31</v>
      </c>
      <c r="Q44" s="819">
        <f t="shared" si="10"/>
        <v>21</v>
      </c>
      <c r="R44" s="819">
        <f t="shared" si="11"/>
        <v>9</v>
      </c>
      <c r="S44" s="819">
        <f t="shared" si="12"/>
        <v>0</v>
      </c>
      <c r="T44" s="645">
        <f t="shared" si="28"/>
        <v>30</v>
      </c>
      <c r="U44" s="646">
        <f t="shared" si="24"/>
        <v>4.7619047619047616E-2</v>
      </c>
      <c r="V44" s="647">
        <f t="shared" si="25"/>
        <v>0.1111111111111111</v>
      </c>
      <c r="W44" s="648" t="str">
        <f t="shared" si="26"/>
        <v>NA</v>
      </c>
      <c r="X44" s="649">
        <f t="shared" si="27"/>
        <v>6.6666666666666666E-2</v>
      </c>
      <c r="Y44" s="708">
        <v>7</v>
      </c>
      <c r="Z44" s="708">
        <v>12</v>
      </c>
      <c r="AA44" s="708">
        <v>9</v>
      </c>
      <c r="AB44" s="708"/>
      <c r="AC44" s="708"/>
      <c r="AD44" s="708">
        <v>2</v>
      </c>
      <c r="AE44" s="708">
        <f t="shared" si="14"/>
        <v>7</v>
      </c>
      <c r="AF44" s="708">
        <f t="shared" si="15"/>
        <v>12</v>
      </c>
      <c r="AG44" s="708">
        <f t="shared" si="16"/>
        <v>11</v>
      </c>
      <c r="AH44" s="2031">
        <f t="shared" si="17"/>
        <v>0</v>
      </c>
      <c r="AI44" s="2031">
        <f t="shared" si="18"/>
        <v>0</v>
      </c>
      <c r="AJ44" s="2031">
        <f t="shared" si="19"/>
        <v>0.18181818181818182</v>
      </c>
    </row>
    <row r="45" spans="1:36" x14ac:dyDescent="0.3">
      <c r="A45" s="433" t="s">
        <v>100</v>
      </c>
      <c r="B45" s="371" t="s">
        <v>101</v>
      </c>
      <c r="C45" s="395" t="s">
        <v>255</v>
      </c>
      <c r="D45" s="643">
        <v>13</v>
      </c>
      <c r="E45" s="644">
        <v>9</v>
      </c>
      <c r="F45" s="644"/>
      <c r="G45" s="305">
        <f t="shared" si="20"/>
        <v>22</v>
      </c>
      <c r="H45" s="643">
        <v>1</v>
      </c>
      <c r="I45" s="644"/>
      <c r="J45" s="644"/>
      <c r="K45" s="305">
        <f t="shared" si="21"/>
        <v>1</v>
      </c>
      <c r="L45" s="643"/>
      <c r="M45" s="644"/>
      <c r="N45" s="644"/>
      <c r="O45" s="305">
        <f t="shared" si="22"/>
        <v>0</v>
      </c>
      <c r="P45" s="645">
        <f t="shared" si="23"/>
        <v>23</v>
      </c>
      <c r="Q45" s="819">
        <f t="shared" si="10"/>
        <v>14</v>
      </c>
      <c r="R45" s="819">
        <f t="shared" si="11"/>
        <v>9</v>
      </c>
      <c r="S45" s="819">
        <f t="shared" si="12"/>
        <v>0</v>
      </c>
      <c r="T45" s="645">
        <f t="shared" si="28"/>
        <v>23</v>
      </c>
      <c r="U45" s="646">
        <f t="shared" si="24"/>
        <v>7.1428571428571425E-2</v>
      </c>
      <c r="V45" s="647">
        <f t="shared" si="25"/>
        <v>0</v>
      </c>
      <c r="W45" s="648" t="str">
        <f t="shared" si="26"/>
        <v>NA</v>
      </c>
      <c r="X45" s="649">
        <f t="shared" si="27"/>
        <v>4.3478260869565216E-2</v>
      </c>
      <c r="Y45" s="708">
        <v>6</v>
      </c>
      <c r="Z45" s="708">
        <v>10</v>
      </c>
      <c r="AA45" s="708">
        <v>6</v>
      </c>
      <c r="AB45" s="708"/>
      <c r="AC45" s="708">
        <v>1</v>
      </c>
      <c r="AD45" s="708"/>
      <c r="AE45" s="708">
        <f t="shared" si="14"/>
        <v>6</v>
      </c>
      <c r="AF45" s="708">
        <f t="shared" si="15"/>
        <v>11</v>
      </c>
      <c r="AG45" s="708">
        <f t="shared" si="16"/>
        <v>6</v>
      </c>
      <c r="AH45" s="2031">
        <f t="shared" si="17"/>
        <v>0</v>
      </c>
      <c r="AI45" s="2031">
        <f t="shared" si="18"/>
        <v>9.0909090909090912E-2</v>
      </c>
      <c r="AJ45" s="2031">
        <f t="shared" si="19"/>
        <v>0</v>
      </c>
    </row>
    <row r="46" spans="1:36" x14ac:dyDescent="0.3">
      <c r="A46" s="433" t="s">
        <v>102</v>
      </c>
      <c r="B46" s="371" t="s">
        <v>270</v>
      </c>
      <c r="C46" s="395" t="s">
        <v>252</v>
      </c>
      <c r="D46" s="643">
        <v>24</v>
      </c>
      <c r="E46" s="644">
        <v>10</v>
      </c>
      <c r="F46" s="644"/>
      <c r="G46" s="305">
        <f t="shared" si="20"/>
        <v>34</v>
      </c>
      <c r="H46" s="643">
        <v>4</v>
      </c>
      <c r="I46" s="644">
        <v>1</v>
      </c>
      <c r="J46" s="644"/>
      <c r="K46" s="305">
        <f t="shared" si="21"/>
        <v>5</v>
      </c>
      <c r="L46" s="643"/>
      <c r="M46" s="644"/>
      <c r="N46" s="644"/>
      <c r="O46" s="305">
        <f t="shared" si="22"/>
        <v>0</v>
      </c>
      <c r="P46" s="645">
        <f t="shared" si="23"/>
        <v>39</v>
      </c>
      <c r="Q46" s="819">
        <f t="shared" si="10"/>
        <v>28</v>
      </c>
      <c r="R46" s="819">
        <f t="shared" si="11"/>
        <v>11</v>
      </c>
      <c r="S46" s="819">
        <f t="shared" si="12"/>
        <v>0</v>
      </c>
      <c r="T46" s="645">
        <f t="shared" si="28"/>
        <v>39</v>
      </c>
      <c r="U46" s="646">
        <f t="shared" si="24"/>
        <v>0.14285714285714285</v>
      </c>
      <c r="V46" s="647">
        <f t="shared" si="25"/>
        <v>9.0909090909090912E-2</v>
      </c>
      <c r="W46" s="648" t="str">
        <f t="shared" si="26"/>
        <v>NA</v>
      </c>
      <c r="X46" s="649">
        <f t="shared" si="27"/>
        <v>0.12820512820512819</v>
      </c>
      <c r="Y46" s="708">
        <v>7</v>
      </c>
      <c r="Z46" s="708">
        <v>20</v>
      </c>
      <c r="AA46" s="708">
        <v>7</v>
      </c>
      <c r="AB46" s="708">
        <v>1</v>
      </c>
      <c r="AC46" s="708">
        <v>3</v>
      </c>
      <c r="AD46" s="708">
        <v>1</v>
      </c>
      <c r="AE46" s="708">
        <f t="shared" si="14"/>
        <v>8</v>
      </c>
      <c r="AF46" s="708">
        <f t="shared" si="15"/>
        <v>23</v>
      </c>
      <c r="AG46" s="708">
        <f t="shared" si="16"/>
        <v>8</v>
      </c>
      <c r="AH46" s="2031">
        <f t="shared" si="17"/>
        <v>0.125</v>
      </c>
      <c r="AI46" s="2031">
        <f t="shared" si="18"/>
        <v>0.13043478260869565</v>
      </c>
      <c r="AJ46" s="2031">
        <f t="shared" si="19"/>
        <v>0.125</v>
      </c>
    </row>
    <row r="47" spans="1:36" x14ac:dyDescent="0.3">
      <c r="A47" s="433" t="s">
        <v>104</v>
      </c>
      <c r="B47" s="371" t="s">
        <v>465</v>
      </c>
      <c r="C47" s="395" t="s">
        <v>253</v>
      </c>
      <c r="D47" s="643">
        <v>45</v>
      </c>
      <c r="E47" s="644">
        <v>14</v>
      </c>
      <c r="F47" s="644"/>
      <c r="G47" s="305">
        <f t="shared" si="20"/>
        <v>59</v>
      </c>
      <c r="H47" s="643">
        <v>5</v>
      </c>
      <c r="I47" s="644">
        <v>3</v>
      </c>
      <c r="J47" s="644">
        <v>1</v>
      </c>
      <c r="K47" s="305">
        <f t="shared" si="21"/>
        <v>9</v>
      </c>
      <c r="L47" s="643"/>
      <c r="M47" s="644"/>
      <c r="N47" s="644"/>
      <c r="O47" s="305">
        <f t="shared" si="22"/>
        <v>0</v>
      </c>
      <c r="P47" s="645">
        <f t="shared" si="23"/>
        <v>68</v>
      </c>
      <c r="Q47" s="819">
        <f t="shared" si="10"/>
        <v>50</v>
      </c>
      <c r="R47" s="819">
        <f t="shared" si="11"/>
        <v>17</v>
      </c>
      <c r="S47" s="819">
        <f t="shared" si="12"/>
        <v>1</v>
      </c>
      <c r="T47" s="645">
        <f t="shared" si="28"/>
        <v>68</v>
      </c>
      <c r="U47" s="646">
        <f t="shared" si="24"/>
        <v>0.1</v>
      </c>
      <c r="V47" s="647">
        <f t="shared" si="25"/>
        <v>0.17647058823529413</v>
      </c>
      <c r="W47" s="648">
        <f t="shared" si="26"/>
        <v>1</v>
      </c>
      <c r="X47" s="649">
        <f t="shared" si="27"/>
        <v>0.13235294117647059</v>
      </c>
      <c r="Y47" s="708">
        <v>9</v>
      </c>
      <c r="Z47" s="708">
        <v>35</v>
      </c>
      <c r="AA47" s="708">
        <v>15</v>
      </c>
      <c r="AB47" s="708">
        <v>3</v>
      </c>
      <c r="AC47" s="708">
        <v>3</v>
      </c>
      <c r="AD47" s="708">
        <v>3</v>
      </c>
      <c r="AE47" s="708">
        <f t="shared" si="14"/>
        <v>12</v>
      </c>
      <c r="AF47" s="708">
        <f t="shared" si="15"/>
        <v>38</v>
      </c>
      <c r="AG47" s="708">
        <f t="shared" si="16"/>
        <v>18</v>
      </c>
      <c r="AH47" s="2031">
        <f t="shared" si="17"/>
        <v>0.25</v>
      </c>
      <c r="AI47" s="2031">
        <f t="shared" si="18"/>
        <v>7.8947368421052627E-2</v>
      </c>
      <c r="AJ47" s="2031">
        <f t="shared" si="19"/>
        <v>0.16666666666666666</v>
      </c>
    </row>
    <row r="48" spans="1:36" x14ac:dyDescent="0.3">
      <c r="A48" s="433" t="s">
        <v>108</v>
      </c>
      <c r="B48" s="371" t="s">
        <v>109</v>
      </c>
      <c r="C48" s="395" t="s">
        <v>254</v>
      </c>
      <c r="D48" s="643">
        <v>40</v>
      </c>
      <c r="E48" s="644">
        <v>18</v>
      </c>
      <c r="F48" s="644">
        <v>1</v>
      </c>
      <c r="G48" s="305">
        <f t="shared" si="20"/>
        <v>59</v>
      </c>
      <c r="H48" s="643">
        <v>5</v>
      </c>
      <c r="I48" s="644">
        <v>1</v>
      </c>
      <c r="J48" s="644"/>
      <c r="K48" s="305">
        <f t="shared" si="21"/>
        <v>6</v>
      </c>
      <c r="L48" s="643"/>
      <c r="M48" s="644"/>
      <c r="N48" s="644"/>
      <c r="O48" s="305">
        <f t="shared" si="22"/>
        <v>0</v>
      </c>
      <c r="P48" s="645">
        <f t="shared" si="23"/>
        <v>65</v>
      </c>
      <c r="Q48" s="819">
        <f t="shared" si="10"/>
        <v>45</v>
      </c>
      <c r="R48" s="819">
        <f t="shared" si="11"/>
        <v>19</v>
      </c>
      <c r="S48" s="819">
        <f t="shared" si="12"/>
        <v>1</v>
      </c>
      <c r="T48" s="645">
        <f t="shared" si="28"/>
        <v>65</v>
      </c>
      <c r="U48" s="646">
        <f t="shared" si="24"/>
        <v>0.1111111111111111</v>
      </c>
      <c r="V48" s="647">
        <f t="shared" si="25"/>
        <v>5.2631578947368418E-2</v>
      </c>
      <c r="W48" s="648">
        <f t="shared" si="26"/>
        <v>0</v>
      </c>
      <c r="X48" s="649">
        <f t="shared" si="27"/>
        <v>9.2307692307692313E-2</v>
      </c>
      <c r="Y48" s="708">
        <v>10</v>
      </c>
      <c r="Z48" s="708">
        <v>32</v>
      </c>
      <c r="AA48" s="708">
        <v>17</v>
      </c>
      <c r="AB48" s="708"/>
      <c r="AC48" s="708">
        <v>4</v>
      </c>
      <c r="AD48" s="708">
        <v>2</v>
      </c>
      <c r="AE48" s="708">
        <f t="shared" si="14"/>
        <v>10</v>
      </c>
      <c r="AF48" s="708">
        <f t="shared" si="15"/>
        <v>36</v>
      </c>
      <c r="AG48" s="708">
        <f t="shared" si="16"/>
        <v>19</v>
      </c>
      <c r="AH48" s="2031">
        <f t="shared" si="17"/>
        <v>0</v>
      </c>
      <c r="AI48" s="2031">
        <f t="shared" si="18"/>
        <v>0.1111111111111111</v>
      </c>
      <c r="AJ48" s="2031">
        <f t="shared" si="19"/>
        <v>0.10526315789473684</v>
      </c>
    </row>
    <row r="49" spans="1:36" x14ac:dyDescent="0.3">
      <c r="A49" s="433" t="s">
        <v>110</v>
      </c>
      <c r="B49" s="371" t="s">
        <v>111</v>
      </c>
      <c r="C49" s="395" t="s">
        <v>254</v>
      </c>
      <c r="D49" s="643">
        <v>145</v>
      </c>
      <c r="E49" s="644">
        <v>80</v>
      </c>
      <c r="F49" s="644">
        <v>7</v>
      </c>
      <c r="G49" s="305">
        <f t="shared" si="20"/>
        <v>232</v>
      </c>
      <c r="H49" s="643">
        <v>13</v>
      </c>
      <c r="I49" s="644">
        <v>1</v>
      </c>
      <c r="J49" s="644">
        <v>1</v>
      </c>
      <c r="K49" s="305">
        <f t="shared" si="21"/>
        <v>15</v>
      </c>
      <c r="L49" s="643"/>
      <c r="M49" s="644"/>
      <c r="N49" s="644"/>
      <c r="O49" s="305">
        <f t="shared" si="22"/>
        <v>0</v>
      </c>
      <c r="P49" s="645">
        <f t="shared" si="23"/>
        <v>247</v>
      </c>
      <c r="Q49" s="819">
        <f t="shared" si="10"/>
        <v>158</v>
      </c>
      <c r="R49" s="819">
        <f t="shared" si="11"/>
        <v>81</v>
      </c>
      <c r="S49" s="819">
        <f t="shared" si="12"/>
        <v>8</v>
      </c>
      <c r="T49" s="645">
        <f t="shared" si="28"/>
        <v>247</v>
      </c>
      <c r="U49" s="646">
        <f t="shared" si="24"/>
        <v>8.2278481012658222E-2</v>
      </c>
      <c r="V49" s="647">
        <f t="shared" si="25"/>
        <v>1.2345679012345678E-2</v>
      </c>
      <c r="W49" s="648">
        <f t="shared" si="26"/>
        <v>0.125</v>
      </c>
      <c r="X49" s="649">
        <f t="shared" si="27"/>
        <v>6.0728744939271252E-2</v>
      </c>
      <c r="Y49" s="708">
        <v>31</v>
      </c>
      <c r="Z49" s="708">
        <v>122</v>
      </c>
      <c r="AA49" s="708">
        <v>79</v>
      </c>
      <c r="AB49" s="708"/>
      <c r="AC49" s="708">
        <v>9</v>
      </c>
      <c r="AD49" s="708">
        <v>6</v>
      </c>
      <c r="AE49" s="708">
        <f t="shared" si="14"/>
        <v>31</v>
      </c>
      <c r="AF49" s="708">
        <f t="shared" si="15"/>
        <v>131</v>
      </c>
      <c r="AG49" s="708">
        <f t="shared" si="16"/>
        <v>85</v>
      </c>
      <c r="AH49" s="2031">
        <f t="shared" si="17"/>
        <v>0</v>
      </c>
      <c r="AI49" s="2031">
        <f t="shared" si="18"/>
        <v>6.8702290076335881E-2</v>
      </c>
      <c r="AJ49" s="2031">
        <f t="shared" si="19"/>
        <v>7.0588235294117646E-2</v>
      </c>
    </row>
    <row r="50" spans="1:36" x14ac:dyDescent="0.3">
      <c r="A50" s="433" t="s">
        <v>112</v>
      </c>
      <c r="B50" s="371" t="s">
        <v>288</v>
      </c>
      <c r="C50" s="395" t="s">
        <v>253</v>
      </c>
      <c r="D50" s="643">
        <v>73</v>
      </c>
      <c r="E50" s="644">
        <v>26</v>
      </c>
      <c r="F50" s="644">
        <v>1</v>
      </c>
      <c r="G50" s="305">
        <f t="shared" si="20"/>
        <v>100</v>
      </c>
      <c r="H50" s="643">
        <v>6</v>
      </c>
      <c r="I50" s="644">
        <v>2</v>
      </c>
      <c r="J50" s="644"/>
      <c r="K50" s="305">
        <f t="shared" si="21"/>
        <v>8</v>
      </c>
      <c r="L50" s="643"/>
      <c r="M50" s="644"/>
      <c r="N50" s="644"/>
      <c r="O50" s="305">
        <f t="shared" si="22"/>
        <v>0</v>
      </c>
      <c r="P50" s="645">
        <f t="shared" si="23"/>
        <v>108</v>
      </c>
      <c r="Q50" s="819">
        <f t="shared" si="10"/>
        <v>79</v>
      </c>
      <c r="R50" s="819">
        <f t="shared" si="11"/>
        <v>28</v>
      </c>
      <c r="S50" s="819">
        <f t="shared" si="12"/>
        <v>1</v>
      </c>
      <c r="T50" s="645">
        <f t="shared" si="28"/>
        <v>108</v>
      </c>
      <c r="U50" s="646">
        <f t="shared" si="24"/>
        <v>7.5949367088607597E-2</v>
      </c>
      <c r="V50" s="647">
        <f t="shared" si="25"/>
        <v>7.1428571428571425E-2</v>
      </c>
      <c r="W50" s="648">
        <f t="shared" si="26"/>
        <v>0</v>
      </c>
      <c r="X50" s="649">
        <f t="shared" si="27"/>
        <v>7.407407407407407E-2</v>
      </c>
      <c r="Y50" s="708">
        <v>16</v>
      </c>
      <c r="Z50" s="708">
        <v>61</v>
      </c>
      <c r="AA50" s="708">
        <v>23</v>
      </c>
      <c r="AB50" s="708">
        <v>2</v>
      </c>
      <c r="AC50" s="708">
        <v>3</v>
      </c>
      <c r="AD50" s="708">
        <v>3</v>
      </c>
      <c r="AE50" s="708">
        <f t="shared" si="14"/>
        <v>18</v>
      </c>
      <c r="AF50" s="708">
        <f t="shared" si="15"/>
        <v>64</v>
      </c>
      <c r="AG50" s="708">
        <f t="shared" si="16"/>
        <v>26</v>
      </c>
      <c r="AH50" s="2031">
        <f t="shared" si="17"/>
        <v>0.1111111111111111</v>
      </c>
      <c r="AI50" s="2031">
        <f t="shared" si="18"/>
        <v>4.6875E-2</v>
      </c>
      <c r="AJ50" s="2031">
        <f t="shared" si="19"/>
        <v>0.11538461538461539</v>
      </c>
    </row>
    <row r="51" spans="1:36" x14ac:dyDescent="0.3">
      <c r="A51" s="433" t="s">
        <v>114</v>
      </c>
      <c r="B51" s="371" t="s">
        <v>115</v>
      </c>
      <c r="C51" s="395" t="s">
        <v>253</v>
      </c>
      <c r="D51" s="643">
        <v>4</v>
      </c>
      <c r="E51" s="644">
        <v>2</v>
      </c>
      <c r="F51" s="644"/>
      <c r="G51" s="305">
        <f t="shared" si="20"/>
        <v>6</v>
      </c>
      <c r="H51" s="643"/>
      <c r="I51" s="644"/>
      <c r="J51" s="644"/>
      <c r="K51" s="305">
        <f t="shared" si="21"/>
        <v>0</v>
      </c>
      <c r="L51" s="643"/>
      <c r="M51" s="644"/>
      <c r="N51" s="644"/>
      <c r="O51" s="305">
        <f t="shared" si="22"/>
        <v>0</v>
      </c>
      <c r="P51" s="645">
        <f t="shared" si="23"/>
        <v>6</v>
      </c>
      <c r="Q51" s="819">
        <f t="shared" si="10"/>
        <v>4</v>
      </c>
      <c r="R51" s="819">
        <f t="shared" si="11"/>
        <v>2</v>
      </c>
      <c r="S51" s="819">
        <f t="shared" si="12"/>
        <v>0</v>
      </c>
      <c r="T51" s="645">
        <f t="shared" si="28"/>
        <v>6</v>
      </c>
      <c r="U51" s="646">
        <f t="shared" si="24"/>
        <v>0</v>
      </c>
      <c r="V51" s="647">
        <f t="shared" si="25"/>
        <v>0</v>
      </c>
      <c r="W51" s="648" t="str">
        <f t="shared" si="26"/>
        <v>NA</v>
      </c>
      <c r="X51" s="649">
        <f t="shared" si="27"/>
        <v>0</v>
      </c>
      <c r="Y51" s="708">
        <v>2</v>
      </c>
      <c r="Z51" s="708">
        <v>2</v>
      </c>
      <c r="AA51" s="708">
        <v>2</v>
      </c>
      <c r="AB51" s="708"/>
      <c r="AC51" s="708"/>
      <c r="AD51" s="708"/>
      <c r="AE51" s="708">
        <f t="shared" si="14"/>
        <v>2</v>
      </c>
      <c r="AF51" s="708">
        <f t="shared" si="15"/>
        <v>2</v>
      </c>
      <c r="AG51" s="708">
        <f t="shared" si="16"/>
        <v>2</v>
      </c>
      <c r="AH51" s="2031">
        <f t="shared" si="17"/>
        <v>0</v>
      </c>
      <c r="AI51" s="2031">
        <f t="shared" si="18"/>
        <v>0</v>
      </c>
      <c r="AJ51" s="2031">
        <f t="shared" si="19"/>
        <v>0</v>
      </c>
    </row>
    <row r="52" spans="1:36" x14ac:dyDescent="0.3">
      <c r="A52" s="433" t="s">
        <v>118</v>
      </c>
      <c r="B52" s="371" t="s">
        <v>119</v>
      </c>
      <c r="C52" s="395" t="s">
        <v>252</v>
      </c>
      <c r="D52" s="643">
        <v>24</v>
      </c>
      <c r="E52" s="644">
        <v>16</v>
      </c>
      <c r="F52" s="644">
        <v>1</v>
      </c>
      <c r="G52" s="305">
        <f t="shared" si="20"/>
        <v>41</v>
      </c>
      <c r="H52" s="643">
        <v>6</v>
      </c>
      <c r="I52" s="644">
        <v>2</v>
      </c>
      <c r="J52" s="644">
        <v>2</v>
      </c>
      <c r="K52" s="305">
        <f t="shared" si="21"/>
        <v>10</v>
      </c>
      <c r="L52" s="643"/>
      <c r="M52" s="644"/>
      <c r="N52" s="644"/>
      <c r="O52" s="305">
        <f t="shared" si="22"/>
        <v>0</v>
      </c>
      <c r="P52" s="645">
        <f t="shared" si="23"/>
        <v>51</v>
      </c>
      <c r="Q52" s="819">
        <f t="shared" si="10"/>
        <v>30</v>
      </c>
      <c r="R52" s="819">
        <f t="shared" si="11"/>
        <v>18</v>
      </c>
      <c r="S52" s="819">
        <f t="shared" si="12"/>
        <v>3</v>
      </c>
      <c r="T52" s="645">
        <f t="shared" si="28"/>
        <v>51</v>
      </c>
      <c r="U52" s="646">
        <f t="shared" si="24"/>
        <v>0.2</v>
      </c>
      <c r="V52" s="647">
        <f t="shared" si="25"/>
        <v>0.1111111111111111</v>
      </c>
      <c r="W52" s="648">
        <f t="shared" si="26"/>
        <v>0.66666666666666663</v>
      </c>
      <c r="X52" s="649">
        <f t="shared" si="27"/>
        <v>0.19607843137254902</v>
      </c>
      <c r="Y52" s="708">
        <v>12</v>
      </c>
      <c r="Z52" s="708">
        <v>17</v>
      </c>
      <c r="AA52" s="708">
        <v>12</v>
      </c>
      <c r="AB52" s="708">
        <v>2</v>
      </c>
      <c r="AC52" s="708">
        <v>7</v>
      </c>
      <c r="AD52" s="708">
        <v>1</v>
      </c>
      <c r="AE52" s="708">
        <f t="shared" si="14"/>
        <v>14</v>
      </c>
      <c r="AF52" s="708">
        <f t="shared" si="15"/>
        <v>24</v>
      </c>
      <c r="AG52" s="708">
        <f t="shared" si="16"/>
        <v>13</v>
      </c>
      <c r="AH52" s="2031">
        <f t="shared" si="17"/>
        <v>0.14285714285714285</v>
      </c>
      <c r="AI52" s="2031">
        <f t="shared" si="18"/>
        <v>0.29166666666666669</v>
      </c>
      <c r="AJ52" s="2031">
        <f t="shared" si="19"/>
        <v>7.6923076923076927E-2</v>
      </c>
    </row>
    <row r="53" spans="1:36" x14ac:dyDescent="0.3">
      <c r="A53" s="433" t="s">
        <v>120</v>
      </c>
      <c r="B53" s="371" t="s">
        <v>121</v>
      </c>
      <c r="C53" s="395" t="s">
        <v>252</v>
      </c>
      <c r="D53" s="643">
        <v>34</v>
      </c>
      <c r="E53" s="644">
        <v>26</v>
      </c>
      <c r="F53" s="644"/>
      <c r="G53" s="305">
        <f t="shared" si="20"/>
        <v>60</v>
      </c>
      <c r="H53" s="643">
        <v>2</v>
      </c>
      <c r="I53" s="644"/>
      <c r="J53" s="644"/>
      <c r="K53" s="305">
        <f t="shared" si="21"/>
        <v>2</v>
      </c>
      <c r="L53" s="643">
        <v>1</v>
      </c>
      <c r="M53" s="644"/>
      <c r="N53" s="644"/>
      <c r="O53" s="305">
        <f t="shared" si="22"/>
        <v>1</v>
      </c>
      <c r="P53" s="645">
        <f t="shared" si="23"/>
        <v>63</v>
      </c>
      <c r="Q53" s="819">
        <f t="shared" si="10"/>
        <v>36</v>
      </c>
      <c r="R53" s="819">
        <f t="shared" si="11"/>
        <v>26</v>
      </c>
      <c r="S53" s="819">
        <f t="shared" si="12"/>
        <v>0</v>
      </c>
      <c r="T53" s="645">
        <f t="shared" si="28"/>
        <v>62</v>
      </c>
      <c r="U53" s="646">
        <f t="shared" si="24"/>
        <v>5.5555555555555552E-2</v>
      </c>
      <c r="V53" s="647">
        <f t="shared" si="25"/>
        <v>0</v>
      </c>
      <c r="W53" s="648" t="str">
        <f t="shared" si="26"/>
        <v>NA</v>
      </c>
      <c r="X53" s="649">
        <f t="shared" si="27"/>
        <v>3.2258064516129031E-2</v>
      </c>
      <c r="Y53" s="708">
        <v>14</v>
      </c>
      <c r="Z53" s="708">
        <v>27</v>
      </c>
      <c r="AA53" s="708">
        <v>19</v>
      </c>
      <c r="AB53" s="708"/>
      <c r="AC53" s="708">
        <v>1</v>
      </c>
      <c r="AD53" s="708">
        <v>1</v>
      </c>
      <c r="AE53" s="708">
        <f t="shared" si="14"/>
        <v>14</v>
      </c>
      <c r="AF53" s="708">
        <f t="shared" si="15"/>
        <v>28</v>
      </c>
      <c r="AG53" s="708">
        <f t="shared" si="16"/>
        <v>20</v>
      </c>
      <c r="AH53" s="2031">
        <f t="shared" si="17"/>
        <v>0</v>
      </c>
      <c r="AI53" s="2031">
        <f t="shared" si="18"/>
        <v>3.5714285714285712E-2</v>
      </c>
      <c r="AJ53" s="2031">
        <f t="shared" si="19"/>
        <v>0.05</v>
      </c>
    </row>
    <row r="54" spans="1:36" x14ac:dyDescent="0.3">
      <c r="A54" s="433" t="s">
        <v>122</v>
      </c>
      <c r="B54" s="371" t="s">
        <v>259</v>
      </c>
      <c r="C54" s="395" t="s">
        <v>254</v>
      </c>
      <c r="D54" s="643">
        <v>9</v>
      </c>
      <c r="E54" s="644">
        <v>6</v>
      </c>
      <c r="F54" s="644"/>
      <c r="G54" s="305">
        <f t="shared" si="20"/>
        <v>15</v>
      </c>
      <c r="H54" s="643">
        <v>3</v>
      </c>
      <c r="I54" s="644">
        <v>4</v>
      </c>
      <c r="J54" s="644"/>
      <c r="K54" s="305">
        <f t="shared" si="21"/>
        <v>7</v>
      </c>
      <c r="L54" s="643"/>
      <c r="M54" s="644"/>
      <c r="N54" s="644"/>
      <c r="O54" s="305">
        <f t="shared" si="22"/>
        <v>0</v>
      </c>
      <c r="P54" s="645">
        <f t="shared" si="23"/>
        <v>22</v>
      </c>
      <c r="Q54" s="819">
        <f t="shared" si="10"/>
        <v>12</v>
      </c>
      <c r="R54" s="819">
        <f t="shared" si="11"/>
        <v>10</v>
      </c>
      <c r="S54" s="819">
        <f t="shared" si="12"/>
        <v>0</v>
      </c>
      <c r="T54" s="645">
        <f t="shared" si="28"/>
        <v>22</v>
      </c>
      <c r="U54" s="646">
        <f t="shared" si="24"/>
        <v>0.25</v>
      </c>
      <c r="V54" s="647">
        <f t="shared" si="25"/>
        <v>0.4</v>
      </c>
      <c r="W54" s="648" t="str">
        <f t="shared" si="26"/>
        <v>NA</v>
      </c>
      <c r="X54" s="649">
        <f t="shared" si="27"/>
        <v>0.31818181818181818</v>
      </c>
      <c r="Y54" s="708">
        <v>4</v>
      </c>
      <c r="Z54" s="708">
        <v>7</v>
      </c>
      <c r="AA54" s="708">
        <v>4</v>
      </c>
      <c r="AB54" s="708">
        <v>1</v>
      </c>
      <c r="AC54" s="708">
        <v>4</v>
      </c>
      <c r="AD54" s="708">
        <v>2</v>
      </c>
      <c r="AE54" s="708">
        <f t="shared" si="14"/>
        <v>5</v>
      </c>
      <c r="AF54" s="708">
        <f t="shared" si="15"/>
        <v>11</v>
      </c>
      <c r="AG54" s="708">
        <f t="shared" si="16"/>
        <v>6</v>
      </c>
      <c r="AH54" s="2031">
        <f t="shared" si="17"/>
        <v>0.2</v>
      </c>
      <c r="AI54" s="2031">
        <f t="shared" si="18"/>
        <v>0.36363636363636365</v>
      </c>
      <c r="AJ54" s="2031">
        <f t="shared" si="19"/>
        <v>0.33333333333333331</v>
      </c>
    </row>
    <row r="55" spans="1:36" x14ac:dyDescent="0.3">
      <c r="A55" s="433" t="s">
        <v>124</v>
      </c>
      <c r="B55" s="371" t="s">
        <v>125</v>
      </c>
      <c r="C55" s="395" t="s">
        <v>255</v>
      </c>
      <c r="D55" s="643">
        <v>14</v>
      </c>
      <c r="E55" s="644">
        <v>4</v>
      </c>
      <c r="F55" s="644"/>
      <c r="G55" s="305">
        <f t="shared" si="20"/>
        <v>18</v>
      </c>
      <c r="H55" s="643">
        <v>1</v>
      </c>
      <c r="I55" s="644">
        <v>1</v>
      </c>
      <c r="J55" s="644"/>
      <c r="K55" s="305">
        <f t="shared" si="21"/>
        <v>2</v>
      </c>
      <c r="L55" s="643">
        <v>1</v>
      </c>
      <c r="M55" s="644"/>
      <c r="N55" s="644"/>
      <c r="O55" s="305">
        <f t="shared" si="22"/>
        <v>1</v>
      </c>
      <c r="P55" s="645">
        <f t="shared" si="23"/>
        <v>21</v>
      </c>
      <c r="Q55" s="819">
        <f t="shared" si="10"/>
        <v>15</v>
      </c>
      <c r="R55" s="819">
        <f t="shared" si="11"/>
        <v>5</v>
      </c>
      <c r="S55" s="819">
        <f t="shared" si="12"/>
        <v>0</v>
      </c>
      <c r="T55" s="645">
        <f t="shared" si="28"/>
        <v>20</v>
      </c>
      <c r="U55" s="646">
        <f t="shared" si="24"/>
        <v>6.6666666666666666E-2</v>
      </c>
      <c r="V55" s="647">
        <f t="shared" si="25"/>
        <v>0.2</v>
      </c>
      <c r="W55" s="648" t="str">
        <f t="shared" si="26"/>
        <v>NA</v>
      </c>
      <c r="X55" s="649">
        <f t="shared" si="27"/>
        <v>0.1</v>
      </c>
      <c r="Y55" s="708">
        <v>3</v>
      </c>
      <c r="Z55" s="708">
        <v>10</v>
      </c>
      <c r="AA55" s="708">
        <v>5</v>
      </c>
      <c r="AB55" s="708"/>
      <c r="AC55" s="708">
        <v>1</v>
      </c>
      <c r="AD55" s="708">
        <v>1</v>
      </c>
      <c r="AE55" s="708">
        <f t="shared" si="14"/>
        <v>3</v>
      </c>
      <c r="AF55" s="708">
        <f t="shared" si="15"/>
        <v>11</v>
      </c>
      <c r="AG55" s="708">
        <f t="shared" si="16"/>
        <v>6</v>
      </c>
      <c r="AH55" s="2031">
        <f t="shared" si="17"/>
        <v>0</v>
      </c>
      <c r="AI55" s="2031">
        <f t="shared" si="18"/>
        <v>9.0909090909090912E-2</v>
      </c>
      <c r="AJ55" s="2031">
        <f t="shared" si="19"/>
        <v>0.16666666666666666</v>
      </c>
    </row>
    <row r="56" spans="1:36" x14ac:dyDescent="0.3">
      <c r="A56" s="433" t="s">
        <v>126</v>
      </c>
      <c r="B56" s="371" t="s">
        <v>127</v>
      </c>
      <c r="C56" s="395" t="s">
        <v>254</v>
      </c>
      <c r="D56" s="643">
        <v>8</v>
      </c>
      <c r="E56" s="644">
        <v>7</v>
      </c>
      <c r="F56" s="644"/>
      <c r="G56" s="305">
        <f t="shared" si="20"/>
        <v>15</v>
      </c>
      <c r="H56" s="643">
        <v>4</v>
      </c>
      <c r="I56" s="644">
        <v>1</v>
      </c>
      <c r="J56" s="644"/>
      <c r="K56" s="305">
        <f t="shared" si="21"/>
        <v>5</v>
      </c>
      <c r="L56" s="643"/>
      <c r="M56" s="644"/>
      <c r="N56" s="644"/>
      <c r="O56" s="305">
        <f t="shared" si="22"/>
        <v>0</v>
      </c>
      <c r="P56" s="645">
        <f t="shared" si="23"/>
        <v>20</v>
      </c>
      <c r="Q56" s="819">
        <f t="shared" si="10"/>
        <v>12</v>
      </c>
      <c r="R56" s="819">
        <f t="shared" si="11"/>
        <v>8</v>
      </c>
      <c r="S56" s="819">
        <f t="shared" si="12"/>
        <v>0</v>
      </c>
      <c r="T56" s="645">
        <f t="shared" si="28"/>
        <v>20</v>
      </c>
      <c r="U56" s="646">
        <f t="shared" si="24"/>
        <v>0.33333333333333331</v>
      </c>
      <c r="V56" s="647">
        <f t="shared" si="25"/>
        <v>0.125</v>
      </c>
      <c r="W56" s="648" t="str">
        <f t="shared" si="26"/>
        <v>NA</v>
      </c>
      <c r="X56" s="649">
        <f t="shared" si="27"/>
        <v>0.25</v>
      </c>
      <c r="Y56" s="708">
        <v>5</v>
      </c>
      <c r="Z56" s="708">
        <v>8</v>
      </c>
      <c r="AA56" s="708">
        <v>2</v>
      </c>
      <c r="AB56" s="708"/>
      <c r="AC56" s="708">
        <v>4</v>
      </c>
      <c r="AD56" s="708">
        <v>1</v>
      </c>
      <c r="AE56" s="708">
        <f t="shared" si="14"/>
        <v>5</v>
      </c>
      <c r="AF56" s="708">
        <f t="shared" si="15"/>
        <v>12</v>
      </c>
      <c r="AG56" s="708">
        <f t="shared" si="16"/>
        <v>3</v>
      </c>
      <c r="AH56" s="2031">
        <f t="shared" si="17"/>
        <v>0</v>
      </c>
      <c r="AI56" s="2031">
        <f t="shared" si="18"/>
        <v>0.33333333333333331</v>
      </c>
      <c r="AJ56" s="2031">
        <f t="shared" si="19"/>
        <v>0.33333333333333331</v>
      </c>
    </row>
    <row r="57" spans="1:36" x14ac:dyDescent="0.3">
      <c r="A57" s="433" t="s">
        <v>128</v>
      </c>
      <c r="B57" s="371" t="s">
        <v>129</v>
      </c>
      <c r="C57" s="395" t="s">
        <v>254</v>
      </c>
      <c r="D57" s="643">
        <v>12</v>
      </c>
      <c r="E57" s="644">
        <v>7</v>
      </c>
      <c r="F57" s="644"/>
      <c r="G57" s="305">
        <f t="shared" si="20"/>
        <v>19</v>
      </c>
      <c r="H57" s="643">
        <v>5</v>
      </c>
      <c r="I57" s="644">
        <v>2</v>
      </c>
      <c r="J57" s="644"/>
      <c r="K57" s="305">
        <f t="shared" si="21"/>
        <v>7</v>
      </c>
      <c r="L57" s="643"/>
      <c r="M57" s="644"/>
      <c r="N57" s="644"/>
      <c r="O57" s="305">
        <f t="shared" si="22"/>
        <v>0</v>
      </c>
      <c r="P57" s="645">
        <f t="shared" si="23"/>
        <v>26</v>
      </c>
      <c r="Q57" s="819">
        <f t="shared" si="10"/>
        <v>17</v>
      </c>
      <c r="R57" s="819">
        <f t="shared" si="11"/>
        <v>9</v>
      </c>
      <c r="S57" s="819">
        <f t="shared" si="12"/>
        <v>0</v>
      </c>
      <c r="T57" s="645">
        <f t="shared" si="28"/>
        <v>26</v>
      </c>
      <c r="U57" s="646">
        <f t="shared" si="24"/>
        <v>0.29411764705882354</v>
      </c>
      <c r="V57" s="647">
        <f t="shared" si="25"/>
        <v>0.22222222222222221</v>
      </c>
      <c r="W57" s="648" t="str">
        <f t="shared" si="26"/>
        <v>NA</v>
      </c>
      <c r="X57" s="649">
        <f t="shared" si="27"/>
        <v>0.26923076923076922</v>
      </c>
      <c r="Y57" s="708">
        <v>6</v>
      </c>
      <c r="Z57" s="708">
        <v>8</v>
      </c>
      <c r="AA57" s="708">
        <v>5</v>
      </c>
      <c r="AB57" s="708">
        <v>3</v>
      </c>
      <c r="AC57" s="708">
        <v>2</v>
      </c>
      <c r="AD57" s="708">
        <v>2</v>
      </c>
      <c r="AE57" s="708">
        <f t="shared" si="14"/>
        <v>9</v>
      </c>
      <c r="AF57" s="708">
        <f t="shared" si="15"/>
        <v>10</v>
      </c>
      <c r="AG57" s="708">
        <f t="shared" si="16"/>
        <v>7</v>
      </c>
      <c r="AH57" s="2031">
        <f t="shared" si="17"/>
        <v>0.33333333333333331</v>
      </c>
      <c r="AI57" s="2031">
        <f t="shared" si="18"/>
        <v>0.2</v>
      </c>
      <c r="AJ57" s="2031">
        <f t="shared" si="19"/>
        <v>0.2857142857142857</v>
      </c>
    </row>
    <row r="58" spans="1:36" x14ac:dyDescent="0.3">
      <c r="A58" s="433" t="s">
        <v>130</v>
      </c>
      <c r="B58" s="371" t="s">
        <v>131</v>
      </c>
      <c r="C58" s="395" t="s">
        <v>256</v>
      </c>
      <c r="D58" s="643">
        <v>37</v>
      </c>
      <c r="E58" s="644">
        <v>11</v>
      </c>
      <c r="F58" s="644"/>
      <c r="G58" s="305">
        <f t="shared" si="20"/>
        <v>48</v>
      </c>
      <c r="H58" s="643">
        <v>12</v>
      </c>
      <c r="I58" s="644">
        <v>5</v>
      </c>
      <c r="J58" s="644"/>
      <c r="K58" s="305">
        <f t="shared" si="21"/>
        <v>17</v>
      </c>
      <c r="L58" s="643">
        <v>2</v>
      </c>
      <c r="M58" s="644"/>
      <c r="N58" s="644"/>
      <c r="O58" s="305">
        <f t="shared" si="22"/>
        <v>2</v>
      </c>
      <c r="P58" s="645">
        <f t="shared" si="23"/>
        <v>67</v>
      </c>
      <c r="Q58" s="819">
        <f t="shared" si="10"/>
        <v>49</v>
      </c>
      <c r="R58" s="819">
        <f t="shared" si="11"/>
        <v>16</v>
      </c>
      <c r="S58" s="819">
        <f t="shared" si="12"/>
        <v>0</v>
      </c>
      <c r="T58" s="645">
        <f t="shared" si="28"/>
        <v>65</v>
      </c>
      <c r="U58" s="646">
        <f t="shared" si="24"/>
        <v>0.24489795918367346</v>
      </c>
      <c r="V58" s="647">
        <f t="shared" si="25"/>
        <v>0.3125</v>
      </c>
      <c r="W58" s="648" t="str">
        <f t="shared" si="26"/>
        <v>NA</v>
      </c>
      <c r="X58" s="649">
        <f t="shared" si="27"/>
        <v>0.26153846153846155</v>
      </c>
      <c r="Y58" s="708">
        <v>5</v>
      </c>
      <c r="Z58" s="708">
        <v>28</v>
      </c>
      <c r="AA58" s="708">
        <v>15</v>
      </c>
      <c r="AB58" s="708">
        <v>5</v>
      </c>
      <c r="AC58" s="708">
        <v>6</v>
      </c>
      <c r="AD58" s="708">
        <v>6</v>
      </c>
      <c r="AE58" s="708">
        <f t="shared" si="14"/>
        <v>10</v>
      </c>
      <c r="AF58" s="708">
        <f t="shared" si="15"/>
        <v>34</v>
      </c>
      <c r="AG58" s="708">
        <f t="shared" si="16"/>
        <v>21</v>
      </c>
      <c r="AH58" s="2031">
        <f t="shared" si="17"/>
        <v>0.5</v>
      </c>
      <c r="AI58" s="2031">
        <f t="shared" si="18"/>
        <v>0.17647058823529413</v>
      </c>
      <c r="AJ58" s="2031">
        <f t="shared" si="19"/>
        <v>0.2857142857142857</v>
      </c>
    </row>
    <row r="59" spans="1:36" x14ac:dyDescent="0.3">
      <c r="A59" s="433" t="s">
        <v>132</v>
      </c>
      <c r="B59" s="371" t="s">
        <v>133</v>
      </c>
      <c r="C59" s="395" t="s">
        <v>255</v>
      </c>
      <c r="D59" s="643">
        <v>101</v>
      </c>
      <c r="E59" s="644">
        <v>53</v>
      </c>
      <c r="F59" s="644"/>
      <c r="G59" s="305">
        <f t="shared" si="20"/>
        <v>154</v>
      </c>
      <c r="H59" s="643">
        <v>17</v>
      </c>
      <c r="I59" s="644">
        <v>7</v>
      </c>
      <c r="J59" s="644">
        <v>1</v>
      </c>
      <c r="K59" s="305">
        <f t="shared" si="21"/>
        <v>25</v>
      </c>
      <c r="L59" s="643"/>
      <c r="M59" s="644"/>
      <c r="N59" s="644"/>
      <c r="O59" s="305">
        <f t="shared" si="22"/>
        <v>0</v>
      </c>
      <c r="P59" s="645">
        <f t="shared" si="23"/>
        <v>179</v>
      </c>
      <c r="Q59" s="819">
        <f t="shared" si="10"/>
        <v>118</v>
      </c>
      <c r="R59" s="819">
        <f t="shared" si="11"/>
        <v>60</v>
      </c>
      <c r="S59" s="819">
        <f t="shared" si="12"/>
        <v>1</v>
      </c>
      <c r="T59" s="645">
        <f t="shared" si="28"/>
        <v>179</v>
      </c>
      <c r="U59" s="646">
        <f t="shared" si="24"/>
        <v>0.1440677966101695</v>
      </c>
      <c r="V59" s="647">
        <f t="shared" si="25"/>
        <v>0.11666666666666667</v>
      </c>
      <c r="W59" s="648">
        <f t="shared" si="26"/>
        <v>1</v>
      </c>
      <c r="X59" s="649">
        <f t="shared" si="27"/>
        <v>0.13966480446927373</v>
      </c>
      <c r="Y59" s="708">
        <v>31</v>
      </c>
      <c r="Z59" s="708">
        <v>60</v>
      </c>
      <c r="AA59" s="708">
        <v>63</v>
      </c>
      <c r="AB59" s="708">
        <v>5</v>
      </c>
      <c r="AC59" s="708">
        <v>4</v>
      </c>
      <c r="AD59" s="708">
        <v>16</v>
      </c>
      <c r="AE59" s="708">
        <f t="shared" si="14"/>
        <v>36</v>
      </c>
      <c r="AF59" s="708">
        <f t="shared" si="15"/>
        <v>64</v>
      </c>
      <c r="AG59" s="708">
        <f t="shared" si="16"/>
        <v>79</v>
      </c>
      <c r="AH59" s="2031">
        <f t="shared" si="17"/>
        <v>0.1388888888888889</v>
      </c>
      <c r="AI59" s="2031">
        <f t="shared" si="18"/>
        <v>6.25E-2</v>
      </c>
      <c r="AJ59" s="2031">
        <f t="shared" si="19"/>
        <v>0.20253164556962025</v>
      </c>
    </row>
    <row r="60" spans="1:36" x14ac:dyDescent="0.3">
      <c r="A60" s="433" t="s">
        <v>134</v>
      </c>
      <c r="B60" s="371" t="s">
        <v>135</v>
      </c>
      <c r="C60" s="395" t="s">
        <v>255</v>
      </c>
      <c r="D60" s="643">
        <v>37</v>
      </c>
      <c r="E60" s="644">
        <v>8</v>
      </c>
      <c r="F60" s="644"/>
      <c r="G60" s="305">
        <f t="shared" si="20"/>
        <v>45</v>
      </c>
      <c r="H60" s="643">
        <v>3</v>
      </c>
      <c r="I60" s="644">
        <v>1</v>
      </c>
      <c r="J60" s="644"/>
      <c r="K60" s="305">
        <f t="shared" si="21"/>
        <v>4</v>
      </c>
      <c r="L60" s="643"/>
      <c r="M60" s="644"/>
      <c r="N60" s="644"/>
      <c r="O60" s="305">
        <f t="shared" si="22"/>
        <v>0</v>
      </c>
      <c r="P60" s="645">
        <f t="shared" si="23"/>
        <v>49</v>
      </c>
      <c r="Q60" s="819">
        <f t="shared" si="10"/>
        <v>40</v>
      </c>
      <c r="R60" s="819">
        <f t="shared" si="11"/>
        <v>9</v>
      </c>
      <c r="S60" s="819">
        <f t="shared" si="12"/>
        <v>0</v>
      </c>
      <c r="T60" s="645">
        <f t="shared" si="28"/>
        <v>49</v>
      </c>
      <c r="U60" s="646">
        <f t="shared" si="24"/>
        <v>7.4999999999999997E-2</v>
      </c>
      <c r="V60" s="647">
        <f t="shared" si="25"/>
        <v>0.1111111111111111</v>
      </c>
      <c r="W60" s="648" t="str">
        <f t="shared" si="26"/>
        <v>NA</v>
      </c>
      <c r="X60" s="649">
        <f t="shared" si="27"/>
        <v>8.1632653061224483E-2</v>
      </c>
      <c r="Y60" s="708">
        <v>5</v>
      </c>
      <c r="Z60" s="708">
        <v>26</v>
      </c>
      <c r="AA60" s="708">
        <v>14</v>
      </c>
      <c r="AB60" s="708">
        <v>1</v>
      </c>
      <c r="AC60" s="708"/>
      <c r="AD60" s="708">
        <v>3</v>
      </c>
      <c r="AE60" s="708">
        <f t="shared" si="14"/>
        <v>6</v>
      </c>
      <c r="AF60" s="708">
        <f t="shared" si="15"/>
        <v>26</v>
      </c>
      <c r="AG60" s="708">
        <f t="shared" si="16"/>
        <v>17</v>
      </c>
      <c r="AH60" s="2031">
        <f t="shared" si="17"/>
        <v>0.16666666666666666</v>
      </c>
      <c r="AI60" s="2031">
        <f t="shared" si="18"/>
        <v>0</v>
      </c>
      <c r="AJ60" s="2031">
        <f t="shared" si="19"/>
        <v>0.17647058823529413</v>
      </c>
    </row>
    <row r="61" spans="1:36" x14ac:dyDescent="0.3">
      <c r="A61" s="433" t="s">
        <v>136</v>
      </c>
      <c r="B61" s="371" t="s">
        <v>137</v>
      </c>
      <c r="C61" s="395" t="s">
        <v>254</v>
      </c>
      <c r="D61" s="643">
        <v>6</v>
      </c>
      <c r="E61" s="644">
        <v>6</v>
      </c>
      <c r="F61" s="644"/>
      <c r="G61" s="305">
        <f t="shared" si="20"/>
        <v>12</v>
      </c>
      <c r="H61" s="643">
        <v>3</v>
      </c>
      <c r="I61" s="644">
        <v>2</v>
      </c>
      <c r="J61" s="644"/>
      <c r="K61" s="305">
        <f t="shared" si="21"/>
        <v>5</v>
      </c>
      <c r="L61" s="643"/>
      <c r="M61" s="644"/>
      <c r="N61" s="644"/>
      <c r="O61" s="305">
        <f t="shared" si="22"/>
        <v>0</v>
      </c>
      <c r="P61" s="645">
        <f t="shared" si="23"/>
        <v>17</v>
      </c>
      <c r="Q61" s="819">
        <f t="shared" si="10"/>
        <v>9</v>
      </c>
      <c r="R61" s="819">
        <f t="shared" si="11"/>
        <v>8</v>
      </c>
      <c r="S61" s="819">
        <f t="shared" si="12"/>
        <v>0</v>
      </c>
      <c r="T61" s="645">
        <f t="shared" si="28"/>
        <v>17</v>
      </c>
      <c r="U61" s="646">
        <f t="shared" si="24"/>
        <v>0.33333333333333331</v>
      </c>
      <c r="V61" s="647">
        <f t="shared" si="25"/>
        <v>0.25</v>
      </c>
      <c r="W61" s="648" t="str">
        <f t="shared" si="26"/>
        <v>NA</v>
      </c>
      <c r="X61" s="649">
        <f t="shared" si="27"/>
        <v>0.29411764705882354</v>
      </c>
      <c r="Y61" s="708">
        <v>3</v>
      </c>
      <c r="Z61" s="708">
        <v>7</v>
      </c>
      <c r="AA61" s="708">
        <v>2</v>
      </c>
      <c r="AB61" s="708">
        <v>1</v>
      </c>
      <c r="AC61" s="708">
        <v>3</v>
      </c>
      <c r="AD61" s="708">
        <v>1</v>
      </c>
      <c r="AE61" s="708">
        <f t="shared" si="14"/>
        <v>4</v>
      </c>
      <c r="AF61" s="708">
        <f t="shared" si="15"/>
        <v>10</v>
      </c>
      <c r="AG61" s="708">
        <f t="shared" si="16"/>
        <v>3</v>
      </c>
      <c r="AH61" s="2031">
        <f t="shared" si="17"/>
        <v>0.25</v>
      </c>
      <c r="AI61" s="2031">
        <f t="shared" si="18"/>
        <v>0.3</v>
      </c>
      <c r="AJ61" s="2031">
        <f t="shared" si="19"/>
        <v>0.33333333333333331</v>
      </c>
    </row>
    <row r="62" spans="1:36" x14ac:dyDescent="0.3">
      <c r="A62" s="433" t="s">
        <v>140</v>
      </c>
      <c r="B62" s="371" t="s">
        <v>141</v>
      </c>
      <c r="C62" s="395" t="s">
        <v>255</v>
      </c>
      <c r="D62" s="643">
        <v>16</v>
      </c>
      <c r="E62" s="644">
        <v>7</v>
      </c>
      <c r="F62" s="644"/>
      <c r="G62" s="305">
        <f t="shared" si="20"/>
        <v>23</v>
      </c>
      <c r="H62" s="643">
        <v>3</v>
      </c>
      <c r="I62" s="644">
        <v>1</v>
      </c>
      <c r="J62" s="644"/>
      <c r="K62" s="305">
        <f t="shared" si="21"/>
        <v>4</v>
      </c>
      <c r="L62" s="643"/>
      <c r="M62" s="644"/>
      <c r="N62" s="644"/>
      <c r="O62" s="305">
        <f t="shared" si="22"/>
        <v>0</v>
      </c>
      <c r="P62" s="645">
        <f t="shared" si="23"/>
        <v>27</v>
      </c>
      <c r="Q62" s="819">
        <f t="shared" si="10"/>
        <v>19</v>
      </c>
      <c r="R62" s="819">
        <f t="shared" si="11"/>
        <v>8</v>
      </c>
      <c r="S62" s="819">
        <f t="shared" si="12"/>
        <v>0</v>
      </c>
      <c r="T62" s="645">
        <f t="shared" si="28"/>
        <v>27</v>
      </c>
      <c r="U62" s="646">
        <f t="shared" si="24"/>
        <v>0.15789473684210525</v>
      </c>
      <c r="V62" s="647">
        <f t="shared" si="25"/>
        <v>0.125</v>
      </c>
      <c r="W62" s="648" t="str">
        <f t="shared" si="26"/>
        <v>NA</v>
      </c>
      <c r="X62" s="649">
        <f t="shared" si="27"/>
        <v>0.14814814814814814</v>
      </c>
      <c r="Y62" s="708">
        <v>6</v>
      </c>
      <c r="Z62" s="708">
        <v>10</v>
      </c>
      <c r="AA62" s="708">
        <v>7</v>
      </c>
      <c r="AB62" s="708">
        <v>1</v>
      </c>
      <c r="AC62" s="708">
        <v>1</v>
      </c>
      <c r="AD62" s="708">
        <v>2</v>
      </c>
      <c r="AE62" s="708">
        <f t="shared" si="14"/>
        <v>7</v>
      </c>
      <c r="AF62" s="708">
        <f t="shared" si="15"/>
        <v>11</v>
      </c>
      <c r="AG62" s="708">
        <f t="shared" si="16"/>
        <v>9</v>
      </c>
      <c r="AH62" s="2031">
        <f t="shared" si="17"/>
        <v>0.14285714285714285</v>
      </c>
      <c r="AI62" s="2031">
        <f t="shared" si="18"/>
        <v>9.0909090909090912E-2</v>
      </c>
      <c r="AJ62" s="2031">
        <f t="shared" si="19"/>
        <v>0.22222222222222221</v>
      </c>
    </row>
    <row r="63" spans="1:36" x14ac:dyDescent="0.3">
      <c r="A63" s="433" t="s">
        <v>146</v>
      </c>
      <c r="B63" s="371" t="s">
        <v>147</v>
      </c>
      <c r="C63" s="395" t="s">
        <v>252</v>
      </c>
      <c r="D63" s="643">
        <v>9</v>
      </c>
      <c r="E63" s="644">
        <v>7</v>
      </c>
      <c r="F63" s="644"/>
      <c r="G63" s="305">
        <f t="shared" si="20"/>
        <v>16</v>
      </c>
      <c r="H63" s="643">
        <v>2</v>
      </c>
      <c r="I63" s="644">
        <v>1</v>
      </c>
      <c r="J63" s="644"/>
      <c r="K63" s="305">
        <f t="shared" si="21"/>
        <v>3</v>
      </c>
      <c r="L63" s="643">
        <v>1</v>
      </c>
      <c r="M63" s="644"/>
      <c r="N63" s="644"/>
      <c r="O63" s="305">
        <f t="shared" si="22"/>
        <v>1</v>
      </c>
      <c r="P63" s="645">
        <f t="shared" si="23"/>
        <v>20</v>
      </c>
      <c r="Q63" s="819">
        <f t="shared" si="10"/>
        <v>11</v>
      </c>
      <c r="R63" s="819">
        <f t="shared" si="11"/>
        <v>8</v>
      </c>
      <c r="S63" s="819">
        <f t="shared" si="12"/>
        <v>0</v>
      </c>
      <c r="T63" s="645">
        <f t="shared" si="28"/>
        <v>19</v>
      </c>
      <c r="U63" s="646">
        <f t="shared" si="24"/>
        <v>0.18181818181818182</v>
      </c>
      <c r="V63" s="647">
        <f t="shared" si="25"/>
        <v>0.125</v>
      </c>
      <c r="W63" s="648" t="str">
        <f t="shared" si="26"/>
        <v>NA</v>
      </c>
      <c r="X63" s="649">
        <f t="shared" si="27"/>
        <v>0.15789473684210525</v>
      </c>
      <c r="Y63" s="708">
        <v>4</v>
      </c>
      <c r="Z63" s="708">
        <v>7</v>
      </c>
      <c r="AA63" s="708">
        <v>5</v>
      </c>
      <c r="AB63" s="708"/>
      <c r="AC63" s="708">
        <v>3</v>
      </c>
      <c r="AD63" s="708"/>
      <c r="AE63" s="708">
        <f t="shared" si="14"/>
        <v>4</v>
      </c>
      <c r="AF63" s="708">
        <f t="shared" si="15"/>
        <v>10</v>
      </c>
      <c r="AG63" s="708">
        <f t="shared" si="16"/>
        <v>5</v>
      </c>
      <c r="AH63" s="2031">
        <f t="shared" si="17"/>
        <v>0</v>
      </c>
      <c r="AI63" s="2031">
        <f t="shared" si="18"/>
        <v>0.3</v>
      </c>
      <c r="AJ63" s="2031">
        <f t="shared" si="19"/>
        <v>0</v>
      </c>
    </row>
    <row r="64" spans="1:36" x14ac:dyDescent="0.3">
      <c r="A64" s="433" t="s">
        <v>148</v>
      </c>
      <c r="B64" s="371" t="s">
        <v>149</v>
      </c>
      <c r="C64" s="395" t="s">
        <v>253</v>
      </c>
      <c r="D64" s="643">
        <v>23</v>
      </c>
      <c r="E64" s="644">
        <v>13</v>
      </c>
      <c r="F64" s="644"/>
      <c r="G64" s="305">
        <f t="shared" si="20"/>
        <v>36</v>
      </c>
      <c r="H64" s="643">
        <v>9</v>
      </c>
      <c r="I64" s="644"/>
      <c r="J64" s="644"/>
      <c r="K64" s="305">
        <f t="shared" si="21"/>
        <v>9</v>
      </c>
      <c r="L64" s="643"/>
      <c r="M64" s="644"/>
      <c r="N64" s="644"/>
      <c r="O64" s="305">
        <f t="shared" si="22"/>
        <v>0</v>
      </c>
      <c r="P64" s="645">
        <f t="shared" si="23"/>
        <v>45</v>
      </c>
      <c r="Q64" s="819">
        <f t="shared" si="10"/>
        <v>32</v>
      </c>
      <c r="R64" s="819">
        <f t="shared" si="11"/>
        <v>13</v>
      </c>
      <c r="S64" s="819">
        <f t="shared" si="12"/>
        <v>0</v>
      </c>
      <c r="T64" s="645">
        <f t="shared" si="28"/>
        <v>45</v>
      </c>
      <c r="U64" s="646">
        <f t="shared" si="24"/>
        <v>0.28125</v>
      </c>
      <c r="V64" s="647">
        <f t="shared" si="25"/>
        <v>0</v>
      </c>
      <c r="W64" s="648" t="str">
        <f t="shared" si="26"/>
        <v>NA</v>
      </c>
      <c r="X64" s="649">
        <f t="shared" si="27"/>
        <v>0.2</v>
      </c>
      <c r="Y64" s="708">
        <v>9</v>
      </c>
      <c r="Z64" s="708">
        <v>19</v>
      </c>
      <c r="AA64" s="708">
        <v>8</v>
      </c>
      <c r="AB64" s="708">
        <v>1</v>
      </c>
      <c r="AC64" s="708">
        <v>7</v>
      </c>
      <c r="AD64" s="708">
        <v>1</v>
      </c>
      <c r="AE64" s="708">
        <f t="shared" si="14"/>
        <v>10</v>
      </c>
      <c r="AF64" s="708">
        <f t="shared" si="15"/>
        <v>26</v>
      </c>
      <c r="AG64" s="708">
        <f t="shared" si="16"/>
        <v>9</v>
      </c>
      <c r="AH64" s="2031">
        <f t="shared" si="17"/>
        <v>0.1</v>
      </c>
      <c r="AI64" s="2031">
        <f t="shared" si="18"/>
        <v>0.26923076923076922</v>
      </c>
      <c r="AJ64" s="2031">
        <f t="shared" si="19"/>
        <v>0.1111111111111111</v>
      </c>
    </row>
    <row r="65" spans="1:36" x14ac:dyDescent="0.3">
      <c r="A65" s="433" t="s">
        <v>150</v>
      </c>
      <c r="B65" s="371" t="s">
        <v>151</v>
      </c>
      <c r="C65" s="395" t="s">
        <v>254</v>
      </c>
      <c r="D65" s="643">
        <v>9</v>
      </c>
      <c r="E65" s="644">
        <v>7</v>
      </c>
      <c r="F65" s="644"/>
      <c r="G65" s="305">
        <f t="shared" si="20"/>
        <v>16</v>
      </c>
      <c r="H65" s="643">
        <v>3</v>
      </c>
      <c r="I65" s="644"/>
      <c r="J65" s="644"/>
      <c r="K65" s="305">
        <f t="shared" si="21"/>
        <v>3</v>
      </c>
      <c r="L65" s="643"/>
      <c r="M65" s="644"/>
      <c r="N65" s="644"/>
      <c r="O65" s="305">
        <f t="shared" si="22"/>
        <v>0</v>
      </c>
      <c r="P65" s="645">
        <f t="shared" si="23"/>
        <v>19</v>
      </c>
      <c r="Q65" s="819">
        <f t="shared" si="10"/>
        <v>12</v>
      </c>
      <c r="R65" s="819">
        <f t="shared" si="11"/>
        <v>7</v>
      </c>
      <c r="S65" s="819">
        <f t="shared" si="12"/>
        <v>0</v>
      </c>
      <c r="T65" s="645">
        <f t="shared" si="28"/>
        <v>19</v>
      </c>
      <c r="U65" s="646">
        <f t="shared" si="24"/>
        <v>0.25</v>
      </c>
      <c r="V65" s="647">
        <f t="shared" si="25"/>
        <v>0</v>
      </c>
      <c r="W65" s="648" t="str">
        <f t="shared" si="26"/>
        <v>NA</v>
      </c>
      <c r="X65" s="649">
        <f t="shared" si="27"/>
        <v>0.15789473684210525</v>
      </c>
      <c r="Y65" s="708">
        <v>3</v>
      </c>
      <c r="Z65" s="708">
        <v>8</v>
      </c>
      <c r="AA65" s="708">
        <v>5</v>
      </c>
      <c r="AB65" s="708"/>
      <c r="AC65" s="708">
        <v>1</v>
      </c>
      <c r="AD65" s="708">
        <v>2</v>
      </c>
      <c r="AE65" s="708">
        <f t="shared" si="14"/>
        <v>3</v>
      </c>
      <c r="AF65" s="708">
        <f t="shared" si="15"/>
        <v>9</v>
      </c>
      <c r="AG65" s="708">
        <f t="shared" si="16"/>
        <v>7</v>
      </c>
      <c r="AH65" s="2031">
        <f t="shared" si="17"/>
        <v>0</v>
      </c>
      <c r="AI65" s="2031">
        <f t="shared" si="18"/>
        <v>0.1111111111111111</v>
      </c>
      <c r="AJ65" s="2031">
        <f t="shared" si="19"/>
        <v>0.2857142857142857</v>
      </c>
    </row>
    <row r="66" spans="1:36" x14ac:dyDescent="0.3">
      <c r="A66" s="433" t="s">
        <v>152</v>
      </c>
      <c r="B66" s="371" t="s">
        <v>153</v>
      </c>
      <c r="C66" s="395" t="s">
        <v>256</v>
      </c>
      <c r="D66" s="643">
        <v>52</v>
      </c>
      <c r="E66" s="644">
        <v>16</v>
      </c>
      <c r="F66" s="644"/>
      <c r="G66" s="305">
        <f t="shared" si="20"/>
        <v>68</v>
      </c>
      <c r="H66" s="643">
        <v>1</v>
      </c>
      <c r="I66" s="644"/>
      <c r="J66" s="644"/>
      <c r="K66" s="305">
        <f t="shared" si="21"/>
        <v>1</v>
      </c>
      <c r="L66" s="643"/>
      <c r="M66" s="644"/>
      <c r="N66" s="644"/>
      <c r="O66" s="305">
        <f t="shared" si="22"/>
        <v>0</v>
      </c>
      <c r="P66" s="645">
        <f t="shared" si="23"/>
        <v>69</v>
      </c>
      <c r="Q66" s="819">
        <f t="shared" si="10"/>
        <v>53</v>
      </c>
      <c r="R66" s="819">
        <f t="shared" si="11"/>
        <v>16</v>
      </c>
      <c r="S66" s="819">
        <f t="shared" si="12"/>
        <v>0</v>
      </c>
      <c r="T66" s="645">
        <f t="shared" si="28"/>
        <v>69</v>
      </c>
      <c r="U66" s="646">
        <f t="shared" si="24"/>
        <v>1.8867924528301886E-2</v>
      </c>
      <c r="V66" s="647">
        <f t="shared" si="25"/>
        <v>0</v>
      </c>
      <c r="W66" s="648" t="str">
        <f t="shared" si="26"/>
        <v>NA</v>
      </c>
      <c r="X66" s="649">
        <f t="shared" si="27"/>
        <v>1.4492753623188406E-2</v>
      </c>
      <c r="Y66" s="708">
        <v>11</v>
      </c>
      <c r="Z66" s="708">
        <v>38</v>
      </c>
      <c r="AA66" s="708">
        <v>19</v>
      </c>
      <c r="AB66" s="708"/>
      <c r="AC66" s="708">
        <v>1</v>
      </c>
      <c r="AD66" s="708"/>
      <c r="AE66" s="708">
        <f t="shared" si="14"/>
        <v>11</v>
      </c>
      <c r="AF66" s="708">
        <f t="shared" si="15"/>
        <v>39</v>
      </c>
      <c r="AG66" s="708">
        <f t="shared" si="16"/>
        <v>19</v>
      </c>
      <c r="AH66" s="2031">
        <f t="shared" si="17"/>
        <v>0</v>
      </c>
      <c r="AI66" s="2031">
        <f t="shared" si="18"/>
        <v>2.564102564102564E-2</v>
      </c>
      <c r="AJ66" s="2031">
        <f t="shared" si="19"/>
        <v>0</v>
      </c>
    </row>
    <row r="67" spans="1:36" x14ac:dyDescent="0.3">
      <c r="A67" s="433" t="s">
        <v>154</v>
      </c>
      <c r="B67" s="371" t="s">
        <v>155</v>
      </c>
      <c r="C67" s="395" t="s">
        <v>253</v>
      </c>
      <c r="D67" s="643">
        <v>9</v>
      </c>
      <c r="E67" s="644">
        <v>5</v>
      </c>
      <c r="F67" s="644"/>
      <c r="G67" s="305">
        <f t="shared" si="20"/>
        <v>14</v>
      </c>
      <c r="H67" s="643">
        <v>5</v>
      </c>
      <c r="I67" s="644"/>
      <c r="J67" s="644"/>
      <c r="K67" s="305">
        <f t="shared" si="21"/>
        <v>5</v>
      </c>
      <c r="L67" s="643"/>
      <c r="M67" s="644"/>
      <c r="N67" s="644"/>
      <c r="O67" s="305">
        <f t="shared" si="22"/>
        <v>0</v>
      </c>
      <c r="P67" s="645">
        <f t="shared" si="23"/>
        <v>19</v>
      </c>
      <c r="Q67" s="819">
        <f t="shared" si="10"/>
        <v>14</v>
      </c>
      <c r="R67" s="819">
        <f t="shared" si="11"/>
        <v>5</v>
      </c>
      <c r="S67" s="819">
        <f t="shared" si="12"/>
        <v>0</v>
      </c>
      <c r="T67" s="645">
        <f t="shared" si="28"/>
        <v>19</v>
      </c>
      <c r="U67" s="646">
        <f t="shared" si="24"/>
        <v>0.35714285714285715</v>
      </c>
      <c r="V67" s="647">
        <f t="shared" si="25"/>
        <v>0</v>
      </c>
      <c r="W67" s="648" t="str">
        <f t="shared" si="26"/>
        <v>NA</v>
      </c>
      <c r="X67" s="649">
        <f t="shared" si="27"/>
        <v>0.26315789473684209</v>
      </c>
      <c r="Y67" s="708">
        <v>3</v>
      </c>
      <c r="Z67" s="708">
        <v>9</v>
      </c>
      <c r="AA67" s="708">
        <v>2</v>
      </c>
      <c r="AB67" s="708"/>
      <c r="AC67" s="708">
        <v>2</v>
      </c>
      <c r="AD67" s="708">
        <v>3</v>
      </c>
      <c r="AE67" s="708">
        <f t="shared" si="14"/>
        <v>3</v>
      </c>
      <c r="AF67" s="708">
        <f t="shared" si="15"/>
        <v>11</v>
      </c>
      <c r="AG67" s="708">
        <f t="shared" si="16"/>
        <v>5</v>
      </c>
      <c r="AH67" s="2031">
        <f t="shared" si="17"/>
        <v>0</v>
      </c>
      <c r="AI67" s="2031">
        <f t="shared" si="18"/>
        <v>0.18181818181818182</v>
      </c>
      <c r="AJ67" s="2031">
        <f t="shared" si="19"/>
        <v>0.6</v>
      </c>
    </row>
    <row r="68" spans="1:36" x14ac:dyDescent="0.3">
      <c r="A68" s="433" t="s">
        <v>156</v>
      </c>
      <c r="B68" s="371" t="s">
        <v>157</v>
      </c>
      <c r="C68" s="395" t="s">
        <v>254</v>
      </c>
      <c r="D68" s="643">
        <v>9</v>
      </c>
      <c r="E68" s="644">
        <v>9</v>
      </c>
      <c r="F68" s="644"/>
      <c r="G68" s="305">
        <f t="shared" si="20"/>
        <v>18</v>
      </c>
      <c r="H68" s="643">
        <v>3</v>
      </c>
      <c r="I68" s="644"/>
      <c r="J68" s="644">
        <v>1</v>
      </c>
      <c r="K68" s="305">
        <f t="shared" si="21"/>
        <v>4</v>
      </c>
      <c r="L68" s="643"/>
      <c r="M68" s="644"/>
      <c r="N68" s="644"/>
      <c r="O68" s="305">
        <f t="shared" si="22"/>
        <v>0</v>
      </c>
      <c r="P68" s="645">
        <f t="shared" si="23"/>
        <v>22</v>
      </c>
      <c r="Q68" s="819">
        <f t="shared" si="10"/>
        <v>12</v>
      </c>
      <c r="R68" s="819">
        <f t="shared" si="11"/>
        <v>9</v>
      </c>
      <c r="S68" s="819">
        <f t="shared" si="12"/>
        <v>1</v>
      </c>
      <c r="T68" s="645">
        <f t="shared" si="28"/>
        <v>22</v>
      </c>
      <c r="U68" s="646">
        <f t="shared" si="24"/>
        <v>0.25</v>
      </c>
      <c r="V68" s="647">
        <f t="shared" si="25"/>
        <v>0</v>
      </c>
      <c r="W68" s="648">
        <f t="shared" si="26"/>
        <v>1</v>
      </c>
      <c r="X68" s="649">
        <f t="shared" si="27"/>
        <v>0.18181818181818182</v>
      </c>
      <c r="Y68" s="708">
        <v>6</v>
      </c>
      <c r="Z68" s="708">
        <v>8</v>
      </c>
      <c r="AA68" s="708">
        <v>4</v>
      </c>
      <c r="AB68" s="708"/>
      <c r="AC68" s="708">
        <v>2</v>
      </c>
      <c r="AD68" s="708">
        <v>2</v>
      </c>
      <c r="AE68" s="708">
        <f t="shared" si="14"/>
        <v>6</v>
      </c>
      <c r="AF68" s="708">
        <f t="shared" si="15"/>
        <v>10</v>
      </c>
      <c r="AG68" s="708">
        <f t="shared" si="16"/>
        <v>6</v>
      </c>
      <c r="AH68" s="2031">
        <f t="shared" si="17"/>
        <v>0</v>
      </c>
      <c r="AI68" s="2031">
        <f t="shared" si="18"/>
        <v>0.2</v>
      </c>
      <c r="AJ68" s="2031">
        <f t="shared" si="19"/>
        <v>0.33333333333333331</v>
      </c>
    </row>
    <row r="69" spans="1:36" x14ac:dyDescent="0.3">
      <c r="A69" s="433" t="s">
        <v>162</v>
      </c>
      <c r="B69" s="371" t="s">
        <v>163</v>
      </c>
      <c r="C69" s="395" t="s">
        <v>252</v>
      </c>
      <c r="D69" s="643">
        <v>19</v>
      </c>
      <c r="E69" s="644">
        <v>11</v>
      </c>
      <c r="F69" s="644"/>
      <c r="G69" s="305">
        <f t="shared" si="20"/>
        <v>30</v>
      </c>
      <c r="H69" s="643">
        <v>9</v>
      </c>
      <c r="I69" s="644">
        <v>1</v>
      </c>
      <c r="J69" s="644"/>
      <c r="K69" s="305">
        <f t="shared" si="21"/>
        <v>10</v>
      </c>
      <c r="L69" s="643"/>
      <c r="M69" s="644"/>
      <c r="N69" s="644"/>
      <c r="O69" s="305">
        <f t="shared" si="22"/>
        <v>0</v>
      </c>
      <c r="P69" s="645">
        <f t="shared" si="23"/>
        <v>40</v>
      </c>
      <c r="Q69" s="819">
        <f t="shared" si="10"/>
        <v>28</v>
      </c>
      <c r="R69" s="819">
        <f t="shared" si="11"/>
        <v>12</v>
      </c>
      <c r="S69" s="819">
        <f t="shared" si="12"/>
        <v>0</v>
      </c>
      <c r="T69" s="645">
        <f t="shared" si="28"/>
        <v>40</v>
      </c>
      <c r="U69" s="646">
        <f t="shared" si="24"/>
        <v>0.32142857142857145</v>
      </c>
      <c r="V69" s="647">
        <f t="shared" si="25"/>
        <v>8.3333333333333329E-2</v>
      </c>
      <c r="W69" s="648" t="str">
        <f t="shared" si="26"/>
        <v>NA</v>
      </c>
      <c r="X69" s="649">
        <f t="shared" si="27"/>
        <v>0.25</v>
      </c>
      <c r="Y69" s="708">
        <v>8</v>
      </c>
      <c r="Z69" s="708">
        <v>15</v>
      </c>
      <c r="AA69" s="708">
        <v>7</v>
      </c>
      <c r="AB69" s="708">
        <v>1</v>
      </c>
      <c r="AC69" s="708">
        <v>6</v>
      </c>
      <c r="AD69" s="708">
        <v>3</v>
      </c>
      <c r="AE69" s="708">
        <f t="shared" si="14"/>
        <v>9</v>
      </c>
      <c r="AF69" s="708">
        <f t="shared" si="15"/>
        <v>21</v>
      </c>
      <c r="AG69" s="708">
        <f t="shared" si="16"/>
        <v>10</v>
      </c>
      <c r="AH69" s="2031">
        <f t="shared" si="17"/>
        <v>0.1111111111111111</v>
      </c>
      <c r="AI69" s="2031">
        <f t="shared" si="18"/>
        <v>0.2857142857142857</v>
      </c>
      <c r="AJ69" s="2031">
        <f t="shared" si="19"/>
        <v>0.3</v>
      </c>
    </row>
    <row r="70" spans="1:36" x14ac:dyDescent="0.3">
      <c r="A70" s="433" t="s">
        <v>164</v>
      </c>
      <c r="B70" s="371" t="s">
        <v>165</v>
      </c>
      <c r="C70" s="395" t="s">
        <v>254</v>
      </c>
      <c r="D70" s="643">
        <v>9</v>
      </c>
      <c r="E70" s="644">
        <v>7</v>
      </c>
      <c r="F70" s="644"/>
      <c r="G70" s="305">
        <f t="shared" ref="G70:G101" si="29">SUM(D70:F70)</f>
        <v>16</v>
      </c>
      <c r="H70" s="643">
        <v>2</v>
      </c>
      <c r="I70" s="644">
        <v>2</v>
      </c>
      <c r="J70" s="644"/>
      <c r="K70" s="305">
        <f t="shared" ref="K70:K101" si="30">SUM(H70:J70)</f>
        <v>4</v>
      </c>
      <c r="L70" s="643"/>
      <c r="M70" s="644"/>
      <c r="N70" s="644"/>
      <c r="O70" s="305">
        <f t="shared" ref="O70:O101" si="31">SUM(L70:N70)</f>
        <v>0</v>
      </c>
      <c r="P70" s="645">
        <f t="shared" ref="P70:P101" si="32">G70+K70+O70</f>
        <v>20</v>
      </c>
      <c r="Q70" s="819">
        <f t="shared" si="10"/>
        <v>11</v>
      </c>
      <c r="R70" s="819">
        <f t="shared" si="11"/>
        <v>9</v>
      </c>
      <c r="S70" s="819">
        <f t="shared" si="12"/>
        <v>0</v>
      </c>
      <c r="T70" s="645">
        <f t="shared" si="28"/>
        <v>20</v>
      </c>
      <c r="U70" s="646">
        <f t="shared" ref="U70:U101" si="33">IF((D70+H70)=0,"NA",(H70/(D70+H70)))</f>
        <v>0.18181818181818182</v>
      </c>
      <c r="V70" s="647">
        <f t="shared" ref="V70:V101" si="34">IF((E70+I70)=0,"NA",(I70/(E70+I70)))</f>
        <v>0.22222222222222221</v>
      </c>
      <c r="W70" s="648" t="str">
        <f t="shared" ref="W70:W101" si="35">IF((F70+J70)=0,"NA",(J70/(F70+J70)))</f>
        <v>NA</v>
      </c>
      <c r="X70" s="649">
        <f t="shared" ref="X70:X101" si="36">IF((G70+K70)=0,"NA",(K70/(G70+K70)))</f>
        <v>0.2</v>
      </c>
      <c r="Y70" s="708">
        <v>4</v>
      </c>
      <c r="Z70" s="708">
        <v>8</v>
      </c>
      <c r="AA70" s="708">
        <v>4</v>
      </c>
      <c r="AB70" s="708">
        <v>2</v>
      </c>
      <c r="AC70" s="708">
        <v>1</v>
      </c>
      <c r="AD70" s="708">
        <v>1</v>
      </c>
      <c r="AE70" s="708">
        <f t="shared" si="14"/>
        <v>6</v>
      </c>
      <c r="AF70" s="708">
        <f t="shared" si="15"/>
        <v>9</v>
      </c>
      <c r="AG70" s="708">
        <f t="shared" si="16"/>
        <v>5</v>
      </c>
      <c r="AH70" s="2031">
        <f t="shared" si="17"/>
        <v>0.33333333333333331</v>
      </c>
      <c r="AI70" s="2031">
        <f t="shared" si="18"/>
        <v>0.1111111111111111</v>
      </c>
      <c r="AJ70" s="2031">
        <f t="shared" si="19"/>
        <v>0.2</v>
      </c>
    </row>
    <row r="71" spans="1:36" x14ac:dyDescent="0.3">
      <c r="A71" s="433" t="s">
        <v>168</v>
      </c>
      <c r="B71" s="371" t="s">
        <v>169</v>
      </c>
      <c r="C71" s="395" t="s">
        <v>254</v>
      </c>
      <c r="D71" s="643">
        <v>17</v>
      </c>
      <c r="E71" s="644">
        <v>7</v>
      </c>
      <c r="F71" s="644"/>
      <c r="G71" s="305">
        <f t="shared" si="29"/>
        <v>24</v>
      </c>
      <c r="H71" s="643">
        <v>2</v>
      </c>
      <c r="I71" s="644">
        <v>1</v>
      </c>
      <c r="J71" s="644"/>
      <c r="K71" s="305">
        <f t="shared" si="30"/>
        <v>3</v>
      </c>
      <c r="L71" s="643"/>
      <c r="M71" s="644"/>
      <c r="N71" s="644"/>
      <c r="O71" s="305">
        <f t="shared" si="31"/>
        <v>0</v>
      </c>
      <c r="P71" s="645">
        <f t="shared" si="32"/>
        <v>27</v>
      </c>
      <c r="Q71" s="819">
        <f t="shared" ref="Q71:Q126" si="37">D71+H71</f>
        <v>19</v>
      </c>
      <c r="R71" s="819">
        <f t="shared" ref="R71:R126" si="38">E71+I71</f>
        <v>8</v>
      </c>
      <c r="S71" s="819">
        <f t="shared" ref="S71:S126" si="39">F71+J71</f>
        <v>0</v>
      </c>
      <c r="T71" s="645">
        <f t="shared" ref="T71:T102" si="40">G71+K71</f>
        <v>27</v>
      </c>
      <c r="U71" s="646">
        <f t="shared" si="33"/>
        <v>0.10526315789473684</v>
      </c>
      <c r="V71" s="647">
        <f t="shared" si="34"/>
        <v>0.125</v>
      </c>
      <c r="W71" s="648" t="str">
        <f t="shared" si="35"/>
        <v>NA</v>
      </c>
      <c r="X71" s="649">
        <f t="shared" si="36"/>
        <v>0.1111111111111111</v>
      </c>
      <c r="Y71" s="708">
        <v>5</v>
      </c>
      <c r="Z71" s="708">
        <v>15</v>
      </c>
      <c r="AA71" s="708">
        <v>4</v>
      </c>
      <c r="AB71" s="708">
        <v>1</v>
      </c>
      <c r="AC71" s="708">
        <v>2</v>
      </c>
      <c r="AD71" s="708"/>
      <c r="AE71" s="708">
        <f t="shared" ref="AE71:AE126" si="41">Y71+AB71</f>
        <v>6</v>
      </c>
      <c r="AF71" s="708">
        <f t="shared" ref="AF71:AF126" si="42">Z71+AC71</f>
        <v>17</v>
      </c>
      <c r="AG71" s="708">
        <f t="shared" ref="AG71:AG126" si="43">AA71+AD71</f>
        <v>4</v>
      </c>
      <c r="AH71" s="2031">
        <f t="shared" ref="AH71:AH126" si="44">AB71/AE71</f>
        <v>0.16666666666666666</v>
      </c>
      <c r="AI71" s="2031">
        <f t="shared" ref="AI71:AI126" si="45">AC71/AF71</f>
        <v>0.11764705882352941</v>
      </c>
      <c r="AJ71" s="2031">
        <f t="shared" ref="AJ71:AJ126" si="46">AD71/AG71</f>
        <v>0</v>
      </c>
    </row>
    <row r="72" spans="1:36" x14ac:dyDescent="0.3">
      <c r="A72" s="433" t="s">
        <v>170</v>
      </c>
      <c r="B72" s="371" t="s">
        <v>171</v>
      </c>
      <c r="C72" s="395" t="s">
        <v>255</v>
      </c>
      <c r="D72" s="643">
        <v>23</v>
      </c>
      <c r="E72" s="644">
        <v>10</v>
      </c>
      <c r="F72" s="644"/>
      <c r="G72" s="305">
        <f t="shared" si="29"/>
        <v>33</v>
      </c>
      <c r="H72" s="643">
        <v>7</v>
      </c>
      <c r="I72" s="644">
        <v>2</v>
      </c>
      <c r="J72" s="644"/>
      <c r="K72" s="305">
        <f t="shared" si="30"/>
        <v>9</v>
      </c>
      <c r="L72" s="643">
        <v>2</v>
      </c>
      <c r="M72" s="644"/>
      <c r="N72" s="644"/>
      <c r="O72" s="305">
        <f t="shared" si="31"/>
        <v>2</v>
      </c>
      <c r="P72" s="645">
        <f t="shared" si="32"/>
        <v>44</v>
      </c>
      <c r="Q72" s="819">
        <f t="shared" si="37"/>
        <v>30</v>
      </c>
      <c r="R72" s="819">
        <f t="shared" si="38"/>
        <v>12</v>
      </c>
      <c r="S72" s="819">
        <f t="shared" si="39"/>
        <v>0</v>
      </c>
      <c r="T72" s="645">
        <f t="shared" si="40"/>
        <v>42</v>
      </c>
      <c r="U72" s="646">
        <f t="shared" si="33"/>
        <v>0.23333333333333334</v>
      </c>
      <c r="V72" s="647">
        <f t="shared" si="34"/>
        <v>0.16666666666666666</v>
      </c>
      <c r="W72" s="648" t="str">
        <f t="shared" si="35"/>
        <v>NA</v>
      </c>
      <c r="X72" s="649">
        <f t="shared" si="36"/>
        <v>0.21428571428571427</v>
      </c>
      <c r="Y72" s="708">
        <v>8</v>
      </c>
      <c r="Z72" s="708">
        <v>17</v>
      </c>
      <c r="AA72" s="708">
        <v>8</v>
      </c>
      <c r="AB72" s="708">
        <v>1</v>
      </c>
      <c r="AC72" s="708">
        <v>6</v>
      </c>
      <c r="AD72" s="708">
        <v>2</v>
      </c>
      <c r="AE72" s="708">
        <f t="shared" si="41"/>
        <v>9</v>
      </c>
      <c r="AF72" s="708">
        <f t="shared" si="42"/>
        <v>23</v>
      </c>
      <c r="AG72" s="708">
        <f t="shared" si="43"/>
        <v>10</v>
      </c>
      <c r="AH72" s="2031">
        <f t="shared" si="44"/>
        <v>0.1111111111111111</v>
      </c>
      <c r="AI72" s="2031">
        <f t="shared" si="45"/>
        <v>0.2608695652173913</v>
      </c>
      <c r="AJ72" s="2031">
        <f t="shared" si="46"/>
        <v>0.2</v>
      </c>
    </row>
    <row r="73" spans="1:36" x14ac:dyDescent="0.3">
      <c r="A73" s="433" t="s">
        <v>172</v>
      </c>
      <c r="B73" s="371" t="s">
        <v>173</v>
      </c>
      <c r="C73" s="395" t="s">
        <v>255</v>
      </c>
      <c r="D73" s="643">
        <v>24</v>
      </c>
      <c r="E73" s="644">
        <v>5</v>
      </c>
      <c r="F73" s="644"/>
      <c r="G73" s="305">
        <f t="shared" si="29"/>
        <v>29</v>
      </c>
      <c r="H73" s="643">
        <v>1</v>
      </c>
      <c r="I73" s="644"/>
      <c r="J73" s="644"/>
      <c r="K73" s="305">
        <f t="shared" si="30"/>
        <v>1</v>
      </c>
      <c r="L73" s="643"/>
      <c r="M73" s="644"/>
      <c r="N73" s="644"/>
      <c r="O73" s="305">
        <f t="shared" si="31"/>
        <v>0</v>
      </c>
      <c r="P73" s="645">
        <f t="shared" si="32"/>
        <v>30</v>
      </c>
      <c r="Q73" s="819">
        <f t="shared" si="37"/>
        <v>25</v>
      </c>
      <c r="R73" s="819">
        <f t="shared" si="38"/>
        <v>5</v>
      </c>
      <c r="S73" s="819">
        <f t="shared" si="39"/>
        <v>0</v>
      </c>
      <c r="T73" s="645">
        <f t="shared" si="40"/>
        <v>30</v>
      </c>
      <c r="U73" s="646">
        <f t="shared" si="33"/>
        <v>0.04</v>
      </c>
      <c r="V73" s="647">
        <f t="shared" si="34"/>
        <v>0</v>
      </c>
      <c r="W73" s="648" t="str">
        <f t="shared" si="35"/>
        <v>NA</v>
      </c>
      <c r="X73" s="649">
        <f t="shared" si="36"/>
        <v>3.3333333333333333E-2</v>
      </c>
      <c r="Y73" s="708">
        <v>3</v>
      </c>
      <c r="Z73" s="708">
        <v>18</v>
      </c>
      <c r="AA73" s="708">
        <v>8</v>
      </c>
      <c r="AB73" s="708"/>
      <c r="AC73" s="708">
        <v>1</v>
      </c>
      <c r="AD73" s="708"/>
      <c r="AE73" s="708">
        <f t="shared" si="41"/>
        <v>3</v>
      </c>
      <c r="AF73" s="708">
        <f t="shared" si="42"/>
        <v>19</v>
      </c>
      <c r="AG73" s="708">
        <f t="shared" si="43"/>
        <v>8</v>
      </c>
      <c r="AH73" s="2031">
        <f t="shared" si="44"/>
        <v>0</v>
      </c>
      <c r="AI73" s="2031">
        <f t="shared" si="45"/>
        <v>5.2631578947368418E-2</v>
      </c>
      <c r="AJ73" s="2031">
        <f t="shared" si="46"/>
        <v>0</v>
      </c>
    </row>
    <row r="74" spans="1:36" x14ac:dyDescent="0.3">
      <c r="A74" s="433" t="s">
        <v>174</v>
      </c>
      <c r="B74" s="371" t="s">
        <v>175</v>
      </c>
      <c r="C74" s="395" t="s">
        <v>256</v>
      </c>
      <c r="D74" s="643">
        <v>22</v>
      </c>
      <c r="E74" s="644">
        <v>10</v>
      </c>
      <c r="F74" s="644"/>
      <c r="G74" s="305">
        <f t="shared" si="29"/>
        <v>32</v>
      </c>
      <c r="H74" s="643"/>
      <c r="I74" s="644"/>
      <c r="J74" s="644"/>
      <c r="K74" s="305">
        <f t="shared" si="30"/>
        <v>0</v>
      </c>
      <c r="L74" s="643"/>
      <c r="M74" s="644"/>
      <c r="N74" s="644"/>
      <c r="O74" s="305">
        <f t="shared" si="31"/>
        <v>0</v>
      </c>
      <c r="P74" s="645">
        <f t="shared" si="32"/>
        <v>32</v>
      </c>
      <c r="Q74" s="819">
        <f t="shared" si="37"/>
        <v>22</v>
      </c>
      <c r="R74" s="819">
        <f t="shared" si="38"/>
        <v>10</v>
      </c>
      <c r="S74" s="819">
        <f t="shared" si="39"/>
        <v>0</v>
      </c>
      <c r="T74" s="645">
        <f t="shared" si="40"/>
        <v>32</v>
      </c>
      <c r="U74" s="646">
        <f t="shared" si="33"/>
        <v>0</v>
      </c>
      <c r="V74" s="647">
        <f t="shared" si="34"/>
        <v>0</v>
      </c>
      <c r="W74" s="648" t="str">
        <f t="shared" si="35"/>
        <v>NA</v>
      </c>
      <c r="X74" s="649">
        <f t="shared" si="36"/>
        <v>0</v>
      </c>
      <c r="Y74" s="708">
        <v>7</v>
      </c>
      <c r="Z74" s="708">
        <v>16</v>
      </c>
      <c r="AA74" s="708">
        <v>9</v>
      </c>
      <c r="AB74" s="708"/>
      <c r="AC74" s="708"/>
      <c r="AD74" s="708"/>
      <c r="AE74" s="708">
        <f t="shared" si="41"/>
        <v>7</v>
      </c>
      <c r="AF74" s="708">
        <f t="shared" si="42"/>
        <v>16</v>
      </c>
      <c r="AG74" s="708">
        <f t="shared" si="43"/>
        <v>9</v>
      </c>
      <c r="AH74" s="2031">
        <f t="shared" si="44"/>
        <v>0</v>
      </c>
      <c r="AI74" s="2031">
        <f t="shared" si="45"/>
        <v>0</v>
      </c>
      <c r="AJ74" s="2031">
        <f t="shared" si="46"/>
        <v>0</v>
      </c>
    </row>
    <row r="75" spans="1:36" x14ac:dyDescent="0.3">
      <c r="A75" s="433" t="s">
        <v>178</v>
      </c>
      <c r="B75" s="371" t="s">
        <v>179</v>
      </c>
      <c r="C75" s="395" t="s">
        <v>253</v>
      </c>
      <c r="D75" s="643">
        <v>43</v>
      </c>
      <c r="E75" s="644">
        <v>14</v>
      </c>
      <c r="F75" s="644"/>
      <c r="G75" s="305">
        <f t="shared" si="29"/>
        <v>57</v>
      </c>
      <c r="H75" s="643">
        <v>12</v>
      </c>
      <c r="I75" s="644">
        <v>8</v>
      </c>
      <c r="J75" s="644">
        <v>2</v>
      </c>
      <c r="K75" s="305">
        <f t="shared" si="30"/>
        <v>22</v>
      </c>
      <c r="L75" s="643"/>
      <c r="M75" s="644"/>
      <c r="N75" s="644"/>
      <c r="O75" s="305">
        <f t="shared" si="31"/>
        <v>0</v>
      </c>
      <c r="P75" s="645">
        <f t="shared" si="32"/>
        <v>79</v>
      </c>
      <c r="Q75" s="819">
        <f t="shared" si="37"/>
        <v>55</v>
      </c>
      <c r="R75" s="819">
        <f t="shared" si="38"/>
        <v>22</v>
      </c>
      <c r="S75" s="819">
        <f t="shared" si="39"/>
        <v>2</v>
      </c>
      <c r="T75" s="645">
        <f t="shared" si="40"/>
        <v>79</v>
      </c>
      <c r="U75" s="646">
        <f t="shared" si="33"/>
        <v>0.21818181818181817</v>
      </c>
      <c r="V75" s="647">
        <f t="shared" si="34"/>
        <v>0.36363636363636365</v>
      </c>
      <c r="W75" s="648">
        <f t="shared" si="35"/>
        <v>1</v>
      </c>
      <c r="X75" s="649">
        <f t="shared" si="36"/>
        <v>0.27848101265822783</v>
      </c>
      <c r="Y75" s="708">
        <v>10</v>
      </c>
      <c r="Z75" s="708">
        <v>32</v>
      </c>
      <c r="AA75" s="708">
        <v>15</v>
      </c>
      <c r="AB75" s="708">
        <v>7</v>
      </c>
      <c r="AC75" s="708">
        <v>9</v>
      </c>
      <c r="AD75" s="708">
        <v>6</v>
      </c>
      <c r="AE75" s="708">
        <f t="shared" si="41"/>
        <v>17</v>
      </c>
      <c r="AF75" s="708">
        <f t="shared" si="42"/>
        <v>41</v>
      </c>
      <c r="AG75" s="708">
        <f t="shared" si="43"/>
        <v>21</v>
      </c>
      <c r="AH75" s="2031">
        <f t="shared" si="44"/>
        <v>0.41176470588235292</v>
      </c>
      <c r="AI75" s="2031">
        <f t="shared" si="45"/>
        <v>0.21951219512195122</v>
      </c>
      <c r="AJ75" s="2031">
        <f t="shared" si="46"/>
        <v>0.2857142857142857</v>
      </c>
    </row>
    <row r="76" spans="1:36" x14ac:dyDescent="0.3">
      <c r="A76" s="433" t="s">
        <v>182</v>
      </c>
      <c r="B76" s="371" t="s">
        <v>183</v>
      </c>
      <c r="C76" s="395" t="s">
        <v>254</v>
      </c>
      <c r="D76" s="643">
        <v>10</v>
      </c>
      <c r="E76" s="644">
        <v>8</v>
      </c>
      <c r="F76" s="644"/>
      <c r="G76" s="305">
        <f t="shared" si="29"/>
        <v>18</v>
      </c>
      <c r="H76" s="643">
        <v>6</v>
      </c>
      <c r="I76" s="644">
        <v>3</v>
      </c>
      <c r="J76" s="644"/>
      <c r="K76" s="305">
        <f t="shared" si="30"/>
        <v>9</v>
      </c>
      <c r="L76" s="643">
        <v>1</v>
      </c>
      <c r="M76" s="644">
        <v>1</v>
      </c>
      <c r="N76" s="644"/>
      <c r="O76" s="305">
        <f t="shared" si="31"/>
        <v>2</v>
      </c>
      <c r="P76" s="645">
        <f t="shared" si="32"/>
        <v>29</v>
      </c>
      <c r="Q76" s="819">
        <f t="shared" si="37"/>
        <v>16</v>
      </c>
      <c r="R76" s="819">
        <f t="shared" si="38"/>
        <v>11</v>
      </c>
      <c r="S76" s="819">
        <f t="shared" si="39"/>
        <v>0</v>
      </c>
      <c r="T76" s="645">
        <f t="shared" si="40"/>
        <v>27</v>
      </c>
      <c r="U76" s="646">
        <f t="shared" si="33"/>
        <v>0.375</v>
      </c>
      <c r="V76" s="647">
        <f t="shared" si="34"/>
        <v>0.27272727272727271</v>
      </c>
      <c r="W76" s="648" t="str">
        <f t="shared" si="35"/>
        <v>NA</v>
      </c>
      <c r="X76" s="649">
        <f t="shared" si="36"/>
        <v>0.33333333333333331</v>
      </c>
      <c r="Y76" s="708">
        <v>6</v>
      </c>
      <c r="Z76" s="708">
        <v>8</v>
      </c>
      <c r="AA76" s="708">
        <v>4</v>
      </c>
      <c r="AB76" s="708">
        <v>3</v>
      </c>
      <c r="AC76" s="708">
        <v>1</v>
      </c>
      <c r="AD76" s="708">
        <v>5</v>
      </c>
      <c r="AE76" s="708">
        <f t="shared" si="41"/>
        <v>9</v>
      </c>
      <c r="AF76" s="708">
        <f t="shared" si="42"/>
        <v>9</v>
      </c>
      <c r="AG76" s="708">
        <f t="shared" si="43"/>
        <v>9</v>
      </c>
      <c r="AH76" s="2031">
        <f t="shared" si="44"/>
        <v>0.33333333333333331</v>
      </c>
      <c r="AI76" s="2031">
        <f t="shared" si="45"/>
        <v>0.1111111111111111</v>
      </c>
      <c r="AJ76" s="2031">
        <f t="shared" si="46"/>
        <v>0.55555555555555558</v>
      </c>
    </row>
    <row r="77" spans="1:36" x14ac:dyDescent="0.3">
      <c r="A77" s="433" t="s">
        <v>184</v>
      </c>
      <c r="B77" s="371" t="s">
        <v>185</v>
      </c>
      <c r="C77" s="395" t="s">
        <v>254</v>
      </c>
      <c r="D77" s="643">
        <v>30</v>
      </c>
      <c r="E77" s="644">
        <v>5</v>
      </c>
      <c r="F77" s="644"/>
      <c r="G77" s="305">
        <f t="shared" si="29"/>
        <v>35</v>
      </c>
      <c r="H77" s="643">
        <v>7</v>
      </c>
      <c r="I77" s="644">
        <v>1</v>
      </c>
      <c r="J77" s="644">
        <v>2</v>
      </c>
      <c r="K77" s="305">
        <f t="shared" si="30"/>
        <v>10</v>
      </c>
      <c r="L77" s="643"/>
      <c r="M77" s="644"/>
      <c r="N77" s="644"/>
      <c r="O77" s="305">
        <f t="shared" si="31"/>
        <v>0</v>
      </c>
      <c r="P77" s="645">
        <f t="shared" si="32"/>
        <v>45</v>
      </c>
      <c r="Q77" s="819">
        <f t="shared" si="37"/>
        <v>37</v>
      </c>
      <c r="R77" s="819">
        <f t="shared" si="38"/>
        <v>6</v>
      </c>
      <c r="S77" s="819">
        <f t="shared" si="39"/>
        <v>2</v>
      </c>
      <c r="T77" s="645">
        <f t="shared" si="40"/>
        <v>45</v>
      </c>
      <c r="U77" s="646">
        <f t="shared" si="33"/>
        <v>0.1891891891891892</v>
      </c>
      <c r="V77" s="647">
        <f t="shared" si="34"/>
        <v>0.16666666666666666</v>
      </c>
      <c r="W77" s="648">
        <f t="shared" si="35"/>
        <v>1</v>
      </c>
      <c r="X77" s="649">
        <f t="shared" si="36"/>
        <v>0.22222222222222221</v>
      </c>
      <c r="Y77" s="708">
        <v>2</v>
      </c>
      <c r="Z77" s="708">
        <v>27</v>
      </c>
      <c r="AA77" s="708">
        <v>6</v>
      </c>
      <c r="AB77" s="708"/>
      <c r="AC77" s="708">
        <v>6</v>
      </c>
      <c r="AD77" s="708">
        <v>4</v>
      </c>
      <c r="AE77" s="708">
        <f t="shared" si="41"/>
        <v>2</v>
      </c>
      <c r="AF77" s="708">
        <f t="shared" si="42"/>
        <v>33</v>
      </c>
      <c r="AG77" s="708">
        <f t="shared" si="43"/>
        <v>10</v>
      </c>
      <c r="AH77" s="2031">
        <f t="shared" si="44"/>
        <v>0</v>
      </c>
      <c r="AI77" s="2031">
        <f t="shared" si="45"/>
        <v>0.18181818181818182</v>
      </c>
      <c r="AJ77" s="2031">
        <f t="shared" si="46"/>
        <v>0.4</v>
      </c>
    </row>
    <row r="78" spans="1:36" x14ac:dyDescent="0.3">
      <c r="A78" s="433" t="s">
        <v>186</v>
      </c>
      <c r="B78" s="371" t="s">
        <v>187</v>
      </c>
      <c r="C78" s="395" t="s">
        <v>252</v>
      </c>
      <c r="D78" s="643">
        <v>18</v>
      </c>
      <c r="E78" s="644">
        <v>11</v>
      </c>
      <c r="F78" s="644"/>
      <c r="G78" s="305">
        <f t="shared" si="29"/>
        <v>29</v>
      </c>
      <c r="H78" s="643">
        <v>3</v>
      </c>
      <c r="I78" s="644">
        <v>2</v>
      </c>
      <c r="J78" s="644">
        <v>3</v>
      </c>
      <c r="K78" s="305">
        <f t="shared" si="30"/>
        <v>8</v>
      </c>
      <c r="L78" s="643"/>
      <c r="M78" s="644"/>
      <c r="N78" s="644"/>
      <c r="O78" s="305">
        <f t="shared" si="31"/>
        <v>0</v>
      </c>
      <c r="P78" s="645">
        <f t="shared" si="32"/>
        <v>37</v>
      </c>
      <c r="Q78" s="819">
        <f t="shared" si="37"/>
        <v>21</v>
      </c>
      <c r="R78" s="819">
        <f t="shared" si="38"/>
        <v>13</v>
      </c>
      <c r="S78" s="819">
        <f t="shared" si="39"/>
        <v>3</v>
      </c>
      <c r="T78" s="645">
        <f t="shared" si="40"/>
        <v>37</v>
      </c>
      <c r="U78" s="646">
        <f t="shared" si="33"/>
        <v>0.14285714285714285</v>
      </c>
      <c r="V78" s="647">
        <f t="shared" si="34"/>
        <v>0.15384615384615385</v>
      </c>
      <c r="W78" s="648">
        <f t="shared" si="35"/>
        <v>1</v>
      </c>
      <c r="X78" s="649">
        <f t="shared" si="36"/>
        <v>0.21621621621621623</v>
      </c>
      <c r="Y78" s="708">
        <v>9</v>
      </c>
      <c r="Z78" s="708">
        <v>9</v>
      </c>
      <c r="AA78" s="708">
        <v>11</v>
      </c>
      <c r="AB78" s="708">
        <v>3</v>
      </c>
      <c r="AC78" s="708">
        <v>2</v>
      </c>
      <c r="AD78" s="708">
        <v>3</v>
      </c>
      <c r="AE78" s="708">
        <f t="shared" si="41"/>
        <v>12</v>
      </c>
      <c r="AF78" s="708">
        <f t="shared" si="42"/>
        <v>11</v>
      </c>
      <c r="AG78" s="708">
        <f t="shared" si="43"/>
        <v>14</v>
      </c>
      <c r="AH78" s="2031">
        <f t="shared" si="44"/>
        <v>0.25</v>
      </c>
      <c r="AI78" s="2031">
        <f t="shared" si="45"/>
        <v>0.18181818181818182</v>
      </c>
      <c r="AJ78" s="2031">
        <f t="shared" si="46"/>
        <v>0.21428571428571427</v>
      </c>
    </row>
    <row r="79" spans="1:36" x14ac:dyDescent="0.3">
      <c r="A79" s="433" t="s">
        <v>188</v>
      </c>
      <c r="B79" s="371" t="s">
        <v>189</v>
      </c>
      <c r="C79" s="395" t="s">
        <v>255</v>
      </c>
      <c r="D79" s="643">
        <v>200</v>
      </c>
      <c r="E79" s="644">
        <v>78</v>
      </c>
      <c r="F79" s="644">
        <v>2</v>
      </c>
      <c r="G79" s="305">
        <f t="shared" si="29"/>
        <v>280</v>
      </c>
      <c r="H79" s="643">
        <v>22</v>
      </c>
      <c r="I79" s="644">
        <v>10</v>
      </c>
      <c r="J79" s="644"/>
      <c r="K79" s="305">
        <f t="shared" si="30"/>
        <v>32</v>
      </c>
      <c r="L79" s="643"/>
      <c r="M79" s="644">
        <v>1</v>
      </c>
      <c r="N79" s="644"/>
      <c r="O79" s="305">
        <f t="shared" si="31"/>
        <v>1</v>
      </c>
      <c r="P79" s="645">
        <f t="shared" si="32"/>
        <v>313</v>
      </c>
      <c r="Q79" s="819">
        <f t="shared" si="37"/>
        <v>222</v>
      </c>
      <c r="R79" s="819">
        <f t="shared" si="38"/>
        <v>88</v>
      </c>
      <c r="S79" s="819">
        <f t="shared" si="39"/>
        <v>2</v>
      </c>
      <c r="T79" s="645">
        <f t="shared" si="40"/>
        <v>312</v>
      </c>
      <c r="U79" s="646">
        <f t="shared" si="33"/>
        <v>9.90990990990991E-2</v>
      </c>
      <c r="V79" s="647">
        <f t="shared" si="34"/>
        <v>0.11363636363636363</v>
      </c>
      <c r="W79" s="648">
        <f t="shared" si="35"/>
        <v>0</v>
      </c>
      <c r="X79" s="649">
        <f t="shared" si="36"/>
        <v>0.10256410256410256</v>
      </c>
      <c r="Y79" s="708">
        <v>47</v>
      </c>
      <c r="Z79" s="708">
        <v>155</v>
      </c>
      <c r="AA79" s="708">
        <v>78</v>
      </c>
      <c r="AB79" s="708">
        <v>7</v>
      </c>
      <c r="AC79" s="708">
        <v>13</v>
      </c>
      <c r="AD79" s="708">
        <v>12</v>
      </c>
      <c r="AE79" s="708">
        <f t="shared" si="41"/>
        <v>54</v>
      </c>
      <c r="AF79" s="708">
        <f t="shared" si="42"/>
        <v>168</v>
      </c>
      <c r="AG79" s="708">
        <f t="shared" si="43"/>
        <v>90</v>
      </c>
      <c r="AH79" s="2031">
        <f t="shared" si="44"/>
        <v>0.12962962962962962</v>
      </c>
      <c r="AI79" s="2031">
        <f t="shared" si="45"/>
        <v>7.7380952380952384E-2</v>
      </c>
      <c r="AJ79" s="2031">
        <f t="shared" si="46"/>
        <v>0.13333333333333333</v>
      </c>
    </row>
    <row r="80" spans="1:36" x14ac:dyDescent="0.3">
      <c r="A80" s="433" t="s">
        <v>190</v>
      </c>
      <c r="B80" s="371" t="s">
        <v>191</v>
      </c>
      <c r="C80" s="395" t="s">
        <v>256</v>
      </c>
      <c r="D80" s="643">
        <v>35</v>
      </c>
      <c r="E80" s="644">
        <v>19</v>
      </c>
      <c r="F80" s="644"/>
      <c r="G80" s="305">
        <f t="shared" si="29"/>
        <v>54</v>
      </c>
      <c r="H80" s="643">
        <v>8</v>
      </c>
      <c r="I80" s="644">
        <v>3</v>
      </c>
      <c r="J80" s="644"/>
      <c r="K80" s="305">
        <f t="shared" si="30"/>
        <v>11</v>
      </c>
      <c r="L80" s="643"/>
      <c r="M80" s="644"/>
      <c r="N80" s="644"/>
      <c r="O80" s="305">
        <f t="shared" si="31"/>
        <v>0</v>
      </c>
      <c r="P80" s="645">
        <f t="shared" si="32"/>
        <v>65</v>
      </c>
      <c r="Q80" s="819">
        <f t="shared" si="37"/>
        <v>43</v>
      </c>
      <c r="R80" s="819">
        <f t="shared" si="38"/>
        <v>22</v>
      </c>
      <c r="S80" s="819">
        <f t="shared" si="39"/>
        <v>0</v>
      </c>
      <c r="T80" s="645">
        <f t="shared" si="40"/>
        <v>65</v>
      </c>
      <c r="U80" s="646">
        <f t="shared" si="33"/>
        <v>0.18604651162790697</v>
      </c>
      <c r="V80" s="647">
        <f t="shared" si="34"/>
        <v>0.13636363636363635</v>
      </c>
      <c r="W80" s="648" t="str">
        <f t="shared" si="35"/>
        <v>NA</v>
      </c>
      <c r="X80" s="649">
        <f t="shared" si="36"/>
        <v>0.16923076923076924</v>
      </c>
      <c r="Y80" s="708">
        <v>12</v>
      </c>
      <c r="Z80" s="708">
        <v>25</v>
      </c>
      <c r="AA80" s="708">
        <v>17</v>
      </c>
      <c r="AB80" s="708"/>
      <c r="AC80" s="708">
        <v>6</v>
      </c>
      <c r="AD80" s="708">
        <v>5</v>
      </c>
      <c r="AE80" s="708">
        <f t="shared" si="41"/>
        <v>12</v>
      </c>
      <c r="AF80" s="708">
        <f t="shared" si="42"/>
        <v>31</v>
      </c>
      <c r="AG80" s="708">
        <f t="shared" si="43"/>
        <v>22</v>
      </c>
      <c r="AH80" s="2031">
        <f t="shared" si="44"/>
        <v>0</v>
      </c>
      <c r="AI80" s="2031">
        <f t="shared" si="45"/>
        <v>0.19354838709677419</v>
      </c>
      <c r="AJ80" s="2031">
        <f t="shared" si="46"/>
        <v>0.22727272727272727</v>
      </c>
    </row>
    <row r="81" spans="1:36" x14ac:dyDescent="0.3">
      <c r="A81" s="433" t="s">
        <v>194</v>
      </c>
      <c r="B81" s="371" t="s">
        <v>195</v>
      </c>
      <c r="C81" s="395" t="s">
        <v>255</v>
      </c>
      <c r="D81" s="643">
        <v>8</v>
      </c>
      <c r="E81" s="644">
        <v>5</v>
      </c>
      <c r="F81" s="644">
        <v>1</v>
      </c>
      <c r="G81" s="305">
        <f t="shared" si="29"/>
        <v>14</v>
      </c>
      <c r="H81" s="643">
        <v>1</v>
      </c>
      <c r="I81" s="644"/>
      <c r="J81" s="644"/>
      <c r="K81" s="305">
        <f t="shared" si="30"/>
        <v>1</v>
      </c>
      <c r="L81" s="643"/>
      <c r="M81" s="644"/>
      <c r="N81" s="644"/>
      <c r="O81" s="305">
        <f t="shared" si="31"/>
        <v>0</v>
      </c>
      <c r="P81" s="645">
        <f t="shared" si="32"/>
        <v>15</v>
      </c>
      <c r="Q81" s="819">
        <f t="shared" si="37"/>
        <v>9</v>
      </c>
      <c r="R81" s="819">
        <f t="shared" si="38"/>
        <v>5</v>
      </c>
      <c r="S81" s="819">
        <f t="shared" si="39"/>
        <v>1</v>
      </c>
      <c r="T81" s="645">
        <f t="shared" si="40"/>
        <v>15</v>
      </c>
      <c r="U81" s="646">
        <f t="shared" si="33"/>
        <v>0.1111111111111111</v>
      </c>
      <c r="V81" s="647">
        <f t="shared" si="34"/>
        <v>0</v>
      </c>
      <c r="W81" s="648">
        <f t="shared" si="35"/>
        <v>0</v>
      </c>
      <c r="X81" s="649">
        <f t="shared" si="36"/>
        <v>6.6666666666666666E-2</v>
      </c>
      <c r="Y81" s="708">
        <v>4</v>
      </c>
      <c r="Z81" s="708">
        <v>4</v>
      </c>
      <c r="AA81" s="708">
        <v>6</v>
      </c>
      <c r="AB81" s="708"/>
      <c r="AC81" s="708"/>
      <c r="AD81" s="708">
        <v>1</v>
      </c>
      <c r="AE81" s="708">
        <f t="shared" si="41"/>
        <v>4</v>
      </c>
      <c r="AF81" s="708">
        <f t="shared" si="42"/>
        <v>4</v>
      </c>
      <c r="AG81" s="708">
        <f t="shared" si="43"/>
        <v>7</v>
      </c>
      <c r="AH81" s="2031">
        <f t="shared" si="44"/>
        <v>0</v>
      </c>
      <c r="AI81" s="2031">
        <f t="shared" si="45"/>
        <v>0</v>
      </c>
      <c r="AJ81" s="2031">
        <f t="shared" si="46"/>
        <v>0.14285714285714285</v>
      </c>
    </row>
    <row r="82" spans="1:36" x14ac:dyDescent="0.3">
      <c r="A82" s="433" t="s">
        <v>198</v>
      </c>
      <c r="B82" s="371" t="s">
        <v>199</v>
      </c>
      <c r="C82" s="395" t="s">
        <v>254</v>
      </c>
      <c r="D82" s="643">
        <v>9</v>
      </c>
      <c r="E82" s="644">
        <v>5</v>
      </c>
      <c r="F82" s="644"/>
      <c r="G82" s="305">
        <f t="shared" si="29"/>
        <v>14</v>
      </c>
      <c r="H82" s="643"/>
      <c r="I82" s="644">
        <v>1</v>
      </c>
      <c r="J82" s="644"/>
      <c r="K82" s="305">
        <f t="shared" si="30"/>
        <v>1</v>
      </c>
      <c r="L82" s="643"/>
      <c r="M82" s="644"/>
      <c r="N82" s="644"/>
      <c r="O82" s="305">
        <f t="shared" si="31"/>
        <v>0</v>
      </c>
      <c r="P82" s="645">
        <f t="shared" si="32"/>
        <v>15</v>
      </c>
      <c r="Q82" s="819">
        <f t="shared" si="37"/>
        <v>9</v>
      </c>
      <c r="R82" s="819">
        <f t="shared" si="38"/>
        <v>6</v>
      </c>
      <c r="S82" s="819">
        <f t="shared" si="39"/>
        <v>0</v>
      </c>
      <c r="T82" s="645">
        <f t="shared" si="40"/>
        <v>15</v>
      </c>
      <c r="U82" s="646">
        <f t="shared" si="33"/>
        <v>0</v>
      </c>
      <c r="V82" s="647">
        <f t="shared" si="34"/>
        <v>0.16666666666666666</v>
      </c>
      <c r="W82" s="648" t="str">
        <f t="shared" si="35"/>
        <v>NA</v>
      </c>
      <c r="X82" s="649">
        <f t="shared" si="36"/>
        <v>6.6666666666666666E-2</v>
      </c>
      <c r="Y82" s="708">
        <v>2</v>
      </c>
      <c r="Z82" s="708">
        <v>9</v>
      </c>
      <c r="AA82" s="708">
        <v>3</v>
      </c>
      <c r="AB82" s="708"/>
      <c r="AC82" s="708"/>
      <c r="AD82" s="708">
        <v>1</v>
      </c>
      <c r="AE82" s="708">
        <f t="shared" si="41"/>
        <v>2</v>
      </c>
      <c r="AF82" s="708">
        <f t="shared" si="42"/>
        <v>9</v>
      </c>
      <c r="AG82" s="708">
        <f t="shared" si="43"/>
        <v>4</v>
      </c>
      <c r="AH82" s="2031">
        <f t="shared" si="44"/>
        <v>0</v>
      </c>
      <c r="AI82" s="2031">
        <f t="shared" si="45"/>
        <v>0</v>
      </c>
      <c r="AJ82" s="2031">
        <f t="shared" si="46"/>
        <v>0.25</v>
      </c>
    </row>
    <row r="83" spans="1:36" x14ac:dyDescent="0.3">
      <c r="A83" s="433" t="s">
        <v>202</v>
      </c>
      <c r="B83" s="371" t="s">
        <v>474</v>
      </c>
      <c r="C83" s="395" t="s">
        <v>253</v>
      </c>
      <c r="D83" s="643">
        <v>77</v>
      </c>
      <c r="E83" s="644">
        <v>30</v>
      </c>
      <c r="F83" s="644"/>
      <c r="G83" s="305">
        <f t="shared" si="29"/>
        <v>107</v>
      </c>
      <c r="H83" s="643">
        <v>3</v>
      </c>
      <c r="I83" s="644"/>
      <c r="J83" s="644"/>
      <c r="K83" s="305">
        <f t="shared" si="30"/>
        <v>3</v>
      </c>
      <c r="L83" s="643"/>
      <c r="M83" s="644"/>
      <c r="N83" s="644"/>
      <c r="O83" s="305">
        <f t="shared" si="31"/>
        <v>0</v>
      </c>
      <c r="P83" s="645">
        <f t="shared" si="32"/>
        <v>110</v>
      </c>
      <c r="Q83" s="819">
        <f t="shared" si="37"/>
        <v>80</v>
      </c>
      <c r="R83" s="819">
        <f t="shared" si="38"/>
        <v>30</v>
      </c>
      <c r="S83" s="819">
        <f t="shared" si="39"/>
        <v>0</v>
      </c>
      <c r="T83" s="645">
        <f t="shared" si="40"/>
        <v>110</v>
      </c>
      <c r="U83" s="646">
        <f t="shared" si="33"/>
        <v>3.7499999999999999E-2</v>
      </c>
      <c r="V83" s="647">
        <f t="shared" si="34"/>
        <v>0</v>
      </c>
      <c r="W83" s="648" t="str">
        <f t="shared" si="35"/>
        <v>NA</v>
      </c>
      <c r="X83" s="649">
        <f t="shared" si="36"/>
        <v>2.7272727272727271E-2</v>
      </c>
      <c r="Y83" s="708">
        <v>20</v>
      </c>
      <c r="Z83" s="708">
        <v>49</v>
      </c>
      <c r="AA83" s="708">
        <v>38</v>
      </c>
      <c r="AB83" s="708"/>
      <c r="AC83" s="708">
        <v>1</v>
      </c>
      <c r="AD83" s="708">
        <v>2</v>
      </c>
      <c r="AE83" s="708">
        <f t="shared" si="41"/>
        <v>20</v>
      </c>
      <c r="AF83" s="708">
        <f t="shared" si="42"/>
        <v>50</v>
      </c>
      <c r="AG83" s="708">
        <f t="shared" si="43"/>
        <v>40</v>
      </c>
      <c r="AH83" s="2031">
        <f t="shared" si="44"/>
        <v>0</v>
      </c>
      <c r="AI83" s="2031">
        <f t="shared" si="45"/>
        <v>0.02</v>
      </c>
      <c r="AJ83" s="2031">
        <f t="shared" si="46"/>
        <v>0.05</v>
      </c>
    </row>
    <row r="84" spans="1:36" x14ac:dyDescent="0.3">
      <c r="A84" s="433" t="s">
        <v>204</v>
      </c>
      <c r="B84" s="371" t="s">
        <v>281</v>
      </c>
      <c r="C84" s="395" t="s">
        <v>253</v>
      </c>
      <c r="D84" s="643">
        <v>29</v>
      </c>
      <c r="E84" s="644">
        <v>7</v>
      </c>
      <c r="F84" s="644"/>
      <c r="G84" s="305">
        <f t="shared" si="29"/>
        <v>36</v>
      </c>
      <c r="H84" s="643">
        <v>9</v>
      </c>
      <c r="I84" s="644">
        <v>6</v>
      </c>
      <c r="J84" s="644">
        <v>1</v>
      </c>
      <c r="K84" s="305">
        <f t="shared" si="30"/>
        <v>16</v>
      </c>
      <c r="L84" s="643"/>
      <c r="M84" s="644"/>
      <c r="N84" s="644"/>
      <c r="O84" s="305">
        <f t="shared" si="31"/>
        <v>0</v>
      </c>
      <c r="P84" s="645">
        <f t="shared" si="32"/>
        <v>52</v>
      </c>
      <c r="Q84" s="819">
        <f t="shared" si="37"/>
        <v>38</v>
      </c>
      <c r="R84" s="819">
        <f t="shared" si="38"/>
        <v>13</v>
      </c>
      <c r="S84" s="819">
        <f t="shared" si="39"/>
        <v>1</v>
      </c>
      <c r="T84" s="645">
        <f t="shared" si="40"/>
        <v>52</v>
      </c>
      <c r="U84" s="646">
        <f t="shared" si="33"/>
        <v>0.23684210526315788</v>
      </c>
      <c r="V84" s="647">
        <f t="shared" si="34"/>
        <v>0.46153846153846156</v>
      </c>
      <c r="W84" s="648">
        <f t="shared" si="35"/>
        <v>1</v>
      </c>
      <c r="X84" s="649">
        <f t="shared" si="36"/>
        <v>0.30769230769230771</v>
      </c>
      <c r="Y84" s="708">
        <v>4</v>
      </c>
      <c r="Z84" s="708">
        <v>22</v>
      </c>
      <c r="AA84" s="708">
        <v>10</v>
      </c>
      <c r="AB84" s="708">
        <v>6</v>
      </c>
      <c r="AC84" s="708">
        <v>2</v>
      </c>
      <c r="AD84" s="708">
        <v>8</v>
      </c>
      <c r="AE84" s="708">
        <f t="shared" si="41"/>
        <v>10</v>
      </c>
      <c r="AF84" s="708">
        <f t="shared" si="42"/>
        <v>24</v>
      </c>
      <c r="AG84" s="708">
        <f t="shared" si="43"/>
        <v>18</v>
      </c>
      <c r="AH84" s="2031">
        <f t="shared" si="44"/>
        <v>0.6</v>
      </c>
      <c r="AI84" s="2031">
        <f t="shared" si="45"/>
        <v>8.3333333333333329E-2</v>
      </c>
      <c r="AJ84" s="2031">
        <f t="shared" si="46"/>
        <v>0.44444444444444442</v>
      </c>
    </row>
    <row r="85" spans="1:36" x14ac:dyDescent="0.3">
      <c r="A85" s="433" t="s">
        <v>206</v>
      </c>
      <c r="B85" s="371" t="s">
        <v>282</v>
      </c>
      <c r="C85" s="395" t="s">
        <v>255</v>
      </c>
      <c r="D85" s="643">
        <v>105</v>
      </c>
      <c r="E85" s="644">
        <v>28</v>
      </c>
      <c r="F85" s="644"/>
      <c r="G85" s="305">
        <f t="shared" si="29"/>
        <v>133</v>
      </c>
      <c r="H85" s="643">
        <v>13</v>
      </c>
      <c r="I85" s="644">
        <v>2</v>
      </c>
      <c r="J85" s="644"/>
      <c r="K85" s="305">
        <f t="shared" si="30"/>
        <v>15</v>
      </c>
      <c r="L85" s="643">
        <v>2</v>
      </c>
      <c r="M85" s="644"/>
      <c r="N85" s="644"/>
      <c r="O85" s="305">
        <f t="shared" si="31"/>
        <v>2</v>
      </c>
      <c r="P85" s="645">
        <f t="shared" si="32"/>
        <v>150</v>
      </c>
      <c r="Q85" s="819">
        <f t="shared" si="37"/>
        <v>118</v>
      </c>
      <c r="R85" s="819">
        <f t="shared" si="38"/>
        <v>30</v>
      </c>
      <c r="S85" s="819">
        <f t="shared" si="39"/>
        <v>0</v>
      </c>
      <c r="T85" s="645">
        <f t="shared" si="40"/>
        <v>148</v>
      </c>
      <c r="U85" s="646">
        <f t="shared" si="33"/>
        <v>0.11016949152542373</v>
      </c>
      <c r="V85" s="647">
        <f t="shared" si="34"/>
        <v>6.6666666666666666E-2</v>
      </c>
      <c r="W85" s="648" t="str">
        <f t="shared" si="35"/>
        <v>NA</v>
      </c>
      <c r="X85" s="649">
        <f t="shared" si="36"/>
        <v>0.10135135135135136</v>
      </c>
      <c r="Y85" s="708">
        <v>15</v>
      </c>
      <c r="Z85" s="708">
        <v>66</v>
      </c>
      <c r="AA85" s="708">
        <v>52</v>
      </c>
      <c r="AB85" s="708">
        <v>1</v>
      </c>
      <c r="AC85" s="708">
        <v>8</v>
      </c>
      <c r="AD85" s="708">
        <v>6</v>
      </c>
      <c r="AE85" s="708">
        <f t="shared" si="41"/>
        <v>16</v>
      </c>
      <c r="AF85" s="708">
        <f t="shared" si="42"/>
        <v>74</v>
      </c>
      <c r="AG85" s="708">
        <f t="shared" si="43"/>
        <v>58</v>
      </c>
      <c r="AH85" s="2031">
        <f t="shared" si="44"/>
        <v>6.25E-2</v>
      </c>
      <c r="AI85" s="2031">
        <f t="shared" si="45"/>
        <v>0.10810810810810811</v>
      </c>
      <c r="AJ85" s="2031">
        <f t="shared" si="46"/>
        <v>0.10344827586206896</v>
      </c>
    </row>
    <row r="86" spans="1:36" x14ac:dyDescent="0.3">
      <c r="A86" s="433" t="s">
        <v>208</v>
      </c>
      <c r="B86" s="371" t="s">
        <v>209</v>
      </c>
      <c r="C86" s="395" t="s">
        <v>256</v>
      </c>
      <c r="D86" s="643">
        <v>30</v>
      </c>
      <c r="E86" s="644">
        <v>13</v>
      </c>
      <c r="F86" s="644">
        <v>1</v>
      </c>
      <c r="G86" s="305">
        <f t="shared" si="29"/>
        <v>44</v>
      </c>
      <c r="H86" s="643">
        <v>6</v>
      </c>
      <c r="I86" s="644">
        <v>1</v>
      </c>
      <c r="J86" s="644"/>
      <c r="K86" s="305">
        <f t="shared" si="30"/>
        <v>7</v>
      </c>
      <c r="L86" s="643"/>
      <c r="M86" s="644"/>
      <c r="N86" s="644"/>
      <c r="O86" s="305">
        <f t="shared" si="31"/>
        <v>0</v>
      </c>
      <c r="P86" s="645">
        <f t="shared" si="32"/>
        <v>51</v>
      </c>
      <c r="Q86" s="819">
        <f t="shared" si="37"/>
        <v>36</v>
      </c>
      <c r="R86" s="819">
        <f t="shared" si="38"/>
        <v>14</v>
      </c>
      <c r="S86" s="819">
        <f t="shared" si="39"/>
        <v>1</v>
      </c>
      <c r="T86" s="645">
        <f t="shared" si="40"/>
        <v>51</v>
      </c>
      <c r="U86" s="646">
        <f t="shared" si="33"/>
        <v>0.16666666666666666</v>
      </c>
      <c r="V86" s="647">
        <f t="shared" si="34"/>
        <v>7.1428571428571425E-2</v>
      </c>
      <c r="W86" s="648">
        <f t="shared" si="35"/>
        <v>0</v>
      </c>
      <c r="X86" s="649">
        <f t="shared" si="36"/>
        <v>0.13725490196078433</v>
      </c>
      <c r="Y86" s="708">
        <v>7</v>
      </c>
      <c r="Z86" s="708">
        <v>24</v>
      </c>
      <c r="AA86" s="708">
        <v>13</v>
      </c>
      <c r="AB86" s="708">
        <v>1</v>
      </c>
      <c r="AC86" s="708">
        <v>1</v>
      </c>
      <c r="AD86" s="708">
        <v>5</v>
      </c>
      <c r="AE86" s="708">
        <f t="shared" si="41"/>
        <v>8</v>
      </c>
      <c r="AF86" s="708">
        <f t="shared" si="42"/>
        <v>25</v>
      </c>
      <c r="AG86" s="708">
        <f t="shared" si="43"/>
        <v>18</v>
      </c>
      <c r="AH86" s="2031">
        <f t="shared" si="44"/>
        <v>0.125</v>
      </c>
      <c r="AI86" s="2031">
        <f t="shared" si="45"/>
        <v>0.04</v>
      </c>
      <c r="AJ86" s="2031">
        <f t="shared" si="46"/>
        <v>0.27777777777777779</v>
      </c>
    </row>
    <row r="87" spans="1:36" x14ac:dyDescent="0.3">
      <c r="A87" s="433" t="s">
        <v>210</v>
      </c>
      <c r="B87" s="371" t="s">
        <v>211</v>
      </c>
      <c r="C87" s="395" t="s">
        <v>256</v>
      </c>
      <c r="D87" s="643">
        <v>30</v>
      </c>
      <c r="E87" s="644">
        <v>9</v>
      </c>
      <c r="F87" s="644"/>
      <c r="G87" s="305">
        <f t="shared" si="29"/>
        <v>39</v>
      </c>
      <c r="H87" s="643">
        <v>5</v>
      </c>
      <c r="I87" s="644">
        <v>2</v>
      </c>
      <c r="J87" s="644"/>
      <c r="K87" s="305">
        <f t="shared" si="30"/>
        <v>7</v>
      </c>
      <c r="L87" s="643"/>
      <c r="M87" s="644"/>
      <c r="N87" s="644"/>
      <c r="O87" s="305">
        <f t="shared" si="31"/>
        <v>0</v>
      </c>
      <c r="P87" s="645">
        <f t="shared" si="32"/>
        <v>46</v>
      </c>
      <c r="Q87" s="819">
        <f t="shared" si="37"/>
        <v>35</v>
      </c>
      <c r="R87" s="819">
        <f t="shared" si="38"/>
        <v>11</v>
      </c>
      <c r="S87" s="819">
        <f t="shared" si="39"/>
        <v>0</v>
      </c>
      <c r="T87" s="645">
        <f t="shared" si="40"/>
        <v>46</v>
      </c>
      <c r="U87" s="646">
        <f t="shared" si="33"/>
        <v>0.14285714285714285</v>
      </c>
      <c r="V87" s="647">
        <f t="shared" si="34"/>
        <v>0.18181818181818182</v>
      </c>
      <c r="W87" s="648" t="str">
        <f t="shared" si="35"/>
        <v>NA</v>
      </c>
      <c r="X87" s="649">
        <f t="shared" si="36"/>
        <v>0.15217391304347827</v>
      </c>
      <c r="Y87" s="708">
        <v>7</v>
      </c>
      <c r="Z87" s="708">
        <v>20</v>
      </c>
      <c r="AA87" s="708">
        <v>12</v>
      </c>
      <c r="AB87" s="708">
        <v>1</v>
      </c>
      <c r="AC87" s="708">
        <v>4</v>
      </c>
      <c r="AD87" s="708">
        <v>2</v>
      </c>
      <c r="AE87" s="708">
        <f t="shared" si="41"/>
        <v>8</v>
      </c>
      <c r="AF87" s="708">
        <f t="shared" si="42"/>
        <v>24</v>
      </c>
      <c r="AG87" s="708">
        <f t="shared" si="43"/>
        <v>14</v>
      </c>
      <c r="AH87" s="2031">
        <f t="shared" si="44"/>
        <v>0.125</v>
      </c>
      <c r="AI87" s="2031">
        <f t="shared" si="45"/>
        <v>0.16666666666666666</v>
      </c>
      <c r="AJ87" s="2031">
        <f t="shared" si="46"/>
        <v>0.14285714285714285</v>
      </c>
    </row>
    <row r="88" spans="1:36" x14ac:dyDescent="0.3">
      <c r="A88" s="433" t="s">
        <v>212</v>
      </c>
      <c r="B88" s="371" t="s">
        <v>213</v>
      </c>
      <c r="C88" s="395" t="s">
        <v>255</v>
      </c>
      <c r="D88" s="643">
        <v>36</v>
      </c>
      <c r="E88" s="644">
        <v>11</v>
      </c>
      <c r="F88" s="644"/>
      <c r="G88" s="305">
        <f t="shared" si="29"/>
        <v>47</v>
      </c>
      <c r="H88" s="643">
        <v>4</v>
      </c>
      <c r="I88" s="644"/>
      <c r="J88" s="644"/>
      <c r="K88" s="305">
        <f t="shared" si="30"/>
        <v>4</v>
      </c>
      <c r="L88" s="643">
        <v>1</v>
      </c>
      <c r="M88" s="644"/>
      <c r="N88" s="644"/>
      <c r="O88" s="305">
        <f t="shared" si="31"/>
        <v>1</v>
      </c>
      <c r="P88" s="645">
        <f t="shared" si="32"/>
        <v>52</v>
      </c>
      <c r="Q88" s="819">
        <f t="shared" si="37"/>
        <v>40</v>
      </c>
      <c r="R88" s="819">
        <f t="shared" si="38"/>
        <v>11</v>
      </c>
      <c r="S88" s="819">
        <f t="shared" si="39"/>
        <v>0</v>
      </c>
      <c r="T88" s="645">
        <f t="shared" si="40"/>
        <v>51</v>
      </c>
      <c r="U88" s="646">
        <f t="shared" si="33"/>
        <v>0.1</v>
      </c>
      <c r="V88" s="647">
        <f t="shared" si="34"/>
        <v>0</v>
      </c>
      <c r="W88" s="648" t="str">
        <f t="shared" si="35"/>
        <v>NA</v>
      </c>
      <c r="X88" s="649">
        <f t="shared" si="36"/>
        <v>7.8431372549019607E-2</v>
      </c>
      <c r="Y88" s="708">
        <v>5</v>
      </c>
      <c r="Z88" s="708">
        <v>25</v>
      </c>
      <c r="AA88" s="708">
        <v>17</v>
      </c>
      <c r="AB88" s="708"/>
      <c r="AC88" s="708">
        <v>3</v>
      </c>
      <c r="AD88" s="708">
        <v>1</v>
      </c>
      <c r="AE88" s="708">
        <f t="shared" si="41"/>
        <v>5</v>
      </c>
      <c r="AF88" s="708">
        <f t="shared" si="42"/>
        <v>28</v>
      </c>
      <c r="AG88" s="708">
        <f t="shared" si="43"/>
        <v>18</v>
      </c>
      <c r="AH88" s="2031">
        <f t="shared" si="44"/>
        <v>0</v>
      </c>
      <c r="AI88" s="2031">
        <f t="shared" si="45"/>
        <v>0.10714285714285714</v>
      </c>
      <c r="AJ88" s="2031">
        <f t="shared" si="46"/>
        <v>5.5555555555555552E-2</v>
      </c>
    </row>
    <row r="89" spans="1:36" x14ac:dyDescent="0.3">
      <c r="A89" s="433" t="s">
        <v>214</v>
      </c>
      <c r="B89" s="371" t="s">
        <v>215</v>
      </c>
      <c r="C89" s="395" t="s">
        <v>256</v>
      </c>
      <c r="D89" s="643">
        <v>43</v>
      </c>
      <c r="E89" s="644">
        <v>16</v>
      </c>
      <c r="F89" s="644"/>
      <c r="G89" s="305">
        <f t="shared" si="29"/>
        <v>59</v>
      </c>
      <c r="H89" s="643">
        <v>12</v>
      </c>
      <c r="I89" s="644">
        <v>2</v>
      </c>
      <c r="J89" s="644"/>
      <c r="K89" s="305">
        <f t="shared" si="30"/>
        <v>14</v>
      </c>
      <c r="L89" s="643">
        <v>4</v>
      </c>
      <c r="M89" s="644"/>
      <c r="N89" s="644"/>
      <c r="O89" s="305">
        <f t="shared" si="31"/>
        <v>4</v>
      </c>
      <c r="P89" s="645">
        <f t="shared" si="32"/>
        <v>77</v>
      </c>
      <c r="Q89" s="819">
        <f t="shared" si="37"/>
        <v>55</v>
      </c>
      <c r="R89" s="819">
        <f t="shared" si="38"/>
        <v>18</v>
      </c>
      <c r="S89" s="819">
        <f t="shared" si="39"/>
        <v>0</v>
      </c>
      <c r="T89" s="645">
        <f t="shared" si="40"/>
        <v>73</v>
      </c>
      <c r="U89" s="646">
        <f t="shared" si="33"/>
        <v>0.21818181818181817</v>
      </c>
      <c r="V89" s="647">
        <f t="shared" si="34"/>
        <v>0.1111111111111111</v>
      </c>
      <c r="W89" s="648" t="str">
        <f t="shared" si="35"/>
        <v>NA</v>
      </c>
      <c r="X89" s="649">
        <f t="shared" si="36"/>
        <v>0.19178082191780821</v>
      </c>
      <c r="Y89" s="708">
        <v>8</v>
      </c>
      <c r="Z89" s="708">
        <v>37</v>
      </c>
      <c r="AA89" s="708">
        <v>14</v>
      </c>
      <c r="AB89" s="708"/>
      <c r="AC89" s="708">
        <v>5</v>
      </c>
      <c r="AD89" s="708">
        <v>9</v>
      </c>
      <c r="AE89" s="708">
        <f t="shared" si="41"/>
        <v>8</v>
      </c>
      <c r="AF89" s="708">
        <f t="shared" si="42"/>
        <v>42</v>
      </c>
      <c r="AG89" s="708">
        <f t="shared" si="43"/>
        <v>23</v>
      </c>
      <c r="AH89" s="2031">
        <f t="shared" si="44"/>
        <v>0</v>
      </c>
      <c r="AI89" s="2031">
        <f t="shared" si="45"/>
        <v>0.11904761904761904</v>
      </c>
      <c r="AJ89" s="2031">
        <f t="shared" si="46"/>
        <v>0.39130434782608697</v>
      </c>
    </row>
    <row r="90" spans="1:36" x14ac:dyDescent="0.3">
      <c r="A90" s="433" t="s">
        <v>216</v>
      </c>
      <c r="B90" s="371" t="s">
        <v>217</v>
      </c>
      <c r="C90" s="395" t="s">
        <v>252</v>
      </c>
      <c r="D90" s="643">
        <v>18</v>
      </c>
      <c r="E90" s="644">
        <v>11</v>
      </c>
      <c r="F90" s="644"/>
      <c r="G90" s="305">
        <f t="shared" si="29"/>
        <v>29</v>
      </c>
      <c r="H90" s="643">
        <v>3</v>
      </c>
      <c r="I90" s="644"/>
      <c r="J90" s="644">
        <v>1</v>
      </c>
      <c r="K90" s="305">
        <f t="shared" si="30"/>
        <v>4</v>
      </c>
      <c r="L90" s="643"/>
      <c r="M90" s="644"/>
      <c r="N90" s="644"/>
      <c r="O90" s="305">
        <f t="shared" si="31"/>
        <v>0</v>
      </c>
      <c r="P90" s="645">
        <f t="shared" si="32"/>
        <v>33</v>
      </c>
      <c r="Q90" s="819">
        <f t="shared" si="37"/>
        <v>21</v>
      </c>
      <c r="R90" s="819">
        <f t="shared" si="38"/>
        <v>11</v>
      </c>
      <c r="S90" s="819">
        <f t="shared" si="39"/>
        <v>1</v>
      </c>
      <c r="T90" s="645">
        <f t="shared" si="40"/>
        <v>33</v>
      </c>
      <c r="U90" s="646">
        <f t="shared" si="33"/>
        <v>0.14285714285714285</v>
      </c>
      <c r="V90" s="647">
        <f t="shared" si="34"/>
        <v>0</v>
      </c>
      <c r="W90" s="648">
        <f t="shared" si="35"/>
        <v>1</v>
      </c>
      <c r="X90" s="649">
        <f t="shared" si="36"/>
        <v>0.12121212121212122</v>
      </c>
      <c r="Y90" s="708">
        <v>5</v>
      </c>
      <c r="Z90" s="708">
        <v>17</v>
      </c>
      <c r="AA90" s="708">
        <v>7</v>
      </c>
      <c r="AB90" s="708"/>
      <c r="AC90" s="708">
        <v>4</v>
      </c>
      <c r="AD90" s="708"/>
      <c r="AE90" s="708">
        <f t="shared" si="41"/>
        <v>5</v>
      </c>
      <c r="AF90" s="708">
        <f t="shared" si="42"/>
        <v>21</v>
      </c>
      <c r="AG90" s="708">
        <f t="shared" si="43"/>
        <v>7</v>
      </c>
      <c r="AH90" s="2031">
        <f t="shared" si="44"/>
        <v>0</v>
      </c>
      <c r="AI90" s="2031">
        <f t="shared" si="45"/>
        <v>0.19047619047619047</v>
      </c>
      <c r="AJ90" s="2031">
        <f t="shared" si="46"/>
        <v>0</v>
      </c>
    </row>
    <row r="91" spans="1:36" x14ac:dyDescent="0.3">
      <c r="A91" s="433" t="s">
        <v>218</v>
      </c>
      <c r="B91" s="371" t="s">
        <v>219</v>
      </c>
      <c r="C91" s="395" t="s">
        <v>255</v>
      </c>
      <c r="D91" s="643">
        <v>68</v>
      </c>
      <c r="E91" s="644">
        <v>34</v>
      </c>
      <c r="F91" s="644">
        <v>1</v>
      </c>
      <c r="G91" s="305">
        <f t="shared" si="29"/>
        <v>103</v>
      </c>
      <c r="H91" s="643">
        <v>17</v>
      </c>
      <c r="I91" s="644">
        <v>5</v>
      </c>
      <c r="J91" s="644">
        <v>1</v>
      </c>
      <c r="K91" s="305">
        <f t="shared" si="30"/>
        <v>23</v>
      </c>
      <c r="L91" s="643"/>
      <c r="M91" s="644"/>
      <c r="N91" s="644"/>
      <c r="O91" s="305">
        <f t="shared" si="31"/>
        <v>0</v>
      </c>
      <c r="P91" s="645">
        <f t="shared" si="32"/>
        <v>126</v>
      </c>
      <c r="Q91" s="819">
        <f t="shared" si="37"/>
        <v>85</v>
      </c>
      <c r="R91" s="819">
        <f t="shared" si="38"/>
        <v>39</v>
      </c>
      <c r="S91" s="819">
        <f t="shared" si="39"/>
        <v>2</v>
      </c>
      <c r="T91" s="645">
        <f t="shared" si="40"/>
        <v>126</v>
      </c>
      <c r="U91" s="646">
        <f t="shared" si="33"/>
        <v>0.2</v>
      </c>
      <c r="V91" s="647">
        <f t="shared" si="34"/>
        <v>0.12820512820512819</v>
      </c>
      <c r="W91" s="648">
        <f t="shared" si="35"/>
        <v>0.5</v>
      </c>
      <c r="X91" s="649">
        <f t="shared" si="36"/>
        <v>0.18253968253968253</v>
      </c>
      <c r="Y91" s="708">
        <v>18</v>
      </c>
      <c r="Z91" s="708">
        <v>54</v>
      </c>
      <c r="AA91" s="708">
        <v>31</v>
      </c>
      <c r="AB91" s="708">
        <v>2</v>
      </c>
      <c r="AC91" s="708">
        <v>10</v>
      </c>
      <c r="AD91" s="708">
        <v>11</v>
      </c>
      <c r="AE91" s="708">
        <f t="shared" si="41"/>
        <v>20</v>
      </c>
      <c r="AF91" s="708">
        <f t="shared" si="42"/>
        <v>64</v>
      </c>
      <c r="AG91" s="708">
        <f t="shared" si="43"/>
        <v>42</v>
      </c>
      <c r="AH91" s="2031">
        <f t="shared" si="44"/>
        <v>0.1</v>
      </c>
      <c r="AI91" s="2031">
        <f t="shared" si="45"/>
        <v>0.15625</v>
      </c>
      <c r="AJ91" s="2031">
        <f t="shared" si="46"/>
        <v>0.26190476190476192</v>
      </c>
    </row>
    <row r="92" spans="1:36" x14ac:dyDescent="0.3">
      <c r="A92" s="433" t="s">
        <v>220</v>
      </c>
      <c r="B92" s="371" t="s">
        <v>221</v>
      </c>
      <c r="C92" s="395" t="s">
        <v>255</v>
      </c>
      <c r="D92" s="643">
        <v>50</v>
      </c>
      <c r="E92" s="644">
        <v>22</v>
      </c>
      <c r="F92" s="644">
        <v>1</v>
      </c>
      <c r="G92" s="305">
        <f t="shared" si="29"/>
        <v>73</v>
      </c>
      <c r="H92" s="643">
        <v>4</v>
      </c>
      <c r="I92" s="644">
        <v>1</v>
      </c>
      <c r="J92" s="644">
        <v>1</v>
      </c>
      <c r="K92" s="305">
        <f t="shared" si="30"/>
        <v>6</v>
      </c>
      <c r="L92" s="643"/>
      <c r="M92" s="644"/>
      <c r="N92" s="644"/>
      <c r="O92" s="305">
        <f t="shared" si="31"/>
        <v>0</v>
      </c>
      <c r="P92" s="645">
        <f t="shared" si="32"/>
        <v>79</v>
      </c>
      <c r="Q92" s="819">
        <f t="shared" si="37"/>
        <v>54</v>
      </c>
      <c r="R92" s="819">
        <f t="shared" si="38"/>
        <v>23</v>
      </c>
      <c r="S92" s="819">
        <f t="shared" si="39"/>
        <v>2</v>
      </c>
      <c r="T92" s="645">
        <f t="shared" si="40"/>
        <v>79</v>
      </c>
      <c r="U92" s="646">
        <f t="shared" si="33"/>
        <v>7.407407407407407E-2</v>
      </c>
      <c r="V92" s="647">
        <f t="shared" si="34"/>
        <v>4.3478260869565216E-2</v>
      </c>
      <c r="W92" s="648">
        <f t="shared" si="35"/>
        <v>0.5</v>
      </c>
      <c r="X92" s="649">
        <f t="shared" si="36"/>
        <v>7.5949367088607597E-2</v>
      </c>
      <c r="Y92" s="708">
        <v>13</v>
      </c>
      <c r="Z92" s="708">
        <v>37</v>
      </c>
      <c r="AA92" s="708">
        <v>23</v>
      </c>
      <c r="AB92" s="708"/>
      <c r="AC92" s="708">
        <v>3</v>
      </c>
      <c r="AD92" s="708">
        <v>3</v>
      </c>
      <c r="AE92" s="708">
        <f t="shared" si="41"/>
        <v>13</v>
      </c>
      <c r="AF92" s="708">
        <f t="shared" si="42"/>
        <v>40</v>
      </c>
      <c r="AG92" s="708">
        <f t="shared" si="43"/>
        <v>26</v>
      </c>
      <c r="AH92" s="2031">
        <f t="shared" si="44"/>
        <v>0</v>
      </c>
      <c r="AI92" s="2031">
        <f t="shared" si="45"/>
        <v>7.4999999999999997E-2</v>
      </c>
      <c r="AJ92" s="2031">
        <f t="shared" si="46"/>
        <v>0.11538461538461539</v>
      </c>
    </row>
    <row r="93" spans="1:36" x14ac:dyDescent="0.3">
      <c r="A93" s="433" t="s">
        <v>224</v>
      </c>
      <c r="B93" s="371" t="s">
        <v>225</v>
      </c>
      <c r="C93" s="395" t="s">
        <v>252</v>
      </c>
      <c r="D93" s="643">
        <v>12</v>
      </c>
      <c r="E93" s="644">
        <v>8</v>
      </c>
      <c r="F93" s="644"/>
      <c r="G93" s="305">
        <f t="shared" si="29"/>
        <v>20</v>
      </c>
      <c r="H93" s="643">
        <v>7</v>
      </c>
      <c r="I93" s="644">
        <v>1</v>
      </c>
      <c r="J93" s="644"/>
      <c r="K93" s="305">
        <f t="shared" si="30"/>
        <v>8</v>
      </c>
      <c r="L93" s="643"/>
      <c r="M93" s="644">
        <v>1</v>
      </c>
      <c r="N93" s="644"/>
      <c r="O93" s="305">
        <f t="shared" si="31"/>
        <v>1</v>
      </c>
      <c r="P93" s="645">
        <f t="shared" si="32"/>
        <v>29</v>
      </c>
      <c r="Q93" s="819">
        <f t="shared" si="37"/>
        <v>19</v>
      </c>
      <c r="R93" s="819">
        <f t="shared" si="38"/>
        <v>9</v>
      </c>
      <c r="S93" s="819">
        <f t="shared" si="39"/>
        <v>0</v>
      </c>
      <c r="T93" s="645">
        <f t="shared" si="40"/>
        <v>28</v>
      </c>
      <c r="U93" s="646">
        <f t="shared" si="33"/>
        <v>0.36842105263157893</v>
      </c>
      <c r="V93" s="647">
        <f t="shared" si="34"/>
        <v>0.1111111111111111</v>
      </c>
      <c r="W93" s="648" t="str">
        <f t="shared" si="35"/>
        <v>NA</v>
      </c>
      <c r="X93" s="649">
        <f t="shared" si="36"/>
        <v>0.2857142857142857</v>
      </c>
      <c r="Y93" s="708">
        <v>5</v>
      </c>
      <c r="Z93" s="708">
        <v>11</v>
      </c>
      <c r="AA93" s="708">
        <v>4</v>
      </c>
      <c r="AB93" s="708">
        <v>1</v>
      </c>
      <c r="AC93" s="708">
        <v>4</v>
      </c>
      <c r="AD93" s="708">
        <v>3</v>
      </c>
      <c r="AE93" s="708">
        <f t="shared" si="41"/>
        <v>6</v>
      </c>
      <c r="AF93" s="708">
        <f t="shared" si="42"/>
        <v>15</v>
      </c>
      <c r="AG93" s="708">
        <f t="shared" si="43"/>
        <v>7</v>
      </c>
      <c r="AH93" s="2031">
        <f t="shared" si="44"/>
        <v>0.16666666666666666</v>
      </c>
      <c r="AI93" s="2031">
        <f t="shared" si="45"/>
        <v>0.26666666666666666</v>
      </c>
      <c r="AJ93" s="2031">
        <f t="shared" si="46"/>
        <v>0.42857142857142855</v>
      </c>
    </row>
    <row r="94" spans="1:36" x14ac:dyDescent="0.3">
      <c r="A94" s="433" t="s">
        <v>226</v>
      </c>
      <c r="B94" s="371" t="s">
        <v>227</v>
      </c>
      <c r="C94" s="395" t="s">
        <v>252</v>
      </c>
      <c r="D94" s="643">
        <v>19</v>
      </c>
      <c r="E94" s="644">
        <v>8</v>
      </c>
      <c r="F94" s="644">
        <v>1</v>
      </c>
      <c r="G94" s="305">
        <f t="shared" si="29"/>
        <v>28</v>
      </c>
      <c r="H94" s="643">
        <v>9</v>
      </c>
      <c r="I94" s="644">
        <v>9</v>
      </c>
      <c r="J94" s="644"/>
      <c r="K94" s="305">
        <f t="shared" si="30"/>
        <v>18</v>
      </c>
      <c r="L94" s="643"/>
      <c r="M94" s="644"/>
      <c r="N94" s="644"/>
      <c r="O94" s="305">
        <f t="shared" si="31"/>
        <v>0</v>
      </c>
      <c r="P94" s="645">
        <f t="shared" si="32"/>
        <v>46</v>
      </c>
      <c r="Q94" s="819">
        <f t="shared" si="37"/>
        <v>28</v>
      </c>
      <c r="R94" s="819">
        <f t="shared" si="38"/>
        <v>17</v>
      </c>
      <c r="S94" s="819">
        <f t="shared" si="39"/>
        <v>1</v>
      </c>
      <c r="T94" s="645">
        <f t="shared" si="40"/>
        <v>46</v>
      </c>
      <c r="U94" s="646">
        <f t="shared" si="33"/>
        <v>0.32142857142857145</v>
      </c>
      <c r="V94" s="647">
        <f t="shared" si="34"/>
        <v>0.52941176470588236</v>
      </c>
      <c r="W94" s="648">
        <f t="shared" si="35"/>
        <v>0</v>
      </c>
      <c r="X94" s="649">
        <f t="shared" si="36"/>
        <v>0.39130434782608697</v>
      </c>
      <c r="Y94" s="708">
        <v>7</v>
      </c>
      <c r="Z94" s="708">
        <v>15</v>
      </c>
      <c r="AA94" s="708">
        <v>6</v>
      </c>
      <c r="AB94" s="708">
        <v>5</v>
      </c>
      <c r="AC94" s="708">
        <v>7</v>
      </c>
      <c r="AD94" s="708">
        <v>6</v>
      </c>
      <c r="AE94" s="708">
        <f t="shared" si="41"/>
        <v>12</v>
      </c>
      <c r="AF94" s="708">
        <f t="shared" si="42"/>
        <v>22</v>
      </c>
      <c r="AG94" s="708">
        <f t="shared" si="43"/>
        <v>12</v>
      </c>
      <c r="AH94" s="2031">
        <f t="shared" si="44"/>
        <v>0.41666666666666669</v>
      </c>
      <c r="AI94" s="2031">
        <f t="shared" si="45"/>
        <v>0.31818181818181818</v>
      </c>
      <c r="AJ94" s="2031">
        <f t="shared" si="46"/>
        <v>0.5</v>
      </c>
    </row>
    <row r="95" spans="1:36" x14ac:dyDescent="0.3">
      <c r="A95" s="433" t="s">
        <v>228</v>
      </c>
      <c r="B95" s="371" t="s">
        <v>229</v>
      </c>
      <c r="C95" s="395" t="s">
        <v>256</v>
      </c>
      <c r="D95" s="643">
        <v>54</v>
      </c>
      <c r="E95" s="644">
        <v>26</v>
      </c>
      <c r="F95" s="644"/>
      <c r="G95" s="305">
        <f t="shared" si="29"/>
        <v>80</v>
      </c>
      <c r="H95" s="643">
        <v>1</v>
      </c>
      <c r="I95" s="644">
        <v>1</v>
      </c>
      <c r="J95" s="644"/>
      <c r="K95" s="305">
        <f t="shared" si="30"/>
        <v>2</v>
      </c>
      <c r="L95" s="643"/>
      <c r="M95" s="644"/>
      <c r="N95" s="644"/>
      <c r="O95" s="305">
        <f t="shared" si="31"/>
        <v>0</v>
      </c>
      <c r="P95" s="645">
        <f t="shared" si="32"/>
        <v>82</v>
      </c>
      <c r="Q95" s="819">
        <f t="shared" si="37"/>
        <v>55</v>
      </c>
      <c r="R95" s="819">
        <f t="shared" si="38"/>
        <v>27</v>
      </c>
      <c r="S95" s="819">
        <f t="shared" si="39"/>
        <v>0</v>
      </c>
      <c r="T95" s="645">
        <f t="shared" si="40"/>
        <v>82</v>
      </c>
      <c r="U95" s="646">
        <f t="shared" si="33"/>
        <v>1.8181818181818181E-2</v>
      </c>
      <c r="V95" s="647">
        <f t="shared" si="34"/>
        <v>3.7037037037037035E-2</v>
      </c>
      <c r="W95" s="648" t="str">
        <f t="shared" si="35"/>
        <v>NA</v>
      </c>
      <c r="X95" s="649">
        <f t="shared" si="36"/>
        <v>2.4390243902439025E-2</v>
      </c>
      <c r="Y95" s="708">
        <v>19</v>
      </c>
      <c r="Z95" s="708">
        <v>37</v>
      </c>
      <c r="AA95" s="708">
        <v>24</v>
      </c>
      <c r="AB95" s="708">
        <v>1</v>
      </c>
      <c r="AC95" s="708"/>
      <c r="AD95" s="708">
        <v>1</v>
      </c>
      <c r="AE95" s="708">
        <f t="shared" si="41"/>
        <v>20</v>
      </c>
      <c r="AF95" s="708">
        <f t="shared" si="42"/>
        <v>37</v>
      </c>
      <c r="AG95" s="708">
        <f t="shared" si="43"/>
        <v>25</v>
      </c>
      <c r="AH95" s="2031">
        <f t="shared" si="44"/>
        <v>0.05</v>
      </c>
      <c r="AI95" s="2031">
        <f t="shared" si="45"/>
        <v>0</v>
      </c>
      <c r="AJ95" s="2031">
        <f t="shared" si="46"/>
        <v>0.04</v>
      </c>
    </row>
    <row r="96" spans="1:36" x14ac:dyDescent="0.3">
      <c r="A96" s="433" t="s">
        <v>232</v>
      </c>
      <c r="B96" s="371" t="s">
        <v>233</v>
      </c>
      <c r="C96" s="395" t="s">
        <v>255</v>
      </c>
      <c r="D96" s="643">
        <v>32</v>
      </c>
      <c r="E96" s="644">
        <v>10</v>
      </c>
      <c r="F96" s="644"/>
      <c r="G96" s="305">
        <f t="shared" si="29"/>
        <v>42</v>
      </c>
      <c r="H96" s="643">
        <v>6</v>
      </c>
      <c r="I96" s="644">
        <v>3</v>
      </c>
      <c r="J96" s="644"/>
      <c r="K96" s="305">
        <f t="shared" si="30"/>
        <v>9</v>
      </c>
      <c r="L96" s="643"/>
      <c r="M96" s="644"/>
      <c r="N96" s="644"/>
      <c r="O96" s="305">
        <f t="shared" si="31"/>
        <v>0</v>
      </c>
      <c r="P96" s="645">
        <f t="shared" si="32"/>
        <v>51</v>
      </c>
      <c r="Q96" s="819">
        <f t="shared" si="37"/>
        <v>38</v>
      </c>
      <c r="R96" s="819">
        <f t="shared" si="38"/>
        <v>13</v>
      </c>
      <c r="S96" s="819">
        <f t="shared" si="39"/>
        <v>0</v>
      </c>
      <c r="T96" s="645">
        <f t="shared" si="40"/>
        <v>51</v>
      </c>
      <c r="U96" s="646">
        <f t="shared" si="33"/>
        <v>0.15789473684210525</v>
      </c>
      <c r="V96" s="647">
        <f t="shared" si="34"/>
        <v>0.23076923076923078</v>
      </c>
      <c r="W96" s="648" t="str">
        <f t="shared" si="35"/>
        <v>NA</v>
      </c>
      <c r="X96" s="649">
        <f t="shared" si="36"/>
        <v>0.17647058823529413</v>
      </c>
      <c r="Y96" s="708">
        <v>6</v>
      </c>
      <c r="Z96" s="708">
        <v>26</v>
      </c>
      <c r="AA96" s="708">
        <v>10</v>
      </c>
      <c r="AB96" s="708">
        <v>1</v>
      </c>
      <c r="AC96" s="708">
        <v>3</v>
      </c>
      <c r="AD96" s="708">
        <v>5</v>
      </c>
      <c r="AE96" s="708">
        <f t="shared" si="41"/>
        <v>7</v>
      </c>
      <c r="AF96" s="708">
        <f t="shared" si="42"/>
        <v>29</v>
      </c>
      <c r="AG96" s="708">
        <f t="shared" si="43"/>
        <v>15</v>
      </c>
      <c r="AH96" s="2031">
        <f t="shared" si="44"/>
        <v>0.14285714285714285</v>
      </c>
      <c r="AI96" s="2031">
        <f t="shared" si="45"/>
        <v>0.10344827586206896</v>
      </c>
      <c r="AJ96" s="2031">
        <f t="shared" si="46"/>
        <v>0.33333333333333331</v>
      </c>
    </row>
    <row r="97" spans="1:36" x14ac:dyDescent="0.3">
      <c r="A97" s="433" t="s">
        <v>234</v>
      </c>
      <c r="B97" s="371" t="s">
        <v>235</v>
      </c>
      <c r="C97" s="395" t="s">
        <v>256</v>
      </c>
      <c r="D97" s="643">
        <v>46</v>
      </c>
      <c r="E97" s="644">
        <v>16</v>
      </c>
      <c r="F97" s="644">
        <v>2</v>
      </c>
      <c r="G97" s="305">
        <f t="shared" si="29"/>
        <v>64</v>
      </c>
      <c r="H97" s="643">
        <v>9</v>
      </c>
      <c r="I97" s="644">
        <v>1</v>
      </c>
      <c r="J97" s="644"/>
      <c r="K97" s="305">
        <f t="shared" si="30"/>
        <v>10</v>
      </c>
      <c r="L97" s="643"/>
      <c r="M97" s="644"/>
      <c r="N97" s="644"/>
      <c r="O97" s="305">
        <f t="shared" si="31"/>
        <v>0</v>
      </c>
      <c r="P97" s="645">
        <f t="shared" si="32"/>
        <v>74</v>
      </c>
      <c r="Q97" s="819">
        <f t="shared" si="37"/>
        <v>55</v>
      </c>
      <c r="R97" s="819">
        <f t="shared" si="38"/>
        <v>17</v>
      </c>
      <c r="S97" s="819">
        <f t="shared" si="39"/>
        <v>2</v>
      </c>
      <c r="T97" s="645">
        <f t="shared" si="40"/>
        <v>74</v>
      </c>
      <c r="U97" s="646">
        <f t="shared" si="33"/>
        <v>0.16363636363636364</v>
      </c>
      <c r="V97" s="647">
        <f t="shared" si="34"/>
        <v>5.8823529411764705E-2</v>
      </c>
      <c r="W97" s="648">
        <f t="shared" si="35"/>
        <v>0</v>
      </c>
      <c r="X97" s="649">
        <f t="shared" si="36"/>
        <v>0.13513513513513514</v>
      </c>
      <c r="Y97" s="708">
        <v>12</v>
      </c>
      <c r="Z97" s="708">
        <v>32</v>
      </c>
      <c r="AA97" s="708">
        <v>20</v>
      </c>
      <c r="AB97" s="708"/>
      <c r="AC97" s="708">
        <v>4</v>
      </c>
      <c r="AD97" s="708">
        <v>6</v>
      </c>
      <c r="AE97" s="708">
        <f t="shared" si="41"/>
        <v>12</v>
      </c>
      <c r="AF97" s="708">
        <f t="shared" si="42"/>
        <v>36</v>
      </c>
      <c r="AG97" s="708">
        <f t="shared" si="43"/>
        <v>26</v>
      </c>
      <c r="AH97" s="2031">
        <f t="shared" si="44"/>
        <v>0</v>
      </c>
      <c r="AI97" s="2031">
        <f t="shared" si="45"/>
        <v>0.1111111111111111</v>
      </c>
      <c r="AJ97" s="2031">
        <f t="shared" si="46"/>
        <v>0.23076923076923078</v>
      </c>
    </row>
    <row r="98" spans="1:36" x14ac:dyDescent="0.3">
      <c r="A98" s="433" t="s">
        <v>236</v>
      </c>
      <c r="B98" s="371" t="s">
        <v>237</v>
      </c>
      <c r="C98" s="395" t="s">
        <v>254</v>
      </c>
      <c r="D98" s="643">
        <v>18</v>
      </c>
      <c r="E98" s="644">
        <v>7</v>
      </c>
      <c r="F98" s="644"/>
      <c r="G98" s="305">
        <f t="shared" si="29"/>
        <v>25</v>
      </c>
      <c r="H98" s="643">
        <v>1</v>
      </c>
      <c r="I98" s="644">
        <v>2</v>
      </c>
      <c r="J98" s="644"/>
      <c r="K98" s="305">
        <f t="shared" si="30"/>
        <v>3</v>
      </c>
      <c r="L98" s="643"/>
      <c r="M98" s="644"/>
      <c r="N98" s="644"/>
      <c r="O98" s="305">
        <f t="shared" si="31"/>
        <v>0</v>
      </c>
      <c r="P98" s="645">
        <f t="shared" si="32"/>
        <v>28</v>
      </c>
      <c r="Q98" s="819">
        <f t="shared" si="37"/>
        <v>19</v>
      </c>
      <c r="R98" s="819">
        <f t="shared" si="38"/>
        <v>9</v>
      </c>
      <c r="S98" s="819">
        <f t="shared" si="39"/>
        <v>0</v>
      </c>
      <c r="T98" s="645">
        <f t="shared" si="40"/>
        <v>28</v>
      </c>
      <c r="U98" s="646">
        <f t="shared" si="33"/>
        <v>5.2631578947368418E-2</v>
      </c>
      <c r="V98" s="647">
        <f t="shared" si="34"/>
        <v>0.22222222222222221</v>
      </c>
      <c r="W98" s="648" t="str">
        <f t="shared" si="35"/>
        <v>NA</v>
      </c>
      <c r="X98" s="649">
        <f t="shared" si="36"/>
        <v>0.10714285714285714</v>
      </c>
      <c r="Y98" s="708">
        <v>6</v>
      </c>
      <c r="Z98" s="708">
        <v>13</v>
      </c>
      <c r="AA98" s="708">
        <v>6</v>
      </c>
      <c r="AB98" s="708">
        <v>1</v>
      </c>
      <c r="AC98" s="708">
        <v>2</v>
      </c>
      <c r="AD98" s="708"/>
      <c r="AE98" s="708">
        <f t="shared" si="41"/>
        <v>7</v>
      </c>
      <c r="AF98" s="708">
        <f t="shared" si="42"/>
        <v>15</v>
      </c>
      <c r="AG98" s="708">
        <f t="shared" si="43"/>
        <v>6</v>
      </c>
      <c r="AH98" s="2031">
        <f t="shared" si="44"/>
        <v>0.14285714285714285</v>
      </c>
      <c r="AI98" s="2031">
        <f t="shared" si="45"/>
        <v>0.13333333333333333</v>
      </c>
      <c r="AJ98" s="2031">
        <f t="shared" si="46"/>
        <v>0</v>
      </c>
    </row>
    <row r="99" spans="1:36" x14ac:dyDescent="0.3">
      <c r="A99" s="433" t="s">
        <v>242</v>
      </c>
      <c r="B99" s="371" t="s">
        <v>243</v>
      </c>
      <c r="C99" s="395" t="s">
        <v>256</v>
      </c>
      <c r="D99" s="643">
        <v>64</v>
      </c>
      <c r="E99" s="644">
        <v>19</v>
      </c>
      <c r="F99" s="644"/>
      <c r="G99" s="305">
        <f t="shared" si="29"/>
        <v>83</v>
      </c>
      <c r="H99" s="643">
        <v>14</v>
      </c>
      <c r="I99" s="644">
        <v>5</v>
      </c>
      <c r="J99" s="644">
        <v>1</v>
      </c>
      <c r="K99" s="305">
        <f t="shared" si="30"/>
        <v>20</v>
      </c>
      <c r="L99" s="643"/>
      <c r="M99" s="644"/>
      <c r="N99" s="644"/>
      <c r="O99" s="305">
        <f t="shared" si="31"/>
        <v>0</v>
      </c>
      <c r="P99" s="645">
        <f t="shared" si="32"/>
        <v>103</v>
      </c>
      <c r="Q99" s="819">
        <f t="shared" si="37"/>
        <v>78</v>
      </c>
      <c r="R99" s="819">
        <f t="shared" si="38"/>
        <v>24</v>
      </c>
      <c r="S99" s="819">
        <f t="shared" si="39"/>
        <v>1</v>
      </c>
      <c r="T99" s="645">
        <f t="shared" si="40"/>
        <v>103</v>
      </c>
      <c r="U99" s="646">
        <f t="shared" si="33"/>
        <v>0.17948717948717949</v>
      </c>
      <c r="V99" s="647">
        <f t="shared" si="34"/>
        <v>0.20833333333333334</v>
      </c>
      <c r="W99" s="648">
        <f t="shared" si="35"/>
        <v>1</v>
      </c>
      <c r="X99" s="649">
        <f t="shared" si="36"/>
        <v>0.1941747572815534</v>
      </c>
      <c r="Y99" s="708">
        <v>14</v>
      </c>
      <c r="Z99" s="708">
        <v>43</v>
      </c>
      <c r="AA99" s="708">
        <v>26</v>
      </c>
      <c r="AB99" s="708">
        <v>4</v>
      </c>
      <c r="AC99" s="708">
        <v>11</v>
      </c>
      <c r="AD99" s="708">
        <v>5</v>
      </c>
      <c r="AE99" s="708">
        <f t="shared" si="41"/>
        <v>18</v>
      </c>
      <c r="AF99" s="708">
        <f t="shared" si="42"/>
        <v>54</v>
      </c>
      <c r="AG99" s="708">
        <f t="shared" si="43"/>
        <v>31</v>
      </c>
      <c r="AH99" s="2031">
        <f t="shared" si="44"/>
        <v>0.22222222222222221</v>
      </c>
      <c r="AI99" s="2031">
        <f t="shared" si="45"/>
        <v>0.20370370370370369</v>
      </c>
      <c r="AJ99" s="2031">
        <f t="shared" si="46"/>
        <v>0.16129032258064516</v>
      </c>
    </row>
    <row r="100" spans="1:36" x14ac:dyDescent="0.3">
      <c r="A100" s="433" t="s">
        <v>244</v>
      </c>
      <c r="B100" s="371" t="s">
        <v>245</v>
      </c>
      <c r="C100" s="395" t="s">
        <v>256</v>
      </c>
      <c r="D100" s="643">
        <v>35</v>
      </c>
      <c r="E100" s="644">
        <v>13</v>
      </c>
      <c r="F100" s="644">
        <v>1</v>
      </c>
      <c r="G100" s="305">
        <f t="shared" si="29"/>
        <v>49</v>
      </c>
      <c r="H100" s="643">
        <v>10</v>
      </c>
      <c r="I100" s="644">
        <v>2</v>
      </c>
      <c r="J100" s="644"/>
      <c r="K100" s="305">
        <f t="shared" si="30"/>
        <v>12</v>
      </c>
      <c r="L100" s="643">
        <v>1</v>
      </c>
      <c r="M100" s="644"/>
      <c r="N100" s="644"/>
      <c r="O100" s="305">
        <f t="shared" si="31"/>
        <v>1</v>
      </c>
      <c r="P100" s="645">
        <f t="shared" si="32"/>
        <v>62</v>
      </c>
      <c r="Q100" s="819">
        <f t="shared" si="37"/>
        <v>45</v>
      </c>
      <c r="R100" s="819">
        <f t="shared" si="38"/>
        <v>15</v>
      </c>
      <c r="S100" s="819">
        <f t="shared" si="39"/>
        <v>1</v>
      </c>
      <c r="T100" s="645">
        <f t="shared" si="40"/>
        <v>61</v>
      </c>
      <c r="U100" s="646">
        <f t="shared" si="33"/>
        <v>0.22222222222222221</v>
      </c>
      <c r="V100" s="647">
        <f t="shared" si="34"/>
        <v>0.13333333333333333</v>
      </c>
      <c r="W100" s="648">
        <f t="shared" si="35"/>
        <v>0</v>
      </c>
      <c r="X100" s="649">
        <f t="shared" si="36"/>
        <v>0.19672131147540983</v>
      </c>
      <c r="Y100" s="708">
        <v>8</v>
      </c>
      <c r="Z100" s="708">
        <v>25</v>
      </c>
      <c r="AA100" s="708">
        <v>16</v>
      </c>
      <c r="AB100" s="708">
        <v>1</v>
      </c>
      <c r="AC100" s="708">
        <v>6</v>
      </c>
      <c r="AD100" s="708">
        <v>5</v>
      </c>
      <c r="AE100" s="708">
        <f t="shared" si="41"/>
        <v>9</v>
      </c>
      <c r="AF100" s="708">
        <f t="shared" si="42"/>
        <v>31</v>
      </c>
      <c r="AG100" s="708">
        <f t="shared" si="43"/>
        <v>21</v>
      </c>
      <c r="AH100" s="2031">
        <f t="shared" si="44"/>
        <v>0.1111111111111111</v>
      </c>
      <c r="AI100" s="2031">
        <f t="shared" si="45"/>
        <v>0.19354838709677419</v>
      </c>
      <c r="AJ100" s="2031">
        <f t="shared" si="46"/>
        <v>0.23809523809523808</v>
      </c>
    </row>
    <row r="101" spans="1:36" x14ac:dyDescent="0.3">
      <c r="A101" s="433" t="s">
        <v>246</v>
      </c>
      <c r="B101" s="371" t="s">
        <v>247</v>
      </c>
      <c r="C101" s="395" t="s">
        <v>252</v>
      </c>
      <c r="D101" s="643">
        <v>29</v>
      </c>
      <c r="E101" s="644">
        <v>30</v>
      </c>
      <c r="F101" s="644"/>
      <c r="G101" s="305">
        <f t="shared" si="29"/>
        <v>59</v>
      </c>
      <c r="H101" s="643">
        <v>25</v>
      </c>
      <c r="I101" s="644">
        <v>4</v>
      </c>
      <c r="J101" s="644"/>
      <c r="K101" s="305">
        <f t="shared" si="30"/>
        <v>29</v>
      </c>
      <c r="L101" s="643"/>
      <c r="M101" s="644"/>
      <c r="N101" s="644"/>
      <c r="O101" s="305">
        <f t="shared" si="31"/>
        <v>0</v>
      </c>
      <c r="P101" s="645">
        <f t="shared" si="32"/>
        <v>88</v>
      </c>
      <c r="Q101" s="819">
        <f t="shared" si="37"/>
        <v>54</v>
      </c>
      <c r="R101" s="819">
        <f t="shared" si="38"/>
        <v>34</v>
      </c>
      <c r="S101" s="819">
        <f t="shared" si="39"/>
        <v>0</v>
      </c>
      <c r="T101" s="645">
        <f t="shared" si="40"/>
        <v>88</v>
      </c>
      <c r="U101" s="646">
        <f t="shared" si="33"/>
        <v>0.46296296296296297</v>
      </c>
      <c r="V101" s="647">
        <f t="shared" si="34"/>
        <v>0.11764705882352941</v>
      </c>
      <c r="W101" s="648" t="str">
        <f t="shared" si="35"/>
        <v>NA</v>
      </c>
      <c r="X101" s="649">
        <f t="shared" si="36"/>
        <v>0.32954545454545453</v>
      </c>
      <c r="Y101" s="708">
        <v>20</v>
      </c>
      <c r="Z101" s="708">
        <v>21</v>
      </c>
      <c r="AA101" s="708">
        <v>18</v>
      </c>
      <c r="AB101" s="708">
        <v>4</v>
      </c>
      <c r="AC101" s="708">
        <v>9</v>
      </c>
      <c r="AD101" s="708">
        <v>16</v>
      </c>
      <c r="AE101" s="708">
        <f t="shared" si="41"/>
        <v>24</v>
      </c>
      <c r="AF101" s="708">
        <f t="shared" si="42"/>
        <v>30</v>
      </c>
      <c r="AG101" s="708">
        <f t="shared" si="43"/>
        <v>34</v>
      </c>
      <c r="AH101" s="2031">
        <f t="shared" si="44"/>
        <v>0.16666666666666666</v>
      </c>
      <c r="AI101" s="2031">
        <f t="shared" si="45"/>
        <v>0.3</v>
      </c>
      <c r="AJ101" s="2031">
        <f t="shared" si="46"/>
        <v>0.47058823529411764</v>
      </c>
    </row>
    <row r="102" spans="1:36" x14ac:dyDescent="0.3">
      <c r="A102" s="433" t="s">
        <v>14</v>
      </c>
      <c r="B102" s="371" t="s">
        <v>15</v>
      </c>
      <c r="C102" s="395" t="s">
        <v>255</v>
      </c>
      <c r="D102" s="643">
        <v>113</v>
      </c>
      <c r="E102" s="644">
        <v>92</v>
      </c>
      <c r="F102" s="644">
        <v>17</v>
      </c>
      <c r="G102" s="305">
        <f t="shared" ref="G102:G126" si="47">SUM(D102:F102)</f>
        <v>222</v>
      </c>
      <c r="H102" s="643">
        <v>30</v>
      </c>
      <c r="I102" s="644">
        <v>23</v>
      </c>
      <c r="J102" s="644">
        <v>13</v>
      </c>
      <c r="K102" s="305">
        <f t="shared" ref="K102:K126" si="48">SUM(H102:J102)</f>
        <v>66</v>
      </c>
      <c r="L102" s="643">
        <v>1</v>
      </c>
      <c r="M102" s="644"/>
      <c r="N102" s="644"/>
      <c r="O102" s="305">
        <f t="shared" ref="O102:O126" si="49">SUM(L102:N102)</f>
        <v>1</v>
      </c>
      <c r="P102" s="645">
        <f t="shared" ref="P102:P126" si="50">G102+K102+O102</f>
        <v>289</v>
      </c>
      <c r="Q102" s="819">
        <f t="shared" si="37"/>
        <v>143</v>
      </c>
      <c r="R102" s="819">
        <f t="shared" si="38"/>
        <v>115</v>
      </c>
      <c r="S102" s="819">
        <f t="shared" si="39"/>
        <v>30</v>
      </c>
      <c r="T102" s="645">
        <f t="shared" si="40"/>
        <v>288</v>
      </c>
      <c r="U102" s="646">
        <f t="shared" ref="U102:U126" si="51">IF((D102+H102)=0,"NA",(H102/(D102+H102)))</f>
        <v>0.20979020979020979</v>
      </c>
      <c r="V102" s="647">
        <f t="shared" ref="V102:V126" si="52">IF((E102+I102)=0,"NA",(I102/(E102+I102)))</f>
        <v>0.2</v>
      </c>
      <c r="W102" s="648">
        <f t="shared" ref="W102:W126" si="53">IF((F102+J102)=0,"NA",(J102/(F102+J102)))</f>
        <v>0.43333333333333335</v>
      </c>
      <c r="X102" s="649">
        <f t="shared" ref="X102:X126" si="54">IF((G102+K102)=0,"NA",(K102/(G102+K102)))</f>
        <v>0.22916666666666666</v>
      </c>
      <c r="Y102" s="708">
        <v>68</v>
      </c>
      <c r="Z102" s="708">
        <v>77</v>
      </c>
      <c r="AA102" s="708">
        <v>77</v>
      </c>
      <c r="AB102" s="708">
        <v>20</v>
      </c>
      <c r="AC102" s="708">
        <v>14</v>
      </c>
      <c r="AD102" s="708">
        <v>32</v>
      </c>
      <c r="AE102" s="708">
        <f t="shared" si="41"/>
        <v>88</v>
      </c>
      <c r="AF102" s="708">
        <f t="shared" si="42"/>
        <v>91</v>
      </c>
      <c r="AG102" s="708">
        <f t="shared" si="43"/>
        <v>109</v>
      </c>
      <c r="AH102" s="2031">
        <f t="shared" si="44"/>
        <v>0.22727272727272727</v>
      </c>
      <c r="AI102" s="2031">
        <f t="shared" si="45"/>
        <v>0.15384615384615385</v>
      </c>
      <c r="AJ102" s="2031">
        <f t="shared" si="46"/>
        <v>0.29357798165137616</v>
      </c>
    </row>
    <row r="103" spans="1:36" x14ac:dyDescent="0.3">
      <c r="A103" s="433" t="s">
        <v>34</v>
      </c>
      <c r="B103" s="371" t="s">
        <v>35</v>
      </c>
      <c r="C103" s="395" t="s">
        <v>256</v>
      </c>
      <c r="D103" s="643">
        <v>27</v>
      </c>
      <c r="E103" s="644">
        <v>10</v>
      </c>
      <c r="F103" s="644"/>
      <c r="G103" s="305">
        <f t="shared" si="47"/>
        <v>37</v>
      </c>
      <c r="H103" s="643">
        <v>11</v>
      </c>
      <c r="I103" s="644">
        <v>2</v>
      </c>
      <c r="J103" s="644"/>
      <c r="K103" s="305">
        <f t="shared" si="48"/>
        <v>13</v>
      </c>
      <c r="L103" s="643">
        <v>1</v>
      </c>
      <c r="M103" s="644"/>
      <c r="N103" s="644"/>
      <c r="O103" s="305">
        <f t="shared" si="49"/>
        <v>1</v>
      </c>
      <c r="P103" s="645">
        <f t="shared" si="50"/>
        <v>51</v>
      </c>
      <c r="Q103" s="819">
        <f t="shared" si="37"/>
        <v>38</v>
      </c>
      <c r="R103" s="819">
        <f t="shared" si="38"/>
        <v>12</v>
      </c>
      <c r="S103" s="819">
        <f t="shared" si="39"/>
        <v>0</v>
      </c>
      <c r="T103" s="645">
        <f t="shared" ref="T103:T126" si="55">G103+K103</f>
        <v>50</v>
      </c>
      <c r="U103" s="646">
        <f t="shared" si="51"/>
        <v>0.28947368421052633</v>
      </c>
      <c r="V103" s="647">
        <f t="shared" si="52"/>
        <v>0.16666666666666666</v>
      </c>
      <c r="W103" s="648" t="str">
        <f t="shared" si="53"/>
        <v>NA</v>
      </c>
      <c r="X103" s="649">
        <f t="shared" si="54"/>
        <v>0.26</v>
      </c>
      <c r="Y103" s="708">
        <v>5</v>
      </c>
      <c r="Z103" s="708">
        <v>22</v>
      </c>
      <c r="AA103" s="708">
        <v>10</v>
      </c>
      <c r="AB103" s="708"/>
      <c r="AC103" s="708">
        <v>6</v>
      </c>
      <c r="AD103" s="708">
        <v>7</v>
      </c>
      <c r="AE103" s="708">
        <f t="shared" si="41"/>
        <v>5</v>
      </c>
      <c r="AF103" s="708">
        <f t="shared" si="42"/>
        <v>28</v>
      </c>
      <c r="AG103" s="708">
        <f t="shared" si="43"/>
        <v>17</v>
      </c>
      <c r="AH103" s="2031">
        <f t="shared" si="44"/>
        <v>0</v>
      </c>
      <c r="AI103" s="2031">
        <f t="shared" si="45"/>
        <v>0.21428571428571427</v>
      </c>
      <c r="AJ103" s="2031">
        <f t="shared" si="46"/>
        <v>0.41176470588235292</v>
      </c>
    </row>
    <row r="104" spans="1:36" x14ac:dyDescent="0.3">
      <c r="A104" s="433" t="s">
        <v>52</v>
      </c>
      <c r="B104" s="371" t="s">
        <v>53</v>
      </c>
      <c r="C104" s="395" t="s">
        <v>253</v>
      </c>
      <c r="D104" s="643">
        <v>71</v>
      </c>
      <c r="E104" s="644">
        <v>32</v>
      </c>
      <c r="F104" s="644"/>
      <c r="G104" s="305">
        <f t="shared" si="47"/>
        <v>103</v>
      </c>
      <c r="H104" s="643">
        <v>7</v>
      </c>
      <c r="I104" s="644">
        <v>1</v>
      </c>
      <c r="J104" s="644"/>
      <c r="K104" s="305">
        <f t="shared" si="48"/>
        <v>8</v>
      </c>
      <c r="L104" s="643"/>
      <c r="M104" s="644"/>
      <c r="N104" s="644"/>
      <c r="O104" s="305">
        <f t="shared" si="49"/>
        <v>0</v>
      </c>
      <c r="P104" s="645">
        <f t="shared" si="50"/>
        <v>111</v>
      </c>
      <c r="Q104" s="819">
        <f t="shared" si="37"/>
        <v>78</v>
      </c>
      <c r="R104" s="819">
        <f t="shared" si="38"/>
        <v>33</v>
      </c>
      <c r="S104" s="819">
        <f t="shared" si="39"/>
        <v>0</v>
      </c>
      <c r="T104" s="645">
        <f t="shared" si="55"/>
        <v>111</v>
      </c>
      <c r="U104" s="646">
        <f t="shared" si="51"/>
        <v>8.9743589743589744E-2</v>
      </c>
      <c r="V104" s="647">
        <f t="shared" si="52"/>
        <v>3.0303030303030304E-2</v>
      </c>
      <c r="W104" s="648" t="str">
        <f t="shared" si="53"/>
        <v>NA</v>
      </c>
      <c r="X104" s="649">
        <f t="shared" si="54"/>
        <v>7.2072072072072071E-2</v>
      </c>
      <c r="Y104" s="708">
        <v>9</v>
      </c>
      <c r="Z104" s="708">
        <v>54</v>
      </c>
      <c r="AA104" s="708">
        <v>40</v>
      </c>
      <c r="AB104" s="708">
        <v>1</v>
      </c>
      <c r="AC104" s="708">
        <v>2</v>
      </c>
      <c r="AD104" s="708">
        <v>5</v>
      </c>
      <c r="AE104" s="708">
        <f t="shared" si="41"/>
        <v>10</v>
      </c>
      <c r="AF104" s="708">
        <f t="shared" si="42"/>
        <v>56</v>
      </c>
      <c r="AG104" s="708">
        <f t="shared" si="43"/>
        <v>45</v>
      </c>
      <c r="AH104" s="2031">
        <f t="shared" si="44"/>
        <v>0.1</v>
      </c>
      <c r="AI104" s="2031">
        <f t="shared" si="45"/>
        <v>3.5714285714285712E-2</v>
      </c>
      <c r="AJ104" s="2031">
        <f t="shared" si="46"/>
        <v>0.1111111111111111</v>
      </c>
    </row>
    <row r="105" spans="1:36" x14ac:dyDescent="0.3">
      <c r="A105" s="433" t="s">
        <v>54</v>
      </c>
      <c r="B105" s="371" t="s">
        <v>55</v>
      </c>
      <c r="C105" s="395" t="s">
        <v>252</v>
      </c>
      <c r="D105" s="643">
        <v>159</v>
      </c>
      <c r="E105" s="644">
        <v>75</v>
      </c>
      <c r="F105" s="644">
        <v>1</v>
      </c>
      <c r="G105" s="305">
        <f t="shared" si="47"/>
        <v>235</v>
      </c>
      <c r="H105" s="643">
        <v>36</v>
      </c>
      <c r="I105" s="644">
        <v>13</v>
      </c>
      <c r="J105" s="644">
        <v>2</v>
      </c>
      <c r="K105" s="305">
        <f t="shared" si="48"/>
        <v>51</v>
      </c>
      <c r="L105" s="643"/>
      <c r="M105" s="644"/>
      <c r="N105" s="644"/>
      <c r="O105" s="305">
        <f t="shared" si="49"/>
        <v>0</v>
      </c>
      <c r="P105" s="645">
        <f t="shared" si="50"/>
        <v>286</v>
      </c>
      <c r="Q105" s="819">
        <f t="shared" si="37"/>
        <v>195</v>
      </c>
      <c r="R105" s="819">
        <f t="shared" si="38"/>
        <v>88</v>
      </c>
      <c r="S105" s="819">
        <f t="shared" si="39"/>
        <v>3</v>
      </c>
      <c r="T105" s="645">
        <f t="shared" si="55"/>
        <v>286</v>
      </c>
      <c r="U105" s="646">
        <f t="shared" si="51"/>
        <v>0.18461538461538463</v>
      </c>
      <c r="V105" s="647">
        <f t="shared" si="52"/>
        <v>0.14772727272727273</v>
      </c>
      <c r="W105" s="648">
        <f t="shared" si="53"/>
        <v>0.66666666666666663</v>
      </c>
      <c r="X105" s="649">
        <f t="shared" si="54"/>
        <v>0.17832167832167833</v>
      </c>
      <c r="Y105" s="708">
        <v>42</v>
      </c>
      <c r="Z105" s="708">
        <v>138</v>
      </c>
      <c r="AA105" s="708">
        <v>55</v>
      </c>
      <c r="AB105" s="708">
        <v>11</v>
      </c>
      <c r="AC105" s="708">
        <v>25</v>
      </c>
      <c r="AD105" s="708">
        <v>15</v>
      </c>
      <c r="AE105" s="708">
        <f t="shared" si="41"/>
        <v>53</v>
      </c>
      <c r="AF105" s="708">
        <f t="shared" si="42"/>
        <v>163</v>
      </c>
      <c r="AG105" s="708">
        <f t="shared" si="43"/>
        <v>70</v>
      </c>
      <c r="AH105" s="2031">
        <f t="shared" si="44"/>
        <v>0.20754716981132076</v>
      </c>
      <c r="AI105" s="2031">
        <f t="shared" si="45"/>
        <v>0.15337423312883436</v>
      </c>
      <c r="AJ105" s="2031">
        <f t="shared" si="46"/>
        <v>0.21428571428571427</v>
      </c>
    </row>
    <row r="106" spans="1:36" x14ac:dyDescent="0.3">
      <c r="A106" s="433" t="s">
        <v>66</v>
      </c>
      <c r="B106" s="371" t="s">
        <v>67</v>
      </c>
      <c r="C106" s="395" t="s">
        <v>253</v>
      </c>
      <c r="D106" s="643">
        <v>71</v>
      </c>
      <c r="E106" s="644">
        <v>28</v>
      </c>
      <c r="F106" s="644"/>
      <c r="G106" s="305">
        <f t="shared" si="47"/>
        <v>99</v>
      </c>
      <c r="H106" s="643">
        <v>1</v>
      </c>
      <c r="I106" s="644">
        <v>1</v>
      </c>
      <c r="J106" s="644">
        <v>1</v>
      </c>
      <c r="K106" s="305">
        <f t="shared" si="48"/>
        <v>3</v>
      </c>
      <c r="L106" s="643"/>
      <c r="M106" s="644"/>
      <c r="N106" s="644"/>
      <c r="O106" s="305">
        <f t="shared" si="49"/>
        <v>0</v>
      </c>
      <c r="P106" s="645">
        <f t="shared" si="50"/>
        <v>102</v>
      </c>
      <c r="Q106" s="819">
        <f t="shared" si="37"/>
        <v>72</v>
      </c>
      <c r="R106" s="819">
        <f t="shared" si="38"/>
        <v>29</v>
      </c>
      <c r="S106" s="819">
        <f t="shared" si="39"/>
        <v>1</v>
      </c>
      <c r="T106" s="645">
        <f t="shared" si="55"/>
        <v>102</v>
      </c>
      <c r="U106" s="646">
        <f t="shared" si="51"/>
        <v>1.3888888888888888E-2</v>
      </c>
      <c r="V106" s="647">
        <f t="shared" si="52"/>
        <v>3.4482758620689655E-2</v>
      </c>
      <c r="W106" s="648">
        <f t="shared" si="53"/>
        <v>1</v>
      </c>
      <c r="X106" s="649">
        <f t="shared" si="54"/>
        <v>2.9411764705882353E-2</v>
      </c>
      <c r="Y106" s="708">
        <v>20</v>
      </c>
      <c r="Z106" s="708">
        <v>54</v>
      </c>
      <c r="AA106" s="708">
        <v>25</v>
      </c>
      <c r="AB106" s="708"/>
      <c r="AC106" s="708">
        <v>2</v>
      </c>
      <c r="AD106" s="708">
        <v>1</v>
      </c>
      <c r="AE106" s="708">
        <f t="shared" si="41"/>
        <v>20</v>
      </c>
      <c r="AF106" s="708">
        <f t="shared" si="42"/>
        <v>56</v>
      </c>
      <c r="AG106" s="708">
        <f t="shared" si="43"/>
        <v>26</v>
      </c>
      <c r="AH106" s="2031">
        <f t="shared" si="44"/>
        <v>0</v>
      </c>
      <c r="AI106" s="2031">
        <f t="shared" si="45"/>
        <v>3.5714285714285712E-2</v>
      </c>
      <c r="AJ106" s="2031">
        <f t="shared" si="46"/>
        <v>3.8461538461538464E-2</v>
      </c>
    </row>
    <row r="107" spans="1:36" x14ac:dyDescent="0.3">
      <c r="A107" s="433" t="s">
        <v>82</v>
      </c>
      <c r="B107" s="371" t="s">
        <v>299</v>
      </c>
      <c r="C107" s="395" t="s">
        <v>252</v>
      </c>
      <c r="D107" s="643">
        <v>14</v>
      </c>
      <c r="E107" s="644">
        <v>5</v>
      </c>
      <c r="F107" s="644"/>
      <c r="G107" s="305">
        <f t="shared" si="47"/>
        <v>19</v>
      </c>
      <c r="H107" s="643">
        <v>9</v>
      </c>
      <c r="I107" s="644">
        <v>1</v>
      </c>
      <c r="J107" s="644"/>
      <c r="K107" s="305">
        <f t="shared" si="48"/>
        <v>10</v>
      </c>
      <c r="L107" s="643"/>
      <c r="M107" s="644"/>
      <c r="N107" s="644"/>
      <c r="O107" s="305">
        <f t="shared" si="49"/>
        <v>0</v>
      </c>
      <c r="P107" s="645">
        <f t="shared" si="50"/>
        <v>29</v>
      </c>
      <c r="Q107" s="819">
        <f t="shared" si="37"/>
        <v>23</v>
      </c>
      <c r="R107" s="819">
        <f t="shared" si="38"/>
        <v>6</v>
      </c>
      <c r="S107" s="819">
        <f t="shared" si="39"/>
        <v>0</v>
      </c>
      <c r="T107" s="645">
        <f t="shared" si="55"/>
        <v>29</v>
      </c>
      <c r="U107" s="646">
        <f t="shared" si="51"/>
        <v>0.39130434782608697</v>
      </c>
      <c r="V107" s="647">
        <f t="shared" si="52"/>
        <v>0.16666666666666666</v>
      </c>
      <c r="W107" s="648" t="str">
        <f t="shared" si="53"/>
        <v>NA</v>
      </c>
      <c r="X107" s="649">
        <f t="shared" si="54"/>
        <v>0.34482758620689657</v>
      </c>
      <c r="Y107" s="708">
        <v>4</v>
      </c>
      <c r="Z107" s="708">
        <v>12</v>
      </c>
      <c r="AA107" s="708">
        <v>3</v>
      </c>
      <c r="AB107" s="708">
        <v>1</v>
      </c>
      <c r="AC107" s="708">
        <v>4</v>
      </c>
      <c r="AD107" s="708">
        <v>5</v>
      </c>
      <c r="AE107" s="708">
        <f t="shared" si="41"/>
        <v>5</v>
      </c>
      <c r="AF107" s="708">
        <f t="shared" si="42"/>
        <v>16</v>
      </c>
      <c r="AG107" s="708">
        <f t="shared" si="43"/>
        <v>8</v>
      </c>
      <c r="AH107" s="2031">
        <f t="shared" si="44"/>
        <v>0.2</v>
      </c>
      <c r="AI107" s="2031">
        <f t="shared" si="45"/>
        <v>0.25</v>
      </c>
      <c r="AJ107" s="2031">
        <f t="shared" si="46"/>
        <v>0.625</v>
      </c>
    </row>
    <row r="108" spans="1:36" x14ac:dyDescent="0.3">
      <c r="A108" s="433" t="s">
        <v>88</v>
      </c>
      <c r="B108" s="371" t="s">
        <v>89</v>
      </c>
      <c r="C108" s="395" t="s">
        <v>255</v>
      </c>
      <c r="D108" s="643">
        <v>27</v>
      </c>
      <c r="E108" s="644">
        <v>11</v>
      </c>
      <c r="F108" s="644"/>
      <c r="G108" s="305">
        <f t="shared" si="47"/>
        <v>38</v>
      </c>
      <c r="H108" s="643">
        <v>3</v>
      </c>
      <c r="I108" s="644">
        <v>1</v>
      </c>
      <c r="J108" s="644">
        <v>1</v>
      </c>
      <c r="K108" s="305">
        <f t="shared" si="48"/>
        <v>5</v>
      </c>
      <c r="L108" s="643"/>
      <c r="M108" s="644"/>
      <c r="N108" s="644"/>
      <c r="O108" s="305">
        <f t="shared" si="49"/>
        <v>0</v>
      </c>
      <c r="P108" s="645">
        <f t="shared" si="50"/>
        <v>43</v>
      </c>
      <c r="Q108" s="819">
        <f t="shared" si="37"/>
        <v>30</v>
      </c>
      <c r="R108" s="819">
        <f t="shared" si="38"/>
        <v>12</v>
      </c>
      <c r="S108" s="819">
        <f t="shared" si="39"/>
        <v>1</v>
      </c>
      <c r="T108" s="645">
        <f t="shared" si="55"/>
        <v>43</v>
      </c>
      <c r="U108" s="646">
        <f t="shared" si="51"/>
        <v>0.1</v>
      </c>
      <c r="V108" s="647">
        <f t="shared" si="52"/>
        <v>8.3333333333333329E-2</v>
      </c>
      <c r="W108" s="648">
        <f t="shared" si="53"/>
        <v>1</v>
      </c>
      <c r="X108" s="649">
        <f t="shared" si="54"/>
        <v>0.11627906976744186</v>
      </c>
      <c r="Y108" s="708">
        <v>8</v>
      </c>
      <c r="Z108" s="708">
        <v>22</v>
      </c>
      <c r="AA108" s="708">
        <v>8</v>
      </c>
      <c r="AB108" s="708"/>
      <c r="AC108" s="708"/>
      <c r="AD108" s="708">
        <v>5</v>
      </c>
      <c r="AE108" s="708">
        <f t="shared" si="41"/>
        <v>8</v>
      </c>
      <c r="AF108" s="708">
        <f t="shared" si="42"/>
        <v>22</v>
      </c>
      <c r="AG108" s="708">
        <f t="shared" si="43"/>
        <v>13</v>
      </c>
      <c r="AH108" s="2031">
        <f t="shared" si="44"/>
        <v>0</v>
      </c>
      <c r="AI108" s="2031">
        <f t="shared" si="45"/>
        <v>0</v>
      </c>
      <c r="AJ108" s="2031">
        <f t="shared" si="46"/>
        <v>0.38461538461538464</v>
      </c>
    </row>
    <row r="109" spans="1:36" x14ac:dyDescent="0.3">
      <c r="A109" s="433" t="s">
        <v>90</v>
      </c>
      <c r="B109" s="371" t="s">
        <v>91</v>
      </c>
      <c r="C109" s="395" t="s">
        <v>256</v>
      </c>
      <c r="D109" s="643">
        <v>15</v>
      </c>
      <c r="E109" s="644">
        <v>7</v>
      </c>
      <c r="F109" s="644"/>
      <c r="G109" s="305">
        <f t="shared" si="47"/>
        <v>22</v>
      </c>
      <c r="H109" s="643">
        <v>3</v>
      </c>
      <c r="I109" s="644"/>
      <c r="J109" s="644"/>
      <c r="K109" s="305">
        <f t="shared" si="48"/>
        <v>3</v>
      </c>
      <c r="L109" s="643"/>
      <c r="M109" s="644"/>
      <c r="N109" s="644"/>
      <c r="O109" s="305">
        <f t="shared" si="49"/>
        <v>0</v>
      </c>
      <c r="P109" s="645">
        <f t="shared" si="50"/>
        <v>25</v>
      </c>
      <c r="Q109" s="819">
        <f t="shared" si="37"/>
        <v>18</v>
      </c>
      <c r="R109" s="819">
        <f t="shared" si="38"/>
        <v>7</v>
      </c>
      <c r="S109" s="819">
        <f t="shared" si="39"/>
        <v>0</v>
      </c>
      <c r="T109" s="645">
        <f t="shared" si="55"/>
        <v>25</v>
      </c>
      <c r="U109" s="646">
        <f t="shared" si="51"/>
        <v>0.16666666666666666</v>
      </c>
      <c r="V109" s="647">
        <f t="shared" si="52"/>
        <v>0</v>
      </c>
      <c r="W109" s="648" t="str">
        <f t="shared" si="53"/>
        <v>NA</v>
      </c>
      <c r="X109" s="649">
        <f t="shared" si="54"/>
        <v>0.12</v>
      </c>
      <c r="Y109" s="708">
        <v>5</v>
      </c>
      <c r="Z109" s="708">
        <v>10</v>
      </c>
      <c r="AA109" s="708">
        <v>7</v>
      </c>
      <c r="AB109" s="708"/>
      <c r="AC109" s="708"/>
      <c r="AD109" s="708">
        <v>3</v>
      </c>
      <c r="AE109" s="708">
        <f t="shared" si="41"/>
        <v>5</v>
      </c>
      <c r="AF109" s="708">
        <f t="shared" si="42"/>
        <v>10</v>
      </c>
      <c r="AG109" s="708">
        <f t="shared" si="43"/>
        <v>10</v>
      </c>
      <c r="AH109" s="2031">
        <f t="shared" si="44"/>
        <v>0</v>
      </c>
      <c r="AI109" s="2031">
        <f t="shared" si="45"/>
        <v>0</v>
      </c>
      <c r="AJ109" s="2031">
        <f t="shared" si="46"/>
        <v>0.3</v>
      </c>
    </row>
    <row r="110" spans="1:36" x14ac:dyDescent="0.3">
      <c r="A110" s="433" t="s">
        <v>106</v>
      </c>
      <c r="B110" s="371" t="s">
        <v>107</v>
      </c>
      <c r="C110" s="395" t="s">
        <v>252</v>
      </c>
      <c r="D110" s="643">
        <v>145</v>
      </c>
      <c r="E110" s="644">
        <v>39</v>
      </c>
      <c r="F110" s="644"/>
      <c r="G110" s="305">
        <f t="shared" si="47"/>
        <v>184</v>
      </c>
      <c r="H110" s="643">
        <v>26</v>
      </c>
      <c r="I110" s="644">
        <v>18</v>
      </c>
      <c r="J110" s="644"/>
      <c r="K110" s="305">
        <f t="shared" si="48"/>
        <v>44</v>
      </c>
      <c r="L110" s="643"/>
      <c r="M110" s="644"/>
      <c r="N110" s="644"/>
      <c r="O110" s="305">
        <f t="shared" si="49"/>
        <v>0</v>
      </c>
      <c r="P110" s="645">
        <f t="shared" si="50"/>
        <v>228</v>
      </c>
      <c r="Q110" s="819">
        <f t="shared" si="37"/>
        <v>171</v>
      </c>
      <c r="R110" s="819">
        <f t="shared" si="38"/>
        <v>57</v>
      </c>
      <c r="S110" s="819">
        <f t="shared" si="39"/>
        <v>0</v>
      </c>
      <c r="T110" s="645">
        <f t="shared" si="55"/>
        <v>228</v>
      </c>
      <c r="U110" s="646">
        <f t="shared" si="51"/>
        <v>0.15204678362573099</v>
      </c>
      <c r="V110" s="647">
        <f t="shared" si="52"/>
        <v>0.31578947368421051</v>
      </c>
      <c r="W110" s="648" t="str">
        <f t="shared" si="53"/>
        <v>NA</v>
      </c>
      <c r="X110" s="649">
        <f t="shared" si="54"/>
        <v>0.19298245614035087</v>
      </c>
      <c r="Y110" s="708">
        <v>28</v>
      </c>
      <c r="Z110" s="708">
        <v>106</v>
      </c>
      <c r="AA110" s="708">
        <v>50</v>
      </c>
      <c r="AB110" s="708">
        <v>17</v>
      </c>
      <c r="AC110" s="708">
        <v>22</v>
      </c>
      <c r="AD110" s="708">
        <v>5</v>
      </c>
      <c r="AE110" s="708">
        <f t="shared" si="41"/>
        <v>45</v>
      </c>
      <c r="AF110" s="708">
        <f t="shared" si="42"/>
        <v>128</v>
      </c>
      <c r="AG110" s="708">
        <f t="shared" si="43"/>
        <v>55</v>
      </c>
      <c r="AH110" s="2031">
        <f t="shared" si="44"/>
        <v>0.37777777777777777</v>
      </c>
      <c r="AI110" s="2031">
        <f t="shared" si="45"/>
        <v>0.171875</v>
      </c>
      <c r="AJ110" s="2031">
        <f t="shared" si="46"/>
        <v>9.0909090909090912E-2</v>
      </c>
    </row>
    <row r="111" spans="1:36" x14ac:dyDescent="0.3">
      <c r="A111" s="433" t="s">
        <v>116</v>
      </c>
      <c r="B111" s="371" t="s">
        <v>117</v>
      </c>
      <c r="C111" s="395" t="s">
        <v>254</v>
      </c>
      <c r="D111" s="643">
        <v>41</v>
      </c>
      <c r="E111" s="644">
        <v>17</v>
      </c>
      <c r="F111" s="644"/>
      <c r="G111" s="305">
        <f t="shared" si="47"/>
        <v>58</v>
      </c>
      <c r="H111" s="643">
        <v>1</v>
      </c>
      <c r="I111" s="644"/>
      <c r="J111" s="644"/>
      <c r="K111" s="305">
        <f t="shared" si="48"/>
        <v>1</v>
      </c>
      <c r="L111" s="643"/>
      <c r="M111" s="644"/>
      <c r="N111" s="644"/>
      <c r="O111" s="305">
        <f t="shared" si="49"/>
        <v>0</v>
      </c>
      <c r="P111" s="645">
        <f t="shared" si="50"/>
        <v>59</v>
      </c>
      <c r="Q111" s="819">
        <f t="shared" si="37"/>
        <v>42</v>
      </c>
      <c r="R111" s="819">
        <f t="shared" si="38"/>
        <v>17</v>
      </c>
      <c r="S111" s="819">
        <f t="shared" si="39"/>
        <v>0</v>
      </c>
      <c r="T111" s="645">
        <f t="shared" si="55"/>
        <v>59</v>
      </c>
      <c r="U111" s="646">
        <f t="shared" si="51"/>
        <v>2.3809523809523808E-2</v>
      </c>
      <c r="V111" s="647">
        <f t="shared" si="52"/>
        <v>0</v>
      </c>
      <c r="W111" s="648" t="str">
        <f t="shared" si="53"/>
        <v>NA</v>
      </c>
      <c r="X111" s="649">
        <f t="shared" si="54"/>
        <v>1.6949152542372881E-2</v>
      </c>
      <c r="Y111" s="708">
        <v>7</v>
      </c>
      <c r="Z111" s="708">
        <v>38</v>
      </c>
      <c r="AA111" s="708">
        <v>13</v>
      </c>
      <c r="AB111" s="708"/>
      <c r="AC111" s="708"/>
      <c r="AD111" s="708">
        <v>1</v>
      </c>
      <c r="AE111" s="708">
        <f t="shared" si="41"/>
        <v>7</v>
      </c>
      <c r="AF111" s="708">
        <f t="shared" si="42"/>
        <v>38</v>
      </c>
      <c r="AG111" s="708">
        <f t="shared" si="43"/>
        <v>14</v>
      </c>
      <c r="AH111" s="2031">
        <f t="shared" si="44"/>
        <v>0</v>
      </c>
      <c r="AI111" s="2031">
        <f t="shared" si="45"/>
        <v>0</v>
      </c>
      <c r="AJ111" s="2031">
        <f t="shared" si="46"/>
        <v>7.1428571428571425E-2</v>
      </c>
    </row>
    <row r="112" spans="1:36" x14ac:dyDescent="0.3">
      <c r="A112" s="433" t="s">
        <v>138</v>
      </c>
      <c r="B112" s="371" t="s">
        <v>139</v>
      </c>
      <c r="C112" s="395" t="s">
        <v>253</v>
      </c>
      <c r="D112" s="643">
        <v>98</v>
      </c>
      <c r="E112" s="644">
        <v>39</v>
      </c>
      <c r="F112" s="644">
        <v>1</v>
      </c>
      <c r="G112" s="305">
        <f t="shared" si="47"/>
        <v>138</v>
      </c>
      <c r="H112" s="643">
        <v>30</v>
      </c>
      <c r="I112" s="644">
        <v>5</v>
      </c>
      <c r="J112" s="644"/>
      <c r="K112" s="305">
        <f t="shared" si="48"/>
        <v>35</v>
      </c>
      <c r="L112" s="643">
        <v>1</v>
      </c>
      <c r="M112" s="644"/>
      <c r="N112" s="644"/>
      <c r="O112" s="305">
        <f t="shared" si="49"/>
        <v>1</v>
      </c>
      <c r="P112" s="645">
        <f t="shared" si="50"/>
        <v>174</v>
      </c>
      <c r="Q112" s="819">
        <f t="shared" si="37"/>
        <v>128</v>
      </c>
      <c r="R112" s="819">
        <f t="shared" si="38"/>
        <v>44</v>
      </c>
      <c r="S112" s="819">
        <f t="shared" si="39"/>
        <v>1</v>
      </c>
      <c r="T112" s="645">
        <f t="shared" si="55"/>
        <v>173</v>
      </c>
      <c r="U112" s="646">
        <f t="shared" si="51"/>
        <v>0.234375</v>
      </c>
      <c r="V112" s="647">
        <f t="shared" si="52"/>
        <v>0.11363636363636363</v>
      </c>
      <c r="W112" s="648">
        <f t="shared" si="53"/>
        <v>0</v>
      </c>
      <c r="X112" s="649">
        <f t="shared" si="54"/>
        <v>0.20231213872832371</v>
      </c>
      <c r="Y112" s="708">
        <v>28</v>
      </c>
      <c r="Z112" s="708">
        <v>67</v>
      </c>
      <c r="AA112" s="708">
        <v>43</v>
      </c>
      <c r="AB112" s="708">
        <v>5</v>
      </c>
      <c r="AC112" s="708">
        <v>13</v>
      </c>
      <c r="AD112" s="708">
        <v>17</v>
      </c>
      <c r="AE112" s="708">
        <f t="shared" si="41"/>
        <v>33</v>
      </c>
      <c r="AF112" s="708">
        <f t="shared" si="42"/>
        <v>80</v>
      </c>
      <c r="AG112" s="708">
        <f t="shared" si="43"/>
        <v>60</v>
      </c>
      <c r="AH112" s="2031">
        <f t="shared" si="44"/>
        <v>0.15151515151515152</v>
      </c>
      <c r="AI112" s="2031">
        <f t="shared" si="45"/>
        <v>0.16250000000000001</v>
      </c>
      <c r="AJ112" s="2031">
        <f t="shared" si="46"/>
        <v>0.28333333333333333</v>
      </c>
    </row>
    <row r="113" spans="1:36" x14ac:dyDescent="0.3">
      <c r="A113" s="433" t="s">
        <v>142</v>
      </c>
      <c r="B113" s="371" t="s">
        <v>143</v>
      </c>
      <c r="C113" s="395" t="s">
        <v>255</v>
      </c>
      <c r="D113" s="643">
        <v>23</v>
      </c>
      <c r="E113" s="644">
        <v>13</v>
      </c>
      <c r="F113" s="644">
        <v>3</v>
      </c>
      <c r="G113" s="305">
        <f t="shared" si="47"/>
        <v>39</v>
      </c>
      <c r="H113" s="643">
        <v>2</v>
      </c>
      <c r="I113" s="644">
        <v>2</v>
      </c>
      <c r="J113" s="644">
        <v>2</v>
      </c>
      <c r="K113" s="305">
        <f t="shared" si="48"/>
        <v>6</v>
      </c>
      <c r="L113" s="643"/>
      <c r="M113" s="644"/>
      <c r="N113" s="644"/>
      <c r="O113" s="305">
        <f t="shared" si="49"/>
        <v>0</v>
      </c>
      <c r="P113" s="645">
        <f t="shared" si="50"/>
        <v>45</v>
      </c>
      <c r="Q113" s="819">
        <f t="shared" si="37"/>
        <v>25</v>
      </c>
      <c r="R113" s="819">
        <f t="shared" si="38"/>
        <v>15</v>
      </c>
      <c r="S113" s="819">
        <f t="shared" si="39"/>
        <v>5</v>
      </c>
      <c r="T113" s="645">
        <f t="shared" si="55"/>
        <v>45</v>
      </c>
      <c r="U113" s="646">
        <f t="shared" si="51"/>
        <v>0.08</v>
      </c>
      <c r="V113" s="647">
        <f t="shared" si="52"/>
        <v>0.13333333333333333</v>
      </c>
      <c r="W113" s="648">
        <f t="shared" si="53"/>
        <v>0.4</v>
      </c>
      <c r="X113" s="649">
        <f t="shared" si="54"/>
        <v>0.13333333333333333</v>
      </c>
      <c r="Y113" s="708">
        <v>6</v>
      </c>
      <c r="Z113" s="708">
        <v>25</v>
      </c>
      <c r="AA113" s="708">
        <v>8</v>
      </c>
      <c r="AB113" s="708"/>
      <c r="AC113" s="708">
        <v>5</v>
      </c>
      <c r="AD113" s="708">
        <v>1</v>
      </c>
      <c r="AE113" s="708">
        <f t="shared" si="41"/>
        <v>6</v>
      </c>
      <c r="AF113" s="708">
        <f t="shared" si="42"/>
        <v>30</v>
      </c>
      <c r="AG113" s="708">
        <f t="shared" si="43"/>
        <v>9</v>
      </c>
      <c r="AH113" s="2031">
        <f t="shared" si="44"/>
        <v>0</v>
      </c>
      <c r="AI113" s="2031">
        <f t="shared" si="45"/>
        <v>0.16666666666666666</v>
      </c>
      <c r="AJ113" s="2031">
        <f t="shared" si="46"/>
        <v>0.1111111111111111</v>
      </c>
    </row>
    <row r="114" spans="1:36" x14ac:dyDescent="0.3">
      <c r="A114" s="433" t="s">
        <v>144</v>
      </c>
      <c r="B114" s="371" t="s">
        <v>145</v>
      </c>
      <c r="C114" s="395" t="s">
        <v>255</v>
      </c>
      <c r="D114" s="643">
        <v>10</v>
      </c>
      <c r="E114" s="644">
        <v>7</v>
      </c>
      <c r="F114" s="644"/>
      <c r="G114" s="305">
        <f t="shared" si="47"/>
        <v>17</v>
      </c>
      <c r="H114" s="643">
        <v>1</v>
      </c>
      <c r="I114" s="644"/>
      <c r="J114" s="644"/>
      <c r="K114" s="305">
        <f t="shared" si="48"/>
        <v>1</v>
      </c>
      <c r="L114" s="643"/>
      <c r="M114" s="644"/>
      <c r="N114" s="644"/>
      <c r="O114" s="305">
        <f t="shared" si="49"/>
        <v>0</v>
      </c>
      <c r="P114" s="645">
        <f t="shared" si="50"/>
        <v>18</v>
      </c>
      <c r="Q114" s="819">
        <f t="shared" si="37"/>
        <v>11</v>
      </c>
      <c r="R114" s="819">
        <f t="shared" si="38"/>
        <v>7</v>
      </c>
      <c r="S114" s="819">
        <f t="shared" si="39"/>
        <v>0</v>
      </c>
      <c r="T114" s="645">
        <f t="shared" si="55"/>
        <v>18</v>
      </c>
      <c r="U114" s="646">
        <f t="shared" si="51"/>
        <v>9.0909090909090912E-2</v>
      </c>
      <c r="V114" s="647">
        <f t="shared" si="52"/>
        <v>0</v>
      </c>
      <c r="W114" s="648" t="str">
        <f t="shared" si="53"/>
        <v>NA</v>
      </c>
      <c r="X114" s="649">
        <f t="shared" si="54"/>
        <v>5.5555555555555552E-2</v>
      </c>
      <c r="Y114" s="708">
        <v>4</v>
      </c>
      <c r="Z114" s="708">
        <v>8</v>
      </c>
      <c r="AA114" s="708">
        <v>5</v>
      </c>
      <c r="AB114" s="708"/>
      <c r="AC114" s="708">
        <v>1</v>
      </c>
      <c r="AD114" s="708"/>
      <c r="AE114" s="708">
        <f t="shared" si="41"/>
        <v>4</v>
      </c>
      <c r="AF114" s="708">
        <f t="shared" si="42"/>
        <v>9</v>
      </c>
      <c r="AG114" s="708">
        <f t="shared" si="43"/>
        <v>5</v>
      </c>
      <c r="AH114" s="2031">
        <f t="shared" si="44"/>
        <v>0</v>
      </c>
      <c r="AI114" s="2031">
        <f t="shared" si="45"/>
        <v>0.1111111111111111</v>
      </c>
      <c r="AJ114" s="2031">
        <f t="shared" si="46"/>
        <v>0</v>
      </c>
    </row>
    <row r="115" spans="1:36" x14ac:dyDescent="0.3">
      <c r="A115" s="433" t="s">
        <v>158</v>
      </c>
      <c r="B115" s="371" t="s">
        <v>159</v>
      </c>
      <c r="C115" s="395" t="s">
        <v>252</v>
      </c>
      <c r="D115" s="643">
        <v>191</v>
      </c>
      <c r="E115" s="644">
        <v>128</v>
      </c>
      <c r="F115" s="644">
        <v>8</v>
      </c>
      <c r="G115" s="305">
        <f t="shared" si="47"/>
        <v>327</v>
      </c>
      <c r="H115" s="643">
        <v>38</v>
      </c>
      <c r="I115" s="644">
        <v>25</v>
      </c>
      <c r="J115" s="644">
        <v>2</v>
      </c>
      <c r="K115" s="305">
        <f t="shared" si="48"/>
        <v>65</v>
      </c>
      <c r="L115" s="643"/>
      <c r="M115" s="644">
        <v>3</v>
      </c>
      <c r="N115" s="644"/>
      <c r="O115" s="305">
        <f t="shared" si="49"/>
        <v>3</v>
      </c>
      <c r="P115" s="645">
        <f t="shared" si="50"/>
        <v>395</v>
      </c>
      <c r="Q115" s="819">
        <f t="shared" si="37"/>
        <v>229</v>
      </c>
      <c r="R115" s="819">
        <f t="shared" si="38"/>
        <v>153</v>
      </c>
      <c r="S115" s="819">
        <f t="shared" si="39"/>
        <v>10</v>
      </c>
      <c r="T115" s="645">
        <f t="shared" si="55"/>
        <v>392</v>
      </c>
      <c r="U115" s="646">
        <f t="shared" si="51"/>
        <v>0.16593886462882096</v>
      </c>
      <c r="V115" s="647">
        <f t="shared" si="52"/>
        <v>0.16339869281045752</v>
      </c>
      <c r="W115" s="648">
        <f t="shared" si="53"/>
        <v>0.2</v>
      </c>
      <c r="X115" s="649">
        <f t="shared" si="54"/>
        <v>0.16581632653061223</v>
      </c>
      <c r="Y115" s="708">
        <v>93</v>
      </c>
      <c r="Z115" s="708">
        <v>126</v>
      </c>
      <c r="AA115" s="708">
        <v>108</v>
      </c>
      <c r="AB115" s="708">
        <v>24</v>
      </c>
      <c r="AC115" s="708">
        <v>24</v>
      </c>
      <c r="AD115" s="708">
        <v>17</v>
      </c>
      <c r="AE115" s="708">
        <f t="shared" si="41"/>
        <v>117</v>
      </c>
      <c r="AF115" s="708">
        <f t="shared" si="42"/>
        <v>150</v>
      </c>
      <c r="AG115" s="708">
        <f t="shared" si="43"/>
        <v>125</v>
      </c>
      <c r="AH115" s="2031">
        <f t="shared" si="44"/>
        <v>0.20512820512820512</v>
      </c>
      <c r="AI115" s="2031">
        <f t="shared" si="45"/>
        <v>0.16</v>
      </c>
      <c r="AJ115" s="2031">
        <f t="shared" si="46"/>
        <v>0.13600000000000001</v>
      </c>
    </row>
    <row r="116" spans="1:36" x14ac:dyDescent="0.3">
      <c r="A116" s="433" t="s">
        <v>160</v>
      </c>
      <c r="B116" s="371" t="s">
        <v>161</v>
      </c>
      <c r="C116" s="395" t="s">
        <v>252</v>
      </c>
      <c r="D116" s="643">
        <v>282</v>
      </c>
      <c r="E116" s="644">
        <v>133</v>
      </c>
      <c r="F116" s="644">
        <v>4</v>
      </c>
      <c r="G116" s="305">
        <f t="shared" si="47"/>
        <v>419</v>
      </c>
      <c r="H116" s="643">
        <v>125</v>
      </c>
      <c r="I116" s="644">
        <v>41</v>
      </c>
      <c r="J116" s="644">
        <v>5</v>
      </c>
      <c r="K116" s="305">
        <f t="shared" si="48"/>
        <v>171</v>
      </c>
      <c r="L116" s="643">
        <v>6</v>
      </c>
      <c r="M116" s="644"/>
      <c r="N116" s="644"/>
      <c r="O116" s="305">
        <f t="shared" si="49"/>
        <v>6</v>
      </c>
      <c r="P116" s="645">
        <f t="shared" si="50"/>
        <v>596</v>
      </c>
      <c r="Q116" s="819">
        <f t="shared" si="37"/>
        <v>407</v>
      </c>
      <c r="R116" s="819">
        <f t="shared" si="38"/>
        <v>174</v>
      </c>
      <c r="S116" s="819">
        <f t="shared" si="39"/>
        <v>9</v>
      </c>
      <c r="T116" s="645">
        <f t="shared" si="55"/>
        <v>590</v>
      </c>
      <c r="U116" s="646">
        <f t="shared" si="51"/>
        <v>0.30712530712530711</v>
      </c>
      <c r="V116" s="647">
        <f t="shared" si="52"/>
        <v>0.23563218390804597</v>
      </c>
      <c r="W116" s="648">
        <f t="shared" si="53"/>
        <v>0.55555555555555558</v>
      </c>
      <c r="X116" s="649">
        <f t="shared" si="54"/>
        <v>0.28983050847457625</v>
      </c>
      <c r="Y116" s="708">
        <v>84</v>
      </c>
      <c r="Z116" s="708">
        <v>239</v>
      </c>
      <c r="AA116" s="708">
        <v>96</v>
      </c>
      <c r="AB116" s="708">
        <v>24</v>
      </c>
      <c r="AC116" s="708">
        <v>110</v>
      </c>
      <c r="AD116" s="708">
        <v>37</v>
      </c>
      <c r="AE116" s="708">
        <f t="shared" si="41"/>
        <v>108</v>
      </c>
      <c r="AF116" s="708">
        <f t="shared" si="42"/>
        <v>349</v>
      </c>
      <c r="AG116" s="708">
        <f t="shared" si="43"/>
        <v>133</v>
      </c>
      <c r="AH116" s="2031">
        <f t="shared" si="44"/>
        <v>0.22222222222222221</v>
      </c>
      <c r="AI116" s="2031">
        <f t="shared" si="45"/>
        <v>0.31518624641833809</v>
      </c>
      <c r="AJ116" s="2031">
        <f t="shared" si="46"/>
        <v>0.2781954887218045</v>
      </c>
    </row>
    <row r="117" spans="1:36" x14ac:dyDescent="0.3">
      <c r="A117" s="433" t="s">
        <v>166</v>
      </c>
      <c r="B117" s="371" t="s">
        <v>167</v>
      </c>
      <c r="C117" s="395" t="s">
        <v>256</v>
      </c>
      <c r="D117" s="643">
        <v>9</v>
      </c>
      <c r="E117" s="644">
        <v>5</v>
      </c>
      <c r="F117" s="644">
        <v>1</v>
      </c>
      <c r="G117" s="305">
        <f t="shared" si="47"/>
        <v>15</v>
      </c>
      <c r="H117" s="643">
        <v>1</v>
      </c>
      <c r="I117" s="644">
        <v>1</v>
      </c>
      <c r="J117" s="644"/>
      <c r="K117" s="305">
        <f t="shared" si="48"/>
        <v>2</v>
      </c>
      <c r="L117" s="643"/>
      <c r="M117" s="644">
        <v>1</v>
      </c>
      <c r="N117" s="644"/>
      <c r="O117" s="305">
        <f t="shared" si="49"/>
        <v>1</v>
      </c>
      <c r="P117" s="645">
        <f t="shared" si="50"/>
        <v>18</v>
      </c>
      <c r="Q117" s="819">
        <f t="shared" si="37"/>
        <v>10</v>
      </c>
      <c r="R117" s="819">
        <f t="shared" si="38"/>
        <v>6</v>
      </c>
      <c r="S117" s="819">
        <f t="shared" si="39"/>
        <v>1</v>
      </c>
      <c r="T117" s="645">
        <f t="shared" si="55"/>
        <v>17</v>
      </c>
      <c r="U117" s="646">
        <f t="shared" si="51"/>
        <v>0.1</v>
      </c>
      <c r="V117" s="647">
        <f t="shared" si="52"/>
        <v>0.16666666666666666</v>
      </c>
      <c r="W117" s="648">
        <f t="shared" si="53"/>
        <v>0</v>
      </c>
      <c r="X117" s="649">
        <f t="shared" si="54"/>
        <v>0.11764705882352941</v>
      </c>
      <c r="Y117" s="708">
        <v>4</v>
      </c>
      <c r="Z117" s="708">
        <v>8</v>
      </c>
      <c r="AA117" s="708">
        <v>3</v>
      </c>
      <c r="AB117" s="708"/>
      <c r="AC117" s="708">
        <v>1</v>
      </c>
      <c r="AD117" s="708">
        <v>1</v>
      </c>
      <c r="AE117" s="708">
        <f t="shared" si="41"/>
        <v>4</v>
      </c>
      <c r="AF117" s="708">
        <f t="shared" si="42"/>
        <v>9</v>
      </c>
      <c r="AG117" s="708">
        <f t="shared" si="43"/>
        <v>4</v>
      </c>
      <c r="AH117" s="2031">
        <f t="shared" si="44"/>
        <v>0</v>
      </c>
      <c r="AI117" s="2031">
        <f t="shared" si="45"/>
        <v>0.1111111111111111</v>
      </c>
      <c r="AJ117" s="2031">
        <f t="shared" si="46"/>
        <v>0.25</v>
      </c>
    </row>
    <row r="118" spans="1:36" x14ac:dyDescent="0.3">
      <c r="A118" s="433" t="s">
        <v>176</v>
      </c>
      <c r="B118" s="371" t="s">
        <v>177</v>
      </c>
      <c r="C118" s="395" t="s">
        <v>254</v>
      </c>
      <c r="D118" s="643">
        <v>61</v>
      </c>
      <c r="E118" s="644">
        <v>29</v>
      </c>
      <c r="F118" s="644"/>
      <c r="G118" s="305">
        <f t="shared" si="47"/>
        <v>90</v>
      </c>
      <c r="H118" s="643">
        <v>31</v>
      </c>
      <c r="I118" s="644">
        <v>30</v>
      </c>
      <c r="J118" s="644"/>
      <c r="K118" s="305">
        <f t="shared" si="48"/>
        <v>61</v>
      </c>
      <c r="L118" s="643">
        <v>2</v>
      </c>
      <c r="M118" s="644"/>
      <c r="N118" s="644"/>
      <c r="O118" s="305">
        <f t="shared" si="49"/>
        <v>2</v>
      </c>
      <c r="P118" s="645">
        <f t="shared" si="50"/>
        <v>153</v>
      </c>
      <c r="Q118" s="819">
        <f t="shared" si="37"/>
        <v>92</v>
      </c>
      <c r="R118" s="819">
        <f t="shared" si="38"/>
        <v>59</v>
      </c>
      <c r="S118" s="819">
        <f t="shared" si="39"/>
        <v>0</v>
      </c>
      <c r="T118" s="645">
        <f t="shared" si="55"/>
        <v>151</v>
      </c>
      <c r="U118" s="646">
        <f t="shared" si="51"/>
        <v>0.33695652173913043</v>
      </c>
      <c r="V118" s="647">
        <f t="shared" si="52"/>
        <v>0.50847457627118642</v>
      </c>
      <c r="W118" s="648" t="str">
        <f t="shared" si="53"/>
        <v>NA</v>
      </c>
      <c r="X118" s="649">
        <f t="shared" si="54"/>
        <v>0.40397350993377484</v>
      </c>
      <c r="Y118" s="708">
        <v>16</v>
      </c>
      <c r="Z118" s="708">
        <v>47</v>
      </c>
      <c r="AA118" s="708">
        <v>27</v>
      </c>
      <c r="AB118" s="708">
        <v>26</v>
      </c>
      <c r="AC118" s="708">
        <v>22</v>
      </c>
      <c r="AD118" s="708">
        <v>13</v>
      </c>
      <c r="AE118" s="708">
        <f t="shared" si="41"/>
        <v>42</v>
      </c>
      <c r="AF118" s="708">
        <f t="shared" si="42"/>
        <v>69</v>
      </c>
      <c r="AG118" s="708">
        <f t="shared" si="43"/>
        <v>40</v>
      </c>
      <c r="AH118" s="2031">
        <f t="shared" si="44"/>
        <v>0.61904761904761907</v>
      </c>
      <c r="AI118" s="2031">
        <f t="shared" si="45"/>
        <v>0.3188405797101449</v>
      </c>
      <c r="AJ118" s="2031">
        <f t="shared" si="46"/>
        <v>0.32500000000000001</v>
      </c>
    </row>
    <row r="119" spans="1:36" x14ac:dyDescent="0.3">
      <c r="A119" s="433" t="s">
        <v>180</v>
      </c>
      <c r="B119" s="371" t="s">
        <v>181</v>
      </c>
      <c r="C119" s="395" t="s">
        <v>252</v>
      </c>
      <c r="D119" s="643">
        <v>99</v>
      </c>
      <c r="E119" s="644">
        <v>60</v>
      </c>
      <c r="F119" s="644"/>
      <c r="G119" s="305">
        <f t="shared" si="47"/>
        <v>159</v>
      </c>
      <c r="H119" s="643">
        <v>31</v>
      </c>
      <c r="I119" s="644">
        <v>8</v>
      </c>
      <c r="J119" s="644"/>
      <c r="K119" s="305">
        <f t="shared" si="48"/>
        <v>39</v>
      </c>
      <c r="L119" s="643"/>
      <c r="M119" s="644">
        <v>1</v>
      </c>
      <c r="N119" s="644"/>
      <c r="O119" s="305">
        <f t="shared" si="49"/>
        <v>1</v>
      </c>
      <c r="P119" s="645">
        <f t="shared" si="50"/>
        <v>199</v>
      </c>
      <c r="Q119" s="819">
        <f t="shared" si="37"/>
        <v>130</v>
      </c>
      <c r="R119" s="819">
        <f t="shared" si="38"/>
        <v>68</v>
      </c>
      <c r="S119" s="819">
        <f t="shared" si="39"/>
        <v>0</v>
      </c>
      <c r="T119" s="645">
        <f t="shared" si="55"/>
        <v>198</v>
      </c>
      <c r="U119" s="646">
        <f t="shared" si="51"/>
        <v>0.23846153846153847</v>
      </c>
      <c r="V119" s="647">
        <f t="shared" si="52"/>
        <v>0.11764705882352941</v>
      </c>
      <c r="W119" s="648" t="str">
        <f t="shared" si="53"/>
        <v>NA</v>
      </c>
      <c r="X119" s="649">
        <f t="shared" si="54"/>
        <v>0.19696969696969696</v>
      </c>
      <c r="Y119" s="708">
        <v>38</v>
      </c>
      <c r="Z119" s="708">
        <v>76</v>
      </c>
      <c r="AA119" s="708">
        <v>45</v>
      </c>
      <c r="AB119" s="708">
        <v>5</v>
      </c>
      <c r="AC119" s="708">
        <v>17</v>
      </c>
      <c r="AD119" s="708">
        <v>17</v>
      </c>
      <c r="AE119" s="708">
        <f t="shared" si="41"/>
        <v>43</v>
      </c>
      <c r="AF119" s="708">
        <f t="shared" si="42"/>
        <v>93</v>
      </c>
      <c r="AG119" s="708">
        <f t="shared" si="43"/>
        <v>62</v>
      </c>
      <c r="AH119" s="2031">
        <f t="shared" si="44"/>
        <v>0.11627906976744186</v>
      </c>
      <c r="AI119" s="2031">
        <f t="shared" si="45"/>
        <v>0.18279569892473119</v>
      </c>
      <c r="AJ119" s="2031">
        <f t="shared" si="46"/>
        <v>0.27419354838709675</v>
      </c>
    </row>
    <row r="120" spans="1:36" x14ac:dyDescent="0.3">
      <c r="A120" s="433" t="s">
        <v>192</v>
      </c>
      <c r="B120" s="371" t="s">
        <v>193</v>
      </c>
      <c r="C120" s="395" t="s">
        <v>256</v>
      </c>
      <c r="D120" s="643">
        <v>13</v>
      </c>
      <c r="E120" s="644">
        <v>7</v>
      </c>
      <c r="F120" s="644"/>
      <c r="G120" s="305">
        <f t="shared" si="47"/>
        <v>20</v>
      </c>
      <c r="H120" s="643">
        <v>2</v>
      </c>
      <c r="I120" s="644"/>
      <c r="J120" s="644"/>
      <c r="K120" s="305">
        <f t="shared" si="48"/>
        <v>2</v>
      </c>
      <c r="L120" s="643">
        <v>1</v>
      </c>
      <c r="M120" s="644"/>
      <c r="N120" s="644"/>
      <c r="O120" s="305">
        <f t="shared" si="49"/>
        <v>1</v>
      </c>
      <c r="P120" s="645">
        <f t="shared" si="50"/>
        <v>23</v>
      </c>
      <c r="Q120" s="819">
        <f t="shared" si="37"/>
        <v>15</v>
      </c>
      <c r="R120" s="819">
        <f t="shared" si="38"/>
        <v>7</v>
      </c>
      <c r="S120" s="819">
        <f t="shared" si="39"/>
        <v>0</v>
      </c>
      <c r="T120" s="645">
        <f t="shared" si="55"/>
        <v>22</v>
      </c>
      <c r="U120" s="646">
        <f t="shared" si="51"/>
        <v>0.13333333333333333</v>
      </c>
      <c r="V120" s="647">
        <f t="shared" si="52"/>
        <v>0</v>
      </c>
      <c r="W120" s="648" t="str">
        <f t="shared" si="53"/>
        <v>NA</v>
      </c>
      <c r="X120" s="649">
        <f t="shared" si="54"/>
        <v>9.0909090909090912E-2</v>
      </c>
      <c r="Y120" s="708">
        <v>5</v>
      </c>
      <c r="Z120" s="708">
        <v>10</v>
      </c>
      <c r="AA120" s="708">
        <v>5</v>
      </c>
      <c r="AB120" s="708"/>
      <c r="AC120" s="708">
        <v>1</v>
      </c>
      <c r="AD120" s="708">
        <v>1</v>
      </c>
      <c r="AE120" s="708">
        <f t="shared" si="41"/>
        <v>5</v>
      </c>
      <c r="AF120" s="708">
        <f t="shared" si="42"/>
        <v>11</v>
      </c>
      <c r="AG120" s="708">
        <f t="shared" si="43"/>
        <v>6</v>
      </c>
      <c r="AH120" s="2031">
        <f t="shared" si="44"/>
        <v>0</v>
      </c>
      <c r="AI120" s="2031">
        <f t="shared" si="45"/>
        <v>9.0909090909090912E-2</v>
      </c>
      <c r="AJ120" s="2031">
        <f t="shared" si="46"/>
        <v>0.16666666666666666</v>
      </c>
    </row>
    <row r="121" spans="1:36" x14ac:dyDescent="0.3">
      <c r="A121" s="433" t="s">
        <v>196</v>
      </c>
      <c r="B121" s="371" t="s">
        <v>300</v>
      </c>
      <c r="C121" s="395" t="s">
        <v>254</v>
      </c>
      <c r="D121" s="643">
        <v>182</v>
      </c>
      <c r="E121" s="644">
        <v>146</v>
      </c>
      <c r="F121" s="644">
        <v>18</v>
      </c>
      <c r="G121" s="305">
        <f t="shared" si="47"/>
        <v>346</v>
      </c>
      <c r="H121" s="643">
        <v>108</v>
      </c>
      <c r="I121" s="644">
        <v>45</v>
      </c>
      <c r="J121" s="644">
        <v>5</v>
      </c>
      <c r="K121" s="305">
        <f t="shared" si="48"/>
        <v>158</v>
      </c>
      <c r="L121" s="643">
        <v>1</v>
      </c>
      <c r="M121" s="644">
        <v>1</v>
      </c>
      <c r="N121" s="644">
        <v>1</v>
      </c>
      <c r="O121" s="305">
        <f t="shared" si="49"/>
        <v>3</v>
      </c>
      <c r="P121" s="645">
        <f t="shared" si="50"/>
        <v>507</v>
      </c>
      <c r="Q121" s="819">
        <f t="shared" si="37"/>
        <v>290</v>
      </c>
      <c r="R121" s="819">
        <f t="shared" si="38"/>
        <v>191</v>
      </c>
      <c r="S121" s="819">
        <f t="shared" si="39"/>
        <v>23</v>
      </c>
      <c r="T121" s="645">
        <f t="shared" si="55"/>
        <v>504</v>
      </c>
      <c r="U121" s="646">
        <f t="shared" si="51"/>
        <v>0.3724137931034483</v>
      </c>
      <c r="V121" s="647">
        <f t="shared" si="52"/>
        <v>0.2356020942408377</v>
      </c>
      <c r="W121" s="648">
        <f t="shared" si="53"/>
        <v>0.21739130434782608</v>
      </c>
      <c r="X121" s="649">
        <f t="shared" si="54"/>
        <v>0.31349206349206349</v>
      </c>
      <c r="Y121" s="708">
        <v>90</v>
      </c>
      <c r="Z121" s="708">
        <v>146</v>
      </c>
      <c r="AA121" s="708">
        <v>110</v>
      </c>
      <c r="AB121" s="708">
        <v>21</v>
      </c>
      <c r="AC121" s="708">
        <v>103</v>
      </c>
      <c r="AD121" s="708">
        <v>34</v>
      </c>
      <c r="AE121" s="708">
        <f t="shared" si="41"/>
        <v>111</v>
      </c>
      <c r="AF121" s="708">
        <f t="shared" si="42"/>
        <v>249</v>
      </c>
      <c r="AG121" s="708">
        <f t="shared" si="43"/>
        <v>144</v>
      </c>
      <c r="AH121" s="2031">
        <f t="shared" si="44"/>
        <v>0.1891891891891892</v>
      </c>
      <c r="AI121" s="2031">
        <f t="shared" si="45"/>
        <v>0.41365461847389556</v>
      </c>
      <c r="AJ121" s="2031">
        <f t="shared" si="46"/>
        <v>0.2361111111111111</v>
      </c>
    </row>
    <row r="122" spans="1:36" x14ac:dyDescent="0.3">
      <c r="A122" s="433" t="s">
        <v>200</v>
      </c>
      <c r="B122" s="371" t="s">
        <v>301</v>
      </c>
      <c r="C122" s="395" t="s">
        <v>253</v>
      </c>
      <c r="D122" s="643">
        <v>140</v>
      </c>
      <c r="E122" s="644">
        <v>75</v>
      </c>
      <c r="F122" s="644">
        <v>1</v>
      </c>
      <c r="G122" s="305">
        <f t="shared" si="47"/>
        <v>216</v>
      </c>
      <c r="H122" s="643">
        <v>25</v>
      </c>
      <c r="I122" s="644">
        <v>7</v>
      </c>
      <c r="J122" s="644">
        <v>8</v>
      </c>
      <c r="K122" s="305">
        <f t="shared" si="48"/>
        <v>40</v>
      </c>
      <c r="L122" s="643">
        <v>4</v>
      </c>
      <c r="M122" s="644">
        <v>1</v>
      </c>
      <c r="N122" s="644"/>
      <c r="O122" s="305">
        <f t="shared" si="49"/>
        <v>5</v>
      </c>
      <c r="P122" s="645">
        <f t="shared" si="50"/>
        <v>261</v>
      </c>
      <c r="Q122" s="819">
        <f t="shared" si="37"/>
        <v>165</v>
      </c>
      <c r="R122" s="819">
        <f t="shared" si="38"/>
        <v>82</v>
      </c>
      <c r="S122" s="819">
        <f t="shared" si="39"/>
        <v>9</v>
      </c>
      <c r="T122" s="645">
        <f t="shared" si="55"/>
        <v>256</v>
      </c>
      <c r="U122" s="646">
        <f t="shared" si="51"/>
        <v>0.15151515151515152</v>
      </c>
      <c r="V122" s="647">
        <f t="shared" si="52"/>
        <v>8.5365853658536592E-2</v>
      </c>
      <c r="W122" s="648">
        <f t="shared" si="53"/>
        <v>0.88888888888888884</v>
      </c>
      <c r="X122" s="649">
        <f t="shared" si="54"/>
        <v>0.15625</v>
      </c>
      <c r="Y122" s="708">
        <v>45</v>
      </c>
      <c r="Z122" s="708">
        <v>94</v>
      </c>
      <c r="AA122" s="708">
        <v>77</v>
      </c>
      <c r="AB122" s="708">
        <v>3</v>
      </c>
      <c r="AC122" s="708">
        <v>22</v>
      </c>
      <c r="AD122" s="708">
        <v>15</v>
      </c>
      <c r="AE122" s="708">
        <f t="shared" si="41"/>
        <v>48</v>
      </c>
      <c r="AF122" s="708">
        <f t="shared" si="42"/>
        <v>116</v>
      </c>
      <c r="AG122" s="708">
        <f t="shared" si="43"/>
        <v>92</v>
      </c>
      <c r="AH122" s="2031">
        <f t="shared" si="44"/>
        <v>6.25E-2</v>
      </c>
      <c r="AI122" s="2031">
        <f t="shared" si="45"/>
        <v>0.18965517241379309</v>
      </c>
      <c r="AJ122" s="2031">
        <f t="shared" si="46"/>
        <v>0.16304347826086957</v>
      </c>
    </row>
    <row r="123" spans="1:36" x14ac:dyDescent="0.3">
      <c r="A123" s="433" t="s">
        <v>222</v>
      </c>
      <c r="B123" s="371" t="s">
        <v>223</v>
      </c>
      <c r="C123" s="395" t="s">
        <v>252</v>
      </c>
      <c r="D123" s="643">
        <v>76</v>
      </c>
      <c r="E123" s="644">
        <v>33</v>
      </c>
      <c r="F123" s="644">
        <v>2</v>
      </c>
      <c r="G123" s="305">
        <f t="shared" si="47"/>
        <v>111</v>
      </c>
      <c r="H123" s="643">
        <v>10</v>
      </c>
      <c r="I123" s="644">
        <v>1</v>
      </c>
      <c r="J123" s="644"/>
      <c r="K123" s="305">
        <f t="shared" si="48"/>
        <v>11</v>
      </c>
      <c r="L123" s="643"/>
      <c r="M123" s="644"/>
      <c r="N123" s="644"/>
      <c r="O123" s="305">
        <f t="shared" si="49"/>
        <v>0</v>
      </c>
      <c r="P123" s="645">
        <f t="shared" si="50"/>
        <v>122</v>
      </c>
      <c r="Q123" s="819">
        <f t="shared" si="37"/>
        <v>86</v>
      </c>
      <c r="R123" s="819">
        <f t="shared" si="38"/>
        <v>34</v>
      </c>
      <c r="S123" s="819">
        <f t="shared" si="39"/>
        <v>2</v>
      </c>
      <c r="T123" s="645">
        <f t="shared" si="55"/>
        <v>122</v>
      </c>
      <c r="U123" s="646">
        <f t="shared" si="51"/>
        <v>0.11627906976744186</v>
      </c>
      <c r="V123" s="647">
        <f t="shared" si="52"/>
        <v>2.9411764705882353E-2</v>
      </c>
      <c r="W123" s="648">
        <f t="shared" si="53"/>
        <v>0</v>
      </c>
      <c r="X123" s="649">
        <f t="shared" si="54"/>
        <v>9.0163934426229511E-2</v>
      </c>
      <c r="Y123" s="708">
        <v>13</v>
      </c>
      <c r="Z123" s="708">
        <v>70</v>
      </c>
      <c r="AA123" s="708">
        <v>28</v>
      </c>
      <c r="AB123" s="708"/>
      <c r="AC123" s="708">
        <v>3</v>
      </c>
      <c r="AD123" s="708">
        <v>8</v>
      </c>
      <c r="AE123" s="708">
        <f t="shared" si="41"/>
        <v>13</v>
      </c>
      <c r="AF123" s="708">
        <f t="shared" si="42"/>
        <v>73</v>
      </c>
      <c r="AG123" s="708">
        <f t="shared" si="43"/>
        <v>36</v>
      </c>
      <c r="AH123" s="2031">
        <f t="shared" si="44"/>
        <v>0</v>
      </c>
      <c r="AI123" s="2031">
        <f t="shared" si="45"/>
        <v>4.1095890410958902E-2</v>
      </c>
      <c r="AJ123" s="2031">
        <f t="shared" si="46"/>
        <v>0.22222222222222221</v>
      </c>
    </row>
    <row r="124" spans="1:36" x14ac:dyDescent="0.3">
      <c r="A124" s="433" t="s">
        <v>230</v>
      </c>
      <c r="B124" s="371" t="s">
        <v>231</v>
      </c>
      <c r="C124" s="395" t="s">
        <v>252</v>
      </c>
      <c r="D124" s="643">
        <v>205</v>
      </c>
      <c r="E124" s="644">
        <v>124</v>
      </c>
      <c r="F124" s="644"/>
      <c r="G124" s="305">
        <f t="shared" si="47"/>
        <v>329</v>
      </c>
      <c r="H124" s="643">
        <v>83</v>
      </c>
      <c r="I124" s="644">
        <v>65</v>
      </c>
      <c r="J124" s="644"/>
      <c r="K124" s="305">
        <f t="shared" si="48"/>
        <v>148</v>
      </c>
      <c r="L124" s="643">
        <v>6</v>
      </c>
      <c r="M124" s="644">
        <v>2</v>
      </c>
      <c r="N124" s="644"/>
      <c r="O124" s="305">
        <f t="shared" si="49"/>
        <v>8</v>
      </c>
      <c r="P124" s="645">
        <f t="shared" si="50"/>
        <v>485</v>
      </c>
      <c r="Q124" s="819">
        <f t="shared" si="37"/>
        <v>288</v>
      </c>
      <c r="R124" s="819">
        <f t="shared" si="38"/>
        <v>189</v>
      </c>
      <c r="S124" s="819">
        <f t="shared" si="39"/>
        <v>0</v>
      </c>
      <c r="T124" s="645">
        <f t="shared" si="55"/>
        <v>477</v>
      </c>
      <c r="U124" s="646">
        <f t="shared" si="51"/>
        <v>0.28819444444444442</v>
      </c>
      <c r="V124" s="647">
        <f t="shared" si="52"/>
        <v>0.3439153439153439</v>
      </c>
      <c r="W124" s="648" t="str">
        <f t="shared" si="53"/>
        <v>NA</v>
      </c>
      <c r="X124" s="649">
        <f t="shared" si="54"/>
        <v>0.31027253668763105</v>
      </c>
      <c r="Y124" s="708">
        <v>77</v>
      </c>
      <c r="Z124" s="708">
        <v>119</v>
      </c>
      <c r="AA124" s="708">
        <v>133</v>
      </c>
      <c r="AB124" s="708">
        <v>50</v>
      </c>
      <c r="AC124" s="708">
        <v>56</v>
      </c>
      <c r="AD124" s="708">
        <v>42</v>
      </c>
      <c r="AE124" s="708">
        <f t="shared" si="41"/>
        <v>127</v>
      </c>
      <c r="AF124" s="708">
        <f t="shared" si="42"/>
        <v>175</v>
      </c>
      <c r="AG124" s="708">
        <f t="shared" si="43"/>
        <v>175</v>
      </c>
      <c r="AH124" s="2031">
        <f t="shared" si="44"/>
        <v>0.39370078740157483</v>
      </c>
      <c r="AI124" s="2031">
        <f t="shared" si="45"/>
        <v>0.32</v>
      </c>
      <c r="AJ124" s="2031">
        <f t="shared" si="46"/>
        <v>0.24</v>
      </c>
    </row>
    <row r="125" spans="1:36" x14ac:dyDescent="0.3">
      <c r="A125" s="433" t="s">
        <v>238</v>
      </c>
      <c r="B125" s="371" t="s">
        <v>239</v>
      </c>
      <c r="C125" s="395" t="s">
        <v>252</v>
      </c>
      <c r="D125" s="643">
        <v>8</v>
      </c>
      <c r="E125" s="644">
        <v>3</v>
      </c>
      <c r="F125" s="644"/>
      <c r="G125" s="305">
        <f t="shared" si="47"/>
        <v>11</v>
      </c>
      <c r="H125" s="643">
        <v>2</v>
      </c>
      <c r="I125" s="644">
        <v>2</v>
      </c>
      <c r="J125" s="644"/>
      <c r="K125" s="305">
        <f t="shared" si="48"/>
        <v>4</v>
      </c>
      <c r="L125" s="643"/>
      <c r="M125" s="644"/>
      <c r="N125" s="644"/>
      <c r="O125" s="305">
        <f t="shared" si="49"/>
        <v>0</v>
      </c>
      <c r="P125" s="645">
        <f t="shared" si="50"/>
        <v>15</v>
      </c>
      <c r="Q125" s="819">
        <f t="shared" si="37"/>
        <v>10</v>
      </c>
      <c r="R125" s="819">
        <f t="shared" si="38"/>
        <v>5</v>
      </c>
      <c r="S125" s="819">
        <f t="shared" si="39"/>
        <v>0</v>
      </c>
      <c r="T125" s="645">
        <f t="shared" si="55"/>
        <v>15</v>
      </c>
      <c r="U125" s="646">
        <f t="shared" si="51"/>
        <v>0.2</v>
      </c>
      <c r="V125" s="647">
        <f t="shared" si="52"/>
        <v>0.4</v>
      </c>
      <c r="W125" s="648" t="str">
        <f t="shared" si="53"/>
        <v>NA</v>
      </c>
      <c r="X125" s="649">
        <f t="shared" si="54"/>
        <v>0.26666666666666666</v>
      </c>
      <c r="Y125" s="708">
        <v>2</v>
      </c>
      <c r="Z125" s="708">
        <v>3</v>
      </c>
      <c r="AA125" s="708">
        <v>6</v>
      </c>
      <c r="AB125" s="708">
        <v>2</v>
      </c>
      <c r="AC125" s="708">
        <v>2</v>
      </c>
      <c r="AD125" s="708"/>
      <c r="AE125" s="708">
        <f t="shared" si="41"/>
        <v>4</v>
      </c>
      <c r="AF125" s="708">
        <f t="shared" si="42"/>
        <v>5</v>
      </c>
      <c r="AG125" s="708">
        <f t="shared" si="43"/>
        <v>6</v>
      </c>
      <c r="AH125" s="2031">
        <f t="shared" si="44"/>
        <v>0.5</v>
      </c>
      <c r="AI125" s="2031">
        <f t="shared" si="45"/>
        <v>0.4</v>
      </c>
      <c r="AJ125" s="2031">
        <f t="shared" si="46"/>
        <v>0</v>
      </c>
    </row>
    <row r="126" spans="1:36" x14ac:dyDescent="0.3">
      <c r="A126" s="651" t="s">
        <v>240</v>
      </c>
      <c r="B126" s="652" t="s">
        <v>241</v>
      </c>
      <c r="C126" s="653" t="s">
        <v>255</v>
      </c>
      <c r="D126" s="738">
        <v>35</v>
      </c>
      <c r="E126" s="739">
        <v>16</v>
      </c>
      <c r="F126" s="739"/>
      <c r="G126" s="740">
        <f t="shared" si="47"/>
        <v>51</v>
      </c>
      <c r="H126" s="738">
        <v>2</v>
      </c>
      <c r="I126" s="739">
        <v>3</v>
      </c>
      <c r="J126" s="739"/>
      <c r="K126" s="740">
        <f t="shared" si="48"/>
        <v>5</v>
      </c>
      <c r="L126" s="738"/>
      <c r="M126" s="739"/>
      <c r="N126" s="739"/>
      <c r="O126" s="740">
        <f t="shared" si="49"/>
        <v>0</v>
      </c>
      <c r="P126" s="741">
        <f t="shared" si="50"/>
        <v>56</v>
      </c>
      <c r="Q126" s="821">
        <f t="shared" si="37"/>
        <v>37</v>
      </c>
      <c r="R126" s="821">
        <f t="shared" si="38"/>
        <v>19</v>
      </c>
      <c r="S126" s="821">
        <f t="shared" si="39"/>
        <v>0</v>
      </c>
      <c r="T126" s="741">
        <f t="shared" si="55"/>
        <v>56</v>
      </c>
      <c r="U126" s="742">
        <f t="shared" si="51"/>
        <v>5.4054054054054057E-2</v>
      </c>
      <c r="V126" s="743">
        <f t="shared" si="52"/>
        <v>0.15789473684210525</v>
      </c>
      <c r="W126" s="744" t="str">
        <f t="shared" si="53"/>
        <v>NA</v>
      </c>
      <c r="X126" s="745">
        <f t="shared" si="54"/>
        <v>8.9285714285714288E-2</v>
      </c>
      <c r="Y126" s="708">
        <v>6</v>
      </c>
      <c r="Z126" s="708">
        <v>27</v>
      </c>
      <c r="AA126" s="708">
        <v>18</v>
      </c>
      <c r="AB126" s="708">
        <v>1</v>
      </c>
      <c r="AC126" s="708">
        <v>2</v>
      </c>
      <c r="AD126" s="708">
        <v>2</v>
      </c>
      <c r="AE126" s="708">
        <f t="shared" si="41"/>
        <v>7</v>
      </c>
      <c r="AF126" s="708">
        <f t="shared" si="42"/>
        <v>29</v>
      </c>
      <c r="AG126" s="708">
        <f t="shared" si="43"/>
        <v>20</v>
      </c>
      <c r="AH126" s="2031">
        <f t="shared" si="44"/>
        <v>0.14285714285714285</v>
      </c>
      <c r="AI126" s="2031">
        <f t="shared" si="45"/>
        <v>6.8965517241379309E-2</v>
      </c>
      <c r="AJ126" s="2031">
        <f t="shared" si="46"/>
        <v>0.1</v>
      </c>
    </row>
    <row r="127" spans="1:36" x14ac:dyDescent="0.3">
      <c r="A127" s="420"/>
      <c r="B127" s="420"/>
      <c r="C127" s="420"/>
    </row>
    <row r="128" spans="1:36" ht="16.5" customHeight="1" x14ac:dyDescent="0.3">
      <c r="A128" s="780" t="s">
        <v>1081</v>
      </c>
      <c r="B128" s="420"/>
      <c r="C128" s="420"/>
      <c r="D128" s="420"/>
    </row>
    <row r="129" spans="1:4" x14ac:dyDescent="0.3">
      <c r="A129" s="655" t="s">
        <v>645</v>
      </c>
      <c r="B129" s="655"/>
      <c r="C129" s="655"/>
      <c r="D129" s="655"/>
    </row>
    <row r="130" spans="1:4" x14ac:dyDescent="0.3">
      <c r="A130" s="654" t="s">
        <v>517</v>
      </c>
      <c r="B130" s="420"/>
      <c r="C130" s="420"/>
      <c r="D130" s="420"/>
    </row>
    <row r="131" spans="1:4" x14ac:dyDescent="0.3">
      <c r="A131" s="654" t="s">
        <v>1082</v>
      </c>
      <c r="B131" s="420"/>
      <c r="C131" s="420"/>
      <c r="D131" s="420"/>
    </row>
    <row r="132" spans="1:4" x14ac:dyDescent="0.3">
      <c r="A132" s="263" t="s">
        <v>248</v>
      </c>
      <c r="B132" s="656"/>
      <c r="C132" s="656"/>
    </row>
    <row r="133" spans="1:4" x14ac:dyDescent="0.3">
      <c r="A133" s="263" t="s">
        <v>249</v>
      </c>
      <c r="B133" s="361" t="s">
        <v>250</v>
      </c>
      <c r="C133" s="657"/>
    </row>
  </sheetData>
  <autoFilter ref="A5:C5"/>
  <mergeCells count="11">
    <mergeCell ref="D4:G4"/>
    <mergeCell ref="H4:K4"/>
    <mergeCell ref="L4:O4"/>
    <mergeCell ref="P4:P5"/>
    <mergeCell ref="T4:T5"/>
    <mergeCell ref="Q4:S4"/>
    <mergeCell ref="Y4:AA4"/>
    <mergeCell ref="AB4:AD4"/>
    <mergeCell ref="AE4:AG4"/>
    <mergeCell ref="AH4:AJ4"/>
    <mergeCell ref="U4:X4"/>
  </mergeCells>
  <hyperlinks>
    <hyperlink ref="B133" r:id="rId1"/>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7"/>
  <sheetViews>
    <sheetView topLeftCell="A102" workbookViewId="0">
      <selection activeCell="A128" sqref="A128:IV133"/>
    </sheetView>
  </sheetViews>
  <sheetFormatPr defaultColWidth="9.09765625" defaultRowHeight="13.8" x14ac:dyDescent="0.3"/>
  <cols>
    <col min="1" max="1" width="8.5" style="96" customWidth="1"/>
    <col min="2" max="2" width="26.296875" style="97" customWidth="1"/>
    <col min="3" max="3" width="9.19921875" style="97" customWidth="1"/>
    <col min="4" max="5" width="9.69921875" style="97" customWidth="1"/>
    <col min="6" max="6" width="1.69921875" style="97" customWidth="1"/>
    <col min="7" max="7" width="9.796875" style="97" bestFit="1" customWidth="1"/>
    <col min="8" max="8" width="9.59765625" style="97" customWidth="1"/>
    <col min="9" max="9" width="1.5" style="97" customWidth="1"/>
    <col min="10" max="10" width="9.796875" style="97" bestFit="1" customWidth="1"/>
    <col min="11" max="11" width="9" style="97" bestFit="1" customWidth="1"/>
    <col min="12" max="12" width="1.09765625" style="97" customWidth="1"/>
    <col min="13" max="13" width="9.796875" style="97" bestFit="1" customWidth="1"/>
    <col min="14" max="14" width="9" style="97" bestFit="1" customWidth="1"/>
    <col min="15" max="15" width="1.5" style="97" customWidth="1"/>
    <col min="16" max="16" width="11" style="117" customWidth="1"/>
    <col min="17" max="18" width="9.19921875" style="95" customWidth="1"/>
    <col min="19" max="19" width="11.09765625" style="95" bestFit="1" customWidth="1"/>
    <col min="20" max="16384" width="9.09765625" style="96"/>
  </cols>
  <sheetData>
    <row r="1" spans="1:22" ht="17.25" customHeight="1" x14ac:dyDescent="0.3">
      <c r="A1" s="2796" t="s">
        <v>482</v>
      </c>
      <c r="B1" s="2796"/>
      <c r="C1" s="2796"/>
      <c r="D1" s="2796"/>
      <c r="E1" s="2796"/>
      <c r="F1" s="2796"/>
      <c r="G1" s="2796"/>
      <c r="H1" s="2796"/>
      <c r="I1" s="2796"/>
      <c r="J1" s="2796"/>
      <c r="K1" s="2796"/>
      <c r="L1" s="190"/>
      <c r="M1" s="190"/>
      <c r="N1" s="190"/>
      <c r="O1" s="190"/>
      <c r="P1" s="177"/>
      <c r="Q1" s="177"/>
      <c r="R1" s="177"/>
    </row>
    <row r="2" spans="1:22" ht="17.25" customHeight="1" x14ac:dyDescent="0.3">
      <c r="A2" s="307"/>
      <c r="B2" s="307"/>
      <c r="C2" s="307"/>
      <c r="D2" s="307"/>
      <c r="E2" s="307"/>
      <c r="F2" s="307"/>
      <c r="G2" s="307"/>
      <c r="H2" s="307"/>
      <c r="I2" s="307"/>
      <c r="J2" s="307"/>
      <c r="K2" s="307"/>
      <c r="L2" s="190"/>
      <c r="M2" s="190"/>
      <c r="N2" s="190"/>
      <c r="O2" s="190"/>
      <c r="P2" s="177"/>
      <c r="Q2" s="177"/>
      <c r="R2" s="177"/>
    </row>
    <row r="3" spans="1:22" ht="17.25" customHeight="1" x14ac:dyDescent="0.3">
      <c r="A3" s="191"/>
      <c r="B3" s="191"/>
      <c r="C3" s="191"/>
      <c r="D3" s="179"/>
      <c r="E3" s="179"/>
      <c r="F3" s="191"/>
      <c r="G3" s="179"/>
      <c r="H3" s="179"/>
      <c r="I3" s="191"/>
      <c r="J3" s="179"/>
      <c r="K3" s="179"/>
      <c r="L3" s="190"/>
      <c r="M3" s="94"/>
      <c r="N3" s="94"/>
      <c r="O3" s="190"/>
      <c r="P3" s="177"/>
      <c r="Q3" s="177"/>
      <c r="R3" s="177"/>
    </row>
    <row r="4" spans="1:22" ht="25.5" customHeight="1" x14ac:dyDescent="0.3">
      <c r="D4" s="2793" t="s">
        <v>483</v>
      </c>
      <c r="E4" s="2793"/>
      <c r="F4" s="177"/>
      <c r="G4" s="2793" t="s">
        <v>2</v>
      </c>
      <c r="H4" s="2793"/>
      <c r="I4" s="177"/>
      <c r="J4" s="2793" t="s">
        <v>484</v>
      </c>
      <c r="K4" s="2793"/>
      <c r="L4" s="98"/>
      <c r="M4" s="2793" t="s">
        <v>485</v>
      </c>
      <c r="N4" s="2793"/>
      <c r="O4" s="177"/>
      <c r="P4" s="2793" t="s">
        <v>486</v>
      </c>
      <c r="Q4" s="2793"/>
      <c r="R4" s="2793"/>
      <c r="S4" s="2793"/>
    </row>
    <row r="5" spans="1:22" ht="41.4" x14ac:dyDescent="0.3">
      <c r="A5" s="99" t="s">
        <v>4</v>
      </c>
      <c r="B5" s="100" t="s">
        <v>5</v>
      </c>
      <c r="C5" s="100" t="s">
        <v>251</v>
      </c>
      <c r="D5" s="205" t="s">
        <v>487</v>
      </c>
      <c r="E5" s="205" t="s">
        <v>269</v>
      </c>
      <c r="F5" s="98"/>
      <c r="G5" s="205" t="s">
        <v>487</v>
      </c>
      <c r="H5" s="205" t="s">
        <v>269</v>
      </c>
      <c r="I5" s="98"/>
      <c r="J5" s="205" t="s">
        <v>487</v>
      </c>
      <c r="K5" s="205" t="s">
        <v>269</v>
      </c>
      <c r="L5" s="98"/>
      <c r="M5" s="205" t="s">
        <v>487</v>
      </c>
      <c r="N5" s="205" t="s">
        <v>269</v>
      </c>
      <c r="O5" s="98"/>
      <c r="P5" s="197" t="s">
        <v>483</v>
      </c>
      <c r="Q5" s="197" t="s">
        <v>2</v>
      </c>
      <c r="R5" s="197" t="s">
        <v>3</v>
      </c>
      <c r="S5" s="197" t="s">
        <v>485</v>
      </c>
    </row>
    <row r="6" spans="1:22" x14ac:dyDescent="0.3">
      <c r="A6" s="192" t="s">
        <v>8</v>
      </c>
      <c r="B6" s="193" t="s">
        <v>9</v>
      </c>
      <c r="C6" s="193"/>
      <c r="D6" s="209">
        <v>444292</v>
      </c>
      <c r="E6" s="210">
        <v>1635360</v>
      </c>
      <c r="F6" s="194"/>
      <c r="G6" s="206">
        <v>203435</v>
      </c>
      <c r="H6" s="206">
        <v>1044656</v>
      </c>
      <c r="I6" s="196"/>
      <c r="J6" s="206">
        <v>178609</v>
      </c>
      <c r="K6" s="206">
        <v>322077</v>
      </c>
      <c r="L6" s="196"/>
      <c r="M6" s="206">
        <v>49259</v>
      </c>
      <c r="N6" s="206">
        <v>173510</v>
      </c>
      <c r="O6" s="195"/>
      <c r="P6" s="198">
        <f>(D6/E6)*100</f>
        <v>27.167840720086094</v>
      </c>
      <c r="Q6" s="198">
        <f>(G6/H6)*100</f>
        <v>19.473874653474446</v>
      </c>
      <c r="R6" s="198">
        <f>(J6/K6)*100</f>
        <v>55.455372473042161</v>
      </c>
      <c r="S6" s="198">
        <f>IF(N6&lt;1,"NA", ((M6/N6)*100))</f>
        <v>28.389718171863294</v>
      </c>
    </row>
    <row r="7" spans="1:22" x14ac:dyDescent="0.3">
      <c r="A7" s="101" t="s">
        <v>10</v>
      </c>
      <c r="B7" s="102" t="s">
        <v>11</v>
      </c>
      <c r="C7" s="103" t="s">
        <v>252</v>
      </c>
      <c r="D7" s="211">
        <v>2089</v>
      </c>
      <c r="E7" s="212">
        <v>5645</v>
      </c>
      <c r="F7" s="104"/>
      <c r="G7" s="207">
        <v>869</v>
      </c>
      <c r="H7" s="207">
        <v>3396</v>
      </c>
      <c r="I7" s="106"/>
      <c r="J7" s="207">
        <v>1026</v>
      </c>
      <c r="K7" s="207">
        <v>1557</v>
      </c>
      <c r="L7" s="107"/>
      <c r="M7" s="207">
        <v>245</v>
      </c>
      <c r="N7" s="207">
        <v>921</v>
      </c>
      <c r="O7" s="105"/>
      <c r="P7" s="199">
        <f t="shared" ref="P7:P70" si="0">(D7/E7)*100</f>
        <v>37.006200177147917</v>
      </c>
      <c r="Q7" s="200">
        <f t="shared" ref="Q7:Q70" si="1">(G7/H7)*100</f>
        <v>25.588928150765604</v>
      </c>
      <c r="R7" s="200">
        <f t="shared" ref="R7:R70" si="2">(J7/K7)*100</f>
        <v>65.895953757225428</v>
      </c>
      <c r="S7" s="199">
        <f t="shared" ref="S7:S70" si="3">IF(N7&lt;1,"NA", ((M7/N7)*100))</f>
        <v>26.601520086862106</v>
      </c>
      <c r="T7" s="108"/>
      <c r="U7" s="109"/>
      <c r="V7" s="109"/>
    </row>
    <row r="8" spans="1:22" x14ac:dyDescent="0.3">
      <c r="A8" s="101" t="s">
        <v>12</v>
      </c>
      <c r="B8" s="102" t="s">
        <v>13</v>
      </c>
      <c r="C8" s="103" t="s">
        <v>253</v>
      </c>
      <c r="D8" s="211">
        <v>4442</v>
      </c>
      <c r="E8" s="212">
        <v>19580</v>
      </c>
      <c r="F8" s="104"/>
      <c r="G8" s="207">
        <v>2663</v>
      </c>
      <c r="H8" s="207">
        <v>15250</v>
      </c>
      <c r="I8" s="107"/>
      <c r="J8" s="207">
        <v>1081</v>
      </c>
      <c r="K8" s="207">
        <v>1788</v>
      </c>
      <c r="L8" s="107"/>
      <c r="M8" s="207">
        <v>461</v>
      </c>
      <c r="N8" s="207">
        <v>1462</v>
      </c>
      <c r="O8" s="105"/>
      <c r="P8" s="199">
        <f t="shared" si="0"/>
        <v>22.68641470888662</v>
      </c>
      <c r="Q8" s="200">
        <f t="shared" si="1"/>
        <v>17.462295081967213</v>
      </c>
      <c r="R8" s="200">
        <f t="shared" si="2"/>
        <v>60.458612975391503</v>
      </c>
      <c r="S8" s="199">
        <f t="shared" si="3"/>
        <v>31.532147742818058</v>
      </c>
      <c r="T8" s="108"/>
      <c r="U8" s="109"/>
      <c r="V8" s="109"/>
    </row>
    <row r="9" spans="1:22" x14ac:dyDescent="0.3">
      <c r="A9" s="101" t="s">
        <v>16</v>
      </c>
      <c r="B9" s="102" t="s">
        <v>463</v>
      </c>
      <c r="C9" s="103" t="s">
        <v>253</v>
      </c>
      <c r="D9" s="211">
        <v>1246</v>
      </c>
      <c r="E9" s="212">
        <v>4119</v>
      </c>
      <c r="F9" s="104"/>
      <c r="G9" s="207">
        <v>970</v>
      </c>
      <c r="H9" s="207">
        <v>3662</v>
      </c>
      <c r="I9" s="107"/>
      <c r="J9" s="207">
        <v>167</v>
      </c>
      <c r="K9" s="207">
        <v>244</v>
      </c>
      <c r="L9" s="107"/>
      <c r="M9" s="207">
        <v>24</v>
      </c>
      <c r="N9" s="207">
        <v>71</v>
      </c>
      <c r="O9" s="105"/>
      <c r="P9" s="199">
        <f t="shared" si="0"/>
        <v>30.25006069434329</v>
      </c>
      <c r="Q9" s="200">
        <f t="shared" si="1"/>
        <v>26.488257782632441</v>
      </c>
      <c r="R9" s="200">
        <f t="shared" si="2"/>
        <v>68.442622950819683</v>
      </c>
      <c r="S9" s="199">
        <f t="shared" si="3"/>
        <v>33.802816901408448</v>
      </c>
      <c r="T9" s="108"/>
      <c r="U9" s="109"/>
      <c r="V9" s="109"/>
    </row>
    <row r="10" spans="1:22" x14ac:dyDescent="0.3">
      <c r="A10" s="101" t="s">
        <v>18</v>
      </c>
      <c r="B10" s="102" t="s">
        <v>19</v>
      </c>
      <c r="C10" s="103" t="s">
        <v>254</v>
      </c>
      <c r="D10" s="211">
        <v>628</v>
      </c>
      <c r="E10" s="212">
        <v>2321</v>
      </c>
      <c r="F10" s="104"/>
      <c r="G10" s="207">
        <v>381</v>
      </c>
      <c r="H10" s="207">
        <v>1778</v>
      </c>
      <c r="I10" s="107"/>
      <c r="J10" s="207">
        <v>210</v>
      </c>
      <c r="K10" s="207">
        <v>413</v>
      </c>
      <c r="L10" s="107"/>
      <c r="M10" s="207">
        <v>19</v>
      </c>
      <c r="N10" s="207">
        <v>79</v>
      </c>
      <c r="O10" s="105"/>
      <c r="P10" s="199">
        <f t="shared" si="0"/>
        <v>27.057302886686774</v>
      </c>
      <c r="Q10" s="200">
        <f t="shared" si="1"/>
        <v>21.428571428571427</v>
      </c>
      <c r="R10" s="200">
        <f t="shared" si="2"/>
        <v>50.847457627118644</v>
      </c>
      <c r="S10" s="199">
        <f t="shared" si="3"/>
        <v>24.050632911392405</v>
      </c>
      <c r="T10" s="108"/>
      <c r="U10" s="109"/>
      <c r="V10" s="109"/>
    </row>
    <row r="11" spans="1:22" x14ac:dyDescent="0.3">
      <c r="A11" s="101" t="s">
        <v>20</v>
      </c>
      <c r="B11" s="102" t="s">
        <v>21</v>
      </c>
      <c r="C11" s="103" t="s">
        <v>253</v>
      </c>
      <c r="D11" s="211">
        <v>1922</v>
      </c>
      <c r="E11" s="212">
        <v>5977</v>
      </c>
      <c r="F11" s="104"/>
      <c r="G11" s="207">
        <v>1150</v>
      </c>
      <c r="H11" s="207">
        <v>4492</v>
      </c>
      <c r="I11" s="107"/>
      <c r="J11" s="207">
        <v>576</v>
      </c>
      <c r="K11" s="207">
        <v>1038</v>
      </c>
      <c r="L11" s="107"/>
      <c r="M11" s="207">
        <v>54</v>
      </c>
      <c r="N11" s="207">
        <v>169</v>
      </c>
      <c r="O11" s="105"/>
      <c r="P11" s="199">
        <f t="shared" si="0"/>
        <v>32.156600301154427</v>
      </c>
      <c r="Q11" s="200">
        <f t="shared" si="1"/>
        <v>25.601068566340164</v>
      </c>
      <c r="R11" s="200">
        <f t="shared" si="2"/>
        <v>55.49132947976878</v>
      </c>
      <c r="S11" s="199">
        <f t="shared" si="3"/>
        <v>31.952662721893493</v>
      </c>
      <c r="T11" s="108"/>
      <c r="U11" s="109"/>
      <c r="V11" s="109"/>
    </row>
    <row r="12" spans="1:22" x14ac:dyDescent="0.3">
      <c r="A12" s="101" t="s">
        <v>22</v>
      </c>
      <c r="B12" s="102" t="s">
        <v>23</v>
      </c>
      <c r="C12" s="103" t="s">
        <v>253</v>
      </c>
      <c r="D12" s="211">
        <v>845</v>
      </c>
      <c r="E12" s="212">
        <v>2826</v>
      </c>
      <c r="F12" s="104"/>
      <c r="G12" s="207">
        <v>448</v>
      </c>
      <c r="H12" s="207">
        <v>2111</v>
      </c>
      <c r="I12" s="107"/>
      <c r="J12" s="207">
        <v>342</v>
      </c>
      <c r="K12" s="207">
        <v>581</v>
      </c>
      <c r="L12" s="107"/>
      <c r="M12" s="207">
        <v>20</v>
      </c>
      <c r="N12" s="207">
        <v>48</v>
      </c>
      <c r="O12" s="105"/>
      <c r="P12" s="199">
        <f t="shared" si="0"/>
        <v>29.900920028308565</v>
      </c>
      <c r="Q12" s="200">
        <f t="shared" si="1"/>
        <v>21.222169587873047</v>
      </c>
      <c r="R12" s="200">
        <f t="shared" si="2"/>
        <v>58.86402753872634</v>
      </c>
      <c r="S12" s="199">
        <f t="shared" si="3"/>
        <v>41.666666666666671</v>
      </c>
      <c r="T12" s="108"/>
      <c r="U12" s="109"/>
      <c r="V12" s="109"/>
    </row>
    <row r="13" spans="1:22" x14ac:dyDescent="0.3">
      <c r="A13" s="101" t="s">
        <v>24</v>
      </c>
      <c r="B13" s="102" t="s">
        <v>25</v>
      </c>
      <c r="C13" s="103" t="s">
        <v>255</v>
      </c>
      <c r="D13" s="211">
        <v>5359</v>
      </c>
      <c r="E13" s="212">
        <v>30162</v>
      </c>
      <c r="F13" s="104"/>
      <c r="G13" s="207">
        <v>2466</v>
      </c>
      <c r="H13" s="207">
        <v>19885</v>
      </c>
      <c r="I13" s="107"/>
      <c r="J13" s="207">
        <v>1226</v>
      </c>
      <c r="K13" s="207">
        <v>2625</v>
      </c>
      <c r="L13" s="107"/>
      <c r="M13" s="207">
        <v>1695</v>
      </c>
      <c r="N13" s="207">
        <v>6108</v>
      </c>
      <c r="O13" s="105"/>
      <c r="P13" s="199">
        <f t="shared" si="0"/>
        <v>17.767389430409125</v>
      </c>
      <c r="Q13" s="200">
        <f t="shared" si="1"/>
        <v>12.401307518229823</v>
      </c>
      <c r="R13" s="200">
        <f t="shared" si="2"/>
        <v>46.704761904761902</v>
      </c>
      <c r="S13" s="199">
        <f t="shared" si="3"/>
        <v>27.75049115913556</v>
      </c>
      <c r="T13" s="108"/>
      <c r="U13" s="109"/>
      <c r="V13" s="109"/>
    </row>
    <row r="14" spans="1:22" x14ac:dyDescent="0.3">
      <c r="A14" s="101" t="s">
        <v>26</v>
      </c>
      <c r="B14" s="102" t="s">
        <v>547</v>
      </c>
      <c r="C14" s="103" t="s">
        <v>253</v>
      </c>
      <c r="D14" s="211">
        <v>6433</v>
      </c>
      <c r="E14" s="212">
        <v>22064</v>
      </c>
      <c r="F14" s="104"/>
      <c r="G14" s="207">
        <v>4824</v>
      </c>
      <c r="H14" s="207">
        <v>19009</v>
      </c>
      <c r="I14" s="107"/>
      <c r="J14" s="207">
        <v>876</v>
      </c>
      <c r="K14" s="207">
        <v>1361</v>
      </c>
      <c r="L14" s="107"/>
      <c r="M14" s="207">
        <v>359</v>
      </c>
      <c r="N14" s="207">
        <v>1159</v>
      </c>
      <c r="O14" s="105"/>
      <c r="P14" s="199">
        <f t="shared" si="0"/>
        <v>29.156091370558375</v>
      </c>
      <c r="Q14" s="200">
        <f t="shared" si="1"/>
        <v>25.377452785522646</v>
      </c>
      <c r="R14" s="200">
        <f t="shared" si="2"/>
        <v>64.364437913299042</v>
      </c>
      <c r="S14" s="199">
        <f t="shared" si="3"/>
        <v>30.97497842968076</v>
      </c>
      <c r="T14" s="108"/>
      <c r="U14" s="109"/>
      <c r="V14" s="109"/>
    </row>
    <row r="15" spans="1:22" x14ac:dyDescent="0.3">
      <c r="A15" s="101" t="s">
        <v>27</v>
      </c>
      <c r="B15" s="102" t="s">
        <v>28</v>
      </c>
      <c r="C15" s="103" t="s">
        <v>253</v>
      </c>
      <c r="D15" s="211">
        <v>162</v>
      </c>
      <c r="E15" s="212">
        <v>710</v>
      </c>
      <c r="F15" s="104"/>
      <c r="G15" s="207">
        <v>142</v>
      </c>
      <c r="H15" s="207">
        <v>664</v>
      </c>
      <c r="I15" s="107"/>
      <c r="J15" s="207">
        <v>7</v>
      </c>
      <c r="K15" s="207">
        <v>24</v>
      </c>
      <c r="L15" s="107"/>
      <c r="M15" s="207">
        <v>8</v>
      </c>
      <c r="N15" s="207">
        <v>29</v>
      </c>
      <c r="O15" s="105"/>
      <c r="P15" s="199">
        <f t="shared" si="0"/>
        <v>22.816901408450704</v>
      </c>
      <c r="Q15" s="200">
        <f t="shared" si="1"/>
        <v>21.385542168674696</v>
      </c>
      <c r="R15" s="200">
        <f t="shared" si="2"/>
        <v>29.166666666666668</v>
      </c>
      <c r="S15" s="199">
        <f t="shared" si="3"/>
        <v>27.586206896551722</v>
      </c>
      <c r="T15" s="108"/>
      <c r="U15" s="109"/>
      <c r="V15" s="109"/>
    </row>
    <row r="16" spans="1:22" x14ac:dyDescent="0.3">
      <c r="A16" s="101" t="s">
        <v>29</v>
      </c>
      <c r="B16" s="102" t="s">
        <v>473</v>
      </c>
      <c r="C16" s="103" t="s">
        <v>253</v>
      </c>
      <c r="D16" s="211">
        <v>3036</v>
      </c>
      <c r="E16" s="212">
        <v>14897</v>
      </c>
      <c r="F16" s="104"/>
      <c r="G16" s="207">
        <v>2416</v>
      </c>
      <c r="H16" s="207">
        <v>13271</v>
      </c>
      <c r="I16" s="107"/>
      <c r="J16" s="207">
        <v>392</v>
      </c>
      <c r="K16" s="207">
        <v>843</v>
      </c>
      <c r="L16" s="107"/>
      <c r="M16" s="207">
        <v>117</v>
      </c>
      <c r="N16" s="207">
        <v>408</v>
      </c>
      <c r="O16" s="105"/>
      <c r="P16" s="199">
        <f t="shared" si="0"/>
        <v>20.379942270255757</v>
      </c>
      <c r="Q16" s="200">
        <f t="shared" si="1"/>
        <v>18.205108884032853</v>
      </c>
      <c r="R16" s="200">
        <f t="shared" si="2"/>
        <v>46.500593119810205</v>
      </c>
      <c r="S16" s="199">
        <f t="shared" si="3"/>
        <v>28.676470588235293</v>
      </c>
      <c r="T16" s="108"/>
      <c r="U16" s="109"/>
      <c r="V16" s="109"/>
    </row>
    <row r="17" spans="1:22" x14ac:dyDescent="0.3">
      <c r="A17" s="101" t="s">
        <v>30</v>
      </c>
      <c r="B17" s="102" t="s">
        <v>31</v>
      </c>
      <c r="C17" s="103" t="s">
        <v>256</v>
      </c>
      <c r="D17" s="211">
        <v>216</v>
      </c>
      <c r="E17" s="212">
        <v>1053</v>
      </c>
      <c r="F17" s="104"/>
      <c r="G17" s="207">
        <v>211</v>
      </c>
      <c r="H17" s="207">
        <v>1023</v>
      </c>
      <c r="I17" s="107"/>
      <c r="J17" s="207">
        <v>3</v>
      </c>
      <c r="K17" s="207">
        <v>9</v>
      </c>
      <c r="L17" s="107"/>
      <c r="M17" s="207">
        <v>2</v>
      </c>
      <c r="N17" s="207">
        <v>7</v>
      </c>
      <c r="O17" s="105"/>
      <c r="P17" s="199">
        <f t="shared" si="0"/>
        <v>20.512820512820511</v>
      </c>
      <c r="Q17" s="200">
        <f t="shared" si="1"/>
        <v>20.625610948191593</v>
      </c>
      <c r="R17" s="200">
        <f t="shared" si="2"/>
        <v>33.333333333333329</v>
      </c>
      <c r="S17" s="199">
        <f t="shared" si="3"/>
        <v>28.571428571428569</v>
      </c>
      <c r="T17" s="108"/>
      <c r="U17" s="109"/>
      <c r="V17" s="109"/>
    </row>
    <row r="18" spans="1:22" x14ac:dyDescent="0.3">
      <c r="A18" s="101" t="s">
        <v>32</v>
      </c>
      <c r="B18" s="102" t="s">
        <v>33</v>
      </c>
      <c r="C18" s="103" t="s">
        <v>253</v>
      </c>
      <c r="D18" s="211">
        <v>1217</v>
      </c>
      <c r="E18" s="212">
        <v>6697</v>
      </c>
      <c r="F18" s="104"/>
      <c r="G18" s="207">
        <v>1121</v>
      </c>
      <c r="H18" s="207">
        <v>6321</v>
      </c>
      <c r="I18" s="107"/>
      <c r="J18" s="207">
        <v>39</v>
      </c>
      <c r="K18" s="207">
        <v>149</v>
      </c>
      <c r="L18" s="107"/>
      <c r="M18" s="207">
        <v>27</v>
      </c>
      <c r="N18" s="207">
        <v>113</v>
      </c>
      <c r="O18" s="105"/>
      <c r="P18" s="199">
        <f t="shared" si="0"/>
        <v>18.172315962371211</v>
      </c>
      <c r="Q18" s="200">
        <f t="shared" si="1"/>
        <v>17.73453567473501</v>
      </c>
      <c r="R18" s="200">
        <f t="shared" si="2"/>
        <v>26.174496644295303</v>
      </c>
      <c r="S18" s="199">
        <f t="shared" si="3"/>
        <v>23.893805309734514</v>
      </c>
      <c r="T18" s="108"/>
      <c r="U18" s="109"/>
      <c r="V18" s="109"/>
    </row>
    <row r="19" spans="1:22" x14ac:dyDescent="0.3">
      <c r="A19" s="101" t="s">
        <v>36</v>
      </c>
      <c r="B19" s="102" t="s">
        <v>37</v>
      </c>
      <c r="C19" s="103" t="s">
        <v>252</v>
      </c>
      <c r="D19" s="211">
        <v>1326</v>
      </c>
      <c r="E19" s="212">
        <v>2644</v>
      </c>
      <c r="F19" s="104"/>
      <c r="G19" s="207">
        <v>310</v>
      </c>
      <c r="H19" s="207">
        <v>965</v>
      </c>
      <c r="I19" s="107"/>
      <c r="J19" s="207">
        <v>970</v>
      </c>
      <c r="K19" s="207">
        <v>1569</v>
      </c>
      <c r="L19" s="107"/>
      <c r="M19" s="207">
        <v>28</v>
      </c>
      <c r="N19" s="207">
        <v>82</v>
      </c>
      <c r="O19" s="105"/>
      <c r="P19" s="199">
        <f t="shared" si="0"/>
        <v>50.151285930408477</v>
      </c>
      <c r="Q19" s="200">
        <f t="shared" si="1"/>
        <v>32.124352331606218</v>
      </c>
      <c r="R19" s="200">
        <f t="shared" si="2"/>
        <v>61.822817080943274</v>
      </c>
      <c r="S19" s="199">
        <f t="shared" si="3"/>
        <v>34.146341463414636</v>
      </c>
      <c r="T19" s="108"/>
      <c r="U19" s="109"/>
      <c r="V19" s="109"/>
    </row>
    <row r="20" spans="1:22" x14ac:dyDescent="0.3">
      <c r="A20" s="101" t="s">
        <v>38</v>
      </c>
      <c r="B20" s="102" t="s">
        <v>39</v>
      </c>
      <c r="C20" s="103" t="s">
        <v>256</v>
      </c>
      <c r="D20" s="211">
        <v>990</v>
      </c>
      <c r="E20" s="212">
        <v>3681</v>
      </c>
      <c r="F20" s="104"/>
      <c r="G20" s="207">
        <v>972</v>
      </c>
      <c r="H20" s="207">
        <v>3643</v>
      </c>
      <c r="I20" s="107"/>
      <c r="J20" s="207">
        <v>5</v>
      </c>
      <c r="K20" s="207">
        <v>6</v>
      </c>
      <c r="L20" s="107"/>
      <c r="M20" s="207">
        <v>9</v>
      </c>
      <c r="N20" s="207">
        <v>14</v>
      </c>
      <c r="O20" s="105"/>
      <c r="P20" s="199">
        <f t="shared" si="0"/>
        <v>26.894865525672373</v>
      </c>
      <c r="Q20" s="200">
        <f t="shared" si="1"/>
        <v>26.681306615426848</v>
      </c>
      <c r="R20" s="200">
        <f t="shared" si="2"/>
        <v>83.333333333333343</v>
      </c>
      <c r="S20" s="199">
        <f t="shared" si="3"/>
        <v>64.285714285714292</v>
      </c>
      <c r="T20" s="108"/>
      <c r="U20" s="109"/>
      <c r="V20" s="109"/>
    </row>
    <row r="21" spans="1:22" x14ac:dyDescent="0.3">
      <c r="A21" s="101" t="s">
        <v>40</v>
      </c>
      <c r="B21" s="102" t="s">
        <v>41</v>
      </c>
      <c r="C21" s="103" t="s">
        <v>254</v>
      </c>
      <c r="D21" s="211">
        <v>1017</v>
      </c>
      <c r="E21" s="212">
        <v>2708</v>
      </c>
      <c r="F21" s="104"/>
      <c r="G21" s="207">
        <v>480</v>
      </c>
      <c r="H21" s="207">
        <v>1752</v>
      </c>
      <c r="I21" s="107"/>
      <c r="J21" s="207">
        <v>454</v>
      </c>
      <c r="K21" s="207">
        <v>786</v>
      </c>
      <c r="L21" s="107"/>
      <c r="M21" s="207">
        <v>29</v>
      </c>
      <c r="N21" s="207">
        <v>68</v>
      </c>
      <c r="O21" s="105"/>
      <c r="P21" s="199">
        <f t="shared" si="0"/>
        <v>37.55539143279173</v>
      </c>
      <c r="Q21" s="200">
        <f t="shared" si="1"/>
        <v>27.397260273972602</v>
      </c>
      <c r="R21" s="200">
        <f t="shared" si="2"/>
        <v>57.760814249363868</v>
      </c>
      <c r="S21" s="199">
        <f t="shared" si="3"/>
        <v>42.647058823529413</v>
      </c>
      <c r="T21" s="108"/>
      <c r="U21" s="109"/>
      <c r="V21" s="109"/>
    </row>
    <row r="22" spans="1:22" x14ac:dyDescent="0.3">
      <c r="A22" s="101" t="s">
        <v>42</v>
      </c>
      <c r="B22" s="102" t="s">
        <v>43</v>
      </c>
      <c r="C22" s="103" t="s">
        <v>253</v>
      </c>
      <c r="D22" s="211">
        <v>2981</v>
      </c>
      <c r="E22" s="212">
        <v>10559</v>
      </c>
      <c r="F22" s="104"/>
      <c r="G22" s="207">
        <v>1998</v>
      </c>
      <c r="H22" s="207">
        <v>8538</v>
      </c>
      <c r="I22" s="107"/>
      <c r="J22" s="207">
        <v>714</v>
      </c>
      <c r="K22" s="207">
        <v>1322</v>
      </c>
      <c r="L22" s="107"/>
      <c r="M22" s="207">
        <v>93</v>
      </c>
      <c r="N22" s="207">
        <v>248</v>
      </c>
      <c r="O22" s="105"/>
      <c r="P22" s="199">
        <f t="shared" si="0"/>
        <v>28.231840136376551</v>
      </c>
      <c r="Q22" s="200">
        <f t="shared" si="1"/>
        <v>23.401264933239634</v>
      </c>
      <c r="R22" s="200">
        <f t="shared" si="2"/>
        <v>54.0090771558245</v>
      </c>
      <c r="S22" s="199">
        <f t="shared" si="3"/>
        <v>37.5</v>
      </c>
      <c r="T22" s="108"/>
      <c r="U22" s="109"/>
      <c r="V22" s="109"/>
    </row>
    <row r="23" spans="1:22" x14ac:dyDescent="0.3">
      <c r="A23" s="101" t="s">
        <v>44</v>
      </c>
      <c r="B23" s="102" t="s">
        <v>45</v>
      </c>
      <c r="C23" s="103" t="s">
        <v>254</v>
      </c>
      <c r="D23" s="211">
        <v>1585</v>
      </c>
      <c r="E23" s="212">
        <v>5526</v>
      </c>
      <c r="F23" s="104"/>
      <c r="G23" s="207">
        <v>825</v>
      </c>
      <c r="H23" s="207">
        <v>3670</v>
      </c>
      <c r="I23" s="107"/>
      <c r="J23" s="207">
        <v>590</v>
      </c>
      <c r="K23" s="207">
        <v>1349</v>
      </c>
      <c r="L23" s="107"/>
      <c r="M23" s="207">
        <v>81</v>
      </c>
      <c r="N23" s="207">
        <v>311</v>
      </c>
      <c r="O23" s="105"/>
      <c r="P23" s="199">
        <f t="shared" si="0"/>
        <v>28.682591386174451</v>
      </c>
      <c r="Q23" s="200">
        <f t="shared" si="1"/>
        <v>22.479564032697546</v>
      </c>
      <c r="R23" s="200">
        <f t="shared" si="2"/>
        <v>43.73610081541883</v>
      </c>
      <c r="S23" s="199">
        <f t="shared" si="3"/>
        <v>26.04501607717042</v>
      </c>
      <c r="T23" s="108"/>
      <c r="U23" s="109"/>
      <c r="V23" s="109"/>
    </row>
    <row r="24" spans="1:22" x14ac:dyDescent="0.3">
      <c r="A24" s="101" t="s">
        <v>46</v>
      </c>
      <c r="B24" s="102" t="s">
        <v>47</v>
      </c>
      <c r="C24" s="103" t="s">
        <v>256</v>
      </c>
      <c r="D24" s="211">
        <v>1519</v>
      </c>
      <c r="E24" s="212">
        <v>5425</v>
      </c>
      <c r="F24" s="104"/>
      <c r="G24" s="207">
        <v>1414</v>
      </c>
      <c r="H24" s="207">
        <v>5157</v>
      </c>
      <c r="I24" s="107"/>
      <c r="J24" s="207">
        <v>22</v>
      </c>
      <c r="K24" s="207">
        <v>37</v>
      </c>
      <c r="L24" s="107"/>
      <c r="M24" s="207">
        <v>94</v>
      </c>
      <c r="N24" s="207">
        <v>262</v>
      </c>
      <c r="O24" s="105"/>
      <c r="P24" s="199">
        <f t="shared" si="0"/>
        <v>28.000000000000004</v>
      </c>
      <c r="Q24" s="200">
        <f t="shared" si="1"/>
        <v>27.419042078727941</v>
      </c>
      <c r="R24" s="200">
        <f t="shared" si="2"/>
        <v>59.45945945945946</v>
      </c>
      <c r="S24" s="199">
        <f t="shared" si="3"/>
        <v>35.877862595419849</v>
      </c>
      <c r="T24" s="108"/>
      <c r="U24" s="109"/>
      <c r="V24" s="109"/>
    </row>
    <row r="25" spans="1:22" x14ac:dyDescent="0.3">
      <c r="A25" s="101" t="s">
        <v>48</v>
      </c>
      <c r="B25" s="102" t="s">
        <v>257</v>
      </c>
      <c r="C25" s="103" t="s">
        <v>254</v>
      </c>
      <c r="D25" s="211">
        <v>299</v>
      </c>
      <c r="E25" s="212">
        <v>948</v>
      </c>
      <c r="F25" s="104"/>
      <c r="G25" s="207">
        <v>85</v>
      </c>
      <c r="H25" s="207">
        <v>426</v>
      </c>
      <c r="I25" s="107"/>
      <c r="J25" s="207">
        <v>184</v>
      </c>
      <c r="K25" s="207">
        <v>381</v>
      </c>
      <c r="L25" s="107"/>
      <c r="M25" s="207">
        <v>5</v>
      </c>
      <c r="N25" s="207">
        <v>17</v>
      </c>
      <c r="O25" s="105"/>
      <c r="P25" s="199">
        <f t="shared" si="0"/>
        <v>31.540084388185651</v>
      </c>
      <c r="Q25" s="200">
        <f t="shared" si="1"/>
        <v>19.953051643192488</v>
      </c>
      <c r="R25" s="200">
        <f t="shared" si="2"/>
        <v>48.293963254593173</v>
      </c>
      <c r="S25" s="199">
        <f t="shared" si="3"/>
        <v>29.411764705882355</v>
      </c>
      <c r="T25" s="108"/>
      <c r="U25" s="109"/>
      <c r="V25" s="109"/>
    </row>
    <row r="26" spans="1:22" x14ac:dyDescent="0.3">
      <c r="A26" s="101" t="s">
        <v>50</v>
      </c>
      <c r="B26" s="102" t="s">
        <v>51</v>
      </c>
      <c r="C26" s="103" t="s">
        <v>253</v>
      </c>
      <c r="D26" s="211">
        <v>821</v>
      </c>
      <c r="E26" s="212">
        <v>2418</v>
      </c>
      <c r="F26" s="104"/>
      <c r="G26" s="207">
        <v>398</v>
      </c>
      <c r="H26" s="207">
        <v>1615</v>
      </c>
      <c r="I26" s="107"/>
      <c r="J26" s="207">
        <v>375</v>
      </c>
      <c r="K26" s="207">
        <v>687</v>
      </c>
      <c r="L26" s="107"/>
      <c r="M26" s="207">
        <v>34</v>
      </c>
      <c r="N26" s="207">
        <v>66</v>
      </c>
      <c r="O26" s="105"/>
      <c r="P26" s="199">
        <f t="shared" si="0"/>
        <v>33.953680727874271</v>
      </c>
      <c r="Q26" s="200">
        <f t="shared" si="1"/>
        <v>24.643962848297214</v>
      </c>
      <c r="R26" s="200">
        <f t="shared" si="2"/>
        <v>54.585152838427952</v>
      </c>
      <c r="S26" s="199">
        <f t="shared" si="3"/>
        <v>51.515151515151516</v>
      </c>
      <c r="T26" s="108"/>
      <c r="U26" s="109"/>
      <c r="V26" s="109"/>
    </row>
    <row r="27" spans="1:22" x14ac:dyDescent="0.3">
      <c r="A27" s="101" t="s">
        <v>56</v>
      </c>
      <c r="B27" s="102" t="s">
        <v>283</v>
      </c>
      <c r="C27" s="103" t="s">
        <v>254</v>
      </c>
      <c r="D27" s="211">
        <v>20205</v>
      </c>
      <c r="E27" s="212">
        <v>77370</v>
      </c>
      <c r="F27" s="104"/>
      <c r="G27" s="207">
        <v>9324</v>
      </c>
      <c r="H27" s="207">
        <v>49962</v>
      </c>
      <c r="I27" s="107"/>
      <c r="J27" s="207">
        <v>8120</v>
      </c>
      <c r="K27" s="207">
        <v>17070</v>
      </c>
      <c r="L27" s="107"/>
      <c r="M27" s="207">
        <v>2199</v>
      </c>
      <c r="N27" s="207">
        <v>7351</v>
      </c>
      <c r="O27" s="105"/>
      <c r="P27" s="199">
        <f t="shared" si="0"/>
        <v>26.114773167894533</v>
      </c>
      <c r="Q27" s="200">
        <f t="shared" si="1"/>
        <v>18.66218325927705</v>
      </c>
      <c r="R27" s="200">
        <f t="shared" si="2"/>
        <v>47.568834212067955</v>
      </c>
      <c r="S27" s="199">
        <f t="shared" si="3"/>
        <v>29.914297374506869</v>
      </c>
      <c r="T27" s="108"/>
      <c r="U27" s="109"/>
      <c r="V27" s="109"/>
    </row>
    <row r="28" spans="1:22" x14ac:dyDescent="0.3">
      <c r="A28" s="101" t="s">
        <v>58</v>
      </c>
      <c r="B28" s="102" t="s">
        <v>59</v>
      </c>
      <c r="C28" s="103" t="s">
        <v>255</v>
      </c>
      <c r="D28" s="211">
        <v>537</v>
      </c>
      <c r="E28" s="212">
        <v>2896</v>
      </c>
      <c r="F28" s="104"/>
      <c r="G28" s="207">
        <v>447</v>
      </c>
      <c r="H28" s="207">
        <v>2583</v>
      </c>
      <c r="I28" s="107"/>
      <c r="J28" s="207">
        <v>40</v>
      </c>
      <c r="K28" s="207">
        <v>89</v>
      </c>
      <c r="L28" s="107"/>
      <c r="M28" s="207">
        <v>32</v>
      </c>
      <c r="N28" s="207">
        <v>168</v>
      </c>
      <c r="O28" s="105"/>
      <c r="P28" s="199">
        <f t="shared" si="0"/>
        <v>18.542817679558009</v>
      </c>
      <c r="Q28" s="200">
        <f t="shared" si="1"/>
        <v>17.305458768873404</v>
      </c>
      <c r="R28" s="200">
        <f t="shared" si="2"/>
        <v>44.943820224719097</v>
      </c>
      <c r="S28" s="199">
        <f t="shared" si="3"/>
        <v>19.047619047619047</v>
      </c>
      <c r="T28" s="108"/>
      <c r="U28" s="109"/>
      <c r="V28" s="109"/>
    </row>
    <row r="29" spans="1:22" x14ac:dyDescent="0.3">
      <c r="A29" s="101" t="s">
        <v>60</v>
      </c>
      <c r="B29" s="102" t="s">
        <v>61</v>
      </c>
      <c r="C29" s="103" t="s">
        <v>253</v>
      </c>
      <c r="D29" s="211">
        <v>220</v>
      </c>
      <c r="E29" s="212">
        <v>966</v>
      </c>
      <c r="F29" s="104"/>
      <c r="G29" s="207">
        <v>217</v>
      </c>
      <c r="H29" s="207">
        <v>946</v>
      </c>
      <c r="I29" s="107"/>
      <c r="J29" s="207">
        <v>0</v>
      </c>
      <c r="K29" s="207">
        <v>2</v>
      </c>
      <c r="L29" s="107"/>
      <c r="M29" s="207">
        <v>2</v>
      </c>
      <c r="N29" s="207">
        <v>11</v>
      </c>
      <c r="O29" s="105"/>
      <c r="P29" s="199">
        <f t="shared" si="0"/>
        <v>22.77432712215321</v>
      </c>
      <c r="Q29" s="200">
        <f t="shared" si="1"/>
        <v>22.938689217758984</v>
      </c>
      <c r="R29" s="200">
        <f t="shared" si="2"/>
        <v>0</v>
      </c>
      <c r="S29" s="199">
        <f t="shared" si="3"/>
        <v>18.181818181818183</v>
      </c>
      <c r="T29" s="108"/>
      <c r="U29" s="109"/>
      <c r="V29" s="109"/>
    </row>
    <row r="30" spans="1:22" x14ac:dyDescent="0.3">
      <c r="A30" s="101" t="s">
        <v>62</v>
      </c>
      <c r="B30" s="102" t="s">
        <v>63</v>
      </c>
      <c r="C30" s="103" t="s">
        <v>255</v>
      </c>
      <c r="D30" s="211">
        <v>2536</v>
      </c>
      <c r="E30" s="212">
        <v>10317</v>
      </c>
      <c r="F30" s="104"/>
      <c r="G30" s="207">
        <v>1365</v>
      </c>
      <c r="H30" s="207">
        <v>7457</v>
      </c>
      <c r="I30" s="107"/>
      <c r="J30" s="207">
        <v>679</v>
      </c>
      <c r="K30" s="207">
        <v>1310</v>
      </c>
      <c r="L30" s="107"/>
      <c r="M30" s="207">
        <v>341</v>
      </c>
      <c r="N30" s="207">
        <v>1258</v>
      </c>
      <c r="O30" s="105"/>
      <c r="P30" s="199">
        <f t="shared" si="0"/>
        <v>24.580788989047203</v>
      </c>
      <c r="Q30" s="200">
        <f t="shared" si="1"/>
        <v>18.30494837065844</v>
      </c>
      <c r="R30" s="200">
        <f t="shared" si="2"/>
        <v>51.832061068702295</v>
      </c>
      <c r="S30" s="199">
        <f t="shared" si="3"/>
        <v>27.106518282988873</v>
      </c>
      <c r="T30" s="108"/>
      <c r="U30" s="109"/>
      <c r="V30" s="109"/>
    </row>
    <row r="31" spans="1:22" x14ac:dyDescent="0.3">
      <c r="A31" s="101" t="s">
        <v>64</v>
      </c>
      <c r="B31" s="102" t="s">
        <v>65</v>
      </c>
      <c r="C31" s="103" t="s">
        <v>254</v>
      </c>
      <c r="D31" s="211">
        <v>595</v>
      </c>
      <c r="E31" s="212">
        <v>1853</v>
      </c>
      <c r="F31" s="104"/>
      <c r="G31" s="207">
        <v>275</v>
      </c>
      <c r="H31" s="207">
        <v>1211</v>
      </c>
      <c r="I31" s="107"/>
      <c r="J31" s="207">
        <v>287</v>
      </c>
      <c r="K31" s="207">
        <v>529</v>
      </c>
      <c r="L31" s="107"/>
      <c r="M31" s="207">
        <v>16</v>
      </c>
      <c r="N31" s="207">
        <v>67</v>
      </c>
      <c r="O31" s="105"/>
      <c r="P31" s="199">
        <f t="shared" si="0"/>
        <v>32.11009174311927</v>
      </c>
      <c r="Q31" s="200">
        <f t="shared" si="1"/>
        <v>22.708505367464905</v>
      </c>
      <c r="R31" s="200">
        <f t="shared" si="2"/>
        <v>54.253308128544418</v>
      </c>
      <c r="S31" s="199">
        <f t="shared" si="3"/>
        <v>23.880597014925371</v>
      </c>
      <c r="T31" s="108"/>
      <c r="U31" s="109"/>
      <c r="V31" s="109"/>
    </row>
    <row r="32" spans="1:22" x14ac:dyDescent="0.3">
      <c r="A32" s="101" t="s">
        <v>68</v>
      </c>
      <c r="B32" s="102" t="s">
        <v>69</v>
      </c>
      <c r="C32" s="103" t="s">
        <v>256</v>
      </c>
      <c r="D32" s="211">
        <v>713</v>
      </c>
      <c r="E32" s="212">
        <v>2891</v>
      </c>
      <c r="F32" s="104"/>
      <c r="G32" s="207">
        <v>695</v>
      </c>
      <c r="H32" s="207">
        <v>2845</v>
      </c>
      <c r="I32" s="107"/>
      <c r="J32" s="207">
        <v>8</v>
      </c>
      <c r="K32" s="207">
        <v>14</v>
      </c>
      <c r="L32" s="107"/>
      <c r="M32" s="207">
        <v>9</v>
      </c>
      <c r="N32" s="207">
        <v>27</v>
      </c>
      <c r="O32" s="105"/>
      <c r="P32" s="199">
        <f t="shared" si="0"/>
        <v>24.662746454514011</v>
      </c>
      <c r="Q32" s="200">
        <f t="shared" si="1"/>
        <v>24.42882249560633</v>
      </c>
      <c r="R32" s="200">
        <f t="shared" si="2"/>
        <v>57.142857142857139</v>
      </c>
      <c r="S32" s="199">
        <f t="shared" si="3"/>
        <v>33.333333333333329</v>
      </c>
      <c r="T32" s="108"/>
      <c r="U32" s="109"/>
      <c r="V32" s="109"/>
    </row>
    <row r="33" spans="1:22" x14ac:dyDescent="0.3">
      <c r="A33" s="101" t="s">
        <v>70</v>
      </c>
      <c r="B33" s="102" t="s">
        <v>71</v>
      </c>
      <c r="C33" s="103" t="s">
        <v>252</v>
      </c>
      <c r="D33" s="211">
        <v>1785</v>
      </c>
      <c r="E33" s="212">
        <v>5303</v>
      </c>
      <c r="F33" s="104"/>
      <c r="G33" s="207">
        <v>834</v>
      </c>
      <c r="H33" s="207">
        <v>3388</v>
      </c>
      <c r="I33" s="107"/>
      <c r="J33" s="207">
        <v>859</v>
      </c>
      <c r="K33" s="207">
        <v>1628</v>
      </c>
      <c r="L33" s="107"/>
      <c r="M33" s="207">
        <v>50</v>
      </c>
      <c r="N33" s="207">
        <v>239</v>
      </c>
      <c r="O33" s="105"/>
      <c r="P33" s="199">
        <f t="shared" si="0"/>
        <v>33.660192343956254</v>
      </c>
      <c r="Q33" s="200">
        <f t="shared" si="1"/>
        <v>24.61629279811098</v>
      </c>
      <c r="R33" s="200">
        <f t="shared" si="2"/>
        <v>52.764127764127764</v>
      </c>
      <c r="S33" s="199">
        <f t="shared" si="3"/>
        <v>20.920502092050206</v>
      </c>
      <c r="T33" s="108"/>
      <c r="U33" s="109"/>
      <c r="V33" s="109"/>
    </row>
    <row r="34" spans="1:22" x14ac:dyDescent="0.3">
      <c r="A34" s="101" t="s">
        <v>72</v>
      </c>
      <c r="B34" s="102" t="s">
        <v>73</v>
      </c>
      <c r="C34" s="103" t="s">
        <v>254</v>
      </c>
      <c r="D34" s="211">
        <v>825</v>
      </c>
      <c r="E34" s="212">
        <v>1937</v>
      </c>
      <c r="F34" s="104"/>
      <c r="G34" s="207">
        <v>245</v>
      </c>
      <c r="H34" s="207">
        <v>978</v>
      </c>
      <c r="I34" s="107"/>
      <c r="J34" s="207">
        <v>511</v>
      </c>
      <c r="K34" s="207">
        <v>808</v>
      </c>
      <c r="L34" s="107"/>
      <c r="M34" s="207">
        <v>32</v>
      </c>
      <c r="N34" s="207">
        <v>86</v>
      </c>
      <c r="O34" s="105"/>
      <c r="P34" s="199">
        <f t="shared" si="0"/>
        <v>42.591636551368097</v>
      </c>
      <c r="Q34" s="200">
        <f t="shared" si="1"/>
        <v>25.051124744376281</v>
      </c>
      <c r="R34" s="200">
        <f t="shared" si="2"/>
        <v>63.242574257425744</v>
      </c>
      <c r="S34" s="199">
        <f t="shared" si="3"/>
        <v>37.209302325581397</v>
      </c>
      <c r="T34" s="108"/>
      <c r="U34" s="109"/>
      <c r="V34" s="109"/>
    </row>
    <row r="35" spans="1:22" x14ac:dyDescent="0.3">
      <c r="A35" s="101" t="s">
        <v>74</v>
      </c>
      <c r="B35" s="102" t="s">
        <v>472</v>
      </c>
      <c r="C35" s="103" t="s">
        <v>255</v>
      </c>
      <c r="D35" s="211">
        <v>40722</v>
      </c>
      <c r="E35" s="212">
        <v>248438</v>
      </c>
      <c r="F35" s="104"/>
      <c r="G35" s="207">
        <v>19519</v>
      </c>
      <c r="H35" s="207">
        <v>146411</v>
      </c>
      <c r="I35" s="107"/>
      <c r="J35" s="207">
        <v>9151</v>
      </c>
      <c r="K35" s="207">
        <v>23526</v>
      </c>
      <c r="L35" s="107"/>
      <c r="M35" s="207">
        <v>10967</v>
      </c>
      <c r="N35" s="207">
        <v>42015</v>
      </c>
      <c r="O35" s="105"/>
      <c r="P35" s="199">
        <f t="shared" si="0"/>
        <v>16.391212294415507</v>
      </c>
      <c r="Q35" s="200">
        <f t="shared" si="1"/>
        <v>13.331648578317203</v>
      </c>
      <c r="R35" s="200">
        <f t="shared" si="2"/>
        <v>38.897390121567625</v>
      </c>
      <c r="S35" s="199">
        <f t="shared" si="3"/>
        <v>26.102582411043674</v>
      </c>
      <c r="T35" s="108"/>
      <c r="U35" s="109"/>
      <c r="V35" s="109"/>
    </row>
    <row r="36" spans="1:22" x14ac:dyDescent="0.3">
      <c r="A36" s="101" t="s">
        <v>76</v>
      </c>
      <c r="B36" s="102" t="s">
        <v>77</v>
      </c>
      <c r="C36" s="103" t="s">
        <v>255</v>
      </c>
      <c r="D36" s="211">
        <v>2535</v>
      </c>
      <c r="E36" s="212">
        <v>14530</v>
      </c>
      <c r="F36" s="104"/>
      <c r="G36" s="207">
        <v>1880</v>
      </c>
      <c r="H36" s="207">
        <v>12201</v>
      </c>
      <c r="I36" s="107"/>
      <c r="J36" s="207">
        <v>352</v>
      </c>
      <c r="K36" s="207">
        <v>898</v>
      </c>
      <c r="L36" s="107"/>
      <c r="M36" s="207">
        <v>201</v>
      </c>
      <c r="N36" s="207">
        <v>1361</v>
      </c>
      <c r="O36" s="105"/>
      <c r="P36" s="199">
        <f t="shared" si="0"/>
        <v>17.44666207845836</v>
      </c>
      <c r="Q36" s="200">
        <f t="shared" si="1"/>
        <v>15.408573067781328</v>
      </c>
      <c r="R36" s="200">
        <f t="shared" si="2"/>
        <v>39.198218262806236</v>
      </c>
      <c r="S36" s="199">
        <f t="shared" si="3"/>
        <v>14.768552534900808</v>
      </c>
      <c r="T36" s="108"/>
      <c r="U36" s="109"/>
      <c r="V36" s="109"/>
    </row>
    <row r="37" spans="1:22" x14ac:dyDescent="0.3">
      <c r="A37" s="101" t="s">
        <v>78</v>
      </c>
      <c r="B37" s="102" t="s">
        <v>79</v>
      </c>
      <c r="C37" s="103" t="s">
        <v>256</v>
      </c>
      <c r="D37" s="211">
        <v>695</v>
      </c>
      <c r="E37" s="212">
        <v>2996</v>
      </c>
      <c r="F37" s="104"/>
      <c r="G37" s="207">
        <v>644</v>
      </c>
      <c r="H37" s="207">
        <v>2859</v>
      </c>
      <c r="I37" s="107"/>
      <c r="J37" s="207">
        <v>18</v>
      </c>
      <c r="K37" s="207">
        <v>28</v>
      </c>
      <c r="L37" s="107"/>
      <c r="M37" s="207">
        <v>36</v>
      </c>
      <c r="N37" s="207">
        <v>119</v>
      </c>
      <c r="O37" s="105"/>
      <c r="P37" s="199">
        <f t="shared" si="0"/>
        <v>23.197596795727637</v>
      </c>
      <c r="Q37" s="200">
        <f t="shared" si="1"/>
        <v>22.525358516963973</v>
      </c>
      <c r="R37" s="200">
        <f t="shared" si="2"/>
        <v>64.285714285714292</v>
      </c>
      <c r="S37" s="199">
        <f t="shared" si="3"/>
        <v>30.252100840336134</v>
      </c>
      <c r="T37" s="108"/>
      <c r="U37" s="109"/>
      <c r="V37" s="109"/>
    </row>
    <row r="38" spans="1:22" x14ac:dyDescent="0.3">
      <c r="A38" s="101" t="s">
        <v>80</v>
      </c>
      <c r="B38" s="102" t="s">
        <v>81</v>
      </c>
      <c r="C38" s="103" t="s">
        <v>254</v>
      </c>
      <c r="D38" s="211">
        <v>1133</v>
      </c>
      <c r="E38" s="212">
        <v>5255</v>
      </c>
      <c r="F38" s="104"/>
      <c r="G38" s="207">
        <v>741</v>
      </c>
      <c r="H38" s="207">
        <v>4246</v>
      </c>
      <c r="I38" s="107"/>
      <c r="J38" s="207">
        <v>270</v>
      </c>
      <c r="K38" s="207">
        <v>607</v>
      </c>
      <c r="L38" s="107"/>
      <c r="M38" s="207">
        <v>53</v>
      </c>
      <c r="N38" s="207">
        <v>259</v>
      </c>
      <c r="O38" s="105"/>
      <c r="P38" s="199">
        <f t="shared" si="0"/>
        <v>21.560418648905806</v>
      </c>
      <c r="Q38" s="200">
        <f t="shared" si="1"/>
        <v>17.451719265190768</v>
      </c>
      <c r="R38" s="200">
        <f t="shared" si="2"/>
        <v>44.481054365733115</v>
      </c>
      <c r="S38" s="199">
        <f t="shared" si="3"/>
        <v>20.463320463320464</v>
      </c>
      <c r="T38" s="108"/>
      <c r="U38" s="109"/>
      <c r="V38" s="109"/>
    </row>
    <row r="39" spans="1:22" x14ac:dyDescent="0.3">
      <c r="A39" s="101" t="s">
        <v>84</v>
      </c>
      <c r="B39" s="102" t="s">
        <v>296</v>
      </c>
      <c r="C39" s="103" t="s">
        <v>253</v>
      </c>
      <c r="D39" s="211">
        <v>2881</v>
      </c>
      <c r="E39" s="212">
        <v>10070</v>
      </c>
      <c r="F39" s="104"/>
      <c r="G39" s="207">
        <v>2240</v>
      </c>
      <c r="H39" s="207">
        <v>8784</v>
      </c>
      <c r="I39" s="107"/>
      <c r="J39" s="207">
        <v>401</v>
      </c>
      <c r="K39" s="207">
        <v>661</v>
      </c>
      <c r="L39" s="107"/>
      <c r="M39" s="207">
        <v>131</v>
      </c>
      <c r="N39" s="207">
        <v>461</v>
      </c>
      <c r="O39" s="105"/>
      <c r="P39" s="199">
        <f t="shared" si="0"/>
        <v>28.609731876861964</v>
      </c>
      <c r="Q39" s="200">
        <f t="shared" si="1"/>
        <v>25.500910746812387</v>
      </c>
      <c r="R39" s="200">
        <f t="shared" si="2"/>
        <v>60.665658093797283</v>
      </c>
      <c r="S39" s="199">
        <f t="shared" si="3"/>
        <v>28.416485900216919</v>
      </c>
      <c r="T39" s="108"/>
      <c r="U39" s="109"/>
      <c r="V39" s="109"/>
    </row>
    <row r="40" spans="1:22" x14ac:dyDescent="0.3">
      <c r="A40" s="101" t="s">
        <v>86</v>
      </c>
      <c r="B40" s="102" t="s">
        <v>87</v>
      </c>
      <c r="C40" s="103" t="s">
        <v>255</v>
      </c>
      <c r="D40" s="211">
        <v>3866</v>
      </c>
      <c r="E40" s="212">
        <v>17412</v>
      </c>
      <c r="F40" s="104"/>
      <c r="G40" s="207">
        <v>3103</v>
      </c>
      <c r="H40" s="207">
        <v>14783</v>
      </c>
      <c r="I40" s="107"/>
      <c r="J40" s="207">
        <v>311</v>
      </c>
      <c r="K40" s="207">
        <v>793</v>
      </c>
      <c r="L40" s="107"/>
      <c r="M40" s="207">
        <v>412</v>
      </c>
      <c r="N40" s="207">
        <v>1766</v>
      </c>
      <c r="O40" s="105"/>
      <c r="P40" s="199">
        <f t="shared" si="0"/>
        <v>22.203078336779232</v>
      </c>
      <c r="Q40" s="200">
        <f t="shared" si="1"/>
        <v>20.990326726645474</v>
      </c>
      <c r="R40" s="200">
        <f t="shared" si="2"/>
        <v>39.218158890290042</v>
      </c>
      <c r="S40" s="199">
        <f t="shared" si="3"/>
        <v>23.32955832389581</v>
      </c>
      <c r="T40" s="108"/>
      <c r="U40" s="109"/>
      <c r="V40" s="109"/>
    </row>
    <row r="41" spans="1:22" x14ac:dyDescent="0.3">
      <c r="A41" s="101" t="s">
        <v>92</v>
      </c>
      <c r="B41" s="102" t="s">
        <v>93</v>
      </c>
      <c r="C41" s="103" t="s">
        <v>256</v>
      </c>
      <c r="D41" s="211">
        <v>847</v>
      </c>
      <c r="E41" s="212">
        <v>3246</v>
      </c>
      <c r="F41" s="104"/>
      <c r="G41" s="207">
        <v>781</v>
      </c>
      <c r="H41" s="207">
        <v>3112</v>
      </c>
      <c r="I41" s="107"/>
      <c r="J41" s="207">
        <v>22</v>
      </c>
      <c r="K41" s="207">
        <v>36</v>
      </c>
      <c r="L41" s="107"/>
      <c r="M41" s="207">
        <v>27</v>
      </c>
      <c r="N41" s="207">
        <v>70</v>
      </c>
      <c r="O41" s="105"/>
      <c r="P41" s="199">
        <f t="shared" si="0"/>
        <v>26.093653727664819</v>
      </c>
      <c r="Q41" s="200">
        <f t="shared" si="1"/>
        <v>25.096401028277636</v>
      </c>
      <c r="R41" s="200">
        <f t="shared" si="2"/>
        <v>61.111111111111114</v>
      </c>
      <c r="S41" s="199">
        <f t="shared" si="3"/>
        <v>38.571428571428577</v>
      </c>
      <c r="T41" s="108"/>
      <c r="U41" s="109"/>
      <c r="V41" s="109"/>
    </row>
    <row r="42" spans="1:22" x14ac:dyDescent="0.3">
      <c r="A42" s="101" t="s">
        <v>94</v>
      </c>
      <c r="B42" s="102" t="s">
        <v>95</v>
      </c>
      <c r="C42" s="103" t="s">
        <v>252</v>
      </c>
      <c r="D42" s="211">
        <v>1686</v>
      </c>
      <c r="E42" s="212">
        <v>7025</v>
      </c>
      <c r="F42" s="104"/>
      <c r="G42" s="207">
        <v>1328</v>
      </c>
      <c r="H42" s="207">
        <v>6082</v>
      </c>
      <c r="I42" s="107"/>
      <c r="J42" s="207">
        <v>196</v>
      </c>
      <c r="K42" s="207">
        <v>458</v>
      </c>
      <c r="L42" s="107"/>
      <c r="M42" s="207">
        <v>58</v>
      </c>
      <c r="N42" s="207">
        <v>278</v>
      </c>
      <c r="O42" s="105"/>
      <c r="P42" s="199">
        <f t="shared" si="0"/>
        <v>24</v>
      </c>
      <c r="Q42" s="200">
        <f t="shared" si="1"/>
        <v>21.834922722788555</v>
      </c>
      <c r="R42" s="200">
        <f t="shared" si="2"/>
        <v>42.79475982532751</v>
      </c>
      <c r="S42" s="199">
        <f t="shared" si="3"/>
        <v>20.863309352517987</v>
      </c>
      <c r="T42" s="108"/>
      <c r="U42" s="109"/>
      <c r="V42" s="109"/>
    </row>
    <row r="43" spans="1:22" x14ac:dyDescent="0.3">
      <c r="A43" s="101" t="s">
        <v>96</v>
      </c>
      <c r="B43" s="102" t="s">
        <v>97</v>
      </c>
      <c r="C43" s="103" t="s">
        <v>254</v>
      </c>
      <c r="D43" s="211">
        <v>632</v>
      </c>
      <c r="E43" s="212">
        <v>3924</v>
      </c>
      <c r="F43" s="104"/>
      <c r="G43" s="207">
        <v>424</v>
      </c>
      <c r="H43" s="207">
        <v>3245</v>
      </c>
      <c r="I43" s="107"/>
      <c r="J43" s="207">
        <v>179</v>
      </c>
      <c r="K43" s="207">
        <v>468</v>
      </c>
      <c r="L43" s="107"/>
      <c r="M43" s="207">
        <v>17</v>
      </c>
      <c r="N43" s="207">
        <v>133</v>
      </c>
      <c r="O43" s="105"/>
      <c r="P43" s="199">
        <f t="shared" si="0"/>
        <v>16.106014271151885</v>
      </c>
      <c r="Q43" s="200">
        <f t="shared" si="1"/>
        <v>13.066255778120183</v>
      </c>
      <c r="R43" s="200">
        <f t="shared" si="2"/>
        <v>38.247863247863243</v>
      </c>
      <c r="S43" s="199">
        <f t="shared" si="3"/>
        <v>12.781954887218044</v>
      </c>
      <c r="T43" s="108"/>
      <c r="U43" s="109"/>
      <c r="V43" s="109"/>
    </row>
    <row r="44" spans="1:22" x14ac:dyDescent="0.3">
      <c r="A44" s="101" t="s">
        <v>98</v>
      </c>
      <c r="B44" s="102" t="s">
        <v>99</v>
      </c>
      <c r="C44" s="103" t="s">
        <v>256</v>
      </c>
      <c r="D44" s="211">
        <v>750</v>
      </c>
      <c r="E44" s="212">
        <v>2547</v>
      </c>
      <c r="F44" s="104"/>
      <c r="G44" s="207">
        <v>663</v>
      </c>
      <c r="H44" s="207">
        <v>2360</v>
      </c>
      <c r="I44" s="107"/>
      <c r="J44" s="207">
        <v>40</v>
      </c>
      <c r="K44" s="207">
        <v>62</v>
      </c>
      <c r="L44" s="107"/>
      <c r="M44" s="207">
        <v>46</v>
      </c>
      <c r="N44" s="207">
        <v>134</v>
      </c>
      <c r="O44" s="105"/>
      <c r="P44" s="199">
        <f t="shared" si="0"/>
        <v>29.446407538280329</v>
      </c>
      <c r="Q44" s="200">
        <f t="shared" si="1"/>
        <v>28.093220338983048</v>
      </c>
      <c r="R44" s="200">
        <f t="shared" si="2"/>
        <v>64.516129032258064</v>
      </c>
      <c r="S44" s="199">
        <f t="shared" si="3"/>
        <v>34.328358208955223</v>
      </c>
      <c r="T44" s="108"/>
      <c r="U44" s="109"/>
      <c r="V44" s="109"/>
    </row>
    <row r="45" spans="1:22" x14ac:dyDescent="0.3">
      <c r="A45" s="101" t="s">
        <v>100</v>
      </c>
      <c r="B45" s="102" t="s">
        <v>101</v>
      </c>
      <c r="C45" s="103" t="s">
        <v>255</v>
      </c>
      <c r="D45" s="211">
        <v>910</v>
      </c>
      <c r="E45" s="212">
        <v>4007</v>
      </c>
      <c r="F45" s="104"/>
      <c r="G45" s="207">
        <v>665</v>
      </c>
      <c r="H45" s="207">
        <v>3341</v>
      </c>
      <c r="I45" s="107"/>
      <c r="J45" s="207">
        <v>135</v>
      </c>
      <c r="K45" s="207">
        <v>241</v>
      </c>
      <c r="L45" s="107"/>
      <c r="M45" s="207">
        <v>52</v>
      </c>
      <c r="N45" s="207">
        <v>275</v>
      </c>
      <c r="O45" s="105"/>
      <c r="P45" s="199">
        <f t="shared" si="0"/>
        <v>22.710257050162216</v>
      </c>
      <c r="Q45" s="200">
        <f t="shared" si="1"/>
        <v>19.904220293325352</v>
      </c>
      <c r="R45" s="200">
        <f t="shared" si="2"/>
        <v>56.016597510373444</v>
      </c>
      <c r="S45" s="199">
        <f t="shared" si="3"/>
        <v>18.90909090909091</v>
      </c>
      <c r="T45" s="108"/>
      <c r="U45" s="109"/>
      <c r="V45" s="109"/>
    </row>
    <row r="46" spans="1:22" x14ac:dyDescent="0.3">
      <c r="A46" s="101" t="s">
        <v>102</v>
      </c>
      <c r="B46" s="102" t="s">
        <v>270</v>
      </c>
      <c r="C46" s="103" t="s">
        <v>252</v>
      </c>
      <c r="D46" s="211">
        <v>1510</v>
      </c>
      <c r="E46" s="212">
        <v>2790</v>
      </c>
      <c r="F46" s="104"/>
      <c r="G46" s="207">
        <v>235</v>
      </c>
      <c r="H46" s="207">
        <v>856</v>
      </c>
      <c r="I46" s="107"/>
      <c r="J46" s="207">
        <v>1206</v>
      </c>
      <c r="K46" s="207">
        <v>1787</v>
      </c>
      <c r="L46" s="107"/>
      <c r="M46" s="207">
        <v>36</v>
      </c>
      <c r="N46" s="207">
        <v>102</v>
      </c>
      <c r="O46" s="105"/>
      <c r="P46" s="199">
        <f t="shared" si="0"/>
        <v>54.121863799283155</v>
      </c>
      <c r="Q46" s="200">
        <f t="shared" si="1"/>
        <v>27.453271028037385</v>
      </c>
      <c r="R46" s="200">
        <f t="shared" si="2"/>
        <v>67.48740906547286</v>
      </c>
      <c r="S46" s="199">
        <f t="shared" si="3"/>
        <v>35.294117647058826</v>
      </c>
      <c r="T46" s="108"/>
      <c r="U46" s="109"/>
      <c r="V46" s="109"/>
    </row>
    <row r="47" spans="1:22" x14ac:dyDescent="0.3">
      <c r="A47" s="101" t="s">
        <v>104</v>
      </c>
      <c r="B47" s="102" t="s">
        <v>465</v>
      </c>
      <c r="C47" s="103" t="s">
        <v>253</v>
      </c>
      <c r="D47" s="211">
        <v>2563</v>
      </c>
      <c r="E47" s="212">
        <v>6631</v>
      </c>
      <c r="F47" s="104"/>
      <c r="G47" s="207">
        <v>994</v>
      </c>
      <c r="H47" s="207">
        <v>3899</v>
      </c>
      <c r="I47" s="107"/>
      <c r="J47" s="207">
        <v>1411</v>
      </c>
      <c r="K47" s="207">
        <v>2392</v>
      </c>
      <c r="L47" s="107"/>
      <c r="M47" s="207">
        <v>62</v>
      </c>
      <c r="N47" s="207">
        <v>206</v>
      </c>
      <c r="O47" s="105"/>
      <c r="P47" s="199">
        <f t="shared" si="0"/>
        <v>38.651787060775142</v>
      </c>
      <c r="Q47" s="200">
        <f t="shared" si="1"/>
        <v>25.493716337522443</v>
      </c>
      <c r="R47" s="200">
        <f t="shared" si="2"/>
        <v>58.988294314381271</v>
      </c>
      <c r="S47" s="199">
        <f t="shared" si="3"/>
        <v>30.097087378640776</v>
      </c>
      <c r="T47" s="108"/>
      <c r="U47" s="109"/>
      <c r="V47" s="109"/>
    </row>
    <row r="48" spans="1:22" x14ac:dyDescent="0.3">
      <c r="A48" s="101" t="s">
        <v>108</v>
      </c>
      <c r="B48" s="102" t="s">
        <v>109</v>
      </c>
      <c r="C48" s="103" t="s">
        <v>254</v>
      </c>
      <c r="D48" s="211">
        <v>4332</v>
      </c>
      <c r="E48" s="212">
        <v>22831</v>
      </c>
      <c r="F48" s="104"/>
      <c r="G48" s="207">
        <v>3249</v>
      </c>
      <c r="H48" s="207">
        <v>19794</v>
      </c>
      <c r="I48" s="107"/>
      <c r="J48" s="207">
        <v>789</v>
      </c>
      <c r="K48" s="207">
        <v>1668</v>
      </c>
      <c r="L48" s="107"/>
      <c r="M48" s="207">
        <v>140</v>
      </c>
      <c r="N48" s="207">
        <v>662</v>
      </c>
      <c r="O48" s="105"/>
      <c r="P48" s="199">
        <f t="shared" si="0"/>
        <v>18.974201743243835</v>
      </c>
      <c r="Q48" s="200">
        <f t="shared" si="1"/>
        <v>16.41406486814186</v>
      </c>
      <c r="R48" s="200">
        <f t="shared" si="2"/>
        <v>47.302158273381295</v>
      </c>
      <c r="S48" s="199">
        <f t="shared" si="3"/>
        <v>21.148036253776432</v>
      </c>
      <c r="T48" s="108"/>
      <c r="U48" s="109"/>
      <c r="V48" s="109"/>
    </row>
    <row r="49" spans="1:22" x14ac:dyDescent="0.3">
      <c r="A49" s="101" t="s">
        <v>110</v>
      </c>
      <c r="B49" s="102" t="s">
        <v>111</v>
      </c>
      <c r="C49" s="103" t="s">
        <v>254</v>
      </c>
      <c r="D49" s="211">
        <v>21007</v>
      </c>
      <c r="E49" s="212">
        <v>66860</v>
      </c>
      <c r="F49" s="104"/>
      <c r="G49" s="207">
        <v>6461</v>
      </c>
      <c r="H49" s="207">
        <v>35579</v>
      </c>
      <c r="I49" s="107"/>
      <c r="J49" s="207">
        <v>12349</v>
      </c>
      <c r="K49" s="207">
        <v>21013</v>
      </c>
      <c r="L49" s="110"/>
      <c r="M49" s="207">
        <v>1505</v>
      </c>
      <c r="N49" s="207">
        <v>4354</v>
      </c>
      <c r="O49" s="105"/>
      <c r="P49" s="201">
        <f t="shared" si="0"/>
        <v>31.419383787017647</v>
      </c>
      <c r="Q49" s="200">
        <f t="shared" si="1"/>
        <v>18.159588521318756</v>
      </c>
      <c r="R49" s="200">
        <f t="shared" si="2"/>
        <v>58.768381478132582</v>
      </c>
      <c r="S49" s="199">
        <f t="shared" si="3"/>
        <v>34.565916398713824</v>
      </c>
      <c r="T49" s="108"/>
      <c r="U49" s="109"/>
      <c r="V49" s="109"/>
    </row>
    <row r="50" spans="1:22" x14ac:dyDescent="0.3">
      <c r="A50" s="101" t="s">
        <v>112</v>
      </c>
      <c r="B50" s="102" t="s">
        <v>288</v>
      </c>
      <c r="C50" s="103" t="s">
        <v>253</v>
      </c>
      <c r="D50" s="211">
        <v>4636</v>
      </c>
      <c r="E50" s="212">
        <v>11572</v>
      </c>
      <c r="F50" s="104"/>
      <c r="G50" s="207">
        <v>2149</v>
      </c>
      <c r="H50" s="207">
        <v>7196</v>
      </c>
      <c r="I50" s="107"/>
      <c r="J50" s="207">
        <v>1907</v>
      </c>
      <c r="K50" s="207">
        <v>3041</v>
      </c>
      <c r="L50" s="110"/>
      <c r="M50" s="207">
        <v>415</v>
      </c>
      <c r="N50" s="207">
        <v>1164</v>
      </c>
      <c r="O50" s="105"/>
      <c r="P50" s="201">
        <f t="shared" si="0"/>
        <v>40.06221914967162</v>
      </c>
      <c r="Q50" s="200">
        <f t="shared" si="1"/>
        <v>29.863813229571985</v>
      </c>
      <c r="R50" s="200">
        <f t="shared" si="2"/>
        <v>62.709634988490627</v>
      </c>
      <c r="S50" s="199">
        <f t="shared" si="3"/>
        <v>35.65292096219931</v>
      </c>
      <c r="T50" s="108"/>
      <c r="U50" s="109"/>
      <c r="V50" s="109"/>
    </row>
    <row r="51" spans="1:22" x14ac:dyDescent="0.3">
      <c r="A51" s="101" t="s">
        <v>114</v>
      </c>
      <c r="B51" s="102" t="s">
        <v>115</v>
      </c>
      <c r="C51" s="103" t="s">
        <v>253</v>
      </c>
      <c r="D51" s="211">
        <v>57</v>
      </c>
      <c r="E51" s="212">
        <v>311</v>
      </c>
      <c r="F51" s="104"/>
      <c r="G51" s="207">
        <v>55</v>
      </c>
      <c r="H51" s="207">
        <v>309</v>
      </c>
      <c r="I51" s="107"/>
      <c r="J51" s="207">
        <v>2</v>
      </c>
      <c r="K51" s="207">
        <v>2</v>
      </c>
      <c r="L51" s="110"/>
      <c r="M51" s="207">
        <v>0</v>
      </c>
      <c r="N51" s="207">
        <v>0</v>
      </c>
      <c r="O51" s="105"/>
      <c r="P51" s="201">
        <f t="shared" si="0"/>
        <v>18.327974276527332</v>
      </c>
      <c r="Q51" s="200">
        <f t="shared" si="1"/>
        <v>17.79935275080906</v>
      </c>
      <c r="R51" s="200">
        <f t="shared" si="2"/>
        <v>100</v>
      </c>
      <c r="S51" s="199" t="str">
        <f t="shared" si="3"/>
        <v>NA</v>
      </c>
      <c r="T51" s="108"/>
      <c r="U51" s="109"/>
      <c r="V51" s="109"/>
    </row>
    <row r="52" spans="1:22" x14ac:dyDescent="0.3">
      <c r="A52" s="101" t="s">
        <v>118</v>
      </c>
      <c r="B52" s="102" t="s">
        <v>119</v>
      </c>
      <c r="C52" s="103" t="s">
        <v>252</v>
      </c>
      <c r="D52" s="211">
        <v>1834</v>
      </c>
      <c r="E52" s="212">
        <v>6991</v>
      </c>
      <c r="F52" s="104"/>
      <c r="G52" s="207">
        <v>879</v>
      </c>
      <c r="H52" s="207">
        <v>4950</v>
      </c>
      <c r="I52" s="107"/>
      <c r="J52" s="207">
        <v>846</v>
      </c>
      <c r="K52" s="207">
        <v>1612</v>
      </c>
      <c r="L52" s="110"/>
      <c r="M52" s="207">
        <v>61</v>
      </c>
      <c r="N52" s="207">
        <v>221</v>
      </c>
      <c r="O52" s="105"/>
      <c r="P52" s="201">
        <f t="shared" si="0"/>
        <v>26.233729080246032</v>
      </c>
      <c r="Q52" s="200">
        <f t="shared" si="1"/>
        <v>17.757575757575758</v>
      </c>
      <c r="R52" s="200">
        <f t="shared" si="2"/>
        <v>52.481389578163771</v>
      </c>
      <c r="S52" s="199">
        <f t="shared" si="3"/>
        <v>27.601809954751133</v>
      </c>
      <c r="T52" s="108"/>
      <c r="U52" s="109"/>
      <c r="V52" s="109"/>
    </row>
    <row r="53" spans="1:22" x14ac:dyDescent="0.3">
      <c r="A53" s="101" t="s">
        <v>120</v>
      </c>
      <c r="B53" s="102" t="s">
        <v>121</v>
      </c>
      <c r="C53" s="103" t="s">
        <v>252</v>
      </c>
      <c r="D53" s="211">
        <v>3017</v>
      </c>
      <c r="E53" s="212">
        <v>13018</v>
      </c>
      <c r="F53" s="104"/>
      <c r="G53" s="207">
        <v>1657</v>
      </c>
      <c r="H53" s="207">
        <v>9918</v>
      </c>
      <c r="I53" s="107"/>
      <c r="J53" s="207">
        <v>936</v>
      </c>
      <c r="K53" s="207">
        <v>1676</v>
      </c>
      <c r="L53" s="110"/>
      <c r="M53" s="207">
        <v>291</v>
      </c>
      <c r="N53" s="207">
        <v>917</v>
      </c>
      <c r="O53" s="105"/>
      <c r="P53" s="201">
        <f t="shared" si="0"/>
        <v>23.175603011215241</v>
      </c>
      <c r="Q53" s="200">
        <f t="shared" si="1"/>
        <v>16.706997378503729</v>
      </c>
      <c r="R53" s="200">
        <f t="shared" si="2"/>
        <v>55.847255369928405</v>
      </c>
      <c r="S53" s="199">
        <f t="shared" si="3"/>
        <v>31.733914940021812</v>
      </c>
      <c r="T53" s="108"/>
      <c r="U53" s="109"/>
      <c r="V53" s="109"/>
    </row>
    <row r="54" spans="1:22" x14ac:dyDescent="0.3">
      <c r="A54" s="101" t="s">
        <v>122</v>
      </c>
      <c r="B54" s="102" t="s">
        <v>259</v>
      </c>
      <c r="C54" s="103" t="s">
        <v>254</v>
      </c>
      <c r="D54" s="211">
        <v>341</v>
      </c>
      <c r="E54" s="212">
        <v>1202</v>
      </c>
      <c r="F54" s="104"/>
      <c r="G54" s="207">
        <v>185</v>
      </c>
      <c r="H54" s="207">
        <v>850</v>
      </c>
      <c r="I54" s="107"/>
      <c r="J54" s="207">
        <v>123</v>
      </c>
      <c r="K54" s="207">
        <v>259</v>
      </c>
      <c r="L54" s="110"/>
      <c r="M54" s="207">
        <v>11</v>
      </c>
      <c r="N54" s="207">
        <v>72</v>
      </c>
      <c r="O54" s="105"/>
      <c r="P54" s="201">
        <f t="shared" si="0"/>
        <v>28.369384359401</v>
      </c>
      <c r="Q54" s="200">
        <f t="shared" si="1"/>
        <v>21.764705882352942</v>
      </c>
      <c r="R54" s="200">
        <f t="shared" si="2"/>
        <v>47.490347490347489</v>
      </c>
      <c r="S54" s="199">
        <f t="shared" si="3"/>
        <v>15.277777777777779</v>
      </c>
      <c r="T54" s="108"/>
      <c r="U54" s="109"/>
      <c r="V54" s="109"/>
    </row>
    <row r="55" spans="1:22" x14ac:dyDescent="0.3">
      <c r="A55" s="101" t="s">
        <v>124</v>
      </c>
      <c r="B55" s="102" t="s">
        <v>125</v>
      </c>
      <c r="C55" s="103" t="s">
        <v>255</v>
      </c>
      <c r="D55" s="211">
        <v>1214</v>
      </c>
      <c r="E55" s="212">
        <v>5771</v>
      </c>
      <c r="F55" s="104"/>
      <c r="G55" s="207">
        <v>732</v>
      </c>
      <c r="H55" s="207">
        <v>4347</v>
      </c>
      <c r="I55" s="107"/>
      <c r="J55" s="207">
        <v>375</v>
      </c>
      <c r="K55" s="207">
        <v>931</v>
      </c>
      <c r="L55" s="110"/>
      <c r="M55" s="207">
        <v>56</v>
      </c>
      <c r="N55" s="207">
        <v>292</v>
      </c>
      <c r="O55" s="105"/>
      <c r="P55" s="201">
        <f t="shared" si="0"/>
        <v>21.036215560561427</v>
      </c>
      <c r="Q55" s="200">
        <f t="shared" si="1"/>
        <v>16.839199447895101</v>
      </c>
      <c r="R55" s="200">
        <f t="shared" si="2"/>
        <v>40.27926960257787</v>
      </c>
      <c r="S55" s="199">
        <f t="shared" si="3"/>
        <v>19.17808219178082</v>
      </c>
      <c r="T55" s="108"/>
      <c r="U55" s="109"/>
      <c r="V55" s="109"/>
    </row>
    <row r="56" spans="1:22" x14ac:dyDescent="0.3">
      <c r="A56" s="101" t="s">
        <v>126</v>
      </c>
      <c r="B56" s="102" t="s">
        <v>127</v>
      </c>
      <c r="C56" s="103" t="s">
        <v>254</v>
      </c>
      <c r="D56" s="211">
        <v>814</v>
      </c>
      <c r="E56" s="212">
        <v>3459</v>
      </c>
      <c r="F56" s="104"/>
      <c r="G56" s="207">
        <v>571</v>
      </c>
      <c r="H56" s="207">
        <v>2797</v>
      </c>
      <c r="I56" s="107"/>
      <c r="J56" s="207">
        <v>169</v>
      </c>
      <c r="K56" s="207">
        <v>400</v>
      </c>
      <c r="L56" s="110"/>
      <c r="M56" s="207">
        <v>27</v>
      </c>
      <c r="N56" s="207">
        <v>99</v>
      </c>
      <c r="O56" s="105"/>
      <c r="P56" s="201">
        <f t="shared" si="0"/>
        <v>23.53281295172015</v>
      </c>
      <c r="Q56" s="200">
        <f t="shared" si="1"/>
        <v>20.414730067929927</v>
      </c>
      <c r="R56" s="200">
        <f t="shared" si="2"/>
        <v>42.25</v>
      </c>
      <c r="S56" s="199">
        <f t="shared" si="3"/>
        <v>27.27272727272727</v>
      </c>
      <c r="T56" s="108"/>
      <c r="U56" s="109"/>
      <c r="V56" s="109"/>
    </row>
    <row r="57" spans="1:22" x14ac:dyDescent="0.3">
      <c r="A57" s="101" t="s">
        <v>128</v>
      </c>
      <c r="B57" s="102" t="s">
        <v>129</v>
      </c>
      <c r="C57" s="103" t="s">
        <v>254</v>
      </c>
      <c r="D57" s="211">
        <v>634</v>
      </c>
      <c r="E57" s="212">
        <v>1540</v>
      </c>
      <c r="F57" s="104"/>
      <c r="G57" s="207">
        <v>197</v>
      </c>
      <c r="H57" s="207">
        <v>855</v>
      </c>
      <c r="I57" s="107"/>
      <c r="J57" s="207">
        <v>405</v>
      </c>
      <c r="K57" s="207">
        <v>607</v>
      </c>
      <c r="L57" s="110"/>
      <c r="M57" s="207">
        <v>12</v>
      </c>
      <c r="N57" s="207">
        <v>34</v>
      </c>
      <c r="O57" s="105"/>
      <c r="P57" s="201">
        <f t="shared" si="0"/>
        <v>41.168831168831169</v>
      </c>
      <c r="Q57" s="200">
        <f t="shared" si="1"/>
        <v>23.040935672514621</v>
      </c>
      <c r="R57" s="200">
        <f t="shared" si="2"/>
        <v>66.721581548599673</v>
      </c>
      <c r="S57" s="199">
        <f t="shared" si="3"/>
        <v>35.294117647058826</v>
      </c>
      <c r="T57" s="108"/>
      <c r="U57" s="109"/>
      <c r="V57" s="109"/>
    </row>
    <row r="58" spans="1:22" x14ac:dyDescent="0.3">
      <c r="A58" s="101" t="s">
        <v>130</v>
      </c>
      <c r="B58" s="102" t="s">
        <v>131</v>
      </c>
      <c r="C58" s="103" t="s">
        <v>256</v>
      </c>
      <c r="D58" s="211">
        <v>1233</v>
      </c>
      <c r="E58" s="212">
        <v>4423</v>
      </c>
      <c r="F58" s="104"/>
      <c r="G58" s="207">
        <v>1193</v>
      </c>
      <c r="H58" s="207">
        <v>4329</v>
      </c>
      <c r="I58" s="107"/>
      <c r="J58" s="207">
        <v>7</v>
      </c>
      <c r="K58" s="207">
        <v>21</v>
      </c>
      <c r="L58" s="110"/>
      <c r="M58" s="207">
        <v>25</v>
      </c>
      <c r="N58" s="207">
        <v>48</v>
      </c>
      <c r="O58" s="105"/>
      <c r="P58" s="201">
        <f t="shared" si="0"/>
        <v>27.87700655663577</v>
      </c>
      <c r="Q58" s="200">
        <f t="shared" si="1"/>
        <v>27.558327558327562</v>
      </c>
      <c r="R58" s="200">
        <f t="shared" si="2"/>
        <v>33.333333333333329</v>
      </c>
      <c r="S58" s="199">
        <f t="shared" si="3"/>
        <v>52.083333333333336</v>
      </c>
      <c r="T58" s="108"/>
      <c r="U58" s="109"/>
      <c r="V58" s="109"/>
    </row>
    <row r="59" spans="1:22" x14ac:dyDescent="0.3">
      <c r="A59" s="101" t="s">
        <v>132</v>
      </c>
      <c r="B59" s="102" t="s">
        <v>133</v>
      </c>
      <c r="C59" s="103" t="s">
        <v>255</v>
      </c>
      <c r="D59" s="211">
        <v>11869</v>
      </c>
      <c r="E59" s="212">
        <v>90189</v>
      </c>
      <c r="F59" s="104"/>
      <c r="G59" s="207">
        <v>7177</v>
      </c>
      <c r="H59" s="207">
        <v>59927</v>
      </c>
      <c r="I59" s="107"/>
      <c r="J59" s="207">
        <v>1805</v>
      </c>
      <c r="K59" s="207">
        <v>5736</v>
      </c>
      <c r="L59" s="110"/>
      <c r="M59" s="207">
        <v>2403</v>
      </c>
      <c r="N59" s="207">
        <v>11322</v>
      </c>
      <c r="O59" s="105"/>
      <c r="P59" s="201">
        <f t="shared" si="0"/>
        <v>13.160141480668376</v>
      </c>
      <c r="Q59" s="200">
        <f t="shared" si="1"/>
        <v>11.976237755936388</v>
      </c>
      <c r="R59" s="200">
        <f t="shared" si="2"/>
        <v>31.467921896792188</v>
      </c>
      <c r="S59" s="199">
        <f t="shared" si="3"/>
        <v>21.224165341812402</v>
      </c>
      <c r="T59" s="108"/>
      <c r="U59" s="109"/>
      <c r="V59" s="109"/>
    </row>
    <row r="60" spans="1:22" x14ac:dyDescent="0.3">
      <c r="A60" s="101" t="s">
        <v>134</v>
      </c>
      <c r="B60" s="102" t="s">
        <v>135</v>
      </c>
      <c r="C60" s="103" t="s">
        <v>255</v>
      </c>
      <c r="D60" s="211">
        <v>1576</v>
      </c>
      <c r="E60" s="212">
        <v>6209</v>
      </c>
      <c r="F60" s="104"/>
      <c r="G60" s="207">
        <v>969</v>
      </c>
      <c r="H60" s="207">
        <v>4816</v>
      </c>
      <c r="I60" s="107"/>
      <c r="J60" s="207">
        <v>447</v>
      </c>
      <c r="K60" s="207">
        <v>915</v>
      </c>
      <c r="L60" s="110"/>
      <c r="M60" s="207">
        <v>49</v>
      </c>
      <c r="N60" s="207">
        <v>238</v>
      </c>
      <c r="O60" s="105"/>
      <c r="P60" s="201">
        <f t="shared" si="0"/>
        <v>25.382509260750524</v>
      </c>
      <c r="Q60" s="200">
        <f t="shared" si="1"/>
        <v>20.120431893687709</v>
      </c>
      <c r="R60" s="200">
        <f t="shared" si="2"/>
        <v>48.852459016393439</v>
      </c>
      <c r="S60" s="199">
        <f t="shared" si="3"/>
        <v>20.588235294117645</v>
      </c>
      <c r="T60" s="108"/>
      <c r="U60" s="109"/>
      <c r="V60" s="109"/>
    </row>
    <row r="61" spans="1:22" x14ac:dyDescent="0.3">
      <c r="A61" s="101" t="s">
        <v>136</v>
      </c>
      <c r="B61" s="102" t="s">
        <v>137</v>
      </c>
      <c r="C61" s="103" t="s">
        <v>254</v>
      </c>
      <c r="D61" s="211">
        <v>702</v>
      </c>
      <c r="E61" s="212">
        <v>2032</v>
      </c>
      <c r="F61" s="104"/>
      <c r="G61" s="207">
        <v>310</v>
      </c>
      <c r="H61" s="207">
        <v>1308</v>
      </c>
      <c r="I61" s="107"/>
      <c r="J61" s="207">
        <v>310</v>
      </c>
      <c r="K61" s="207">
        <v>544</v>
      </c>
      <c r="L61" s="110"/>
      <c r="M61" s="207">
        <v>51</v>
      </c>
      <c r="N61" s="207">
        <v>125</v>
      </c>
      <c r="O61" s="105"/>
      <c r="P61" s="201">
        <f t="shared" si="0"/>
        <v>34.547244094488185</v>
      </c>
      <c r="Q61" s="200">
        <f t="shared" si="1"/>
        <v>23.700305810397555</v>
      </c>
      <c r="R61" s="200">
        <f t="shared" si="2"/>
        <v>56.985294117647058</v>
      </c>
      <c r="S61" s="199">
        <f t="shared" si="3"/>
        <v>40.799999999999997</v>
      </c>
      <c r="T61" s="108"/>
      <c r="U61" s="109"/>
      <c r="V61" s="109"/>
    </row>
    <row r="62" spans="1:22" x14ac:dyDescent="0.3">
      <c r="A62" s="101" t="s">
        <v>140</v>
      </c>
      <c r="B62" s="102" t="s">
        <v>141</v>
      </c>
      <c r="C62" s="103" t="s">
        <v>255</v>
      </c>
      <c r="D62" s="211">
        <v>551</v>
      </c>
      <c r="E62" s="212">
        <v>2527</v>
      </c>
      <c r="F62" s="104"/>
      <c r="G62" s="207">
        <v>442</v>
      </c>
      <c r="H62" s="207">
        <v>2181</v>
      </c>
      <c r="I62" s="107"/>
      <c r="J62" s="207">
        <v>60</v>
      </c>
      <c r="K62" s="207">
        <v>180</v>
      </c>
      <c r="L62" s="110"/>
      <c r="M62" s="207">
        <v>17</v>
      </c>
      <c r="N62" s="207">
        <v>78</v>
      </c>
      <c r="O62" s="105"/>
      <c r="P62" s="201">
        <f t="shared" si="0"/>
        <v>21.804511278195488</v>
      </c>
      <c r="Q62" s="200">
        <f t="shared" si="1"/>
        <v>20.265933058230171</v>
      </c>
      <c r="R62" s="200">
        <f t="shared" si="2"/>
        <v>33.333333333333329</v>
      </c>
      <c r="S62" s="199">
        <f t="shared" si="3"/>
        <v>21.794871794871796</v>
      </c>
      <c r="T62" s="108"/>
      <c r="U62" s="109"/>
      <c r="V62" s="109"/>
    </row>
    <row r="63" spans="1:22" x14ac:dyDescent="0.3">
      <c r="A63" s="101" t="s">
        <v>146</v>
      </c>
      <c r="B63" s="102" t="s">
        <v>147</v>
      </c>
      <c r="C63" s="103" t="s">
        <v>252</v>
      </c>
      <c r="D63" s="211">
        <v>306</v>
      </c>
      <c r="E63" s="212">
        <v>1399</v>
      </c>
      <c r="F63" s="104"/>
      <c r="G63" s="207">
        <v>236</v>
      </c>
      <c r="H63" s="207">
        <v>1218</v>
      </c>
      <c r="I63" s="107"/>
      <c r="J63" s="207">
        <v>51</v>
      </c>
      <c r="K63" s="207">
        <v>119</v>
      </c>
      <c r="L63" s="110"/>
      <c r="M63" s="207">
        <v>5</v>
      </c>
      <c r="N63" s="207">
        <v>33</v>
      </c>
      <c r="O63" s="105"/>
      <c r="P63" s="201">
        <f t="shared" si="0"/>
        <v>21.872766261615439</v>
      </c>
      <c r="Q63" s="200">
        <f t="shared" si="1"/>
        <v>19.376026272577999</v>
      </c>
      <c r="R63" s="200">
        <f t="shared" si="2"/>
        <v>42.857142857142854</v>
      </c>
      <c r="S63" s="199">
        <f t="shared" si="3"/>
        <v>15.151515151515152</v>
      </c>
      <c r="T63" s="108"/>
      <c r="U63" s="109"/>
      <c r="V63" s="109"/>
    </row>
    <row r="64" spans="1:22" x14ac:dyDescent="0.3">
      <c r="A64" s="101" t="s">
        <v>148</v>
      </c>
      <c r="B64" s="102" t="s">
        <v>149</v>
      </c>
      <c r="C64" s="103" t="s">
        <v>253</v>
      </c>
      <c r="D64" s="211">
        <v>2155</v>
      </c>
      <c r="E64" s="212">
        <v>5216</v>
      </c>
      <c r="F64" s="104"/>
      <c r="G64" s="207">
        <v>756</v>
      </c>
      <c r="H64" s="207">
        <v>2955</v>
      </c>
      <c r="I64" s="107"/>
      <c r="J64" s="207">
        <v>1255</v>
      </c>
      <c r="K64" s="207">
        <v>1903</v>
      </c>
      <c r="L64" s="110"/>
      <c r="M64" s="207">
        <v>52</v>
      </c>
      <c r="N64" s="207">
        <v>199</v>
      </c>
      <c r="O64" s="105"/>
      <c r="P64" s="201">
        <f t="shared" si="0"/>
        <v>41.315184049079754</v>
      </c>
      <c r="Q64" s="200">
        <f t="shared" si="1"/>
        <v>25.583756345177665</v>
      </c>
      <c r="R64" s="200">
        <f t="shared" si="2"/>
        <v>65.948502364687329</v>
      </c>
      <c r="S64" s="199">
        <f t="shared" si="3"/>
        <v>26.13065326633166</v>
      </c>
      <c r="T64" s="108"/>
      <c r="U64" s="109"/>
      <c r="V64" s="109"/>
    </row>
    <row r="65" spans="1:22" x14ac:dyDescent="0.3">
      <c r="A65" s="101" t="s">
        <v>150</v>
      </c>
      <c r="B65" s="102" t="s">
        <v>151</v>
      </c>
      <c r="C65" s="103" t="s">
        <v>254</v>
      </c>
      <c r="D65" s="211">
        <v>430</v>
      </c>
      <c r="E65" s="212">
        <v>1466</v>
      </c>
      <c r="F65" s="104"/>
      <c r="G65" s="207">
        <v>300</v>
      </c>
      <c r="H65" s="207">
        <v>1152</v>
      </c>
      <c r="I65" s="107"/>
      <c r="J65" s="207">
        <v>108</v>
      </c>
      <c r="K65" s="207">
        <v>232</v>
      </c>
      <c r="L65" s="110"/>
      <c r="M65" s="207">
        <v>6</v>
      </c>
      <c r="N65" s="207">
        <v>42</v>
      </c>
      <c r="O65" s="105"/>
      <c r="P65" s="201">
        <f t="shared" si="0"/>
        <v>29.331514324693043</v>
      </c>
      <c r="Q65" s="200">
        <f t="shared" si="1"/>
        <v>26.041666666666668</v>
      </c>
      <c r="R65" s="200">
        <f t="shared" si="2"/>
        <v>46.551724137931032</v>
      </c>
      <c r="S65" s="199">
        <f t="shared" si="3"/>
        <v>14.285714285714285</v>
      </c>
      <c r="T65" s="108"/>
      <c r="U65" s="109"/>
      <c r="V65" s="109"/>
    </row>
    <row r="66" spans="1:22" x14ac:dyDescent="0.3">
      <c r="A66" s="101" t="s">
        <v>152</v>
      </c>
      <c r="B66" s="102" t="s">
        <v>153</v>
      </c>
      <c r="C66" s="103" t="s">
        <v>256</v>
      </c>
      <c r="D66" s="211">
        <v>3395</v>
      </c>
      <c r="E66" s="212">
        <v>13668</v>
      </c>
      <c r="F66" s="104"/>
      <c r="G66" s="207">
        <v>2763</v>
      </c>
      <c r="H66" s="207">
        <v>11839</v>
      </c>
      <c r="I66" s="107"/>
      <c r="J66" s="207">
        <v>331</v>
      </c>
      <c r="K66" s="207">
        <v>574</v>
      </c>
      <c r="L66" s="110"/>
      <c r="M66" s="207">
        <v>146</v>
      </c>
      <c r="N66" s="207">
        <v>478</v>
      </c>
      <c r="O66" s="105"/>
      <c r="P66" s="201">
        <f t="shared" si="0"/>
        <v>24.839040093649402</v>
      </c>
      <c r="Q66" s="200">
        <f t="shared" si="1"/>
        <v>23.338119773629529</v>
      </c>
      <c r="R66" s="200">
        <f t="shared" si="2"/>
        <v>57.665505226480839</v>
      </c>
      <c r="S66" s="199">
        <f t="shared" si="3"/>
        <v>30.543933054393307</v>
      </c>
      <c r="T66" s="108"/>
      <c r="U66" s="109"/>
      <c r="V66" s="109"/>
    </row>
    <row r="67" spans="1:22" x14ac:dyDescent="0.3">
      <c r="A67" s="101" t="s">
        <v>154</v>
      </c>
      <c r="B67" s="102" t="s">
        <v>155</v>
      </c>
      <c r="C67" s="103" t="s">
        <v>253</v>
      </c>
      <c r="D67" s="211">
        <v>697</v>
      </c>
      <c r="E67" s="212">
        <v>2438</v>
      </c>
      <c r="F67" s="104"/>
      <c r="G67" s="207">
        <v>477</v>
      </c>
      <c r="H67" s="207">
        <v>1992</v>
      </c>
      <c r="I67" s="107"/>
      <c r="J67" s="207">
        <v>149</v>
      </c>
      <c r="K67" s="207">
        <v>263</v>
      </c>
      <c r="L67" s="110"/>
      <c r="M67" s="207">
        <v>33</v>
      </c>
      <c r="N67" s="207">
        <v>141</v>
      </c>
      <c r="O67" s="105"/>
      <c r="P67" s="201">
        <f t="shared" si="0"/>
        <v>28.589007383100899</v>
      </c>
      <c r="Q67" s="200">
        <f t="shared" si="1"/>
        <v>23.945783132530121</v>
      </c>
      <c r="R67" s="200">
        <f t="shared" si="2"/>
        <v>56.653992395437257</v>
      </c>
      <c r="S67" s="199">
        <f t="shared" si="3"/>
        <v>23.404255319148938</v>
      </c>
      <c r="T67" s="108"/>
      <c r="U67" s="109"/>
      <c r="V67" s="109"/>
    </row>
    <row r="68" spans="1:22" x14ac:dyDescent="0.3">
      <c r="A68" s="101" t="s">
        <v>156</v>
      </c>
      <c r="B68" s="102" t="s">
        <v>157</v>
      </c>
      <c r="C68" s="103" t="s">
        <v>254</v>
      </c>
      <c r="D68" s="211">
        <v>700</v>
      </c>
      <c r="E68" s="212">
        <v>3565</v>
      </c>
      <c r="F68" s="104"/>
      <c r="G68" s="207">
        <v>550</v>
      </c>
      <c r="H68" s="207">
        <v>2983</v>
      </c>
      <c r="I68" s="107"/>
      <c r="J68" s="207">
        <v>102</v>
      </c>
      <c r="K68" s="207">
        <v>317</v>
      </c>
      <c r="L68" s="110"/>
      <c r="M68" s="207">
        <v>19</v>
      </c>
      <c r="N68" s="207">
        <v>136</v>
      </c>
      <c r="O68" s="105"/>
      <c r="P68" s="201">
        <f t="shared" si="0"/>
        <v>19.635343618513325</v>
      </c>
      <c r="Q68" s="200">
        <f t="shared" si="1"/>
        <v>18.437814280925245</v>
      </c>
      <c r="R68" s="200">
        <f t="shared" si="2"/>
        <v>32.176656151419557</v>
      </c>
      <c r="S68" s="199">
        <f t="shared" si="3"/>
        <v>13.970588235294118</v>
      </c>
      <c r="T68" s="108"/>
      <c r="U68" s="109"/>
      <c r="V68" s="109"/>
    </row>
    <row r="69" spans="1:22" x14ac:dyDescent="0.3">
      <c r="A69" s="101" t="s">
        <v>162</v>
      </c>
      <c r="B69" s="102" t="s">
        <v>163</v>
      </c>
      <c r="C69" s="103" t="s">
        <v>252</v>
      </c>
      <c r="D69" s="211">
        <v>887</v>
      </c>
      <c r="E69" s="212">
        <v>2010</v>
      </c>
      <c r="F69" s="104"/>
      <c r="G69" s="207">
        <v>283</v>
      </c>
      <c r="H69" s="207">
        <v>1078</v>
      </c>
      <c r="I69" s="107"/>
      <c r="J69" s="207">
        <v>508</v>
      </c>
      <c r="K69" s="207">
        <v>710</v>
      </c>
      <c r="L69" s="110"/>
      <c r="M69" s="207">
        <v>113</v>
      </c>
      <c r="N69" s="207">
        <v>283</v>
      </c>
      <c r="O69" s="105"/>
      <c r="P69" s="201">
        <f t="shared" si="0"/>
        <v>44.129353233830848</v>
      </c>
      <c r="Q69" s="200">
        <f t="shared" si="1"/>
        <v>26.252319109461968</v>
      </c>
      <c r="R69" s="200">
        <f t="shared" si="2"/>
        <v>71.549295774647888</v>
      </c>
      <c r="S69" s="199">
        <f t="shared" si="3"/>
        <v>39.929328621908127</v>
      </c>
      <c r="T69" s="108"/>
      <c r="U69" s="109"/>
      <c r="V69" s="109"/>
    </row>
    <row r="70" spans="1:22" x14ac:dyDescent="0.3">
      <c r="A70" s="101" t="s">
        <v>164</v>
      </c>
      <c r="B70" s="102" t="s">
        <v>165</v>
      </c>
      <c r="C70" s="103" t="s">
        <v>254</v>
      </c>
      <c r="D70" s="211">
        <v>579</v>
      </c>
      <c r="E70" s="212">
        <v>1628</v>
      </c>
      <c r="F70" s="104"/>
      <c r="G70" s="207">
        <v>237</v>
      </c>
      <c r="H70" s="207">
        <v>999</v>
      </c>
      <c r="I70" s="107"/>
      <c r="J70" s="207">
        <v>297</v>
      </c>
      <c r="K70" s="207">
        <v>521</v>
      </c>
      <c r="L70" s="110"/>
      <c r="M70" s="207">
        <v>34</v>
      </c>
      <c r="N70" s="207">
        <v>112</v>
      </c>
      <c r="O70" s="105"/>
      <c r="P70" s="201">
        <f t="shared" si="0"/>
        <v>35.565110565110565</v>
      </c>
      <c r="Q70" s="200">
        <f t="shared" si="1"/>
        <v>23.723723723723726</v>
      </c>
      <c r="R70" s="200">
        <f t="shared" si="2"/>
        <v>57.005758157389629</v>
      </c>
      <c r="S70" s="199">
        <f t="shared" si="3"/>
        <v>30.357142857142854</v>
      </c>
      <c r="T70" s="108"/>
      <c r="U70" s="109"/>
      <c r="V70" s="109"/>
    </row>
    <row r="71" spans="1:22" x14ac:dyDescent="0.3">
      <c r="A71" s="101" t="s">
        <v>168</v>
      </c>
      <c r="B71" s="102" t="s">
        <v>169</v>
      </c>
      <c r="C71" s="103" t="s">
        <v>254</v>
      </c>
      <c r="D71" s="211">
        <v>997</v>
      </c>
      <c r="E71" s="212">
        <v>2678</v>
      </c>
      <c r="F71" s="104"/>
      <c r="G71" s="207">
        <v>421</v>
      </c>
      <c r="H71" s="207">
        <v>1585</v>
      </c>
      <c r="I71" s="107"/>
      <c r="J71" s="207">
        <v>506</v>
      </c>
      <c r="K71" s="207">
        <v>908</v>
      </c>
      <c r="L71" s="110"/>
      <c r="M71" s="207">
        <v>33</v>
      </c>
      <c r="N71" s="207">
        <v>158</v>
      </c>
      <c r="O71" s="105"/>
      <c r="P71" s="201">
        <f t="shared" ref="P71:P126" si="4">(D71/E71)*100</f>
        <v>37.229275578790144</v>
      </c>
      <c r="Q71" s="200">
        <f t="shared" ref="Q71:Q126" si="5">(G71/H71)*100</f>
        <v>26.561514195583598</v>
      </c>
      <c r="R71" s="200">
        <f t="shared" ref="R71:R126" si="6">(J71/K71)*100</f>
        <v>55.726872246696033</v>
      </c>
      <c r="S71" s="199">
        <f t="shared" ref="S71:S126" si="7">IF(N71&lt;1,"NA", ((M71/N71)*100))</f>
        <v>20.88607594936709</v>
      </c>
      <c r="T71" s="108"/>
      <c r="U71" s="109"/>
      <c r="V71" s="109"/>
    </row>
    <row r="72" spans="1:22" x14ac:dyDescent="0.3">
      <c r="A72" s="101" t="s">
        <v>170</v>
      </c>
      <c r="B72" s="102" t="s">
        <v>171</v>
      </c>
      <c r="C72" s="103" t="s">
        <v>255</v>
      </c>
      <c r="D72" s="211">
        <v>1664</v>
      </c>
      <c r="E72" s="212">
        <v>6621</v>
      </c>
      <c r="F72" s="104"/>
      <c r="G72" s="207">
        <v>1104</v>
      </c>
      <c r="H72" s="207">
        <v>5261</v>
      </c>
      <c r="I72" s="107"/>
      <c r="J72" s="207">
        <v>363</v>
      </c>
      <c r="K72" s="207">
        <v>777</v>
      </c>
      <c r="L72" s="110"/>
      <c r="M72" s="207">
        <v>99</v>
      </c>
      <c r="N72" s="207">
        <v>366</v>
      </c>
      <c r="O72" s="105"/>
      <c r="P72" s="201">
        <f t="shared" si="4"/>
        <v>25.132155263555354</v>
      </c>
      <c r="Q72" s="200">
        <f t="shared" si="5"/>
        <v>20.984603687511878</v>
      </c>
      <c r="R72" s="200">
        <f t="shared" si="6"/>
        <v>46.71814671814672</v>
      </c>
      <c r="S72" s="199">
        <f t="shared" si="7"/>
        <v>27.049180327868854</v>
      </c>
      <c r="T72" s="108"/>
      <c r="U72" s="109"/>
      <c r="V72" s="109"/>
    </row>
    <row r="73" spans="1:22" x14ac:dyDescent="0.3">
      <c r="A73" s="101" t="s">
        <v>172</v>
      </c>
      <c r="B73" s="102" t="s">
        <v>173</v>
      </c>
      <c r="C73" s="103" t="s">
        <v>255</v>
      </c>
      <c r="D73" s="211">
        <v>1301</v>
      </c>
      <c r="E73" s="212">
        <v>4462</v>
      </c>
      <c r="F73" s="104"/>
      <c r="G73" s="207">
        <v>1205</v>
      </c>
      <c r="H73" s="207">
        <v>4233</v>
      </c>
      <c r="I73" s="107"/>
      <c r="J73" s="207">
        <v>40</v>
      </c>
      <c r="K73" s="207">
        <v>69</v>
      </c>
      <c r="L73" s="110"/>
      <c r="M73" s="207">
        <v>54</v>
      </c>
      <c r="N73" s="207">
        <v>128</v>
      </c>
      <c r="O73" s="105"/>
      <c r="P73" s="201">
        <f t="shared" si="4"/>
        <v>29.157328552218736</v>
      </c>
      <c r="Q73" s="200">
        <f t="shared" si="5"/>
        <v>28.466808410111032</v>
      </c>
      <c r="R73" s="200">
        <f t="shared" si="6"/>
        <v>57.971014492753625</v>
      </c>
      <c r="S73" s="199">
        <f t="shared" si="7"/>
        <v>42.1875</v>
      </c>
      <c r="T73" s="108"/>
      <c r="U73" s="109"/>
      <c r="V73" s="109"/>
    </row>
    <row r="74" spans="1:22" x14ac:dyDescent="0.3">
      <c r="A74" s="101" t="s">
        <v>174</v>
      </c>
      <c r="B74" s="102" t="s">
        <v>175</v>
      </c>
      <c r="C74" s="103" t="s">
        <v>256</v>
      </c>
      <c r="D74" s="211">
        <v>892</v>
      </c>
      <c r="E74" s="212">
        <v>3154</v>
      </c>
      <c r="F74" s="104"/>
      <c r="G74" s="207">
        <v>738</v>
      </c>
      <c r="H74" s="207">
        <v>2803</v>
      </c>
      <c r="I74" s="107"/>
      <c r="J74" s="207">
        <v>97</v>
      </c>
      <c r="K74" s="207">
        <v>159</v>
      </c>
      <c r="L74" s="110"/>
      <c r="M74" s="207">
        <v>48</v>
      </c>
      <c r="N74" s="207">
        <v>159</v>
      </c>
      <c r="O74" s="105"/>
      <c r="P74" s="201">
        <f t="shared" si="4"/>
        <v>28.28154724159797</v>
      </c>
      <c r="Q74" s="200">
        <f t="shared" si="5"/>
        <v>26.328933285765249</v>
      </c>
      <c r="R74" s="200">
        <f t="shared" si="6"/>
        <v>61.0062893081761</v>
      </c>
      <c r="S74" s="199">
        <f t="shared" si="7"/>
        <v>30.188679245283019</v>
      </c>
      <c r="T74" s="108"/>
      <c r="U74" s="109"/>
      <c r="V74" s="109"/>
    </row>
    <row r="75" spans="1:22" x14ac:dyDescent="0.3">
      <c r="A75" s="101" t="s">
        <v>178</v>
      </c>
      <c r="B75" s="102" t="s">
        <v>179</v>
      </c>
      <c r="C75" s="103" t="s">
        <v>253</v>
      </c>
      <c r="D75" s="211">
        <v>3561</v>
      </c>
      <c r="E75" s="212">
        <v>11424</v>
      </c>
      <c r="F75" s="104"/>
      <c r="G75" s="207">
        <v>2288</v>
      </c>
      <c r="H75" s="207">
        <v>8821</v>
      </c>
      <c r="I75" s="107"/>
      <c r="J75" s="207">
        <v>1066</v>
      </c>
      <c r="K75" s="207">
        <v>2044</v>
      </c>
      <c r="L75" s="110"/>
      <c r="M75" s="207">
        <v>164</v>
      </c>
      <c r="N75" s="207">
        <v>419</v>
      </c>
      <c r="O75" s="105"/>
      <c r="P75" s="201">
        <f t="shared" si="4"/>
        <v>31.17121848739496</v>
      </c>
      <c r="Q75" s="200">
        <f t="shared" si="5"/>
        <v>25.938102255980048</v>
      </c>
      <c r="R75" s="200">
        <f t="shared" si="6"/>
        <v>52.152641878669279</v>
      </c>
      <c r="S75" s="199">
        <f t="shared" si="7"/>
        <v>39.140811455847256</v>
      </c>
      <c r="T75" s="108"/>
      <c r="U75" s="109"/>
      <c r="V75" s="109"/>
    </row>
    <row r="76" spans="1:22" x14ac:dyDescent="0.3">
      <c r="A76" s="101" t="s">
        <v>182</v>
      </c>
      <c r="B76" s="102" t="s">
        <v>183</v>
      </c>
      <c r="C76" s="103" t="s">
        <v>254</v>
      </c>
      <c r="D76" s="211">
        <v>894</v>
      </c>
      <c r="E76" s="212">
        <v>5676</v>
      </c>
      <c r="F76" s="104"/>
      <c r="G76" s="207">
        <v>705</v>
      </c>
      <c r="H76" s="207">
        <v>5098</v>
      </c>
      <c r="I76" s="107"/>
      <c r="J76" s="207">
        <v>126</v>
      </c>
      <c r="K76" s="207">
        <v>331</v>
      </c>
      <c r="L76" s="110"/>
      <c r="M76" s="207">
        <v>31</v>
      </c>
      <c r="N76" s="207">
        <v>150</v>
      </c>
      <c r="O76" s="105"/>
      <c r="P76" s="201">
        <f t="shared" si="4"/>
        <v>15.750528541226217</v>
      </c>
      <c r="Q76" s="200">
        <f t="shared" si="5"/>
        <v>13.828952530404079</v>
      </c>
      <c r="R76" s="200">
        <f t="shared" si="6"/>
        <v>38.066465256797585</v>
      </c>
      <c r="S76" s="199">
        <f t="shared" si="7"/>
        <v>20.666666666666668</v>
      </c>
      <c r="T76" s="108"/>
      <c r="U76" s="109"/>
      <c r="V76" s="109"/>
    </row>
    <row r="77" spans="1:22" x14ac:dyDescent="0.3">
      <c r="A77" s="101" t="s">
        <v>184</v>
      </c>
      <c r="B77" s="102" t="s">
        <v>185</v>
      </c>
      <c r="C77" s="103" t="s">
        <v>254</v>
      </c>
      <c r="D77" s="211">
        <v>1369</v>
      </c>
      <c r="E77" s="212">
        <v>3375</v>
      </c>
      <c r="F77" s="104"/>
      <c r="G77" s="207">
        <v>434</v>
      </c>
      <c r="H77" s="207">
        <v>1775</v>
      </c>
      <c r="I77" s="107"/>
      <c r="J77" s="207">
        <v>840</v>
      </c>
      <c r="K77" s="207">
        <v>1364</v>
      </c>
      <c r="L77" s="110"/>
      <c r="M77" s="207">
        <v>27</v>
      </c>
      <c r="N77" s="207">
        <v>99</v>
      </c>
      <c r="O77" s="105"/>
      <c r="P77" s="201">
        <f t="shared" si="4"/>
        <v>40.562962962962963</v>
      </c>
      <c r="Q77" s="200">
        <f t="shared" si="5"/>
        <v>24.450704225352112</v>
      </c>
      <c r="R77" s="200">
        <f t="shared" si="6"/>
        <v>61.583577712609973</v>
      </c>
      <c r="S77" s="199">
        <f t="shared" si="7"/>
        <v>27.27272727272727</v>
      </c>
      <c r="T77" s="108"/>
      <c r="U77" s="109"/>
      <c r="V77" s="109"/>
    </row>
    <row r="78" spans="1:22" x14ac:dyDescent="0.3">
      <c r="A78" s="101" t="s">
        <v>186</v>
      </c>
      <c r="B78" s="102" t="s">
        <v>187</v>
      </c>
      <c r="C78" s="103" t="s">
        <v>252</v>
      </c>
      <c r="D78" s="211">
        <v>1977</v>
      </c>
      <c r="E78" s="212">
        <v>7077</v>
      </c>
      <c r="F78" s="104"/>
      <c r="G78" s="207">
        <v>897</v>
      </c>
      <c r="H78" s="207">
        <v>4149</v>
      </c>
      <c r="I78" s="107"/>
      <c r="J78" s="207">
        <v>877</v>
      </c>
      <c r="K78" s="207">
        <v>2141</v>
      </c>
      <c r="L78" s="110"/>
      <c r="M78" s="207">
        <v>144</v>
      </c>
      <c r="N78" s="207">
        <v>601</v>
      </c>
      <c r="O78" s="105"/>
      <c r="P78" s="201">
        <f t="shared" si="4"/>
        <v>27.935565917761764</v>
      </c>
      <c r="Q78" s="200">
        <f t="shared" si="5"/>
        <v>21.619667389732466</v>
      </c>
      <c r="R78" s="200">
        <f t="shared" si="6"/>
        <v>40.96216721158337</v>
      </c>
      <c r="S78" s="199">
        <f t="shared" si="7"/>
        <v>23.960066555740433</v>
      </c>
      <c r="T78" s="108"/>
      <c r="U78" s="109"/>
      <c r="V78" s="109"/>
    </row>
    <row r="79" spans="1:22" x14ac:dyDescent="0.3">
      <c r="A79" s="101" t="s">
        <v>188</v>
      </c>
      <c r="B79" s="102" t="s">
        <v>189</v>
      </c>
      <c r="C79" s="103" t="s">
        <v>255</v>
      </c>
      <c r="D79" s="211">
        <v>21749</v>
      </c>
      <c r="E79" s="212">
        <v>103118</v>
      </c>
      <c r="F79" s="104"/>
      <c r="G79" s="207">
        <v>8234</v>
      </c>
      <c r="H79" s="207">
        <v>55019</v>
      </c>
      <c r="I79" s="107"/>
      <c r="J79" s="207">
        <v>8089</v>
      </c>
      <c r="K79" s="207">
        <v>20838</v>
      </c>
      <c r="L79" s="110"/>
      <c r="M79" s="207">
        <v>5636</v>
      </c>
      <c r="N79" s="207">
        <v>24344</v>
      </c>
      <c r="O79" s="105"/>
      <c r="P79" s="201">
        <f t="shared" si="4"/>
        <v>21.091371050641015</v>
      </c>
      <c r="Q79" s="200">
        <f t="shared" si="5"/>
        <v>14.965739108308037</v>
      </c>
      <c r="R79" s="200">
        <f t="shared" si="6"/>
        <v>38.818504654957295</v>
      </c>
      <c r="S79" s="199">
        <f t="shared" si="7"/>
        <v>23.151495234965495</v>
      </c>
      <c r="T79" s="108"/>
      <c r="U79" s="109"/>
      <c r="V79" s="109"/>
    </row>
    <row r="80" spans="1:22" x14ac:dyDescent="0.3">
      <c r="A80" s="101" t="s">
        <v>190</v>
      </c>
      <c r="B80" s="102" t="s">
        <v>191</v>
      </c>
      <c r="C80" s="103" t="s">
        <v>256</v>
      </c>
      <c r="D80" s="211">
        <v>1787</v>
      </c>
      <c r="E80" s="212">
        <v>5721</v>
      </c>
      <c r="F80" s="104"/>
      <c r="G80" s="207">
        <v>1480</v>
      </c>
      <c r="H80" s="207">
        <v>5198</v>
      </c>
      <c r="I80" s="107"/>
      <c r="J80" s="207">
        <v>152</v>
      </c>
      <c r="K80" s="207">
        <v>245</v>
      </c>
      <c r="L80" s="110"/>
      <c r="M80" s="207">
        <v>43</v>
      </c>
      <c r="N80" s="207">
        <v>127</v>
      </c>
      <c r="O80" s="105"/>
      <c r="P80" s="201">
        <f t="shared" si="4"/>
        <v>31.235797937423527</v>
      </c>
      <c r="Q80" s="200">
        <f t="shared" si="5"/>
        <v>28.472489419007314</v>
      </c>
      <c r="R80" s="200">
        <f t="shared" si="6"/>
        <v>62.04081632653061</v>
      </c>
      <c r="S80" s="199">
        <f t="shared" si="7"/>
        <v>33.858267716535437</v>
      </c>
      <c r="T80" s="108"/>
      <c r="U80" s="109"/>
      <c r="V80" s="109"/>
    </row>
    <row r="81" spans="1:22" x14ac:dyDescent="0.3">
      <c r="A81" s="101" t="s">
        <v>194</v>
      </c>
      <c r="B81" s="102" t="s">
        <v>195</v>
      </c>
      <c r="C81" s="103" t="s">
        <v>255</v>
      </c>
      <c r="D81" s="211">
        <v>320</v>
      </c>
      <c r="E81" s="212">
        <v>1265</v>
      </c>
      <c r="F81" s="104"/>
      <c r="G81" s="207">
        <v>269</v>
      </c>
      <c r="H81" s="207">
        <v>1157</v>
      </c>
      <c r="I81" s="107"/>
      <c r="J81" s="207">
        <v>23</v>
      </c>
      <c r="K81" s="207">
        <v>42</v>
      </c>
      <c r="L81" s="110"/>
      <c r="M81" s="207">
        <v>22</v>
      </c>
      <c r="N81" s="207">
        <v>71</v>
      </c>
      <c r="O81" s="105"/>
      <c r="P81" s="201">
        <f t="shared" si="4"/>
        <v>25.296442687747035</v>
      </c>
      <c r="Q81" s="200">
        <f t="shared" si="5"/>
        <v>23.249783923941227</v>
      </c>
      <c r="R81" s="200">
        <f t="shared" si="6"/>
        <v>54.761904761904766</v>
      </c>
      <c r="S81" s="199">
        <f t="shared" si="7"/>
        <v>30.985915492957744</v>
      </c>
      <c r="T81" s="108"/>
      <c r="U81" s="109"/>
      <c r="V81" s="109"/>
    </row>
    <row r="82" spans="1:22" x14ac:dyDescent="0.3">
      <c r="A82" s="101" t="s">
        <v>198</v>
      </c>
      <c r="B82" s="102" t="s">
        <v>199</v>
      </c>
      <c r="C82" s="103" t="s">
        <v>254</v>
      </c>
      <c r="D82" s="211">
        <v>416</v>
      </c>
      <c r="E82" s="212">
        <v>1302</v>
      </c>
      <c r="F82" s="104"/>
      <c r="G82" s="207">
        <v>202</v>
      </c>
      <c r="H82" s="207">
        <v>875</v>
      </c>
      <c r="I82" s="107"/>
      <c r="J82" s="207">
        <v>175</v>
      </c>
      <c r="K82" s="207">
        <v>276</v>
      </c>
      <c r="L82" s="110"/>
      <c r="M82" s="207">
        <v>24</v>
      </c>
      <c r="N82" s="207">
        <v>125</v>
      </c>
      <c r="O82" s="105"/>
      <c r="P82" s="201">
        <f t="shared" si="4"/>
        <v>31.95084485407066</v>
      </c>
      <c r="Q82" s="200">
        <f t="shared" si="5"/>
        <v>23.085714285714285</v>
      </c>
      <c r="R82" s="200">
        <f t="shared" si="6"/>
        <v>63.405797101449281</v>
      </c>
      <c r="S82" s="199">
        <f t="shared" si="7"/>
        <v>19.2</v>
      </c>
      <c r="T82" s="108"/>
      <c r="U82" s="109"/>
      <c r="V82" s="109"/>
    </row>
    <row r="83" spans="1:22" x14ac:dyDescent="0.3">
      <c r="A83" s="101" t="s">
        <v>202</v>
      </c>
      <c r="B83" s="102" t="s">
        <v>474</v>
      </c>
      <c r="C83" s="103" t="s">
        <v>253</v>
      </c>
      <c r="D83" s="211">
        <v>5421</v>
      </c>
      <c r="E83" s="212">
        <v>22594</v>
      </c>
      <c r="F83" s="104"/>
      <c r="G83" s="207">
        <v>4101</v>
      </c>
      <c r="H83" s="207">
        <v>19297</v>
      </c>
      <c r="I83" s="107"/>
      <c r="J83" s="207">
        <v>784</v>
      </c>
      <c r="K83" s="207">
        <v>1384</v>
      </c>
      <c r="L83" s="110"/>
      <c r="M83" s="207">
        <v>238</v>
      </c>
      <c r="N83" s="207">
        <v>833</v>
      </c>
      <c r="O83" s="105"/>
      <c r="P83" s="201">
        <f t="shared" si="4"/>
        <v>23.993095512082853</v>
      </c>
      <c r="Q83" s="200">
        <f t="shared" si="5"/>
        <v>21.25200808415816</v>
      </c>
      <c r="R83" s="200">
        <f t="shared" si="6"/>
        <v>56.647398843930638</v>
      </c>
      <c r="S83" s="199">
        <f t="shared" si="7"/>
        <v>28.571428571428569</v>
      </c>
      <c r="T83" s="108"/>
      <c r="U83" s="109"/>
      <c r="V83" s="109"/>
    </row>
    <row r="84" spans="1:22" x14ac:dyDescent="0.3">
      <c r="A84" s="101" t="s">
        <v>204</v>
      </c>
      <c r="B84" s="102" t="s">
        <v>281</v>
      </c>
      <c r="C84" s="103" t="s">
        <v>253</v>
      </c>
      <c r="D84" s="211">
        <v>1602</v>
      </c>
      <c r="E84" s="212">
        <v>5638</v>
      </c>
      <c r="F84" s="104"/>
      <c r="G84" s="207">
        <v>1357</v>
      </c>
      <c r="H84" s="207">
        <v>5119</v>
      </c>
      <c r="I84" s="107"/>
      <c r="J84" s="207">
        <v>137</v>
      </c>
      <c r="K84" s="207">
        <v>227</v>
      </c>
      <c r="L84" s="110"/>
      <c r="M84" s="207">
        <v>53</v>
      </c>
      <c r="N84" s="207">
        <v>160</v>
      </c>
      <c r="O84" s="105"/>
      <c r="P84" s="201">
        <f t="shared" si="4"/>
        <v>28.414331323164244</v>
      </c>
      <c r="Q84" s="200">
        <f t="shared" si="5"/>
        <v>26.509083805430748</v>
      </c>
      <c r="R84" s="200">
        <f t="shared" si="6"/>
        <v>60.352422907488986</v>
      </c>
      <c r="S84" s="199">
        <f t="shared" si="7"/>
        <v>33.125</v>
      </c>
      <c r="T84" s="108"/>
      <c r="U84" s="109"/>
      <c r="V84" s="109"/>
    </row>
    <row r="85" spans="1:22" x14ac:dyDescent="0.3">
      <c r="A85" s="101" t="s">
        <v>206</v>
      </c>
      <c r="B85" s="102" t="s">
        <v>282</v>
      </c>
      <c r="C85" s="103" t="s">
        <v>255</v>
      </c>
      <c r="D85" s="211">
        <v>5746</v>
      </c>
      <c r="E85" s="212">
        <v>22670</v>
      </c>
      <c r="F85" s="104"/>
      <c r="G85" s="207">
        <v>4074</v>
      </c>
      <c r="H85" s="207">
        <v>18481</v>
      </c>
      <c r="I85" s="107"/>
      <c r="J85" s="207">
        <v>513</v>
      </c>
      <c r="K85" s="207">
        <v>877</v>
      </c>
      <c r="L85" s="110"/>
      <c r="M85" s="207">
        <v>1366</v>
      </c>
      <c r="N85" s="207">
        <v>3697</v>
      </c>
      <c r="O85" s="105"/>
      <c r="P85" s="201">
        <f t="shared" si="4"/>
        <v>25.34627260696956</v>
      </c>
      <c r="Q85" s="200">
        <f t="shared" si="5"/>
        <v>22.044261674151834</v>
      </c>
      <c r="R85" s="200">
        <f t="shared" si="6"/>
        <v>58.494868871151652</v>
      </c>
      <c r="S85" s="199">
        <f t="shared" si="7"/>
        <v>36.948877468217475</v>
      </c>
      <c r="T85" s="108"/>
      <c r="U85" s="109"/>
      <c r="V85" s="109"/>
    </row>
    <row r="86" spans="1:22" x14ac:dyDescent="0.3">
      <c r="A86" s="101" t="s">
        <v>208</v>
      </c>
      <c r="B86" s="102" t="s">
        <v>209</v>
      </c>
      <c r="C86" s="103" t="s">
        <v>256</v>
      </c>
      <c r="D86" s="211">
        <v>1191</v>
      </c>
      <c r="E86" s="212">
        <v>5014</v>
      </c>
      <c r="F86" s="104"/>
      <c r="G86" s="207">
        <v>1138</v>
      </c>
      <c r="H86" s="207">
        <v>4887</v>
      </c>
      <c r="I86" s="107"/>
      <c r="J86" s="207">
        <v>6</v>
      </c>
      <c r="K86" s="207">
        <v>24</v>
      </c>
      <c r="L86" s="110"/>
      <c r="M86" s="207">
        <v>34</v>
      </c>
      <c r="N86" s="207">
        <v>83</v>
      </c>
      <c r="O86" s="105"/>
      <c r="P86" s="201">
        <f t="shared" si="4"/>
        <v>23.753490227363383</v>
      </c>
      <c r="Q86" s="200">
        <f t="shared" si="5"/>
        <v>23.286269695109475</v>
      </c>
      <c r="R86" s="200">
        <f t="shared" si="6"/>
        <v>25</v>
      </c>
      <c r="S86" s="199">
        <f t="shared" si="7"/>
        <v>40.963855421686745</v>
      </c>
      <c r="T86" s="108"/>
      <c r="U86" s="109"/>
      <c r="V86" s="109"/>
    </row>
    <row r="87" spans="1:22" x14ac:dyDescent="0.3">
      <c r="A87" s="101" t="s">
        <v>210</v>
      </c>
      <c r="B87" s="102" t="s">
        <v>211</v>
      </c>
      <c r="C87" s="103" t="s">
        <v>256</v>
      </c>
      <c r="D87" s="211">
        <v>959</v>
      </c>
      <c r="E87" s="212">
        <v>3843</v>
      </c>
      <c r="F87" s="104"/>
      <c r="G87" s="207">
        <v>910</v>
      </c>
      <c r="H87" s="207">
        <v>3735</v>
      </c>
      <c r="I87" s="107"/>
      <c r="J87" s="207">
        <v>6</v>
      </c>
      <c r="K87" s="207">
        <v>16</v>
      </c>
      <c r="L87" s="110"/>
      <c r="M87" s="207">
        <v>36</v>
      </c>
      <c r="N87" s="207">
        <v>76</v>
      </c>
      <c r="O87" s="105"/>
      <c r="P87" s="201">
        <f t="shared" si="4"/>
        <v>24.954462659380692</v>
      </c>
      <c r="Q87" s="200">
        <f t="shared" si="5"/>
        <v>24.364123159303883</v>
      </c>
      <c r="R87" s="200">
        <f t="shared" si="6"/>
        <v>37.5</v>
      </c>
      <c r="S87" s="199">
        <f t="shared" si="7"/>
        <v>47.368421052631575</v>
      </c>
      <c r="T87" s="108"/>
      <c r="U87" s="109"/>
      <c r="V87" s="109"/>
    </row>
    <row r="88" spans="1:22" x14ac:dyDescent="0.3">
      <c r="A88" s="101" t="s">
        <v>212</v>
      </c>
      <c r="B88" s="102" t="s">
        <v>213</v>
      </c>
      <c r="C88" s="103" t="s">
        <v>255</v>
      </c>
      <c r="D88" s="211">
        <v>2330</v>
      </c>
      <c r="E88" s="212">
        <v>8141</v>
      </c>
      <c r="F88" s="104"/>
      <c r="G88" s="207">
        <v>2035</v>
      </c>
      <c r="H88" s="207">
        <v>7261</v>
      </c>
      <c r="I88" s="107"/>
      <c r="J88" s="207">
        <v>66</v>
      </c>
      <c r="K88" s="207">
        <v>133</v>
      </c>
      <c r="L88" s="110"/>
      <c r="M88" s="207">
        <v>300</v>
      </c>
      <c r="N88" s="207">
        <v>869</v>
      </c>
      <c r="O88" s="105"/>
      <c r="P88" s="201">
        <f t="shared" si="4"/>
        <v>28.620562584449083</v>
      </c>
      <c r="Q88" s="200">
        <f t="shared" si="5"/>
        <v>28.026442638754993</v>
      </c>
      <c r="R88" s="200">
        <f t="shared" si="6"/>
        <v>49.624060150375939</v>
      </c>
      <c r="S88" s="199">
        <f t="shared" si="7"/>
        <v>34.522439585730723</v>
      </c>
      <c r="T88" s="108"/>
      <c r="U88" s="109"/>
      <c r="V88" s="109"/>
    </row>
    <row r="89" spans="1:22" x14ac:dyDescent="0.3">
      <c r="A89" s="101" t="s">
        <v>214</v>
      </c>
      <c r="B89" s="102" t="s">
        <v>215</v>
      </c>
      <c r="C89" s="103" t="s">
        <v>256</v>
      </c>
      <c r="D89" s="211">
        <v>1901</v>
      </c>
      <c r="E89" s="212">
        <v>5684</v>
      </c>
      <c r="F89" s="104"/>
      <c r="G89" s="207">
        <v>1714</v>
      </c>
      <c r="H89" s="207">
        <v>5361</v>
      </c>
      <c r="I89" s="107"/>
      <c r="J89" s="207">
        <v>65</v>
      </c>
      <c r="K89" s="207">
        <v>92</v>
      </c>
      <c r="L89" s="110"/>
      <c r="M89" s="207">
        <v>83</v>
      </c>
      <c r="N89" s="207">
        <v>166</v>
      </c>
      <c r="O89" s="105"/>
      <c r="P89" s="201">
        <f t="shared" si="4"/>
        <v>33.444757213230119</v>
      </c>
      <c r="Q89" s="200">
        <f t="shared" si="5"/>
        <v>31.971647080768513</v>
      </c>
      <c r="R89" s="200">
        <f t="shared" si="6"/>
        <v>70.652173913043484</v>
      </c>
      <c r="S89" s="199">
        <f t="shared" si="7"/>
        <v>50</v>
      </c>
      <c r="T89" s="108"/>
      <c r="U89" s="109"/>
      <c r="V89" s="109"/>
    </row>
    <row r="90" spans="1:22" x14ac:dyDescent="0.3">
      <c r="A90" s="101" t="s">
        <v>216</v>
      </c>
      <c r="B90" s="102" t="s">
        <v>217</v>
      </c>
      <c r="C90" s="103" t="s">
        <v>252</v>
      </c>
      <c r="D90" s="211">
        <v>1022</v>
      </c>
      <c r="E90" s="212">
        <v>3228</v>
      </c>
      <c r="F90" s="104"/>
      <c r="G90" s="207">
        <v>421</v>
      </c>
      <c r="H90" s="207">
        <v>2128</v>
      </c>
      <c r="I90" s="107"/>
      <c r="J90" s="207">
        <v>534</v>
      </c>
      <c r="K90" s="207">
        <v>937</v>
      </c>
      <c r="L90" s="110"/>
      <c r="M90" s="207">
        <v>29</v>
      </c>
      <c r="N90" s="207">
        <v>75</v>
      </c>
      <c r="O90" s="105"/>
      <c r="P90" s="201">
        <f t="shared" si="4"/>
        <v>31.660470879801732</v>
      </c>
      <c r="Q90" s="200">
        <f t="shared" si="5"/>
        <v>19.783834586466163</v>
      </c>
      <c r="R90" s="200">
        <f t="shared" si="6"/>
        <v>56.990394877267882</v>
      </c>
      <c r="S90" s="199">
        <f t="shared" si="7"/>
        <v>38.666666666666664</v>
      </c>
      <c r="T90" s="108"/>
      <c r="U90" s="109"/>
      <c r="V90" s="109"/>
    </row>
    <row r="91" spans="1:22" x14ac:dyDescent="0.3">
      <c r="A91" s="101" t="s">
        <v>218</v>
      </c>
      <c r="B91" s="102" t="s">
        <v>219</v>
      </c>
      <c r="C91" s="103" t="s">
        <v>255</v>
      </c>
      <c r="D91" s="211">
        <v>6530</v>
      </c>
      <c r="E91" s="212">
        <v>29736</v>
      </c>
      <c r="F91" s="104"/>
      <c r="G91" s="207">
        <v>3861</v>
      </c>
      <c r="H91" s="207">
        <v>21338</v>
      </c>
      <c r="I91" s="107"/>
      <c r="J91" s="207">
        <v>1756</v>
      </c>
      <c r="K91" s="207">
        <v>4503</v>
      </c>
      <c r="L91" s="110"/>
      <c r="M91" s="207">
        <v>686</v>
      </c>
      <c r="N91" s="207">
        <v>2924</v>
      </c>
      <c r="O91" s="105"/>
      <c r="P91" s="201">
        <f t="shared" si="4"/>
        <v>21.959913909066451</v>
      </c>
      <c r="Q91" s="200">
        <f t="shared" si="5"/>
        <v>18.094479332645982</v>
      </c>
      <c r="R91" s="200">
        <f t="shared" si="6"/>
        <v>38.996224739062846</v>
      </c>
      <c r="S91" s="199">
        <f t="shared" si="7"/>
        <v>23.461012311901506</v>
      </c>
      <c r="T91" s="108"/>
      <c r="U91" s="109"/>
      <c r="V91" s="109"/>
    </row>
    <row r="92" spans="1:22" x14ac:dyDescent="0.3">
      <c r="A92" s="101" t="s">
        <v>220</v>
      </c>
      <c r="B92" s="102" t="s">
        <v>221</v>
      </c>
      <c r="C92" s="103" t="s">
        <v>255</v>
      </c>
      <c r="D92" s="211">
        <v>6789</v>
      </c>
      <c r="E92" s="212">
        <v>33357</v>
      </c>
      <c r="F92" s="104"/>
      <c r="G92" s="207">
        <v>3655</v>
      </c>
      <c r="H92" s="207">
        <v>22763</v>
      </c>
      <c r="I92" s="107"/>
      <c r="J92" s="207">
        <v>2028</v>
      </c>
      <c r="K92" s="207">
        <v>5715</v>
      </c>
      <c r="L92" s="110"/>
      <c r="M92" s="207">
        <v>841</v>
      </c>
      <c r="N92" s="207">
        <v>4030</v>
      </c>
      <c r="O92" s="105"/>
      <c r="P92" s="201">
        <f t="shared" si="4"/>
        <v>20.352549689720298</v>
      </c>
      <c r="Q92" s="200">
        <f t="shared" si="5"/>
        <v>16.056758775205378</v>
      </c>
      <c r="R92" s="200">
        <f t="shared" si="6"/>
        <v>35.485564304461938</v>
      </c>
      <c r="S92" s="199">
        <f t="shared" si="7"/>
        <v>20.868486352357323</v>
      </c>
      <c r="T92" s="108"/>
      <c r="U92" s="109"/>
      <c r="V92" s="109"/>
    </row>
    <row r="93" spans="1:22" x14ac:dyDescent="0.3">
      <c r="A93" s="101" t="s">
        <v>224</v>
      </c>
      <c r="B93" s="102" t="s">
        <v>225</v>
      </c>
      <c r="C93" s="103" t="s">
        <v>252</v>
      </c>
      <c r="D93" s="211">
        <v>346</v>
      </c>
      <c r="E93" s="212">
        <v>1149</v>
      </c>
      <c r="F93" s="104"/>
      <c r="G93" s="207">
        <v>122</v>
      </c>
      <c r="H93" s="207">
        <v>613</v>
      </c>
      <c r="I93" s="107"/>
      <c r="J93" s="207">
        <v>194</v>
      </c>
      <c r="K93" s="207">
        <v>484</v>
      </c>
      <c r="L93" s="110"/>
      <c r="M93" s="207">
        <v>12</v>
      </c>
      <c r="N93" s="207">
        <v>19</v>
      </c>
      <c r="O93" s="105"/>
      <c r="P93" s="201">
        <f t="shared" si="4"/>
        <v>30.113141862489123</v>
      </c>
      <c r="Q93" s="200">
        <f t="shared" si="5"/>
        <v>19.902120717781401</v>
      </c>
      <c r="R93" s="200">
        <f t="shared" si="6"/>
        <v>40.082644628099175</v>
      </c>
      <c r="S93" s="199">
        <f t="shared" si="7"/>
        <v>63.157894736842103</v>
      </c>
      <c r="T93" s="108"/>
      <c r="U93" s="109"/>
      <c r="V93" s="109"/>
    </row>
    <row r="94" spans="1:22" x14ac:dyDescent="0.3">
      <c r="A94" s="101" t="s">
        <v>226</v>
      </c>
      <c r="B94" s="102" t="s">
        <v>227</v>
      </c>
      <c r="C94" s="103" t="s">
        <v>252</v>
      </c>
      <c r="D94" s="211">
        <v>725</v>
      </c>
      <c r="E94" s="212">
        <v>1634</v>
      </c>
      <c r="F94" s="104"/>
      <c r="G94" s="207">
        <v>174</v>
      </c>
      <c r="H94" s="207">
        <v>692</v>
      </c>
      <c r="I94" s="107"/>
      <c r="J94" s="207">
        <v>530</v>
      </c>
      <c r="K94" s="207">
        <v>881</v>
      </c>
      <c r="L94" s="110"/>
      <c r="M94" s="207">
        <v>18</v>
      </c>
      <c r="N94" s="207">
        <v>56</v>
      </c>
      <c r="O94" s="105"/>
      <c r="P94" s="201">
        <f t="shared" si="4"/>
        <v>44.369645042839657</v>
      </c>
      <c r="Q94" s="200">
        <f t="shared" si="5"/>
        <v>25.144508670520231</v>
      </c>
      <c r="R94" s="200">
        <f t="shared" si="6"/>
        <v>60.158910329171398</v>
      </c>
      <c r="S94" s="199">
        <f t="shared" si="7"/>
        <v>32.142857142857146</v>
      </c>
      <c r="T94" s="108"/>
      <c r="U94" s="109"/>
      <c r="V94" s="109"/>
    </row>
    <row r="95" spans="1:22" x14ac:dyDescent="0.3">
      <c r="A95" s="101" t="s">
        <v>228</v>
      </c>
      <c r="B95" s="102" t="s">
        <v>229</v>
      </c>
      <c r="C95" s="103" t="s">
        <v>256</v>
      </c>
      <c r="D95" s="211">
        <v>2116</v>
      </c>
      <c r="E95" s="212">
        <v>7837</v>
      </c>
      <c r="F95" s="104"/>
      <c r="G95" s="207">
        <v>1916</v>
      </c>
      <c r="H95" s="207">
        <v>7392</v>
      </c>
      <c r="I95" s="107"/>
      <c r="J95" s="207">
        <v>88</v>
      </c>
      <c r="K95" s="207">
        <v>160</v>
      </c>
      <c r="L95" s="110"/>
      <c r="M95" s="207">
        <v>19</v>
      </c>
      <c r="N95" s="207">
        <v>75</v>
      </c>
      <c r="O95" s="105"/>
      <c r="P95" s="201">
        <f t="shared" si="4"/>
        <v>27.000127599846881</v>
      </c>
      <c r="Q95" s="200">
        <f t="shared" si="5"/>
        <v>25.919913419913421</v>
      </c>
      <c r="R95" s="200">
        <f t="shared" si="6"/>
        <v>55.000000000000007</v>
      </c>
      <c r="S95" s="199">
        <f t="shared" si="7"/>
        <v>25.333333333333336</v>
      </c>
      <c r="T95" s="108"/>
      <c r="U95" s="109"/>
      <c r="V95" s="109"/>
    </row>
    <row r="96" spans="1:22" x14ac:dyDescent="0.3">
      <c r="A96" s="101" t="s">
        <v>232</v>
      </c>
      <c r="B96" s="102" t="s">
        <v>233</v>
      </c>
      <c r="C96" s="103" t="s">
        <v>255</v>
      </c>
      <c r="D96" s="211">
        <v>2070</v>
      </c>
      <c r="E96" s="212">
        <v>7925</v>
      </c>
      <c r="F96" s="104"/>
      <c r="G96" s="207">
        <v>1704</v>
      </c>
      <c r="H96" s="207">
        <v>7018</v>
      </c>
      <c r="I96" s="107"/>
      <c r="J96" s="207">
        <v>144</v>
      </c>
      <c r="K96" s="207">
        <v>291</v>
      </c>
      <c r="L96" s="110"/>
      <c r="M96" s="207">
        <v>143</v>
      </c>
      <c r="N96" s="207">
        <v>441</v>
      </c>
      <c r="O96" s="105"/>
      <c r="P96" s="201">
        <f t="shared" si="4"/>
        <v>26.119873817034701</v>
      </c>
      <c r="Q96" s="200">
        <f t="shared" si="5"/>
        <v>24.280421772584781</v>
      </c>
      <c r="R96" s="200">
        <f t="shared" si="6"/>
        <v>49.484536082474229</v>
      </c>
      <c r="S96" s="199">
        <f t="shared" si="7"/>
        <v>32.426303854875286</v>
      </c>
      <c r="T96" s="108"/>
      <c r="U96" s="109"/>
      <c r="V96" s="109"/>
    </row>
    <row r="97" spans="1:22" x14ac:dyDescent="0.3">
      <c r="A97" s="101" t="s">
        <v>234</v>
      </c>
      <c r="B97" s="102" t="s">
        <v>235</v>
      </c>
      <c r="C97" s="103" t="s">
        <v>256</v>
      </c>
      <c r="D97" s="211">
        <v>2248</v>
      </c>
      <c r="E97" s="212">
        <v>9297</v>
      </c>
      <c r="F97" s="104"/>
      <c r="G97" s="207">
        <v>2095</v>
      </c>
      <c r="H97" s="207">
        <v>8962</v>
      </c>
      <c r="I97" s="107"/>
      <c r="J97" s="207">
        <v>53</v>
      </c>
      <c r="K97" s="207">
        <v>84</v>
      </c>
      <c r="L97" s="110"/>
      <c r="M97" s="207">
        <v>79</v>
      </c>
      <c r="N97" s="207">
        <v>201</v>
      </c>
      <c r="O97" s="105"/>
      <c r="P97" s="201">
        <f t="shared" si="4"/>
        <v>24.179842960094653</v>
      </c>
      <c r="Q97" s="200">
        <f t="shared" si="5"/>
        <v>23.37647846462843</v>
      </c>
      <c r="R97" s="200">
        <f t="shared" si="6"/>
        <v>63.095238095238095</v>
      </c>
      <c r="S97" s="199">
        <f t="shared" si="7"/>
        <v>39.303482587064678</v>
      </c>
      <c r="T97" s="108"/>
      <c r="U97" s="109"/>
      <c r="V97" s="109"/>
    </row>
    <row r="98" spans="1:22" x14ac:dyDescent="0.3">
      <c r="A98" s="101" t="s">
        <v>236</v>
      </c>
      <c r="B98" s="102" t="s">
        <v>237</v>
      </c>
      <c r="C98" s="103" t="s">
        <v>254</v>
      </c>
      <c r="D98" s="211">
        <v>1006</v>
      </c>
      <c r="E98" s="212">
        <v>2739</v>
      </c>
      <c r="F98" s="104"/>
      <c r="G98" s="207">
        <v>433</v>
      </c>
      <c r="H98" s="207">
        <v>1603</v>
      </c>
      <c r="I98" s="107"/>
      <c r="J98" s="207">
        <v>458</v>
      </c>
      <c r="K98" s="207">
        <v>793</v>
      </c>
      <c r="L98" s="110"/>
      <c r="M98" s="207">
        <v>68</v>
      </c>
      <c r="N98" s="207">
        <v>302</v>
      </c>
      <c r="O98" s="105"/>
      <c r="P98" s="201">
        <f t="shared" si="4"/>
        <v>36.728733114275279</v>
      </c>
      <c r="Q98" s="200">
        <f t="shared" si="5"/>
        <v>27.011852776044915</v>
      </c>
      <c r="R98" s="200">
        <f t="shared" si="6"/>
        <v>57.755359394703653</v>
      </c>
      <c r="S98" s="199">
        <f t="shared" si="7"/>
        <v>22.516556291390728</v>
      </c>
      <c r="T98" s="108"/>
      <c r="U98" s="109"/>
      <c r="V98" s="109"/>
    </row>
    <row r="99" spans="1:22" x14ac:dyDescent="0.3">
      <c r="A99" s="101" t="s">
        <v>242</v>
      </c>
      <c r="B99" s="102" t="s">
        <v>243</v>
      </c>
      <c r="C99" s="103" t="s">
        <v>256</v>
      </c>
      <c r="D99" s="211">
        <v>2271</v>
      </c>
      <c r="E99" s="212">
        <v>7274</v>
      </c>
      <c r="F99" s="104"/>
      <c r="G99" s="207">
        <v>2128</v>
      </c>
      <c r="H99" s="207">
        <v>6976</v>
      </c>
      <c r="I99" s="107"/>
      <c r="J99" s="207">
        <v>47</v>
      </c>
      <c r="K99" s="207">
        <v>89</v>
      </c>
      <c r="L99" s="110"/>
      <c r="M99" s="207">
        <v>41</v>
      </c>
      <c r="N99" s="207">
        <v>121</v>
      </c>
      <c r="O99" s="105"/>
      <c r="P99" s="201">
        <f t="shared" si="4"/>
        <v>31.220786362386583</v>
      </c>
      <c r="Q99" s="200">
        <f t="shared" si="5"/>
        <v>30.504587155963304</v>
      </c>
      <c r="R99" s="200">
        <f t="shared" si="6"/>
        <v>52.80898876404494</v>
      </c>
      <c r="S99" s="199">
        <f t="shared" si="7"/>
        <v>33.884297520661157</v>
      </c>
      <c r="T99" s="108"/>
      <c r="U99" s="109"/>
      <c r="V99" s="109"/>
    </row>
    <row r="100" spans="1:22" x14ac:dyDescent="0.3">
      <c r="A100" s="101" t="s">
        <v>244</v>
      </c>
      <c r="B100" s="102" t="s">
        <v>245</v>
      </c>
      <c r="C100" s="103" t="s">
        <v>256</v>
      </c>
      <c r="D100" s="211">
        <v>1508</v>
      </c>
      <c r="E100" s="212">
        <v>5325</v>
      </c>
      <c r="F100" s="104"/>
      <c r="G100" s="207">
        <v>1326</v>
      </c>
      <c r="H100" s="207">
        <v>4963</v>
      </c>
      <c r="I100" s="107"/>
      <c r="J100" s="207">
        <v>94</v>
      </c>
      <c r="K100" s="207">
        <v>149</v>
      </c>
      <c r="L100" s="110"/>
      <c r="M100" s="207">
        <v>22</v>
      </c>
      <c r="N100" s="207">
        <v>83</v>
      </c>
      <c r="O100" s="105"/>
      <c r="P100" s="201">
        <f t="shared" si="4"/>
        <v>28.319248826291084</v>
      </c>
      <c r="Q100" s="200">
        <f t="shared" si="5"/>
        <v>26.717711061857745</v>
      </c>
      <c r="R100" s="200">
        <f t="shared" si="6"/>
        <v>63.087248322147651</v>
      </c>
      <c r="S100" s="199">
        <f t="shared" si="7"/>
        <v>26.506024096385545</v>
      </c>
      <c r="T100" s="108"/>
      <c r="U100" s="109"/>
      <c r="V100" s="109"/>
    </row>
    <row r="101" spans="1:22" x14ac:dyDescent="0.3">
      <c r="A101" s="101" t="s">
        <v>246</v>
      </c>
      <c r="B101" s="102" t="s">
        <v>247</v>
      </c>
      <c r="C101" s="103" t="s">
        <v>252</v>
      </c>
      <c r="D101" s="211">
        <v>3643</v>
      </c>
      <c r="E101" s="212">
        <v>18746</v>
      </c>
      <c r="F101" s="104"/>
      <c r="G101" s="207">
        <v>2415</v>
      </c>
      <c r="H101" s="207">
        <v>14197</v>
      </c>
      <c r="I101" s="107"/>
      <c r="J101" s="207">
        <v>762</v>
      </c>
      <c r="K101" s="207">
        <v>1988</v>
      </c>
      <c r="L101" s="110"/>
      <c r="M101" s="207">
        <v>268</v>
      </c>
      <c r="N101" s="207">
        <v>1170</v>
      </c>
      <c r="O101" s="105"/>
      <c r="P101" s="201">
        <f t="shared" si="4"/>
        <v>19.433479142217006</v>
      </c>
      <c r="Q101" s="200">
        <f t="shared" si="5"/>
        <v>17.010636049869689</v>
      </c>
      <c r="R101" s="200">
        <f t="shared" si="6"/>
        <v>38.329979879275655</v>
      </c>
      <c r="S101" s="199">
        <f t="shared" si="7"/>
        <v>22.905982905982906</v>
      </c>
      <c r="T101" s="108"/>
      <c r="U101" s="109"/>
      <c r="V101" s="109"/>
    </row>
    <row r="102" spans="1:22" x14ac:dyDescent="0.3">
      <c r="A102" s="101" t="s">
        <v>14</v>
      </c>
      <c r="B102" s="102" t="s">
        <v>15</v>
      </c>
      <c r="C102" s="103" t="s">
        <v>255</v>
      </c>
      <c r="D102" s="211">
        <v>6099</v>
      </c>
      <c r="E102" s="212">
        <v>21259</v>
      </c>
      <c r="F102" s="104"/>
      <c r="G102" s="207">
        <v>1819</v>
      </c>
      <c r="H102" s="207">
        <v>11110</v>
      </c>
      <c r="I102" s="107"/>
      <c r="J102" s="207">
        <v>2819</v>
      </c>
      <c r="K102" s="207">
        <v>5285</v>
      </c>
      <c r="L102" s="110"/>
      <c r="M102" s="207">
        <v>1768</v>
      </c>
      <c r="N102" s="207">
        <v>4639</v>
      </c>
      <c r="O102" s="105"/>
      <c r="P102" s="201">
        <f t="shared" si="4"/>
        <v>28.689025824356744</v>
      </c>
      <c r="Q102" s="200">
        <f t="shared" si="5"/>
        <v>16.372637263726372</v>
      </c>
      <c r="R102" s="200">
        <f t="shared" si="6"/>
        <v>53.33964049195837</v>
      </c>
      <c r="S102" s="199">
        <f t="shared" si="7"/>
        <v>38.111661996119857</v>
      </c>
      <c r="T102" s="108"/>
      <c r="U102" s="109"/>
      <c r="V102" s="109"/>
    </row>
    <row r="103" spans="1:22" x14ac:dyDescent="0.3">
      <c r="A103" s="101" t="s">
        <v>34</v>
      </c>
      <c r="B103" s="102" t="s">
        <v>35</v>
      </c>
      <c r="C103" s="103" t="s">
        <v>256</v>
      </c>
      <c r="D103" s="211">
        <v>1324</v>
      </c>
      <c r="E103" s="212">
        <v>3160</v>
      </c>
      <c r="F103" s="104"/>
      <c r="G103" s="207">
        <v>1051</v>
      </c>
      <c r="H103" s="207">
        <v>2720</v>
      </c>
      <c r="I103" s="107"/>
      <c r="J103" s="207">
        <v>138</v>
      </c>
      <c r="K103" s="207">
        <v>212</v>
      </c>
      <c r="L103" s="110"/>
      <c r="M103" s="207">
        <v>44</v>
      </c>
      <c r="N103" s="207">
        <v>67</v>
      </c>
      <c r="O103" s="105"/>
      <c r="P103" s="201">
        <f t="shared" si="4"/>
        <v>41.898734177215189</v>
      </c>
      <c r="Q103" s="200">
        <f t="shared" si="5"/>
        <v>38.639705882352942</v>
      </c>
      <c r="R103" s="200">
        <f t="shared" si="6"/>
        <v>65.094339622641513</v>
      </c>
      <c r="S103" s="199">
        <f t="shared" si="7"/>
        <v>65.671641791044777</v>
      </c>
      <c r="T103" s="108"/>
      <c r="U103" s="109"/>
      <c r="V103" s="109"/>
    </row>
    <row r="104" spans="1:22" x14ac:dyDescent="0.3">
      <c r="A104" s="101" t="s">
        <v>52</v>
      </c>
      <c r="B104" s="102" t="s">
        <v>53</v>
      </c>
      <c r="C104" s="103" t="s">
        <v>253</v>
      </c>
      <c r="D104" s="211">
        <v>2163</v>
      </c>
      <c r="E104" s="212">
        <v>5586</v>
      </c>
      <c r="F104" s="104"/>
      <c r="G104" s="207">
        <v>660</v>
      </c>
      <c r="H104" s="207">
        <v>3177</v>
      </c>
      <c r="I104" s="107"/>
      <c r="J104" s="207">
        <v>1258</v>
      </c>
      <c r="K104" s="207">
        <v>1629</v>
      </c>
      <c r="L104" s="110"/>
      <c r="M104" s="207">
        <v>160</v>
      </c>
      <c r="N104" s="207">
        <v>429</v>
      </c>
      <c r="O104" s="105"/>
      <c r="P104" s="201">
        <f t="shared" si="4"/>
        <v>38.721804511278194</v>
      </c>
      <c r="Q104" s="200">
        <f t="shared" si="5"/>
        <v>20.774315391879131</v>
      </c>
      <c r="R104" s="200">
        <f t="shared" si="6"/>
        <v>77.225291589932482</v>
      </c>
      <c r="S104" s="199">
        <f t="shared" si="7"/>
        <v>37.296037296037298</v>
      </c>
      <c r="T104" s="108"/>
      <c r="U104" s="109"/>
      <c r="V104" s="109"/>
    </row>
    <row r="105" spans="1:22" x14ac:dyDescent="0.3">
      <c r="A105" s="101" t="s">
        <v>54</v>
      </c>
      <c r="B105" s="102" t="s">
        <v>55</v>
      </c>
      <c r="C105" s="103" t="s">
        <v>252</v>
      </c>
      <c r="D105" s="211">
        <v>14601</v>
      </c>
      <c r="E105" s="212">
        <v>50056</v>
      </c>
      <c r="F105" s="104"/>
      <c r="G105" s="207">
        <v>5508</v>
      </c>
      <c r="H105" s="207">
        <v>29895</v>
      </c>
      <c r="I105" s="107"/>
      <c r="J105" s="207">
        <v>7658</v>
      </c>
      <c r="K105" s="207">
        <v>14588</v>
      </c>
      <c r="L105" s="110"/>
      <c r="M105" s="207">
        <v>917</v>
      </c>
      <c r="N105" s="207">
        <v>3205</v>
      </c>
      <c r="O105" s="105"/>
      <c r="P105" s="201">
        <f t="shared" si="4"/>
        <v>29.169330350007993</v>
      </c>
      <c r="Q105" s="200">
        <f t="shared" si="5"/>
        <v>18.424485699949823</v>
      </c>
      <c r="R105" s="200">
        <f t="shared" si="6"/>
        <v>52.495201535508642</v>
      </c>
      <c r="S105" s="199">
        <f t="shared" si="7"/>
        <v>28.611544461778472</v>
      </c>
      <c r="T105" s="108"/>
      <c r="U105" s="109"/>
      <c r="V105" s="109"/>
    </row>
    <row r="106" spans="1:22" x14ac:dyDescent="0.3">
      <c r="A106" s="101" t="s">
        <v>66</v>
      </c>
      <c r="B106" s="102" t="s">
        <v>67</v>
      </c>
      <c r="C106" s="103" t="s">
        <v>253</v>
      </c>
      <c r="D106" s="211">
        <v>4439</v>
      </c>
      <c r="E106" s="212">
        <v>7583</v>
      </c>
      <c r="F106" s="104"/>
      <c r="G106" s="207">
        <v>870</v>
      </c>
      <c r="H106" s="207">
        <v>2468</v>
      </c>
      <c r="I106" s="107"/>
      <c r="J106" s="207">
        <v>3318</v>
      </c>
      <c r="K106" s="207">
        <v>4519</v>
      </c>
      <c r="L106" s="110"/>
      <c r="M106" s="207">
        <v>139</v>
      </c>
      <c r="N106" s="207">
        <v>421</v>
      </c>
      <c r="O106" s="105"/>
      <c r="P106" s="201">
        <f t="shared" si="4"/>
        <v>58.538836871950416</v>
      </c>
      <c r="Q106" s="200">
        <f t="shared" si="5"/>
        <v>35.25121555915721</v>
      </c>
      <c r="R106" s="200">
        <f t="shared" si="6"/>
        <v>73.423323744191194</v>
      </c>
      <c r="S106" s="199">
        <f t="shared" si="7"/>
        <v>33.016627078384801</v>
      </c>
      <c r="T106" s="108"/>
      <c r="U106" s="109"/>
      <c r="V106" s="109"/>
    </row>
    <row r="107" spans="1:22" x14ac:dyDescent="0.3">
      <c r="A107" s="101" t="s">
        <v>82</v>
      </c>
      <c r="B107" s="102" t="s">
        <v>299</v>
      </c>
      <c r="C107" s="103" t="s">
        <v>252</v>
      </c>
      <c r="D107" s="211">
        <v>919</v>
      </c>
      <c r="E107" s="212">
        <v>1745</v>
      </c>
      <c r="F107" s="104"/>
      <c r="G107" s="207">
        <v>104</v>
      </c>
      <c r="H107" s="207">
        <v>535</v>
      </c>
      <c r="I107" s="107"/>
      <c r="J107" s="207">
        <v>767</v>
      </c>
      <c r="K107" s="207">
        <v>1085</v>
      </c>
      <c r="L107" s="110"/>
      <c r="M107" s="207">
        <v>17</v>
      </c>
      <c r="N107" s="207">
        <v>51</v>
      </c>
      <c r="O107" s="105"/>
      <c r="P107" s="201">
        <f t="shared" si="4"/>
        <v>52.664756446991404</v>
      </c>
      <c r="Q107" s="200">
        <f t="shared" si="5"/>
        <v>19.439252336448597</v>
      </c>
      <c r="R107" s="200">
        <f t="shared" si="6"/>
        <v>70.691244239631331</v>
      </c>
      <c r="S107" s="199">
        <f t="shared" si="7"/>
        <v>33.333333333333329</v>
      </c>
      <c r="T107" s="108"/>
      <c r="U107" s="109"/>
      <c r="V107" s="109"/>
    </row>
    <row r="108" spans="1:22" x14ac:dyDescent="0.3">
      <c r="A108" s="101" t="s">
        <v>88</v>
      </c>
      <c r="B108" s="102" t="s">
        <v>89</v>
      </c>
      <c r="C108" s="103" t="s">
        <v>255</v>
      </c>
      <c r="D108" s="211">
        <v>1818</v>
      </c>
      <c r="E108" s="212">
        <v>4129</v>
      </c>
      <c r="F108" s="104"/>
      <c r="G108" s="207">
        <v>613</v>
      </c>
      <c r="H108" s="207">
        <v>1974</v>
      </c>
      <c r="I108" s="107"/>
      <c r="J108" s="207">
        <v>857</v>
      </c>
      <c r="K108" s="207">
        <v>1294</v>
      </c>
      <c r="L108" s="110"/>
      <c r="M108" s="207">
        <v>282</v>
      </c>
      <c r="N108" s="207">
        <v>689</v>
      </c>
      <c r="O108" s="105"/>
      <c r="P108" s="201">
        <f t="shared" si="4"/>
        <v>44.030031484620977</v>
      </c>
      <c r="Q108" s="200">
        <f t="shared" si="5"/>
        <v>31.053698074974672</v>
      </c>
      <c r="R108" s="200">
        <f t="shared" si="6"/>
        <v>66.228748068006183</v>
      </c>
      <c r="S108" s="199">
        <f t="shared" si="7"/>
        <v>40.9288824383164</v>
      </c>
      <c r="T108" s="108"/>
      <c r="U108" s="109"/>
      <c r="V108" s="109"/>
    </row>
    <row r="109" spans="1:22" x14ac:dyDescent="0.3">
      <c r="A109" s="101" t="s">
        <v>90</v>
      </c>
      <c r="B109" s="102" t="s">
        <v>91</v>
      </c>
      <c r="C109" s="103" t="s">
        <v>256</v>
      </c>
      <c r="D109" s="211">
        <v>524</v>
      </c>
      <c r="E109" s="212">
        <v>1339</v>
      </c>
      <c r="F109" s="104"/>
      <c r="G109" s="207">
        <v>356</v>
      </c>
      <c r="H109" s="207">
        <v>1010</v>
      </c>
      <c r="I109" s="107"/>
      <c r="J109" s="207">
        <v>67</v>
      </c>
      <c r="K109" s="207">
        <v>104</v>
      </c>
      <c r="L109" s="110"/>
      <c r="M109" s="207">
        <v>156</v>
      </c>
      <c r="N109" s="207">
        <v>385</v>
      </c>
      <c r="O109" s="105"/>
      <c r="P109" s="201">
        <f t="shared" si="4"/>
        <v>39.133681852128454</v>
      </c>
      <c r="Q109" s="200">
        <f t="shared" si="5"/>
        <v>35.247524752475243</v>
      </c>
      <c r="R109" s="200">
        <f t="shared" si="6"/>
        <v>64.423076923076934</v>
      </c>
      <c r="S109" s="199">
        <f t="shared" si="7"/>
        <v>40.519480519480524</v>
      </c>
      <c r="T109" s="108"/>
      <c r="U109" s="109"/>
      <c r="V109" s="109"/>
    </row>
    <row r="110" spans="1:22" x14ac:dyDescent="0.3">
      <c r="A110" s="101" t="s">
        <v>106</v>
      </c>
      <c r="B110" s="102" t="s">
        <v>107</v>
      </c>
      <c r="C110" s="103" t="s">
        <v>252</v>
      </c>
      <c r="D110" s="211">
        <v>11547</v>
      </c>
      <c r="E110" s="212">
        <v>26282</v>
      </c>
      <c r="F110" s="104"/>
      <c r="G110" s="207">
        <v>2332</v>
      </c>
      <c r="H110" s="207">
        <v>9333</v>
      </c>
      <c r="I110" s="107"/>
      <c r="J110" s="207">
        <v>8024</v>
      </c>
      <c r="K110" s="207">
        <v>13815</v>
      </c>
      <c r="L110" s="110"/>
      <c r="M110" s="207">
        <v>695</v>
      </c>
      <c r="N110" s="207">
        <v>1857</v>
      </c>
      <c r="O110" s="105"/>
      <c r="P110" s="201">
        <f t="shared" si="4"/>
        <v>43.935012556122061</v>
      </c>
      <c r="Q110" s="200">
        <f t="shared" si="5"/>
        <v>24.986606664523734</v>
      </c>
      <c r="R110" s="200">
        <f t="shared" si="6"/>
        <v>58.081795150199056</v>
      </c>
      <c r="S110" s="199">
        <f t="shared" si="7"/>
        <v>37.425955842757133</v>
      </c>
      <c r="T110" s="108"/>
      <c r="U110" s="109"/>
      <c r="V110" s="109"/>
    </row>
    <row r="111" spans="1:22" x14ac:dyDescent="0.3">
      <c r="A111" s="101" t="s">
        <v>116</v>
      </c>
      <c r="B111" s="102" t="s">
        <v>117</v>
      </c>
      <c r="C111" s="103" t="s">
        <v>254</v>
      </c>
      <c r="D111" s="211">
        <v>2546</v>
      </c>
      <c r="E111" s="212">
        <v>4601</v>
      </c>
      <c r="F111" s="104"/>
      <c r="G111" s="207">
        <v>722</v>
      </c>
      <c r="H111" s="207">
        <v>1938</v>
      </c>
      <c r="I111" s="107"/>
      <c r="J111" s="207">
        <v>1574</v>
      </c>
      <c r="K111" s="207">
        <v>2141</v>
      </c>
      <c r="L111" s="110"/>
      <c r="M111" s="207">
        <v>162</v>
      </c>
      <c r="N111" s="207">
        <v>417</v>
      </c>
      <c r="O111" s="105"/>
      <c r="P111" s="201">
        <f t="shared" si="4"/>
        <v>55.335796565963925</v>
      </c>
      <c r="Q111" s="200">
        <f t="shared" si="5"/>
        <v>37.254901960784316</v>
      </c>
      <c r="R111" s="200">
        <f t="shared" si="6"/>
        <v>73.517048108360584</v>
      </c>
      <c r="S111" s="199">
        <f t="shared" si="7"/>
        <v>38.848920863309353</v>
      </c>
      <c r="T111" s="108"/>
      <c r="U111" s="109"/>
      <c r="V111" s="109"/>
    </row>
    <row r="112" spans="1:22" x14ac:dyDescent="0.3">
      <c r="A112" s="101" t="s">
        <v>138</v>
      </c>
      <c r="B112" s="102" t="s">
        <v>139</v>
      </c>
      <c r="C112" s="103" t="s">
        <v>253</v>
      </c>
      <c r="D112" s="211">
        <v>5474</v>
      </c>
      <c r="E112" s="212">
        <v>12801</v>
      </c>
      <c r="F112" s="104"/>
      <c r="G112" s="207">
        <v>1492</v>
      </c>
      <c r="H112" s="207">
        <v>6542</v>
      </c>
      <c r="I112" s="107"/>
      <c r="J112" s="207">
        <v>3493</v>
      </c>
      <c r="K112" s="207">
        <v>4881</v>
      </c>
      <c r="L112" s="110"/>
      <c r="M112" s="207">
        <v>194</v>
      </c>
      <c r="N112" s="207">
        <v>518</v>
      </c>
      <c r="O112" s="105"/>
      <c r="P112" s="201">
        <f t="shared" si="4"/>
        <v>42.762284196547142</v>
      </c>
      <c r="Q112" s="200">
        <f t="shared" si="5"/>
        <v>22.806481198410271</v>
      </c>
      <c r="R112" s="200">
        <f t="shared" si="6"/>
        <v>71.563204261421845</v>
      </c>
      <c r="S112" s="199">
        <f t="shared" si="7"/>
        <v>37.451737451737451</v>
      </c>
      <c r="T112" s="108"/>
      <c r="U112" s="109"/>
      <c r="V112" s="109"/>
    </row>
    <row r="113" spans="1:22" x14ac:dyDescent="0.3">
      <c r="A113" s="101" t="s">
        <v>142</v>
      </c>
      <c r="B113" s="102" t="s">
        <v>143</v>
      </c>
      <c r="C113" s="103" t="s">
        <v>255</v>
      </c>
      <c r="D113" s="211">
        <v>2509</v>
      </c>
      <c r="E113" s="212">
        <v>9107</v>
      </c>
      <c r="F113" s="104"/>
      <c r="G113" s="207">
        <v>1103</v>
      </c>
      <c r="H113" s="207">
        <v>5076</v>
      </c>
      <c r="I113" s="107"/>
      <c r="J113" s="207">
        <v>606</v>
      </c>
      <c r="K113" s="207">
        <v>1202</v>
      </c>
      <c r="L113" s="110"/>
      <c r="M113" s="207">
        <v>956</v>
      </c>
      <c r="N113" s="207">
        <v>3653</v>
      </c>
      <c r="O113" s="105"/>
      <c r="P113" s="201">
        <f t="shared" si="4"/>
        <v>27.550236082134621</v>
      </c>
      <c r="Q113" s="200">
        <f t="shared" si="5"/>
        <v>21.729708431836091</v>
      </c>
      <c r="R113" s="200">
        <f t="shared" si="6"/>
        <v>50.415973377703828</v>
      </c>
      <c r="S113" s="199">
        <f t="shared" si="7"/>
        <v>26.170271010128658</v>
      </c>
      <c r="T113" s="108"/>
      <c r="U113" s="109"/>
      <c r="V113" s="109"/>
    </row>
    <row r="114" spans="1:22" x14ac:dyDescent="0.3">
      <c r="A114" s="101" t="s">
        <v>144</v>
      </c>
      <c r="B114" s="102" t="s">
        <v>145</v>
      </c>
      <c r="C114" s="103" t="s">
        <v>255</v>
      </c>
      <c r="D114" s="211">
        <v>818</v>
      </c>
      <c r="E114" s="212">
        <v>3427</v>
      </c>
      <c r="F114" s="104"/>
      <c r="G114" s="207">
        <v>394</v>
      </c>
      <c r="H114" s="207">
        <v>1745</v>
      </c>
      <c r="I114" s="107"/>
      <c r="J114" s="207">
        <v>165</v>
      </c>
      <c r="K114" s="207">
        <v>437</v>
      </c>
      <c r="L114" s="110"/>
      <c r="M114" s="207">
        <v>319</v>
      </c>
      <c r="N114" s="207">
        <v>1325</v>
      </c>
      <c r="O114" s="105"/>
      <c r="P114" s="201">
        <f t="shared" si="4"/>
        <v>23.869273416982782</v>
      </c>
      <c r="Q114" s="200">
        <f t="shared" si="5"/>
        <v>22.578796561604584</v>
      </c>
      <c r="R114" s="200">
        <f t="shared" si="6"/>
        <v>37.757437070938217</v>
      </c>
      <c r="S114" s="199">
        <f t="shared" si="7"/>
        <v>24.075471698113208</v>
      </c>
      <c r="T114" s="108"/>
      <c r="U114" s="109"/>
      <c r="V114" s="109"/>
    </row>
    <row r="115" spans="1:22" x14ac:dyDescent="0.3">
      <c r="A115" s="101" t="s">
        <v>158</v>
      </c>
      <c r="B115" s="102" t="s">
        <v>159</v>
      </c>
      <c r="C115" s="103" t="s">
        <v>252</v>
      </c>
      <c r="D115" s="211">
        <v>16909</v>
      </c>
      <c r="E115" s="212">
        <v>38118</v>
      </c>
      <c r="F115" s="104"/>
      <c r="G115" s="207">
        <v>3558</v>
      </c>
      <c r="H115" s="207">
        <v>14677</v>
      </c>
      <c r="I115" s="107"/>
      <c r="J115" s="207">
        <v>11205</v>
      </c>
      <c r="K115" s="207">
        <v>17808</v>
      </c>
      <c r="L115" s="110"/>
      <c r="M115" s="207">
        <v>1543</v>
      </c>
      <c r="N115" s="207">
        <v>4095</v>
      </c>
      <c r="O115" s="105"/>
      <c r="P115" s="201">
        <f t="shared" si="4"/>
        <v>44.359620126974129</v>
      </c>
      <c r="Q115" s="200">
        <f t="shared" si="5"/>
        <v>24.242011310213261</v>
      </c>
      <c r="R115" s="200">
        <f t="shared" si="6"/>
        <v>62.921159029649601</v>
      </c>
      <c r="S115" s="199">
        <f t="shared" si="7"/>
        <v>37.680097680097681</v>
      </c>
      <c r="T115" s="108"/>
      <c r="U115" s="109"/>
      <c r="V115" s="109"/>
    </row>
    <row r="116" spans="1:22" x14ac:dyDescent="0.3">
      <c r="A116" s="101" t="s">
        <v>160</v>
      </c>
      <c r="B116" s="102" t="s">
        <v>161</v>
      </c>
      <c r="C116" s="103" t="s">
        <v>252</v>
      </c>
      <c r="D116" s="211">
        <v>20474</v>
      </c>
      <c r="E116" s="212">
        <v>42273</v>
      </c>
      <c r="F116" s="104"/>
      <c r="G116" s="207">
        <v>4007</v>
      </c>
      <c r="H116" s="207">
        <v>15462</v>
      </c>
      <c r="I116" s="107"/>
      <c r="J116" s="207">
        <v>14354</v>
      </c>
      <c r="K116" s="207">
        <v>21188</v>
      </c>
      <c r="L116" s="110"/>
      <c r="M116" s="207">
        <v>1485</v>
      </c>
      <c r="N116" s="207">
        <v>3750</v>
      </c>
      <c r="O116" s="105"/>
      <c r="P116" s="201">
        <f t="shared" si="4"/>
        <v>48.43280580985499</v>
      </c>
      <c r="Q116" s="200">
        <f t="shared" si="5"/>
        <v>25.915146811537966</v>
      </c>
      <c r="R116" s="200">
        <f t="shared" si="6"/>
        <v>67.745893902208792</v>
      </c>
      <c r="S116" s="199">
        <f t="shared" si="7"/>
        <v>39.6</v>
      </c>
      <c r="T116" s="108"/>
      <c r="U116" s="109"/>
      <c r="V116" s="109"/>
    </row>
    <row r="117" spans="1:22" x14ac:dyDescent="0.3">
      <c r="A117" s="101" t="s">
        <v>166</v>
      </c>
      <c r="B117" s="102" t="s">
        <v>167</v>
      </c>
      <c r="C117" s="103" t="s">
        <v>256</v>
      </c>
      <c r="D117" s="211">
        <v>345</v>
      </c>
      <c r="E117" s="212">
        <v>733</v>
      </c>
      <c r="F117" s="104"/>
      <c r="G117" s="207">
        <v>258</v>
      </c>
      <c r="H117" s="207">
        <v>598</v>
      </c>
      <c r="I117" s="107"/>
      <c r="J117" s="207">
        <v>39</v>
      </c>
      <c r="K117" s="207">
        <v>57</v>
      </c>
      <c r="L117" s="110"/>
      <c r="M117" s="207">
        <v>14</v>
      </c>
      <c r="N117" s="207">
        <v>18</v>
      </c>
      <c r="O117" s="105"/>
      <c r="P117" s="201">
        <f t="shared" si="4"/>
        <v>47.066848567530698</v>
      </c>
      <c r="Q117" s="200">
        <f t="shared" si="5"/>
        <v>43.143812709030101</v>
      </c>
      <c r="R117" s="200">
        <f t="shared" si="6"/>
        <v>68.421052631578945</v>
      </c>
      <c r="S117" s="199">
        <f t="shared" si="7"/>
        <v>77.777777777777786</v>
      </c>
      <c r="T117" s="108"/>
      <c r="U117" s="109"/>
      <c r="V117" s="109"/>
    </row>
    <row r="118" spans="1:22" x14ac:dyDescent="0.3">
      <c r="A118" s="101" t="s">
        <v>176</v>
      </c>
      <c r="B118" s="102" t="s">
        <v>177</v>
      </c>
      <c r="C118" s="103" t="s">
        <v>254</v>
      </c>
      <c r="D118" s="211">
        <v>3407</v>
      </c>
      <c r="E118" s="212">
        <v>4980</v>
      </c>
      <c r="F118" s="104"/>
      <c r="G118" s="207">
        <v>162</v>
      </c>
      <c r="H118" s="207">
        <v>403</v>
      </c>
      <c r="I118" s="107"/>
      <c r="J118" s="207">
        <v>3058</v>
      </c>
      <c r="K118" s="207">
        <v>4173</v>
      </c>
      <c r="L118" s="110"/>
      <c r="M118" s="207">
        <v>125</v>
      </c>
      <c r="N118" s="207">
        <v>319</v>
      </c>
      <c r="O118" s="105"/>
      <c r="P118" s="201">
        <f t="shared" si="4"/>
        <v>68.413654618473899</v>
      </c>
      <c r="Q118" s="200">
        <f t="shared" si="5"/>
        <v>40.198511166253105</v>
      </c>
      <c r="R118" s="200">
        <f t="shared" si="6"/>
        <v>73.280613467529349</v>
      </c>
      <c r="S118" s="199">
        <f t="shared" si="7"/>
        <v>39.184952978056423</v>
      </c>
      <c r="T118" s="108"/>
      <c r="U118" s="109"/>
      <c r="V118" s="109"/>
    </row>
    <row r="119" spans="1:22" x14ac:dyDescent="0.3">
      <c r="A119" s="101" t="s">
        <v>180</v>
      </c>
      <c r="B119" s="102" t="s">
        <v>181</v>
      </c>
      <c r="C119" s="103" t="s">
        <v>252</v>
      </c>
      <c r="D119" s="211">
        <v>9017</v>
      </c>
      <c r="E119" s="212">
        <v>18131</v>
      </c>
      <c r="F119" s="104"/>
      <c r="G119" s="207">
        <v>1561</v>
      </c>
      <c r="H119" s="207">
        <v>6070</v>
      </c>
      <c r="I119" s="107"/>
      <c r="J119" s="207">
        <v>6830</v>
      </c>
      <c r="K119" s="207">
        <v>10644</v>
      </c>
      <c r="L119" s="110"/>
      <c r="M119" s="207">
        <v>330</v>
      </c>
      <c r="N119" s="207">
        <v>793</v>
      </c>
      <c r="O119" s="105"/>
      <c r="P119" s="201">
        <f t="shared" si="4"/>
        <v>49.732502344051625</v>
      </c>
      <c r="Q119" s="200">
        <f t="shared" si="5"/>
        <v>25.716639209225701</v>
      </c>
      <c r="R119" s="200">
        <f t="shared" si="6"/>
        <v>64.167606163096579</v>
      </c>
      <c r="S119" s="199">
        <f t="shared" si="7"/>
        <v>41.614123581336699</v>
      </c>
      <c r="T119" s="108"/>
      <c r="U119" s="109"/>
      <c r="V119" s="109"/>
    </row>
    <row r="120" spans="1:22" x14ac:dyDescent="0.3">
      <c r="A120" s="101" t="s">
        <v>192</v>
      </c>
      <c r="B120" s="102" t="s">
        <v>193</v>
      </c>
      <c r="C120" s="103" t="s">
        <v>256</v>
      </c>
      <c r="D120" s="211">
        <v>721</v>
      </c>
      <c r="E120" s="212">
        <v>1931</v>
      </c>
      <c r="F120" s="104"/>
      <c r="G120" s="207">
        <v>509</v>
      </c>
      <c r="H120" s="207">
        <v>1578</v>
      </c>
      <c r="I120" s="107"/>
      <c r="J120" s="207">
        <v>123</v>
      </c>
      <c r="K120" s="207">
        <v>175</v>
      </c>
      <c r="L120" s="110"/>
      <c r="M120" s="207">
        <v>26</v>
      </c>
      <c r="N120" s="207">
        <v>45</v>
      </c>
      <c r="O120" s="105"/>
      <c r="P120" s="201">
        <f t="shared" si="4"/>
        <v>37.338166752977727</v>
      </c>
      <c r="Q120" s="200">
        <f t="shared" si="5"/>
        <v>32.256020278833972</v>
      </c>
      <c r="R120" s="200">
        <f t="shared" si="6"/>
        <v>70.285714285714278</v>
      </c>
      <c r="S120" s="199">
        <f t="shared" si="7"/>
        <v>57.777777777777771</v>
      </c>
      <c r="T120" s="108"/>
      <c r="U120" s="109"/>
      <c r="V120" s="109"/>
    </row>
    <row r="121" spans="1:22" x14ac:dyDescent="0.3">
      <c r="A121" s="101" t="s">
        <v>196</v>
      </c>
      <c r="B121" s="102" t="s">
        <v>300</v>
      </c>
      <c r="C121" s="103" t="s">
        <v>254</v>
      </c>
      <c r="D121" s="211">
        <v>18322</v>
      </c>
      <c r="E121" s="212">
        <v>31305</v>
      </c>
      <c r="F121" s="104"/>
      <c r="G121" s="207">
        <v>1555</v>
      </c>
      <c r="H121" s="207">
        <v>8307</v>
      </c>
      <c r="I121" s="107"/>
      <c r="J121" s="207">
        <v>15392</v>
      </c>
      <c r="K121" s="207">
        <v>19914</v>
      </c>
      <c r="L121" s="110"/>
      <c r="M121" s="207">
        <v>1145</v>
      </c>
      <c r="N121" s="207">
        <v>2711</v>
      </c>
      <c r="O121" s="105"/>
      <c r="P121" s="201">
        <f t="shared" si="4"/>
        <v>58.52739179044881</v>
      </c>
      <c r="Q121" s="200">
        <f t="shared" si="5"/>
        <v>18.719152521969423</v>
      </c>
      <c r="R121" s="200">
        <f t="shared" si="6"/>
        <v>77.292357135683446</v>
      </c>
      <c r="S121" s="199">
        <f t="shared" si="7"/>
        <v>42.235337513832533</v>
      </c>
      <c r="T121" s="108"/>
      <c r="U121" s="109"/>
      <c r="V121" s="109"/>
    </row>
    <row r="122" spans="1:22" x14ac:dyDescent="0.3">
      <c r="A122" s="101" t="s">
        <v>200</v>
      </c>
      <c r="B122" s="102" t="s">
        <v>301</v>
      </c>
      <c r="C122" s="103" t="s">
        <v>253</v>
      </c>
      <c r="D122" s="211">
        <v>8836</v>
      </c>
      <c r="E122" s="212">
        <v>17849</v>
      </c>
      <c r="F122" s="104"/>
      <c r="G122" s="207">
        <v>3165</v>
      </c>
      <c r="H122" s="207">
        <v>9224</v>
      </c>
      <c r="I122" s="107"/>
      <c r="J122" s="207">
        <v>4457</v>
      </c>
      <c r="K122" s="207">
        <v>6273</v>
      </c>
      <c r="L122" s="110"/>
      <c r="M122" s="207">
        <v>699</v>
      </c>
      <c r="N122" s="207">
        <v>1535</v>
      </c>
      <c r="O122" s="105"/>
      <c r="P122" s="201">
        <f t="shared" si="4"/>
        <v>49.5041739032999</v>
      </c>
      <c r="Q122" s="200">
        <f t="shared" si="5"/>
        <v>34.31266261925412</v>
      </c>
      <c r="R122" s="200">
        <f t="shared" si="6"/>
        <v>71.050534034752104</v>
      </c>
      <c r="S122" s="199">
        <f t="shared" si="7"/>
        <v>45.537459283387619</v>
      </c>
      <c r="T122" s="108"/>
      <c r="U122" s="109"/>
      <c r="V122" s="109"/>
    </row>
    <row r="123" spans="1:22" x14ac:dyDescent="0.3">
      <c r="A123" s="101" t="s">
        <v>222</v>
      </c>
      <c r="B123" s="102" t="s">
        <v>223</v>
      </c>
      <c r="C123" s="103" t="s">
        <v>252</v>
      </c>
      <c r="D123" s="211">
        <v>5891</v>
      </c>
      <c r="E123" s="212">
        <v>19024</v>
      </c>
      <c r="F123" s="104"/>
      <c r="G123" s="207">
        <v>1476</v>
      </c>
      <c r="H123" s="207">
        <v>9054</v>
      </c>
      <c r="I123" s="107"/>
      <c r="J123" s="207">
        <v>4058</v>
      </c>
      <c r="K123" s="207">
        <v>8404</v>
      </c>
      <c r="L123" s="110"/>
      <c r="M123" s="207">
        <v>217</v>
      </c>
      <c r="N123" s="207">
        <v>828</v>
      </c>
      <c r="O123" s="105"/>
      <c r="P123" s="201">
        <f t="shared" si="4"/>
        <v>30.966148023549202</v>
      </c>
      <c r="Q123" s="200">
        <f t="shared" si="5"/>
        <v>16.302186878727635</v>
      </c>
      <c r="R123" s="200">
        <f t="shared" si="6"/>
        <v>48.286530223703004</v>
      </c>
      <c r="S123" s="199">
        <f t="shared" si="7"/>
        <v>26.207729468599034</v>
      </c>
      <c r="T123" s="108"/>
      <c r="U123" s="109"/>
      <c r="V123" s="109"/>
    </row>
    <row r="124" spans="1:22" x14ac:dyDescent="0.3">
      <c r="A124" s="101" t="s">
        <v>230</v>
      </c>
      <c r="B124" s="102" t="s">
        <v>231</v>
      </c>
      <c r="C124" s="103" t="s">
        <v>252</v>
      </c>
      <c r="D124" s="211">
        <v>27662</v>
      </c>
      <c r="E124" s="212">
        <v>93307</v>
      </c>
      <c r="F124" s="104"/>
      <c r="G124" s="207">
        <v>12802</v>
      </c>
      <c r="H124" s="207">
        <v>57570</v>
      </c>
      <c r="I124" s="107"/>
      <c r="J124" s="207">
        <v>10389</v>
      </c>
      <c r="K124" s="207">
        <v>19927</v>
      </c>
      <c r="L124" s="110"/>
      <c r="M124" s="207">
        <v>3040</v>
      </c>
      <c r="N124" s="207">
        <v>9133</v>
      </c>
      <c r="O124" s="105"/>
      <c r="P124" s="201">
        <f t="shared" si="4"/>
        <v>29.646221612526389</v>
      </c>
      <c r="Q124" s="200">
        <f t="shared" si="5"/>
        <v>22.237276359214871</v>
      </c>
      <c r="R124" s="200">
        <f t="shared" si="6"/>
        <v>52.135293822451942</v>
      </c>
      <c r="S124" s="199">
        <f t="shared" si="7"/>
        <v>33.285886346217012</v>
      </c>
      <c r="T124" s="108"/>
      <c r="U124" s="109"/>
      <c r="V124" s="109"/>
    </row>
    <row r="125" spans="1:22" x14ac:dyDescent="0.3">
      <c r="A125" s="101" t="s">
        <v>238</v>
      </c>
      <c r="B125" s="102" t="s">
        <v>239</v>
      </c>
      <c r="C125" s="103" t="s">
        <v>252</v>
      </c>
      <c r="D125" s="211">
        <v>464</v>
      </c>
      <c r="E125" s="212">
        <v>1231</v>
      </c>
      <c r="F125" s="104"/>
      <c r="G125" s="207">
        <v>179</v>
      </c>
      <c r="H125" s="207">
        <v>722</v>
      </c>
      <c r="I125" s="107"/>
      <c r="J125" s="207">
        <v>200</v>
      </c>
      <c r="K125" s="207">
        <v>295</v>
      </c>
      <c r="L125" s="110"/>
      <c r="M125" s="207">
        <v>57</v>
      </c>
      <c r="N125" s="207">
        <v>146</v>
      </c>
      <c r="O125" s="105"/>
      <c r="P125" s="201">
        <f t="shared" si="4"/>
        <v>37.692932575142166</v>
      </c>
      <c r="Q125" s="200">
        <f t="shared" si="5"/>
        <v>24.792243767313018</v>
      </c>
      <c r="R125" s="200">
        <f t="shared" si="6"/>
        <v>67.796610169491515</v>
      </c>
      <c r="S125" s="199">
        <f t="shared" si="7"/>
        <v>39.041095890410958</v>
      </c>
      <c r="T125" s="108"/>
      <c r="U125" s="109"/>
      <c r="V125" s="109"/>
    </row>
    <row r="126" spans="1:22" x14ac:dyDescent="0.3">
      <c r="A126" s="165" t="s">
        <v>240</v>
      </c>
      <c r="B126" s="166" t="s">
        <v>241</v>
      </c>
      <c r="C126" s="111" t="s">
        <v>255</v>
      </c>
      <c r="D126" s="213">
        <v>1867</v>
      </c>
      <c r="E126" s="214">
        <v>5010</v>
      </c>
      <c r="F126" s="112"/>
      <c r="G126" s="208">
        <v>1033</v>
      </c>
      <c r="H126" s="208">
        <v>3159</v>
      </c>
      <c r="I126" s="106"/>
      <c r="J126" s="208">
        <v>355</v>
      </c>
      <c r="K126" s="208">
        <v>586</v>
      </c>
      <c r="L126" s="113"/>
      <c r="M126" s="208">
        <v>454</v>
      </c>
      <c r="N126" s="208">
        <v>1275</v>
      </c>
      <c r="O126" s="114"/>
      <c r="P126" s="202">
        <f t="shared" si="4"/>
        <v>37.265469061876253</v>
      </c>
      <c r="Q126" s="203">
        <f t="shared" si="5"/>
        <v>32.700221589110477</v>
      </c>
      <c r="R126" s="203">
        <f t="shared" si="6"/>
        <v>60.580204778156997</v>
      </c>
      <c r="S126" s="204">
        <f t="shared" si="7"/>
        <v>35.607843137254903</v>
      </c>
      <c r="T126" s="108"/>
      <c r="U126" s="109"/>
      <c r="V126" s="109"/>
    </row>
    <row r="127" spans="1:22" x14ac:dyDescent="0.3">
      <c r="A127" s="115"/>
      <c r="B127" s="116"/>
      <c r="C127" s="116"/>
      <c r="D127" s="116"/>
      <c r="E127" s="116"/>
      <c r="F127" s="116"/>
      <c r="G127" s="105"/>
      <c r="H127" s="105"/>
      <c r="I127" s="107"/>
      <c r="J127" s="105"/>
      <c r="K127" s="105"/>
      <c r="L127" s="110"/>
      <c r="M127" s="105"/>
      <c r="N127" s="105"/>
      <c r="O127" s="105"/>
      <c r="Q127" s="118"/>
      <c r="R127" s="118"/>
      <c r="S127" s="107"/>
      <c r="T127" s="108"/>
      <c r="U127" s="109"/>
      <c r="V127" s="109"/>
    </row>
    <row r="128" spans="1:22" x14ac:dyDescent="0.3">
      <c r="A128" s="115" t="s">
        <v>251</v>
      </c>
      <c r="B128" s="96"/>
      <c r="C128" s="306"/>
      <c r="D128" s="306"/>
      <c r="E128" s="306"/>
      <c r="F128" s="306"/>
      <c r="G128" s="105"/>
      <c r="H128" s="105"/>
      <c r="I128" s="107"/>
      <c r="J128" s="105"/>
      <c r="K128" s="105"/>
      <c r="L128" s="110"/>
      <c r="M128" s="105"/>
      <c r="N128" s="105"/>
      <c r="O128" s="105"/>
      <c r="Q128" s="118"/>
      <c r="R128" s="118"/>
      <c r="S128" s="107"/>
      <c r="T128" s="108"/>
      <c r="U128" s="109"/>
      <c r="V128" s="109"/>
    </row>
    <row r="129" spans="1:22" x14ac:dyDescent="0.3">
      <c r="A129" s="306" t="s">
        <v>254</v>
      </c>
      <c r="B129" s="96"/>
      <c r="C129" s="306"/>
      <c r="D129" s="308">
        <f>D10+D21+D23+D25+D27+D31+D34+D38+D43+D48+D49+D54+D56+D57+D61+D65+D68+D70+D71+D76+D77+D82+D98+D111+D118+D121</f>
        <v>85415</v>
      </c>
      <c r="E129" s="308">
        <f>E10+E21+E23+E25+E27+E31+E34+E38+E43+E48+E49+E54+E56+E57+E61+E65+E68+E70+E71+E76+E77+E82+E98+E111+E118+E121</f>
        <v>263081</v>
      </c>
      <c r="F129" s="306"/>
      <c r="G129" s="308">
        <f>G10+G21+G23+G25+G27+G31+G34+G38+G43+G48+G49+G54+G56+G57+G61+G65+G68+G70+G71+G76+G77+G82+G98+G111+G118+G121</f>
        <v>29474</v>
      </c>
      <c r="H129" s="308">
        <f>H10+H21+H23+H25+H27+H31+H34+H38+H43+H48+H49+H54+H56+H57+H61+H65+H68+H70+H71+H76+H77+H82+H98+H111+H118+H121</f>
        <v>155169</v>
      </c>
      <c r="I129" s="107"/>
      <c r="J129" s="308">
        <f>J10+J21+J23+J25+J27+J31+J34+J38+J43+J48+J49+J54+J56+J57+J61+J65+J68+J70+J71+J76+J77+J82+J98+J111+J118+J121</f>
        <v>47586</v>
      </c>
      <c r="K129" s="308">
        <f>K10+K21+K23+K25+K27+K31+K34+K38+K43+K48+K49+K54+K56+K57+K61+K65+K68+K70+K71+K76+K77+K82+K98+K111+K118+K121</f>
        <v>77872</v>
      </c>
      <c r="L129" s="110"/>
      <c r="M129" s="308">
        <f>M10+M21+M23+M25+M27+M31+M34+M38+M43+M48+M49+M54+M56+M57+M61+M65+M68+M70+M71+M76+M77+M82+M98+M111+M118+M121</f>
        <v>5871</v>
      </c>
      <c r="N129" s="308">
        <f>N10+N21+N23+N25+N27+N31+N34+N38+N43+N48+N49+N54+N56+N57+N61+N65+N68+N70+N71+N76+N77+N82+N98+N111+N118+N121</f>
        <v>18288</v>
      </c>
      <c r="O129" s="105"/>
      <c r="P129" s="309">
        <f>(D129/E129)*100</f>
        <v>32.467186912015691</v>
      </c>
      <c r="Q129" s="310">
        <f>(G129/H129)*100</f>
        <v>18.994773440571247</v>
      </c>
      <c r="R129" s="310">
        <f>(J129/K129)*100</f>
        <v>61.107972056708448</v>
      </c>
      <c r="S129" s="311">
        <f>IF(N129&lt;1,"NA", ((M129/N129)*100))</f>
        <v>32.10301837270341</v>
      </c>
      <c r="T129" s="108"/>
      <c r="U129" s="109"/>
      <c r="V129" s="109"/>
    </row>
    <row r="130" spans="1:22" x14ac:dyDescent="0.3">
      <c r="A130" s="306" t="s">
        <v>252</v>
      </c>
      <c r="B130" s="96"/>
      <c r="C130" s="306"/>
      <c r="D130" s="308">
        <f>D7+D19+D33+D42+D46+D52+D53+D63+D69+D78+D90+D93+D94+D124+D101+D105+D107+D110+D115+D116+D119+D123+D125</f>
        <v>129637</v>
      </c>
      <c r="E130" s="308">
        <f>E7+E19+E33+E42+E46+E52+E53+E63+E69+E78+E90+E93+E94+E124+E101+E105+E107+E110+E115+E116+E119+E123+E125</f>
        <v>368826</v>
      </c>
      <c r="F130" s="306"/>
      <c r="G130" s="308">
        <f>G7+G19+G33+G42+G46+G52+G53+G63+G69+G78+G90+G93+G94+G124+G101+G105+G107+G110+G115+G116+G119+G123+G125</f>
        <v>42187</v>
      </c>
      <c r="H130" s="308">
        <f>H7+H19+H33+H42+H46+H52+H53+H63+H69+H78+H90+H93+H94+H124+H101+H105+H107+H110+H115+H116+H119+H123+H125</f>
        <v>196948</v>
      </c>
      <c r="I130" s="107"/>
      <c r="J130" s="308">
        <f>J7+J19+J33+J42+J46+J52+J53+J63+J69+J78+J90+J93+J94+J124+J101+J105+J107+J110+J115+J116+J119+J123+J125</f>
        <v>72980</v>
      </c>
      <c r="K130" s="308">
        <f>K7+K19+K33+K42+K46+K52+K53+K63+K69+K78+K90+K93+K94+K124+K101+K105+K107+K110+K115+K116+K119+K123+K125</f>
        <v>125301</v>
      </c>
      <c r="L130" s="110"/>
      <c r="M130" s="308">
        <f>M7+M19+M33+M42+M46+M52+M53+M63+M69+M78+M90+M93+M94+M124+M101+M105+M107+M110+M115+M116+M119+M123+M125</f>
        <v>9659</v>
      </c>
      <c r="N130" s="308">
        <f>N7+N19+N33+N42+N46+N52+N53+N63+N69+N78+N90+N93+N94+N124+N101+N105+N107+N110+N115+N116+N119+N123+N125</f>
        <v>28855</v>
      </c>
      <c r="O130" s="105"/>
      <c r="P130" s="309">
        <f>(D130/E130)*100</f>
        <v>35.148552433939038</v>
      </c>
      <c r="Q130" s="310">
        <f>(G130/H130)*100</f>
        <v>21.420374921299022</v>
      </c>
      <c r="R130" s="310">
        <f>(J130/K130)*100</f>
        <v>58.243749052282098</v>
      </c>
      <c r="S130" s="311">
        <f>IF(N130&lt;1,"NA", ((M130/N130)*100))</f>
        <v>33.474267891180034</v>
      </c>
      <c r="T130" s="108"/>
      <c r="U130" s="109"/>
      <c r="V130" s="109"/>
    </row>
    <row r="131" spans="1:22" x14ac:dyDescent="0.3">
      <c r="A131" s="306" t="s">
        <v>255</v>
      </c>
      <c r="B131" s="96"/>
      <c r="C131" s="306"/>
      <c r="D131" s="308">
        <f>D13+D28+D30+D35+D36+D40+D45+D55+D59+D60+D62+D72+D73+D79+D81+D85+D88+D91+D92+D96+D102+D108+D113+D114+D126</f>
        <v>133285</v>
      </c>
      <c r="E131" s="308">
        <f>E13+E28+E30+E35+E36+E40+E45+E55+E59+E60+E62+E72+E73+E79+E81+E85+E88+E91+E92+E96+E102+E108+E113+E114+E126</f>
        <v>692685</v>
      </c>
      <c r="F131" s="306"/>
      <c r="G131" s="308">
        <f>G13+G28+G30+G35+G36+G40+G45+G55+G59+G60+G62+G72+G73+G79+G81+G85+G88+G91+G92+G96+G102+G108+G113+G114+G126</f>
        <v>69868</v>
      </c>
      <c r="H131" s="308">
        <f>H13+H28+H30+H35+H36+H40+H45+H55+H59+H60+H62+H72+H73+H79+H81+H85+H88+H91+H92+H96+H102+H108+H113+H114+H126</f>
        <v>443527</v>
      </c>
      <c r="I131" s="107"/>
      <c r="J131" s="308">
        <f>J13+J28+J30+J35+J36+J40+J45+J55+J59+J60+J62+J72+J73+J79+J81+J85+J88+J91+J92+J96+J102+J108+J113+J114+J126</f>
        <v>32405</v>
      </c>
      <c r="K131" s="308">
        <f>K13+K28+K30+K35+K36+K40+K45+K55+K59+K60+K62+K72+K73+K79+K81+K85+K88+K91+K92+K96+K102+K108+K113+K114+K126</f>
        <v>79293</v>
      </c>
      <c r="L131" s="110"/>
      <c r="M131" s="308">
        <f>M13+M28+M30+M35+M36+M40+M45+M55+M59+M60+M62+M72+M73+M79+M81+M85+M88+M91+M92+M96+M102+M108+M113+M114+M126</f>
        <v>29151</v>
      </c>
      <c r="N131" s="308">
        <f>N13+N28+N30+N35+N36+N40+N45+N55+N59+N60+N62+N72+N73+N79+N81+N85+N88+N91+N92+N96+N102+N108+N113+N114+N126</f>
        <v>113332</v>
      </c>
      <c r="O131" s="105"/>
      <c r="P131" s="309">
        <f>(D131/E131)*100</f>
        <v>19.241791001681861</v>
      </c>
      <c r="Q131" s="310">
        <f>(G131/H131)*100</f>
        <v>15.752817754048795</v>
      </c>
      <c r="R131" s="310">
        <f>(J131/K131)*100</f>
        <v>40.867415787017769</v>
      </c>
      <c r="S131" s="311">
        <f>IF(N131&lt;1,"NA", ((M131/N131)*100))</f>
        <v>25.721773197331732</v>
      </c>
      <c r="T131" s="108"/>
      <c r="U131" s="109"/>
      <c r="V131" s="109"/>
    </row>
    <row r="132" spans="1:22" x14ac:dyDescent="0.3">
      <c r="A132" s="306" t="s">
        <v>253</v>
      </c>
      <c r="B132" s="96"/>
      <c r="C132" s="306"/>
      <c r="D132" s="308">
        <f>D8+D9+D11+D12+D14+D15+D16+D18+D22+D26+D29+D39+D47+D50+D51+D64+D67+D75+D83+D84+D104+D106+D112+D122</f>
        <v>67810</v>
      </c>
      <c r="E132" s="308">
        <f>E8+E9+E11+E12+E14+E15+E16+E18+E22+E26+E29+E39+E47+E50+E51+E64+E67+E75+E83+E84+E104+E106+E112+E122</f>
        <v>210526</v>
      </c>
      <c r="F132" s="306"/>
      <c r="G132" s="308">
        <f>G8+G9+G11+G12+G14+G15+G16+G18+G22+G26+G29+G39+G47+G50+G51+G64+G67+G75+G83+G84+G104+G106+G112+G122</f>
        <v>36951</v>
      </c>
      <c r="H132" s="308">
        <f>H8+H9+H11+H12+H14+H15+H16+H18+H22+H26+H29+H39+H47+H50+H51+H64+H67+H75+H83+H84+H104+H106+H112+H122</f>
        <v>155662</v>
      </c>
      <c r="I132" s="107"/>
      <c r="J132" s="308">
        <f>J8+J9+J11+J12+J14+J15+J16+J18+J22+J26+J29+J39+J47+J50+J51+J64+J67+J75+J83+J84+J104+J106+J112+J122</f>
        <v>24207</v>
      </c>
      <c r="K132" s="308">
        <f>K8+K9+K11+K12+K14+K15+K16+K18+K22+K26+K29+K39+K47+K50+K51+K64+K67+K75+K83+K84+K104+K106+K112+K122</f>
        <v>37258</v>
      </c>
      <c r="L132" s="110"/>
      <c r="M132" s="308">
        <f>M8+M9+M11+M12+M14+M15+M16+M18+M22+M26+M29+M39+M47+M50+M51+M64+M67+M75+M83+M84+M104+M106+M112+M122</f>
        <v>3539</v>
      </c>
      <c r="N132" s="308">
        <f>N8+N9+N11+N12+N14+N15+N16+N18+N22+N26+N29+N39+N47+N50+N51+N64+N67+N75+N83+N84+N104+N106+N112+N122</f>
        <v>10270</v>
      </c>
      <c r="O132" s="105"/>
      <c r="P132" s="309">
        <f>(D132/E132)*100</f>
        <v>32.209798314697473</v>
      </c>
      <c r="Q132" s="310">
        <f>(G132/H132)*100</f>
        <v>23.737970731456617</v>
      </c>
      <c r="R132" s="310">
        <f>(J132/K132)*100</f>
        <v>64.971281335552106</v>
      </c>
      <c r="S132" s="311">
        <f>IF(N132&lt;1,"NA", ((M132/N132)*100))</f>
        <v>34.459591041869523</v>
      </c>
      <c r="T132" s="108"/>
      <c r="U132" s="109"/>
      <c r="V132" s="109"/>
    </row>
    <row r="133" spans="1:22" x14ac:dyDescent="0.3">
      <c r="A133" s="306" t="s">
        <v>256</v>
      </c>
      <c r="B133" s="96"/>
      <c r="C133" s="306"/>
      <c r="D133" s="308">
        <f>D17+D20+D24+D32+D37+D41+D44+D58+D66+D74+D80+D86+D87+D89+D95+D97+D99+D100+D103+D109+D117+D120</f>
        <v>28145</v>
      </c>
      <c r="E133" s="308">
        <f>E17+E20+E24+E32+E37+E41+E44+E58+E66+E74+E80+E86+E87+E89+E95+E97+E99+E100+E103+E109+E117+E120</f>
        <v>100242</v>
      </c>
      <c r="F133" s="306"/>
      <c r="G133" s="308">
        <f>G17+G20+G24+G32+G37+G41+G44+G58+G66+G74+G80+G86+G87+G89+G95+G97+G99+G100+G103+G109+G117+G120</f>
        <v>24955</v>
      </c>
      <c r="H133" s="308">
        <f>H17+H20+H24+H32+H37+H41+H44+H58+H66+H74+H80+H86+H87+H89+H95+H97+H99+H100+H103+H109+H117+H120</f>
        <v>93350</v>
      </c>
      <c r="I133" s="107"/>
      <c r="J133" s="308">
        <f>J17+J20+J24+J32+J37+J41+J44+J58+J66+J74+J80+J86+J87+J89+J95+J97+J99+J100+J103+J109+J117+J120</f>
        <v>1431</v>
      </c>
      <c r="K133" s="308">
        <f>K17+K20+K24+K32+K37+K41+K44+K58+K66+K74+K80+K86+K87+K89+K95+K97+K99+K100+K103+K109+K117+K120</f>
        <v>2353</v>
      </c>
      <c r="L133" s="110"/>
      <c r="M133" s="308">
        <f>M17+M20+M24+M32+M37+M41+M44+M58+M66+M74+M80+M86+M87+M89+M95+M97+M99+M100+M103+M109+M117+M120</f>
        <v>1039</v>
      </c>
      <c r="N133" s="308">
        <f>N17+N20+N24+N32+N37+N41+N44+N58+N66+N74+N80+N86+N87+N89+N95+N97+N99+N100+N103+N109+N117+N120</f>
        <v>2765</v>
      </c>
      <c r="O133" s="105"/>
      <c r="P133" s="309">
        <f>(D133/E133)*100</f>
        <v>28.077053530456297</v>
      </c>
      <c r="Q133" s="310">
        <f>(G133/H133)*100</f>
        <v>26.732726298875203</v>
      </c>
      <c r="R133" s="310">
        <f>(J133/K133)*100</f>
        <v>60.815979600509984</v>
      </c>
      <c r="S133" s="311">
        <f>IF(N133&lt;1,"NA", ((M133/N133)*100))</f>
        <v>37.576853526220617</v>
      </c>
      <c r="T133" s="108"/>
      <c r="U133" s="109"/>
      <c r="V133" s="109"/>
    </row>
    <row r="134" spans="1:22" x14ac:dyDescent="0.3">
      <c r="A134" s="115"/>
      <c r="B134" s="306"/>
      <c r="C134" s="306"/>
      <c r="D134" s="306"/>
      <c r="E134" s="306"/>
      <c r="F134" s="306"/>
      <c r="G134" s="105"/>
      <c r="H134" s="105"/>
      <c r="I134" s="107"/>
      <c r="J134" s="105"/>
      <c r="K134" s="105"/>
      <c r="L134" s="110"/>
      <c r="M134" s="105"/>
      <c r="N134" s="105"/>
      <c r="O134" s="105"/>
      <c r="Q134" s="118"/>
      <c r="R134" s="118"/>
      <c r="S134" s="107"/>
      <c r="T134" s="108"/>
      <c r="U134" s="109"/>
      <c r="V134" s="109"/>
    </row>
    <row r="135" spans="1:22" ht="68.25" customHeight="1" x14ac:dyDescent="0.3">
      <c r="A135" s="178"/>
      <c r="B135" s="178"/>
      <c r="C135" s="178"/>
      <c r="D135" s="2720" t="s">
        <v>488</v>
      </c>
      <c r="E135" s="2720"/>
      <c r="F135" s="2720"/>
      <c r="G135" s="2720"/>
      <c r="H135" s="2720"/>
      <c r="I135" s="2720"/>
      <c r="J135" s="2720"/>
      <c r="K135" s="2720"/>
      <c r="L135" s="2720"/>
      <c r="M135" s="2720"/>
      <c r="N135" s="119"/>
      <c r="O135" s="119"/>
      <c r="P135" s="120"/>
      <c r="Q135" s="120"/>
      <c r="R135" s="120"/>
    </row>
    <row r="136" spans="1:22" ht="18" customHeight="1" x14ac:dyDescent="0.3">
      <c r="B136" s="121"/>
      <c r="C136" s="121"/>
      <c r="D136" s="2794" t="s">
        <v>248</v>
      </c>
      <c r="E136" s="2794"/>
      <c r="F136" s="2794"/>
      <c r="G136" s="2794"/>
      <c r="H136" s="2794"/>
      <c r="I136" s="2794"/>
      <c r="J136" s="2794"/>
      <c r="K136" s="2794"/>
      <c r="L136" s="2794"/>
      <c r="M136" s="2794"/>
      <c r="N136" s="121"/>
      <c r="O136" s="121"/>
      <c r="P136" s="122"/>
      <c r="Q136" s="122"/>
      <c r="R136" s="122"/>
    </row>
    <row r="137" spans="1:22" ht="18.75" customHeight="1" x14ac:dyDescent="0.3">
      <c r="B137" s="96"/>
      <c r="C137" s="123"/>
      <c r="D137" s="124" t="s">
        <v>249</v>
      </c>
      <c r="E137" s="2795" t="s">
        <v>250</v>
      </c>
      <c r="F137" s="2795"/>
      <c r="G137" s="2795"/>
      <c r="H137" s="123"/>
    </row>
  </sheetData>
  <mergeCells count="9">
    <mergeCell ref="P4:S4"/>
    <mergeCell ref="D135:M135"/>
    <mergeCell ref="D136:M136"/>
    <mergeCell ref="E137:G137"/>
    <mergeCell ref="A1:K1"/>
    <mergeCell ref="D4:E4"/>
    <mergeCell ref="G4:H4"/>
    <mergeCell ref="J4:K4"/>
    <mergeCell ref="M4:N4"/>
  </mergeCells>
  <hyperlinks>
    <hyperlink ref="E137" r:id="rId1"/>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
  <sheetViews>
    <sheetView workbookViewId="0">
      <pane ySplit="6" topLeftCell="A7" activePane="bottomLeft" state="frozen"/>
      <selection pane="bottomLeft" activeCell="A129" sqref="A129:A133"/>
    </sheetView>
  </sheetViews>
  <sheetFormatPr defaultColWidth="9" defaultRowHeight="13.8" x14ac:dyDescent="0.3"/>
  <cols>
    <col min="1" max="1" width="7.59765625" style="217" customWidth="1"/>
    <col min="2" max="2" width="26.296875" style="215" customWidth="1"/>
    <col min="3" max="3" width="9.19921875" style="215" customWidth="1"/>
    <col min="4" max="4" width="1.69921875" style="215" customWidth="1"/>
    <col min="5" max="7" width="10.796875" style="216" customWidth="1"/>
    <col min="8" max="8" width="1.296875" style="216" customWidth="1"/>
    <col min="9" max="10" width="13.5" style="217" customWidth="1"/>
    <col min="11" max="11" width="2.59765625" style="217" customWidth="1"/>
    <col min="12" max="14" width="10.296875" style="217" customWidth="1"/>
    <col min="15" max="15" width="2.09765625" style="217" customWidth="1"/>
    <col min="16" max="17" width="10.296875" style="217" customWidth="1"/>
    <col min="18" max="16384" width="9" style="217"/>
  </cols>
  <sheetData>
    <row r="1" spans="1:17" ht="15.6" x14ac:dyDescent="0.3">
      <c r="A1" s="64" t="s">
        <v>503</v>
      </c>
    </row>
    <row r="3" spans="1:17" x14ac:dyDescent="0.3">
      <c r="B3" s="217"/>
      <c r="C3" s="217"/>
      <c r="D3" s="217"/>
    </row>
    <row r="4" spans="1:17" ht="44.25" customHeight="1" x14ac:dyDescent="0.3">
      <c r="E4" s="2797" t="s">
        <v>504</v>
      </c>
      <c r="F4" s="2797"/>
      <c r="G4" s="2797"/>
      <c r="H4" s="164"/>
      <c r="I4" s="2797" t="s">
        <v>505</v>
      </c>
      <c r="J4" s="2797"/>
      <c r="L4" s="2797" t="s">
        <v>512</v>
      </c>
      <c r="M4" s="2797"/>
      <c r="N4" s="2797"/>
      <c r="O4" s="164"/>
      <c r="P4" s="2797" t="s">
        <v>513</v>
      </c>
      <c r="Q4" s="2797"/>
    </row>
    <row r="5" spans="1:17" x14ac:dyDescent="0.3">
      <c r="A5" s="218" t="s">
        <v>4</v>
      </c>
      <c r="B5" s="219" t="s">
        <v>506</v>
      </c>
      <c r="C5" s="219" t="s">
        <v>251</v>
      </c>
      <c r="D5" s="220"/>
      <c r="E5" s="175" t="s">
        <v>269</v>
      </c>
      <c r="F5" s="176" t="s">
        <v>499</v>
      </c>
      <c r="G5" s="174" t="s">
        <v>507</v>
      </c>
      <c r="H5" s="164"/>
      <c r="I5" s="175" t="s">
        <v>499</v>
      </c>
      <c r="J5" s="174" t="s">
        <v>507</v>
      </c>
      <c r="L5" s="175" t="s">
        <v>269</v>
      </c>
      <c r="M5" s="176" t="s">
        <v>499</v>
      </c>
      <c r="N5" s="174" t="s">
        <v>507</v>
      </c>
      <c r="O5" s="164"/>
      <c r="P5" s="175" t="s">
        <v>499</v>
      </c>
      <c r="Q5" s="174" t="s">
        <v>507</v>
      </c>
    </row>
    <row r="6" spans="1:17" x14ac:dyDescent="0.3">
      <c r="A6" s="221" t="s">
        <v>8</v>
      </c>
      <c r="B6" s="222" t="s">
        <v>9</v>
      </c>
      <c r="C6" s="222"/>
      <c r="D6" s="223"/>
      <c r="E6" s="224">
        <v>1688168</v>
      </c>
      <c r="F6" s="225">
        <v>1534844</v>
      </c>
      <c r="G6" s="226">
        <v>153324</v>
      </c>
      <c r="H6" s="164"/>
      <c r="I6" s="227">
        <f>F6/E6</f>
        <v>0.90917728567298994</v>
      </c>
      <c r="J6" s="228">
        <f>G6/E6</f>
        <v>9.0822714327010112E-2</v>
      </c>
      <c r="K6" s="65"/>
      <c r="L6" s="224">
        <v>698173</v>
      </c>
      <c r="M6" s="225">
        <v>644610</v>
      </c>
      <c r="N6" s="226">
        <v>53563</v>
      </c>
      <c r="O6" s="229"/>
      <c r="P6" s="227">
        <f>M6/L6</f>
        <v>0.92328119248381135</v>
      </c>
      <c r="Q6" s="228">
        <f>N6/L6</f>
        <v>7.6718807516188675E-2</v>
      </c>
    </row>
    <row r="7" spans="1:17" x14ac:dyDescent="0.3">
      <c r="A7" s="230" t="s">
        <v>10</v>
      </c>
      <c r="B7" s="231" t="s">
        <v>11</v>
      </c>
      <c r="C7" s="232" t="s">
        <v>252</v>
      </c>
      <c r="D7" s="232"/>
      <c r="E7" s="233">
        <v>7353</v>
      </c>
      <c r="F7" s="234">
        <v>6603</v>
      </c>
      <c r="G7" s="235">
        <v>750</v>
      </c>
      <c r="I7" s="236">
        <f t="shared" ref="I7:I70" si="0">F7/E7</f>
        <v>0.89800081599347203</v>
      </c>
      <c r="J7" s="237">
        <f t="shared" ref="J7:J70" si="1">G7/E7</f>
        <v>0.10199918400652795</v>
      </c>
      <c r="L7" s="238">
        <v>2269</v>
      </c>
      <c r="M7" s="238">
        <v>1955</v>
      </c>
      <c r="N7" s="238">
        <v>314</v>
      </c>
      <c r="P7" s="239">
        <f t="shared" ref="P7:P70" si="2">M7/L7</f>
        <v>0.86161304539444694</v>
      </c>
      <c r="Q7" s="239">
        <f t="shared" ref="Q7:Q70" si="3">N7/L7</f>
        <v>0.13838695460555311</v>
      </c>
    </row>
    <row r="8" spans="1:17" x14ac:dyDescent="0.3">
      <c r="A8" s="230" t="s">
        <v>12</v>
      </c>
      <c r="B8" s="231" t="s">
        <v>13</v>
      </c>
      <c r="C8" s="232" t="s">
        <v>253</v>
      </c>
      <c r="D8" s="232"/>
      <c r="E8" s="233">
        <v>21565</v>
      </c>
      <c r="F8" s="234">
        <v>19600</v>
      </c>
      <c r="G8" s="235">
        <v>1965</v>
      </c>
      <c r="I8" s="236">
        <f t="shared" si="0"/>
        <v>0.90888012984001854</v>
      </c>
      <c r="J8" s="237">
        <f t="shared" si="1"/>
        <v>9.111987015998145E-2</v>
      </c>
      <c r="L8" s="238">
        <v>8644</v>
      </c>
      <c r="M8" s="238">
        <v>8018</v>
      </c>
      <c r="N8" s="238">
        <v>626</v>
      </c>
      <c r="P8" s="239">
        <f t="shared" si="2"/>
        <v>0.92757982415548357</v>
      </c>
      <c r="Q8" s="239">
        <f t="shared" si="3"/>
        <v>7.2420175844516432E-2</v>
      </c>
    </row>
    <row r="9" spans="1:17" x14ac:dyDescent="0.3">
      <c r="A9" s="230" t="s">
        <v>16</v>
      </c>
      <c r="B9" s="231" t="s">
        <v>285</v>
      </c>
      <c r="C9" s="232" t="s">
        <v>253</v>
      </c>
      <c r="D9" s="232"/>
      <c r="E9" s="233">
        <v>5221</v>
      </c>
      <c r="F9" s="234">
        <v>4691</v>
      </c>
      <c r="G9" s="235">
        <v>530</v>
      </c>
      <c r="I9" s="236">
        <f t="shared" si="0"/>
        <v>0.89848687990806364</v>
      </c>
      <c r="J9" s="237">
        <f t="shared" si="1"/>
        <v>0.10151312009193642</v>
      </c>
      <c r="L9" s="238">
        <v>1779</v>
      </c>
      <c r="M9" s="238">
        <v>1555</v>
      </c>
      <c r="N9" s="238">
        <v>224</v>
      </c>
      <c r="P9" s="239">
        <f t="shared" si="2"/>
        <v>0.87408656548622821</v>
      </c>
      <c r="Q9" s="239">
        <f t="shared" si="3"/>
        <v>0.12591343451377179</v>
      </c>
    </row>
    <row r="10" spans="1:17" x14ac:dyDescent="0.3">
      <c r="A10" s="230" t="s">
        <v>18</v>
      </c>
      <c r="B10" s="231" t="s">
        <v>19</v>
      </c>
      <c r="C10" s="232" t="s">
        <v>254</v>
      </c>
      <c r="D10" s="232"/>
      <c r="E10" s="233">
        <v>3038</v>
      </c>
      <c r="F10" s="234">
        <v>2770</v>
      </c>
      <c r="G10" s="235">
        <v>268</v>
      </c>
      <c r="I10" s="236">
        <f t="shared" si="0"/>
        <v>0.91178406846609616</v>
      </c>
      <c r="J10" s="237">
        <f t="shared" si="1"/>
        <v>8.8215931533903891E-2</v>
      </c>
      <c r="L10" s="238">
        <v>1040</v>
      </c>
      <c r="M10" s="238">
        <v>937</v>
      </c>
      <c r="N10" s="238">
        <v>103</v>
      </c>
      <c r="P10" s="239">
        <f t="shared" si="2"/>
        <v>0.90096153846153848</v>
      </c>
      <c r="Q10" s="239">
        <f t="shared" si="3"/>
        <v>9.9038461538461534E-2</v>
      </c>
    </row>
    <row r="11" spans="1:17" x14ac:dyDescent="0.3">
      <c r="A11" s="230" t="s">
        <v>20</v>
      </c>
      <c r="B11" s="231" t="s">
        <v>21</v>
      </c>
      <c r="C11" s="232" t="s">
        <v>253</v>
      </c>
      <c r="D11" s="232"/>
      <c r="E11" s="233">
        <v>7187</v>
      </c>
      <c r="F11" s="234">
        <v>6499</v>
      </c>
      <c r="G11" s="235">
        <v>688</v>
      </c>
      <c r="I11" s="236">
        <f t="shared" si="0"/>
        <v>0.90427160150271324</v>
      </c>
      <c r="J11" s="237">
        <f t="shared" si="1"/>
        <v>9.5728398497286774E-2</v>
      </c>
      <c r="L11" s="238">
        <v>2536</v>
      </c>
      <c r="M11" s="238">
        <v>2238</v>
      </c>
      <c r="N11" s="238">
        <v>298</v>
      </c>
      <c r="P11" s="239">
        <f t="shared" si="2"/>
        <v>0.88249211356466872</v>
      </c>
      <c r="Q11" s="239">
        <f t="shared" si="3"/>
        <v>0.11750788643533124</v>
      </c>
    </row>
    <row r="12" spans="1:17" x14ac:dyDescent="0.3">
      <c r="A12" s="230" t="s">
        <v>22</v>
      </c>
      <c r="B12" s="231" t="s">
        <v>23</v>
      </c>
      <c r="C12" s="232" t="s">
        <v>253</v>
      </c>
      <c r="D12" s="232"/>
      <c r="E12" s="233">
        <v>3614</v>
      </c>
      <c r="F12" s="234">
        <v>3301</v>
      </c>
      <c r="G12" s="235">
        <v>313</v>
      </c>
      <c r="I12" s="236">
        <f t="shared" si="0"/>
        <v>0.91339236303265081</v>
      </c>
      <c r="J12" s="237">
        <f t="shared" si="1"/>
        <v>8.6607636967349202E-2</v>
      </c>
      <c r="L12" s="238">
        <v>1230</v>
      </c>
      <c r="M12" s="238">
        <v>1092</v>
      </c>
      <c r="N12" s="238">
        <v>138</v>
      </c>
      <c r="P12" s="239">
        <f t="shared" si="2"/>
        <v>0.8878048780487805</v>
      </c>
      <c r="Q12" s="239">
        <f t="shared" si="3"/>
        <v>0.11219512195121951</v>
      </c>
    </row>
    <row r="13" spans="1:17" x14ac:dyDescent="0.3">
      <c r="A13" s="230" t="s">
        <v>24</v>
      </c>
      <c r="B13" s="231" t="s">
        <v>25</v>
      </c>
      <c r="C13" s="232" t="s">
        <v>255</v>
      </c>
      <c r="D13" s="232"/>
      <c r="E13" s="233">
        <v>38502</v>
      </c>
      <c r="F13" s="234">
        <v>33218</v>
      </c>
      <c r="G13" s="235">
        <v>5284</v>
      </c>
      <c r="I13" s="236">
        <f t="shared" si="0"/>
        <v>0.86276037608435929</v>
      </c>
      <c r="J13" s="237">
        <f t="shared" si="1"/>
        <v>0.13723962391564073</v>
      </c>
      <c r="L13" s="238">
        <v>14733</v>
      </c>
      <c r="M13" s="238">
        <v>14228</v>
      </c>
      <c r="N13" s="238">
        <v>505</v>
      </c>
      <c r="P13" s="239">
        <f t="shared" si="2"/>
        <v>0.96572320640738474</v>
      </c>
      <c r="Q13" s="239">
        <f t="shared" si="3"/>
        <v>3.4276793592615221E-2</v>
      </c>
    </row>
    <row r="14" spans="1:17" x14ac:dyDescent="0.3">
      <c r="A14" s="230" t="s">
        <v>26</v>
      </c>
      <c r="B14" s="231" t="s">
        <v>547</v>
      </c>
      <c r="C14" s="232" t="s">
        <v>253</v>
      </c>
      <c r="D14" s="232"/>
      <c r="E14" s="233">
        <v>27621</v>
      </c>
      <c r="F14" s="234">
        <v>24834</v>
      </c>
      <c r="G14" s="235">
        <v>2787</v>
      </c>
      <c r="I14" s="236">
        <f t="shared" si="0"/>
        <v>0.89909851200173785</v>
      </c>
      <c r="J14" s="237">
        <f t="shared" si="1"/>
        <v>0.10090148799826219</v>
      </c>
      <c r="L14" s="238">
        <v>9620</v>
      </c>
      <c r="M14" s="238">
        <v>8571</v>
      </c>
      <c r="N14" s="238">
        <v>1049</v>
      </c>
      <c r="P14" s="239">
        <f t="shared" si="2"/>
        <v>0.89095634095634091</v>
      </c>
      <c r="Q14" s="239">
        <f t="shared" si="3"/>
        <v>0.10904365904365905</v>
      </c>
    </row>
    <row r="15" spans="1:17" x14ac:dyDescent="0.3">
      <c r="A15" s="230" t="s">
        <v>27</v>
      </c>
      <c r="B15" s="231" t="s">
        <v>28</v>
      </c>
      <c r="C15" s="232" t="s">
        <v>253</v>
      </c>
      <c r="D15" s="232"/>
      <c r="E15" s="233">
        <v>1205</v>
      </c>
      <c r="F15" s="234">
        <v>1090</v>
      </c>
      <c r="G15" s="235">
        <v>115</v>
      </c>
      <c r="I15" s="236">
        <f t="shared" si="0"/>
        <v>0.9045643153526971</v>
      </c>
      <c r="J15" s="237">
        <f t="shared" si="1"/>
        <v>9.5435684647302899E-2</v>
      </c>
      <c r="L15" s="238">
        <v>355</v>
      </c>
      <c r="M15" s="238">
        <v>322</v>
      </c>
      <c r="N15" s="238">
        <v>33</v>
      </c>
      <c r="P15" s="239">
        <f t="shared" si="2"/>
        <v>0.90704225352112677</v>
      </c>
      <c r="Q15" s="239">
        <f t="shared" si="3"/>
        <v>9.295774647887324E-2</v>
      </c>
    </row>
    <row r="16" spans="1:17" x14ac:dyDescent="0.3">
      <c r="A16" s="230" t="s">
        <v>29</v>
      </c>
      <c r="B16" s="231" t="s">
        <v>473</v>
      </c>
      <c r="C16" s="232" t="s">
        <v>253</v>
      </c>
      <c r="D16" s="232"/>
      <c r="E16" s="233">
        <v>19414</v>
      </c>
      <c r="F16" s="234">
        <v>18072</v>
      </c>
      <c r="G16" s="235">
        <v>1342</v>
      </c>
      <c r="I16" s="236">
        <f t="shared" si="0"/>
        <v>0.93087462655815389</v>
      </c>
      <c r="J16" s="237">
        <f t="shared" si="1"/>
        <v>6.9125373441846091E-2</v>
      </c>
      <c r="L16" s="238">
        <v>6823</v>
      </c>
      <c r="M16" s="238">
        <v>6351</v>
      </c>
      <c r="N16" s="238">
        <v>472</v>
      </c>
      <c r="P16" s="239">
        <f t="shared" si="2"/>
        <v>0.93082221896526451</v>
      </c>
      <c r="Q16" s="239">
        <f t="shared" si="3"/>
        <v>6.9177781034735458E-2</v>
      </c>
    </row>
    <row r="17" spans="1:17" x14ac:dyDescent="0.3">
      <c r="A17" s="230" t="s">
        <v>30</v>
      </c>
      <c r="B17" s="231" t="s">
        <v>31</v>
      </c>
      <c r="C17" s="232" t="s">
        <v>256</v>
      </c>
      <c r="D17" s="232"/>
      <c r="E17" s="233">
        <v>1613</v>
      </c>
      <c r="F17" s="234">
        <v>1499</v>
      </c>
      <c r="G17" s="235">
        <v>114</v>
      </c>
      <c r="I17" s="236">
        <f t="shared" si="0"/>
        <v>0.92932424054556728</v>
      </c>
      <c r="J17" s="237">
        <f t="shared" si="1"/>
        <v>7.0675759454432732E-2</v>
      </c>
      <c r="L17" s="238">
        <v>486</v>
      </c>
      <c r="M17" s="238">
        <v>451</v>
      </c>
      <c r="N17" s="238">
        <v>35</v>
      </c>
      <c r="P17" s="239">
        <f t="shared" si="2"/>
        <v>0.92798353909465026</v>
      </c>
      <c r="Q17" s="239">
        <f t="shared" si="3"/>
        <v>7.2016460905349799E-2</v>
      </c>
    </row>
    <row r="18" spans="1:17" x14ac:dyDescent="0.3">
      <c r="A18" s="230" t="s">
        <v>32</v>
      </c>
      <c r="B18" s="231" t="s">
        <v>33</v>
      </c>
      <c r="C18" s="232" t="s">
        <v>253</v>
      </c>
      <c r="D18" s="232"/>
      <c r="E18" s="233">
        <v>8784</v>
      </c>
      <c r="F18" s="234">
        <v>8271</v>
      </c>
      <c r="G18" s="235">
        <v>513</v>
      </c>
      <c r="I18" s="236">
        <f t="shared" si="0"/>
        <v>0.94159836065573765</v>
      </c>
      <c r="J18" s="237">
        <f t="shared" si="1"/>
        <v>5.8401639344262297E-2</v>
      </c>
      <c r="L18" s="238">
        <v>3140</v>
      </c>
      <c r="M18" s="238">
        <v>2972</v>
      </c>
      <c r="N18" s="238">
        <v>168</v>
      </c>
      <c r="P18" s="239">
        <f t="shared" si="2"/>
        <v>0.94649681528662422</v>
      </c>
      <c r="Q18" s="239">
        <f t="shared" si="3"/>
        <v>5.3503184713375798E-2</v>
      </c>
    </row>
    <row r="19" spans="1:17" x14ac:dyDescent="0.3">
      <c r="A19" s="230" t="s">
        <v>36</v>
      </c>
      <c r="B19" s="231" t="s">
        <v>37</v>
      </c>
      <c r="C19" s="232" t="s">
        <v>252</v>
      </c>
      <c r="D19" s="232"/>
      <c r="E19" s="233">
        <v>3029</v>
      </c>
      <c r="F19" s="234">
        <v>2666</v>
      </c>
      <c r="G19" s="235">
        <v>363</v>
      </c>
      <c r="I19" s="236">
        <f t="shared" si="0"/>
        <v>0.88015846814130072</v>
      </c>
      <c r="J19" s="237">
        <f t="shared" si="1"/>
        <v>0.11984153185869924</v>
      </c>
      <c r="L19" s="238">
        <v>913</v>
      </c>
      <c r="M19" s="238">
        <v>741</v>
      </c>
      <c r="N19" s="238">
        <v>172</v>
      </c>
      <c r="P19" s="239">
        <f t="shared" si="2"/>
        <v>0.81161007667031759</v>
      </c>
      <c r="Q19" s="239">
        <f t="shared" si="3"/>
        <v>0.18838992332968238</v>
      </c>
    </row>
    <row r="20" spans="1:17" x14ac:dyDescent="0.3">
      <c r="A20" s="230" t="s">
        <v>38</v>
      </c>
      <c r="B20" s="231" t="s">
        <v>39</v>
      </c>
      <c r="C20" s="232" t="s">
        <v>256</v>
      </c>
      <c r="D20" s="232"/>
      <c r="E20" s="233">
        <v>5701</v>
      </c>
      <c r="F20" s="234">
        <v>5346</v>
      </c>
      <c r="G20" s="235">
        <v>355</v>
      </c>
      <c r="I20" s="236">
        <f t="shared" si="0"/>
        <v>0.9377302227679355</v>
      </c>
      <c r="J20" s="237">
        <f t="shared" si="1"/>
        <v>6.2269777232064553E-2</v>
      </c>
      <c r="L20" s="238">
        <v>1790</v>
      </c>
      <c r="M20" s="238">
        <v>1644</v>
      </c>
      <c r="N20" s="238">
        <v>146</v>
      </c>
      <c r="P20" s="239">
        <f t="shared" si="2"/>
        <v>0.91843575418994416</v>
      </c>
      <c r="Q20" s="239">
        <f t="shared" si="3"/>
        <v>8.1564245810055863E-2</v>
      </c>
    </row>
    <row r="21" spans="1:17" x14ac:dyDescent="0.3">
      <c r="A21" s="230" t="s">
        <v>40</v>
      </c>
      <c r="B21" s="231" t="s">
        <v>41</v>
      </c>
      <c r="C21" s="232" t="s">
        <v>254</v>
      </c>
      <c r="D21" s="232"/>
      <c r="E21" s="233">
        <v>3271</v>
      </c>
      <c r="F21" s="234">
        <v>2867</v>
      </c>
      <c r="G21" s="235">
        <v>404</v>
      </c>
      <c r="I21" s="236">
        <f t="shared" si="0"/>
        <v>0.87649036991745644</v>
      </c>
      <c r="J21" s="237">
        <f t="shared" si="1"/>
        <v>0.12350963008254356</v>
      </c>
      <c r="L21" s="238">
        <v>1127</v>
      </c>
      <c r="M21" s="238">
        <v>949</v>
      </c>
      <c r="N21" s="238">
        <v>178</v>
      </c>
      <c r="P21" s="239">
        <f t="shared" si="2"/>
        <v>0.84205856255545697</v>
      </c>
      <c r="Q21" s="239">
        <f t="shared" si="3"/>
        <v>0.15794143744454303</v>
      </c>
    </row>
    <row r="22" spans="1:17" x14ac:dyDescent="0.3">
      <c r="A22" s="230" t="s">
        <v>42</v>
      </c>
      <c r="B22" s="231" t="s">
        <v>43</v>
      </c>
      <c r="C22" s="232" t="s">
        <v>253</v>
      </c>
      <c r="D22" s="232"/>
      <c r="E22" s="233">
        <v>12666</v>
      </c>
      <c r="F22" s="234">
        <v>11598</v>
      </c>
      <c r="G22" s="235">
        <v>1068</v>
      </c>
      <c r="I22" s="236">
        <f t="shared" si="0"/>
        <v>0.91567977261961153</v>
      </c>
      <c r="J22" s="237">
        <f t="shared" si="1"/>
        <v>8.4320227380388441E-2</v>
      </c>
      <c r="L22" s="238">
        <v>4621</v>
      </c>
      <c r="M22" s="238">
        <v>4181</v>
      </c>
      <c r="N22" s="238">
        <v>440</v>
      </c>
      <c r="P22" s="239">
        <f t="shared" si="2"/>
        <v>0.90478251460722792</v>
      </c>
      <c r="Q22" s="239">
        <f t="shared" si="3"/>
        <v>9.5217485392772125E-2</v>
      </c>
    </row>
    <row r="23" spans="1:17" x14ac:dyDescent="0.3">
      <c r="A23" s="230" t="s">
        <v>44</v>
      </c>
      <c r="B23" s="231" t="s">
        <v>45</v>
      </c>
      <c r="C23" s="232" t="s">
        <v>254</v>
      </c>
      <c r="D23" s="232"/>
      <c r="E23" s="233">
        <v>6213</v>
      </c>
      <c r="F23" s="234">
        <v>5487</v>
      </c>
      <c r="G23" s="235">
        <v>726</v>
      </c>
      <c r="I23" s="236">
        <f t="shared" si="0"/>
        <v>0.88314823756639305</v>
      </c>
      <c r="J23" s="237">
        <f t="shared" si="1"/>
        <v>0.11685176243360695</v>
      </c>
      <c r="L23" s="238">
        <v>2422</v>
      </c>
      <c r="M23" s="238">
        <v>2104</v>
      </c>
      <c r="N23" s="238">
        <v>318</v>
      </c>
      <c r="P23" s="239">
        <f t="shared" si="2"/>
        <v>0.86870355078447559</v>
      </c>
      <c r="Q23" s="239">
        <f t="shared" si="3"/>
        <v>0.13129644921552436</v>
      </c>
    </row>
    <row r="24" spans="1:17" x14ac:dyDescent="0.3">
      <c r="A24" s="230" t="s">
        <v>46</v>
      </c>
      <c r="B24" s="231" t="s">
        <v>47</v>
      </c>
      <c r="C24" s="232" t="s">
        <v>256</v>
      </c>
      <c r="D24" s="232"/>
      <c r="E24" s="233">
        <v>7489</v>
      </c>
      <c r="F24" s="234">
        <v>6888</v>
      </c>
      <c r="G24" s="235">
        <v>601</v>
      </c>
      <c r="I24" s="236">
        <f t="shared" si="0"/>
        <v>0.91974896514888504</v>
      </c>
      <c r="J24" s="237">
        <f t="shared" si="1"/>
        <v>8.0251034851114969E-2</v>
      </c>
      <c r="L24" s="238">
        <v>2421</v>
      </c>
      <c r="M24" s="238">
        <v>2165</v>
      </c>
      <c r="N24" s="238">
        <v>256</v>
      </c>
      <c r="P24" s="239">
        <f t="shared" si="2"/>
        <v>0.89425857083849647</v>
      </c>
      <c r="Q24" s="239">
        <f t="shared" si="3"/>
        <v>0.10574142916150352</v>
      </c>
    </row>
    <row r="25" spans="1:17" x14ac:dyDescent="0.3">
      <c r="A25" s="230" t="s">
        <v>48</v>
      </c>
      <c r="B25" s="231" t="s">
        <v>257</v>
      </c>
      <c r="C25" s="232" t="s">
        <v>254</v>
      </c>
      <c r="D25" s="232"/>
      <c r="E25" s="233">
        <v>1642</v>
      </c>
      <c r="F25" s="234">
        <v>1485</v>
      </c>
      <c r="G25" s="235">
        <v>157</v>
      </c>
      <c r="I25" s="236">
        <f t="shared" si="0"/>
        <v>0.90438489646772224</v>
      </c>
      <c r="J25" s="237">
        <f t="shared" si="1"/>
        <v>9.5615103532277715E-2</v>
      </c>
      <c r="L25" s="238">
        <v>444</v>
      </c>
      <c r="M25" s="238">
        <v>392</v>
      </c>
      <c r="N25" s="238">
        <v>52</v>
      </c>
      <c r="P25" s="239">
        <f t="shared" si="2"/>
        <v>0.88288288288288286</v>
      </c>
      <c r="Q25" s="239">
        <f t="shared" si="3"/>
        <v>0.11711711711711711</v>
      </c>
    </row>
    <row r="26" spans="1:17" x14ac:dyDescent="0.3">
      <c r="A26" s="230" t="s">
        <v>50</v>
      </c>
      <c r="B26" s="231" t="s">
        <v>51</v>
      </c>
      <c r="C26" s="232" t="s">
        <v>253</v>
      </c>
      <c r="D26" s="232"/>
      <c r="E26" s="233">
        <v>2715</v>
      </c>
      <c r="F26" s="234">
        <v>2463</v>
      </c>
      <c r="G26" s="235">
        <v>252</v>
      </c>
      <c r="I26" s="236">
        <f t="shared" si="0"/>
        <v>0.90718232044198899</v>
      </c>
      <c r="J26" s="237">
        <f t="shared" si="1"/>
        <v>9.2817679558011054E-2</v>
      </c>
      <c r="L26" s="238">
        <v>903</v>
      </c>
      <c r="M26" s="238">
        <v>811</v>
      </c>
      <c r="N26" s="238">
        <v>92</v>
      </c>
      <c r="P26" s="239">
        <f t="shared" si="2"/>
        <v>0.89811738648947947</v>
      </c>
      <c r="Q26" s="239">
        <f t="shared" si="3"/>
        <v>0.10188261351052048</v>
      </c>
    </row>
    <row r="27" spans="1:17" x14ac:dyDescent="0.3">
      <c r="A27" s="230" t="s">
        <v>56</v>
      </c>
      <c r="B27" s="231" t="s">
        <v>283</v>
      </c>
      <c r="C27" s="232" t="s">
        <v>254</v>
      </c>
      <c r="D27" s="232"/>
      <c r="E27" s="233">
        <v>75033</v>
      </c>
      <c r="F27" s="234">
        <v>69143</v>
      </c>
      <c r="G27" s="235">
        <v>5890</v>
      </c>
      <c r="I27" s="236">
        <f t="shared" si="0"/>
        <v>0.92150120613596687</v>
      </c>
      <c r="J27" s="237">
        <f t="shared" si="1"/>
        <v>7.8498793864033162E-2</v>
      </c>
      <c r="L27" s="238">
        <v>33204</v>
      </c>
      <c r="M27" s="238">
        <v>30858</v>
      </c>
      <c r="N27" s="238">
        <v>2346</v>
      </c>
      <c r="P27" s="239">
        <f t="shared" si="2"/>
        <v>0.9293458619443441</v>
      </c>
      <c r="Q27" s="239">
        <f t="shared" si="3"/>
        <v>7.0654138055655943E-2</v>
      </c>
    </row>
    <row r="28" spans="1:17" x14ac:dyDescent="0.3">
      <c r="A28" s="230" t="s">
        <v>58</v>
      </c>
      <c r="B28" s="231" t="s">
        <v>59</v>
      </c>
      <c r="C28" s="232" t="s">
        <v>255</v>
      </c>
      <c r="D28" s="232"/>
      <c r="E28" s="233">
        <v>3385</v>
      </c>
      <c r="F28" s="234">
        <v>3091</v>
      </c>
      <c r="G28" s="235">
        <v>294</v>
      </c>
      <c r="I28" s="236">
        <f t="shared" si="0"/>
        <v>0.91314623338257017</v>
      </c>
      <c r="J28" s="237">
        <f t="shared" si="1"/>
        <v>8.6853766617429842E-2</v>
      </c>
      <c r="L28" s="238">
        <v>1282</v>
      </c>
      <c r="M28" s="238">
        <v>1196</v>
      </c>
      <c r="N28" s="238">
        <v>86</v>
      </c>
      <c r="P28" s="239">
        <f t="shared" si="2"/>
        <v>0.93291731669266775</v>
      </c>
      <c r="Q28" s="239">
        <f t="shared" si="3"/>
        <v>6.7082683307332289E-2</v>
      </c>
    </row>
    <row r="29" spans="1:17" x14ac:dyDescent="0.3">
      <c r="A29" s="230" t="s">
        <v>60</v>
      </c>
      <c r="B29" s="231" t="s">
        <v>61</v>
      </c>
      <c r="C29" s="232" t="s">
        <v>253</v>
      </c>
      <c r="D29" s="232"/>
      <c r="E29" s="233">
        <v>1331</v>
      </c>
      <c r="F29" s="234">
        <v>1222</v>
      </c>
      <c r="G29" s="235">
        <v>109</v>
      </c>
      <c r="I29" s="236">
        <f t="shared" si="0"/>
        <v>0.91810668670172801</v>
      </c>
      <c r="J29" s="237">
        <f t="shared" si="1"/>
        <v>8.1893313298271972E-2</v>
      </c>
      <c r="L29" s="238">
        <v>444</v>
      </c>
      <c r="M29" s="238">
        <v>410</v>
      </c>
      <c r="N29" s="238">
        <v>34</v>
      </c>
      <c r="P29" s="239">
        <f t="shared" si="2"/>
        <v>0.92342342342342343</v>
      </c>
      <c r="Q29" s="239">
        <f t="shared" si="3"/>
        <v>7.6576576576576572E-2</v>
      </c>
    </row>
    <row r="30" spans="1:17" x14ac:dyDescent="0.3">
      <c r="A30" s="230" t="s">
        <v>62</v>
      </c>
      <c r="B30" s="231" t="s">
        <v>63</v>
      </c>
      <c r="C30" s="232" t="s">
        <v>255</v>
      </c>
      <c r="D30" s="232"/>
      <c r="E30" s="233">
        <v>10145</v>
      </c>
      <c r="F30" s="234">
        <v>9169</v>
      </c>
      <c r="G30" s="235">
        <v>976</v>
      </c>
      <c r="I30" s="236">
        <f t="shared" si="0"/>
        <v>0.90379497289305077</v>
      </c>
      <c r="J30" s="237">
        <f t="shared" si="1"/>
        <v>9.620502710694924E-2</v>
      </c>
      <c r="L30" s="238">
        <v>4330</v>
      </c>
      <c r="M30" s="238">
        <v>3917</v>
      </c>
      <c r="N30" s="238">
        <v>413</v>
      </c>
      <c r="P30" s="239">
        <f t="shared" si="2"/>
        <v>0.90461893764434176</v>
      </c>
      <c r="Q30" s="239">
        <f t="shared" si="3"/>
        <v>9.53810623556582E-2</v>
      </c>
    </row>
    <row r="31" spans="1:17" x14ac:dyDescent="0.3">
      <c r="A31" s="230" t="s">
        <v>64</v>
      </c>
      <c r="B31" s="231" t="s">
        <v>65</v>
      </c>
      <c r="C31" s="232" t="s">
        <v>254</v>
      </c>
      <c r="D31" s="232"/>
      <c r="E31" s="233">
        <v>2180</v>
      </c>
      <c r="F31" s="234">
        <v>1954</v>
      </c>
      <c r="G31" s="235">
        <v>226</v>
      </c>
      <c r="I31" s="236">
        <f t="shared" si="0"/>
        <v>0.89633027522935782</v>
      </c>
      <c r="J31" s="237">
        <f t="shared" si="1"/>
        <v>0.10366972477064221</v>
      </c>
      <c r="L31" s="238">
        <v>747</v>
      </c>
      <c r="M31" s="238">
        <v>654</v>
      </c>
      <c r="N31" s="238">
        <v>93</v>
      </c>
      <c r="P31" s="239">
        <f t="shared" si="2"/>
        <v>0.87550200803212852</v>
      </c>
      <c r="Q31" s="239">
        <f t="shared" si="3"/>
        <v>0.12449799196787148</v>
      </c>
    </row>
    <row r="32" spans="1:17" x14ac:dyDescent="0.3">
      <c r="A32" s="230" t="s">
        <v>68</v>
      </c>
      <c r="B32" s="231" t="s">
        <v>69</v>
      </c>
      <c r="C32" s="232" t="s">
        <v>256</v>
      </c>
      <c r="D32" s="232"/>
      <c r="E32" s="233">
        <v>3825</v>
      </c>
      <c r="F32" s="234">
        <v>3568</v>
      </c>
      <c r="G32" s="235">
        <v>257</v>
      </c>
      <c r="I32" s="236">
        <f t="shared" si="0"/>
        <v>0.93281045751633984</v>
      </c>
      <c r="J32" s="237">
        <f t="shared" si="1"/>
        <v>6.7189542483660131E-2</v>
      </c>
      <c r="L32" s="238">
        <v>1341</v>
      </c>
      <c r="M32" s="238">
        <v>1233</v>
      </c>
      <c r="N32" s="238">
        <v>108</v>
      </c>
      <c r="P32" s="239">
        <f t="shared" si="2"/>
        <v>0.91946308724832215</v>
      </c>
      <c r="Q32" s="239">
        <f t="shared" si="3"/>
        <v>8.0536912751677847E-2</v>
      </c>
    </row>
    <row r="33" spans="1:17" x14ac:dyDescent="0.3">
      <c r="A33" s="230" t="s">
        <v>70</v>
      </c>
      <c r="B33" s="231" t="s">
        <v>71</v>
      </c>
      <c r="C33" s="232" t="s">
        <v>252</v>
      </c>
      <c r="D33" s="232"/>
      <c r="E33" s="233">
        <v>6031</v>
      </c>
      <c r="F33" s="234">
        <v>5383</v>
      </c>
      <c r="G33" s="235">
        <v>648</v>
      </c>
      <c r="I33" s="236">
        <f t="shared" si="0"/>
        <v>0.89255513181893553</v>
      </c>
      <c r="J33" s="237">
        <f t="shared" si="1"/>
        <v>0.1074448681810645</v>
      </c>
      <c r="L33" s="238">
        <v>2234</v>
      </c>
      <c r="M33" s="238">
        <v>1975</v>
      </c>
      <c r="N33" s="238">
        <v>259</v>
      </c>
      <c r="P33" s="239">
        <f t="shared" si="2"/>
        <v>0.88406445837063563</v>
      </c>
      <c r="Q33" s="239">
        <f t="shared" si="3"/>
        <v>0.11593554162936437</v>
      </c>
    </row>
    <row r="34" spans="1:17" x14ac:dyDescent="0.3">
      <c r="A34" s="230" t="s">
        <v>72</v>
      </c>
      <c r="B34" s="231" t="s">
        <v>73</v>
      </c>
      <c r="C34" s="232" t="s">
        <v>254</v>
      </c>
      <c r="D34" s="232"/>
      <c r="E34" s="233">
        <v>2428</v>
      </c>
      <c r="F34" s="234">
        <v>2093</v>
      </c>
      <c r="G34" s="235">
        <v>335</v>
      </c>
      <c r="I34" s="236">
        <f t="shared" si="0"/>
        <v>0.86202635914332781</v>
      </c>
      <c r="J34" s="237">
        <f t="shared" si="1"/>
        <v>0.13797364085667216</v>
      </c>
      <c r="L34" s="238">
        <v>766</v>
      </c>
      <c r="M34" s="238">
        <v>641</v>
      </c>
      <c r="N34" s="238">
        <v>125</v>
      </c>
      <c r="P34" s="239">
        <f t="shared" si="2"/>
        <v>0.83681462140992169</v>
      </c>
      <c r="Q34" s="239">
        <f t="shared" si="3"/>
        <v>0.16318537859007834</v>
      </c>
    </row>
    <row r="35" spans="1:17" x14ac:dyDescent="0.3">
      <c r="A35" s="230" t="s">
        <v>74</v>
      </c>
      <c r="B35" s="231" t="s">
        <v>472</v>
      </c>
      <c r="C35" s="232" t="s">
        <v>255</v>
      </c>
      <c r="D35" s="232"/>
      <c r="E35" s="233">
        <v>246380</v>
      </c>
      <c r="F35" s="234">
        <v>231762</v>
      </c>
      <c r="G35" s="235">
        <v>14618</v>
      </c>
      <c r="I35" s="236">
        <f t="shared" si="0"/>
        <v>0.94066888546148231</v>
      </c>
      <c r="J35" s="237">
        <f t="shared" si="1"/>
        <v>5.9331114538517735E-2</v>
      </c>
      <c r="L35" s="238">
        <v>116691</v>
      </c>
      <c r="M35" s="238">
        <v>112931</v>
      </c>
      <c r="N35" s="238">
        <v>3760</v>
      </c>
      <c r="P35" s="239">
        <f t="shared" si="2"/>
        <v>0.96777814912889593</v>
      </c>
      <c r="Q35" s="239">
        <f t="shared" si="3"/>
        <v>3.2221850871104026E-2</v>
      </c>
    </row>
    <row r="36" spans="1:17" x14ac:dyDescent="0.3">
      <c r="A36" s="230" t="s">
        <v>76</v>
      </c>
      <c r="B36" s="231" t="s">
        <v>77</v>
      </c>
      <c r="C36" s="232" t="s">
        <v>255</v>
      </c>
      <c r="D36" s="232"/>
      <c r="E36" s="233">
        <v>15535</v>
      </c>
      <c r="F36" s="234">
        <v>14399</v>
      </c>
      <c r="G36" s="235">
        <v>1136</v>
      </c>
      <c r="I36" s="236">
        <f t="shared" si="0"/>
        <v>0.92687479884132606</v>
      </c>
      <c r="J36" s="237">
        <f t="shared" si="1"/>
        <v>7.3125201158673964E-2</v>
      </c>
      <c r="L36" s="238">
        <v>6485</v>
      </c>
      <c r="M36" s="238">
        <v>6125</v>
      </c>
      <c r="N36" s="238">
        <v>360</v>
      </c>
      <c r="P36" s="239">
        <f t="shared" si="2"/>
        <v>0.94448727833461832</v>
      </c>
      <c r="Q36" s="239">
        <f t="shared" si="3"/>
        <v>5.5512721665381647E-2</v>
      </c>
    </row>
    <row r="37" spans="1:17" x14ac:dyDescent="0.3">
      <c r="A37" s="230" t="s">
        <v>78</v>
      </c>
      <c r="B37" s="231" t="s">
        <v>79</v>
      </c>
      <c r="C37" s="232" t="s">
        <v>256</v>
      </c>
      <c r="D37" s="232"/>
      <c r="E37" s="233">
        <v>3869</v>
      </c>
      <c r="F37" s="234">
        <v>3548</v>
      </c>
      <c r="G37" s="235">
        <v>321</v>
      </c>
      <c r="I37" s="236">
        <f t="shared" si="0"/>
        <v>0.91703282501938488</v>
      </c>
      <c r="J37" s="237">
        <f t="shared" si="1"/>
        <v>8.2967174980615149E-2</v>
      </c>
      <c r="L37" s="238">
        <v>1322</v>
      </c>
      <c r="M37" s="238">
        <v>1210</v>
      </c>
      <c r="N37" s="238">
        <v>112</v>
      </c>
      <c r="P37" s="239">
        <f t="shared" si="2"/>
        <v>0.91527987897125562</v>
      </c>
      <c r="Q37" s="239">
        <f t="shared" si="3"/>
        <v>8.4720121028744322E-2</v>
      </c>
    </row>
    <row r="38" spans="1:17" x14ac:dyDescent="0.3">
      <c r="A38" s="230" t="s">
        <v>80</v>
      </c>
      <c r="B38" s="231" t="s">
        <v>81</v>
      </c>
      <c r="C38" s="232" t="s">
        <v>254</v>
      </c>
      <c r="D38" s="232"/>
      <c r="E38" s="233">
        <v>6232</v>
      </c>
      <c r="F38" s="234">
        <v>5755</v>
      </c>
      <c r="G38" s="235">
        <v>477</v>
      </c>
      <c r="I38" s="236">
        <f t="shared" si="0"/>
        <v>0.92345956354300385</v>
      </c>
      <c r="J38" s="237">
        <f t="shared" si="1"/>
        <v>7.6540436456996153E-2</v>
      </c>
      <c r="L38" s="238">
        <v>2395</v>
      </c>
      <c r="M38" s="238">
        <v>2200</v>
      </c>
      <c r="N38" s="238">
        <v>195</v>
      </c>
      <c r="P38" s="239">
        <f t="shared" si="2"/>
        <v>0.91858037578288099</v>
      </c>
      <c r="Q38" s="239">
        <f t="shared" si="3"/>
        <v>8.1419624217118999E-2</v>
      </c>
    </row>
    <row r="39" spans="1:17" x14ac:dyDescent="0.3">
      <c r="A39" s="230" t="s">
        <v>84</v>
      </c>
      <c r="B39" s="231" t="s">
        <v>296</v>
      </c>
      <c r="C39" s="232" t="s">
        <v>253</v>
      </c>
      <c r="D39" s="232"/>
      <c r="E39" s="233">
        <v>13879</v>
      </c>
      <c r="F39" s="234">
        <v>12622</v>
      </c>
      <c r="G39" s="235">
        <v>1257</v>
      </c>
      <c r="I39" s="236">
        <f t="shared" si="0"/>
        <v>0.90943151523885002</v>
      </c>
      <c r="J39" s="237">
        <f t="shared" si="1"/>
        <v>9.0568484761149939E-2</v>
      </c>
      <c r="L39" s="238">
        <v>4374</v>
      </c>
      <c r="M39" s="238">
        <v>3876</v>
      </c>
      <c r="N39" s="238">
        <v>498</v>
      </c>
      <c r="P39" s="239">
        <f t="shared" si="2"/>
        <v>0.88614540466392322</v>
      </c>
      <c r="Q39" s="239">
        <f t="shared" si="3"/>
        <v>0.11385459533607682</v>
      </c>
    </row>
    <row r="40" spans="1:17" x14ac:dyDescent="0.3">
      <c r="A40" s="230" t="s">
        <v>86</v>
      </c>
      <c r="B40" s="231" t="s">
        <v>87</v>
      </c>
      <c r="C40" s="232" t="s">
        <v>255</v>
      </c>
      <c r="D40" s="232"/>
      <c r="E40" s="233">
        <v>18784</v>
      </c>
      <c r="F40" s="234">
        <v>16992</v>
      </c>
      <c r="G40" s="235">
        <v>1792</v>
      </c>
      <c r="I40" s="236">
        <f t="shared" si="0"/>
        <v>0.90459965928449748</v>
      </c>
      <c r="J40" s="237">
        <f t="shared" si="1"/>
        <v>9.540034071550256E-2</v>
      </c>
      <c r="L40" s="238">
        <v>7847</v>
      </c>
      <c r="M40" s="238">
        <v>7146</v>
      </c>
      <c r="N40" s="238">
        <v>701</v>
      </c>
      <c r="P40" s="239">
        <f t="shared" si="2"/>
        <v>0.9106664967503505</v>
      </c>
      <c r="Q40" s="239">
        <f t="shared" si="3"/>
        <v>8.9333503249649546E-2</v>
      </c>
    </row>
    <row r="41" spans="1:17" x14ac:dyDescent="0.3">
      <c r="A41" s="230" t="s">
        <v>92</v>
      </c>
      <c r="B41" s="231" t="s">
        <v>93</v>
      </c>
      <c r="C41" s="232" t="s">
        <v>256</v>
      </c>
      <c r="D41" s="232"/>
      <c r="E41" s="233">
        <v>4201</v>
      </c>
      <c r="F41" s="234">
        <v>3785</v>
      </c>
      <c r="G41" s="235">
        <v>416</v>
      </c>
      <c r="I41" s="236">
        <f t="shared" si="0"/>
        <v>0.90097595810521303</v>
      </c>
      <c r="J41" s="237">
        <f t="shared" si="1"/>
        <v>9.902404189478696E-2</v>
      </c>
      <c r="L41" s="238">
        <v>1456</v>
      </c>
      <c r="M41" s="238">
        <v>1284</v>
      </c>
      <c r="N41" s="238">
        <v>172</v>
      </c>
      <c r="P41" s="239">
        <f t="shared" si="2"/>
        <v>0.88186813186813184</v>
      </c>
      <c r="Q41" s="239">
        <f t="shared" si="3"/>
        <v>0.11813186813186813</v>
      </c>
    </row>
    <row r="42" spans="1:17" x14ac:dyDescent="0.3">
      <c r="A42" s="230" t="s">
        <v>94</v>
      </c>
      <c r="B42" s="231" t="s">
        <v>95</v>
      </c>
      <c r="C42" s="232" t="s">
        <v>252</v>
      </c>
      <c r="D42" s="232"/>
      <c r="E42" s="233">
        <v>9117</v>
      </c>
      <c r="F42" s="234">
        <v>8306</v>
      </c>
      <c r="G42" s="235">
        <v>811</v>
      </c>
      <c r="I42" s="236">
        <f t="shared" si="0"/>
        <v>0.9110452999890315</v>
      </c>
      <c r="J42" s="237">
        <f t="shared" si="1"/>
        <v>8.8954700010968515E-2</v>
      </c>
      <c r="L42" s="238">
        <v>3312</v>
      </c>
      <c r="M42" s="238">
        <v>3009</v>
      </c>
      <c r="N42" s="238">
        <v>303</v>
      </c>
      <c r="P42" s="239">
        <f t="shared" si="2"/>
        <v>0.90851449275362317</v>
      </c>
      <c r="Q42" s="239">
        <f t="shared" si="3"/>
        <v>9.1485507246376815E-2</v>
      </c>
    </row>
    <row r="43" spans="1:17" x14ac:dyDescent="0.3">
      <c r="A43" s="230" t="s">
        <v>96</v>
      </c>
      <c r="B43" s="231" t="s">
        <v>97</v>
      </c>
      <c r="C43" s="232" t="s">
        <v>254</v>
      </c>
      <c r="D43" s="232"/>
      <c r="E43" s="233">
        <v>5533</v>
      </c>
      <c r="F43" s="234">
        <v>5256</v>
      </c>
      <c r="G43" s="235">
        <v>277</v>
      </c>
      <c r="I43" s="236">
        <f t="shared" si="0"/>
        <v>0.94993674317729981</v>
      </c>
      <c r="J43" s="237">
        <f t="shared" si="1"/>
        <v>5.0063256822700165E-2</v>
      </c>
      <c r="L43" s="238">
        <v>1877</v>
      </c>
      <c r="M43" s="238">
        <v>1797</v>
      </c>
      <c r="N43" s="238">
        <v>80</v>
      </c>
      <c r="P43" s="239">
        <f t="shared" si="2"/>
        <v>0.95737879595098563</v>
      </c>
      <c r="Q43" s="239">
        <f t="shared" si="3"/>
        <v>4.2621204049014386E-2</v>
      </c>
    </row>
    <row r="44" spans="1:17" x14ac:dyDescent="0.3">
      <c r="A44" s="230" t="s">
        <v>98</v>
      </c>
      <c r="B44" s="231" t="s">
        <v>99</v>
      </c>
      <c r="C44" s="232" t="s">
        <v>256</v>
      </c>
      <c r="D44" s="232"/>
      <c r="E44" s="233">
        <v>3931</v>
      </c>
      <c r="F44" s="234">
        <v>3633</v>
      </c>
      <c r="G44" s="235">
        <v>298</v>
      </c>
      <c r="I44" s="236">
        <f t="shared" si="0"/>
        <v>0.92419231747646913</v>
      </c>
      <c r="J44" s="237">
        <f t="shared" si="1"/>
        <v>7.5807682523530914E-2</v>
      </c>
      <c r="L44" s="238">
        <v>1146</v>
      </c>
      <c r="M44" s="238">
        <v>1021</v>
      </c>
      <c r="N44" s="238">
        <v>125</v>
      </c>
      <c r="P44" s="239">
        <f t="shared" si="2"/>
        <v>0.89092495636998259</v>
      </c>
      <c r="Q44" s="239">
        <f t="shared" si="3"/>
        <v>0.10907504363001745</v>
      </c>
    </row>
    <row r="45" spans="1:17" x14ac:dyDescent="0.3">
      <c r="A45" s="230" t="s">
        <v>100</v>
      </c>
      <c r="B45" s="231" t="s">
        <v>101</v>
      </c>
      <c r="C45" s="232" t="s">
        <v>255</v>
      </c>
      <c r="D45" s="232"/>
      <c r="E45" s="233">
        <v>4414</v>
      </c>
      <c r="F45" s="234">
        <v>4003</v>
      </c>
      <c r="G45" s="235">
        <v>411</v>
      </c>
      <c r="I45" s="236">
        <f t="shared" si="0"/>
        <v>0.90688717716357048</v>
      </c>
      <c r="J45" s="237">
        <f t="shared" si="1"/>
        <v>9.3112822836429548E-2</v>
      </c>
      <c r="L45" s="238">
        <v>1796</v>
      </c>
      <c r="M45" s="238">
        <v>1628</v>
      </c>
      <c r="N45" s="238">
        <v>168</v>
      </c>
      <c r="P45" s="239">
        <f t="shared" si="2"/>
        <v>0.90645879732739421</v>
      </c>
      <c r="Q45" s="239">
        <f t="shared" si="3"/>
        <v>9.3541202672605794E-2</v>
      </c>
    </row>
    <row r="46" spans="1:17" x14ac:dyDescent="0.3">
      <c r="A46" s="230" t="s">
        <v>102</v>
      </c>
      <c r="B46" s="231" t="s">
        <v>270</v>
      </c>
      <c r="C46" s="232" t="s">
        <v>252</v>
      </c>
      <c r="D46" s="232"/>
      <c r="E46" s="233">
        <v>2719</v>
      </c>
      <c r="F46" s="234">
        <v>2329</v>
      </c>
      <c r="G46" s="235">
        <v>390</v>
      </c>
      <c r="I46" s="236">
        <f t="shared" si="0"/>
        <v>0.85656491357116582</v>
      </c>
      <c r="J46" s="237">
        <f t="shared" si="1"/>
        <v>0.14343508642883412</v>
      </c>
      <c r="L46" s="238">
        <v>902</v>
      </c>
      <c r="M46" s="238">
        <v>709</v>
      </c>
      <c r="N46" s="238">
        <v>193</v>
      </c>
      <c r="P46" s="239">
        <f t="shared" si="2"/>
        <v>0.78603104212860309</v>
      </c>
      <c r="Q46" s="239">
        <f t="shared" si="3"/>
        <v>0.21396895787139689</v>
      </c>
    </row>
    <row r="47" spans="1:17" x14ac:dyDescent="0.3">
      <c r="A47" s="230" t="s">
        <v>104</v>
      </c>
      <c r="B47" s="231" t="s">
        <v>465</v>
      </c>
      <c r="C47" s="232" t="s">
        <v>253</v>
      </c>
      <c r="D47" s="232"/>
      <c r="E47" s="233">
        <v>7601</v>
      </c>
      <c r="F47" s="234">
        <v>6980</v>
      </c>
      <c r="G47" s="235">
        <v>621</v>
      </c>
      <c r="I47" s="236">
        <f t="shared" si="0"/>
        <v>0.91830022365478225</v>
      </c>
      <c r="J47" s="237">
        <f t="shared" si="1"/>
        <v>8.1699776345217731E-2</v>
      </c>
      <c r="L47" s="238">
        <v>2470</v>
      </c>
      <c r="M47" s="238">
        <v>2191</v>
      </c>
      <c r="N47" s="238">
        <v>279</v>
      </c>
      <c r="P47" s="239">
        <f t="shared" si="2"/>
        <v>0.8870445344129555</v>
      </c>
      <c r="Q47" s="239">
        <f t="shared" si="3"/>
        <v>0.11295546558704453</v>
      </c>
    </row>
    <row r="48" spans="1:17" x14ac:dyDescent="0.3">
      <c r="A48" s="230" t="s">
        <v>108</v>
      </c>
      <c r="B48" s="231" t="s">
        <v>109</v>
      </c>
      <c r="C48" s="232" t="s">
        <v>254</v>
      </c>
      <c r="D48" s="232"/>
      <c r="E48" s="233">
        <v>24235</v>
      </c>
      <c r="F48" s="234">
        <v>22810</v>
      </c>
      <c r="G48" s="235">
        <v>1425</v>
      </c>
      <c r="I48" s="236">
        <f t="shared" si="0"/>
        <v>0.94120074272746024</v>
      </c>
      <c r="J48" s="237">
        <f t="shared" si="1"/>
        <v>5.8799257272539714E-2</v>
      </c>
      <c r="L48" s="238">
        <v>10521</v>
      </c>
      <c r="M48" s="238">
        <v>10021</v>
      </c>
      <c r="N48" s="238">
        <v>500</v>
      </c>
      <c r="P48" s="239">
        <f t="shared" si="2"/>
        <v>0.95247600038019198</v>
      </c>
      <c r="Q48" s="239">
        <f t="shared" si="3"/>
        <v>4.7523999619808001E-2</v>
      </c>
    </row>
    <row r="49" spans="1:17" x14ac:dyDescent="0.3">
      <c r="A49" s="230" t="s">
        <v>110</v>
      </c>
      <c r="B49" s="231" t="s">
        <v>111</v>
      </c>
      <c r="C49" s="232" t="s">
        <v>254</v>
      </c>
      <c r="D49" s="232"/>
      <c r="E49" s="233">
        <v>63078</v>
      </c>
      <c r="F49" s="234">
        <v>56537</v>
      </c>
      <c r="G49" s="235">
        <v>6541</v>
      </c>
      <c r="I49" s="236">
        <f t="shared" si="0"/>
        <v>0.89630298994895208</v>
      </c>
      <c r="J49" s="237">
        <f t="shared" si="1"/>
        <v>0.10369701005104791</v>
      </c>
      <c r="L49" s="238">
        <v>27549</v>
      </c>
      <c r="M49" s="238">
        <v>25239</v>
      </c>
      <c r="N49" s="238">
        <v>2310</v>
      </c>
      <c r="P49" s="239">
        <f t="shared" si="2"/>
        <v>0.91614940651203314</v>
      </c>
      <c r="Q49" s="239">
        <f t="shared" si="3"/>
        <v>8.385059348796689E-2</v>
      </c>
    </row>
    <row r="50" spans="1:17" x14ac:dyDescent="0.3">
      <c r="A50" s="230" t="s">
        <v>112</v>
      </c>
      <c r="B50" s="231" t="s">
        <v>288</v>
      </c>
      <c r="C50" s="232" t="s">
        <v>253</v>
      </c>
      <c r="D50" s="232"/>
      <c r="E50" s="233">
        <v>14517</v>
      </c>
      <c r="F50" s="234">
        <v>13130</v>
      </c>
      <c r="G50" s="235">
        <v>1387</v>
      </c>
      <c r="I50" s="236">
        <f t="shared" si="0"/>
        <v>0.90445684370048907</v>
      </c>
      <c r="J50" s="237">
        <f t="shared" si="1"/>
        <v>9.554315629951092E-2</v>
      </c>
      <c r="L50" s="238">
        <v>4598</v>
      </c>
      <c r="M50" s="238">
        <v>3985</v>
      </c>
      <c r="N50" s="238">
        <v>613</v>
      </c>
      <c r="P50" s="239">
        <f t="shared" si="2"/>
        <v>0.86668116572422793</v>
      </c>
      <c r="Q50" s="239">
        <f t="shared" si="3"/>
        <v>0.13331883427577207</v>
      </c>
    </row>
    <row r="51" spans="1:17" x14ac:dyDescent="0.3">
      <c r="A51" s="230" t="s">
        <v>114</v>
      </c>
      <c r="B51" s="231" t="s">
        <v>115</v>
      </c>
      <c r="C51" s="232" t="s">
        <v>253</v>
      </c>
      <c r="D51" s="232"/>
      <c r="E51" s="233">
        <v>667</v>
      </c>
      <c r="F51" s="234">
        <v>621</v>
      </c>
      <c r="G51" s="235">
        <v>46</v>
      </c>
      <c r="I51" s="236">
        <f t="shared" si="0"/>
        <v>0.93103448275862066</v>
      </c>
      <c r="J51" s="237">
        <f t="shared" si="1"/>
        <v>6.8965517241379309E-2</v>
      </c>
      <c r="L51" s="238">
        <v>157</v>
      </c>
      <c r="M51" s="238">
        <v>144</v>
      </c>
      <c r="N51" s="238">
        <v>13</v>
      </c>
      <c r="P51" s="239">
        <f t="shared" si="2"/>
        <v>0.91719745222929938</v>
      </c>
      <c r="Q51" s="239">
        <f t="shared" si="3"/>
        <v>8.2802547770700632E-2</v>
      </c>
    </row>
    <row r="52" spans="1:17" x14ac:dyDescent="0.3">
      <c r="A52" s="230" t="s">
        <v>118</v>
      </c>
      <c r="B52" s="231" t="s">
        <v>119</v>
      </c>
      <c r="C52" s="232" t="s">
        <v>252</v>
      </c>
      <c r="D52" s="232"/>
      <c r="E52" s="233">
        <v>8522</v>
      </c>
      <c r="F52" s="234">
        <v>7966</v>
      </c>
      <c r="G52" s="235">
        <v>556</v>
      </c>
      <c r="I52" s="236">
        <f t="shared" si="0"/>
        <v>0.9347570992724713</v>
      </c>
      <c r="J52" s="237">
        <f t="shared" si="1"/>
        <v>6.5242900727528752E-2</v>
      </c>
      <c r="L52" s="238">
        <v>3096</v>
      </c>
      <c r="M52" s="238">
        <v>2886</v>
      </c>
      <c r="N52" s="238">
        <v>210</v>
      </c>
      <c r="P52" s="239">
        <f t="shared" si="2"/>
        <v>0.93217054263565891</v>
      </c>
      <c r="Q52" s="239">
        <f t="shared" si="3"/>
        <v>6.7829457364341081E-2</v>
      </c>
    </row>
    <row r="53" spans="1:17" x14ac:dyDescent="0.3">
      <c r="A53" s="230" t="s">
        <v>120</v>
      </c>
      <c r="B53" s="231" t="s">
        <v>121</v>
      </c>
      <c r="C53" s="232" t="s">
        <v>252</v>
      </c>
      <c r="D53" s="232"/>
      <c r="E53" s="233">
        <v>17151</v>
      </c>
      <c r="F53" s="234">
        <v>16192</v>
      </c>
      <c r="G53" s="235">
        <v>959</v>
      </c>
      <c r="I53" s="236">
        <f t="shared" si="0"/>
        <v>0.94408489300915399</v>
      </c>
      <c r="J53" s="237">
        <f t="shared" si="1"/>
        <v>5.5915106990846015E-2</v>
      </c>
      <c r="L53" s="238">
        <v>5736</v>
      </c>
      <c r="M53" s="238">
        <v>5418</v>
      </c>
      <c r="N53" s="238">
        <v>318</v>
      </c>
      <c r="P53" s="239">
        <f t="shared" si="2"/>
        <v>0.94456066945606698</v>
      </c>
      <c r="Q53" s="239">
        <f t="shared" si="3"/>
        <v>5.5439330543933053E-2</v>
      </c>
    </row>
    <row r="54" spans="1:17" x14ac:dyDescent="0.3">
      <c r="A54" s="230" t="s">
        <v>122</v>
      </c>
      <c r="B54" s="231" t="s">
        <v>259</v>
      </c>
      <c r="C54" s="232" t="s">
        <v>254</v>
      </c>
      <c r="D54" s="232"/>
      <c r="E54" s="233">
        <v>1580</v>
      </c>
      <c r="F54" s="234">
        <v>1427</v>
      </c>
      <c r="G54" s="235">
        <v>153</v>
      </c>
      <c r="I54" s="236">
        <f t="shared" si="0"/>
        <v>0.90316455696202536</v>
      </c>
      <c r="J54" s="237">
        <f t="shared" si="1"/>
        <v>9.6835443037974686E-2</v>
      </c>
      <c r="L54" s="238">
        <v>513</v>
      </c>
      <c r="M54" s="238">
        <v>449</v>
      </c>
      <c r="N54" s="238">
        <v>64</v>
      </c>
      <c r="P54" s="239">
        <f t="shared" si="2"/>
        <v>0.87524366471734893</v>
      </c>
      <c r="Q54" s="239">
        <f t="shared" si="3"/>
        <v>0.12475633528265107</v>
      </c>
    </row>
    <row r="55" spans="1:17" x14ac:dyDescent="0.3">
      <c r="A55" s="230" t="s">
        <v>124</v>
      </c>
      <c r="B55" s="231" t="s">
        <v>125</v>
      </c>
      <c r="C55" s="232" t="s">
        <v>255</v>
      </c>
      <c r="D55" s="232"/>
      <c r="E55" s="233">
        <v>5512</v>
      </c>
      <c r="F55" s="234">
        <v>5032</v>
      </c>
      <c r="G55" s="235">
        <v>480</v>
      </c>
      <c r="I55" s="236">
        <f t="shared" si="0"/>
        <v>0.91291727140783741</v>
      </c>
      <c r="J55" s="237">
        <f t="shared" si="1"/>
        <v>8.7082728592162553E-2</v>
      </c>
      <c r="L55" s="238">
        <v>2485</v>
      </c>
      <c r="M55" s="238">
        <v>2298</v>
      </c>
      <c r="N55" s="238">
        <v>187</v>
      </c>
      <c r="P55" s="239">
        <f t="shared" si="2"/>
        <v>0.92474849094567402</v>
      </c>
      <c r="Q55" s="239">
        <f t="shared" si="3"/>
        <v>7.5251509054325955E-2</v>
      </c>
    </row>
    <row r="56" spans="1:17" x14ac:dyDescent="0.3">
      <c r="A56" s="230" t="s">
        <v>126</v>
      </c>
      <c r="B56" s="231" t="s">
        <v>127</v>
      </c>
      <c r="C56" s="232" t="s">
        <v>254</v>
      </c>
      <c r="D56" s="232"/>
      <c r="E56" s="233">
        <v>3882</v>
      </c>
      <c r="F56" s="234">
        <v>3561</v>
      </c>
      <c r="G56" s="235">
        <v>321</v>
      </c>
      <c r="I56" s="236">
        <f t="shared" si="0"/>
        <v>0.91731066460587329</v>
      </c>
      <c r="J56" s="237">
        <f t="shared" si="1"/>
        <v>8.2689335394126734E-2</v>
      </c>
      <c r="L56" s="238">
        <v>1605</v>
      </c>
      <c r="M56" s="238">
        <v>1483</v>
      </c>
      <c r="N56" s="238">
        <v>122</v>
      </c>
      <c r="P56" s="239">
        <f t="shared" si="2"/>
        <v>0.92398753894080998</v>
      </c>
      <c r="Q56" s="239">
        <f t="shared" si="3"/>
        <v>7.6012461059190031E-2</v>
      </c>
    </row>
    <row r="57" spans="1:17" x14ac:dyDescent="0.3">
      <c r="A57" s="230" t="s">
        <v>128</v>
      </c>
      <c r="B57" s="231" t="s">
        <v>129</v>
      </c>
      <c r="C57" s="232" t="s">
        <v>254</v>
      </c>
      <c r="D57" s="232"/>
      <c r="E57" s="233">
        <v>2835</v>
      </c>
      <c r="F57" s="234">
        <v>2584</v>
      </c>
      <c r="G57" s="235">
        <v>251</v>
      </c>
      <c r="I57" s="236">
        <f t="shared" si="0"/>
        <v>0.91146384479717812</v>
      </c>
      <c r="J57" s="237">
        <f t="shared" si="1"/>
        <v>8.8536155202821876E-2</v>
      </c>
      <c r="L57" s="238">
        <v>587</v>
      </c>
      <c r="M57" s="238">
        <v>498</v>
      </c>
      <c r="N57" s="238">
        <v>89</v>
      </c>
      <c r="P57" s="239">
        <f t="shared" si="2"/>
        <v>0.848381601362862</v>
      </c>
      <c r="Q57" s="239">
        <f t="shared" si="3"/>
        <v>0.151618398637138</v>
      </c>
    </row>
    <row r="58" spans="1:17" x14ac:dyDescent="0.3">
      <c r="A58" s="230" t="s">
        <v>130</v>
      </c>
      <c r="B58" s="231" t="s">
        <v>131</v>
      </c>
      <c r="C58" s="232" t="s">
        <v>256</v>
      </c>
      <c r="D58" s="232"/>
      <c r="E58" s="233">
        <v>5554</v>
      </c>
      <c r="F58" s="234">
        <v>5116</v>
      </c>
      <c r="G58" s="235">
        <v>438</v>
      </c>
      <c r="I58" s="236">
        <f t="shared" si="0"/>
        <v>0.92113791861721284</v>
      </c>
      <c r="J58" s="237">
        <f t="shared" si="1"/>
        <v>7.8862081382787177E-2</v>
      </c>
      <c r="L58" s="238">
        <v>1970</v>
      </c>
      <c r="M58" s="238">
        <v>1793</v>
      </c>
      <c r="N58" s="238">
        <v>177</v>
      </c>
      <c r="P58" s="239">
        <f t="shared" si="2"/>
        <v>0.91015228426395944</v>
      </c>
      <c r="Q58" s="239">
        <f t="shared" si="3"/>
        <v>8.9847715736040612E-2</v>
      </c>
    </row>
    <row r="59" spans="1:17" x14ac:dyDescent="0.3">
      <c r="A59" s="230" t="s">
        <v>132</v>
      </c>
      <c r="B59" s="231" t="s">
        <v>133</v>
      </c>
      <c r="C59" s="232" t="s">
        <v>255</v>
      </c>
      <c r="D59" s="232"/>
      <c r="E59" s="233">
        <v>72122</v>
      </c>
      <c r="F59" s="234">
        <v>68056</v>
      </c>
      <c r="G59" s="235">
        <v>4066</v>
      </c>
      <c r="I59" s="236">
        <f t="shared" si="0"/>
        <v>0.94362330495549207</v>
      </c>
      <c r="J59" s="237">
        <f t="shared" si="1"/>
        <v>5.6376695044507916E-2</v>
      </c>
      <c r="L59" s="238">
        <v>42139</v>
      </c>
      <c r="M59" s="238">
        <v>40889</v>
      </c>
      <c r="N59" s="238">
        <v>1250</v>
      </c>
      <c r="P59" s="239">
        <f t="shared" si="2"/>
        <v>0.97033626806521278</v>
      </c>
      <c r="Q59" s="239">
        <f t="shared" si="3"/>
        <v>2.9663731934787253E-2</v>
      </c>
    </row>
    <row r="60" spans="1:17" x14ac:dyDescent="0.3">
      <c r="A60" s="230" t="s">
        <v>134</v>
      </c>
      <c r="B60" s="231" t="s">
        <v>135</v>
      </c>
      <c r="C60" s="232" t="s">
        <v>255</v>
      </c>
      <c r="D60" s="232"/>
      <c r="E60" s="233">
        <v>8200</v>
      </c>
      <c r="F60" s="234">
        <v>7362</v>
      </c>
      <c r="G60" s="235">
        <v>838</v>
      </c>
      <c r="I60" s="236">
        <f t="shared" si="0"/>
        <v>0.89780487804878051</v>
      </c>
      <c r="J60" s="237">
        <f t="shared" si="1"/>
        <v>0.10219512195121951</v>
      </c>
      <c r="L60" s="238">
        <v>2829</v>
      </c>
      <c r="M60" s="238">
        <v>2514</v>
      </c>
      <c r="N60" s="238">
        <v>315</v>
      </c>
      <c r="P60" s="239">
        <f t="shared" si="2"/>
        <v>0.88865323435843058</v>
      </c>
      <c r="Q60" s="239">
        <f t="shared" si="3"/>
        <v>0.11134676564156946</v>
      </c>
    </row>
    <row r="61" spans="1:17" x14ac:dyDescent="0.3">
      <c r="A61" s="230" t="s">
        <v>136</v>
      </c>
      <c r="B61" s="231" t="s">
        <v>137</v>
      </c>
      <c r="C61" s="232" t="s">
        <v>254</v>
      </c>
      <c r="D61" s="232"/>
      <c r="E61" s="233">
        <v>2533</v>
      </c>
      <c r="F61" s="234">
        <v>2294</v>
      </c>
      <c r="G61" s="235">
        <v>239</v>
      </c>
      <c r="I61" s="236">
        <f t="shared" si="0"/>
        <v>0.90564547966837738</v>
      </c>
      <c r="J61" s="237">
        <f t="shared" si="1"/>
        <v>9.4354520331622588E-2</v>
      </c>
      <c r="L61" s="238">
        <v>820</v>
      </c>
      <c r="M61" s="238">
        <v>714</v>
      </c>
      <c r="N61" s="238">
        <v>106</v>
      </c>
      <c r="P61" s="239">
        <f t="shared" si="2"/>
        <v>0.87073170731707317</v>
      </c>
      <c r="Q61" s="239">
        <f t="shared" si="3"/>
        <v>0.12926829268292683</v>
      </c>
    </row>
    <row r="62" spans="1:17" x14ac:dyDescent="0.3">
      <c r="A62" s="230" t="s">
        <v>140</v>
      </c>
      <c r="B62" s="231" t="s">
        <v>141</v>
      </c>
      <c r="C62" s="232" t="s">
        <v>255</v>
      </c>
      <c r="D62" s="232"/>
      <c r="E62" s="233">
        <v>3275</v>
      </c>
      <c r="F62" s="234">
        <v>3038</v>
      </c>
      <c r="G62" s="235">
        <v>237</v>
      </c>
      <c r="I62" s="236">
        <f t="shared" si="0"/>
        <v>0.92763358778625959</v>
      </c>
      <c r="J62" s="237">
        <f t="shared" si="1"/>
        <v>7.2366412213740461E-2</v>
      </c>
      <c r="L62" s="238">
        <v>1155</v>
      </c>
      <c r="M62" s="238">
        <v>1059</v>
      </c>
      <c r="N62" s="238">
        <v>96</v>
      </c>
      <c r="P62" s="239">
        <f t="shared" si="2"/>
        <v>0.91688311688311686</v>
      </c>
      <c r="Q62" s="239">
        <f t="shared" si="3"/>
        <v>8.3116883116883117E-2</v>
      </c>
    </row>
    <row r="63" spans="1:17" x14ac:dyDescent="0.3">
      <c r="A63" s="230" t="s">
        <v>146</v>
      </c>
      <c r="B63" s="231" t="s">
        <v>147</v>
      </c>
      <c r="C63" s="232" t="s">
        <v>252</v>
      </c>
      <c r="D63" s="232"/>
      <c r="E63" s="233">
        <v>2330</v>
      </c>
      <c r="F63" s="234">
        <v>2197</v>
      </c>
      <c r="G63" s="235">
        <v>133</v>
      </c>
      <c r="I63" s="236">
        <f t="shared" si="0"/>
        <v>0.94291845493562232</v>
      </c>
      <c r="J63" s="237">
        <f t="shared" si="1"/>
        <v>5.7081545064377681E-2</v>
      </c>
      <c r="L63" s="238">
        <v>638</v>
      </c>
      <c r="M63" s="238">
        <v>601</v>
      </c>
      <c r="N63" s="238">
        <v>37</v>
      </c>
      <c r="P63" s="239">
        <f t="shared" si="2"/>
        <v>0.94200626959247646</v>
      </c>
      <c r="Q63" s="239">
        <f t="shared" si="3"/>
        <v>5.7993730407523508E-2</v>
      </c>
    </row>
    <row r="64" spans="1:17" x14ac:dyDescent="0.3">
      <c r="A64" s="230" t="s">
        <v>148</v>
      </c>
      <c r="B64" s="231" t="s">
        <v>149</v>
      </c>
      <c r="C64" s="232" t="s">
        <v>253</v>
      </c>
      <c r="D64" s="232"/>
      <c r="E64" s="233">
        <v>6861</v>
      </c>
      <c r="F64" s="234">
        <v>6186</v>
      </c>
      <c r="G64" s="235">
        <v>675</v>
      </c>
      <c r="I64" s="236">
        <f t="shared" si="0"/>
        <v>0.90161783996501965</v>
      </c>
      <c r="J64" s="237">
        <f t="shared" si="1"/>
        <v>9.838216003498032E-2</v>
      </c>
      <c r="L64" s="238">
        <v>1992</v>
      </c>
      <c r="M64" s="238">
        <v>1717</v>
      </c>
      <c r="N64" s="238">
        <v>275</v>
      </c>
      <c r="P64" s="239">
        <f t="shared" si="2"/>
        <v>0.86194779116465858</v>
      </c>
      <c r="Q64" s="239">
        <f t="shared" si="3"/>
        <v>0.13805220883534136</v>
      </c>
    </row>
    <row r="65" spans="1:17" x14ac:dyDescent="0.3">
      <c r="A65" s="230" t="s">
        <v>150</v>
      </c>
      <c r="B65" s="231" t="s">
        <v>151</v>
      </c>
      <c r="C65" s="232" t="s">
        <v>254</v>
      </c>
      <c r="D65" s="232"/>
      <c r="E65" s="233">
        <v>2747</v>
      </c>
      <c r="F65" s="234">
        <v>2538</v>
      </c>
      <c r="G65" s="235">
        <v>209</v>
      </c>
      <c r="I65" s="236">
        <f t="shared" si="0"/>
        <v>0.92391700036403346</v>
      </c>
      <c r="J65" s="237">
        <f t="shared" si="1"/>
        <v>7.6082999635966514E-2</v>
      </c>
      <c r="L65" s="238">
        <v>658</v>
      </c>
      <c r="M65" s="238">
        <v>585</v>
      </c>
      <c r="N65" s="238">
        <v>73</v>
      </c>
      <c r="P65" s="239">
        <f t="shared" si="2"/>
        <v>0.88905775075987847</v>
      </c>
      <c r="Q65" s="239">
        <f t="shared" si="3"/>
        <v>0.11094224924012158</v>
      </c>
    </row>
    <row r="66" spans="1:17" x14ac:dyDescent="0.3">
      <c r="A66" s="230" t="s">
        <v>152</v>
      </c>
      <c r="B66" s="231" t="s">
        <v>153</v>
      </c>
      <c r="C66" s="232" t="s">
        <v>256</v>
      </c>
      <c r="D66" s="232"/>
      <c r="E66" s="233">
        <v>16873</v>
      </c>
      <c r="F66" s="234">
        <v>14910</v>
      </c>
      <c r="G66" s="235">
        <v>1963</v>
      </c>
      <c r="I66" s="236">
        <f t="shared" si="0"/>
        <v>0.88366028566348609</v>
      </c>
      <c r="J66" s="237">
        <f t="shared" si="1"/>
        <v>0.11633971433651395</v>
      </c>
      <c r="L66" s="238">
        <v>6218</v>
      </c>
      <c r="M66" s="238">
        <v>5687</v>
      </c>
      <c r="N66" s="238">
        <v>531</v>
      </c>
      <c r="P66" s="239">
        <f t="shared" si="2"/>
        <v>0.91460276616275327</v>
      </c>
      <c r="Q66" s="239">
        <f t="shared" si="3"/>
        <v>8.5397233837246705E-2</v>
      </c>
    </row>
    <row r="67" spans="1:17" x14ac:dyDescent="0.3">
      <c r="A67" s="230" t="s">
        <v>154</v>
      </c>
      <c r="B67" s="231" t="s">
        <v>155</v>
      </c>
      <c r="C67" s="232" t="s">
        <v>253</v>
      </c>
      <c r="D67" s="232"/>
      <c r="E67" s="233">
        <v>3674</v>
      </c>
      <c r="F67" s="234">
        <v>3298</v>
      </c>
      <c r="G67" s="235">
        <v>376</v>
      </c>
      <c r="I67" s="236">
        <f t="shared" si="0"/>
        <v>0.89765922700054435</v>
      </c>
      <c r="J67" s="237">
        <f t="shared" si="1"/>
        <v>0.10234077299945564</v>
      </c>
      <c r="L67" s="238">
        <v>1100</v>
      </c>
      <c r="M67" s="238">
        <v>953</v>
      </c>
      <c r="N67" s="238">
        <v>147</v>
      </c>
      <c r="P67" s="239">
        <f t="shared" si="2"/>
        <v>0.86636363636363634</v>
      </c>
      <c r="Q67" s="239">
        <f t="shared" si="3"/>
        <v>0.13363636363636364</v>
      </c>
    </row>
    <row r="68" spans="1:17" x14ac:dyDescent="0.3">
      <c r="A68" s="230" t="s">
        <v>156</v>
      </c>
      <c r="B68" s="231" t="s">
        <v>157</v>
      </c>
      <c r="C68" s="232" t="s">
        <v>254</v>
      </c>
      <c r="D68" s="232"/>
      <c r="E68" s="233">
        <v>4793</v>
      </c>
      <c r="F68" s="234">
        <v>4456</v>
      </c>
      <c r="G68" s="235">
        <v>337</v>
      </c>
      <c r="I68" s="236">
        <f t="shared" si="0"/>
        <v>0.92968912998122266</v>
      </c>
      <c r="J68" s="237">
        <f t="shared" si="1"/>
        <v>7.031087001877738E-2</v>
      </c>
      <c r="L68" s="238">
        <v>1749</v>
      </c>
      <c r="M68" s="238">
        <v>1625</v>
      </c>
      <c r="N68" s="238">
        <v>124</v>
      </c>
      <c r="P68" s="239">
        <f t="shared" si="2"/>
        <v>0.9291023441966838</v>
      </c>
      <c r="Q68" s="239">
        <f t="shared" si="3"/>
        <v>7.0897655803316181E-2</v>
      </c>
    </row>
    <row r="69" spans="1:17" x14ac:dyDescent="0.3">
      <c r="A69" s="230" t="s">
        <v>162</v>
      </c>
      <c r="B69" s="231" t="s">
        <v>163</v>
      </c>
      <c r="C69" s="232" t="s">
        <v>252</v>
      </c>
      <c r="D69" s="232"/>
      <c r="E69" s="233">
        <v>2588</v>
      </c>
      <c r="F69" s="234">
        <v>2305</v>
      </c>
      <c r="G69" s="235">
        <v>283</v>
      </c>
      <c r="I69" s="236">
        <f t="shared" si="0"/>
        <v>0.89064914992272026</v>
      </c>
      <c r="J69" s="237">
        <f t="shared" si="1"/>
        <v>0.10935085007727975</v>
      </c>
      <c r="L69" s="238">
        <v>711</v>
      </c>
      <c r="M69" s="238">
        <v>599</v>
      </c>
      <c r="N69" s="238">
        <v>112</v>
      </c>
      <c r="P69" s="239">
        <f t="shared" si="2"/>
        <v>0.84247538677918421</v>
      </c>
      <c r="Q69" s="239">
        <f t="shared" si="3"/>
        <v>0.15752461322081576</v>
      </c>
    </row>
    <row r="70" spans="1:17" x14ac:dyDescent="0.3">
      <c r="A70" s="230" t="s">
        <v>164</v>
      </c>
      <c r="B70" s="231" t="s">
        <v>165</v>
      </c>
      <c r="C70" s="232" t="s">
        <v>254</v>
      </c>
      <c r="D70" s="232"/>
      <c r="E70" s="233">
        <v>3261</v>
      </c>
      <c r="F70" s="234">
        <v>3009</v>
      </c>
      <c r="G70" s="235">
        <v>252</v>
      </c>
      <c r="I70" s="236">
        <f t="shared" si="0"/>
        <v>0.92272309107635697</v>
      </c>
      <c r="J70" s="237">
        <f t="shared" si="1"/>
        <v>7.7276908923643056E-2</v>
      </c>
      <c r="L70" s="238">
        <v>657</v>
      </c>
      <c r="M70" s="238">
        <v>584</v>
      </c>
      <c r="N70" s="238">
        <v>73</v>
      </c>
      <c r="P70" s="239">
        <f t="shared" si="2"/>
        <v>0.88888888888888884</v>
      </c>
      <c r="Q70" s="239">
        <f t="shared" si="3"/>
        <v>0.1111111111111111</v>
      </c>
    </row>
    <row r="71" spans="1:17" x14ac:dyDescent="0.3">
      <c r="A71" s="230" t="s">
        <v>168</v>
      </c>
      <c r="B71" s="231" t="s">
        <v>169</v>
      </c>
      <c r="C71" s="232" t="s">
        <v>254</v>
      </c>
      <c r="D71" s="232"/>
      <c r="E71" s="233">
        <v>2872</v>
      </c>
      <c r="F71" s="234">
        <v>2555</v>
      </c>
      <c r="G71" s="235">
        <v>317</v>
      </c>
      <c r="I71" s="236">
        <f t="shared" ref="I71:I126" si="4">F71/E71</f>
        <v>0.88962395543175488</v>
      </c>
      <c r="J71" s="237">
        <f t="shared" ref="J71:J126" si="5">G71/E71</f>
        <v>0.11037604456824512</v>
      </c>
      <c r="L71" s="238">
        <v>1023</v>
      </c>
      <c r="M71" s="238">
        <v>879</v>
      </c>
      <c r="N71" s="238">
        <v>144</v>
      </c>
      <c r="P71" s="239">
        <f t="shared" ref="P71:P126" si="6">M71/L71</f>
        <v>0.85923753665689151</v>
      </c>
      <c r="Q71" s="239">
        <f t="shared" ref="Q71:Q126" si="7">N71/L71</f>
        <v>0.14076246334310852</v>
      </c>
    </row>
    <row r="72" spans="1:17" x14ac:dyDescent="0.3">
      <c r="A72" s="230" t="s">
        <v>170</v>
      </c>
      <c r="B72" s="231" t="s">
        <v>171</v>
      </c>
      <c r="C72" s="232" t="s">
        <v>255</v>
      </c>
      <c r="D72" s="232"/>
      <c r="E72" s="233">
        <v>8029</v>
      </c>
      <c r="F72" s="234">
        <v>7323</v>
      </c>
      <c r="G72" s="235">
        <v>706</v>
      </c>
      <c r="I72" s="236">
        <f t="shared" si="4"/>
        <v>0.91206875077842819</v>
      </c>
      <c r="J72" s="237">
        <f t="shared" si="5"/>
        <v>8.7931249221571806E-2</v>
      </c>
      <c r="L72" s="238">
        <v>2859</v>
      </c>
      <c r="M72" s="238">
        <v>2581</v>
      </c>
      <c r="N72" s="238">
        <v>278</v>
      </c>
      <c r="P72" s="239">
        <f t="shared" si="6"/>
        <v>0.90276320391745368</v>
      </c>
      <c r="Q72" s="239">
        <f t="shared" si="7"/>
        <v>9.7236796082546345E-2</v>
      </c>
    </row>
    <row r="73" spans="1:17" x14ac:dyDescent="0.3">
      <c r="A73" s="230" t="s">
        <v>172</v>
      </c>
      <c r="B73" s="231" t="s">
        <v>173</v>
      </c>
      <c r="C73" s="232" t="s">
        <v>255</v>
      </c>
      <c r="D73" s="232"/>
      <c r="E73" s="233">
        <v>5801</v>
      </c>
      <c r="F73" s="234">
        <v>5126</v>
      </c>
      <c r="G73" s="235">
        <v>675</v>
      </c>
      <c r="I73" s="236">
        <f t="shared" si="4"/>
        <v>0.88364075159455269</v>
      </c>
      <c r="J73" s="237">
        <f t="shared" si="5"/>
        <v>0.11635924840544734</v>
      </c>
      <c r="L73" s="238">
        <v>2042</v>
      </c>
      <c r="M73" s="238">
        <v>1748</v>
      </c>
      <c r="N73" s="238">
        <v>294</v>
      </c>
      <c r="P73" s="239">
        <f t="shared" si="6"/>
        <v>0.85602350636630753</v>
      </c>
      <c r="Q73" s="239">
        <f t="shared" si="7"/>
        <v>0.14397649363369247</v>
      </c>
    </row>
    <row r="74" spans="1:17" x14ac:dyDescent="0.3">
      <c r="A74" s="230" t="s">
        <v>174</v>
      </c>
      <c r="B74" s="231" t="s">
        <v>175</v>
      </c>
      <c r="C74" s="232" t="s">
        <v>256</v>
      </c>
      <c r="D74" s="232"/>
      <c r="E74" s="233">
        <v>4631</v>
      </c>
      <c r="F74" s="234">
        <v>4305</v>
      </c>
      <c r="G74" s="235">
        <v>326</v>
      </c>
      <c r="I74" s="236">
        <f t="shared" si="4"/>
        <v>0.92960483696825735</v>
      </c>
      <c r="J74" s="237">
        <f t="shared" si="5"/>
        <v>7.0395163031742605E-2</v>
      </c>
      <c r="L74" s="238">
        <v>1404</v>
      </c>
      <c r="M74" s="238">
        <v>1272</v>
      </c>
      <c r="N74" s="238">
        <v>132</v>
      </c>
      <c r="P74" s="239">
        <f t="shared" si="6"/>
        <v>0.90598290598290598</v>
      </c>
      <c r="Q74" s="239">
        <f t="shared" si="7"/>
        <v>9.4017094017094016E-2</v>
      </c>
    </row>
    <row r="75" spans="1:17" x14ac:dyDescent="0.3">
      <c r="A75" s="230" t="s">
        <v>178</v>
      </c>
      <c r="B75" s="231" t="s">
        <v>179</v>
      </c>
      <c r="C75" s="232" t="s">
        <v>253</v>
      </c>
      <c r="D75" s="232"/>
      <c r="E75" s="233">
        <v>14710</v>
      </c>
      <c r="F75" s="234">
        <v>13591</v>
      </c>
      <c r="G75" s="235">
        <v>1119</v>
      </c>
      <c r="I75" s="236">
        <f t="shared" si="4"/>
        <v>0.92392929979605709</v>
      </c>
      <c r="J75" s="237">
        <f t="shared" si="5"/>
        <v>7.6070700203942895E-2</v>
      </c>
      <c r="L75" s="238">
        <v>4922</v>
      </c>
      <c r="M75" s="238">
        <v>4454</v>
      </c>
      <c r="N75" s="238">
        <v>468</v>
      </c>
      <c r="P75" s="239">
        <f t="shared" si="6"/>
        <v>0.90491670052824058</v>
      </c>
      <c r="Q75" s="239">
        <f t="shared" si="7"/>
        <v>9.5083299471759447E-2</v>
      </c>
    </row>
    <row r="76" spans="1:17" x14ac:dyDescent="0.3">
      <c r="A76" s="230" t="s">
        <v>182</v>
      </c>
      <c r="B76" s="231" t="s">
        <v>183</v>
      </c>
      <c r="C76" s="232" t="s">
        <v>254</v>
      </c>
      <c r="D76" s="232"/>
      <c r="E76" s="233">
        <v>6742</v>
      </c>
      <c r="F76" s="234">
        <v>6381</v>
      </c>
      <c r="G76" s="235">
        <v>361</v>
      </c>
      <c r="I76" s="236">
        <f t="shared" si="4"/>
        <v>0.94645505784633643</v>
      </c>
      <c r="J76" s="237">
        <f t="shared" si="5"/>
        <v>5.3544942153663601E-2</v>
      </c>
      <c r="L76" s="238">
        <v>2714</v>
      </c>
      <c r="M76" s="238">
        <v>2587</v>
      </c>
      <c r="N76" s="238">
        <v>127</v>
      </c>
      <c r="P76" s="239">
        <f t="shared" si="6"/>
        <v>0.95320560058953574</v>
      </c>
      <c r="Q76" s="239">
        <f t="shared" si="7"/>
        <v>4.679439941046426E-2</v>
      </c>
    </row>
    <row r="77" spans="1:17" x14ac:dyDescent="0.3">
      <c r="A77" s="230" t="s">
        <v>184</v>
      </c>
      <c r="B77" s="231" t="s">
        <v>185</v>
      </c>
      <c r="C77" s="232" t="s">
        <v>254</v>
      </c>
      <c r="D77" s="232"/>
      <c r="E77" s="233">
        <v>3707</v>
      </c>
      <c r="F77" s="234">
        <v>3275</v>
      </c>
      <c r="G77" s="235">
        <v>432</v>
      </c>
      <c r="I77" s="236">
        <f t="shared" si="4"/>
        <v>0.88346371729161044</v>
      </c>
      <c r="J77" s="237">
        <f t="shared" si="5"/>
        <v>0.11653628270838953</v>
      </c>
      <c r="L77" s="238">
        <v>1279</v>
      </c>
      <c r="M77" s="238">
        <v>1098</v>
      </c>
      <c r="N77" s="238">
        <v>181</v>
      </c>
      <c r="P77" s="239">
        <f t="shared" si="6"/>
        <v>0.85848318999218143</v>
      </c>
      <c r="Q77" s="239">
        <f t="shared" si="7"/>
        <v>0.1415168100078186</v>
      </c>
    </row>
    <row r="78" spans="1:17" x14ac:dyDescent="0.3">
      <c r="A78" s="230" t="s">
        <v>186</v>
      </c>
      <c r="B78" s="231" t="s">
        <v>187</v>
      </c>
      <c r="C78" s="232" t="s">
        <v>252</v>
      </c>
      <c r="D78" s="232"/>
      <c r="E78" s="233">
        <v>7326</v>
      </c>
      <c r="F78" s="234">
        <v>6849</v>
      </c>
      <c r="G78" s="235">
        <v>477</v>
      </c>
      <c r="I78" s="236">
        <f t="shared" si="4"/>
        <v>0.93488943488943488</v>
      </c>
      <c r="J78" s="237">
        <f t="shared" si="5"/>
        <v>6.5110565110565108E-2</v>
      </c>
      <c r="L78" s="238">
        <v>2939</v>
      </c>
      <c r="M78" s="238">
        <v>2743</v>
      </c>
      <c r="N78" s="238">
        <v>196</v>
      </c>
      <c r="P78" s="239">
        <f t="shared" si="6"/>
        <v>0.93331064988091184</v>
      </c>
      <c r="Q78" s="239">
        <f t="shared" si="7"/>
        <v>6.6689350119088123E-2</v>
      </c>
    </row>
    <row r="79" spans="1:17" x14ac:dyDescent="0.3">
      <c r="A79" s="230" t="s">
        <v>188</v>
      </c>
      <c r="B79" s="231" t="s">
        <v>189</v>
      </c>
      <c r="C79" s="232" t="s">
        <v>255</v>
      </c>
      <c r="D79" s="232"/>
      <c r="E79" s="233">
        <v>84487</v>
      </c>
      <c r="F79" s="234">
        <v>78037</v>
      </c>
      <c r="G79" s="235">
        <v>6450</v>
      </c>
      <c r="I79" s="236">
        <f t="shared" si="4"/>
        <v>0.92365689396001749</v>
      </c>
      <c r="J79" s="237">
        <f t="shared" si="5"/>
        <v>7.6343106039982483E-2</v>
      </c>
      <c r="L79" s="238">
        <v>44548</v>
      </c>
      <c r="M79" s="238">
        <v>41816</v>
      </c>
      <c r="N79" s="238">
        <v>2732</v>
      </c>
      <c r="P79" s="239">
        <f t="shared" si="6"/>
        <v>0.93867289216126426</v>
      </c>
      <c r="Q79" s="239">
        <f t="shared" si="7"/>
        <v>6.1327107838735746E-2</v>
      </c>
    </row>
    <row r="80" spans="1:17" x14ac:dyDescent="0.3">
      <c r="A80" s="230" t="s">
        <v>190</v>
      </c>
      <c r="B80" s="231" t="s">
        <v>191</v>
      </c>
      <c r="C80" s="232" t="s">
        <v>256</v>
      </c>
      <c r="D80" s="232"/>
      <c r="E80" s="233">
        <v>8123</v>
      </c>
      <c r="F80" s="234">
        <v>7332</v>
      </c>
      <c r="G80" s="235">
        <v>791</v>
      </c>
      <c r="I80" s="236">
        <f t="shared" si="4"/>
        <v>0.90262218392219629</v>
      </c>
      <c r="J80" s="237">
        <f t="shared" si="5"/>
        <v>9.7377816077803769E-2</v>
      </c>
      <c r="L80" s="238">
        <v>2499</v>
      </c>
      <c r="M80" s="238">
        <v>2197</v>
      </c>
      <c r="N80" s="238">
        <v>302</v>
      </c>
      <c r="P80" s="239">
        <f t="shared" si="6"/>
        <v>0.87915166066426575</v>
      </c>
      <c r="Q80" s="239">
        <f t="shared" si="7"/>
        <v>0.1208483393357343</v>
      </c>
    </row>
    <row r="81" spans="1:17" x14ac:dyDescent="0.3">
      <c r="A81" s="230" t="s">
        <v>194</v>
      </c>
      <c r="B81" s="231" t="s">
        <v>195</v>
      </c>
      <c r="C81" s="232" t="s">
        <v>255</v>
      </c>
      <c r="D81" s="232"/>
      <c r="E81" s="233">
        <v>1838</v>
      </c>
      <c r="F81" s="234">
        <v>1685</v>
      </c>
      <c r="G81" s="235">
        <v>153</v>
      </c>
      <c r="I81" s="236">
        <f t="shared" si="4"/>
        <v>0.91675734494015237</v>
      </c>
      <c r="J81" s="237">
        <f t="shared" si="5"/>
        <v>8.3242655059847667E-2</v>
      </c>
      <c r="L81" s="238">
        <v>573</v>
      </c>
      <c r="M81" s="238">
        <v>521</v>
      </c>
      <c r="N81" s="238">
        <v>52</v>
      </c>
      <c r="P81" s="239">
        <f t="shared" si="6"/>
        <v>0.90924956369982546</v>
      </c>
      <c r="Q81" s="239">
        <f t="shared" si="7"/>
        <v>9.0750436300174514E-2</v>
      </c>
    </row>
    <row r="82" spans="1:17" x14ac:dyDescent="0.3">
      <c r="A82" s="230" t="s">
        <v>198</v>
      </c>
      <c r="B82" s="231" t="s">
        <v>199</v>
      </c>
      <c r="C82" s="232" t="s">
        <v>254</v>
      </c>
      <c r="D82" s="232"/>
      <c r="E82" s="233">
        <v>1629</v>
      </c>
      <c r="F82" s="234">
        <v>1480</v>
      </c>
      <c r="G82" s="235">
        <v>149</v>
      </c>
      <c r="I82" s="236">
        <f t="shared" si="4"/>
        <v>0.9085328422344997</v>
      </c>
      <c r="J82" s="237">
        <f t="shared" si="5"/>
        <v>9.1467157765500309E-2</v>
      </c>
      <c r="L82" s="238">
        <v>553</v>
      </c>
      <c r="M82" s="238">
        <v>488</v>
      </c>
      <c r="N82" s="238">
        <v>65</v>
      </c>
      <c r="P82" s="239">
        <f t="shared" si="6"/>
        <v>0.88245931283905965</v>
      </c>
      <c r="Q82" s="239">
        <f t="shared" si="7"/>
        <v>0.11754068716094032</v>
      </c>
    </row>
    <row r="83" spans="1:17" x14ac:dyDescent="0.3">
      <c r="A83" s="230" t="s">
        <v>202</v>
      </c>
      <c r="B83" s="231" t="s">
        <v>474</v>
      </c>
      <c r="C83" s="232" t="s">
        <v>253</v>
      </c>
      <c r="D83" s="232"/>
      <c r="E83" s="233">
        <v>27391</v>
      </c>
      <c r="F83" s="234">
        <v>25544</v>
      </c>
      <c r="G83" s="235">
        <v>1847</v>
      </c>
      <c r="I83" s="236">
        <f t="shared" si="4"/>
        <v>0.93256909203753058</v>
      </c>
      <c r="J83" s="237">
        <f t="shared" si="5"/>
        <v>6.7430907962469422E-2</v>
      </c>
      <c r="L83" s="238">
        <v>10136</v>
      </c>
      <c r="M83" s="238">
        <v>9529</v>
      </c>
      <c r="N83" s="238">
        <v>607</v>
      </c>
      <c r="P83" s="239">
        <f t="shared" si="6"/>
        <v>0.94011444356748219</v>
      </c>
      <c r="Q83" s="239">
        <f t="shared" si="7"/>
        <v>5.9885556432517757E-2</v>
      </c>
    </row>
    <row r="84" spans="1:17" x14ac:dyDescent="0.3">
      <c r="A84" s="230" t="s">
        <v>204</v>
      </c>
      <c r="B84" s="231" t="s">
        <v>281</v>
      </c>
      <c r="C84" s="232" t="s">
        <v>253</v>
      </c>
      <c r="D84" s="232"/>
      <c r="E84" s="233">
        <v>7830</v>
      </c>
      <c r="F84" s="234">
        <v>7065</v>
      </c>
      <c r="G84" s="235">
        <v>765</v>
      </c>
      <c r="I84" s="236">
        <f t="shared" si="4"/>
        <v>0.9022988505747126</v>
      </c>
      <c r="J84" s="237">
        <f t="shared" si="5"/>
        <v>9.7701149425287362E-2</v>
      </c>
      <c r="L84" s="238">
        <v>2523</v>
      </c>
      <c r="M84" s="238">
        <v>2233</v>
      </c>
      <c r="N84" s="238">
        <v>290</v>
      </c>
      <c r="P84" s="239">
        <f t="shared" si="6"/>
        <v>0.88505747126436785</v>
      </c>
      <c r="Q84" s="239">
        <f t="shared" si="7"/>
        <v>0.11494252873563218</v>
      </c>
    </row>
    <row r="85" spans="1:17" x14ac:dyDescent="0.3">
      <c r="A85" s="230" t="s">
        <v>206</v>
      </c>
      <c r="B85" s="231" t="s">
        <v>282</v>
      </c>
      <c r="C85" s="232" t="s">
        <v>255</v>
      </c>
      <c r="D85" s="232"/>
      <c r="E85" s="233">
        <v>24868</v>
      </c>
      <c r="F85" s="234">
        <v>22377</v>
      </c>
      <c r="G85" s="235">
        <v>2491</v>
      </c>
      <c r="I85" s="236">
        <f t="shared" si="4"/>
        <v>0.89983110825156831</v>
      </c>
      <c r="J85" s="237">
        <f t="shared" si="5"/>
        <v>0.10016889174843172</v>
      </c>
      <c r="L85" s="238">
        <v>9709</v>
      </c>
      <c r="M85" s="238">
        <v>8763</v>
      </c>
      <c r="N85" s="238">
        <v>946</v>
      </c>
      <c r="P85" s="239">
        <f t="shared" si="6"/>
        <v>0.90256463075496962</v>
      </c>
      <c r="Q85" s="239">
        <f t="shared" si="7"/>
        <v>9.7435369245030379E-2</v>
      </c>
    </row>
    <row r="86" spans="1:17" x14ac:dyDescent="0.3">
      <c r="A86" s="230" t="s">
        <v>208</v>
      </c>
      <c r="B86" s="231" t="s">
        <v>209</v>
      </c>
      <c r="C86" s="232" t="s">
        <v>256</v>
      </c>
      <c r="D86" s="232"/>
      <c r="E86" s="233">
        <v>7121</v>
      </c>
      <c r="F86" s="234">
        <v>6663</v>
      </c>
      <c r="G86" s="235">
        <v>458</v>
      </c>
      <c r="I86" s="236">
        <f t="shared" si="4"/>
        <v>0.9356831905631231</v>
      </c>
      <c r="J86" s="237">
        <f t="shared" si="5"/>
        <v>6.4316809436876843E-2</v>
      </c>
      <c r="L86" s="238">
        <v>2435</v>
      </c>
      <c r="M86" s="238">
        <v>2264</v>
      </c>
      <c r="N86" s="238">
        <v>171</v>
      </c>
      <c r="P86" s="239">
        <f t="shared" si="6"/>
        <v>0.92977412731006159</v>
      </c>
      <c r="Q86" s="239">
        <f t="shared" si="7"/>
        <v>7.0225872689938393E-2</v>
      </c>
    </row>
    <row r="87" spans="1:17" x14ac:dyDescent="0.3">
      <c r="A87" s="230" t="s">
        <v>210</v>
      </c>
      <c r="B87" s="231" t="s">
        <v>211</v>
      </c>
      <c r="C87" s="232" t="s">
        <v>256</v>
      </c>
      <c r="D87" s="232"/>
      <c r="E87" s="233">
        <v>5615</v>
      </c>
      <c r="F87" s="234">
        <v>5267</v>
      </c>
      <c r="G87" s="235">
        <v>348</v>
      </c>
      <c r="I87" s="236">
        <f t="shared" si="4"/>
        <v>0.93802315227070343</v>
      </c>
      <c r="J87" s="237">
        <f t="shared" si="5"/>
        <v>6.1976847729296528E-2</v>
      </c>
      <c r="L87" s="238">
        <v>1805</v>
      </c>
      <c r="M87" s="238">
        <v>1674</v>
      </c>
      <c r="N87" s="238">
        <v>131</v>
      </c>
      <c r="P87" s="239">
        <f t="shared" si="6"/>
        <v>0.92742382271468149</v>
      </c>
      <c r="Q87" s="239">
        <f t="shared" si="7"/>
        <v>7.2576177285318566E-2</v>
      </c>
    </row>
    <row r="88" spans="1:17" x14ac:dyDescent="0.3">
      <c r="A88" s="230" t="s">
        <v>212</v>
      </c>
      <c r="B88" s="231" t="s">
        <v>213</v>
      </c>
      <c r="C88" s="232" t="s">
        <v>255</v>
      </c>
      <c r="D88" s="232"/>
      <c r="E88" s="233">
        <v>10226</v>
      </c>
      <c r="F88" s="234">
        <v>9052</v>
      </c>
      <c r="G88" s="235">
        <v>1174</v>
      </c>
      <c r="I88" s="236">
        <f t="shared" si="4"/>
        <v>0.88519460199491495</v>
      </c>
      <c r="J88" s="237">
        <f t="shared" si="5"/>
        <v>0.11480539800508507</v>
      </c>
      <c r="L88" s="238">
        <v>3535</v>
      </c>
      <c r="M88" s="238">
        <v>3074</v>
      </c>
      <c r="N88" s="238">
        <v>461</v>
      </c>
      <c r="P88" s="239">
        <f t="shared" si="6"/>
        <v>0.86958981612446962</v>
      </c>
      <c r="Q88" s="239">
        <f t="shared" si="7"/>
        <v>0.13041018387553041</v>
      </c>
    </row>
    <row r="89" spans="1:17" x14ac:dyDescent="0.3">
      <c r="A89" s="230" t="s">
        <v>214</v>
      </c>
      <c r="B89" s="231" t="s">
        <v>215</v>
      </c>
      <c r="C89" s="232" t="s">
        <v>256</v>
      </c>
      <c r="D89" s="232"/>
      <c r="E89" s="233">
        <v>7375</v>
      </c>
      <c r="F89" s="234">
        <v>6640</v>
      </c>
      <c r="G89" s="235">
        <v>735</v>
      </c>
      <c r="I89" s="236">
        <f t="shared" si="4"/>
        <v>0.90033898305084747</v>
      </c>
      <c r="J89" s="237">
        <f t="shared" si="5"/>
        <v>9.9661016949152539E-2</v>
      </c>
      <c r="L89" s="238">
        <v>2466</v>
      </c>
      <c r="M89" s="238">
        <v>2168</v>
      </c>
      <c r="N89" s="238">
        <v>298</v>
      </c>
      <c r="P89" s="239">
        <f t="shared" si="6"/>
        <v>0.87915652879156525</v>
      </c>
      <c r="Q89" s="239">
        <f t="shared" si="7"/>
        <v>0.12084347120843471</v>
      </c>
    </row>
    <row r="90" spans="1:17" x14ac:dyDescent="0.3">
      <c r="A90" s="230" t="s">
        <v>216</v>
      </c>
      <c r="B90" s="231" t="s">
        <v>217</v>
      </c>
      <c r="C90" s="232" t="s">
        <v>252</v>
      </c>
      <c r="D90" s="232"/>
      <c r="E90" s="233">
        <v>3804</v>
      </c>
      <c r="F90" s="234">
        <v>3501</v>
      </c>
      <c r="G90" s="235">
        <v>303</v>
      </c>
      <c r="I90" s="236">
        <f t="shared" si="4"/>
        <v>0.92034700315457418</v>
      </c>
      <c r="J90" s="237">
        <f t="shared" si="5"/>
        <v>7.9652996845425872E-2</v>
      </c>
      <c r="L90" s="238">
        <v>1348</v>
      </c>
      <c r="M90" s="238">
        <v>1235</v>
      </c>
      <c r="N90" s="238">
        <v>113</v>
      </c>
      <c r="P90" s="239">
        <f t="shared" si="6"/>
        <v>0.91617210682492578</v>
      </c>
      <c r="Q90" s="239">
        <f t="shared" si="7"/>
        <v>8.3827893175074178E-2</v>
      </c>
    </row>
    <row r="91" spans="1:17" x14ac:dyDescent="0.3">
      <c r="A91" s="230" t="s">
        <v>218</v>
      </c>
      <c r="B91" s="231" t="s">
        <v>219</v>
      </c>
      <c r="C91" s="232" t="s">
        <v>255</v>
      </c>
      <c r="D91" s="232"/>
      <c r="E91" s="233">
        <v>27740</v>
      </c>
      <c r="F91" s="234">
        <v>25473</v>
      </c>
      <c r="G91" s="235">
        <v>2267</v>
      </c>
      <c r="I91" s="236">
        <f t="shared" si="4"/>
        <v>0.91827685652487379</v>
      </c>
      <c r="J91" s="237">
        <f t="shared" si="5"/>
        <v>8.1723143475126173E-2</v>
      </c>
      <c r="L91" s="238">
        <v>12842</v>
      </c>
      <c r="M91" s="238">
        <v>11937</v>
      </c>
      <c r="N91" s="238">
        <v>905</v>
      </c>
      <c r="P91" s="239">
        <f t="shared" si="6"/>
        <v>0.92952811088615483</v>
      </c>
      <c r="Q91" s="239">
        <f t="shared" si="7"/>
        <v>7.0471889113845193E-2</v>
      </c>
    </row>
    <row r="92" spans="1:17" x14ac:dyDescent="0.3">
      <c r="A92" s="230" t="s">
        <v>220</v>
      </c>
      <c r="B92" s="231" t="s">
        <v>221</v>
      </c>
      <c r="C92" s="232" t="s">
        <v>255</v>
      </c>
      <c r="D92" s="232"/>
      <c r="E92" s="233">
        <v>28707</v>
      </c>
      <c r="F92" s="234">
        <v>26742</v>
      </c>
      <c r="G92" s="235">
        <v>1965</v>
      </c>
      <c r="I92" s="236">
        <f t="shared" si="4"/>
        <v>0.93154979621695055</v>
      </c>
      <c r="J92" s="237">
        <f t="shared" si="5"/>
        <v>6.8450203783049432E-2</v>
      </c>
      <c r="L92" s="238">
        <v>14418</v>
      </c>
      <c r="M92" s="238">
        <v>13579</v>
      </c>
      <c r="N92" s="238">
        <v>839</v>
      </c>
      <c r="P92" s="239">
        <f t="shared" si="6"/>
        <v>0.94180885004855042</v>
      </c>
      <c r="Q92" s="239">
        <f t="shared" si="7"/>
        <v>5.8191149951449576E-2</v>
      </c>
    </row>
    <row r="93" spans="1:17" x14ac:dyDescent="0.3">
      <c r="A93" s="230" t="s">
        <v>224</v>
      </c>
      <c r="B93" s="231" t="s">
        <v>225</v>
      </c>
      <c r="C93" s="232" t="s">
        <v>252</v>
      </c>
      <c r="D93" s="232"/>
      <c r="E93" s="233">
        <v>1585</v>
      </c>
      <c r="F93" s="234">
        <v>1455</v>
      </c>
      <c r="G93" s="235">
        <v>130</v>
      </c>
      <c r="I93" s="236">
        <f t="shared" si="4"/>
        <v>0.917981072555205</v>
      </c>
      <c r="J93" s="237">
        <f t="shared" si="5"/>
        <v>8.2018927444794956E-2</v>
      </c>
      <c r="L93" s="238">
        <v>492</v>
      </c>
      <c r="M93" s="238">
        <v>446</v>
      </c>
      <c r="N93" s="238">
        <v>46</v>
      </c>
      <c r="P93" s="239">
        <f t="shared" si="6"/>
        <v>0.9065040650406504</v>
      </c>
      <c r="Q93" s="239">
        <f t="shared" si="7"/>
        <v>9.3495934959349589E-2</v>
      </c>
    </row>
    <row r="94" spans="1:17" x14ac:dyDescent="0.3">
      <c r="A94" s="230" t="s">
        <v>226</v>
      </c>
      <c r="B94" s="231" t="s">
        <v>227</v>
      </c>
      <c r="C94" s="232" t="s">
        <v>252</v>
      </c>
      <c r="D94" s="232"/>
      <c r="E94" s="233">
        <v>1927</v>
      </c>
      <c r="F94" s="234">
        <v>1700</v>
      </c>
      <c r="G94" s="235">
        <v>227</v>
      </c>
      <c r="I94" s="236">
        <f t="shared" si="4"/>
        <v>0.8822003113648158</v>
      </c>
      <c r="J94" s="237">
        <f t="shared" si="5"/>
        <v>0.11779968863518422</v>
      </c>
      <c r="L94" s="238">
        <v>596</v>
      </c>
      <c r="M94" s="238">
        <v>516</v>
      </c>
      <c r="N94" s="238">
        <v>80</v>
      </c>
      <c r="P94" s="239">
        <f t="shared" si="6"/>
        <v>0.86577181208053688</v>
      </c>
      <c r="Q94" s="239">
        <f t="shared" si="7"/>
        <v>0.13422818791946309</v>
      </c>
    </row>
    <row r="95" spans="1:17" x14ac:dyDescent="0.3">
      <c r="A95" s="230" t="s">
        <v>228</v>
      </c>
      <c r="B95" s="231" t="s">
        <v>229</v>
      </c>
      <c r="C95" s="232" t="s">
        <v>256</v>
      </c>
      <c r="D95" s="232"/>
      <c r="E95" s="233">
        <v>10694</v>
      </c>
      <c r="F95" s="234">
        <v>9927</v>
      </c>
      <c r="G95" s="235">
        <v>767</v>
      </c>
      <c r="I95" s="236">
        <f t="shared" si="4"/>
        <v>0.92827753880680752</v>
      </c>
      <c r="J95" s="237">
        <f t="shared" si="5"/>
        <v>7.1722461193192449E-2</v>
      </c>
      <c r="L95" s="238">
        <v>3630</v>
      </c>
      <c r="M95" s="238">
        <v>3309</v>
      </c>
      <c r="N95" s="238">
        <v>321</v>
      </c>
      <c r="P95" s="239">
        <f t="shared" si="6"/>
        <v>0.9115702479338843</v>
      </c>
      <c r="Q95" s="239">
        <f t="shared" si="7"/>
        <v>8.8429752066115697E-2</v>
      </c>
    </row>
    <row r="96" spans="1:17" x14ac:dyDescent="0.3">
      <c r="A96" s="230" t="s">
        <v>232</v>
      </c>
      <c r="B96" s="231" t="s">
        <v>233</v>
      </c>
      <c r="C96" s="232" t="s">
        <v>255</v>
      </c>
      <c r="D96" s="232"/>
      <c r="E96" s="233">
        <v>8466</v>
      </c>
      <c r="F96" s="234">
        <v>7448</v>
      </c>
      <c r="G96" s="235">
        <v>1018</v>
      </c>
      <c r="I96" s="236">
        <f t="shared" si="4"/>
        <v>0.87975431136309945</v>
      </c>
      <c r="J96" s="237">
        <f t="shared" si="5"/>
        <v>0.12024568863690055</v>
      </c>
      <c r="L96" s="238">
        <v>3365</v>
      </c>
      <c r="M96" s="238">
        <v>2964</v>
      </c>
      <c r="N96" s="238">
        <v>401</v>
      </c>
      <c r="P96" s="239">
        <f t="shared" si="6"/>
        <v>0.88083209509658245</v>
      </c>
      <c r="Q96" s="239">
        <f t="shared" si="7"/>
        <v>0.11916790490341754</v>
      </c>
    </row>
    <row r="97" spans="1:17" x14ac:dyDescent="0.3">
      <c r="A97" s="230" t="s">
        <v>234</v>
      </c>
      <c r="B97" s="231" t="s">
        <v>235</v>
      </c>
      <c r="C97" s="232" t="s">
        <v>256</v>
      </c>
      <c r="D97" s="232"/>
      <c r="E97" s="233">
        <v>13451</v>
      </c>
      <c r="F97" s="234">
        <v>12472</v>
      </c>
      <c r="G97" s="235">
        <v>979</v>
      </c>
      <c r="I97" s="236">
        <f t="shared" si="4"/>
        <v>0.92721730726340046</v>
      </c>
      <c r="J97" s="237">
        <f t="shared" si="5"/>
        <v>7.2782692736599514E-2</v>
      </c>
      <c r="L97" s="238">
        <v>4316</v>
      </c>
      <c r="M97" s="238">
        <v>3992</v>
      </c>
      <c r="N97" s="238">
        <v>324</v>
      </c>
      <c r="P97" s="239">
        <f t="shared" si="6"/>
        <v>0.92493049119555149</v>
      </c>
      <c r="Q97" s="239">
        <f t="shared" si="7"/>
        <v>7.506950880444857E-2</v>
      </c>
    </row>
    <row r="98" spans="1:17" x14ac:dyDescent="0.3">
      <c r="A98" s="230" t="s">
        <v>236</v>
      </c>
      <c r="B98" s="231" t="s">
        <v>237</v>
      </c>
      <c r="C98" s="232" t="s">
        <v>254</v>
      </c>
      <c r="D98" s="232"/>
      <c r="E98" s="233">
        <v>3942</v>
      </c>
      <c r="F98" s="234">
        <v>3509</v>
      </c>
      <c r="G98" s="235">
        <v>433</v>
      </c>
      <c r="I98" s="236">
        <f t="shared" si="4"/>
        <v>0.89015728056823951</v>
      </c>
      <c r="J98" s="237">
        <f t="shared" si="5"/>
        <v>0.10984271943176052</v>
      </c>
      <c r="L98" s="238">
        <v>1096</v>
      </c>
      <c r="M98" s="238">
        <v>949</v>
      </c>
      <c r="N98" s="238">
        <v>147</v>
      </c>
      <c r="P98" s="239">
        <f t="shared" si="6"/>
        <v>0.86587591240875916</v>
      </c>
      <c r="Q98" s="239">
        <f t="shared" si="7"/>
        <v>0.13412408759124086</v>
      </c>
    </row>
    <row r="99" spans="1:17" x14ac:dyDescent="0.3">
      <c r="A99" s="230" t="s">
        <v>242</v>
      </c>
      <c r="B99" s="231" t="s">
        <v>243</v>
      </c>
      <c r="C99" s="232" t="s">
        <v>256</v>
      </c>
      <c r="D99" s="232"/>
      <c r="E99" s="233">
        <v>8806</v>
      </c>
      <c r="F99" s="234">
        <v>8036</v>
      </c>
      <c r="G99" s="235">
        <v>770</v>
      </c>
      <c r="I99" s="236">
        <f t="shared" si="4"/>
        <v>0.91255961844197142</v>
      </c>
      <c r="J99" s="237">
        <f t="shared" si="5"/>
        <v>8.7440381558028621E-2</v>
      </c>
      <c r="L99" s="238">
        <v>3189</v>
      </c>
      <c r="M99" s="238">
        <v>2847</v>
      </c>
      <c r="N99" s="238">
        <v>342</v>
      </c>
      <c r="P99" s="239">
        <f t="shared" si="6"/>
        <v>0.89275634995296327</v>
      </c>
      <c r="Q99" s="239">
        <f t="shared" si="7"/>
        <v>0.10724365004703669</v>
      </c>
    </row>
    <row r="100" spans="1:17" x14ac:dyDescent="0.3">
      <c r="A100" s="230" t="s">
        <v>244</v>
      </c>
      <c r="B100" s="231" t="s">
        <v>245</v>
      </c>
      <c r="C100" s="232" t="s">
        <v>256</v>
      </c>
      <c r="D100" s="232"/>
      <c r="E100" s="233">
        <v>7017</v>
      </c>
      <c r="F100" s="234">
        <v>6427</v>
      </c>
      <c r="G100" s="235">
        <v>590</v>
      </c>
      <c r="I100" s="236">
        <f t="shared" si="4"/>
        <v>0.91591848368248541</v>
      </c>
      <c r="J100" s="237">
        <f t="shared" si="5"/>
        <v>8.4081516317514607E-2</v>
      </c>
      <c r="L100" s="238">
        <v>2359</v>
      </c>
      <c r="M100" s="238">
        <v>2122</v>
      </c>
      <c r="N100" s="238">
        <v>237</v>
      </c>
      <c r="P100" s="239">
        <f t="shared" si="6"/>
        <v>0.89953370072064431</v>
      </c>
      <c r="Q100" s="239">
        <f t="shared" si="7"/>
        <v>0.10046629927935566</v>
      </c>
    </row>
    <row r="101" spans="1:17" x14ac:dyDescent="0.3">
      <c r="A101" s="230" t="s">
        <v>246</v>
      </c>
      <c r="B101" s="231" t="s">
        <v>247</v>
      </c>
      <c r="C101" s="232" t="s">
        <v>252</v>
      </c>
      <c r="D101" s="232"/>
      <c r="E101" s="233">
        <v>19258</v>
      </c>
      <c r="F101" s="234">
        <v>18334</v>
      </c>
      <c r="G101" s="235">
        <v>924</v>
      </c>
      <c r="I101" s="236">
        <f t="shared" si="4"/>
        <v>0.95201993976529231</v>
      </c>
      <c r="J101" s="237">
        <f t="shared" si="5"/>
        <v>4.7980060234707654E-2</v>
      </c>
      <c r="L101" s="238">
        <v>8546</v>
      </c>
      <c r="M101" s="238">
        <v>8213</v>
      </c>
      <c r="N101" s="238">
        <v>333</v>
      </c>
      <c r="P101" s="239">
        <f t="shared" si="6"/>
        <v>0.96103440205944302</v>
      </c>
      <c r="Q101" s="239">
        <f t="shared" si="7"/>
        <v>3.8965597940556984E-2</v>
      </c>
    </row>
    <row r="102" spans="1:17" x14ac:dyDescent="0.3">
      <c r="A102" s="230" t="s">
        <v>14</v>
      </c>
      <c r="B102" s="231" t="s">
        <v>15</v>
      </c>
      <c r="C102" s="232" t="s">
        <v>255</v>
      </c>
      <c r="D102" s="232"/>
      <c r="E102" s="233">
        <v>26684</v>
      </c>
      <c r="F102" s="234">
        <v>22819</v>
      </c>
      <c r="G102" s="235">
        <v>3865</v>
      </c>
      <c r="I102" s="236">
        <f t="shared" si="4"/>
        <v>0.85515664817868386</v>
      </c>
      <c r="J102" s="237">
        <f t="shared" si="5"/>
        <v>0.14484335182131614</v>
      </c>
      <c r="L102" s="238">
        <v>9744</v>
      </c>
      <c r="M102" s="238">
        <v>8972</v>
      </c>
      <c r="N102" s="238">
        <v>772</v>
      </c>
      <c r="P102" s="239">
        <f t="shared" si="6"/>
        <v>0.92077175697865354</v>
      </c>
      <c r="Q102" s="239">
        <f t="shared" si="7"/>
        <v>7.922824302134647E-2</v>
      </c>
    </row>
    <row r="103" spans="1:17" x14ac:dyDescent="0.3">
      <c r="A103" s="230" t="s">
        <v>34</v>
      </c>
      <c r="B103" s="231" t="s">
        <v>35</v>
      </c>
      <c r="C103" s="232" t="s">
        <v>256</v>
      </c>
      <c r="D103" s="232"/>
      <c r="E103" s="233">
        <v>3682</v>
      </c>
      <c r="F103" s="234">
        <v>3261</v>
      </c>
      <c r="G103" s="235">
        <v>421</v>
      </c>
      <c r="I103" s="236">
        <f t="shared" si="4"/>
        <v>0.88565996740901687</v>
      </c>
      <c r="J103" s="237">
        <f t="shared" si="5"/>
        <v>0.11434003259098316</v>
      </c>
      <c r="L103" s="238">
        <v>1243</v>
      </c>
      <c r="M103" s="238">
        <v>1037</v>
      </c>
      <c r="N103" s="238">
        <v>206</v>
      </c>
      <c r="P103" s="239">
        <f t="shared" si="6"/>
        <v>0.83427192276749795</v>
      </c>
      <c r="Q103" s="239">
        <f t="shared" si="7"/>
        <v>0.16572807723250202</v>
      </c>
    </row>
    <row r="104" spans="1:17" x14ac:dyDescent="0.3">
      <c r="A104" s="230" t="s">
        <v>52</v>
      </c>
      <c r="B104" s="231" t="s">
        <v>53</v>
      </c>
      <c r="C104" s="232" t="s">
        <v>253</v>
      </c>
      <c r="D104" s="232"/>
      <c r="E104" s="233">
        <v>6044</v>
      </c>
      <c r="F104" s="234">
        <v>4996</v>
      </c>
      <c r="G104" s="235">
        <v>1048</v>
      </c>
      <c r="I104" s="236">
        <f t="shared" si="4"/>
        <v>0.82660489741892784</v>
      </c>
      <c r="J104" s="237">
        <f t="shared" si="5"/>
        <v>0.17339510258107213</v>
      </c>
      <c r="L104" s="238">
        <v>2127</v>
      </c>
      <c r="M104" s="238">
        <v>1907</v>
      </c>
      <c r="N104" s="238">
        <v>220</v>
      </c>
      <c r="P104" s="239">
        <f t="shared" si="6"/>
        <v>0.89656793606017871</v>
      </c>
      <c r="Q104" s="239">
        <f t="shared" si="7"/>
        <v>0.10343206393982135</v>
      </c>
    </row>
    <row r="105" spans="1:17" x14ac:dyDescent="0.3">
      <c r="A105" s="230" t="s">
        <v>54</v>
      </c>
      <c r="B105" s="231" t="s">
        <v>55</v>
      </c>
      <c r="C105" s="232" t="s">
        <v>252</v>
      </c>
      <c r="D105" s="232"/>
      <c r="E105" s="233">
        <v>47445</v>
      </c>
      <c r="F105" s="234">
        <v>43872</v>
      </c>
      <c r="G105" s="235">
        <v>3573</v>
      </c>
      <c r="I105" s="236">
        <f t="shared" si="4"/>
        <v>0.92469174834018342</v>
      </c>
      <c r="J105" s="237">
        <f t="shared" si="5"/>
        <v>7.5308251659816625E-2</v>
      </c>
      <c r="L105" s="238">
        <v>20777</v>
      </c>
      <c r="M105" s="238">
        <v>19371</v>
      </c>
      <c r="N105" s="238">
        <v>1406</v>
      </c>
      <c r="P105" s="239">
        <f t="shared" si="6"/>
        <v>0.93232901766376286</v>
      </c>
      <c r="Q105" s="239">
        <f t="shared" si="7"/>
        <v>6.7670982336237182E-2</v>
      </c>
    </row>
    <row r="106" spans="1:17" x14ac:dyDescent="0.3">
      <c r="A106" s="230" t="s">
        <v>66</v>
      </c>
      <c r="B106" s="231" t="s">
        <v>67</v>
      </c>
      <c r="C106" s="232" t="s">
        <v>253</v>
      </c>
      <c r="D106" s="232"/>
      <c r="E106" s="233">
        <v>7064</v>
      </c>
      <c r="F106" s="234">
        <v>6212</v>
      </c>
      <c r="G106" s="235">
        <v>852</v>
      </c>
      <c r="I106" s="236">
        <f t="shared" si="4"/>
        <v>0.87938844847112119</v>
      </c>
      <c r="J106" s="237">
        <f t="shared" si="5"/>
        <v>0.12061155152887883</v>
      </c>
      <c r="L106" s="238">
        <v>2114</v>
      </c>
      <c r="M106" s="238">
        <v>1728</v>
      </c>
      <c r="N106" s="238">
        <v>386</v>
      </c>
      <c r="P106" s="239">
        <f t="shared" si="6"/>
        <v>0.81740775780510877</v>
      </c>
      <c r="Q106" s="239">
        <f t="shared" si="7"/>
        <v>0.1825922421948912</v>
      </c>
    </row>
    <row r="107" spans="1:17" x14ac:dyDescent="0.3">
      <c r="A107" s="230" t="s">
        <v>82</v>
      </c>
      <c r="B107" s="231" t="s">
        <v>299</v>
      </c>
      <c r="C107" s="232" t="s">
        <v>252</v>
      </c>
      <c r="D107" s="232"/>
      <c r="E107" s="233">
        <v>1509</v>
      </c>
      <c r="F107" s="234">
        <v>1349</v>
      </c>
      <c r="G107" s="235">
        <v>160</v>
      </c>
      <c r="I107" s="236">
        <f t="shared" si="4"/>
        <v>0.8939695162359178</v>
      </c>
      <c r="J107" s="237">
        <f t="shared" si="5"/>
        <v>0.10603048376408217</v>
      </c>
      <c r="L107" s="238">
        <v>507</v>
      </c>
      <c r="M107" s="238">
        <v>438</v>
      </c>
      <c r="N107" s="238">
        <v>69</v>
      </c>
      <c r="P107" s="239">
        <f t="shared" si="6"/>
        <v>0.86390532544378695</v>
      </c>
      <c r="Q107" s="239">
        <f t="shared" si="7"/>
        <v>0.13609467455621302</v>
      </c>
    </row>
    <row r="108" spans="1:17" x14ac:dyDescent="0.3">
      <c r="A108" s="230" t="s">
        <v>88</v>
      </c>
      <c r="B108" s="231" t="s">
        <v>89</v>
      </c>
      <c r="C108" s="232" t="s">
        <v>255</v>
      </c>
      <c r="D108" s="232"/>
      <c r="E108" s="233">
        <v>3709</v>
      </c>
      <c r="F108" s="234">
        <v>3044</v>
      </c>
      <c r="G108" s="235">
        <v>665</v>
      </c>
      <c r="I108" s="236">
        <f t="shared" si="4"/>
        <v>0.82070638986249667</v>
      </c>
      <c r="J108" s="237">
        <f t="shared" si="5"/>
        <v>0.17929361013750336</v>
      </c>
      <c r="L108" s="238">
        <v>1483</v>
      </c>
      <c r="M108" s="238">
        <v>1250</v>
      </c>
      <c r="N108" s="238">
        <v>233</v>
      </c>
      <c r="P108" s="239">
        <f t="shared" si="6"/>
        <v>0.84288604180714766</v>
      </c>
      <c r="Q108" s="239">
        <f t="shared" si="7"/>
        <v>0.15711395819285232</v>
      </c>
    </row>
    <row r="109" spans="1:17" x14ac:dyDescent="0.3">
      <c r="A109" s="230" t="s">
        <v>90</v>
      </c>
      <c r="B109" s="231" t="s">
        <v>91</v>
      </c>
      <c r="C109" s="232" t="s">
        <v>256</v>
      </c>
      <c r="D109" s="232"/>
      <c r="E109" s="233">
        <v>1355</v>
      </c>
      <c r="F109" s="234">
        <v>1218</v>
      </c>
      <c r="G109" s="235">
        <v>137</v>
      </c>
      <c r="I109" s="236">
        <f t="shared" si="4"/>
        <v>0.89889298892988934</v>
      </c>
      <c r="J109" s="237">
        <f t="shared" si="5"/>
        <v>0.10110701107011071</v>
      </c>
      <c r="L109" s="238">
        <v>489</v>
      </c>
      <c r="M109" s="238">
        <v>432</v>
      </c>
      <c r="N109" s="238">
        <v>57</v>
      </c>
      <c r="P109" s="239">
        <f t="shared" si="6"/>
        <v>0.8834355828220859</v>
      </c>
      <c r="Q109" s="239">
        <f t="shared" si="7"/>
        <v>0.1165644171779141</v>
      </c>
    </row>
    <row r="110" spans="1:17" x14ac:dyDescent="0.3">
      <c r="A110" s="230" t="s">
        <v>106</v>
      </c>
      <c r="B110" s="231" t="s">
        <v>107</v>
      </c>
      <c r="C110" s="232" t="s">
        <v>252</v>
      </c>
      <c r="D110" s="232"/>
      <c r="E110" s="233">
        <v>25384</v>
      </c>
      <c r="F110" s="234">
        <v>22545</v>
      </c>
      <c r="G110" s="235">
        <v>2839</v>
      </c>
      <c r="I110" s="236">
        <f t="shared" si="4"/>
        <v>0.88815789473684215</v>
      </c>
      <c r="J110" s="237">
        <f t="shared" si="5"/>
        <v>0.1118421052631579</v>
      </c>
      <c r="L110" s="238">
        <v>9354</v>
      </c>
      <c r="M110" s="238">
        <v>8280</v>
      </c>
      <c r="N110" s="238">
        <v>1074</v>
      </c>
      <c r="P110" s="239">
        <f t="shared" si="6"/>
        <v>0.88518280949326489</v>
      </c>
      <c r="Q110" s="239">
        <f t="shared" si="7"/>
        <v>0.11481719050673508</v>
      </c>
    </row>
    <row r="111" spans="1:17" x14ac:dyDescent="0.3">
      <c r="A111" s="230" t="s">
        <v>116</v>
      </c>
      <c r="B111" s="231" t="s">
        <v>117</v>
      </c>
      <c r="C111" s="232" t="s">
        <v>254</v>
      </c>
      <c r="D111" s="232"/>
      <c r="E111" s="233">
        <v>3847</v>
      </c>
      <c r="F111" s="234">
        <v>3220</v>
      </c>
      <c r="G111" s="235">
        <v>627</v>
      </c>
      <c r="I111" s="236">
        <f t="shared" si="4"/>
        <v>0.8370158565115674</v>
      </c>
      <c r="J111" s="237">
        <f t="shared" si="5"/>
        <v>0.16298414348843254</v>
      </c>
      <c r="L111" s="238">
        <v>1388</v>
      </c>
      <c r="M111" s="238">
        <v>1087</v>
      </c>
      <c r="N111" s="238">
        <v>301</v>
      </c>
      <c r="P111" s="239">
        <f t="shared" si="6"/>
        <v>0.7831412103746398</v>
      </c>
      <c r="Q111" s="239">
        <f t="shared" si="7"/>
        <v>0.21685878962536023</v>
      </c>
    </row>
    <row r="112" spans="1:17" x14ac:dyDescent="0.3">
      <c r="A112" s="230" t="s">
        <v>138</v>
      </c>
      <c r="B112" s="231" t="s">
        <v>139</v>
      </c>
      <c r="C112" s="232" t="s">
        <v>253</v>
      </c>
      <c r="D112" s="232"/>
      <c r="E112" s="233">
        <v>11948</v>
      </c>
      <c r="F112" s="234">
        <v>10598</v>
      </c>
      <c r="G112" s="235">
        <v>1350</v>
      </c>
      <c r="I112" s="236">
        <f t="shared" si="4"/>
        <v>0.88701037830599261</v>
      </c>
      <c r="J112" s="237">
        <f t="shared" si="5"/>
        <v>0.11298962169400736</v>
      </c>
      <c r="L112" s="238">
        <v>4394</v>
      </c>
      <c r="M112" s="238">
        <v>3862</v>
      </c>
      <c r="N112" s="238">
        <v>532</v>
      </c>
      <c r="P112" s="239">
        <f t="shared" si="6"/>
        <v>0.87892580791989072</v>
      </c>
      <c r="Q112" s="239">
        <f t="shared" si="7"/>
        <v>0.12107419208010924</v>
      </c>
    </row>
    <row r="113" spans="1:17" x14ac:dyDescent="0.3">
      <c r="A113" s="230" t="s">
        <v>142</v>
      </c>
      <c r="B113" s="231" t="s">
        <v>143</v>
      </c>
      <c r="C113" s="232" t="s">
        <v>255</v>
      </c>
      <c r="D113" s="232"/>
      <c r="E113" s="233">
        <v>7239</v>
      </c>
      <c r="F113" s="234">
        <v>6439</v>
      </c>
      <c r="G113" s="235">
        <v>800</v>
      </c>
      <c r="I113" s="236">
        <f t="shared" si="4"/>
        <v>0.88948749827324214</v>
      </c>
      <c r="J113" s="237">
        <f t="shared" si="5"/>
        <v>0.11051250172675783</v>
      </c>
      <c r="L113" s="238">
        <v>3701</v>
      </c>
      <c r="M113" s="238">
        <v>3336</v>
      </c>
      <c r="N113" s="238">
        <v>365</v>
      </c>
      <c r="P113" s="239">
        <f t="shared" si="6"/>
        <v>0.90137800594433937</v>
      </c>
      <c r="Q113" s="239">
        <f t="shared" si="7"/>
        <v>9.8621994055660633E-2</v>
      </c>
    </row>
    <row r="114" spans="1:17" x14ac:dyDescent="0.3">
      <c r="A114" s="230" t="s">
        <v>144</v>
      </c>
      <c r="B114" s="231" t="s">
        <v>145</v>
      </c>
      <c r="C114" s="232" t="s">
        <v>255</v>
      </c>
      <c r="D114" s="232"/>
      <c r="E114" s="233">
        <v>2654</v>
      </c>
      <c r="F114" s="234">
        <v>2314</v>
      </c>
      <c r="G114" s="235">
        <v>340</v>
      </c>
      <c r="I114" s="236">
        <f t="shared" si="4"/>
        <v>0.87189148455162024</v>
      </c>
      <c r="J114" s="237">
        <f t="shared" si="5"/>
        <v>0.12810851544837981</v>
      </c>
      <c r="L114" s="238">
        <v>1470</v>
      </c>
      <c r="M114" s="238">
        <v>1327</v>
      </c>
      <c r="N114" s="238">
        <v>143</v>
      </c>
      <c r="P114" s="239">
        <f t="shared" si="6"/>
        <v>0.90272108843537413</v>
      </c>
      <c r="Q114" s="239">
        <f t="shared" si="7"/>
        <v>9.7278911564625856E-2</v>
      </c>
    </row>
    <row r="115" spans="1:17" x14ac:dyDescent="0.3">
      <c r="A115" s="230" t="s">
        <v>158</v>
      </c>
      <c r="B115" s="231" t="s">
        <v>159</v>
      </c>
      <c r="C115" s="232" t="s">
        <v>252</v>
      </c>
      <c r="D115" s="232"/>
      <c r="E115" s="233">
        <v>32304</v>
      </c>
      <c r="F115" s="234">
        <v>28003</v>
      </c>
      <c r="G115" s="235">
        <v>4301</v>
      </c>
      <c r="I115" s="236">
        <f t="shared" si="4"/>
        <v>0.86685859336305104</v>
      </c>
      <c r="J115" s="237">
        <f t="shared" si="5"/>
        <v>0.13314140663694898</v>
      </c>
      <c r="L115" s="238">
        <v>13357</v>
      </c>
      <c r="M115" s="238">
        <v>11608</v>
      </c>
      <c r="N115" s="238">
        <v>1749</v>
      </c>
      <c r="P115" s="239">
        <f t="shared" si="6"/>
        <v>0.86905742307404354</v>
      </c>
      <c r="Q115" s="239">
        <f t="shared" si="7"/>
        <v>0.13094257692595643</v>
      </c>
    </row>
    <row r="116" spans="1:17" x14ac:dyDescent="0.3">
      <c r="A116" s="230" t="s">
        <v>160</v>
      </c>
      <c r="B116" s="231" t="s">
        <v>161</v>
      </c>
      <c r="C116" s="232" t="s">
        <v>252</v>
      </c>
      <c r="D116" s="232"/>
      <c r="E116" s="233">
        <v>35173</v>
      </c>
      <c r="F116" s="234">
        <v>29572</v>
      </c>
      <c r="G116" s="235">
        <v>5601</v>
      </c>
      <c r="I116" s="236">
        <f t="shared" si="4"/>
        <v>0.84075853637733489</v>
      </c>
      <c r="J116" s="237">
        <f t="shared" si="5"/>
        <v>0.15924146362266511</v>
      </c>
      <c r="L116" s="238">
        <v>13805</v>
      </c>
      <c r="M116" s="238">
        <v>11821</v>
      </c>
      <c r="N116" s="238">
        <v>1984</v>
      </c>
      <c r="P116" s="239">
        <f t="shared" si="6"/>
        <v>0.856283955088736</v>
      </c>
      <c r="Q116" s="239">
        <f t="shared" si="7"/>
        <v>0.14371604491126402</v>
      </c>
    </row>
    <row r="117" spans="1:17" x14ac:dyDescent="0.3">
      <c r="A117" s="230" t="s">
        <v>166</v>
      </c>
      <c r="B117" s="231" t="s">
        <v>167</v>
      </c>
      <c r="C117" s="232" t="s">
        <v>256</v>
      </c>
      <c r="D117" s="232"/>
      <c r="E117" s="233">
        <v>747</v>
      </c>
      <c r="F117" s="234">
        <v>648</v>
      </c>
      <c r="G117" s="235">
        <v>99</v>
      </c>
      <c r="I117" s="236">
        <f t="shared" si="4"/>
        <v>0.86746987951807231</v>
      </c>
      <c r="J117" s="237">
        <f t="shared" si="5"/>
        <v>0.13253012048192772</v>
      </c>
      <c r="L117" s="238">
        <v>270</v>
      </c>
      <c r="M117" s="238">
        <v>229</v>
      </c>
      <c r="N117" s="238">
        <v>41</v>
      </c>
      <c r="P117" s="239">
        <f t="shared" si="6"/>
        <v>0.8481481481481481</v>
      </c>
      <c r="Q117" s="239">
        <f t="shared" si="7"/>
        <v>0.15185185185185185</v>
      </c>
    </row>
    <row r="118" spans="1:17" x14ac:dyDescent="0.3">
      <c r="A118" s="230" t="s">
        <v>176</v>
      </c>
      <c r="B118" s="231" t="s">
        <v>177</v>
      </c>
      <c r="C118" s="232" t="s">
        <v>254</v>
      </c>
      <c r="D118" s="232"/>
      <c r="E118" s="233">
        <v>4395</v>
      </c>
      <c r="F118" s="234">
        <v>3408</v>
      </c>
      <c r="G118" s="235">
        <v>987</v>
      </c>
      <c r="I118" s="236">
        <f t="shared" si="4"/>
        <v>0.7754266211604095</v>
      </c>
      <c r="J118" s="237">
        <f t="shared" si="5"/>
        <v>0.22457337883959044</v>
      </c>
      <c r="L118" s="238">
        <v>1322</v>
      </c>
      <c r="M118" s="238">
        <v>895</v>
      </c>
      <c r="N118" s="238">
        <v>427</v>
      </c>
      <c r="P118" s="239">
        <f t="shared" si="6"/>
        <v>0.67700453857791221</v>
      </c>
      <c r="Q118" s="239">
        <f t="shared" si="7"/>
        <v>0.32299546142208774</v>
      </c>
    </row>
    <row r="119" spans="1:17" x14ac:dyDescent="0.3">
      <c r="A119" s="230" t="s">
        <v>180</v>
      </c>
      <c r="B119" s="231" t="s">
        <v>181</v>
      </c>
      <c r="C119" s="232" t="s">
        <v>252</v>
      </c>
      <c r="D119" s="232"/>
      <c r="E119" s="233">
        <v>16082</v>
      </c>
      <c r="F119" s="234">
        <v>13929</v>
      </c>
      <c r="G119" s="235">
        <v>2153</v>
      </c>
      <c r="I119" s="236">
        <f t="shared" si="4"/>
        <v>0.86612361646561375</v>
      </c>
      <c r="J119" s="237">
        <f t="shared" si="5"/>
        <v>0.13387638353438627</v>
      </c>
      <c r="L119" s="238">
        <v>5886</v>
      </c>
      <c r="M119" s="238">
        <v>5014</v>
      </c>
      <c r="N119" s="238">
        <v>872</v>
      </c>
      <c r="P119" s="239">
        <f t="shared" si="6"/>
        <v>0.85185185185185186</v>
      </c>
      <c r="Q119" s="239">
        <f t="shared" si="7"/>
        <v>0.14814814814814814</v>
      </c>
    </row>
    <row r="120" spans="1:17" x14ac:dyDescent="0.3">
      <c r="A120" s="230" t="s">
        <v>192</v>
      </c>
      <c r="B120" s="231" t="s">
        <v>193</v>
      </c>
      <c r="C120" s="232" t="s">
        <v>256</v>
      </c>
      <c r="D120" s="232"/>
      <c r="E120" s="233">
        <v>2056</v>
      </c>
      <c r="F120" s="234">
        <v>1742</v>
      </c>
      <c r="G120" s="235">
        <v>314</v>
      </c>
      <c r="I120" s="236">
        <f t="shared" si="4"/>
        <v>0.84727626459143968</v>
      </c>
      <c r="J120" s="237">
        <f t="shared" si="5"/>
        <v>0.15272373540856032</v>
      </c>
      <c r="L120" s="238">
        <v>738</v>
      </c>
      <c r="M120" s="238">
        <v>646</v>
      </c>
      <c r="N120" s="238">
        <v>92</v>
      </c>
      <c r="P120" s="239">
        <f t="shared" si="6"/>
        <v>0.87533875338753386</v>
      </c>
      <c r="Q120" s="239">
        <f t="shared" si="7"/>
        <v>0.12466124661246612</v>
      </c>
    </row>
    <row r="121" spans="1:17" x14ac:dyDescent="0.3">
      <c r="A121" s="230" t="s">
        <v>196</v>
      </c>
      <c r="B121" s="231" t="s">
        <v>300</v>
      </c>
      <c r="C121" s="232" t="s">
        <v>254</v>
      </c>
      <c r="D121" s="232"/>
      <c r="E121" s="233">
        <v>27273</v>
      </c>
      <c r="F121" s="234">
        <v>20914</v>
      </c>
      <c r="G121" s="235">
        <v>6359</v>
      </c>
      <c r="I121" s="236">
        <f t="shared" si="4"/>
        <v>0.76683899827668389</v>
      </c>
      <c r="J121" s="237">
        <f t="shared" si="5"/>
        <v>0.23316100172331611</v>
      </c>
      <c r="L121" s="238">
        <v>9095</v>
      </c>
      <c r="M121" s="238">
        <v>7239</v>
      </c>
      <c r="N121" s="238">
        <v>1856</v>
      </c>
      <c r="P121" s="239">
        <f t="shared" si="6"/>
        <v>0.79593183067619566</v>
      </c>
      <c r="Q121" s="239">
        <f t="shared" si="7"/>
        <v>0.20406816932380428</v>
      </c>
    </row>
    <row r="122" spans="1:17" x14ac:dyDescent="0.3">
      <c r="A122" s="230" t="s">
        <v>200</v>
      </c>
      <c r="B122" s="231" t="s">
        <v>301</v>
      </c>
      <c r="C122" s="232" t="s">
        <v>253</v>
      </c>
      <c r="D122" s="232"/>
      <c r="E122" s="233">
        <v>17064</v>
      </c>
      <c r="F122" s="234">
        <v>14014</v>
      </c>
      <c r="G122" s="235">
        <v>3050</v>
      </c>
      <c r="I122" s="236">
        <f t="shared" si="4"/>
        <v>0.82126113455227379</v>
      </c>
      <c r="J122" s="237">
        <f t="shared" si="5"/>
        <v>0.17873886544772621</v>
      </c>
      <c r="L122" s="238">
        <v>6061</v>
      </c>
      <c r="M122" s="238">
        <v>4916</v>
      </c>
      <c r="N122" s="238">
        <v>1145</v>
      </c>
      <c r="P122" s="239">
        <f t="shared" si="6"/>
        <v>0.81108727932684377</v>
      </c>
      <c r="Q122" s="239">
        <f t="shared" si="7"/>
        <v>0.18891272067315623</v>
      </c>
    </row>
    <row r="123" spans="1:17" x14ac:dyDescent="0.3">
      <c r="A123" s="230" t="s">
        <v>222</v>
      </c>
      <c r="B123" s="231" t="s">
        <v>223</v>
      </c>
      <c r="C123" s="232" t="s">
        <v>252</v>
      </c>
      <c r="D123" s="232"/>
      <c r="E123" s="233">
        <v>18140</v>
      </c>
      <c r="F123" s="234">
        <v>16818</v>
      </c>
      <c r="G123" s="235">
        <v>1322</v>
      </c>
      <c r="I123" s="236">
        <f t="shared" si="4"/>
        <v>0.92712238147739801</v>
      </c>
      <c r="J123" s="237">
        <f t="shared" si="5"/>
        <v>7.2877618522601981E-2</v>
      </c>
      <c r="L123" s="238">
        <v>7711</v>
      </c>
      <c r="M123" s="238">
        <v>7175</v>
      </c>
      <c r="N123" s="238">
        <v>536</v>
      </c>
      <c r="P123" s="239">
        <f t="shared" si="6"/>
        <v>0.93048891194397609</v>
      </c>
      <c r="Q123" s="239">
        <f t="shared" si="7"/>
        <v>6.9511088056023865E-2</v>
      </c>
    </row>
    <row r="124" spans="1:17" x14ac:dyDescent="0.3">
      <c r="A124" s="230" t="s">
        <v>230</v>
      </c>
      <c r="B124" s="231" t="s">
        <v>231</v>
      </c>
      <c r="C124" s="232" t="s">
        <v>252</v>
      </c>
      <c r="D124" s="232"/>
      <c r="E124" s="233">
        <v>92701</v>
      </c>
      <c r="F124" s="234">
        <v>83732</v>
      </c>
      <c r="G124" s="235">
        <v>8969</v>
      </c>
      <c r="I124" s="236">
        <f t="shared" si="4"/>
        <v>0.90324807715127131</v>
      </c>
      <c r="J124" s="237">
        <f t="shared" si="5"/>
        <v>9.6751922848728703E-2</v>
      </c>
      <c r="L124" s="238">
        <v>39373</v>
      </c>
      <c r="M124" s="238">
        <v>36360</v>
      </c>
      <c r="N124" s="238">
        <v>3013</v>
      </c>
      <c r="P124" s="239">
        <f t="shared" si="6"/>
        <v>0.92347547811952357</v>
      </c>
      <c r="Q124" s="239">
        <f t="shared" si="7"/>
        <v>7.6524521880476468E-2</v>
      </c>
    </row>
    <row r="125" spans="1:17" x14ac:dyDescent="0.3">
      <c r="A125" s="230" t="s">
        <v>238</v>
      </c>
      <c r="B125" s="231" t="s">
        <v>239</v>
      </c>
      <c r="C125" s="232" t="s">
        <v>252</v>
      </c>
      <c r="D125" s="232"/>
      <c r="E125" s="233">
        <v>1929</v>
      </c>
      <c r="F125" s="234">
        <v>1680</v>
      </c>
      <c r="G125" s="235">
        <v>249</v>
      </c>
      <c r="I125" s="236">
        <f t="shared" si="4"/>
        <v>0.87091757387247282</v>
      </c>
      <c r="J125" s="237">
        <f t="shared" si="5"/>
        <v>0.12908242612752721</v>
      </c>
      <c r="L125" s="238">
        <v>484</v>
      </c>
      <c r="M125" s="238">
        <v>439</v>
      </c>
      <c r="N125" s="238">
        <v>45</v>
      </c>
      <c r="P125" s="239">
        <f t="shared" si="6"/>
        <v>0.90702479338842978</v>
      </c>
      <c r="Q125" s="239">
        <f t="shared" si="7"/>
        <v>9.2975206611570244E-2</v>
      </c>
    </row>
    <row r="126" spans="1:17" x14ac:dyDescent="0.3">
      <c r="A126" s="240" t="s">
        <v>240</v>
      </c>
      <c r="B126" s="241" t="s">
        <v>241</v>
      </c>
      <c r="C126" s="242" t="s">
        <v>255</v>
      </c>
      <c r="D126" s="232"/>
      <c r="E126" s="243">
        <v>4836</v>
      </c>
      <c r="F126" s="244">
        <v>4060</v>
      </c>
      <c r="G126" s="245">
        <v>776</v>
      </c>
      <c r="I126" s="246">
        <f t="shared" si="4"/>
        <v>0.8395368072787428</v>
      </c>
      <c r="J126" s="247">
        <f t="shared" si="5"/>
        <v>0.16046319272125723</v>
      </c>
      <c r="L126" s="238">
        <v>1919</v>
      </c>
      <c r="M126" s="238">
        <v>1614</v>
      </c>
      <c r="N126" s="238">
        <v>305</v>
      </c>
      <c r="P126" s="239">
        <f t="shared" si="6"/>
        <v>0.84106305367378842</v>
      </c>
      <c r="Q126" s="239">
        <f t="shared" si="7"/>
        <v>0.15893694632621158</v>
      </c>
    </row>
    <row r="127" spans="1:17" x14ac:dyDescent="0.3">
      <c r="A127" s="230"/>
      <c r="B127" s="231"/>
      <c r="C127" s="232"/>
      <c r="D127" s="232"/>
      <c r="E127" s="292"/>
      <c r="F127" s="292"/>
      <c r="G127" s="292"/>
      <c r="I127" s="293"/>
      <c r="J127" s="293"/>
      <c r="L127" s="238"/>
      <c r="M127" s="238"/>
      <c r="N127" s="238"/>
      <c r="P127" s="239"/>
      <c r="Q127" s="239"/>
    </row>
    <row r="128" spans="1:17" x14ac:dyDescent="0.3">
      <c r="A128" s="294" t="s">
        <v>583</v>
      </c>
      <c r="B128" s="231"/>
      <c r="C128" s="232"/>
      <c r="D128" s="232"/>
      <c r="E128" s="292"/>
      <c r="F128" s="292"/>
      <c r="G128" s="292"/>
      <c r="I128" s="293"/>
      <c r="J128" s="293"/>
      <c r="L128" s="238"/>
      <c r="M128" s="238"/>
      <c r="N128" s="238"/>
      <c r="P128" s="239"/>
      <c r="Q128" s="239"/>
    </row>
    <row r="129" spans="1:17" x14ac:dyDescent="0.3">
      <c r="A129" s="230" t="s">
        <v>254</v>
      </c>
      <c r="C129" s="232"/>
      <c r="D129" s="232"/>
      <c r="E129" s="292">
        <f>E10+E21+E23+E25+E27+E31+E34+E38+E43+E48+E49+E54+E56+E57+E61+E65+E68+E70+E71+E76+E77+E82+E98+E111+E118+E121</f>
        <v>268921</v>
      </c>
      <c r="F129" s="292">
        <f>F10+F21+F23+F25+F27+F31+F34+F38+F43+F48+F49+F54+F56+F57+F61+F65+F68+F70+F71+F76+F77+F82+F98+F111+F118+F121</f>
        <v>240768</v>
      </c>
      <c r="G129" s="292">
        <f>G10+G21+G23+G25+G27+G31+G34+G38+G43+G48+G49+G54+G56+G57+G61+G65+G68+G70+G71+G76+G77+G82+G98+G111+G118+G121</f>
        <v>28153</v>
      </c>
      <c r="I129" s="293">
        <f>F129/E129</f>
        <v>0.89531126241535619</v>
      </c>
      <c r="J129" s="293">
        <f>G129/E129</f>
        <v>0.10468873758464382</v>
      </c>
      <c r="L129" s="238">
        <f>L10+L21+L23+L25+L27+L31+L34+L38+L43+L48+L49+L54+L56+L57+L61+L65+L68+L70+L71+L76+L77+L82+L98+L111+L118+L121</f>
        <v>107151</v>
      </c>
      <c r="M129" s="238">
        <f>M10+M21+M23+M25+M27+M31+M34+M38+M43+M48+M49+M54+M56+M57+M61+M65+M68+M70+M71+M76+M77+M82+M98+M111+M118+M121</f>
        <v>96952</v>
      </c>
      <c r="N129" s="238">
        <f>N10+N21+N23+N25+N27+N31+N34+N38+N43+N48+N49+N54+N56+N57+N61+N65+N68+N70+N71+N76+N77+N82+N98+N111+N118+N121</f>
        <v>10199</v>
      </c>
      <c r="P129" s="239">
        <f>M129/L129</f>
        <v>0.90481656727422044</v>
      </c>
      <c r="Q129" s="239">
        <f>N129/L129</f>
        <v>9.5183432725779504E-2</v>
      </c>
    </row>
    <row r="130" spans="1:17" x14ac:dyDescent="0.3">
      <c r="A130" s="230" t="s">
        <v>252</v>
      </c>
      <c r="C130" s="232"/>
      <c r="D130" s="232"/>
      <c r="E130" s="292">
        <f>E7+E19+E33+E42+E46+E52+E53+E63+E69+E78+E90+E93+E94+E124+E101+E105+E107+E110+E115+E116+E119+E123+E125</f>
        <v>363407</v>
      </c>
      <c r="F130" s="292">
        <f>F7+F19+F33+F42+F46+F52+F53+F63+F69+F78+F90+F93+F94+F124+F101+F105+F107+F110+F115+F116+F119+F123+F125</f>
        <v>327286</v>
      </c>
      <c r="G130" s="292">
        <f>G7+G19+G33+G42+G46+G52+G53+G63+G69+G78+G90+G93+G94+G124+G101+G105+G107+G110+G115+G116+G119+G123+G125</f>
        <v>36121</v>
      </c>
      <c r="I130" s="293">
        <f>F130/E130</f>
        <v>0.90060455632390135</v>
      </c>
      <c r="J130" s="293">
        <f>G130/E130</f>
        <v>9.9395443676098705E-2</v>
      </c>
      <c r="L130" s="238">
        <f>L7+L19+L33+L42+L46+L52+L53+L63+L69+L78+L90+L93+L94+L124+L101+L105+L107+L110+L115+L116+L119+L123+L125</f>
        <v>144986</v>
      </c>
      <c r="M130" s="238">
        <f>M7+M19+M33+M42+M46+M52+M53+M63+M69+M78+M90+M93+M94+M124+M101+M105+M107+M110+M115+M116+M119+M123+M125</f>
        <v>131552</v>
      </c>
      <c r="N130" s="238">
        <f>N7+N19+N33+N42+N46+N52+N53+N63+N69+N78+N90+N93+N94+N124+N101+N105+N107+N110+N115+N116+N119+N123+N125</f>
        <v>13434</v>
      </c>
      <c r="P130" s="239">
        <f>M130/L130</f>
        <v>0.90734277792338569</v>
      </c>
      <c r="Q130" s="239">
        <f>N130/L130</f>
        <v>9.2657222076614296E-2</v>
      </c>
    </row>
    <row r="131" spans="1:17" x14ac:dyDescent="0.3">
      <c r="A131" s="230" t="s">
        <v>255</v>
      </c>
      <c r="C131" s="232"/>
      <c r="D131" s="232"/>
      <c r="E131" s="292">
        <f>E13+E28+E30+E35+E36+E40+E45+E55+E59+E60+E62+E72+E73+E79+E81+E85+E88+E91+E92+E96+E102+E108+E113+E114+E126</f>
        <v>671538</v>
      </c>
      <c r="F131" s="292">
        <f>F13+F28+F30+F35+F36+F40+F45+F55+F59+F60+F62+F72+F73+F79+F81+F85+F88+F91+F92+F96+F102+F108+F113+F114+F126</f>
        <v>618061</v>
      </c>
      <c r="G131" s="292">
        <f>G13+G28+G30+G35+G36+G40+G45+G55+G59+G60+G62+G72+G73+G79+G81+G85+G88+G91+G92+G96+G102+G108+G113+G114+G126</f>
        <v>53477</v>
      </c>
      <c r="I131" s="293">
        <f>F131/E131</f>
        <v>0.92036638284058381</v>
      </c>
      <c r="J131" s="293">
        <f>G131/E131</f>
        <v>7.9633617159416151E-2</v>
      </c>
      <c r="L131" s="238">
        <f>L13+L28+L30+L35+L36+L40+L45+L55+L59+L60+L62+L72+L73+L79+L81+L85+L88+L91+L92+L96+L102+L108+L113+L114+L126</f>
        <v>313980</v>
      </c>
      <c r="M131" s="238">
        <f>M13+M28+M30+M35+M36+M40+M45+M55+M59+M60+M62+M72+M73+M79+M81+M85+M88+M91+M92+M96+M102+M108+M113+M114+M126</f>
        <v>297413</v>
      </c>
      <c r="N131" s="238">
        <f>N13+N28+N30+N35+N36+N40+N45+N55+N59+N60+N62+N72+N73+N79+N81+N85+N88+N91+N92+N96+N102+N108+N113+N114+N126</f>
        <v>16567</v>
      </c>
      <c r="P131" s="239">
        <f>M131/L131</f>
        <v>0.94723549270654184</v>
      </c>
      <c r="Q131" s="239">
        <f>N131/L131</f>
        <v>5.2764507293458184E-2</v>
      </c>
    </row>
    <row r="132" spans="1:17" x14ac:dyDescent="0.3">
      <c r="A132" s="230" t="s">
        <v>253</v>
      </c>
      <c r="C132" s="232"/>
      <c r="D132" s="232"/>
      <c r="E132" s="292">
        <f>E8+E9+E11+E12+E14+E15+E16+E18+E22+E26+E29+E39+E47+E50+E51+E64+E67+E75+E83+E84+E104+E106+E112+E122</f>
        <v>250573</v>
      </c>
      <c r="F132" s="292">
        <f>F8+F9+F11+F12+F14+F15+F16+F18+F22+F26+F29+F39+F47+F50+F51+F64+F67+F75+F83+F84+F104+F106+F112+F122</f>
        <v>226498</v>
      </c>
      <c r="G132" s="292">
        <f>G8+G9+G11+G12+G14+G15+G16+G18+G22+G26+G29+G39+G47+G50+G51+G64+G67+G75+G83+G84+G104+G106+G112+G122</f>
        <v>24075</v>
      </c>
      <c r="I132" s="293">
        <f>F132/E132</f>
        <v>0.90392021486752361</v>
      </c>
      <c r="J132" s="293">
        <f>G132/E132</f>
        <v>9.6079785132476364E-2</v>
      </c>
      <c r="L132" s="238">
        <f>L8+L9+L11+L12+L14+L15+L16+L18+L22+L26+L29+L39+L47+L50+L51+L64+L67+L75+L83+L84+L104+L106+L112+L122</f>
        <v>87063</v>
      </c>
      <c r="M132" s="238">
        <f>M8+M9+M11+M12+M14+M15+M16+M18+M22+M26+M29+M39+M47+M50+M51+M64+M67+M75+M83+M84+M104+M106+M112+M122</f>
        <v>78016</v>
      </c>
      <c r="N132" s="238">
        <f>N8+N9+N11+N12+N14+N15+N16+N18+N22+N26+N29+N39+N47+N50+N51+N64+N67+N75+N83+N84+N104+N106+N112+N122</f>
        <v>9047</v>
      </c>
      <c r="P132" s="239">
        <f>M132/L132</f>
        <v>0.89608674178468462</v>
      </c>
      <c r="Q132" s="239">
        <f>N132/L132</f>
        <v>0.10391325821531534</v>
      </c>
    </row>
    <row r="133" spans="1:17" x14ac:dyDescent="0.3">
      <c r="A133" s="230" t="s">
        <v>256</v>
      </c>
      <c r="C133" s="232"/>
      <c r="D133" s="232"/>
      <c r="E133" s="292">
        <f>E17+E20+E24+E32+E37+E41+E44+E58+E66+E74+E80+E86+E87+E89+E95+E97+E99+E100+E103+E109+E117+E120</f>
        <v>133729</v>
      </c>
      <c r="F133" s="292">
        <f>F17+F20+F24+F32+F37+F41+F44+F58+F66+F74+F80+F86+F87+F89+F95+F97+F99+F100+F103+F109+F117+F120</f>
        <v>122231</v>
      </c>
      <c r="G133" s="292">
        <f>G17+G20+G24+G32+G37+G41+G44+G58+G66+G74+G80+G86+G87+G89+G95+G97+G99+G100+G103+G109+G117+G120</f>
        <v>11498</v>
      </c>
      <c r="I133" s="293">
        <f>F133/E133</f>
        <v>0.91402014521906239</v>
      </c>
      <c r="J133" s="293">
        <f>G133/E133</f>
        <v>8.5979854780937573E-2</v>
      </c>
      <c r="L133" s="238">
        <f>L17+L20+L24+L32+L37+L41+L44+L58+L66+L74+L80+L86+L87+L89+L95+L97+L99+L100+L103+L109+L117+L120</f>
        <v>44993</v>
      </c>
      <c r="M133" s="238">
        <f>M17+M20+M24+M32+M37+M41+M44+M58+M66+M74+M80+M86+M87+M89+M95+M97+M99+M100+M103+M109+M117+M120</f>
        <v>40677</v>
      </c>
      <c r="N133" s="238">
        <f>N17+N20+N24+N32+N37+N41+N44+N58+N66+N74+N80+N86+N87+N89+N95+N97+N99+N100+N103+N109+N117+N120</f>
        <v>4316</v>
      </c>
      <c r="P133" s="239">
        <f>M133/L133</f>
        <v>0.90407396706154286</v>
      </c>
      <c r="Q133" s="239">
        <f>N133/L133</f>
        <v>9.5926032938457098E-2</v>
      </c>
    </row>
    <row r="134" spans="1:17" x14ac:dyDescent="0.3">
      <c r="A134" s="230"/>
      <c r="B134" s="231"/>
      <c r="C134" s="232"/>
      <c r="D134" s="232"/>
      <c r="E134" s="292"/>
      <c r="F134" s="292"/>
      <c r="G134" s="292"/>
      <c r="I134" s="293"/>
      <c r="J134" s="293"/>
      <c r="L134" s="238"/>
      <c r="M134" s="238"/>
      <c r="N134" s="238"/>
      <c r="P134" s="239"/>
      <c r="Q134" s="239"/>
    </row>
    <row r="135" spans="1:17" x14ac:dyDescent="0.3">
      <c r="A135" s="248" t="s">
        <v>508</v>
      </c>
      <c r="B135" s="249"/>
      <c r="C135" s="249"/>
      <c r="D135" s="249"/>
      <c r="E135" s="217"/>
      <c r="F135" s="217"/>
      <c r="G135" s="217"/>
      <c r="H135" s="217"/>
    </row>
    <row r="136" spans="1:17" x14ac:dyDescent="0.3">
      <c r="A136" s="249"/>
      <c r="B136" s="249"/>
      <c r="C136" s="249"/>
      <c r="D136" s="249"/>
      <c r="E136" s="217"/>
      <c r="F136" s="217"/>
      <c r="G136" s="217"/>
      <c r="H136" s="217"/>
    </row>
    <row r="137" spans="1:17" x14ac:dyDescent="0.3">
      <c r="A137" s="217" t="s">
        <v>248</v>
      </c>
      <c r="B137" s="250"/>
      <c r="C137" s="250"/>
      <c r="D137" s="250"/>
      <c r="E137" s="217"/>
      <c r="F137" s="217"/>
      <c r="G137" s="217"/>
      <c r="H137" s="217"/>
    </row>
    <row r="138" spans="1:17" x14ac:dyDescent="0.3">
      <c r="A138" s="217" t="s">
        <v>249</v>
      </c>
      <c r="B138" s="167" t="s">
        <v>250</v>
      </c>
      <c r="C138" s="251"/>
      <c r="D138" s="251"/>
      <c r="E138" s="217"/>
      <c r="F138" s="217"/>
      <c r="G138" s="217"/>
      <c r="H138" s="217"/>
    </row>
  </sheetData>
  <mergeCells count="4">
    <mergeCell ref="E4:G4"/>
    <mergeCell ref="I4:J4"/>
    <mergeCell ref="L4:N4"/>
    <mergeCell ref="P4:Q4"/>
  </mergeCells>
  <hyperlinks>
    <hyperlink ref="B138" r:id="rId1"/>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4" topLeftCell="A5" activePane="bottomLeft" state="frozen"/>
      <selection pane="bottomLeft" activeCell="B15" sqref="B15"/>
    </sheetView>
  </sheetViews>
  <sheetFormatPr defaultColWidth="9" defaultRowHeight="15.6" x14ac:dyDescent="0.3"/>
  <cols>
    <col min="1" max="1" width="9.09765625" style="711" customWidth="1"/>
    <col min="2" max="2" width="29.69921875" style="711" customWidth="1"/>
    <col min="3" max="3" width="12.5" style="711" customWidth="1"/>
    <col min="4" max="10" width="5.796875" style="711" customWidth="1"/>
    <col min="11" max="16384" width="9" style="711"/>
  </cols>
  <sheetData>
    <row r="1" spans="1:10" x14ac:dyDescent="0.3">
      <c r="A1" s="726" t="s">
        <v>276</v>
      </c>
      <c r="B1" s="727"/>
      <c r="C1" s="727"/>
      <c r="D1" s="727"/>
      <c r="E1" s="727"/>
      <c r="F1" s="727"/>
      <c r="G1" s="727"/>
      <c r="H1" s="727"/>
      <c r="I1" s="727"/>
      <c r="J1" s="727"/>
    </row>
    <row r="2" spans="1:10" x14ac:dyDescent="0.3">
      <c r="A2" s="724"/>
      <c r="B2" s="725"/>
      <c r="C2" s="725"/>
      <c r="D2" s="725"/>
      <c r="E2" s="725"/>
      <c r="F2" s="725"/>
      <c r="G2" s="725"/>
      <c r="H2" s="725"/>
      <c r="I2" s="725"/>
      <c r="J2" s="725"/>
    </row>
    <row r="3" spans="1:10" s="713" customFormat="1" ht="17.399999999999999" x14ac:dyDescent="0.3">
      <c r="A3" s="720" t="s">
        <v>4</v>
      </c>
      <c r="B3" s="723" t="s">
        <v>5</v>
      </c>
      <c r="C3" s="720" t="s">
        <v>251</v>
      </c>
      <c r="D3" s="721" t="s">
        <v>262</v>
      </c>
      <c r="E3" s="721" t="s">
        <v>263</v>
      </c>
      <c r="F3" s="721" t="s">
        <v>264</v>
      </c>
      <c r="G3" s="721" t="s">
        <v>265</v>
      </c>
      <c r="H3" s="721" t="s">
        <v>266</v>
      </c>
      <c r="I3" s="721" t="s">
        <v>267</v>
      </c>
      <c r="J3" s="721" t="s">
        <v>648</v>
      </c>
    </row>
    <row r="4" spans="1:10" s="713" customFormat="1" x14ac:dyDescent="0.3">
      <c r="A4" s="729">
        <v>999</v>
      </c>
      <c r="B4" s="728" t="s">
        <v>9</v>
      </c>
      <c r="C4" s="729"/>
      <c r="D4" s="730">
        <v>0.46586525895923542</v>
      </c>
      <c r="E4" s="730">
        <v>0.51433899357406598</v>
      </c>
      <c r="F4" s="730">
        <v>0.52770533252457774</v>
      </c>
      <c r="G4" s="730">
        <v>0.48474833730191313</v>
      </c>
      <c r="H4" s="730">
        <v>0.54354690633463587</v>
      </c>
      <c r="I4" s="730">
        <v>0.65914620694302894</v>
      </c>
      <c r="J4" s="730">
        <v>0.74632806565018006</v>
      </c>
    </row>
    <row r="5" spans="1:10" ht="16.5" customHeight="1" x14ac:dyDescent="0.3">
      <c r="A5" s="731" t="s">
        <v>10</v>
      </c>
      <c r="B5" s="732" t="s">
        <v>11</v>
      </c>
      <c r="C5" s="732" t="s">
        <v>252</v>
      </c>
      <c r="D5" s="733">
        <v>0.45034688609228785</v>
      </c>
      <c r="E5" s="733">
        <v>0.41541191654119164</v>
      </c>
      <c r="F5" s="733">
        <v>0.49280769390208512</v>
      </c>
      <c r="G5" s="733">
        <v>0.44929031790861035</v>
      </c>
      <c r="H5" s="733">
        <v>0.41868038512365491</v>
      </c>
      <c r="I5" s="733">
        <v>0.48250582090491473</v>
      </c>
      <c r="J5" s="733">
        <v>0.54831036435718328</v>
      </c>
    </row>
    <row r="6" spans="1:10" ht="16.5" customHeight="1" x14ac:dyDescent="0.3">
      <c r="A6" s="731" t="s">
        <v>12</v>
      </c>
      <c r="B6" s="732" t="s">
        <v>13</v>
      </c>
      <c r="C6" s="732" t="s">
        <v>253</v>
      </c>
      <c r="D6" s="733">
        <v>0.28974198918019145</v>
      </c>
      <c r="E6" s="733">
        <v>0.36215757106609897</v>
      </c>
      <c r="F6" s="733">
        <v>0.36683244379750929</v>
      </c>
      <c r="G6" s="733">
        <v>0.29816299888101455</v>
      </c>
      <c r="H6" s="733">
        <v>0.4403373425667193</v>
      </c>
      <c r="I6" s="733">
        <v>0.5727736605515733</v>
      </c>
      <c r="J6" s="733">
        <v>0.66737941926861866</v>
      </c>
    </row>
    <row r="7" spans="1:10" ht="16.5" customHeight="1" x14ac:dyDescent="0.3">
      <c r="A7" s="731" t="s">
        <v>16</v>
      </c>
      <c r="B7" s="732" t="s">
        <v>277</v>
      </c>
      <c r="C7" s="732" t="s">
        <v>253</v>
      </c>
      <c r="D7" s="733">
        <v>0.62072503419972636</v>
      </c>
      <c r="E7" s="733">
        <v>0.66097366694780246</v>
      </c>
      <c r="F7" s="733">
        <v>0.63330286410725167</v>
      </c>
      <c r="G7" s="733">
        <v>0.62403965303593556</v>
      </c>
      <c r="H7" s="733">
        <v>0.79528931381336521</v>
      </c>
      <c r="I7" s="733">
        <v>0.75589098532494758</v>
      </c>
      <c r="J7" s="733">
        <v>0.8105157232704403</v>
      </c>
    </row>
    <row r="8" spans="1:10" ht="16.5" customHeight="1" x14ac:dyDescent="0.3">
      <c r="A8" s="731" t="s">
        <v>18</v>
      </c>
      <c r="B8" s="732" t="s">
        <v>19</v>
      </c>
      <c r="C8" s="732" t="s">
        <v>254</v>
      </c>
      <c r="D8" s="733">
        <v>0.54383460236886638</v>
      </c>
      <c r="E8" s="733">
        <v>0.64199873497786208</v>
      </c>
      <c r="F8" s="733">
        <v>0.69769330734243018</v>
      </c>
      <c r="G8" s="733">
        <v>0.62956827309236951</v>
      </c>
      <c r="H8" s="733">
        <v>0.72102102102102106</v>
      </c>
      <c r="I8" s="733">
        <v>1.0326826826826827</v>
      </c>
      <c r="J8" s="733">
        <v>1.1711711711711712</v>
      </c>
    </row>
    <row r="9" spans="1:10" ht="16.5" customHeight="1" x14ac:dyDescent="0.3">
      <c r="A9" s="731" t="s">
        <v>20</v>
      </c>
      <c r="B9" s="732" t="s">
        <v>21</v>
      </c>
      <c r="C9" s="732" t="s">
        <v>253</v>
      </c>
      <c r="D9" s="733">
        <v>0.53661899897854959</v>
      </c>
      <c r="E9" s="733">
        <v>0.59540025146689024</v>
      </c>
      <c r="F9" s="733">
        <v>0.56495648034815726</v>
      </c>
      <c r="G9" s="733">
        <v>0.49520328212721326</v>
      </c>
      <c r="H9" s="733">
        <v>0.51880858023526455</v>
      </c>
      <c r="I9" s="733">
        <v>0.64603384286343335</v>
      </c>
      <c r="J9" s="733">
        <v>0.73221362521230415</v>
      </c>
    </row>
    <row r="10" spans="1:10" ht="16.5" customHeight="1" x14ac:dyDescent="0.3">
      <c r="A10" s="731" t="s">
        <v>22</v>
      </c>
      <c r="B10" s="732" t="s">
        <v>23</v>
      </c>
      <c r="C10" s="732" t="s">
        <v>253</v>
      </c>
      <c r="D10" s="733">
        <v>0.61866638200967838</v>
      </c>
      <c r="E10" s="733">
        <v>0.68785181804351136</v>
      </c>
      <c r="F10" s="733">
        <v>0.62509960159362554</v>
      </c>
      <c r="G10" s="733">
        <v>0.62384844946152851</v>
      </c>
      <c r="H10" s="733">
        <v>0.69308385579937304</v>
      </c>
      <c r="I10" s="733">
        <v>0.80005877742946707</v>
      </c>
      <c r="J10" s="733">
        <v>0.9050156739811912</v>
      </c>
    </row>
    <row r="11" spans="1:10" ht="16.5" customHeight="1" x14ac:dyDescent="0.3">
      <c r="A11" s="731" t="s">
        <v>24</v>
      </c>
      <c r="B11" s="732" t="s">
        <v>25</v>
      </c>
      <c r="C11" s="732" t="s">
        <v>255</v>
      </c>
      <c r="D11" s="733">
        <v>0.20834828216561599</v>
      </c>
      <c r="E11" s="733">
        <v>0.20396186766439445</v>
      </c>
      <c r="F11" s="733">
        <v>0.20425436229537686</v>
      </c>
      <c r="G11" s="733">
        <v>0.19807410157147656</v>
      </c>
      <c r="H11" s="733">
        <v>0.21975252874174062</v>
      </c>
      <c r="I11" s="733">
        <v>0.27225824166090945</v>
      </c>
      <c r="J11" s="733">
        <v>0.31860551628846256</v>
      </c>
    </row>
    <row r="12" spans="1:10" ht="16.5" customHeight="1" x14ac:dyDescent="0.3">
      <c r="A12" s="731" t="s">
        <v>26</v>
      </c>
      <c r="B12" s="734" t="s">
        <v>547</v>
      </c>
      <c r="C12" s="732" t="s">
        <v>253</v>
      </c>
      <c r="D12" s="733">
        <v>0.47039166039371338</v>
      </c>
      <c r="E12" s="733">
        <v>0.52842846727345427</v>
      </c>
      <c r="F12" s="733">
        <v>0.51882973369220331</v>
      </c>
      <c r="G12" s="733">
        <v>0.50106524898950677</v>
      </c>
      <c r="H12" s="733">
        <v>0.67554376786319814</v>
      </c>
      <c r="I12" s="733">
        <v>0.74325394311775517</v>
      </c>
      <c r="J12" s="733">
        <v>0.83376195603977954</v>
      </c>
    </row>
    <row r="13" spans="1:10" ht="16.5" customHeight="1" x14ac:dyDescent="0.3">
      <c r="A13" s="731" t="s">
        <v>27</v>
      </c>
      <c r="B13" s="732" t="s">
        <v>28</v>
      </c>
      <c r="C13" s="732" t="s">
        <v>253</v>
      </c>
      <c r="D13" s="733">
        <v>0.30604288499025339</v>
      </c>
      <c r="E13" s="733">
        <v>0.31868898186889821</v>
      </c>
      <c r="F13" s="733">
        <v>0.33193407960199006</v>
      </c>
      <c r="G13" s="733">
        <v>0.35159010600706714</v>
      </c>
      <c r="H13" s="733">
        <v>0.45288624787775894</v>
      </c>
      <c r="I13" s="733">
        <v>0.55333899264289754</v>
      </c>
      <c r="J13" s="733">
        <v>0.59932088285229201</v>
      </c>
    </row>
    <row r="14" spans="1:10" ht="16.5" customHeight="1" x14ac:dyDescent="0.3">
      <c r="A14" s="731" t="s">
        <v>29</v>
      </c>
      <c r="B14" s="732" t="s">
        <v>736</v>
      </c>
      <c r="C14" s="732" t="s">
        <v>253</v>
      </c>
      <c r="D14" s="733">
        <v>0.41019570707070707</v>
      </c>
      <c r="E14" s="733">
        <v>0.46042944785276074</v>
      </c>
      <c r="F14" s="733">
        <v>0.48036295766817566</v>
      </c>
      <c r="G14" s="733">
        <v>0.41342153436511897</v>
      </c>
      <c r="H14" s="733">
        <v>0.55485123452817642</v>
      </c>
      <c r="I14" s="733">
        <v>0.64231493468282919</v>
      </c>
      <c r="J14" s="733">
        <v>0.74007296692950453</v>
      </c>
    </row>
    <row r="15" spans="1:10" ht="16.5" customHeight="1" x14ac:dyDescent="0.3">
      <c r="A15" s="731" t="s">
        <v>30</v>
      </c>
      <c r="B15" s="732" t="s">
        <v>31</v>
      </c>
      <c r="C15" s="732" t="s">
        <v>256</v>
      </c>
      <c r="D15" s="733">
        <v>0.41518136335209505</v>
      </c>
      <c r="E15" s="733">
        <v>0.39920919128618321</v>
      </c>
      <c r="F15" s="733">
        <v>0.46311600857055402</v>
      </c>
      <c r="G15" s="733">
        <v>0.4013104013104013</v>
      </c>
      <c r="H15" s="733">
        <v>0.39938370846730975</v>
      </c>
      <c r="I15" s="733">
        <v>0.41579581993569131</v>
      </c>
      <c r="J15" s="733">
        <v>0.47877813504823152</v>
      </c>
    </row>
    <row r="16" spans="1:10" ht="16.5" customHeight="1" x14ac:dyDescent="0.3">
      <c r="A16" s="731" t="s">
        <v>32</v>
      </c>
      <c r="B16" s="732" t="s">
        <v>33</v>
      </c>
      <c r="C16" s="732" t="s">
        <v>253</v>
      </c>
      <c r="D16" s="733">
        <v>0.29975908080059305</v>
      </c>
      <c r="E16" s="733">
        <v>0.32346189164370981</v>
      </c>
      <c r="F16" s="733">
        <v>0.31836191218498311</v>
      </c>
      <c r="G16" s="733">
        <v>0.31581740976645434</v>
      </c>
      <c r="H16" s="733">
        <v>0.34562989752863171</v>
      </c>
      <c r="I16" s="733">
        <v>0.47510548523206753</v>
      </c>
      <c r="J16" s="733">
        <v>0.56810126582278486</v>
      </c>
    </row>
    <row r="17" spans="1:10" ht="16.5" customHeight="1" x14ac:dyDescent="0.3">
      <c r="A17" s="731" t="s">
        <v>36</v>
      </c>
      <c r="B17" s="732" t="s">
        <v>37</v>
      </c>
      <c r="C17" s="732" t="s">
        <v>252</v>
      </c>
      <c r="D17" s="733">
        <v>0.62984946236559136</v>
      </c>
      <c r="E17" s="733">
        <v>0.64689051586299751</v>
      </c>
      <c r="F17" s="733">
        <v>0.70859442993907751</v>
      </c>
      <c r="G17" s="733">
        <v>0.61184065327742221</v>
      </c>
      <c r="H17" s="733">
        <v>0.66252915068080942</v>
      </c>
      <c r="I17" s="733">
        <v>0.75161739261265326</v>
      </c>
      <c r="J17" s="733">
        <v>0.81313473256601221</v>
      </c>
    </row>
    <row r="18" spans="1:10" ht="16.5" customHeight="1" x14ac:dyDescent="0.3">
      <c r="A18" s="731" t="s">
        <v>38</v>
      </c>
      <c r="B18" s="732" t="s">
        <v>39</v>
      </c>
      <c r="C18" s="732" t="s">
        <v>256</v>
      </c>
      <c r="D18" s="733">
        <v>0.63551368896415472</v>
      </c>
      <c r="E18" s="733">
        <v>0.54313809059912321</v>
      </c>
      <c r="F18" s="733">
        <v>0.60614453325854256</v>
      </c>
      <c r="G18" s="733">
        <v>0.59252760621373757</v>
      </c>
      <c r="H18" s="733">
        <v>0.60020406226271827</v>
      </c>
      <c r="I18" s="733">
        <v>0.63570140470766889</v>
      </c>
      <c r="J18" s="733">
        <v>0.66289863325740317</v>
      </c>
    </row>
    <row r="19" spans="1:10" ht="16.5" customHeight="1" x14ac:dyDescent="0.3">
      <c r="A19" s="731" t="s">
        <v>40</v>
      </c>
      <c r="B19" s="732" t="s">
        <v>41</v>
      </c>
      <c r="C19" s="732" t="s">
        <v>254</v>
      </c>
      <c r="D19" s="733">
        <v>0.54798572406375279</v>
      </c>
      <c r="E19" s="733">
        <v>0.51311605723370435</v>
      </c>
      <c r="F19" s="733">
        <v>0.6006150249059673</v>
      </c>
      <c r="G19" s="733">
        <v>0.53811708169506334</v>
      </c>
      <c r="H19" s="733">
        <v>0.60386139526310945</v>
      </c>
      <c r="I19" s="733">
        <v>0.75218873836512767</v>
      </c>
      <c r="J19" s="733">
        <v>0.84672380425767213</v>
      </c>
    </row>
    <row r="20" spans="1:10" ht="16.5" customHeight="1" x14ac:dyDescent="0.3">
      <c r="A20" s="731" t="s">
        <v>42</v>
      </c>
      <c r="B20" s="732" t="s">
        <v>43</v>
      </c>
      <c r="C20" s="732" t="s">
        <v>253</v>
      </c>
      <c r="D20" s="733">
        <v>0.54</v>
      </c>
      <c r="E20" s="733">
        <v>0.61437543767507008</v>
      </c>
      <c r="F20" s="733">
        <v>0.57307846678707608</v>
      </c>
      <c r="G20" s="733">
        <v>0.55848873126644549</v>
      </c>
      <c r="H20" s="733">
        <v>0.58974802181762309</v>
      </c>
      <c r="I20" s="733">
        <v>0.72430283475455171</v>
      </c>
      <c r="J20" s="733">
        <v>0.81011753860336488</v>
      </c>
    </row>
    <row r="21" spans="1:10" ht="16.5" customHeight="1" x14ac:dyDescent="0.3">
      <c r="A21" s="731" t="s">
        <v>44</v>
      </c>
      <c r="B21" s="732" t="s">
        <v>45</v>
      </c>
      <c r="C21" s="732" t="s">
        <v>254</v>
      </c>
      <c r="D21" s="733">
        <v>0.6696306094454243</v>
      </c>
      <c r="E21" s="733">
        <v>0.73873735825927056</v>
      </c>
      <c r="F21" s="733">
        <v>0.74314377898769912</v>
      </c>
      <c r="G21" s="733">
        <v>0.76818438116718357</v>
      </c>
      <c r="H21" s="733">
        <v>0.90231884057971012</v>
      </c>
      <c r="I21" s="733">
        <v>1.1741062801932367</v>
      </c>
      <c r="J21" s="733">
        <v>1.2823188405797101</v>
      </c>
    </row>
    <row r="22" spans="1:10" ht="16.5" customHeight="1" x14ac:dyDescent="0.3">
      <c r="A22" s="731" t="s">
        <v>46</v>
      </c>
      <c r="B22" s="732" t="s">
        <v>47</v>
      </c>
      <c r="C22" s="732" t="s">
        <v>256</v>
      </c>
      <c r="D22" s="733">
        <v>0.57748118953780003</v>
      </c>
      <c r="E22" s="733">
        <v>0.5329052969502408</v>
      </c>
      <c r="F22" s="733">
        <v>0.63190779496511984</v>
      </c>
      <c r="G22" s="733">
        <v>0.63223894208846332</v>
      </c>
      <c r="H22" s="733">
        <v>0.64257060333761229</v>
      </c>
      <c r="I22" s="733">
        <v>0.75583012409071459</v>
      </c>
      <c r="J22" s="733">
        <v>0.83080872913992299</v>
      </c>
    </row>
    <row r="23" spans="1:10" ht="16.5" customHeight="1" x14ac:dyDescent="0.3">
      <c r="A23" s="731" t="s">
        <v>48</v>
      </c>
      <c r="B23" s="732" t="s">
        <v>257</v>
      </c>
      <c r="C23" s="732" t="s">
        <v>254</v>
      </c>
      <c r="D23" s="733">
        <v>0.49942301351796903</v>
      </c>
      <c r="E23" s="733">
        <v>0.52976774615636246</v>
      </c>
      <c r="F23" s="733">
        <v>0.57137004260898061</v>
      </c>
      <c r="G23" s="733">
        <v>0.56529680365296808</v>
      </c>
      <c r="H23" s="733">
        <v>0.61650120336943437</v>
      </c>
      <c r="I23" s="733">
        <v>0.76022864019253911</v>
      </c>
      <c r="J23" s="733">
        <v>0.85451263537906141</v>
      </c>
    </row>
    <row r="24" spans="1:10" ht="16.5" customHeight="1" x14ac:dyDescent="0.3">
      <c r="A24" s="731" t="s">
        <v>50</v>
      </c>
      <c r="B24" s="732" t="s">
        <v>51</v>
      </c>
      <c r="C24" s="732" t="s">
        <v>253</v>
      </c>
      <c r="D24" s="733">
        <v>0.53851461548111901</v>
      </c>
      <c r="E24" s="733">
        <v>0.546844894026975</v>
      </c>
      <c r="F24" s="733">
        <v>0.58021452722397104</v>
      </c>
      <c r="G24" s="733">
        <v>0.53463681278250819</v>
      </c>
      <c r="H24" s="733">
        <v>0.65291975091058629</v>
      </c>
      <c r="I24" s="733">
        <v>0.76362942074961815</v>
      </c>
      <c r="J24" s="733">
        <v>0.79689813182939728</v>
      </c>
    </row>
    <row r="25" spans="1:10" ht="16.5" customHeight="1" x14ac:dyDescent="0.3">
      <c r="A25" s="731" t="s">
        <v>56</v>
      </c>
      <c r="B25" s="732" t="s">
        <v>283</v>
      </c>
      <c r="C25" s="732" t="s">
        <v>254</v>
      </c>
      <c r="D25" s="733">
        <v>0.42259082341095616</v>
      </c>
      <c r="E25" s="733">
        <v>0.51769905743894185</v>
      </c>
      <c r="F25" s="733">
        <v>0.59980428423950449</v>
      </c>
      <c r="G25" s="733">
        <v>0.53899600648945467</v>
      </c>
      <c r="H25" s="733">
        <v>0.65745087280781966</v>
      </c>
      <c r="I25" s="733">
        <v>0.86218112161508387</v>
      </c>
      <c r="J25" s="733">
        <v>1.021684383948535</v>
      </c>
    </row>
    <row r="26" spans="1:10" ht="16.5" customHeight="1" x14ac:dyDescent="0.3">
      <c r="A26" s="731" t="s">
        <v>58</v>
      </c>
      <c r="B26" s="732" t="s">
        <v>59</v>
      </c>
      <c r="C26" s="732" t="s">
        <v>255</v>
      </c>
      <c r="D26" s="733">
        <v>0.26273623664749385</v>
      </c>
      <c r="E26" s="733">
        <v>0.26749311294765843</v>
      </c>
      <c r="F26" s="733">
        <v>0.31091814754981151</v>
      </c>
      <c r="G26" s="733">
        <v>0.32128125805620006</v>
      </c>
      <c r="H26" s="733">
        <v>0.32996859578286225</v>
      </c>
      <c r="I26" s="733">
        <v>0.44599596231493943</v>
      </c>
      <c r="J26" s="733">
        <v>0.50107671601615078</v>
      </c>
    </row>
    <row r="27" spans="1:10" ht="16.5" customHeight="1" x14ac:dyDescent="0.3">
      <c r="A27" s="731" t="s">
        <v>60</v>
      </c>
      <c r="B27" s="732" t="s">
        <v>61</v>
      </c>
      <c r="C27" s="732" t="s">
        <v>253</v>
      </c>
      <c r="D27" s="733">
        <v>0.419157947184853</v>
      </c>
      <c r="E27" s="733">
        <v>0.45292439372325249</v>
      </c>
      <c r="F27" s="733">
        <v>0.46559945504087191</v>
      </c>
      <c r="G27" s="733">
        <v>0.45931244560487378</v>
      </c>
      <c r="H27" s="733">
        <v>0.47545219638242892</v>
      </c>
      <c r="I27" s="733">
        <v>0.64804048234280798</v>
      </c>
      <c r="J27" s="733">
        <v>0.68682170542635657</v>
      </c>
    </row>
    <row r="28" spans="1:10" ht="16.5" customHeight="1" x14ac:dyDescent="0.3">
      <c r="A28" s="731" t="s">
        <v>62</v>
      </c>
      <c r="B28" s="732" t="s">
        <v>63</v>
      </c>
      <c r="C28" s="732" t="s">
        <v>255</v>
      </c>
      <c r="D28" s="733">
        <v>0.38213125406107862</v>
      </c>
      <c r="E28" s="733">
        <v>0.42691159508786214</v>
      </c>
      <c r="F28" s="733">
        <v>0.45232248823409044</v>
      </c>
      <c r="G28" s="733">
        <v>0.47933333333333333</v>
      </c>
      <c r="H28" s="733">
        <v>0.61356440312584204</v>
      </c>
      <c r="I28" s="733">
        <v>0.89283548908649957</v>
      </c>
      <c r="J28" s="733">
        <v>1.0588520614389652</v>
      </c>
    </row>
    <row r="29" spans="1:10" ht="16.5" customHeight="1" x14ac:dyDescent="0.3">
      <c r="A29" s="731" t="s">
        <v>64</v>
      </c>
      <c r="B29" s="732" t="s">
        <v>65</v>
      </c>
      <c r="C29" s="732" t="s">
        <v>254</v>
      </c>
      <c r="D29" s="733">
        <v>0.65049415992812221</v>
      </c>
      <c r="E29" s="733">
        <v>0.64267103714910068</v>
      </c>
      <c r="F29" s="733">
        <v>0.67856517935258098</v>
      </c>
      <c r="G29" s="733">
        <v>0.64125722543352603</v>
      </c>
      <c r="H29" s="733">
        <v>0.70461095100864557</v>
      </c>
      <c r="I29" s="733">
        <v>0.87307877041306436</v>
      </c>
      <c r="J29" s="733">
        <v>0.94380403458213258</v>
      </c>
    </row>
    <row r="30" spans="1:10" ht="16.5" customHeight="1" x14ac:dyDescent="0.3">
      <c r="A30" s="731" t="s">
        <v>68</v>
      </c>
      <c r="B30" s="732" t="s">
        <v>69</v>
      </c>
      <c r="C30" s="732" t="s">
        <v>256</v>
      </c>
      <c r="D30" s="733">
        <v>0.63736176935229072</v>
      </c>
      <c r="E30" s="733">
        <v>0.56630824372759858</v>
      </c>
      <c r="F30" s="733">
        <v>0.65258724428399517</v>
      </c>
      <c r="G30" s="733">
        <v>0.55255913539967372</v>
      </c>
      <c r="H30" s="733">
        <v>0.55871133305590237</v>
      </c>
      <c r="I30" s="733">
        <v>0.60682827021778329</v>
      </c>
      <c r="J30" s="733">
        <v>0.64565126924677485</v>
      </c>
    </row>
    <row r="31" spans="1:10" ht="16.5" customHeight="1" x14ac:dyDescent="0.3">
      <c r="A31" s="731" t="s">
        <v>70</v>
      </c>
      <c r="B31" s="732" t="s">
        <v>71</v>
      </c>
      <c r="C31" s="732" t="s">
        <v>252</v>
      </c>
      <c r="D31" s="733">
        <v>0.68108209304502476</v>
      </c>
      <c r="E31" s="733">
        <v>0.80683540466808124</v>
      </c>
      <c r="F31" s="733">
        <v>0.73746766568548749</v>
      </c>
      <c r="G31" s="733">
        <v>0.68707653701380178</v>
      </c>
      <c r="H31" s="733">
        <v>0.75497225778915922</v>
      </c>
      <c r="I31" s="733">
        <v>0.94291506615450282</v>
      </c>
      <c r="J31" s="733">
        <v>1.0813316261203585</v>
      </c>
    </row>
    <row r="32" spans="1:10" ht="16.5" customHeight="1" x14ac:dyDescent="0.3">
      <c r="A32" s="731" t="s">
        <v>72</v>
      </c>
      <c r="B32" s="732" t="s">
        <v>73</v>
      </c>
      <c r="C32" s="732" t="s">
        <v>254</v>
      </c>
      <c r="D32" s="733">
        <v>0.7468507751937985</v>
      </c>
      <c r="E32" s="733">
        <v>0.79479655712050079</v>
      </c>
      <c r="F32" s="733">
        <v>0.80371112383132992</v>
      </c>
      <c r="G32" s="733">
        <v>0.80954916577919778</v>
      </c>
      <c r="H32" s="733">
        <v>0.8646156497759393</v>
      </c>
      <c r="I32" s="733">
        <v>1.0512754222681835</v>
      </c>
      <c r="J32" s="733">
        <v>1.1600827300930714</v>
      </c>
    </row>
    <row r="33" spans="1:10" ht="16.5" customHeight="1" x14ac:dyDescent="0.3">
      <c r="A33" s="731" t="s">
        <v>74</v>
      </c>
      <c r="B33" s="732" t="s">
        <v>278</v>
      </c>
      <c r="C33" s="732" t="s">
        <v>255</v>
      </c>
      <c r="D33" s="733">
        <v>0.22789937768203655</v>
      </c>
      <c r="E33" s="733">
        <v>0.27073690798474659</v>
      </c>
      <c r="F33" s="733">
        <v>0.26392918528704024</v>
      </c>
      <c r="G33" s="733">
        <v>0.2674672735564918</v>
      </c>
      <c r="H33" s="733">
        <v>0.32990066014825237</v>
      </c>
      <c r="I33" s="733">
        <v>0.42057192157767492</v>
      </c>
      <c r="J33" s="733">
        <v>0.50337846606393566</v>
      </c>
    </row>
    <row r="34" spans="1:10" ht="16.5" customHeight="1" x14ac:dyDescent="0.3">
      <c r="A34" s="731" t="s">
        <v>76</v>
      </c>
      <c r="B34" s="732" t="s">
        <v>77</v>
      </c>
      <c r="C34" s="732" t="s">
        <v>255</v>
      </c>
      <c r="D34" s="733">
        <v>0.30197351907630521</v>
      </c>
      <c r="E34" s="733">
        <v>0.38968432919954904</v>
      </c>
      <c r="F34" s="733">
        <v>0.37904883407753914</v>
      </c>
      <c r="G34" s="733">
        <v>0.3783305642729678</v>
      </c>
      <c r="H34" s="733">
        <v>0.47087991345113595</v>
      </c>
      <c r="I34" s="733">
        <v>0.61717153504026923</v>
      </c>
      <c r="J34" s="733">
        <v>0.71381175622069959</v>
      </c>
    </row>
    <row r="35" spans="1:10" ht="16.5" customHeight="1" x14ac:dyDescent="0.3">
      <c r="A35" s="731" t="s">
        <v>78</v>
      </c>
      <c r="B35" s="732" t="s">
        <v>79</v>
      </c>
      <c r="C35" s="732" t="s">
        <v>256</v>
      </c>
      <c r="D35" s="733">
        <v>0.46488908476568236</v>
      </c>
      <c r="E35" s="733">
        <v>0.4847810734463277</v>
      </c>
      <c r="F35" s="733">
        <v>0.44654913728432111</v>
      </c>
      <c r="G35" s="733">
        <v>0.45091575091575092</v>
      </c>
      <c r="H35" s="733">
        <v>0.5319577601778519</v>
      </c>
      <c r="I35" s="733">
        <v>0.66805613450048629</v>
      </c>
      <c r="J35" s="733">
        <v>0.786494372655273</v>
      </c>
    </row>
    <row r="36" spans="1:10" ht="16.5" customHeight="1" x14ac:dyDescent="0.3">
      <c r="A36" s="731" t="s">
        <v>80</v>
      </c>
      <c r="B36" s="732" t="s">
        <v>81</v>
      </c>
      <c r="C36" s="732" t="s">
        <v>254</v>
      </c>
      <c r="D36" s="733">
        <v>0.31521220791607057</v>
      </c>
      <c r="E36" s="733">
        <v>0.28280324934600026</v>
      </c>
      <c r="F36" s="733">
        <v>0.34771181199752627</v>
      </c>
      <c r="G36" s="733">
        <v>0.32341024584535094</v>
      </c>
      <c r="H36" s="733">
        <v>0.3794756554307116</v>
      </c>
      <c r="I36" s="733">
        <v>0.54580524344569292</v>
      </c>
      <c r="J36" s="733">
        <v>0.65734831460674159</v>
      </c>
    </row>
    <row r="37" spans="1:10" ht="16.5" customHeight="1" x14ac:dyDescent="0.3">
      <c r="A37" s="731" t="s">
        <v>84</v>
      </c>
      <c r="B37" s="732" t="s">
        <v>85</v>
      </c>
      <c r="C37" s="732" t="s">
        <v>253</v>
      </c>
      <c r="D37" s="733">
        <v>0.54455090600964673</v>
      </c>
      <c r="E37" s="733">
        <v>0.66176184216931988</v>
      </c>
      <c r="F37" s="733">
        <v>0.66591475163306546</v>
      </c>
      <c r="G37" s="733">
        <v>0.61595736106073429</v>
      </c>
      <c r="H37" s="733">
        <v>0.65246797703180215</v>
      </c>
      <c r="I37" s="733">
        <v>0.7977123822143698</v>
      </c>
      <c r="J37" s="733">
        <v>0.86515017667844518</v>
      </c>
    </row>
    <row r="38" spans="1:10" ht="16.5" customHeight="1" x14ac:dyDescent="0.3">
      <c r="A38" s="731" t="s">
        <v>86</v>
      </c>
      <c r="B38" s="732" t="s">
        <v>87</v>
      </c>
      <c r="C38" s="732" t="s">
        <v>255</v>
      </c>
      <c r="D38" s="733">
        <v>0.34761946798493409</v>
      </c>
      <c r="E38" s="733">
        <v>0.38027426160337552</v>
      </c>
      <c r="F38" s="733">
        <v>0.36097152428810719</v>
      </c>
      <c r="G38" s="733">
        <v>0.40743167807387992</v>
      </c>
      <c r="H38" s="733">
        <v>0.50113402061855672</v>
      </c>
      <c r="I38" s="733">
        <v>0.7163802978235968</v>
      </c>
      <c r="J38" s="733">
        <v>0.85569759450171823</v>
      </c>
    </row>
    <row r="39" spans="1:10" ht="16.5" customHeight="1" x14ac:dyDescent="0.3">
      <c r="A39" s="731" t="s">
        <v>92</v>
      </c>
      <c r="B39" s="732" t="s">
        <v>93</v>
      </c>
      <c r="C39" s="732" t="s">
        <v>256</v>
      </c>
      <c r="D39" s="733">
        <v>0.55524605385329617</v>
      </c>
      <c r="E39" s="733">
        <v>0.56483516483516483</v>
      </c>
      <c r="F39" s="733">
        <v>0.59449869791666665</v>
      </c>
      <c r="G39" s="733">
        <v>0.58280367231638419</v>
      </c>
      <c r="H39" s="733">
        <v>0.60637454710144922</v>
      </c>
      <c r="I39" s="733">
        <v>0.72342051630434778</v>
      </c>
      <c r="J39" s="733">
        <v>0.81032608695652175</v>
      </c>
    </row>
    <row r="40" spans="1:10" ht="16.5" customHeight="1" x14ac:dyDescent="0.3">
      <c r="A40" s="731" t="s">
        <v>94</v>
      </c>
      <c r="B40" s="732" t="s">
        <v>95</v>
      </c>
      <c r="C40" s="732" t="s">
        <v>252</v>
      </c>
      <c r="D40" s="733">
        <v>0.38352983208288677</v>
      </c>
      <c r="E40" s="733">
        <v>0.46572688914461069</v>
      </c>
      <c r="F40" s="733">
        <v>0.42652073104200766</v>
      </c>
      <c r="G40" s="733">
        <v>0.47151120751988429</v>
      </c>
      <c r="H40" s="733">
        <v>0.51505477635894215</v>
      </c>
      <c r="I40" s="733">
        <v>0.70129439676226357</v>
      </c>
      <c r="J40" s="733">
        <v>0.82558090851999166</v>
      </c>
    </row>
    <row r="41" spans="1:10" ht="16.5" customHeight="1" x14ac:dyDescent="0.3">
      <c r="A41" s="731" t="s">
        <v>96</v>
      </c>
      <c r="B41" s="732" t="s">
        <v>97</v>
      </c>
      <c r="C41" s="732" t="s">
        <v>254</v>
      </c>
      <c r="D41" s="733">
        <v>0.34383202099737531</v>
      </c>
      <c r="E41" s="733">
        <v>0.39076075439711805</v>
      </c>
      <c r="F41" s="733">
        <v>0.35978169605373633</v>
      </c>
      <c r="G41" s="733">
        <v>0.25571165034766569</v>
      </c>
      <c r="H41" s="733">
        <v>0.44202472042377872</v>
      </c>
      <c r="I41" s="733">
        <v>0.59510496370413968</v>
      </c>
      <c r="J41" s="733">
        <v>0.69864626250735729</v>
      </c>
    </row>
    <row r="42" spans="1:10" ht="16.5" customHeight="1" x14ac:dyDescent="0.3">
      <c r="A42" s="731" t="s">
        <v>98</v>
      </c>
      <c r="B42" s="732" t="s">
        <v>99</v>
      </c>
      <c r="C42" s="732" t="s">
        <v>256</v>
      </c>
      <c r="D42" s="733">
        <v>0.55992171032821436</v>
      </c>
      <c r="E42" s="733">
        <v>0.54519616065604326</v>
      </c>
      <c r="F42" s="733">
        <v>0.59518960333624282</v>
      </c>
      <c r="G42" s="733">
        <v>0.51073216777476815</v>
      </c>
      <c r="H42" s="733">
        <v>0.57500436071864647</v>
      </c>
      <c r="I42" s="733">
        <v>0.64226844583987441</v>
      </c>
      <c r="J42" s="733">
        <v>0.69539508110936687</v>
      </c>
    </row>
    <row r="43" spans="1:10" ht="16.5" customHeight="1" x14ac:dyDescent="0.3">
      <c r="A43" s="731" t="s">
        <v>100</v>
      </c>
      <c r="B43" s="732" t="s">
        <v>101</v>
      </c>
      <c r="C43" s="732" t="s">
        <v>255</v>
      </c>
      <c r="D43" s="733">
        <v>0.49800762300762302</v>
      </c>
      <c r="E43" s="733">
        <v>0.5680686220254566</v>
      </c>
      <c r="F43" s="733">
        <v>0.56412024269167127</v>
      </c>
      <c r="G43" s="733">
        <v>0.52823147172462237</v>
      </c>
      <c r="H43" s="733">
        <v>0.61614025192705391</v>
      </c>
      <c r="I43" s="733">
        <v>0.8715454032712916</v>
      </c>
      <c r="J43" s="733">
        <v>1.0486181613085166</v>
      </c>
    </row>
    <row r="44" spans="1:10" ht="16.5" customHeight="1" x14ac:dyDescent="0.3">
      <c r="A44" s="731" t="s">
        <v>102</v>
      </c>
      <c r="B44" s="732" t="s">
        <v>103</v>
      </c>
      <c r="C44" s="732" t="s">
        <v>252</v>
      </c>
      <c r="D44" s="733">
        <v>0.54634988323687683</v>
      </c>
      <c r="E44" s="733">
        <v>0.60678147499513524</v>
      </c>
      <c r="F44" s="733">
        <v>0.66488756048961006</v>
      </c>
      <c r="G44" s="733">
        <v>0.63596157101743689</v>
      </c>
      <c r="H44" s="733">
        <v>0.77053073269700745</v>
      </c>
      <c r="I44" s="733">
        <v>0.73525714285714283</v>
      </c>
      <c r="J44" s="733">
        <v>0.81421714285714286</v>
      </c>
    </row>
    <row r="45" spans="1:10" ht="16.5" customHeight="1" x14ac:dyDescent="0.3">
      <c r="A45" s="731" t="s">
        <v>104</v>
      </c>
      <c r="B45" s="732" t="s">
        <v>105</v>
      </c>
      <c r="C45" s="732" t="s">
        <v>253</v>
      </c>
      <c r="D45" s="733">
        <v>0.55333744095296777</v>
      </c>
      <c r="E45" s="733">
        <v>0.65888139790864064</v>
      </c>
      <c r="F45" s="733">
        <v>0.57568685488767457</v>
      </c>
      <c r="G45" s="733">
        <v>0.5659284951974386</v>
      </c>
      <c r="H45" s="733">
        <v>0.60348223643789078</v>
      </c>
      <c r="I45" s="733">
        <v>0.68521630705844083</v>
      </c>
      <c r="J45" s="733">
        <v>0.727854277350103</v>
      </c>
    </row>
    <row r="46" spans="1:10" ht="16.5" customHeight="1" x14ac:dyDescent="0.3">
      <c r="A46" s="731" t="s">
        <v>108</v>
      </c>
      <c r="B46" s="732" t="s">
        <v>109</v>
      </c>
      <c r="C46" s="732" t="s">
        <v>254</v>
      </c>
      <c r="D46" s="733">
        <v>0.34209212778094694</v>
      </c>
      <c r="E46" s="733">
        <v>0.42799555184876287</v>
      </c>
      <c r="F46" s="733">
        <v>0.4947381530605891</v>
      </c>
      <c r="G46" s="733">
        <v>0.38194249320970308</v>
      </c>
      <c r="H46" s="733">
        <v>0.51615508885298866</v>
      </c>
      <c r="I46" s="733">
        <v>0.68275444264943452</v>
      </c>
      <c r="J46" s="733">
        <v>0.79987075928917606</v>
      </c>
    </row>
    <row r="47" spans="1:10" ht="16.5" customHeight="1" x14ac:dyDescent="0.3">
      <c r="A47" s="731" t="s">
        <v>110</v>
      </c>
      <c r="B47" s="732" t="s">
        <v>111</v>
      </c>
      <c r="C47" s="732" t="s">
        <v>254</v>
      </c>
      <c r="D47" s="733">
        <v>0.42148109528930017</v>
      </c>
      <c r="E47" s="733">
        <v>0.50962638200533739</v>
      </c>
      <c r="F47" s="733">
        <v>0.52768534391000865</v>
      </c>
      <c r="G47" s="733">
        <v>0.45286276972257106</v>
      </c>
      <c r="H47" s="733">
        <v>0.52185204272390129</v>
      </c>
      <c r="I47" s="733">
        <v>0.70806428795181942</v>
      </c>
      <c r="J47" s="733">
        <v>0.85082002000788193</v>
      </c>
    </row>
    <row r="48" spans="1:10" ht="16.5" customHeight="1" x14ac:dyDescent="0.3">
      <c r="A48" s="731" t="s">
        <v>112</v>
      </c>
      <c r="B48" s="732" t="s">
        <v>279</v>
      </c>
      <c r="C48" s="732" t="s">
        <v>253</v>
      </c>
      <c r="D48" s="733">
        <v>0.60370395916678166</v>
      </c>
      <c r="E48" s="733">
        <v>0.63152583271316776</v>
      </c>
      <c r="F48" s="733">
        <v>0.68898120403159901</v>
      </c>
      <c r="G48" s="733">
        <v>0.62113096999467365</v>
      </c>
      <c r="H48" s="733">
        <v>0.81689184483599131</v>
      </c>
      <c r="I48" s="733">
        <v>0.85080807470917363</v>
      </c>
      <c r="J48" s="733">
        <v>0.90632773819587009</v>
      </c>
    </row>
    <row r="49" spans="1:10" ht="16.5" customHeight="1" x14ac:dyDescent="0.3">
      <c r="A49" s="731" t="s">
        <v>114</v>
      </c>
      <c r="B49" s="732" t="s">
        <v>115</v>
      </c>
      <c r="C49" s="732" t="s">
        <v>253</v>
      </c>
      <c r="D49" s="733">
        <v>0.31288076588337688</v>
      </c>
      <c r="E49" s="733">
        <v>0.34752198241406873</v>
      </c>
      <c r="F49" s="733">
        <v>0.33352402745995424</v>
      </c>
      <c r="G49" s="733">
        <v>0.30121145374449337</v>
      </c>
      <c r="H49" s="733">
        <v>0.34859154929577463</v>
      </c>
      <c r="I49" s="733">
        <v>0.39632237871674492</v>
      </c>
      <c r="J49" s="733">
        <v>0.40375586854460094</v>
      </c>
    </row>
    <row r="50" spans="1:10" ht="16.5" customHeight="1" x14ac:dyDescent="0.3">
      <c r="A50" s="731" t="s">
        <v>118</v>
      </c>
      <c r="B50" s="732" t="s">
        <v>258</v>
      </c>
      <c r="C50" s="732" t="s">
        <v>252</v>
      </c>
      <c r="D50" s="733">
        <v>0.54821442226810435</v>
      </c>
      <c r="E50" s="733">
        <v>0.63340886874611213</v>
      </c>
      <c r="F50" s="733">
        <v>0.64290390154490706</v>
      </c>
      <c r="G50" s="733">
        <v>0.57824382129277563</v>
      </c>
      <c r="H50" s="733">
        <v>0.71734594210619784</v>
      </c>
      <c r="I50" s="733">
        <v>0.86734150239744268</v>
      </c>
      <c r="J50" s="733">
        <v>0.97639850825785823</v>
      </c>
    </row>
    <row r="51" spans="1:10" ht="16.5" customHeight="1" x14ac:dyDescent="0.3">
      <c r="A51" s="731" t="s">
        <v>120</v>
      </c>
      <c r="B51" s="732" t="s">
        <v>121</v>
      </c>
      <c r="C51" s="732" t="s">
        <v>252</v>
      </c>
      <c r="D51" s="733">
        <v>0.36924056135121708</v>
      </c>
      <c r="E51" s="733">
        <v>0.47360897294919729</v>
      </c>
      <c r="F51" s="733">
        <v>0.42863222680547369</v>
      </c>
      <c r="G51" s="733">
        <v>0.42326583801122697</v>
      </c>
      <c r="H51" s="733">
        <v>0.49310616505810517</v>
      </c>
      <c r="I51" s="733">
        <v>0.66371216597728322</v>
      </c>
      <c r="J51" s="733">
        <v>0.77340949379554857</v>
      </c>
    </row>
    <row r="52" spans="1:10" ht="16.5" customHeight="1" x14ac:dyDescent="0.3">
      <c r="A52" s="731" t="s">
        <v>122</v>
      </c>
      <c r="B52" s="732" t="s">
        <v>259</v>
      </c>
      <c r="C52" s="732" t="s">
        <v>254</v>
      </c>
      <c r="D52" s="733">
        <v>0.63043478260869568</v>
      </c>
      <c r="E52" s="733">
        <v>0.57482566248256628</v>
      </c>
      <c r="F52" s="733">
        <v>0.64423359811709324</v>
      </c>
      <c r="G52" s="733">
        <v>0.57591514143094846</v>
      </c>
      <c r="H52" s="733">
        <v>0.63792354474370117</v>
      </c>
      <c r="I52" s="733">
        <v>0.76122212568780767</v>
      </c>
      <c r="J52" s="733">
        <v>0.87350130321459596</v>
      </c>
    </row>
    <row r="53" spans="1:10" ht="16.5" customHeight="1" x14ac:dyDescent="0.3">
      <c r="A53" s="731" t="s">
        <v>124</v>
      </c>
      <c r="B53" s="732" t="s">
        <v>125</v>
      </c>
      <c r="C53" s="732" t="s">
        <v>255</v>
      </c>
      <c r="D53" s="733">
        <v>0.55162280701754385</v>
      </c>
      <c r="E53" s="733">
        <v>0.65107300441235461</v>
      </c>
      <c r="F53" s="733">
        <v>0.65636486747920297</v>
      </c>
      <c r="G53" s="733">
        <v>0.61343630626141832</v>
      </c>
      <c r="H53" s="733">
        <v>0.7824291427577813</v>
      </c>
      <c r="I53" s="733">
        <v>1.0382976873587202</v>
      </c>
      <c r="J53" s="733">
        <v>1.2200312989045383</v>
      </c>
    </row>
    <row r="54" spans="1:10" ht="16.5" customHeight="1" x14ac:dyDescent="0.3">
      <c r="A54" s="731" t="s">
        <v>126</v>
      </c>
      <c r="B54" s="732" t="s">
        <v>127</v>
      </c>
      <c r="C54" s="732" t="s">
        <v>254</v>
      </c>
      <c r="D54" s="733">
        <v>0.51124708624708626</v>
      </c>
      <c r="E54" s="733">
        <v>0.62792174796747968</v>
      </c>
      <c r="F54" s="733">
        <v>0.59643605870020966</v>
      </c>
      <c r="G54" s="733">
        <v>0.60179324894514763</v>
      </c>
      <c r="H54" s="733">
        <v>0.6783863368669022</v>
      </c>
      <c r="I54" s="733">
        <v>0.95441696113074204</v>
      </c>
      <c r="J54" s="733">
        <v>1.125512367491166</v>
      </c>
    </row>
    <row r="55" spans="1:10" ht="16.5" customHeight="1" x14ac:dyDescent="0.3">
      <c r="A55" s="731" t="s">
        <v>128</v>
      </c>
      <c r="B55" s="732" t="s">
        <v>129</v>
      </c>
      <c r="C55" s="732" t="s">
        <v>254</v>
      </c>
      <c r="D55" s="733">
        <v>0.61568231532895845</v>
      </c>
      <c r="E55" s="733">
        <v>0.64562541583499666</v>
      </c>
      <c r="F55" s="733">
        <v>0.60898066207800716</v>
      </c>
      <c r="G55" s="733">
        <v>0.57010582010582012</v>
      </c>
      <c r="H55" s="733">
        <v>0.58965402528276778</v>
      </c>
      <c r="I55" s="733">
        <v>0.69357119095143049</v>
      </c>
      <c r="J55" s="733">
        <v>0.77035928143712573</v>
      </c>
    </row>
    <row r="56" spans="1:10" ht="16.5" customHeight="1" x14ac:dyDescent="0.3">
      <c r="A56" s="731" t="s">
        <v>130</v>
      </c>
      <c r="B56" s="732" t="s">
        <v>131</v>
      </c>
      <c r="C56" s="732" t="s">
        <v>256</v>
      </c>
      <c r="D56" s="733">
        <v>0.69147133578085285</v>
      </c>
      <c r="E56" s="733">
        <v>0.60752919483712353</v>
      </c>
      <c r="F56" s="733">
        <v>0.69933426769446394</v>
      </c>
      <c r="G56" s="733">
        <v>0.64706768211350629</v>
      </c>
      <c r="H56" s="733">
        <v>0.69349276725334763</v>
      </c>
      <c r="I56" s="733">
        <v>0.7495857405168167</v>
      </c>
      <c r="J56" s="733">
        <v>0.79575440010748355</v>
      </c>
    </row>
    <row r="57" spans="1:10" ht="16.5" customHeight="1" x14ac:dyDescent="0.3">
      <c r="A57" s="731" t="s">
        <v>132</v>
      </c>
      <c r="B57" s="732" t="s">
        <v>133</v>
      </c>
      <c r="C57" s="732" t="s">
        <v>255</v>
      </c>
      <c r="D57" s="733">
        <v>0.23964927745278736</v>
      </c>
      <c r="E57" s="733">
        <v>0.36041326808047852</v>
      </c>
      <c r="F57" s="733">
        <v>0.32113666603307356</v>
      </c>
      <c r="G57" s="733">
        <v>0.29947829947829946</v>
      </c>
      <c r="H57" s="733">
        <v>0.34582491582491581</v>
      </c>
      <c r="I57" s="733">
        <v>0.48074074074074075</v>
      </c>
      <c r="J57" s="733">
        <v>0.57452929292929289</v>
      </c>
    </row>
    <row r="58" spans="1:10" ht="16.5" customHeight="1" x14ac:dyDescent="0.3">
      <c r="A58" s="731" t="s">
        <v>134</v>
      </c>
      <c r="B58" s="732" t="s">
        <v>135</v>
      </c>
      <c r="C58" s="732" t="s">
        <v>255</v>
      </c>
      <c r="D58" s="733">
        <v>0.4172714078374456</v>
      </c>
      <c r="E58" s="733">
        <v>0.45056306306306304</v>
      </c>
      <c r="F58" s="733">
        <v>0.49929258630447088</v>
      </c>
      <c r="G58" s="733">
        <v>0.45967681743543815</v>
      </c>
      <c r="H58" s="733">
        <v>0.54409470317497466</v>
      </c>
      <c r="I58" s="733">
        <v>0.75249629456275846</v>
      </c>
      <c r="J58" s="733">
        <v>0.88233091504797567</v>
      </c>
    </row>
    <row r="59" spans="1:10" ht="16.5" customHeight="1" x14ac:dyDescent="0.3">
      <c r="A59" s="731" t="s">
        <v>136</v>
      </c>
      <c r="B59" s="732" t="s">
        <v>137</v>
      </c>
      <c r="C59" s="732" t="s">
        <v>254</v>
      </c>
      <c r="D59" s="733">
        <v>0.52998629198080882</v>
      </c>
      <c r="E59" s="733">
        <v>0.47584541062801933</v>
      </c>
      <c r="F59" s="733">
        <v>0.53896882494004794</v>
      </c>
      <c r="G59" s="733">
        <v>0.52234848484848484</v>
      </c>
      <c r="H59" s="733">
        <v>0.52122618702253165</v>
      </c>
      <c r="I59" s="733">
        <v>0.60685620346194757</v>
      </c>
      <c r="J59" s="733">
        <v>0.66910356832027851</v>
      </c>
    </row>
    <row r="60" spans="1:10" ht="16.5" customHeight="1" x14ac:dyDescent="0.3">
      <c r="A60" s="731" t="s">
        <v>140</v>
      </c>
      <c r="B60" s="732" t="s">
        <v>141</v>
      </c>
      <c r="C60" s="732" t="s">
        <v>255</v>
      </c>
      <c r="D60" s="733">
        <v>0.34643758493496407</v>
      </c>
      <c r="E60" s="733">
        <v>0.35471587580550673</v>
      </c>
      <c r="F60" s="733">
        <v>0.32169913419913421</v>
      </c>
      <c r="G60" s="733">
        <v>0.34409304756926296</v>
      </c>
      <c r="H60" s="733">
        <v>0.42841391009329943</v>
      </c>
      <c r="I60" s="733">
        <v>0.58422391857506362</v>
      </c>
      <c r="J60" s="733">
        <v>0.71531806615776083</v>
      </c>
    </row>
    <row r="61" spans="1:10" ht="16.5" customHeight="1" x14ac:dyDescent="0.3">
      <c r="A61" s="731" t="s">
        <v>146</v>
      </c>
      <c r="B61" s="732" t="s">
        <v>147</v>
      </c>
      <c r="C61" s="732" t="s">
        <v>252</v>
      </c>
      <c r="D61" s="733">
        <v>0.47104779411764708</v>
      </c>
      <c r="E61" s="733">
        <v>0.55953608247422681</v>
      </c>
      <c r="F61" s="733">
        <v>0.5566438132549788</v>
      </c>
      <c r="G61" s="733">
        <v>0.53435114503816794</v>
      </c>
      <c r="H61" s="733">
        <v>0.57393483709273185</v>
      </c>
      <c r="I61" s="733">
        <v>0.73394423558897248</v>
      </c>
      <c r="J61" s="733">
        <v>0.83496240601503757</v>
      </c>
    </row>
    <row r="62" spans="1:10" ht="16.5" customHeight="1" x14ac:dyDescent="0.3">
      <c r="A62" s="731" t="s">
        <v>148</v>
      </c>
      <c r="B62" s="732" t="s">
        <v>149</v>
      </c>
      <c r="C62" s="732" t="s">
        <v>253</v>
      </c>
      <c r="D62" s="733">
        <v>0.47630506748153806</v>
      </c>
      <c r="E62" s="733">
        <v>0.49595929362466329</v>
      </c>
      <c r="F62" s="733">
        <v>0.55201242571582931</v>
      </c>
      <c r="G62" s="733">
        <v>0.47403253867494238</v>
      </c>
      <c r="H62" s="733">
        <v>0.49380391619882241</v>
      </c>
      <c r="I62" s="733">
        <v>0.59016842393536906</v>
      </c>
      <c r="J62" s="733">
        <v>0.66832808434889768</v>
      </c>
    </row>
    <row r="63" spans="1:10" ht="16.5" customHeight="1" x14ac:dyDescent="0.3">
      <c r="A63" s="731" t="s">
        <v>150</v>
      </c>
      <c r="B63" s="732" t="s">
        <v>151</v>
      </c>
      <c r="C63" s="732" t="s">
        <v>254</v>
      </c>
      <c r="D63" s="733">
        <v>0.47603550295857988</v>
      </c>
      <c r="E63" s="733">
        <v>0.47234657713113226</v>
      </c>
      <c r="F63" s="733">
        <v>0.49069349962207104</v>
      </c>
      <c r="G63" s="733">
        <v>0.47371303395399783</v>
      </c>
      <c r="H63" s="733">
        <v>0.51467775865366228</v>
      </c>
      <c r="I63" s="733">
        <v>0.64386115892139983</v>
      </c>
      <c r="J63" s="733">
        <v>0.76695352839931152</v>
      </c>
    </row>
    <row r="64" spans="1:10" ht="16.5" customHeight="1" x14ac:dyDescent="0.3">
      <c r="A64" s="731" t="s">
        <v>152</v>
      </c>
      <c r="B64" s="732" t="s">
        <v>153</v>
      </c>
      <c r="C64" s="732" t="s">
        <v>256</v>
      </c>
      <c r="D64" s="733">
        <v>0.27314207137946123</v>
      </c>
      <c r="E64" s="733">
        <v>0.22520464726546136</v>
      </c>
      <c r="F64" s="733">
        <v>0.23875706214689266</v>
      </c>
      <c r="G64" s="733">
        <v>0.22827933106872222</v>
      </c>
      <c r="H64" s="733">
        <v>0.24522534878919269</v>
      </c>
      <c r="I64" s="733">
        <v>0.28958720467215293</v>
      </c>
      <c r="J64" s="733">
        <v>0.32091850278736395</v>
      </c>
    </row>
    <row r="65" spans="1:10" ht="16.5" customHeight="1" x14ac:dyDescent="0.3">
      <c r="A65" s="731" t="s">
        <v>154</v>
      </c>
      <c r="B65" s="732" t="s">
        <v>155</v>
      </c>
      <c r="C65" s="732" t="s">
        <v>253</v>
      </c>
      <c r="D65" s="733">
        <v>0.42102908277404921</v>
      </c>
      <c r="E65" s="733">
        <v>0.43767836757990869</v>
      </c>
      <c r="F65" s="733">
        <v>0.49836956521739129</v>
      </c>
      <c r="G65" s="733">
        <v>0.52630530091669991</v>
      </c>
      <c r="H65" s="733">
        <v>0.5422117248062015</v>
      </c>
      <c r="I65" s="733">
        <v>0.6881661821705426</v>
      </c>
      <c r="J65" s="733">
        <v>0.73546511627906974</v>
      </c>
    </row>
    <row r="66" spans="1:10" ht="16.5" customHeight="1" x14ac:dyDescent="0.3">
      <c r="A66" s="731" t="s">
        <v>156</v>
      </c>
      <c r="B66" s="732" t="s">
        <v>157</v>
      </c>
      <c r="C66" s="732" t="s">
        <v>254</v>
      </c>
      <c r="D66" s="733">
        <v>0.34270578647106764</v>
      </c>
      <c r="E66" s="733">
        <v>0.43957564575645758</v>
      </c>
      <c r="F66" s="733">
        <v>0.38345608292416805</v>
      </c>
      <c r="G66" s="733">
        <v>0.35886886102403343</v>
      </c>
      <c r="H66" s="733">
        <v>0.40131912734652458</v>
      </c>
      <c r="I66" s="733">
        <v>0.56532217148655506</v>
      </c>
      <c r="J66" s="733">
        <v>0.70639269406392691</v>
      </c>
    </row>
    <row r="67" spans="1:10" ht="16.5" customHeight="1" x14ac:dyDescent="0.3">
      <c r="A67" s="731" t="s">
        <v>162</v>
      </c>
      <c r="B67" s="732" t="s">
        <v>163</v>
      </c>
      <c r="C67" s="732" t="s">
        <v>252</v>
      </c>
      <c r="D67" s="733">
        <v>0.56711442786069655</v>
      </c>
      <c r="E67" s="733">
        <v>0.5955555555555555</v>
      </c>
      <c r="F67" s="733">
        <v>0.63383172090296103</v>
      </c>
      <c r="G67" s="733">
        <v>0.54354960868467561</v>
      </c>
      <c r="H67" s="733">
        <v>0.61724170706206638</v>
      </c>
      <c r="I67" s="733">
        <v>0.69596521243227827</v>
      </c>
      <c r="J67" s="733">
        <v>0.77507841459937266</v>
      </c>
    </row>
    <row r="68" spans="1:10" ht="16.5" customHeight="1" x14ac:dyDescent="0.3">
      <c r="A68" s="731" t="s">
        <v>164</v>
      </c>
      <c r="B68" s="732" t="s">
        <v>165</v>
      </c>
      <c r="C68" s="732" t="s">
        <v>254</v>
      </c>
      <c r="D68" s="733">
        <v>0.47064262598243178</v>
      </c>
      <c r="E68" s="733">
        <v>0.51964285714285718</v>
      </c>
      <c r="F68" s="733">
        <v>0.45697876029475509</v>
      </c>
      <c r="G68" s="733">
        <v>0.39378764074365019</v>
      </c>
      <c r="H68" s="733">
        <v>0.45155797101449274</v>
      </c>
      <c r="I68" s="733">
        <v>0.55586956521739128</v>
      </c>
      <c r="J68" s="733">
        <v>0.62295652173913041</v>
      </c>
    </row>
    <row r="69" spans="1:10" ht="16.5" customHeight="1" x14ac:dyDescent="0.3">
      <c r="A69" s="731" t="s">
        <v>168</v>
      </c>
      <c r="B69" s="732" t="s">
        <v>169</v>
      </c>
      <c r="C69" s="732" t="s">
        <v>254</v>
      </c>
      <c r="D69" s="733">
        <v>0.58268868392343554</v>
      </c>
      <c r="E69" s="733">
        <v>0.5798766816143498</v>
      </c>
      <c r="F69" s="733">
        <v>0.57680007309941517</v>
      </c>
      <c r="G69" s="733">
        <v>0.53485636453689944</v>
      </c>
      <c r="H69" s="733">
        <v>0.59582708645677163</v>
      </c>
      <c r="I69" s="733">
        <v>0.71355988672330506</v>
      </c>
      <c r="J69" s="733">
        <v>0.79445277361319344</v>
      </c>
    </row>
    <row r="70" spans="1:10" ht="16.5" customHeight="1" x14ac:dyDescent="0.3">
      <c r="A70" s="731" t="s">
        <v>170</v>
      </c>
      <c r="B70" s="732" t="s">
        <v>171</v>
      </c>
      <c r="C70" s="732" t="s">
        <v>255</v>
      </c>
      <c r="D70" s="733">
        <v>0.42210198636228874</v>
      </c>
      <c r="E70" s="733">
        <v>0.44937126052124532</v>
      </c>
      <c r="F70" s="733">
        <v>0.45549242424242425</v>
      </c>
      <c r="G70" s="733">
        <v>0.39823474890461746</v>
      </c>
      <c r="H70" s="733">
        <v>0.53717843832378875</v>
      </c>
      <c r="I70" s="733">
        <v>0.71475320425415867</v>
      </c>
      <c r="J70" s="733">
        <v>0.81788928279247342</v>
      </c>
    </row>
    <row r="71" spans="1:10" ht="16.5" customHeight="1" x14ac:dyDescent="0.3">
      <c r="A71" s="731" t="s">
        <v>172</v>
      </c>
      <c r="B71" s="732" t="s">
        <v>173</v>
      </c>
      <c r="C71" s="732" t="s">
        <v>255</v>
      </c>
      <c r="D71" s="733">
        <v>0.44782070965540771</v>
      </c>
      <c r="E71" s="733">
        <v>0.4700745603371424</v>
      </c>
      <c r="F71" s="733">
        <v>0.51029693486590033</v>
      </c>
      <c r="G71" s="733">
        <v>0.54516027159324176</v>
      </c>
      <c r="H71" s="733">
        <v>0.54644069020287345</v>
      </c>
      <c r="I71" s="733">
        <v>0.70364955598873724</v>
      </c>
      <c r="J71" s="733">
        <v>0.79358891054797487</v>
      </c>
    </row>
    <row r="72" spans="1:10" ht="16.5" customHeight="1" x14ac:dyDescent="0.3">
      <c r="A72" s="731" t="s">
        <v>174</v>
      </c>
      <c r="B72" s="732" t="s">
        <v>175</v>
      </c>
      <c r="C72" s="732" t="s">
        <v>256</v>
      </c>
      <c r="D72" s="733">
        <v>0.6116055846422338</v>
      </c>
      <c r="E72" s="733">
        <v>0.62341062079281973</v>
      </c>
      <c r="F72" s="733">
        <v>0.70886192314763741</v>
      </c>
      <c r="G72" s="733">
        <v>0.66450936883629186</v>
      </c>
      <c r="H72" s="733">
        <v>0.67203376881350751</v>
      </c>
      <c r="I72" s="733">
        <v>0.76669340667736263</v>
      </c>
      <c r="J72" s="733">
        <v>0.79990831996332801</v>
      </c>
    </row>
    <row r="73" spans="1:10" ht="16.5" customHeight="1" x14ac:dyDescent="0.3">
      <c r="A73" s="731" t="s">
        <v>178</v>
      </c>
      <c r="B73" s="732" t="s">
        <v>179</v>
      </c>
      <c r="C73" s="732" t="s">
        <v>253</v>
      </c>
      <c r="D73" s="733">
        <v>0.50069666228317367</v>
      </c>
      <c r="E73" s="733">
        <v>0.52316332988148662</v>
      </c>
      <c r="F73" s="733">
        <v>0.62148227879695495</v>
      </c>
      <c r="G73" s="733">
        <v>0.65652331786176632</v>
      </c>
      <c r="H73" s="733">
        <v>0.62257934185962271</v>
      </c>
      <c r="I73" s="733">
        <v>0.72372453955250915</v>
      </c>
      <c r="J73" s="733">
        <v>0.77883474044972001</v>
      </c>
    </row>
    <row r="74" spans="1:10" ht="16.5" customHeight="1" x14ac:dyDescent="0.3">
      <c r="A74" s="731" t="s">
        <v>182</v>
      </c>
      <c r="B74" s="732" t="s">
        <v>183</v>
      </c>
      <c r="C74" s="732" t="s">
        <v>254</v>
      </c>
      <c r="D74" s="733">
        <v>0.25861921829663764</v>
      </c>
      <c r="E74" s="733">
        <v>0.30095340888649036</v>
      </c>
      <c r="F74" s="733">
        <v>0.31518024944472922</v>
      </c>
      <c r="G74" s="733">
        <v>0.32521387832699622</v>
      </c>
      <c r="H74" s="733">
        <v>0.37258986928104576</v>
      </c>
      <c r="I74" s="733">
        <v>0.50318627450980391</v>
      </c>
      <c r="J74" s="733">
        <v>0.60411764705882354</v>
      </c>
    </row>
    <row r="75" spans="1:10" ht="16.5" customHeight="1" x14ac:dyDescent="0.3">
      <c r="A75" s="731" t="s">
        <v>184</v>
      </c>
      <c r="B75" s="732" t="s">
        <v>185</v>
      </c>
      <c r="C75" s="732" t="s">
        <v>254</v>
      </c>
      <c r="D75" s="733">
        <v>0.46958978965491427</v>
      </c>
      <c r="E75" s="733">
        <v>0.47032697359325315</v>
      </c>
      <c r="F75" s="733">
        <v>0.55119505390937196</v>
      </c>
      <c r="G75" s="733">
        <v>0.48951876291408386</v>
      </c>
      <c r="H75" s="733">
        <v>0.46931306306306309</v>
      </c>
      <c r="I75" s="733">
        <v>0.54748992413466102</v>
      </c>
      <c r="J75" s="733">
        <v>0.58403271692745373</v>
      </c>
    </row>
    <row r="76" spans="1:10" ht="16.5" customHeight="1" x14ac:dyDescent="0.3">
      <c r="A76" s="731" t="s">
        <v>186</v>
      </c>
      <c r="B76" s="732" t="s">
        <v>187</v>
      </c>
      <c r="C76" s="732" t="s">
        <v>252</v>
      </c>
      <c r="D76" s="733">
        <v>0.34425778022583309</v>
      </c>
      <c r="E76" s="733">
        <v>0.38302538260544977</v>
      </c>
      <c r="F76" s="733">
        <v>0.44177540529853698</v>
      </c>
      <c r="G76" s="733">
        <v>0.41351549684883016</v>
      </c>
      <c r="H76" s="733">
        <v>0.40390971382507052</v>
      </c>
      <c r="I76" s="733">
        <v>0.47849657396211204</v>
      </c>
      <c r="J76" s="733">
        <v>0.55380894800483671</v>
      </c>
    </row>
    <row r="77" spans="1:10" ht="16.5" customHeight="1" x14ac:dyDescent="0.3">
      <c r="A77" s="731" t="s">
        <v>188</v>
      </c>
      <c r="B77" s="732" t="s">
        <v>189</v>
      </c>
      <c r="C77" s="732" t="s">
        <v>255</v>
      </c>
      <c r="D77" s="733">
        <v>0.35699662596208109</v>
      </c>
      <c r="E77" s="733">
        <v>0.47611355311355313</v>
      </c>
      <c r="F77" s="733">
        <v>0.46271313090143334</v>
      </c>
      <c r="G77" s="733">
        <v>0.47040204137286223</v>
      </c>
      <c r="H77" s="733">
        <v>0.53381058396028458</v>
      </c>
      <c r="I77" s="733">
        <v>0.728424561134142</v>
      </c>
      <c r="J77" s="733">
        <v>0.88352525717795183</v>
      </c>
    </row>
    <row r="78" spans="1:10" ht="16.5" customHeight="1" x14ac:dyDescent="0.3">
      <c r="A78" s="731" t="s">
        <v>190</v>
      </c>
      <c r="B78" s="732" t="s">
        <v>191</v>
      </c>
      <c r="C78" s="732" t="s">
        <v>256</v>
      </c>
      <c r="D78" s="733">
        <v>0.55726947556677708</v>
      </c>
      <c r="E78" s="733">
        <v>0.54145800543711542</v>
      </c>
      <c r="F78" s="733">
        <v>0.62223261615216718</v>
      </c>
      <c r="G78" s="733">
        <v>0.60429967111627003</v>
      </c>
      <c r="H78" s="733">
        <v>0.61825274107393868</v>
      </c>
      <c r="I78" s="733">
        <v>0.74305360322369041</v>
      </c>
      <c r="J78" s="733">
        <v>0.81700871520944618</v>
      </c>
    </row>
    <row r="79" spans="1:10" ht="16.5" customHeight="1" x14ac:dyDescent="0.3">
      <c r="A79" s="731" t="s">
        <v>194</v>
      </c>
      <c r="B79" s="732" t="s">
        <v>195</v>
      </c>
      <c r="C79" s="732" t="s">
        <v>255</v>
      </c>
      <c r="D79" s="733">
        <v>0.21503411306042886</v>
      </c>
      <c r="E79" s="733">
        <v>0.25735294117647056</v>
      </c>
      <c r="F79" s="733">
        <v>0.27492211838006231</v>
      </c>
      <c r="G79" s="733">
        <v>0.25112751127511274</v>
      </c>
      <c r="H79" s="733">
        <v>0.314070351758794</v>
      </c>
      <c r="I79" s="733">
        <v>0.46398659966499162</v>
      </c>
      <c r="J79" s="733">
        <v>0.54798994974874371</v>
      </c>
    </row>
    <row r="80" spans="1:10" ht="16.5" customHeight="1" x14ac:dyDescent="0.3">
      <c r="A80" s="731" t="s">
        <v>198</v>
      </c>
      <c r="B80" s="732" t="s">
        <v>260</v>
      </c>
      <c r="C80" s="732" t="s">
        <v>254</v>
      </c>
      <c r="D80" s="733">
        <v>0.49176954732510286</v>
      </c>
      <c r="E80" s="733">
        <v>0.52760513776672879</v>
      </c>
      <c r="F80" s="733">
        <v>0.54588771493681376</v>
      </c>
      <c r="G80" s="733">
        <v>0.48061279826464209</v>
      </c>
      <c r="H80" s="733">
        <v>0.52099519052904175</v>
      </c>
      <c r="I80" s="733">
        <v>0.64729004809470958</v>
      </c>
      <c r="J80" s="733">
        <v>0.74472807991120982</v>
      </c>
    </row>
    <row r="81" spans="1:10" ht="16.5" customHeight="1" x14ac:dyDescent="0.3">
      <c r="A81" s="731" t="s">
        <v>202</v>
      </c>
      <c r="B81" s="732" t="s">
        <v>280</v>
      </c>
      <c r="C81" s="732" t="s">
        <v>253</v>
      </c>
      <c r="D81" s="733">
        <v>0.34811001366629396</v>
      </c>
      <c r="E81" s="733">
        <v>0.45952010087524109</v>
      </c>
      <c r="F81" s="733">
        <v>0.48775808020754513</v>
      </c>
      <c r="G81" s="733">
        <v>0.42996665078608859</v>
      </c>
      <c r="H81" s="733">
        <v>0.4955533070614549</v>
      </c>
      <c r="I81" s="733">
        <v>0.66582598912432023</v>
      </c>
      <c r="J81" s="733">
        <v>0.72221190166573779</v>
      </c>
    </row>
    <row r="82" spans="1:10" ht="16.5" customHeight="1" x14ac:dyDescent="0.3">
      <c r="A82" s="731" t="s">
        <v>204</v>
      </c>
      <c r="B82" s="732" t="s">
        <v>281</v>
      </c>
      <c r="C82" s="732" t="s">
        <v>253</v>
      </c>
      <c r="D82" s="733">
        <v>0.3775115110925073</v>
      </c>
      <c r="E82" s="733">
        <v>0.37772709242364139</v>
      </c>
      <c r="F82" s="733">
        <v>0.34263654477262073</v>
      </c>
      <c r="G82" s="733">
        <v>0.34949761580381472</v>
      </c>
      <c r="H82" s="733">
        <v>0.49797695169972184</v>
      </c>
      <c r="I82" s="733">
        <v>0.52190280629705676</v>
      </c>
      <c r="J82" s="733">
        <v>0.5958247775496236</v>
      </c>
    </row>
    <row r="83" spans="1:10" ht="16.5" customHeight="1" x14ac:dyDescent="0.3">
      <c r="A83" s="731" t="s">
        <v>206</v>
      </c>
      <c r="B83" s="732" t="s">
        <v>282</v>
      </c>
      <c r="C83" s="732" t="s">
        <v>255</v>
      </c>
      <c r="D83" s="733">
        <v>0.32555873813838387</v>
      </c>
      <c r="E83" s="733">
        <v>0.32212364052661707</v>
      </c>
      <c r="F83" s="733">
        <v>0.29783135182738879</v>
      </c>
      <c r="G83" s="733">
        <v>0.28247908102277036</v>
      </c>
      <c r="H83" s="733">
        <v>0.41238260763507745</v>
      </c>
      <c r="I83" s="733">
        <v>0.35787130944331758</v>
      </c>
      <c r="J83" s="733">
        <v>0.42431541582150101</v>
      </c>
    </row>
    <row r="84" spans="1:10" ht="16.5" customHeight="1" x14ac:dyDescent="0.3">
      <c r="A84" s="731" t="s">
        <v>208</v>
      </c>
      <c r="B84" s="732" t="s">
        <v>209</v>
      </c>
      <c r="C84" s="732" t="s">
        <v>256</v>
      </c>
      <c r="D84" s="733">
        <v>0.66974760918860299</v>
      </c>
      <c r="E84" s="733">
        <v>0.63450131052558978</v>
      </c>
      <c r="F84" s="733">
        <v>0.70323921097426656</v>
      </c>
      <c r="G84" s="733">
        <v>0.63408752082785236</v>
      </c>
      <c r="H84" s="733">
        <v>0.64393939393939392</v>
      </c>
      <c r="I84" s="733">
        <v>0.71540734859512156</v>
      </c>
      <c r="J84" s="733">
        <v>0.76988222839751219</v>
      </c>
    </row>
    <row r="85" spans="1:10" ht="16.5" customHeight="1" x14ac:dyDescent="0.3">
      <c r="A85" s="731" t="s">
        <v>210</v>
      </c>
      <c r="B85" s="732" t="s">
        <v>211</v>
      </c>
      <c r="C85" s="732" t="s">
        <v>256</v>
      </c>
      <c r="D85" s="733">
        <v>0.48228455116263025</v>
      </c>
      <c r="E85" s="733">
        <v>0.47335770985686604</v>
      </c>
      <c r="F85" s="733">
        <v>0.48652777777777778</v>
      </c>
      <c r="G85" s="733">
        <v>0.44274395804833561</v>
      </c>
      <c r="H85" s="733">
        <v>0.51118367089406269</v>
      </c>
      <c r="I85" s="733">
        <v>0.61104801564767497</v>
      </c>
      <c r="J85" s="733">
        <v>0.69123604012871476</v>
      </c>
    </row>
    <row r="86" spans="1:10" ht="16.5" customHeight="1" x14ac:dyDescent="0.3">
      <c r="A86" s="731" t="s">
        <v>212</v>
      </c>
      <c r="B86" s="732" t="s">
        <v>213</v>
      </c>
      <c r="C86" s="732" t="s">
        <v>255</v>
      </c>
      <c r="D86" s="733">
        <v>0.41473927670311184</v>
      </c>
      <c r="E86" s="733">
        <v>0.492583918813427</v>
      </c>
      <c r="F86" s="733">
        <v>0.51546468958286529</v>
      </c>
      <c r="G86" s="733">
        <v>0.48623077414002169</v>
      </c>
      <c r="H86" s="733">
        <v>0.55140692640692646</v>
      </c>
      <c r="I86" s="733">
        <v>0.77510822510822508</v>
      </c>
      <c r="J86" s="733">
        <v>0.89717996289424862</v>
      </c>
    </row>
    <row r="87" spans="1:10" ht="16.5" customHeight="1" x14ac:dyDescent="0.3">
      <c r="A87" s="731" t="s">
        <v>214</v>
      </c>
      <c r="B87" s="732" t="s">
        <v>215</v>
      </c>
      <c r="C87" s="732" t="s">
        <v>256</v>
      </c>
      <c r="D87" s="733">
        <v>0.59406753165546344</v>
      </c>
      <c r="E87" s="733">
        <v>0.74790871067466813</v>
      </c>
      <c r="F87" s="733">
        <v>0.66579026442307687</v>
      </c>
      <c r="G87" s="733">
        <v>0.60338070628768303</v>
      </c>
      <c r="H87" s="733">
        <v>0.64303321224701604</v>
      </c>
      <c r="I87" s="733">
        <v>0.75527590382286802</v>
      </c>
      <c r="J87" s="733">
        <v>0.82021276595744685</v>
      </c>
    </row>
    <row r="88" spans="1:10" ht="16.5" customHeight="1" x14ac:dyDescent="0.3">
      <c r="A88" s="731" t="s">
        <v>216</v>
      </c>
      <c r="B88" s="732" t="s">
        <v>217</v>
      </c>
      <c r="C88" s="732" t="s">
        <v>252</v>
      </c>
      <c r="D88" s="733">
        <v>0.5863830925628678</v>
      </c>
      <c r="E88" s="733">
        <v>0.59913345786633454</v>
      </c>
      <c r="F88" s="733">
        <v>0.60061637080867847</v>
      </c>
      <c r="G88" s="733">
        <v>0.60047281323877066</v>
      </c>
      <c r="H88" s="733">
        <v>0.55761660248181433</v>
      </c>
      <c r="I88" s="733">
        <v>0.63380402225074883</v>
      </c>
      <c r="J88" s="733">
        <v>0.67969191270860074</v>
      </c>
    </row>
    <row r="89" spans="1:10" ht="16.5" customHeight="1" x14ac:dyDescent="0.3">
      <c r="A89" s="731" t="s">
        <v>218</v>
      </c>
      <c r="B89" s="732" t="s">
        <v>219</v>
      </c>
      <c r="C89" s="732" t="s">
        <v>255</v>
      </c>
      <c r="D89" s="733">
        <v>0.40452350518392272</v>
      </c>
      <c r="E89" s="733">
        <v>0.47466276710039396</v>
      </c>
      <c r="F89" s="733">
        <v>0.49932569116655429</v>
      </c>
      <c r="G89" s="733">
        <v>0.48859122178083519</v>
      </c>
      <c r="H89" s="733">
        <v>0.61021841624170114</v>
      </c>
      <c r="I89" s="733">
        <v>0.82611693768241445</v>
      </c>
      <c r="J89" s="733">
        <v>0.95106321562590201</v>
      </c>
    </row>
    <row r="90" spans="1:10" ht="16.5" customHeight="1" x14ac:dyDescent="0.3">
      <c r="A90" s="731" t="s">
        <v>220</v>
      </c>
      <c r="B90" s="732" t="s">
        <v>221</v>
      </c>
      <c r="C90" s="732" t="s">
        <v>255</v>
      </c>
      <c r="D90" s="733">
        <v>0.39855823979176835</v>
      </c>
      <c r="E90" s="733">
        <v>0.50820038590051297</v>
      </c>
      <c r="F90" s="733">
        <v>0.58420800383417204</v>
      </c>
      <c r="G90" s="733">
        <v>0.62454174207619839</v>
      </c>
      <c r="H90" s="733">
        <v>0.65068566074698697</v>
      </c>
      <c r="I90" s="733">
        <v>0.85953536902176231</v>
      </c>
      <c r="J90" s="733">
        <v>1.0119074996805928</v>
      </c>
    </row>
    <row r="91" spans="1:10" ht="16.5" customHeight="1" x14ac:dyDescent="0.3">
      <c r="A91" s="731" t="s">
        <v>224</v>
      </c>
      <c r="B91" s="732" t="s">
        <v>225</v>
      </c>
      <c r="C91" s="732" t="s">
        <v>252</v>
      </c>
      <c r="D91" s="733">
        <v>0.5353133769878391</v>
      </c>
      <c r="E91" s="733">
        <v>0.54364716636197441</v>
      </c>
      <c r="F91" s="733">
        <v>0.61371782339524272</v>
      </c>
      <c r="G91" s="733">
        <v>0.50607947805456699</v>
      </c>
      <c r="H91" s="733">
        <v>0.53523936170212771</v>
      </c>
      <c r="I91" s="733">
        <v>0.7021276595744681</v>
      </c>
      <c r="J91" s="733">
        <v>0.8117021276595745</v>
      </c>
    </row>
    <row r="92" spans="1:10" ht="16.5" customHeight="1" x14ac:dyDescent="0.3">
      <c r="A92" s="731" t="s">
        <v>226</v>
      </c>
      <c r="B92" s="732" t="s">
        <v>227</v>
      </c>
      <c r="C92" s="732" t="s">
        <v>252</v>
      </c>
      <c r="D92" s="733">
        <v>0.49636312771016927</v>
      </c>
      <c r="E92" s="733">
        <v>0.53732423490488002</v>
      </c>
      <c r="F92" s="733">
        <v>0.44718849141231815</v>
      </c>
      <c r="G92" s="733">
        <v>0.47089384815208407</v>
      </c>
      <c r="H92" s="733">
        <v>0.4855715871254162</v>
      </c>
      <c r="I92" s="733">
        <v>0.5631088913552843</v>
      </c>
      <c r="J92" s="733">
        <v>0.63706992230854609</v>
      </c>
    </row>
    <row r="93" spans="1:10" ht="16.5" customHeight="1" x14ac:dyDescent="0.3">
      <c r="A93" s="731" t="s">
        <v>228</v>
      </c>
      <c r="B93" s="732" t="s">
        <v>229</v>
      </c>
      <c r="C93" s="732" t="s">
        <v>256</v>
      </c>
      <c r="D93" s="733">
        <v>0.57800431717764511</v>
      </c>
      <c r="E93" s="733">
        <v>0.59208592236253088</v>
      </c>
      <c r="F93" s="733">
        <v>0.62505576718487255</v>
      </c>
      <c r="G93" s="733">
        <v>0.52772010591562857</v>
      </c>
      <c r="H93" s="733">
        <v>0.54298194806448496</v>
      </c>
      <c r="I93" s="733">
        <v>0.61547929336808571</v>
      </c>
      <c r="J93" s="733">
        <v>0.68043247417704411</v>
      </c>
    </row>
    <row r="94" spans="1:10" ht="16.5" customHeight="1" x14ac:dyDescent="0.3">
      <c r="A94" s="731" t="s">
        <v>232</v>
      </c>
      <c r="B94" s="732" t="s">
        <v>233</v>
      </c>
      <c r="C94" s="732" t="s">
        <v>255</v>
      </c>
      <c r="D94" s="733">
        <v>0.47227875772651889</v>
      </c>
      <c r="E94" s="733">
        <v>0.4538110095832405</v>
      </c>
      <c r="F94" s="733">
        <v>0.43354869323988904</v>
      </c>
      <c r="G94" s="733">
        <v>0.48687920190847972</v>
      </c>
      <c r="H94" s="733">
        <v>0.53723654181769365</v>
      </c>
      <c r="I94" s="733">
        <v>0.76137736608940798</v>
      </c>
      <c r="J94" s="733">
        <v>0.88453483689085788</v>
      </c>
    </row>
    <row r="95" spans="1:10" ht="16.5" customHeight="1" x14ac:dyDescent="0.3">
      <c r="A95" s="731" t="s">
        <v>234</v>
      </c>
      <c r="B95" s="732" t="s">
        <v>235</v>
      </c>
      <c r="C95" s="732" t="s">
        <v>256</v>
      </c>
      <c r="D95" s="733">
        <v>0.46882400828892834</v>
      </c>
      <c r="E95" s="733">
        <v>0.62364346365163692</v>
      </c>
      <c r="F95" s="733">
        <v>0.53939513403919803</v>
      </c>
      <c r="G95" s="733">
        <v>0.455614624984854</v>
      </c>
      <c r="H95" s="733">
        <v>0.52944655471144875</v>
      </c>
      <c r="I95" s="733">
        <v>0.63682027189124346</v>
      </c>
      <c r="J95" s="733">
        <v>0.71223510595761697</v>
      </c>
    </row>
    <row r="96" spans="1:10" ht="16.5" customHeight="1" x14ac:dyDescent="0.3">
      <c r="A96" s="731" t="s">
        <v>236</v>
      </c>
      <c r="B96" s="732" t="s">
        <v>237</v>
      </c>
      <c r="C96" s="732" t="s">
        <v>254</v>
      </c>
      <c r="D96" s="733">
        <v>0.5462735462735463</v>
      </c>
      <c r="E96" s="733">
        <v>0.513265965300849</v>
      </c>
      <c r="F96" s="733">
        <v>0.5342257453385183</v>
      </c>
      <c r="G96" s="733">
        <v>0.5818137414522957</v>
      </c>
      <c r="H96" s="733">
        <v>0.56161601681957185</v>
      </c>
      <c r="I96" s="733">
        <v>0.6993262614678899</v>
      </c>
      <c r="J96" s="733">
        <v>0.80183486238532109</v>
      </c>
    </row>
    <row r="97" spans="1:10" ht="16.5" customHeight="1" x14ac:dyDescent="0.3">
      <c r="A97" s="731" t="s">
        <v>242</v>
      </c>
      <c r="B97" s="732" t="s">
        <v>243</v>
      </c>
      <c r="C97" s="732" t="s">
        <v>256</v>
      </c>
      <c r="D97" s="733">
        <v>0.69689191711778986</v>
      </c>
      <c r="E97" s="733">
        <v>0.62440060570370992</v>
      </c>
      <c r="F97" s="733">
        <v>0.71126604692341744</v>
      </c>
      <c r="G97" s="733">
        <v>0.60497530966371482</v>
      </c>
      <c r="H97" s="733">
        <v>0.64847764173933464</v>
      </c>
      <c r="I97" s="733">
        <v>0.69858921283654829</v>
      </c>
      <c r="J97" s="733">
        <v>0.74560028186382454</v>
      </c>
    </row>
    <row r="98" spans="1:10" ht="16.5" customHeight="1" x14ac:dyDescent="0.3">
      <c r="A98" s="731" t="s">
        <v>244</v>
      </c>
      <c r="B98" s="732" t="s">
        <v>245</v>
      </c>
      <c r="C98" s="732" t="s">
        <v>256</v>
      </c>
      <c r="D98" s="733">
        <v>0.54605997210599722</v>
      </c>
      <c r="E98" s="733">
        <v>0.54923417178319134</v>
      </c>
      <c r="F98" s="733">
        <v>0.52853000956480156</v>
      </c>
      <c r="G98" s="733">
        <v>0.6088541666666667</v>
      </c>
      <c r="H98" s="733">
        <v>0.59619748543391593</v>
      </c>
      <c r="I98" s="733">
        <v>0.73888377798221405</v>
      </c>
      <c r="J98" s="733">
        <v>0.82211591536338546</v>
      </c>
    </row>
    <row r="99" spans="1:10" ht="16.5" customHeight="1" x14ac:dyDescent="0.3">
      <c r="A99" s="731" t="s">
        <v>246</v>
      </c>
      <c r="B99" s="732" t="s">
        <v>247</v>
      </c>
      <c r="C99" s="732" t="s">
        <v>252</v>
      </c>
      <c r="D99" s="733">
        <v>0.2849618780096308</v>
      </c>
      <c r="E99" s="733">
        <v>0.35629376323074419</v>
      </c>
      <c r="F99" s="733">
        <v>0.35438656876242924</v>
      </c>
      <c r="G99" s="733">
        <v>0.35473352822127274</v>
      </c>
      <c r="H99" s="733">
        <v>0.42803125261134789</v>
      </c>
      <c r="I99" s="733">
        <v>0.52887712839392542</v>
      </c>
      <c r="J99" s="733">
        <v>0.58421537045559135</v>
      </c>
    </row>
    <row r="100" spans="1:10" ht="16.5" customHeight="1" x14ac:dyDescent="0.3">
      <c r="A100" s="731" t="s">
        <v>14</v>
      </c>
      <c r="B100" s="732" t="s">
        <v>15</v>
      </c>
      <c r="C100" s="732" t="s">
        <v>255</v>
      </c>
      <c r="D100" s="733">
        <v>0.33114145746604434</v>
      </c>
      <c r="E100" s="733">
        <v>0.37817501101159889</v>
      </c>
      <c r="F100" s="733">
        <v>0.38753983428935629</v>
      </c>
      <c r="G100" s="733">
        <v>0.31247364934048066</v>
      </c>
      <c r="H100" s="733">
        <v>0.35414131710961683</v>
      </c>
      <c r="I100" s="733">
        <v>0.43976945244956772</v>
      </c>
      <c r="J100" s="733">
        <v>0.49606147934678196</v>
      </c>
    </row>
    <row r="101" spans="1:10" ht="16.5" customHeight="1" x14ac:dyDescent="0.3">
      <c r="A101" s="731" t="s">
        <v>34</v>
      </c>
      <c r="B101" s="732" t="s">
        <v>35</v>
      </c>
      <c r="C101" s="732" t="s">
        <v>256</v>
      </c>
      <c r="D101" s="733">
        <v>0.70840656121851198</v>
      </c>
      <c r="E101" s="733">
        <v>0.77620611265471073</v>
      </c>
      <c r="F101" s="733">
        <v>0.68836984980019289</v>
      </c>
      <c r="G101" s="733">
        <v>0.76550905313149298</v>
      </c>
      <c r="H101" s="733">
        <v>0.7749038266855639</v>
      </c>
      <c r="I101" s="733">
        <v>0.86660592562597016</v>
      </c>
      <c r="J101" s="733">
        <v>0.90730917189714522</v>
      </c>
    </row>
    <row r="102" spans="1:10" ht="16.5" customHeight="1" x14ac:dyDescent="0.3">
      <c r="A102" s="731" t="s">
        <v>52</v>
      </c>
      <c r="B102" s="732" t="s">
        <v>53</v>
      </c>
      <c r="C102" s="732" t="s">
        <v>253</v>
      </c>
      <c r="D102" s="733">
        <v>0.41685879969258716</v>
      </c>
      <c r="E102" s="733">
        <v>0.33503288104553403</v>
      </c>
      <c r="F102" s="733">
        <v>0.31238309016086796</v>
      </c>
      <c r="G102" s="733">
        <v>0.28185874616829826</v>
      </c>
      <c r="H102" s="733">
        <v>0.3432035144039875</v>
      </c>
      <c r="I102" s="733">
        <v>0.41021092055982655</v>
      </c>
      <c r="J102" s="733">
        <v>0.45381431105854525</v>
      </c>
    </row>
    <row r="103" spans="1:10" ht="16.5" customHeight="1" x14ac:dyDescent="0.3">
      <c r="A103" s="731" t="s">
        <v>54</v>
      </c>
      <c r="B103" s="732" t="s">
        <v>55</v>
      </c>
      <c r="C103" s="732" t="s">
        <v>252</v>
      </c>
      <c r="D103" s="733">
        <v>0.42821986001422313</v>
      </c>
      <c r="E103" s="733">
        <v>0.64449672455027551</v>
      </c>
      <c r="F103" s="733">
        <v>0.60965658081186969</v>
      </c>
      <c r="G103" s="733">
        <v>0.49046600285253461</v>
      </c>
      <c r="H103" s="733">
        <v>0.57360500049834129</v>
      </c>
      <c r="I103" s="733">
        <v>0.73518502698161836</v>
      </c>
      <c r="J103" s="733">
        <v>0.83347998803981038</v>
      </c>
    </row>
    <row r="104" spans="1:10" ht="16.5" customHeight="1" x14ac:dyDescent="0.3">
      <c r="A104" s="731" t="s">
        <v>66</v>
      </c>
      <c r="B104" s="732" t="s">
        <v>67</v>
      </c>
      <c r="C104" s="732" t="s">
        <v>253</v>
      </c>
      <c r="D104" s="733">
        <v>0.68400000000000005</v>
      </c>
      <c r="E104" s="733">
        <v>0.63773896542029795</v>
      </c>
      <c r="F104" s="733">
        <v>0.72739879025173804</v>
      </c>
      <c r="G104" s="733">
        <v>0.69586429613167577</v>
      </c>
      <c r="H104" s="733">
        <v>0.86617822157276614</v>
      </c>
      <c r="I104" s="733">
        <v>0.9767210586134113</v>
      </c>
      <c r="J104" s="733">
        <v>1.0337230069816528</v>
      </c>
    </row>
    <row r="105" spans="1:10" ht="16.5" customHeight="1" x14ac:dyDescent="0.3">
      <c r="A105" s="731" t="s">
        <v>82</v>
      </c>
      <c r="B105" s="732" t="s">
        <v>83</v>
      </c>
      <c r="C105" s="732" t="s">
        <v>252</v>
      </c>
      <c r="D105" s="733">
        <v>0.81553357009978011</v>
      </c>
      <c r="E105" s="733">
        <v>0.79458068422646078</v>
      </c>
      <c r="F105" s="733">
        <v>0.8303571428571429</v>
      </c>
      <c r="G105" s="733">
        <v>0.70039855072463764</v>
      </c>
      <c r="H105" s="733">
        <v>0.73646473514779043</v>
      </c>
      <c r="I105" s="733">
        <v>0.88458443078724025</v>
      </c>
      <c r="J105" s="733">
        <v>0.99122036874451269</v>
      </c>
    </row>
    <row r="106" spans="1:10" ht="16.5" customHeight="1" x14ac:dyDescent="0.3">
      <c r="A106" s="731" t="s">
        <v>88</v>
      </c>
      <c r="B106" s="732" t="s">
        <v>89</v>
      </c>
      <c r="C106" s="732" t="s">
        <v>255</v>
      </c>
      <c r="D106" s="733">
        <v>0.5725568942436412</v>
      </c>
      <c r="E106" s="733">
        <v>0.54702765358503058</v>
      </c>
      <c r="F106" s="733">
        <v>0.59358087126253212</v>
      </c>
      <c r="G106" s="733">
        <v>0.61054784774101745</v>
      </c>
      <c r="H106" s="733">
        <v>0.61038935705368291</v>
      </c>
      <c r="I106" s="733">
        <v>0.75813436329588013</v>
      </c>
      <c r="J106" s="733">
        <v>0.86671348314606744</v>
      </c>
    </row>
    <row r="107" spans="1:10" ht="16.5" customHeight="1" x14ac:dyDescent="0.3">
      <c r="A107" s="731" t="s">
        <v>90</v>
      </c>
      <c r="B107" s="732" t="s">
        <v>91</v>
      </c>
      <c r="C107" s="732" t="s">
        <v>256</v>
      </c>
      <c r="D107" s="733">
        <v>0.76820948782535681</v>
      </c>
      <c r="E107" s="733">
        <v>0.71312932809283169</v>
      </c>
      <c r="F107" s="733">
        <v>0.66785714285714282</v>
      </c>
      <c r="G107" s="733">
        <v>0.78565596080566136</v>
      </c>
      <c r="H107" s="733">
        <v>0.82949329096045199</v>
      </c>
      <c r="I107" s="733">
        <v>0.90841278248587576</v>
      </c>
      <c r="J107" s="733">
        <v>0.94671610169491527</v>
      </c>
    </row>
    <row r="108" spans="1:10" ht="16.5" customHeight="1" x14ac:dyDescent="0.3">
      <c r="A108" s="731" t="s">
        <v>106</v>
      </c>
      <c r="B108" s="732" t="s">
        <v>107</v>
      </c>
      <c r="C108" s="732" t="s">
        <v>252</v>
      </c>
      <c r="D108" s="733">
        <v>0.53503918856615951</v>
      </c>
      <c r="E108" s="733">
        <v>0.57655243985089799</v>
      </c>
      <c r="F108" s="733">
        <v>0.61185690027077888</v>
      </c>
      <c r="G108" s="733">
        <v>0.43562073576301985</v>
      </c>
      <c r="H108" s="733">
        <v>0.50907545975006141</v>
      </c>
      <c r="I108" s="733">
        <v>0.60921244782176043</v>
      </c>
      <c r="J108" s="733">
        <v>0.67985112239754975</v>
      </c>
    </row>
    <row r="109" spans="1:10" ht="16.5" customHeight="1" x14ac:dyDescent="0.3">
      <c r="A109" s="731" t="s">
        <v>116</v>
      </c>
      <c r="B109" s="732" t="s">
        <v>117</v>
      </c>
      <c r="C109" s="732" t="s">
        <v>254</v>
      </c>
      <c r="D109" s="733">
        <v>0.80158410524902668</v>
      </c>
      <c r="E109" s="733">
        <v>0.84147294725394239</v>
      </c>
      <c r="F109" s="733">
        <v>0.83261980618611442</v>
      </c>
      <c r="G109" s="733">
        <v>0.87963713764443541</v>
      </c>
      <c r="H109" s="733">
        <v>0.83398950131233596</v>
      </c>
      <c r="I109" s="733">
        <v>0.99469100453352421</v>
      </c>
      <c r="J109" s="733">
        <v>1.1075876879026485</v>
      </c>
    </row>
    <row r="110" spans="1:10" ht="16.5" customHeight="1" x14ac:dyDescent="0.3">
      <c r="A110" s="731" t="s">
        <v>138</v>
      </c>
      <c r="B110" s="732" t="s">
        <v>139</v>
      </c>
      <c r="C110" s="732" t="s">
        <v>253</v>
      </c>
      <c r="D110" s="733">
        <v>0.54354032833690225</v>
      </c>
      <c r="E110" s="733">
        <v>0.58127704892030907</v>
      </c>
      <c r="F110" s="733">
        <v>0.58389488605386541</v>
      </c>
      <c r="G110" s="733">
        <v>0.5148619346420279</v>
      </c>
      <c r="H110" s="733">
        <v>0.5520962687008456</v>
      </c>
      <c r="I110" s="733">
        <v>0.64487611613742535</v>
      </c>
      <c r="J110" s="733">
        <v>0.71736739400390281</v>
      </c>
    </row>
    <row r="111" spans="1:10" ht="16.5" customHeight="1" x14ac:dyDescent="0.3">
      <c r="A111" s="731" t="s">
        <v>142</v>
      </c>
      <c r="B111" s="732" t="s">
        <v>261</v>
      </c>
      <c r="C111" s="732" t="s">
        <v>255</v>
      </c>
      <c r="D111" s="733">
        <v>0.36495060466700735</v>
      </c>
      <c r="E111" s="733">
        <v>0.43618549297219655</v>
      </c>
      <c r="F111" s="733">
        <v>0.41141014858424446</v>
      </c>
      <c r="G111" s="733">
        <v>0.38660527103923331</v>
      </c>
      <c r="H111" s="733">
        <v>0.50482973149967258</v>
      </c>
      <c r="I111" s="733">
        <v>0.74433120497707927</v>
      </c>
      <c r="J111" s="733">
        <v>0.8598231827111984</v>
      </c>
    </row>
    <row r="112" spans="1:10" ht="16.5" customHeight="1" x14ac:dyDescent="0.3">
      <c r="A112" s="731" t="s">
        <v>144</v>
      </c>
      <c r="B112" s="732" t="s">
        <v>145</v>
      </c>
      <c r="C112" s="732" t="s">
        <v>255</v>
      </c>
      <c r="D112" s="733">
        <v>0.3795736824437731</v>
      </c>
      <c r="E112" s="733">
        <v>0.46124239169351949</v>
      </c>
      <c r="F112" s="733">
        <v>0.50808457711442789</v>
      </c>
      <c r="G112" s="733">
        <v>0.59380111220150478</v>
      </c>
      <c r="H112" s="733">
        <v>0.7590412828386216</v>
      </c>
      <c r="I112" s="733">
        <v>1.0617536676902082</v>
      </c>
      <c r="J112" s="733">
        <v>1.1977482088024565</v>
      </c>
    </row>
    <row r="113" spans="1:10" ht="16.5" customHeight="1" x14ac:dyDescent="0.3">
      <c r="A113" s="731" t="s">
        <v>158</v>
      </c>
      <c r="B113" s="732" t="s">
        <v>159</v>
      </c>
      <c r="C113" s="732" t="s">
        <v>252</v>
      </c>
      <c r="D113" s="733">
        <v>0.58625972595193832</v>
      </c>
      <c r="E113" s="733">
        <v>0.62731924326622335</v>
      </c>
      <c r="F113" s="733">
        <v>0.68828830342540936</v>
      </c>
      <c r="G113" s="733">
        <v>0.54461297491231353</v>
      </c>
      <c r="H113" s="733">
        <v>0.69319518164192861</v>
      </c>
      <c r="I113" s="733">
        <v>0.84594073461950015</v>
      </c>
      <c r="J113" s="733">
        <v>0.96594094650859741</v>
      </c>
    </row>
    <row r="114" spans="1:10" ht="16.5" customHeight="1" x14ac:dyDescent="0.3">
      <c r="A114" s="731" t="s">
        <v>160</v>
      </c>
      <c r="B114" s="732" t="s">
        <v>161</v>
      </c>
      <c r="C114" s="732" t="s">
        <v>252</v>
      </c>
      <c r="D114" s="733">
        <v>0.55881218781820696</v>
      </c>
      <c r="E114" s="733">
        <v>0.62203083062005682</v>
      </c>
      <c r="F114" s="733">
        <v>0.65347444006095146</v>
      </c>
      <c r="G114" s="733">
        <v>0.58223755086462159</v>
      </c>
      <c r="H114" s="733">
        <v>0.5902594626491805</v>
      </c>
      <c r="I114" s="733">
        <v>0.70016528776328624</v>
      </c>
      <c r="J114" s="733">
        <v>0.77657429820441493</v>
      </c>
    </row>
    <row r="115" spans="1:10" ht="16.5" customHeight="1" x14ac:dyDescent="0.3">
      <c r="A115" s="731" t="s">
        <v>166</v>
      </c>
      <c r="B115" s="732" t="s">
        <v>167</v>
      </c>
      <c r="C115" s="732" t="s">
        <v>256</v>
      </c>
      <c r="D115" s="733">
        <v>0.89052462526766596</v>
      </c>
      <c r="E115" s="733">
        <v>0.8070009460737938</v>
      </c>
      <c r="F115" s="733">
        <v>0.90500338066260988</v>
      </c>
      <c r="G115" s="733">
        <v>0.82953855494839102</v>
      </c>
      <c r="H115" s="733">
        <v>0.88517628205128207</v>
      </c>
      <c r="I115" s="733">
        <v>0.92940705128205126</v>
      </c>
      <c r="J115" s="733">
        <v>0.9736538461538462</v>
      </c>
    </row>
    <row r="116" spans="1:10" ht="16.5" customHeight="1" x14ac:dyDescent="0.3">
      <c r="A116" s="731" t="s">
        <v>176</v>
      </c>
      <c r="B116" s="732" t="s">
        <v>177</v>
      </c>
      <c r="C116" s="732" t="s">
        <v>254</v>
      </c>
      <c r="D116" s="733">
        <v>0.7949986012868161</v>
      </c>
      <c r="E116" s="733">
        <v>0.75586750672414427</v>
      </c>
      <c r="F116" s="733">
        <v>0.8542577745383868</v>
      </c>
      <c r="G116" s="733">
        <v>0.79937195350581181</v>
      </c>
      <c r="H116" s="733">
        <v>0.83724882629107977</v>
      </c>
      <c r="I116" s="733">
        <v>0.99456338028169011</v>
      </c>
      <c r="J116" s="733">
        <v>1.0993126760563381</v>
      </c>
    </row>
    <row r="117" spans="1:10" ht="16.5" customHeight="1" x14ac:dyDescent="0.3">
      <c r="A117" s="731" t="s">
        <v>180</v>
      </c>
      <c r="B117" s="732" t="s">
        <v>181</v>
      </c>
      <c r="C117" s="732" t="s">
        <v>252</v>
      </c>
      <c r="D117" s="733">
        <v>0.61106485978138536</v>
      </c>
      <c r="E117" s="733">
        <v>0.66628996178581412</v>
      </c>
      <c r="F117" s="733">
        <v>0.75725375524341632</v>
      </c>
      <c r="G117" s="733">
        <v>0.66542077505159369</v>
      </c>
      <c r="H117" s="733">
        <v>0.63847596952511887</v>
      </c>
      <c r="I117" s="733">
        <v>0.76133141433235951</v>
      </c>
      <c r="J117" s="733">
        <v>0.84777453170647876</v>
      </c>
    </row>
    <row r="118" spans="1:10" ht="16.5" customHeight="1" x14ac:dyDescent="0.3">
      <c r="A118" s="731" t="s">
        <v>192</v>
      </c>
      <c r="B118" s="732" t="s">
        <v>193</v>
      </c>
      <c r="C118" s="732" t="s">
        <v>256</v>
      </c>
      <c r="D118" s="733">
        <v>0.30696784073506889</v>
      </c>
      <c r="E118" s="733">
        <v>0.25727826675693977</v>
      </c>
      <c r="F118" s="733">
        <v>0.31304554489672459</v>
      </c>
      <c r="G118" s="733">
        <v>0.20295520070969172</v>
      </c>
      <c r="H118" s="733">
        <v>0.27385086823289073</v>
      </c>
      <c r="I118" s="733">
        <v>0.31847122914538645</v>
      </c>
      <c r="J118" s="733">
        <v>0.34606741573033706</v>
      </c>
    </row>
    <row r="119" spans="1:10" ht="16.5" customHeight="1" x14ac:dyDescent="0.3">
      <c r="A119" s="731" t="s">
        <v>196</v>
      </c>
      <c r="B119" s="732" t="s">
        <v>197</v>
      </c>
      <c r="C119" s="732" t="s">
        <v>254</v>
      </c>
      <c r="D119" s="733">
        <v>0.63020319462446717</v>
      </c>
      <c r="E119" s="733">
        <v>0.72582216292908119</v>
      </c>
      <c r="F119" s="733">
        <v>0.68280742978628173</v>
      </c>
      <c r="G119" s="733">
        <v>0.56104123161924646</v>
      </c>
      <c r="H119" s="733">
        <v>0.5408664480207459</v>
      </c>
      <c r="I119" s="733">
        <v>0.61187298197442352</v>
      </c>
      <c r="J119" s="733">
        <v>0.68735870642971553</v>
      </c>
    </row>
    <row r="120" spans="1:10" ht="16.5" customHeight="1" x14ac:dyDescent="0.3">
      <c r="A120" s="731" t="s">
        <v>200</v>
      </c>
      <c r="B120" s="732" t="s">
        <v>201</v>
      </c>
      <c r="C120" s="732" t="s">
        <v>253</v>
      </c>
      <c r="D120" s="733">
        <v>0.56488408061486983</v>
      </c>
      <c r="E120" s="733">
        <v>0.63448695339799488</v>
      </c>
      <c r="F120" s="733">
        <v>0.66952366756103221</v>
      </c>
      <c r="G120" s="733">
        <v>0.64317729083665343</v>
      </c>
      <c r="H120" s="733">
        <v>0.69297988233346874</v>
      </c>
      <c r="I120" s="733">
        <v>0.83221234144359679</v>
      </c>
      <c r="J120" s="733">
        <v>0.93290299282264255</v>
      </c>
    </row>
    <row r="121" spans="1:10" ht="16.5" customHeight="1" x14ac:dyDescent="0.3">
      <c r="A121" s="731" t="s">
        <v>222</v>
      </c>
      <c r="B121" s="732" t="s">
        <v>223</v>
      </c>
      <c r="C121" s="732" t="s">
        <v>252</v>
      </c>
      <c r="D121" s="733">
        <v>0.62066855776183327</v>
      </c>
      <c r="E121" s="733">
        <v>0.64036893683603724</v>
      </c>
      <c r="F121" s="733">
        <v>0.66446627997575969</v>
      </c>
      <c r="G121" s="733">
        <v>0.60240908129823445</v>
      </c>
      <c r="H121" s="733">
        <v>0.65524980483996875</v>
      </c>
      <c r="I121" s="733">
        <v>0.80273502843760458</v>
      </c>
      <c r="J121" s="733">
        <v>0.90807962529274</v>
      </c>
    </row>
    <row r="122" spans="1:10" ht="16.5" customHeight="1" x14ac:dyDescent="0.3">
      <c r="A122" s="731" t="s">
        <v>230</v>
      </c>
      <c r="B122" s="732" t="s">
        <v>231</v>
      </c>
      <c r="C122" s="732" t="s">
        <v>252</v>
      </c>
      <c r="D122" s="733">
        <v>0.33338861593106262</v>
      </c>
      <c r="E122" s="733">
        <v>0.39706846825490894</v>
      </c>
      <c r="F122" s="733">
        <v>0.397593649417676</v>
      </c>
      <c r="G122" s="733">
        <v>0.40719128191355158</v>
      </c>
      <c r="H122" s="733">
        <v>0.4476939617884772</v>
      </c>
      <c r="I122" s="733">
        <v>0.59181517091376457</v>
      </c>
      <c r="J122" s="733">
        <v>0.69770879161620403</v>
      </c>
    </row>
    <row r="123" spans="1:10" ht="16.5" customHeight="1" x14ac:dyDescent="0.3">
      <c r="A123" s="731" t="s">
        <v>238</v>
      </c>
      <c r="B123" s="732" t="s">
        <v>239</v>
      </c>
      <c r="C123" s="732" t="s">
        <v>252</v>
      </c>
      <c r="D123" s="733">
        <v>0.25940860215053763</v>
      </c>
      <c r="E123" s="733">
        <v>0.22802366682034733</v>
      </c>
      <c r="F123" s="733">
        <v>0.25445917198494516</v>
      </c>
      <c r="G123" s="733">
        <v>0.22870004391743523</v>
      </c>
      <c r="H123" s="733">
        <v>0.29020141984480768</v>
      </c>
      <c r="I123" s="733">
        <v>0.36346376093775795</v>
      </c>
      <c r="J123" s="733">
        <v>0.43704804358593363</v>
      </c>
    </row>
    <row r="124" spans="1:10" ht="16.5" customHeight="1" x14ac:dyDescent="0.3">
      <c r="A124" s="735" t="s">
        <v>240</v>
      </c>
      <c r="B124" s="736" t="s">
        <v>241</v>
      </c>
      <c r="C124" s="736" t="s">
        <v>255</v>
      </c>
      <c r="D124" s="737">
        <v>0.43303273213092852</v>
      </c>
      <c r="E124" s="737">
        <v>0.4561613363552422</v>
      </c>
      <c r="F124" s="737">
        <v>0.39335079295795139</v>
      </c>
      <c r="G124" s="737">
        <v>0.47347957288765086</v>
      </c>
      <c r="H124" s="737">
        <v>0.53933652895077222</v>
      </c>
      <c r="I124" s="737">
        <v>0.76238301757589588</v>
      </c>
      <c r="J124" s="737">
        <v>0.89915544396256564</v>
      </c>
    </row>
    <row r="126" spans="1:10" x14ac:dyDescent="0.3">
      <c r="A126" s="711" t="s">
        <v>650</v>
      </c>
    </row>
    <row r="127" spans="1:10" ht="17.399999999999999" x14ac:dyDescent="0.3">
      <c r="A127" s="722" t="s">
        <v>649</v>
      </c>
    </row>
    <row r="128" spans="1:10" ht="17.399999999999999" x14ac:dyDescent="0.3">
      <c r="A128" s="722"/>
    </row>
    <row r="129" spans="1:10" x14ac:dyDescent="0.3">
      <c r="A129" s="2798" t="s">
        <v>248</v>
      </c>
      <c r="B129" s="2798"/>
      <c r="C129" s="2798"/>
      <c r="D129" s="2798"/>
      <c r="E129" s="2798"/>
      <c r="F129" s="2798"/>
      <c r="G129" s="2798"/>
      <c r="H129" s="2798"/>
      <c r="I129" s="2798"/>
      <c r="J129" s="2798"/>
    </row>
    <row r="130" spans="1:10" x14ac:dyDescent="0.3">
      <c r="A130" s="712" t="s">
        <v>249</v>
      </c>
      <c r="B130" s="499" t="s">
        <v>250</v>
      </c>
    </row>
  </sheetData>
  <autoFilter ref="A3:C3"/>
  <mergeCells count="1">
    <mergeCell ref="A129:J129"/>
  </mergeCells>
  <hyperlinks>
    <hyperlink ref="B130" r:id="rId1"/>
  </hyperlinks>
  <pageMargins left="0.45" right="0.45" top="0.75" bottom="0.75" header="0.3" footer="0.3"/>
  <pageSetup orientation="portrait" r:id="rId2"/>
  <headerFooter>
    <oddFooter>&amp;C&amp;"Courier New,Regular"&amp;P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workbookViewId="0">
      <pane ySplit="5" topLeftCell="A6" activePane="bottomLeft" state="frozen"/>
      <selection pane="bottomLeft" activeCell="C15" sqref="C15"/>
    </sheetView>
  </sheetViews>
  <sheetFormatPr defaultColWidth="9" defaultRowHeight="15.6" x14ac:dyDescent="0.3"/>
  <cols>
    <col min="1" max="1" width="9.09765625" style="580" customWidth="1"/>
    <col min="2" max="2" width="35" style="580" customWidth="1"/>
    <col min="3" max="3" width="11.19921875" style="580" customWidth="1"/>
    <col min="4" max="9" width="9" style="705"/>
    <col min="10" max="10" width="12.69921875" style="705" customWidth="1"/>
    <col min="11" max="16384" width="9" style="621"/>
  </cols>
  <sheetData>
    <row r="1" spans="1:10" x14ac:dyDescent="0.3">
      <c r="A1" s="64" t="s">
        <v>619</v>
      </c>
      <c r="B1" s="621"/>
      <c r="C1" s="621"/>
    </row>
    <row r="2" spans="1:10" x14ac:dyDescent="0.3">
      <c r="A2" s="621"/>
      <c r="B2" s="621"/>
      <c r="C2" s="621"/>
    </row>
    <row r="3" spans="1:10" x14ac:dyDescent="0.3">
      <c r="A3" s="621"/>
      <c r="B3" s="621"/>
      <c r="C3" s="621"/>
      <c r="E3" s="2799" t="s">
        <v>617</v>
      </c>
      <c r="F3" s="2799"/>
      <c r="G3" s="2799"/>
      <c r="H3" s="2800" t="s">
        <v>618</v>
      </c>
      <c r="I3" s="2800"/>
      <c r="J3" s="2800"/>
    </row>
    <row r="4" spans="1:10" x14ac:dyDescent="0.3">
      <c r="A4" s="581" t="s">
        <v>4</v>
      </c>
      <c r="B4" s="593" t="s">
        <v>5</v>
      </c>
      <c r="C4" s="581" t="s">
        <v>251</v>
      </c>
      <c r="D4" s="706" t="s">
        <v>269</v>
      </c>
      <c r="E4" s="706" t="s">
        <v>2</v>
      </c>
      <c r="F4" s="706" t="s">
        <v>314</v>
      </c>
      <c r="G4" s="706" t="s">
        <v>315</v>
      </c>
      <c r="H4" s="706" t="s">
        <v>616</v>
      </c>
      <c r="I4" s="707" t="s">
        <v>628</v>
      </c>
      <c r="J4" s="706" t="s">
        <v>629</v>
      </c>
    </row>
    <row r="5" spans="1:10" x14ac:dyDescent="0.3">
      <c r="A5" s="715">
        <v>999</v>
      </c>
      <c r="B5" s="716" t="s">
        <v>9</v>
      </c>
      <c r="C5" s="715"/>
      <c r="D5" s="779">
        <f t="shared" ref="D5:J5" si="0">SUM(D6:D125)</f>
        <v>6028</v>
      </c>
      <c r="E5" s="779">
        <f t="shared" si="0"/>
        <v>3741</v>
      </c>
      <c r="F5" s="779">
        <f t="shared" si="0"/>
        <v>2059</v>
      </c>
      <c r="G5" s="779">
        <f t="shared" si="0"/>
        <v>228</v>
      </c>
      <c r="H5" s="779">
        <f t="shared" si="0"/>
        <v>664</v>
      </c>
      <c r="I5" s="779">
        <f t="shared" si="0"/>
        <v>2489</v>
      </c>
      <c r="J5" s="779">
        <f t="shared" si="0"/>
        <v>2924</v>
      </c>
    </row>
    <row r="6" spans="1:10" x14ac:dyDescent="0.3">
      <c r="A6" s="572" t="s">
        <v>10</v>
      </c>
      <c r="B6" s="573" t="s">
        <v>11</v>
      </c>
      <c r="C6" s="574" t="s">
        <v>252</v>
      </c>
      <c r="D6" s="708">
        <v>46</v>
      </c>
      <c r="E6" s="708">
        <v>30</v>
      </c>
      <c r="F6" s="708">
        <v>16</v>
      </c>
      <c r="G6" s="708">
        <v>0</v>
      </c>
      <c r="H6" s="708">
        <v>4</v>
      </c>
      <c r="I6" s="708">
        <v>20</v>
      </c>
      <c r="J6" s="708">
        <v>22</v>
      </c>
    </row>
    <row r="7" spans="1:10" x14ac:dyDescent="0.3">
      <c r="A7" s="572" t="s">
        <v>12</v>
      </c>
      <c r="B7" s="573" t="s">
        <v>13</v>
      </c>
      <c r="C7" s="574" t="s">
        <v>253</v>
      </c>
      <c r="D7" s="708">
        <v>52</v>
      </c>
      <c r="E7" s="708">
        <v>38</v>
      </c>
      <c r="F7" s="708">
        <v>12</v>
      </c>
      <c r="G7" s="708">
        <v>2</v>
      </c>
      <c r="H7" s="708">
        <v>2</v>
      </c>
      <c r="I7" s="708">
        <v>8</v>
      </c>
      <c r="J7" s="708">
        <v>42</v>
      </c>
    </row>
    <row r="8" spans="1:10" x14ac:dyDescent="0.3">
      <c r="A8" s="572" t="s">
        <v>16</v>
      </c>
      <c r="B8" s="573" t="s">
        <v>285</v>
      </c>
      <c r="C8" s="574" t="s">
        <v>253</v>
      </c>
      <c r="D8" s="708">
        <v>13</v>
      </c>
      <c r="E8" s="708">
        <v>12</v>
      </c>
      <c r="F8" s="708">
        <v>1</v>
      </c>
      <c r="G8" s="708">
        <v>0</v>
      </c>
      <c r="H8" s="708">
        <v>2</v>
      </c>
      <c r="I8" s="708">
        <v>5</v>
      </c>
      <c r="J8" s="708">
        <v>7</v>
      </c>
    </row>
    <row r="9" spans="1:10" x14ac:dyDescent="0.3">
      <c r="A9" s="572" t="s">
        <v>18</v>
      </c>
      <c r="B9" s="573" t="s">
        <v>19</v>
      </c>
      <c r="C9" s="574" t="s">
        <v>254</v>
      </c>
      <c r="D9" s="708">
        <v>17</v>
      </c>
      <c r="E9" s="708">
        <v>10</v>
      </c>
      <c r="F9" s="708">
        <v>6</v>
      </c>
      <c r="G9" s="708">
        <v>1</v>
      </c>
      <c r="H9" s="708">
        <v>2</v>
      </c>
      <c r="I9" s="708">
        <v>3</v>
      </c>
      <c r="J9" s="708">
        <v>12</v>
      </c>
    </row>
    <row r="10" spans="1:10" x14ac:dyDescent="0.3">
      <c r="A10" s="572" t="s">
        <v>20</v>
      </c>
      <c r="B10" s="573" t="s">
        <v>21</v>
      </c>
      <c r="C10" s="574" t="s">
        <v>253</v>
      </c>
      <c r="D10" s="708">
        <v>31</v>
      </c>
      <c r="E10" s="708">
        <v>21</v>
      </c>
      <c r="F10" s="708">
        <v>10</v>
      </c>
      <c r="G10" s="708">
        <v>0</v>
      </c>
      <c r="H10" s="708">
        <v>2</v>
      </c>
      <c r="I10" s="708">
        <v>9</v>
      </c>
      <c r="J10" s="708">
        <v>20</v>
      </c>
    </row>
    <row r="11" spans="1:10" x14ac:dyDescent="0.3">
      <c r="A11" s="572" t="s">
        <v>22</v>
      </c>
      <c r="B11" s="573" t="s">
        <v>23</v>
      </c>
      <c r="C11" s="574" t="s">
        <v>253</v>
      </c>
      <c r="D11" s="708">
        <v>22</v>
      </c>
      <c r="E11" s="708">
        <v>10</v>
      </c>
      <c r="F11" s="708">
        <v>10</v>
      </c>
      <c r="G11" s="708">
        <v>2</v>
      </c>
      <c r="H11" s="708">
        <v>1</v>
      </c>
      <c r="I11" s="708">
        <v>9</v>
      </c>
      <c r="J11" s="708">
        <v>12</v>
      </c>
    </row>
    <row r="12" spans="1:10" x14ac:dyDescent="0.3">
      <c r="A12" s="572" t="s">
        <v>24</v>
      </c>
      <c r="B12" s="573" t="s">
        <v>25</v>
      </c>
      <c r="C12" s="574" t="s">
        <v>255</v>
      </c>
      <c r="D12" s="708">
        <v>84</v>
      </c>
      <c r="E12" s="708">
        <v>64</v>
      </c>
      <c r="F12" s="708">
        <v>12</v>
      </c>
      <c r="G12" s="708">
        <v>8</v>
      </c>
      <c r="H12" s="708">
        <v>3</v>
      </c>
      <c r="I12" s="708">
        <v>33</v>
      </c>
      <c r="J12" s="708">
        <v>48</v>
      </c>
    </row>
    <row r="13" spans="1:10" x14ac:dyDescent="0.3">
      <c r="A13" s="572" t="s">
        <v>26</v>
      </c>
      <c r="B13" s="573" t="s">
        <v>286</v>
      </c>
      <c r="C13" s="574" t="s">
        <v>253</v>
      </c>
      <c r="D13" s="708">
        <v>97</v>
      </c>
      <c r="E13" s="708">
        <v>84</v>
      </c>
      <c r="F13" s="708">
        <v>10</v>
      </c>
      <c r="G13" s="708">
        <v>3</v>
      </c>
      <c r="H13" s="708">
        <v>6</v>
      </c>
      <c r="I13" s="708">
        <v>30</v>
      </c>
      <c r="J13" s="708">
        <v>62</v>
      </c>
    </row>
    <row r="14" spans="1:10" x14ac:dyDescent="0.3">
      <c r="A14" s="572" t="s">
        <v>27</v>
      </c>
      <c r="B14" s="573" t="s">
        <v>28</v>
      </c>
      <c r="C14" s="574" t="s">
        <v>253</v>
      </c>
      <c r="D14" s="708">
        <v>1</v>
      </c>
      <c r="E14" s="708">
        <v>0</v>
      </c>
      <c r="F14" s="708">
        <v>1</v>
      </c>
      <c r="G14" s="708">
        <v>0</v>
      </c>
      <c r="H14" s="708">
        <v>0</v>
      </c>
      <c r="I14" s="708">
        <v>1</v>
      </c>
      <c r="J14" s="708">
        <v>0</v>
      </c>
    </row>
    <row r="15" spans="1:10" x14ac:dyDescent="0.3">
      <c r="A15" s="572" t="s">
        <v>29</v>
      </c>
      <c r="B15" s="573" t="s">
        <v>736</v>
      </c>
      <c r="C15" s="574" t="s">
        <v>253</v>
      </c>
      <c r="D15" s="708">
        <v>70</v>
      </c>
      <c r="E15" s="708">
        <v>55</v>
      </c>
      <c r="F15" s="708">
        <v>14</v>
      </c>
      <c r="G15" s="708">
        <v>1</v>
      </c>
      <c r="H15" s="708">
        <v>2</v>
      </c>
      <c r="I15" s="708">
        <v>23</v>
      </c>
      <c r="J15" s="708">
        <v>45</v>
      </c>
    </row>
    <row r="16" spans="1:10" x14ac:dyDescent="0.3">
      <c r="A16" s="572" t="s">
        <v>30</v>
      </c>
      <c r="B16" s="573" t="s">
        <v>31</v>
      </c>
      <c r="C16" s="574" t="s">
        <v>256</v>
      </c>
      <c r="D16" s="708">
        <v>3</v>
      </c>
      <c r="E16" s="708">
        <v>3</v>
      </c>
      <c r="F16" s="708">
        <v>0</v>
      </c>
      <c r="G16" s="708">
        <v>0</v>
      </c>
      <c r="H16" s="708">
        <v>0</v>
      </c>
      <c r="I16" s="708">
        <v>0</v>
      </c>
      <c r="J16" s="708">
        <v>3</v>
      </c>
    </row>
    <row r="17" spans="1:10" x14ac:dyDescent="0.3">
      <c r="A17" s="572" t="s">
        <v>32</v>
      </c>
      <c r="B17" s="573" t="s">
        <v>33</v>
      </c>
      <c r="C17" s="574" t="s">
        <v>253</v>
      </c>
      <c r="D17" s="708">
        <v>19</v>
      </c>
      <c r="E17" s="708">
        <v>19</v>
      </c>
      <c r="F17" s="708">
        <v>0</v>
      </c>
      <c r="G17" s="708">
        <v>0</v>
      </c>
      <c r="H17" s="708">
        <v>1</v>
      </c>
      <c r="I17" s="708">
        <v>6</v>
      </c>
      <c r="J17" s="708">
        <v>12</v>
      </c>
    </row>
    <row r="18" spans="1:10" x14ac:dyDescent="0.3">
      <c r="A18" s="572" t="s">
        <v>36</v>
      </c>
      <c r="B18" s="573" t="s">
        <v>37</v>
      </c>
      <c r="C18" s="574" t="s">
        <v>252</v>
      </c>
      <c r="D18" s="708">
        <v>31</v>
      </c>
      <c r="E18" s="708">
        <v>6</v>
      </c>
      <c r="F18" s="708">
        <v>25</v>
      </c>
      <c r="G18" s="708">
        <v>0</v>
      </c>
      <c r="H18" s="708">
        <v>2</v>
      </c>
      <c r="I18" s="708">
        <v>17</v>
      </c>
      <c r="J18" s="708">
        <v>12</v>
      </c>
    </row>
    <row r="19" spans="1:10" x14ac:dyDescent="0.3">
      <c r="A19" s="572" t="s">
        <v>38</v>
      </c>
      <c r="B19" s="573" t="s">
        <v>39</v>
      </c>
      <c r="C19" s="574" t="s">
        <v>256</v>
      </c>
      <c r="D19" s="708">
        <v>28</v>
      </c>
      <c r="E19" s="708">
        <v>28</v>
      </c>
      <c r="F19" s="708">
        <v>0</v>
      </c>
      <c r="G19" s="708">
        <v>0</v>
      </c>
      <c r="H19" s="708">
        <v>5</v>
      </c>
      <c r="I19" s="708">
        <v>13</v>
      </c>
      <c r="J19" s="708">
        <v>10</v>
      </c>
    </row>
    <row r="20" spans="1:10" x14ac:dyDescent="0.3">
      <c r="A20" s="572" t="s">
        <v>40</v>
      </c>
      <c r="B20" s="573" t="s">
        <v>41</v>
      </c>
      <c r="C20" s="574" t="s">
        <v>254</v>
      </c>
      <c r="D20" s="708">
        <v>15</v>
      </c>
      <c r="E20" s="708">
        <v>8</v>
      </c>
      <c r="F20" s="708">
        <v>7</v>
      </c>
      <c r="G20" s="708">
        <v>0</v>
      </c>
      <c r="H20" s="708">
        <v>3</v>
      </c>
      <c r="I20" s="708">
        <v>6</v>
      </c>
      <c r="J20" s="708">
        <v>6</v>
      </c>
    </row>
    <row r="21" spans="1:10" x14ac:dyDescent="0.3">
      <c r="A21" s="572" t="s">
        <v>42</v>
      </c>
      <c r="B21" s="573" t="s">
        <v>43</v>
      </c>
      <c r="C21" s="574" t="s">
        <v>253</v>
      </c>
      <c r="D21" s="708">
        <v>45</v>
      </c>
      <c r="E21" s="708">
        <v>36</v>
      </c>
      <c r="F21" s="708">
        <v>7</v>
      </c>
      <c r="G21" s="708">
        <v>2</v>
      </c>
      <c r="H21" s="708">
        <v>3</v>
      </c>
      <c r="I21" s="708">
        <v>5</v>
      </c>
      <c r="J21" s="708">
        <v>37</v>
      </c>
    </row>
    <row r="22" spans="1:10" x14ac:dyDescent="0.3">
      <c r="A22" s="572" t="s">
        <v>44</v>
      </c>
      <c r="B22" s="573" t="s">
        <v>45</v>
      </c>
      <c r="C22" s="574" t="s">
        <v>254</v>
      </c>
      <c r="D22" s="708">
        <v>7</v>
      </c>
      <c r="E22" s="708">
        <v>6</v>
      </c>
      <c r="F22" s="708">
        <v>1</v>
      </c>
      <c r="G22" s="708">
        <v>0</v>
      </c>
      <c r="H22" s="708">
        <v>0</v>
      </c>
      <c r="I22" s="708">
        <v>2</v>
      </c>
      <c r="J22" s="708">
        <v>5</v>
      </c>
    </row>
    <row r="23" spans="1:10" x14ac:dyDescent="0.3">
      <c r="A23" s="572" t="s">
        <v>46</v>
      </c>
      <c r="B23" s="573" t="s">
        <v>47</v>
      </c>
      <c r="C23" s="574" t="s">
        <v>256</v>
      </c>
      <c r="D23" s="708">
        <v>40</v>
      </c>
      <c r="E23" s="708">
        <v>39</v>
      </c>
      <c r="F23" s="708">
        <v>0</v>
      </c>
      <c r="G23" s="708">
        <v>1</v>
      </c>
      <c r="H23" s="708">
        <v>5</v>
      </c>
      <c r="I23" s="708">
        <v>19</v>
      </c>
      <c r="J23" s="708">
        <v>16</v>
      </c>
    </row>
    <row r="24" spans="1:10" x14ac:dyDescent="0.3">
      <c r="A24" s="572" t="s">
        <v>48</v>
      </c>
      <c r="B24" s="573" t="s">
        <v>257</v>
      </c>
      <c r="C24" s="574" t="s">
        <v>254</v>
      </c>
      <c r="D24" s="708">
        <v>8</v>
      </c>
      <c r="E24" s="708">
        <v>4</v>
      </c>
      <c r="F24" s="708">
        <v>4</v>
      </c>
      <c r="G24" s="708">
        <v>0</v>
      </c>
      <c r="H24" s="708">
        <v>1</v>
      </c>
      <c r="I24" s="708">
        <v>6</v>
      </c>
      <c r="J24" s="708">
        <v>1</v>
      </c>
    </row>
    <row r="25" spans="1:10" x14ac:dyDescent="0.3">
      <c r="A25" s="572" t="s">
        <v>50</v>
      </c>
      <c r="B25" s="573" t="s">
        <v>51</v>
      </c>
      <c r="C25" s="574" t="s">
        <v>253</v>
      </c>
      <c r="D25" s="708">
        <v>21</v>
      </c>
      <c r="E25" s="708">
        <v>14</v>
      </c>
      <c r="F25" s="708">
        <v>7</v>
      </c>
      <c r="G25" s="708">
        <v>0</v>
      </c>
      <c r="H25" s="708">
        <v>1</v>
      </c>
      <c r="I25" s="708">
        <v>7</v>
      </c>
      <c r="J25" s="708">
        <v>13</v>
      </c>
    </row>
    <row r="26" spans="1:10" x14ac:dyDescent="0.3">
      <c r="A26" s="572" t="s">
        <v>56</v>
      </c>
      <c r="B26" s="573" t="s">
        <v>283</v>
      </c>
      <c r="C26" s="574" t="s">
        <v>254</v>
      </c>
      <c r="D26" s="708">
        <v>146</v>
      </c>
      <c r="E26" s="708">
        <v>101</v>
      </c>
      <c r="F26" s="708">
        <v>41</v>
      </c>
      <c r="G26" s="708">
        <v>4</v>
      </c>
      <c r="H26" s="708">
        <v>32</v>
      </c>
      <c r="I26" s="708">
        <v>66</v>
      </c>
      <c r="J26" s="708">
        <v>49</v>
      </c>
    </row>
    <row r="27" spans="1:10" x14ac:dyDescent="0.3">
      <c r="A27" s="572" t="s">
        <v>58</v>
      </c>
      <c r="B27" s="573" t="s">
        <v>59</v>
      </c>
      <c r="C27" s="574" t="s">
        <v>255</v>
      </c>
      <c r="D27" s="708">
        <v>4</v>
      </c>
      <c r="E27" s="708">
        <v>4</v>
      </c>
      <c r="F27" s="708">
        <v>0</v>
      </c>
      <c r="G27" s="708">
        <v>0</v>
      </c>
      <c r="H27" s="708">
        <v>0</v>
      </c>
      <c r="I27" s="708">
        <v>1</v>
      </c>
      <c r="J27" s="708">
        <v>3</v>
      </c>
    </row>
    <row r="28" spans="1:10" x14ac:dyDescent="0.3">
      <c r="A28" s="572" t="s">
        <v>60</v>
      </c>
      <c r="B28" s="573" t="s">
        <v>61</v>
      </c>
      <c r="C28" s="574" t="s">
        <v>253</v>
      </c>
      <c r="D28" s="708">
        <v>5</v>
      </c>
      <c r="E28" s="708">
        <v>5</v>
      </c>
      <c r="F28" s="708">
        <v>0</v>
      </c>
      <c r="G28" s="708">
        <v>0</v>
      </c>
      <c r="H28" s="708">
        <v>0</v>
      </c>
      <c r="I28" s="708">
        <v>1</v>
      </c>
      <c r="J28" s="708">
        <v>4</v>
      </c>
    </row>
    <row r="29" spans="1:10" x14ac:dyDescent="0.3">
      <c r="A29" s="572" t="s">
        <v>62</v>
      </c>
      <c r="B29" s="573" t="s">
        <v>63</v>
      </c>
      <c r="C29" s="574" t="s">
        <v>255</v>
      </c>
      <c r="D29" s="708">
        <v>12</v>
      </c>
      <c r="E29" s="708">
        <v>10</v>
      </c>
      <c r="F29" s="708">
        <v>2</v>
      </c>
      <c r="G29" s="708">
        <v>0</v>
      </c>
      <c r="H29" s="708">
        <v>0</v>
      </c>
      <c r="I29" s="708">
        <v>6</v>
      </c>
      <c r="J29" s="708">
        <v>6</v>
      </c>
    </row>
    <row r="30" spans="1:10" x14ac:dyDescent="0.3">
      <c r="A30" s="572" t="s">
        <v>64</v>
      </c>
      <c r="B30" s="573" t="s">
        <v>65</v>
      </c>
      <c r="C30" s="574" t="s">
        <v>254</v>
      </c>
      <c r="D30" s="708">
        <v>14</v>
      </c>
      <c r="E30" s="708">
        <v>3</v>
      </c>
      <c r="F30" s="708">
        <v>11</v>
      </c>
      <c r="G30" s="708">
        <v>0</v>
      </c>
      <c r="H30" s="708">
        <v>1</v>
      </c>
      <c r="I30" s="708">
        <v>4</v>
      </c>
      <c r="J30" s="708">
        <v>9</v>
      </c>
    </row>
    <row r="31" spans="1:10" x14ac:dyDescent="0.3">
      <c r="A31" s="572" t="s">
        <v>68</v>
      </c>
      <c r="B31" s="573" t="s">
        <v>69</v>
      </c>
      <c r="C31" s="574" t="s">
        <v>256</v>
      </c>
      <c r="D31" s="708">
        <v>10</v>
      </c>
      <c r="E31" s="708">
        <v>10</v>
      </c>
      <c r="F31" s="708">
        <v>0</v>
      </c>
      <c r="G31" s="708">
        <v>0</v>
      </c>
      <c r="H31" s="708">
        <v>2</v>
      </c>
      <c r="I31" s="708">
        <v>3</v>
      </c>
      <c r="J31" s="708">
        <v>5</v>
      </c>
    </row>
    <row r="32" spans="1:10" x14ac:dyDescent="0.3">
      <c r="A32" s="572" t="s">
        <v>70</v>
      </c>
      <c r="B32" s="573" t="s">
        <v>71</v>
      </c>
      <c r="C32" s="574" t="s">
        <v>252</v>
      </c>
      <c r="D32" s="708">
        <v>52</v>
      </c>
      <c r="E32" s="708">
        <v>22</v>
      </c>
      <c r="F32" s="708">
        <v>28</v>
      </c>
      <c r="G32" s="708">
        <v>2</v>
      </c>
      <c r="H32" s="708">
        <v>12</v>
      </c>
      <c r="I32" s="708">
        <v>28</v>
      </c>
      <c r="J32" s="708">
        <v>13</v>
      </c>
    </row>
    <row r="33" spans="1:10" x14ac:dyDescent="0.3">
      <c r="A33" s="572" t="s">
        <v>72</v>
      </c>
      <c r="B33" s="573" t="s">
        <v>73</v>
      </c>
      <c r="C33" s="574" t="s">
        <v>254</v>
      </c>
      <c r="D33" s="708">
        <v>5</v>
      </c>
      <c r="E33" s="708">
        <v>0</v>
      </c>
      <c r="F33" s="708">
        <v>5</v>
      </c>
      <c r="G33" s="708">
        <v>0</v>
      </c>
      <c r="H33" s="708">
        <v>1</v>
      </c>
      <c r="I33" s="708">
        <v>3</v>
      </c>
      <c r="J33" s="708">
        <v>1</v>
      </c>
    </row>
    <row r="34" spans="1:10" x14ac:dyDescent="0.3">
      <c r="A34" s="572" t="s">
        <v>74</v>
      </c>
      <c r="B34" s="573" t="s">
        <v>501</v>
      </c>
      <c r="C34" s="574" t="s">
        <v>255</v>
      </c>
      <c r="D34" s="708">
        <v>248</v>
      </c>
      <c r="E34" s="708">
        <v>162</v>
      </c>
      <c r="F34" s="708">
        <v>41</v>
      </c>
      <c r="G34" s="708">
        <v>45</v>
      </c>
      <c r="H34" s="708">
        <v>20</v>
      </c>
      <c r="I34" s="708">
        <v>98</v>
      </c>
      <c r="J34" s="708">
        <v>132</v>
      </c>
    </row>
    <row r="35" spans="1:10" x14ac:dyDescent="0.3">
      <c r="A35" s="572" t="s">
        <v>76</v>
      </c>
      <c r="B35" s="573" t="s">
        <v>77</v>
      </c>
      <c r="C35" s="574" t="s">
        <v>255</v>
      </c>
      <c r="D35" s="708">
        <v>19</v>
      </c>
      <c r="E35" s="708">
        <v>16</v>
      </c>
      <c r="F35" s="708">
        <v>3</v>
      </c>
      <c r="G35" s="708">
        <v>0</v>
      </c>
      <c r="H35" s="708">
        <v>4</v>
      </c>
      <c r="I35" s="708">
        <v>2</v>
      </c>
      <c r="J35" s="708">
        <v>13</v>
      </c>
    </row>
    <row r="36" spans="1:10" x14ac:dyDescent="0.3">
      <c r="A36" s="572" t="s">
        <v>78</v>
      </c>
      <c r="B36" s="573" t="s">
        <v>79</v>
      </c>
      <c r="C36" s="574" t="s">
        <v>256</v>
      </c>
      <c r="D36" s="708">
        <v>14</v>
      </c>
      <c r="E36" s="708">
        <v>14</v>
      </c>
      <c r="F36" s="708">
        <v>0</v>
      </c>
      <c r="G36" s="708">
        <v>0</v>
      </c>
      <c r="H36" s="708">
        <v>2</v>
      </c>
      <c r="I36" s="708">
        <v>5</v>
      </c>
      <c r="J36" s="708">
        <v>8</v>
      </c>
    </row>
    <row r="37" spans="1:10" x14ac:dyDescent="0.3">
      <c r="A37" s="572" t="s">
        <v>80</v>
      </c>
      <c r="B37" s="573" t="s">
        <v>81</v>
      </c>
      <c r="C37" s="574" t="s">
        <v>254</v>
      </c>
      <c r="D37" s="708">
        <v>5</v>
      </c>
      <c r="E37" s="708">
        <v>1</v>
      </c>
      <c r="F37" s="708">
        <v>4</v>
      </c>
      <c r="G37" s="708">
        <v>0</v>
      </c>
      <c r="H37" s="708">
        <v>1</v>
      </c>
      <c r="I37" s="708">
        <v>1</v>
      </c>
      <c r="J37" s="708">
        <v>3</v>
      </c>
    </row>
    <row r="38" spans="1:10" x14ac:dyDescent="0.3">
      <c r="A38" s="572" t="s">
        <v>84</v>
      </c>
      <c r="B38" s="573" t="s">
        <v>85</v>
      </c>
      <c r="C38" s="574" t="s">
        <v>253</v>
      </c>
      <c r="D38" s="708">
        <v>46</v>
      </c>
      <c r="E38" s="708">
        <v>36</v>
      </c>
      <c r="F38" s="708">
        <v>4</v>
      </c>
      <c r="G38" s="708">
        <v>6</v>
      </c>
      <c r="H38" s="708">
        <v>3</v>
      </c>
      <c r="I38" s="708">
        <v>14</v>
      </c>
      <c r="J38" s="708">
        <v>29</v>
      </c>
    </row>
    <row r="39" spans="1:10" x14ac:dyDescent="0.3">
      <c r="A39" s="572" t="s">
        <v>86</v>
      </c>
      <c r="B39" s="573" t="s">
        <v>87</v>
      </c>
      <c r="C39" s="574" t="s">
        <v>255</v>
      </c>
      <c r="D39" s="708">
        <v>25</v>
      </c>
      <c r="E39" s="708">
        <v>21</v>
      </c>
      <c r="F39" s="708">
        <v>2</v>
      </c>
      <c r="G39" s="708">
        <v>2</v>
      </c>
      <c r="H39" s="708">
        <v>1</v>
      </c>
      <c r="I39" s="708">
        <v>9</v>
      </c>
      <c r="J39" s="708">
        <v>15</v>
      </c>
    </row>
    <row r="40" spans="1:10" x14ac:dyDescent="0.3">
      <c r="A40" s="572" t="s">
        <v>92</v>
      </c>
      <c r="B40" s="573" t="s">
        <v>93</v>
      </c>
      <c r="C40" s="574" t="s">
        <v>256</v>
      </c>
      <c r="D40" s="708">
        <v>8</v>
      </c>
      <c r="E40" s="708">
        <v>8</v>
      </c>
      <c r="F40" s="708">
        <v>0</v>
      </c>
      <c r="G40" s="708">
        <v>0</v>
      </c>
      <c r="H40" s="708">
        <v>1</v>
      </c>
      <c r="I40" s="708">
        <v>5</v>
      </c>
      <c r="J40" s="708">
        <v>2</v>
      </c>
    </row>
    <row r="41" spans="1:10" x14ac:dyDescent="0.3">
      <c r="A41" s="572" t="s">
        <v>94</v>
      </c>
      <c r="B41" s="573" t="s">
        <v>95</v>
      </c>
      <c r="C41" s="574" t="s">
        <v>252</v>
      </c>
      <c r="D41" s="708">
        <v>40</v>
      </c>
      <c r="E41" s="708">
        <v>28</v>
      </c>
      <c r="F41" s="708">
        <v>10</v>
      </c>
      <c r="G41" s="708">
        <v>2</v>
      </c>
      <c r="H41" s="708">
        <v>13</v>
      </c>
      <c r="I41" s="708">
        <v>17</v>
      </c>
      <c r="J41" s="708">
        <v>12</v>
      </c>
    </row>
    <row r="42" spans="1:10" x14ac:dyDescent="0.3">
      <c r="A42" s="572" t="s">
        <v>96</v>
      </c>
      <c r="B42" s="573" t="s">
        <v>97</v>
      </c>
      <c r="C42" s="574" t="s">
        <v>254</v>
      </c>
      <c r="D42" s="708">
        <v>10</v>
      </c>
      <c r="E42" s="708">
        <v>6</v>
      </c>
      <c r="F42" s="708">
        <v>4</v>
      </c>
      <c r="G42" s="708">
        <v>0</v>
      </c>
      <c r="H42" s="708">
        <v>1</v>
      </c>
      <c r="I42" s="708">
        <v>1</v>
      </c>
      <c r="J42" s="708">
        <v>8</v>
      </c>
    </row>
    <row r="43" spans="1:10" x14ac:dyDescent="0.3">
      <c r="A43" s="572" t="s">
        <v>98</v>
      </c>
      <c r="B43" s="573" t="s">
        <v>99</v>
      </c>
      <c r="C43" s="574" t="s">
        <v>256</v>
      </c>
      <c r="D43" s="708">
        <v>30</v>
      </c>
      <c r="E43" s="708">
        <v>27</v>
      </c>
      <c r="F43" s="708">
        <v>2</v>
      </c>
      <c r="G43" s="708">
        <v>1</v>
      </c>
      <c r="H43" s="708">
        <v>5</v>
      </c>
      <c r="I43" s="708">
        <v>12</v>
      </c>
      <c r="J43" s="708">
        <v>13</v>
      </c>
    </row>
    <row r="44" spans="1:10" x14ac:dyDescent="0.3">
      <c r="A44" s="572" t="s">
        <v>100</v>
      </c>
      <c r="B44" s="573" t="s">
        <v>101</v>
      </c>
      <c r="C44" s="574" t="s">
        <v>255</v>
      </c>
      <c r="D44" s="708">
        <v>10</v>
      </c>
      <c r="E44" s="708">
        <v>6</v>
      </c>
      <c r="F44" s="708">
        <v>1</v>
      </c>
      <c r="G44" s="708">
        <v>3</v>
      </c>
      <c r="H44" s="708">
        <v>0</v>
      </c>
      <c r="I44" s="708">
        <v>0</v>
      </c>
      <c r="J44" s="708">
        <v>10</v>
      </c>
    </row>
    <row r="45" spans="1:10" x14ac:dyDescent="0.3">
      <c r="A45" s="572" t="s">
        <v>102</v>
      </c>
      <c r="B45" s="573" t="s">
        <v>270</v>
      </c>
      <c r="C45" s="574" t="s">
        <v>252</v>
      </c>
      <c r="D45" s="708">
        <v>25</v>
      </c>
      <c r="E45" s="708">
        <v>13</v>
      </c>
      <c r="F45" s="708">
        <v>12</v>
      </c>
      <c r="G45" s="708">
        <v>0</v>
      </c>
      <c r="H45" s="708">
        <v>1</v>
      </c>
      <c r="I45" s="708">
        <v>4</v>
      </c>
      <c r="J45" s="708">
        <v>20</v>
      </c>
    </row>
    <row r="46" spans="1:10" x14ac:dyDescent="0.3">
      <c r="A46" s="572" t="s">
        <v>104</v>
      </c>
      <c r="B46" s="573" t="s">
        <v>105</v>
      </c>
      <c r="C46" s="574" t="s">
        <v>253</v>
      </c>
      <c r="D46" s="708">
        <v>52</v>
      </c>
      <c r="E46" s="708">
        <v>22</v>
      </c>
      <c r="F46" s="708">
        <v>29</v>
      </c>
      <c r="G46" s="708">
        <v>1</v>
      </c>
      <c r="H46" s="708">
        <v>4</v>
      </c>
      <c r="I46" s="708">
        <v>23</v>
      </c>
      <c r="J46" s="708">
        <v>25</v>
      </c>
    </row>
    <row r="47" spans="1:10" x14ac:dyDescent="0.3">
      <c r="A47" s="572" t="s">
        <v>108</v>
      </c>
      <c r="B47" s="573" t="s">
        <v>109</v>
      </c>
      <c r="C47" s="574" t="s">
        <v>254</v>
      </c>
      <c r="D47" s="708">
        <v>31</v>
      </c>
      <c r="E47" s="708">
        <v>20</v>
      </c>
      <c r="F47" s="708">
        <v>11</v>
      </c>
      <c r="G47" s="708">
        <v>0</v>
      </c>
      <c r="H47" s="708">
        <v>4</v>
      </c>
      <c r="I47" s="708">
        <v>12</v>
      </c>
      <c r="J47" s="708">
        <v>15</v>
      </c>
    </row>
    <row r="48" spans="1:10" x14ac:dyDescent="0.3">
      <c r="A48" s="572" t="s">
        <v>110</v>
      </c>
      <c r="B48" s="573" t="s">
        <v>111</v>
      </c>
      <c r="C48" s="574" t="s">
        <v>254</v>
      </c>
      <c r="D48" s="708">
        <v>162</v>
      </c>
      <c r="E48" s="708">
        <v>92</v>
      </c>
      <c r="F48" s="708">
        <v>60</v>
      </c>
      <c r="G48" s="708">
        <v>10</v>
      </c>
      <c r="H48" s="708">
        <v>23</v>
      </c>
      <c r="I48" s="708">
        <v>60</v>
      </c>
      <c r="J48" s="708">
        <v>80</v>
      </c>
    </row>
    <row r="49" spans="1:10" x14ac:dyDescent="0.3">
      <c r="A49" s="572" t="s">
        <v>112</v>
      </c>
      <c r="B49" s="573" t="s">
        <v>288</v>
      </c>
      <c r="C49" s="574" t="s">
        <v>253</v>
      </c>
      <c r="D49" s="708">
        <v>66</v>
      </c>
      <c r="E49" s="708">
        <v>46</v>
      </c>
      <c r="F49" s="708">
        <v>19</v>
      </c>
      <c r="G49" s="708">
        <v>1</v>
      </c>
      <c r="H49" s="708">
        <v>3</v>
      </c>
      <c r="I49" s="708">
        <v>30</v>
      </c>
      <c r="J49" s="708">
        <v>33</v>
      </c>
    </row>
    <row r="50" spans="1:10" x14ac:dyDescent="0.3">
      <c r="A50" s="572" t="s">
        <v>114</v>
      </c>
      <c r="B50" s="573" t="s">
        <v>115</v>
      </c>
      <c r="C50" s="574" t="s">
        <v>253</v>
      </c>
      <c r="D50" s="708">
        <v>3</v>
      </c>
      <c r="E50" s="708">
        <v>3</v>
      </c>
      <c r="F50" s="708">
        <v>0</v>
      </c>
      <c r="G50" s="708">
        <v>0</v>
      </c>
      <c r="H50" s="708">
        <v>0</v>
      </c>
      <c r="I50" s="708">
        <v>1</v>
      </c>
      <c r="J50" s="708">
        <v>2</v>
      </c>
    </row>
    <row r="51" spans="1:10" x14ac:dyDescent="0.3">
      <c r="A51" s="572" t="s">
        <v>118</v>
      </c>
      <c r="B51" s="573" t="s">
        <v>258</v>
      </c>
      <c r="C51" s="574" t="s">
        <v>252</v>
      </c>
      <c r="D51" s="708">
        <v>14</v>
      </c>
      <c r="E51" s="708">
        <v>5</v>
      </c>
      <c r="F51" s="708">
        <v>9</v>
      </c>
      <c r="G51" s="708">
        <v>0</v>
      </c>
      <c r="H51" s="708">
        <v>2</v>
      </c>
      <c r="I51" s="708">
        <v>7</v>
      </c>
      <c r="J51" s="708">
        <v>5</v>
      </c>
    </row>
    <row r="52" spans="1:10" x14ac:dyDescent="0.3">
      <c r="A52" s="572" t="s">
        <v>120</v>
      </c>
      <c r="B52" s="573" t="s">
        <v>121</v>
      </c>
      <c r="C52" s="574" t="s">
        <v>252</v>
      </c>
      <c r="D52" s="708">
        <v>31</v>
      </c>
      <c r="E52" s="708">
        <v>15</v>
      </c>
      <c r="F52" s="708">
        <v>15</v>
      </c>
      <c r="G52" s="708">
        <v>1</v>
      </c>
      <c r="H52" s="708">
        <v>6</v>
      </c>
      <c r="I52" s="708">
        <v>15</v>
      </c>
      <c r="J52" s="708">
        <v>10</v>
      </c>
    </row>
    <row r="53" spans="1:10" x14ac:dyDescent="0.3">
      <c r="A53" s="572" t="s">
        <v>122</v>
      </c>
      <c r="B53" s="573" t="s">
        <v>275</v>
      </c>
      <c r="C53" s="574" t="s">
        <v>254</v>
      </c>
      <c r="D53" s="708">
        <v>5</v>
      </c>
      <c r="E53" s="708">
        <v>1</v>
      </c>
      <c r="F53" s="708">
        <v>4</v>
      </c>
      <c r="G53" s="708">
        <v>0</v>
      </c>
      <c r="H53" s="708">
        <v>1</v>
      </c>
      <c r="I53" s="708">
        <v>3</v>
      </c>
      <c r="J53" s="708">
        <v>1</v>
      </c>
    </row>
    <row r="54" spans="1:10" x14ac:dyDescent="0.3">
      <c r="A54" s="572" t="s">
        <v>124</v>
      </c>
      <c r="B54" s="573" t="s">
        <v>125</v>
      </c>
      <c r="C54" s="574" t="s">
        <v>255</v>
      </c>
      <c r="D54" s="708">
        <v>2</v>
      </c>
      <c r="E54" s="708">
        <v>1</v>
      </c>
      <c r="F54" s="708">
        <v>1</v>
      </c>
      <c r="G54" s="708">
        <v>0</v>
      </c>
      <c r="H54" s="708">
        <v>0</v>
      </c>
      <c r="I54" s="708">
        <v>0</v>
      </c>
      <c r="J54" s="708">
        <v>2</v>
      </c>
    </row>
    <row r="55" spans="1:10" x14ac:dyDescent="0.3">
      <c r="A55" s="572" t="s">
        <v>126</v>
      </c>
      <c r="B55" s="573" t="s">
        <v>127</v>
      </c>
      <c r="C55" s="574" t="s">
        <v>254</v>
      </c>
      <c r="D55" s="708">
        <v>14</v>
      </c>
      <c r="E55" s="708">
        <v>6</v>
      </c>
      <c r="F55" s="708">
        <v>8</v>
      </c>
      <c r="G55" s="708">
        <v>0</v>
      </c>
      <c r="H55" s="708">
        <v>3</v>
      </c>
      <c r="I55" s="708">
        <v>7</v>
      </c>
      <c r="J55" s="708">
        <v>4</v>
      </c>
    </row>
    <row r="56" spans="1:10" x14ac:dyDescent="0.3">
      <c r="A56" s="572" t="s">
        <v>128</v>
      </c>
      <c r="B56" s="573" t="s">
        <v>129</v>
      </c>
      <c r="C56" s="574" t="s">
        <v>254</v>
      </c>
      <c r="D56" s="708">
        <v>8</v>
      </c>
      <c r="E56" s="708">
        <v>5</v>
      </c>
      <c r="F56" s="708">
        <v>3</v>
      </c>
      <c r="G56" s="708">
        <v>0</v>
      </c>
      <c r="H56" s="708">
        <v>0</v>
      </c>
      <c r="I56" s="708">
        <v>5</v>
      </c>
      <c r="J56" s="708">
        <v>3</v>
      </c>
    </row>
    <row r="57" spans="1:10" x14ac:dyDescent="0.3">
      <c r="A57" s="572" t="s">
        <v>130</v>
      </c>
      <c r="B57" s="573" t="s">
        <v>131</v>
      </c>
      <c r="C57" s="574" t="s">
        <v>256</v>
      </c>
      <c r="D57" s="708">
        <v>112</v>
      </c>
      <c r="E57" s="708">
        <v>110</v>
      </c>
      <c r="F57" s="708">
        <v>0</v>
      </c>
      <c r="G57" s="708">
        <v>2</v>
      </c>
      <c r="H57" s="708">
        <v>17</v>
      </c>
      <c r="I57" s="708">
        <v>65</v>
      </c>
      <c r="J57" s="708">
        <v>31</v>
      </c>
    </row>
    <row r="58" spans="1:10" x14ac:dyDescent="0.3">
      <c r="A58" s="572" t="s">
        <v>132</v>
      </c>
      <c r="B58" s="573" t="s">
        <v>133</v>
      </c>
      <c r="C58" s="574" t="s">
        <v>255</v>
      </c>
      <c r="D58" s="708">
        <v>23</v>
      </c>
      <c r="E58" s="708">
        <v>18</v>
      </c>
      <c r="F58" s="708">
        <v>4</v>
      </c>
      <c r="G58" s="708">
        <v>1</v>
      </c>
      <c r="H58" s="708">
        <v>2</v>
      </c>
      <c r="I58" s="708">
        <v>6</v>
      </c>
      <c r="J58" s="708">
        <v>16</v>
      </c>
    </row>
    <row r="59" spans="1:10" x14ac:dyDescent="0.3">
      <c r="A59" s="572" t="s">
        <v>134</v>
      </c>
      <c r="B59" s="573" t="s">
        <v>135</v>
      </c>
      <c r="C59" s="574" t="s">
        <v>255</v>
      </c>
      <c r="D59" s="708">
        <v>13</v>
      </c>
      <c r="E59" s="708">
        <v>7</v>
      </c>
      <c r="F59" s="708">
        <v>6</v>
      </c>
      <c r="G59" s="708">
        <v>0</v>
      </c>
      <c r="H59" s="708">
        <v>2</v>
      </c>
      <c r="I59" s="708">
        <v>5</v>
      </c>
      <c r="J59" s="708">
        <v>6</v>
      </c>
    </row>
    <row r="60" spans="1:10" x14ac:dyDescent="0.3">
      <c r="A60" s="572" t="s">
        <v>136</v>
      </c>
      <c r="B60" s="573" t="s">
        <v>137</v>
      </c>
      <c r="C60" s="574" t="s">
        <v>254</v>
      </c>
      <c r="D60" s="708">
        <v>15</v>
      </c>
      <c r="E60" s="708">
        <v>7</v>
      </c>
      <c r="F60" s="708">
        <v>8</v>
      </c>
      <c r="G60" s="708">
        <v>0</v>
      </c>
      <c r="H60" s="708">
        <v>3</v>
      </c>
      <c r="I60" s="708">
        <v>5</v>
      </c>
      <c r="J60" s="708">
        <v>7</v>
      </c>
    </row>
    <row r="61" spans="1:10" x14ac:dyDescent="0.3">
      <c r="A61" s="572" t="s">
        <v>140</v>
      </c>
      <c r="B61" s="573" t="s">
        <v>141</v>
      </c>
      <c r="C61" s="574" t="s">
        <v>255</v>
      </c>
      <c r="D61" s="708">
        <v>11</v>
      </c>
      <c r="E61" s="708">
        <v>9</v>
      </c>
      <c r="F61" s="708">
        <v>1</v>
      </c>
      <c r="G61" s="708">
        <v>1</v>
      </c>
      <c r="H61" s="708">
        <v>0</v>
      </c>
      <c r="I61" s="708">
        <v>2</v>
      </c>
      <c r="J61" s="708">
        <v>9</v>
      </c>
    </row>
    <row r="62" spans="1:10" x14ac:dyDescent="0.3">
      <c r="A62" s="572" t="s">
        <v>146</v>
      </c>
      <c r="B62" s="573" t="s">
        <v>147</v>
      </c>
      <c r="C62" s="574" t="s">
        <v>252</v>
      </c>
      <c r="D62" s="708">
        <v>4</v>
      </c>
      <c r="E62" s="708">
        <v>4</v>
      </c>
      <c r="F62" s="708">
        <v>0</v>
      </c>
      <c r="G62" s="708">
        <v>0</v>
      </c>
      <c r="H62" s="708">
        <v>0</v>
      </c>
      <c r="I62" s="708">
        <v>3</v>
      </c>
      <c r="J62" s="708">
        <v>1</v>
      </c>
    </row>
    <row r="63" spans="1:10" x14ac:dyDescent="0.3">
      <c r="A63" s="572" t="s">
        <v>148</v>
      </c>
      <c r="B63" s="573" t="s">
        <v>149</v>
      </c>
      <c r="C63" s="574" t="s">
        <v>253</v>
      </c>
      <c r="D63" s="708">
        <v>60</v>
      </c>
      <c r="E63" s="708">
        <v>26</v>
      </c>
      <c r="F63" s="708">
        <v>32</v>
      </c>
      <c r="G63" s="708">
        <v>2</v>
      </c>
      <c r="H63" s="708">
        <v>2</v>
      </c>
      <c r="I63" s="708">
        <v>25</v>
      </c>
      <c r="J63" s="708">
        <v>34</v>
      </c>
    </row>
    <row r="64" spans="1:10" x14ac:dyDescent="0.3">
      <c r="A64" s="572" t="s">
        <v>150</v>
      </c>
      <c r="B64" s="573" t="s">
        <v>151</v>
      </c>
      <c r="C64" s="574" t="s">
        <v>254</v>
      </c>
      <c r="D64" s="708">
        <v>9</v>
      </c>
      <c r="E64" s="708">
        <v>3</v>
      </c>
      <c r="F64" s="708">
        <v>5</v>
      </c>
      <c r="G64" s="708">
        <v>1</v>
      </c>
      <c r="H64" s="708">
        <v>0</v>
      </c>
      <c r="I64" s="708">
        <v>7</v>
      </c>
      <c r="J64" s="708">
        <v>2</v>
      </c>
    </row>
    <row r="65" spans="1:10" x14ac:dyDescent="0.3">
      <c r="A65" s="572" t="s">
        <v>152</v>
      </c>
      <c r="B65" s="573" t="s">
        <v>153</v>
      </c>
      <c r="C65" s="574" t="s">
        <v>256</v>
      </c>
      <c r="D65" s="708">
        <v>55</v>
      </c>
      <c r="E65" s="708">
        <v>51</v>
      </c>
      <c r="F65" s="708">
        <v>2</v>
      </c>
      <c r="G65" s="708">
        <v>2</v>
      </c>
      <c r="H65" s="708">
        <v>5</v>
      </c>
      <c r="I65" s="708">
        <v>18</v>
      </c>
      <c r="J65" s="708">
        <v>33</v>
      </c>
    </row>
    <row r="66" spans="1:10" x14ac:dyDescent="0.3">
      <c r="A66" s="572" t="s">
        <v>154</v>
      </c>
      <c r="B66" s="573" t="s">
        <v>155</v>
      </c>
      <c r="C66" s="574" t="s">
        <v>253</v>
      </c>
      <c r="D66" s="708">
        <v>24</v>
      </c>
      <c r="E66" s="708">
        <v>12</v>
      </c>
      <c r="F66" s="708">
        <v>11</v>
      </c>
      <c r="G66" s="708">
        <v>1</v>
      </c>
      <c r="H66" s="708">
        <v>3</v>
      </c>
      <c r="I66" s="708">
        <v>7</v>
      </c>
      <c r="J66" s="708">
        <v>14</v>
      </c>
    </row>
    <row r="67" spans="1:10" x14ac:dyDescent="0.3">
      <c r="A67" s="572" t="s">
        <v>156</v>
      </c>
      <c r="B67" s="573" t="s">
        <v>157</v>
      </c>
      <c r="C67" s="574" t="s">
        <v>254</v>
      </c>
      <c r="D67" s="708">
        <v>9</v>
      </c>
      <c r="E67" s="708">
        <v>7</v>
      </c>
      <c r="F67" s="708">
        <v>2</v>
      </c>
      <c r="G67" s="708">
        <v>0</v>
      </c>
      <c r="H67" s="708">
        <v>2</v>
      </c>
      <c r="I67" s="708">
        <v>7</v>
      </c>
      <c r="J67" s="708">
        <v>0</v>
      </c>
    </row>
    <row r="68" spans="1:10" x14ac:dyDescent="0.3">
      <c r="A68" s="572" t="s">
        <v>162</v>
      </c>
      <c r="B68" s="573" t="s">
        <v>163</v>
      </c>
      <c r="C68" s="574" t="s">
        <v>252</v>
      </c>
      <c r="D68" s="708">
        <v>21</v>
      </c>
      <c r="E68" s="708">
        <v>9</v>
      </c>
      <c r="F68" s="708">
        <v>12</v>
      </c>
      <c r="G68" s="708">
        <v>0</v>
      </c>
      <c r="H68" s="708">
        <v>1</v>
      </c>
      <c r="I68" s="708">
        <v>11</v>
      </c>
      <c r="J68" s="708">
        <v>9</v>
      </c>
    </row>
    <row r="69" spans="1:10" x14ac:dyDescent="0.3">
      <c r="A69" s="572" t="s">
        <v>164</v>
      </c>
      <c r="B69" s="573" t="s">
        <v>165</v>
      </c>
      <c r="C69" s="574" t="s">
        <v>254</v>
      </c>
      <c r="D69" s="708">
        <v>12</v>
      </c>
      <c r="E69" s="708">
        <v>10</v>
      </c>
      <c r="F69" s="708">
        <v>2</v>
      </c>
      <c r="G69" s="708">
        <v>0</v>
      </c>
      <c r="H69" s="708">
        <v>3</v>
      </c>
      <c r="I69" s="708">
        <v>6</v>
      </c>
      <c r="J69" s="708">
        <v>3</v>
      </c>
    </row>
    <row r="70" spans="1:10" x14ac:dyDescent="0.3">
      <c r="A70" s="572" t="s">
        <v>168</v>
      </c>
      <c r="B70" s="573" t="s">
        <v>169</v>
      </c>
      <c r="C70" s="574" t="s">
        <v>254</v>
      </c>
      <c r="D70" s="708">
        <v>15</v>
      </c>
      <c r="E70" s="708">
        <v>4</v>
      </c>
      <c r="F70" s="708">
        <v>11</v>
      </c>
      <c r="G70" s="708">
        <v>0</v>
      </c>
      <c r="H70" s="708">
        <v>0</v>
      </c>
      <c r="I70" s="708">
        <v>7</v>
      </c>
      <c r="J70" s="708">
        <v>8</v>
      </c>
    </row>
    <row r="71" spans="1:10" x14ac:dyDescent="0.3">
      <c r="A71" s="572" t="s">
        <v>170</v>
      </c>
      <c r="B71" s="573" t="s">
        <v>171</v>
      </c>
      <c r="C71" s="574" t="s">
        <v>255</v>
      </c>
      <c r="D71" s="708">
        <v>16</v>
      </c>
      <c r="E71" s="708">
        <v>7</v>
      </c>
      <c r="F71" s="708">
        <v>8</v>
      </c>
      <c r="G71" s="708">
        <v>1</v>
      </c>
      <c r="H71" s="708">
        <v>1</v>
      </c>
      <c r="I71" s="708">
        <v>8</v>
      </c>
      <c r="J71" s="708">
        <v>8</v>
      </c>
    </row>
    <row r="72" spans="1:10" x14ac:dyDescent="0.3">
      <c r="A72" s="572" t="s">
        <v>172</v>
      </c>
      <c r="B72" s="573" t="s">
        <v>173</v>
      </c>
      <c r="C72" s="574" t="s">
        <v>255</v>
      </c>
      <c r="D72" s="708">
        <v>23</v>
      </c>
      <c r="E72" s="708">
        <v>23</v>
      </c>
      <c r="F72" s="708">
        <v>0</v>
      </c>
      <c r="G72" s="708">
        <v>0</v>
      </c>
      <c r="H72" s="708">
        <v>0</v>
      </c>
      <c r="I72" s="708">
        <v>7</v>
      </c>
      <c r="J72" s="708">
        <v>16</v>
      </c>
    </row>
    <row r="73" spans="1:10" x14ac:dyDescent="0.3">
      <c r="A73" s="572" t="s">
        <v>174</v>
      </c>
      <c r="B73" s="573" t="s">
        <v>175</v>
      </c>
      <c r="C73" s="574" t="s">
        <v>256</v>
      </c>
      <c r="D73" s="708">
        <v>25</v>
      </c>
      <c r="E73" s="708">
        <v>21</v>
      </c>
      <c r="F73" s="708">
        <v>0</v>
      </c>
      <c r="G73" s="708">
        <v>4</v>
      </c>
      <c r="H73" s="708">
        <v>1</v>
      </c>
      <c r="I73" s="708">
        <v>7</v>
      </c>
      <c r="J73" s="708">
        <v>17</v>
      </c>
    </row>
    <row r="74" spans="1:10" x14ac:dyDescent="0.3">
      <c r="A74" s="572" t="s">
        <v>178</v>
      </c>
      <c r="B74" s="573" t="s">
        <v>179</v>
      </c>
      <c r="C74" s="574" t="s">
        <v>253</v>
      </c>
      <c r="D74" s="708">
        <v>43</v>
      </c>
      <c r="E74" s="708">
        <v>27</v>
      </c>
      <c r="F74" s="708">
        <v>14</v>
      </c>
      <c r="G74" s="708">
        <v>2</v>
      </c>
      <c r="H74" s="708">
        <v>1</v>
      </c>
      <c r="I74" s="708">
        <v>12</v>
      </c>
      <c r="J74" s="708">
        <v>30</v>
      </c>
    </row>
    <row r="75" spans="1:10" x14ac:dyDescent="0.3">
      <c r="A75" s="572" t="s">
        <v>182</v>
      </c>
      <c r="B75" s="573" t="s">
        <v>183</v>
      </c>
      <c r="C75" s="574" t="s">
        <v>254</v>
      </c>
      <c r="D75" s="708">
        <v>11</v>
      </c>
      <c r="E75" s="708">
        <v>6</v>
      </c>
      <c r="F75" s="708">
        <v>5</v>
      </c>
      <c r="G75" s="708">
        <v>0</v>
      </c>
      <c r="H75" s="708">
        <v>1</v>
      </c>
      <c r="I75" s="708">
        <v>7</v>
      </c>
      <c r="J75" s="708">
        <v>3</v>
      </c>
    </row>
    <row r="76" spans="1:10" x14ac:dyDescent="0.3">
      <c r="A76" s="572" t="s">
        <v>184</v>
      </c>
      <c r="B76" s="573" t="s">
        <v>185</v>
      </c>
      <c r="C76" s="574" t="s">
        <v>254</v>
      </c>
      <c r="D76" s="708">
        <v>28</v>
      </c>
      <c r="E76" s="708">
        <v>12</v>
      </c>
      <c r="F76" s="708">
        <v>16</v>
      </c>
      <c r="G76" s="708">
        <v>0</v>
      </c>
      <c r="H76" s="708">
        <v>4</v>
      </c>
      <c r="I76" s="708">
        <v>12</v>
      </c>
      <c r="J76" s="708">
        <v>12</v>
      </c>
    </row>
    <row r="77" spans="1:10" x14ac:dyDescent="0.3">
      <c r="A77" s="572" t="s">
        <v>186</v>
      </c>
      <c r="B77" s="573" t="s">
        <v>187</v>
      </c>
      <c r="C77" s="574" t="s">
        <v>252</v>
      </c>
      <c r="D77" s="708">
        <v>6</v>
      </c>
      <c r="E77" s="708">
        <v>4</v>
      </c>
      <c r="F77" s="708">
        <v>2</v>
      </c>
      <c r="G77" s="708">
        <v>0</v>
      </c>
      <c r="H77" s="708">
        <v>4</v>
      </c>
      <c r="I77" s="708">
        <v>2</v>
      </c>
      <c r="J77" s="708">
        <v>0</v>
      </c>
    </row>
    <row r="78" spans="1:10" x14ac:dyDescent="0.3">
      <c r="A78" s="572" t="s">
        <v>188</v>
      </c>
      <c r="B78" s="573" t="s">
        <v>189</v>
      </c>
      <c r="C78" s="574" t="s">
        <v>255</v>
      </c>
      <c r="D78" s="708">
        <v>80</v>
      </c>
      <c r="E78" s="708">
        <v>48</v>
      </c>
      <c r="F78" s="708">
        <v>22</v>
      </c>
      <c r="G78" s="708">
        <v>10</v>
      </c>
      <c r="H78" s="708">
        <v>9</v>
      </c>
      <c r="I78" s="708">
        <v>23</v>
      </c>
      <c r="J78" s="708">
        <v>48</v>
      </c>
    </row>
    <row r="79" spans="1:10" x14ac:dyDescent="0.3">
      <c r="A79" s="572" t="s">
        <v>190</v>
      </c>
      <c r="B79" s="573" t="s">
        <v>191</v>
      </c>
      <c r="C79" s="574" t="s">
        <v>256</v>
      </c>
      <c r="D79" s="708">
        <v>49</v>
      </c>
      <c r="E79" s="708">
        <v>44</v>
      </c>
      <c r="F79" s="708">
        <v>4</v>
      </c>
      <c r="G79" s="708">
        <v>1</v>
      </c>
      <c r="H79" s="708">
        <v>6</v>
      </c>
      <c r="I79" s="708">
        <v>19</v>
      </c>
      <c r="J79" s="708">
        <v>25</v>
      </c>
    </row>
    <row r="80" spans="1:10" x14ac:dyDescent="0.3">
      <c r="A80" s="572" t="s">
        <v>194</v>
      </c>
      <c r="B80" s="573" t="s">
        <v>195</v>
      </c>
      <c r="C80" s="574" t="s">
        <v>255</v>
      </c>
      <c r="D80" s="708">
        <v>2</v>
      </c>
      <c r="E80" s="708">
        <v>2</v>
      </c>
      <c r="F80" s="708">
        <v>0</v>
      </c>
      <c r="G80" s="708">
        <v>0</v>
      </c>
      <c r="H80" s="708">
        <v>0</v>
      </c>
      <c r="I80" s="708">
        <v>0</v>
      </c>
      <c r="J80" s="708">
        <v>2</v>
      </c>
    </row>
    <row r="81" spans="1:10" x14ac:dyDescent="0.3">
      <c r="A81" s="572" t="s">
        <v>198</v>
      </c>
      <c r="B81" s="573" t="s">
        <v>260</v>
      </c>
      <c r="C81" s="574" t="s">
        <v>254</v>
      </c>
      <c r="D81" s="708">
        <v>5</v>
      </c>
      <c r="E81" s="708">
        <v>4</v>
      </c>
      <c r="F81" s="708">
        <v>1</v>
      </c>
      <c r="G81" s="708">
        <v>0</v>
      </c>
      <c r="H81" s="708">
        <v>2</v>
      </c>
      <c r="I81" s="708">
        <v>1</v>
      </c>
      <c r="J81" s="708">
        <v>2</v>
      </c>
    </row>
    <row r="82" spans="1:10" x14ac:dyDescent="0.3">
      <c r="A82" s="572" t="s">
        <v>202</v>
      </c>
      <c r="B82" s="573" t="s">
        <v>289</v>
      </c>
      <c r="C82" s="574" t="s">
        <v>253</v>
      </c>
      <c r="D82" s="708">
        <v>103</v>
      </c>
      <c r="E82" s="708">
        <v>95</v>
      </c>
      <c r="F82" s="708">
        <v>4</v>
      </c>
      <c r="G82" s="708">
        <v>4</v>
      </c>
      <c r="H82" s="708">
        <v>5</v>
      </c>
      <c r="I82" s="708">
        <v>36</v>
      </c>
      <c r="J82" s="708">
        <v>63</v>
      </c>
    </row>
    <row r="83" spans="1:10" x14ac:dyDescent="0.3">
      <c r="A83" s="572" t="s">
        <v>204</v>
      </c>
      <c r="B83" s="573" t="s">
        <v>281</v>
      </c>
      <c r="C83" s="574" t="s">
        <v>253</v>
      </c>
      <c r="D83" s="708">
        <v>23</v>
      </c>
      <c r="E83" s="708">
        <v>20</v>
      </c>
      <c r="F83" s="708">
        <v>2</v>
      </c>
      <c r="G83" s="708">
        <v>1</v>
      </c>
      <c r="H83" s="708">
        <v>1</v>
      </c>
      <c r="I83" s="708">
        <v>8</v>
      </c>
      <c r="J83" s="708">
        <v>14</v>
      </c>
    </row>
    <row r="84" spans="1:10" x14ac:dyDescent="0.3">
      <c r="A84" s="572" t="s">
        <v>206</v>
      </c>
      <c r="B84" s="573" t="s">
        <v>282</v>
      </c>
      <c r="C84" s="574" t="s">
        <v>255</v>
      </c>
      <c r="D84" s="708">
        <v>83</v>
      </c>
      <c r="E84" s="708">
        <v>74</v>
      </c>
      <c r="F84" s="708">
        <v>0</v>
      </c>
      <c r="G84" s="708">
        <v>9</v>
      </c>
      <c r="H84" s="708">
        <v>2</v>
      </c>
      <c r="I84" s="708">
        <v>23</v>
      </c>
      <c r="J84" s="708">
        <v>58</v>
      </c>
    </row>
    <row r="85" spans="1:10" x14ac:dyDescent="0.3">
      <c r="A85" s="572" t="s">
        <v>208</v>
      </c>
      <c r="B85" s="573" t="s">
        <v>209</v>
      </c>
      <c r="C85" s="574" t="s">
        <v>256</v>
      </c>
      <c r="D85" s="708">
        <v>88</v>
      </c>
      <c r="E85" s="708">
        <v>82</v>
      </c>
      <c r="F85" s="708">
        <v>2</v>
      </c>
      <c r="G85" s="708">
        <v>4</v>
      </c>
      <c r="H85" s="708">
        <v>9</v>
      </c>
      <c r="I85" s="708">
        <v>32</v>
      </c>
      <c r="J85" s="708">
        <v>47</v>
      </c>
    </row>
    <row r="86" spans="1:10" x14ac:dyDescent="0.3">
      <c r="A86" s="572" t="s">
        <v>210</v>
      </c>
      <c r="B86" s="573" t="s">
        <v>211</v>
      </c>
      <c r="C86" s="574" t="s">
        <v>256</v>
      </c>
      <c r="D86" s="708">
        <v>55</v>
      </c>
      <c r="E86" s="708">
        <v>49</v>
      </c>
      <c r="F86" s="708">
        <v>0</v>
      </c>
      <c r="G86" s="708">
        <v>6</v>
      </c>
      <c r="H86" s="708">
        <v>3</v>
      </c>
      <c r="I86" s="708">
        <v>19</v>
      </c>
      <c r="J86" s="708">
        <v>34</v>
      </c>
    </row>
    <row r="87" spans="1:10" x14ac:dyDescent="0.3">
      <c r="A87" s="572" t="s">
        <v>212</v>
      </c>
      <c r="B87" s="573" t="s">
        <v>213</v>
      </c>
      <c r="C87" s="574" t="s">
        <v>255</v>
      </c>
      <c r="D87" s="708">
        <v>62</v>
      </c>
      <c r="E87" s="708">
        <v>59</v>
      </c>
      <c r="F87" s="708">
        <v>3</v>
      </c>
      <c r="G87" s="708">
        <v>0</v>
      </c>
      <c r="H87" s="708">
        <v>10</v>
      </c>
      <c r="I87" s="708">
        <v>24</v>
      </c>
      <c r="J87" s="708">
        <v>30</v>
      </c>
    </row>
    <row r="88" spans="1:10" x14ac:dyDescent="0.3">
      <c r="A88" s="572" t="s">
        <v>214</v>
      </c>
      <c r="B88" s="573" t="s">
        <v>215</v>
      </c>
      <c r="C88" s="574" t="s">
        <v>256</v>
      </c>
      <c r="D88" s="708">
        <v>74</v>
      </c>
      <c r="E88" s="708">
        <v>71</v>
      </c>
      <c r="F88" s="708">
        <v>1</v>
      </c>
      <c r="G88" s="708">
        <v>2</v>
      </c>
      <c r="H88" s="708">
        <v>15</v>
      </c>
      <c r="I88" s="708">
        <v>33</v>
      </c>
      <c r="J88" s="708">
        <v>27</v>
      </c>
    </row>
    <row r="89" spans="1:10" x14ac:dyDescent="0.3">
      <c r="A89" s="572" t="s">
        <v>216</v>
      </c>
      <c r="B89" s="573" t="s">
        <v>217</v>
      </c>
      <c r="C89" s="574" t="s">
        <v>252</v>
      </c>
      <c r="D89" s="708">
        <v>11</v>
      </c>
      <c r="E89" s="708">
        <v>4</v>
      </c>
      <c r="F89" s="708">
        <v>7</v>
      </c>
      <c r="G89" s="708">
        <v>0</v>
      </c>
      <c r="H89" s="708">
        <v>1</v>
      </c>
      <c r="I89" s="708">
        <v>2</v>
      </c>
      <c r="J89" s="708">
        <v>8</v>
      </c>
    </row>
    <row r="90" spans="1:10" x14ac:dyDescent="0.3">
      <c r="A90" s="572" t="s">
        <v>218</v>
      </c>
      <c r="B90" s="573" t="s">
        <v>219</v>
      </c>
      <c r="C90" s="574" t="s">
        <v>255</v>
      </c>
      <c r="D90" s="708">
        <v>43</v>
      </c>
      <c r="E90" s="708">
        <v>29</v>
      </c>
      <c r="F90" s="708">
        <v>12</v>
      </c>
      <c r="G90" s="708">
        <v>2</v>
      </c>
      <c r="H90" s="708">
        <v>4</v>
      </c>
      <c r="I90" s="708">
        <v>13</v>
      </c>
      <c r="J90" s="708">
        <v>26</v>
      </c>
    </row>
    <row r="91" spans="1:10" x14ac:dyDescent="0.3">
      <c r="A91" s="572" t="s">
        <v>220</v>
      </c>
      <c r="B91" s="573" t="s">
        <v>221</v>
      </c>
      <c r="C91" s="574" t="s">
        <v>255</v>
      </c>
      <c r="D91" s="708">
        <v>13</v>
      </c>
      <c r="E91" s="708">
        <v>10</v>
      </c>
      <c r="F91" s="708">
        <v>3</v>
      </c>
      <c r="G91" s="708">
        <v>0</v>
      </c>
      <c r="H91" s="708">
        <v>1</v>
      </c>
      <c r="I91" s="708">
        <v>7</v>
      </c>
      <c r="J91" s="708">
        <v>5</v>
      </c>
    </row>
    <row r="92" spans="1:10" x14ac:dyDescent="0.3">
      <c r="A92" s="572" t="s">
        <v>224</v>
      </c>
      <c r="B92" s="573" t="s">
        <v>225</v>
      </c>
      <c r="C92" s="574" t="s">
        <v>252</v>
      </c>
      <c r="D92" s="708">
        <v>10</v>
      </c>
      <c r="E92" s="708">
        <v>2</v>
      </c>
      <c r="F92" s="708">
        <v>8</v>
      </c>
      <c r="G92" s="708">
        <v>0</v>
      </c>
      <c r="H92" s="708">
        <v>2</v>
      </c>
      <c r="I92" s="708">
        <v>4</v>
      </c>
      <c r="J92" s="708">
        <v>4</v>
      </c>
    </row>
    <row r="93" spans="1:10" x14ac:dyDescent="0.3">
      <c r="A93" s="572" t="s">
        <v>226</v>
      </c>
      <c r="B93" s="573" t="s">
        <v>227</v>
      </c>
      <c r="C93" s="574" t="s">
        <v>252</v>
      </c>
      <c r="D93" s="708">
        <v>13</v>
      </c>
      <c r="E93" s="708">
        <v>5</v>
      </c>
      <c r="F93" s="708">
        <v>8</v>
      </c>
      <c r="G93" s="708">
        <v>0</v>
      </c>
      <c r="H93" s="708">
        <v>1</v>
      </c>
      <c r="I93" s="708">
        <v>5</v>
      </c>
      <c r="J93" s="708">
        <v>7</v>
      </c>
    </row>
    <row r="94" spans="1:10" x14ac:dyDescent="0.3">
      <c r="A94" s="572" t="s">
        <v>228</v>
      </c>
      <c r="B94" s="573" t="s">
        <v>229</v>
      </c>
      <c r="C94" s="574" t="s">
        <v>256</v>
      </c>
      <c r="D94" s="708">
        <v>80</v>
      </c>
      <c r="E94" s="708">
        <v>73</v>
      </c>
      <c r="F94" s="708">
        <v>6</v>
      </c>
      <c r="G94" s="708">
        <v>1</v>
      </c>
      <c r="H94" s="708">
        <v>8</v>
      </c>
      <c r="I94" s="708">
        <v>41</v>
      </c>
      <c r="J94" s="708">
        <v>31</v>
      </c>
    </row>
    <row r="95" spans="1:10" x14ac:dyDescent="0.3">
      <c r="A95" s="572" t="s">
        <v>232</v>
      </c>
      <c r="B95" s="573" t="s">
        <v>233</v>
      </c>
      <c r="C95" s="574" t="s">
        <v>255</v>
      </c>
      <c r="D95" s="708">
        <v>15</v>
      </c>
      <c r="E95" s="708">
        <v>14</v>
      </c>
      <c r="F95" s="708">
        <v>1</v>
      </c>
      <c r="G95" s="708">
        <v>0</v>
      </c>
      <c r="H95" s="708">
        <v>1</v>
      </c>
      <c r="I95" s="708">
        <v>7</v>
      </c>
      <c r="J95" s="708">
        <v>7</v>
      </c>
    </row>
    <row r="96" spans="1:10" x14ac:dyDescent="0.3">
      <c r="A96" s="572" t="s">
        <v>234</v>
      </c>
      <c r="B96" s="573" t="s">
        <v>235</v>
      </c>
      <c r="C96" s="574" t="s">
        <v>256</v>
      </c>
      <c r="D96" s="708">
        <v>233</v>
      </c>
      <c r="E96" s="708">
        <v>215</v>
      </c>
      <c r="F96" s="708">
        <v>5</v>
      </c>
      <c r="G96" s="708">
        <v>13</v>
      </c>
      <c r="H96" s="708">
        <v>45</v>
      </c>
      <c r="I96" s="708">
        <v>108</v>
      </c>
      <c r="J96" s="708">
        <v>85</v>
      </c>
    </row>
    <row r="97" spans="1:10" x14ac:dyDescent="0.3">
      <c r="A97" s="572" t="s">
        <v>236</v>
      </c>
      <c r="B97" s="573" t="s">
        <v>237</v>
      </c>
      <c r="C97" s="574" t="s">
        <v>254</v>
      </c>
      <c r="D97" s="708">
        <v>11</v>
      </c>
      <c r="E97" s="708">
        <v>4</v>
      </c>
      <c r="F97" s="708">
        <v>7</v>
      </c>
      <c r="G97" s="708">
        <v>0</v>
      </c>
      <c r="H97" s="708">
        <v>0</v>
      </c>
      <c r="I97" s="708">
        <v>6</v>
      </c>
      <c r="J97" s="708">
        <v>5</v>
      </c>
    </row>
    <row r="98" spans="1:10" x14ac:dyDescent="0.3">
      <c r="A98" s="572" t="s">
        <v>242</v>
      </c>
      <c r="B98" s="573" t="s">
        <v>243</v>
      </c>
      <c r="C98" s="574" t="s">
        <v>256</v>
      </c>
      <c r="D98" s="708">
        <v>53</v>
      </c>
      <c r="E98" s="708">
        <v>52</v>
      </c>
      <c r="F98" s="708">
        <v>1</v>
      </c>
      <c r="G98" s="708">
        <v>0</v>
      </c>
      <c r="H98" s="708">
        <v>7</v>
      </c>
      <c r="I98" s="708">
        <v>30</v>
      </c>
      <c r="J98" s="708">
        <v>17</v>
      </c>
    </row>
    <row r="99" spans="1:10" x14ac:dyDescent="0.3">
      <c r="A99" s="572" t="s">
        <v>244</v>
      </c>
      <c r="B99" s="573" t="s">
        <v>245</v>
      </c>
      <c r="C99" s="574" t="s">
        <v>256</v>
      </c>
      <c r="D99" s="708">
        <v>46</v>
      </c>
      <c r="E99" s="708">
        <v>44</v>
      </c>
      <c r="F99" s="708">
        <v>2</v>
      </c>
      <c r="G99" s="708">
        <v>0</v>
      </c>
      <c r="H99" s="708">
        <v>2</v>
      </c>
      <c r="I99" s="708">
        <v>9</v>
      </c>
      <c r="J99" s="708">
        <v>35</v>
      </c>
    </row>
    <row r="100" spans="1:10" x14ac:dyDescent="0.3">
      <c r="A100" s="572" t="s">
        <v>246</v>
      </c>
      <c r="B100" s="573" t="s">
        <v>247</v>
      </c>
      <c r="C100" s="574" t="s">
        <v>252</v>
      </c>
      <c r="D100" s="708">
        <v>30</v>
      </c>
      <c r="E100" s="708">
        <v>18</v>
      </c>
      <c r="F100" s="708">
        <v>11</v>
      </c>
      <c r="G100" s="708">
        <v>1</v>
      </c>
      <c r="H100" s="708">
        <v>12</v>
      </c>
      <c r="I100" s="708">
        <v>12</v>
      </c>
      <c r="J100" s="708">
        <v>7</v>
      </c>
    </row>
    <row r="101" spans="1:10" x14ac:dyDescent="0.3">
      <c r="A101" s="572" t="s">
        <v>14</v>
      </c>
      <c r="B101" s="573" t="s">
        <v>15</v>
      </c>
      <c r="C101" s="574" t="s">
        <v>255</v>
      </c>
      <c r="D101" s="708">
        <v>41</v>
      </c>
      <c r="E101" s="708">
        <v>19</v>
      </c>
      <c r="F101" s="708">
        <v>20</v>
      </c>
      <c r="G101" s="708">
        <v>2</v>
      </c>
      <c r="H101" s="708">
        <v>1</v>
      </c>
      <c r="I101" s="708">
        <v>10</v>
      </c>
      <c r="J101" s="708">
        <v>30</v>
      </c>
    </row>
    <row r="102" spans="1:10" x14ac:dyDescent="0.3">
      <c r="A102" s="572" t="s">
        <v>34</v>
      </c>
      <c r="B102" s="573" t="s">
        <v>35</v>
      </c>
      <c r="C102" s="574" t="s">
        <v>256</v>
      </c>
      <c r="D102" s="708">
        <v>72</v>
      </c>
      <c r="E102" s="708">
        <v>67</v>
      </c>
      <c r="F102" s="708">
        <v>3</v>
      </c>
      <c r="G102" s="708">
        <v>2</v>
      </c>
      <c r="H102" s="708">
        <v>6</v>
      </c>
      <c r="I102" s="708">
        <v>26</v>
      </c>
      <c r="J102" s="708">
        <v>40</v>
      </c>
    </row>
    <row r="103" spans="1:10" x14ac:dyDescent="0.3">
      <c r="A103" s="572" t="s">
        <v>52</v>
      </c>
      <c r="B103" s="573" t="s">
        <v>53</v>
      </c>
      <c r="C103" s="574" t="s">
        <v>253</v>
      </c>
      <c r="D103" s="708">
        <v>74</v>
      </c>
      <c r="E103" s="708">
        <v>39</v>
      </c>
      <c r="F103" s="708">
        <v>31</v>
      </c>
      <c r="G103" s="708">
        <v>4</v>
      </c>
      <c r="H103" s="708">
        <v>7</v>
      </c>
      <c r="I103" s="708">
        <v>29</v>
      </c>
      <c r="J103" s="708">
        <v>38</v>
      </c>
    </row>
    <row r="104" spans="1:10" x14ac:dyDescent="0.3">
      <c r="A104" s="572" t="s">
        <v>54</v>
      </c>
      <c r="B104" s="573" t="s">
        <v>55</v>
      </c>
      <c r="C104" s="574" t="s">
        <v>252</v>
      </c>
      <c r="D104" s="708">
        <v>161</v>
      </c>
      <c r="E104" s="708">
        <v>79</v>
      </c>
      <c r="F104" s="708">
        <v>78</v>
      </c>
      <c r="G104" s="708">
        <v>4</v>
      </c>
      <c r="H104" s="708">
        <v>23</v>
      </c>
      <c r="I104" s="708">
        <v>75</v>
      </c>
      <c r="J104" s="708">
        <v>65</v>
      </c>
    </row>
    <row r="105" spans="1:10" x14ac:dyDescent="0.3">
      <c r="A105" s="572" t="s">
        <v>66</v>
      </c>
      <c r="B105" s="573" t="s">
        <v>67</v>
      </c>
      <c r="C105" s="574" t="s">
        <v>253</v>
      </c>
      <c r="D105" s="708">
        <v>85</v>
      </c>
      <c r="E105" s="708">
        <v>51</v>
      </c>
      <c r="F105" s="708">
        <v>32</v>
      </c>
      <c r="G105" s="708">
        <v>2</v>
      </c>
      <c r="H105" s="708">
        <v>8</v>
      </c>
      <c r="I105" s="708">
        <v>29</v>
      </c>
      <c r="J105" s="708">
        <v>48</v>
      </c>
    </row>
    <row r="106" spans="1:10" x14ac:dyDescent="0.3">
      <c r="A106" s="572" t="s">
        <v>82</v>
      </c>
      <c r="B106" s="573" t="s">
        <v>83</v>
      </c>
      <c r="C106" s="574" t="s">
        <v>252</v>
      </c>
      <c r="D106" s="708">
        <v>9</v>
      </c>
      <c r="E106" s="708">
        <v>1</v>
      </c>
      <c r="F106" s="708">
        <v>8</v>
      </c>
      <c r="G106" s="708">
        <v>0</v>
      </c>
      <c r="H106" s="708">
        <v>1</v>
      </c>
      <c r="I106" s="708">
        <v>8</v>
      </c>
      <c r="J106" s="708">
        <v>1</v>
      </c>
    </row>
    <row r="107" spans="1:10" x14ac:dyDescent="0.3">
      <c r="A107" s="572" t="s">
        <v>88</v>
      </c>
      <c r="B107" s="573" t="s">
        <v>89</v>
      </c>
      <c r="C107" s="574" t="s">
        <v>255</v>
      </c>
      <c r="D107" s="708">
        <v>26</v>
      </c>
      <c r="E107" s="708">
        <v>20</v>
      </c>
      <c r="F107" s="708">
        <v>5</v>
      </c>
      <c r="G107" s="708">
        <v>1</v>
      </c>
      <c r="H107" s="708">
        <v>2</v>
      </c>
      <c r="I107" s="708">
        <v>8</v>
      </c>
      <c r="J107" s="708">
        <v>16</v>
      </c>
    </row>
    <row r="108" spans="1:10" x14ac:dyDescent="0.3">
      <c r="A108" s="572" t="s">
        <v>90</v>
      </c>
      <c r="B108" s="573" t="s">
        <v>91</v>
      </c>
      <c r="C108" s="574" t="s">
        <v>256</v>
      </c>
      <c r="D108" s="708">
        <v>13</v>
      </c>
      <c r="E108" s="708">
        <v>13</v>
      </c>
      <c r="F108" s="708">
        <v>0</v>
      </c>
      <c r="G108" s="708">
        <v>0</v>
      </c>
      <c r="H108" s="708">
        <v>0</v>
      </c>
      <c r="I108" s="708">
        <v>6</v>
      </c>
      <c r="J108" s="708">
        <v>7</v>
      </c>
    </row>
    <row r="109" spans="1:10" x14ac:dyDescent="0.3">
      <c r="A109" s="572" t="s">
        <v>106</v>
      </c>
      <c r="B109" s="573" t="s">
        <v>107</v>
      </c>
      <c r="C109" s="574" t="s">
        <v>252</v>
      </c>
      <c r="D109" s="708">
        <v>116</v>
      </c>
      <c r="E109" s="708">
        <v>39</v>
      </c>
      <c r="F109" s="708">
        <v>76</v>
      </c>
      <c r="G109" s="708">
        <v>1</v>
      </c>
      <c r="H109" s="708">
        <v>18</v>
      </c>
      <c r="I109" s="708">
        <v>51</v>
      </c>
      <c r="J109" s="708">
        <v>48</v>
      </c>
    </row>
    <row r="110" spans="1:10" x14ac:dyDescent="0.3">
      <c r="A110" s="572" t="s">
        <v>116</v>
      </c>
      <c r="B110" s="573" t="s">
        <v>117</v>
      </c>
      <c r="C110" s="574" t="s">
        <v>254</v>
      </c>
      <c r="D110" s="708">
        <v>20</v>
      </c>
      <c r="E110" s="708">
        <v>8</v>
      </c>
      <c r="F110" s="708">
        <v>12</v>
      </c>
      <c r="G110" s="708">
        <v>0</v>
      </c>
      <c r="H110" s="708">
        <v>8</v>
      </c>
      <c r="I110" s="708">
        <v>6</v>
      </c>
      <c r="J110" s="708">
        <v>6</v>
      </c>
    </row>
    <row r="111" spans="1:10" x14ac:dyDescent="0.3">
      <c r="A111" s="572" t="s">
        <v>138</v>
      </c>
      <c r="B111" s="573" t="s">
        <v>139</v>
      </c>
      <c r="C111" s="574" t="s">
        <v>253</v>
      </c>
      <c r="D111" s="708">
        <v>148</v>
      </c>
      <c r="E111" s="708">
        <v>94</v>
      </c>
      <c r="F111" s="708">
        <v>52</v>
      </c>
      <c r="G111" s="708">
        <v>2</v>
      </c>
      <c r="H111" s="708">
        <v>5</v>
      </c>
      <c r="I111" s="708">
        <v>53</v>
      </c>
      <c r="J111" s="708">
        <v>90</v>
      </c>
    </row>
    <row r="112" spans="1:10" x14ac:dyDescent="0.3">
      <c r="A112" s="572" t="s">
        <v>142</v>
      </c>
      <c r="B112" s="573" t="s">
        <v>143</v>
      </c>
      <c r="C112" s="574" t="s">
        <v>255</v>
      </c>
      <c r="D112" s="708">
        <v>5</v>
      </c>
      <c r="E112" s="708">
        <v>3</v>
      </c>
      <c r="F112" s="708">
        <v>2</v>
      </c>
      <c r="G112" s="708">
        <v>0</v>
      </c>
      <c r="H112" s="708">
        <v>1</v>
      </c>
      <c r="I112" s="708">
        <v>1</v>
      </c>
      <c r="J112" s="708">
        <v>3</v>
      </c>
    </row>
    <row r="113" spans="1:10" x14ac:dyDescent="0.3">
      <c r="A113" s="572" t="s">
        <v>144</v>
      </c>
      <c r="B113" s="573" t="s">
        <v>145</v>
      </c>
      <c r="C113" s="574" t="s">
        <v>255</v>
      </c>
      <c r="D113" s="708">
        <v>2</v>
      </c>
      <c r="E113" s="708">
        <v>2</v>
      </c>
      <c r="F113" s="708">
        <v>0</v>
      </c>
      <c r="G113" s="708">
        <v>0</v>
      </c>
      <c r="H113" s="708">
        <v>0</v>
      </c>
      <c r="I113" s="708">
        <v>0</v>
      </c>
      <c r="J113" s="708">
        <v>2</v>
      </c>
    </row>
    <row r="114" spans="1:10" x14ac:dyDescent="0.3">
      <c r="A114" s="572" t="s">
        <v>158</v>
      </c>
      <c r="B114" s="573" t="s">
        <v>159</v>
      </c>
      <c r="C114" s="574" t="s">
        <v>252</v>
      </c>
      <c r="D114" s="708">
        <v>139</v>
      </c>
      <c r="E114" s="708">
        <v>51</v>
      </c>
      <c r="F114" s="708">
        <v>86</v>
      </c>
      <c r="G114" s="708">
        <v>2</v>
      </c>
      <c r="H114" s="708">
        <v>13</v>
      </c>
      <c r="I114" s="708">
        <v>77</v>
      </c>
      <c r="J114" s="708">
        <v>49</v>
      </c>
    </row>
    <row r="115" spans="1:10" x14ac:dyDescent="0.3">
      <c r="A115" s="572" t="s">
        <v>160</v>
      </c>
      <c r="B115" s="573" t="s">
        <v>161</v>
      </c>
      <c r="C115" s="574" t="s">
        <v>252</v>
      </c>
      <c r="D115" s="708">
        <v>218</v>
      </c>
      <c r="E115" s="708">
        <v>66</v>
      </c>
      <c r="F115" s="708">
        <v>148</v>
      </c>
      <c r="G115" s="708">
        <v>4</v>
      </c>
      <c r="H115" s="708">
        <v>24</v>
      </c>
      <c r="I115" s="708">
        <v>90</v>
      </c>
      <c r="J115" s="708">
        <v>105</v>
      </c>
    </row>
    <row r="116" spans="1:10" x14ac:dyDescent="0.3">
      <c r="A116" s="572" t="s">
        <v>166</v>
      </c>
      <c r="B116" s="573" t="s">
        <v>167</v>
      </c>
      <c r="C116" s="574" t="s">
        <v>256</v>
      </c>
      <c r="D116" s="708">
        <v>7</v>
      </c>
      <c r="E116" s="708">
        <v>7</v>
      </c>
      <c r="F116" s="708">
        <v>0</v>
      </c>
      <c r="G116" s="708">
        <v>0</v>
      </c>
      <c r="H116" s="708">
        <v>1</v>
      </c>
      <c r="I116" s="708">
        <v>5</v>
      </c>
      <c r="J116" s="708">
        <v>1</v>
      </c>
    </row>
    <row r="117" spans="1:10" x14ac:dyDescent="0.3">
      <c r="A117" s="572" t="s">
        <v>176</v>
      </c>
      <c r="B117" s="573" t="s">
        <v>177</v>
      </c>
      <c r="C117" s="574" t="s">
        <v>254</v>
      </c>
      <c r="D117" s="708">
        <v>120</v>
      </c>
      <c r="E117" s="708">
        <v>34</v>
      </c>
      <c r="F117" s="708">
        <v>84</v>
      </c>
      <c r="G117" s="708">
        <v>2</v>
      </c>
      <c r="H117" s="708">
        <v>18</v>
      </c>
      <c r="I117" s="708">
        <v>57</v>
      </c>
      <c r="J117" s="708">
        <v>46</v>
      </c>
    </row>
    <row r="118" spans="1:10" x14ac:dyDescent="0.3">
      <c r="A118" s="572" t="s">
        <v>180</v>
      </c>
      <c r="B118" s="573" t="s">
        <v>181</v>
      </c>
      <c r="C118" s="574" t="s">
        <v>252</v>
      </c>
      <c r="D118" s="708">
        <v>103</v>
      </c>
      <c r="E118" s="708">
        <v>26</v>
      </c>
      <c r="F118" s="708">
        <v>77</v>
      </c>
      <c r="G118" s="708">
        <v>0</v>
      </c>
      <c r="H118" s="708">
        <v>10</v>
      </c>
      <c r="I118" s="708">
        <v>39</v>
      </c>
      <c r="J118" s="708">
        <v>54</v>
      </c>
    </row>
    <row r="119" spans="1:10" x14ac:dyDescent="0.3">
      <c r="A119" s="572" t="s">
        <v>192</v>
      </c>
      <c r="B119" s="573" t="s">
        <v>193</v>
      </c>
      <c r="C119" s="574" t="s">
        <v>256</v>
      </c>
      <c r="D119" s="708">
        <v>25</v>
      </c>
      <c r="E119" s="708">
        <v>22</v>
      </c>
      <c r="F119" s="708">
        <v>3</v>
      </c>
      <c r="G119" s="708">
        <v>0</v>
      </c>
      <c r="H119" s="708">
        <v>1</v>
      </c>
      <c r="I119" s="708">
        <v>14</v>
      </c>
      <c r="J119" s="708">
        <v>11</v>
      </c>
    </row>
    <row r="120" spans="1:10" x14ac:dyDescent="0.3">
      <c r="A120" s="572" t="s">
        <v>196</v>
      </c>
      <c r="B120" s="573" t="s">
        <v>197</v>
      </c>
      <c r="C120" s="574" t="s">
        <v>254</v>
      </c>
      <c r="D120" s="708">
        <v>609</v>
      </c>
      <c r="E120" s="708">
        <v>178</v>
      </c>
      <c r="F120" s="708">
        <v>417</v>
      </c>
      <c r="G120" s="708">
        <v>14</v>
      </c>
      <c r="H120" s="708">
        <v>67</v>
      </c>
      <c r="I120" s="708">
        <v>311</v>
      </c>
      <c r="J120" s="708">
        <v>240</v>
      </c>
    </row>
    <row r="121" spans="1:10" x14ac:dyDescent="0.3">
      <c r="A121" s="572" t="s">
        <v>200</v>
      </c>
      <c r="B121" s="573" t="s">
        <v>201</v>
      </c>
      <c r="C121" s="574" t="s">
        <v>253</v>
      </c>
      <c r="D121" s="708">
        <v>223</v>
      </c>
      <c r="E121" s="708">
        <v>140</v>
      </c>
      <c r="F121" s="708">
        <v>75</v>
      </c>
      <c r="G121" s="708">
        <v>8</v>
      </c>
      <c r="H121" s="708">
        <v>19</v>
      </c>
      <c r="I121" s="708">
        <v>98</v>
      </c>
      <c r="J121" s="708">
        <v>107</v>
      </c>
    </row>
    <row r="122" spans="1:10" x14ac:dyDescent="0.3">
      <c r="A122" s="572" t="s">
        <v>222</v>
      </c>
      <c r="B122" s="573" t="s">
        <v>223</v>
      </c>
      <c r="C122" s="574" t="s">
        <v>252</v>
      </c>
      <c r="D122" s="708">
        <v>68</v>
      </c>
      <c r="E122" s="708">
        <v>16</v>
      </c>
      <c r="F122" s="708">
        <v>52</v>
      </c>
      <c r="G122" s="708">
        <v>0</v>
      </c>
      <c r="H122" s="708">
        <v>10</v>
      </c>
      <c r="I122" s="708">
        <v>34</v>
      </c>
      <c r="J122" s="708">
        <v>25</v>
      </c>
    </row>
    <row r="123" spans="1:10" x14ac:dyDescent="0.3">
      <c r="A123" s="572" t="s">
        <v>230</v>
      </c>
      <c r="B123" s="573" t="s">
        <v>231</v>
      </c>
      <c r="C123" s="574" t="s">
        <v>252</v>
      </c>
      <c r="D123" s="708">
        <v>195</v>
      </c>
      <c r="E123" s="708">
        <v>129</v>
      </c>
      <c r="F123" s="708">
        <v>56</v>
      </c>
      <c r="G123" s="708">
        <v>10</v>
      </c>
      <c r="H123" s="708">
        <v>24</v>
      </c>
      <c r="I123" s="708">
        <v>74</v>
      </c>
      <c r="J123" s="708">
        <v>99</v>
      </c>
    </row>
    <row r="124" spans="1:10" x14ac:dyDescent="0.3">
      <c r="A124" s="572" t="s">
        <v>238</v>
      </c>
      <c r="B124" s="573" t="s">
        <v>239</v>
      </c>
      <c r="C124" s="574" t="s">
        <v>252</v>
      </c>
      <c r="D124" s="708">
        <v>33</v>
      </c>
      <c r="E124" s="708">
        <v>17</v>
      </c>
      <c r="F124" s="708">
        <v>15</v>
      </c>
      <c r="G124" s="708">
        <v>1</v>
      </c>
      <c r="H124" s="708">
        <v>7</v>
      </c>
      <c r="I124" s="708">
        <v>16</v>
      </c>
      <c r="J124" s="708">
        <v>11</v>
      </c>
    </row>
    <row r="125" spans="1:10" x14ac:dyDescent="0.3">
      <c r="A125" s="575" t="s">
        <v>240</v>
      </c>
      <c r="B125" s="576" t="s">
        <v>241</v>
      </c>
      <c r="C125" s="577" t="s">
        <v>255</v>
      </c>
      <c r="D125" s="709">
        <v>33</v>
      </c>
      <c r="E125" s="709">
        <v>29</v>
      </c>
      <c r="F125" s="709">
        <v>4</v>
      </c>
      <c r="G125" s="709">
        <v>0</v>
      </c>
      <c r="H125" s="709">
        <v>1</v>
      </c>
      <c r="I125" s="709">
        <v>16</v>
      </c>
      <c r="J125" s="709">
        <v>16</v>
      </c>
    </row>
    <row r="126" spans="1:10" x14ac:dyDescent="0.3">
      <c r="A126" s="578"/>
      <c r="B126" s="578"/>
      <c r="C126" s="578"/>
    </row>
    <row r="127" spans="1:10" ht="30" customHeight="1" x14ac:dyDescent="0.3">
      <c r="A127" s="2767" t="s">
        <v>647</v>
      </c>
      <c r="B127" s="2767"/>
      <c r="C127" s="2767"/>
      <c r="D127" s="2767"/>
      <c r="E127" s="2767"/>
      <c r="F127" s="2767"/>
    </row>
    <row r="128" spans="1:10" x14ac:dyDescent="0.3">
      <c r="A128" s="710"/>
      <c r="B128" s="710"/>
      <c r="C128" s="710"/>
      <c r="D128" s="710"/>
      <c r="E128" s="710"/>
      <c r="F128" s="710"/>
    </row>
    <row r="129" spans="1:10" s="359" customFormat="1" x14ac:dyDescent="0.3">
      <c r="A129" s="2768" t="s">
        <v>248</v>
      </c>
      <c r="B129" s="2768"/>
      <c r="C129" s="2768"/>
      <c r="D129" s="2768"/>
      <c r="E129" s="2768"/>
      <c r="F129" s="2768"/>
      <c r="G129" s="2768"/>
      <c r="H129" s="2768"/>
      <c r="I129" s="2768"/>
      <c r="J129" s="2768"/>
    </row>
    <row r="130" spans="1:10" s="263" customFormat="1" x14ac:dyDescent="0.3">
      <c r="A130" s="360" t="s">
        <v>249</v>
      </c>
      <c r="B130" s="361" t="s">
        <v>250</v>
      </c>
      <c r="C130" s="714"/>
      <c r="D130" s="708"/>
      <c r="E130" s="708"/>
      <c r="F130" s="708"/>
      <c r="G130" s="708"/>
      <c r="H130" s="708"/>
      <c r="I130" s="708"/>
      <c r="J130" s="708"/>
    </row>
  </sheetData>
  <autoFilter ref="A4:C4"/>
  <mergeCells count="4">
    <mergeCell ref="A127:F127"/>
    <mergeCell ref="E3:G3"/>
    <mergeCell ref="H3:J3"/>
    <mergeCell ref="A129:J129"/>
  </mergeCells>
  <hyperlinks>
    <hyperlink ref="B130" r:id="rId1"/>
  </hyperlinks>
  <pageMargins left="0.7" right="0.7" top="0.75" bottom="0.75" header="0.3" footer="0.3"/>
  <pageSetup orientation="portrait"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32"/>
  <sheetViews>
    <sheetView zoomScaleNormal="100" workbookViewId="0">
      <selection activeCell="I8" sqref="I8"/>
    </sheetView>
  </sheetViews>
  <sheetFormatPr defaultColWidth="9" defaultRowHeight="15.6" x14ac:dyDescent="0.3"/>
  <cols>
    <col min="1" max="1" width="8.09765625" style="746" bestFit="1" customWidth="1"/>
    <col min="2" max="2" width="6.09765625" style="746" customWidth="1"/>
    <col min="3" max="3" width="11.19921875" style="746" customWidth="1"/>
    <col min="4" max="4" width="34.296875" style="747" customWidth="1"/>
    <col min="5" max="5" width="9.19921875" style="747" customWidth="1"/>
    <col min="6" max="6" width="14.296875" style="746" customWidth="1"/>
    <col min="7" max="16384" width="9" style="746"/>
  </cols>
  <sheetData>
    <row r="2" spans="2:6" x14ac:dyDescent="0.3">
      <c r="B2" s="746">
        <v>1</v>
      </c>
      <c r="D2" s="747">
        <f>+B2+1</f>
        <v>2</v>
      </c>
      <c r="E2" s="747">
        <f>+D2+1</f>
        <v>3</v>
      </c>
      <c r="F2" s="746">
        <v>4</v>
      </c>
    </row>
    <row r="3" spans="2:6" x14ac:dyDescent="0.3">
      <c r="B3" s="748"/>
      <c r="C3" s="748"/>
      <c r="D3" s="751"/>
      <c r="E3" s="752"/>
    </row>
    <row r="4" spans="2:6" x14ac:dyDescent="0.3">
      <c r="B4" s="753"/>
      <c r="C4" s="753"/>
      <c r="D4" s="749"/>
      <c r="E4" s="750"/>
    </row>
    <row r="5" spans="2:6" x14ac:dyDescent="0.3">
      <c r="B5" s="753"/>
      <c r="C5" s="753"/>
      <c r="D5" s="754"/>
      <c r="E5" s="754"/>
    </row>
    <row r="7" spans="2:6" x14ac:dyDescent="0.3">
      <c r="B7" s="755" t="s">
        <v>4</v>
      </c>
      <c r="C7" s="755"/>
      <c r="D7" s="756" t="s">
        <v>5</v>
      </c>
      <c r="E7" s="756"/>
      <c r="F7" s="757" t="s">
        <v>251</v>
      </c>
    </row>
    <row r="8" spans="2:6" x14ac:dyDescent="0.3">
      <c r="B8" s="971" t="s">
        <v>8</v>
      </c>
      <c r="C8" s="970" t="s">
        <v>291</v>
      </c>
      <c r="D8" s="972" t="s">
        <v>9</v>
      </c>
      <c r="E8" s="972"/>
    </row>
    <row r="9" spans="2:6" x14ac:dyDescent="0.3">
      <c r="B9" s="758" t="s">
        <v>10</v>
      </c>
      <c r="C9" s="760">
        <v>1</v>
      </c>
      <c r="D9" s="747" t="s">
        <v>11</v>
      </c>
      <c r="E9" s="761" t="s">
        <v>10</v>
      </c>
      <c r="F9" s="423" t="s">
        <v>252</v>
      </c>
    </row>
    <row r="10" spans="2:6" x14ac:dyDescent="0.3">
      <c r="B10" s="759" t="s">
        <v>12</v>
      </c>
      <c r="C10" s="760">
        <v>3</v>
      </c>
      <c r="D10" s="747" t="s">
        <v>13</v>
      </c>
      <c r="E10" s="762" t="s">
        <v>12</v>
      </c>
      <c r="F10" s="423" t="s">
        <v>253</v>
      </c>
    </row>
    <row r="11" spans="2:6" x14ac:dyDescent="0.3">
      <c r="B11" s="759" t="s">
        <v>14</v>
      </c>
      <c r="C11" s="760">
        <v>510</v>
      </c>
      <c r="D11" s="747" t="s">
        <v>15</v>
      </c>
      <c r="E11" s="762" t="s">
        <v>14</v>
      </c>
      <c r="F11" s="423" t="s">
        <v>255</v>
      </c>
    </row>
    <row r="12" spans="2:6" x14ac:dyDescent="0.3">
      <c r="B12" s="759" t="s">
        <v>16</v>
      </c>
      <c r="C12" s="760">
        <v>5</v>
      </c>
      <c r="D12" s="747" t="s">
        <v>17</v>
      </c>
      <c r="E12" s="762" t="s">
        <v>16</v>
      </c>
      <c r="F12" s="423" t="s">
        <v>253</v>
      </c>
    </row>
    <row r="13" spans="2:6" x14ac:dyDescent="0.3">
      <c r="B13" s="759" t="s">
        <v>18</v>
      </c>
      <c r="C13" s="760">
        <v>7</v>
      </c>
      <c r="D13" s="747" t="s">
        <v>19</v>
      </c>
      <c r="E13" s="762" t="s">
        <v>18</v>
      </c>
      <c r="F13" s="423" t="s">
        <v>254</v>
      </c>
    </row>
    <row r="14" spans="2:6" x14ac:dyDescent="0.3">
      <c r="B14" s="759" t="s">
        <v>20</v>
      </c>
      <c r="C14" s="760">
        <v>9</v>
      </c>
      <c r="D14" s="747" t="s">
        <v>21</v>
      </c>
      <c r="E14" s="762" t="s">
        <v>20</v>
      </c>
      <c r="F14" s="423" t="s">
        <v>253</v>
      </c>
    </row>
    <row r="15" spans="2:6" x14ac:dyDescent="0.3">
      <c r="B15" s="759" t="s">
        <v>22</v>
      </c>
      <c r="C15" s="760">
        <v>11</v>
      </c>
      <c r="D15" s="747" t="s">
        <v>23</v>
      </c>
      <c r="E15" s="762" t="s">
        <v>22</v>
      </c>
      <c r="F15" s="423" t="s">
        <v>253</v>
      </c>
    </row>
    <row r="16" spans="2:6" x14ac:dyDescent="0.3">
      <c r="B16" s="759" t="s">
        <v>24</v>
      </c>
      <c r="C16" s="760">
        <v>13</v>
      </c>
      <c r="D16" s="747" t="s">
        <v>25</v>
      </c>
      <c r="E16" s="762" t="s">
        <v>24</v>
      </c>
      <c r="F16" s="423" t="s">
        <v>255</v>
      </c>
    </row>
    <row r="17" spans="2:6" x14ac:dyDescent="0.3">
      <c r="B17" s="759" t="s">
        <v>26</v>
      </c>
      <c r="C17" s="760">
        <v>15</v>
      </c>
      <c r="D17" s="747" t="s">
        <v>547</v>
      </c>
      <c r="E17" s="762" t="s">
        <v>26</v>
      </c>
      <c r="F17" s="423" t="s">
        <v>253</v>
      </c>
    </row>
    <row r="18" spans="2:6" x14ac:dyDescent="0.3">
      <c r="B18" s="759" t="s">
        <v>27</v>
      </c>
      <c r="C18" s="760">
        <v>17</v>
      </c>
      <c r="D18" s="747" t="s">
        <v>28</v>
      </c>
      <c r="E18" s="762" t="s">
        <v>27</v>
      </c>
      <c r="F18" s="423" t="s">
        <v>253</v>
      </c>
    </row>
    <row r="19" spans="2:6" x14ac:dyDescent="0.3">
      <c r="B19" s="759" t="s">
        <v>29</v>
      </c>
      <c r="C19" s="760">
        <v>19</v>
      </c>
      <c r="D19" s="747" t="s">
        <v>736</v>
      </c>
      <c r="E19" s="762" t="s">
        <v>29</v>
      </c>
      <c r="F19" s="423" t="s">
        <v>256</v>
      </c>
    </row>
    <row r="20" spans="2:6" x14ac:dyDescent="0.3">
      <c r="B20" s="759" t="s">
        <v>30</v>
      </c>
      <c r="C20" s="760">
        <v>21</v>
      </c>
      <c r="D20" s="747" t="s">
        <v>31</v>
      </c>
      <c r="E20" s="762" t="s">
        <v>30</v>
      </c>
      <c r="F20" s="423" t="s">
        <v>253</v>
      </c>
    </row>
    <row r="21" spans="2:6" x14ac:dyDescent="0.3">
      <c r="B21" s="759" t="s">
        <v>32</v>
      </c>
      <c r="C21" s="760">
        <v>23</v>
      </c>
      <c r="D21" s="747" t="s">
        <v>33</v>
      </c>
      <c r="E21" s="762" t="s">
        <v>32</v>
      </c>
      <c r="F21" s="423" t="s">
        <v>256</v>
      </c>
    </row>
    <row r="22" spans="2:6" x14ac:dyDescent="0.3">
      <c r="B22" s="759" t="s">
        <v>34</v>
      </c>
      <c r="C22" s="760">
        <v>520</v>
      </c>
      <c r="D22" s="747" t="s">
        <v>35</v>
      </c>
      <c r="E22" s="762" t="s">
        <v>34</v>
      </c>
      <c r="F22" s="423" t="s">
        <v>252</v>
      </c>
    </row>
    <row r="23" spans="2:6" x14ac:dyDescent="0.3">
      <c r="B23" s="759" t="s">
        <v>36</v>
      </c>
      <c r="C23" s="760">
        <v>25</v>
      </c>
      <c r="D23" s="747" t="s">
        <v>37</v>
      </c>
      <c r="E23" s="762" t="s">
        <v>36</v>
      </c>
      <c r="F23" s="423" t="s">
        <v>256</v>
      </c>
    </row>
    <row r="24" spans="2:6" x14ac:dyDescent="0.3">
      <c r="B24" s="759" t="s">
        <v>38</v>
      </c>
      <c r="C24" s="760">
        <v>27</v>
      </c>
      <c r="D24" s="747" t="s">
        <v>39</v>
      </c>
      <c r="E24" s="762" t="s">
        <v>38</v>
      </c>
      <c r="F24" s="423" t="s">
        <v>254</v>
      </c>
    </row>
    <row r="25" spans="2:6" x14ac:dyDescent="0.3">
      <c r="B25" s="759" t="s">
        <v>40</v>
      </c>
      <c r="C25" s="760">
        <v>29</v>
      </c>
      <c r="D25" s="747" t="s">
        <v>41</v>
      </c>
      <c r="E25" s="762" t="s">
        <v>40</v>
      </c>
      <c r="F25" s="423" t="s">
        <v>253</v>
      </c>
    </row>
    <row r="26" spans="2:6" x14ac:dyDescent="0.3">
      <c r="B26" s="759" t="s">
        <v>42</v>
      </c>
      <c r="C26" s="760">
        <v>31</v>
      </c>
      <c r="D26" s="747" t="s">
        <v>43</v>
      </c>
      <c r="E26" s="762" t="s">
        <v>42</v>
      </c>
      <c r="F26" s="423" t="s">
        <v>254</v>
      </c>
    </row>
    <row r="27" spans="2:6" x14ac:dyDescent="0.3">
      <c r="B27" s="759" t="s">
        <v>44</v>
      </c>
      <c r="C27" s="760">
        <v>33</v>
      </c>
      <c r="D27" s="747" t="s">
        <v>45</v>
      </c>
      <c r="E27" s="762" t="s">
        <v>44</v>
      </c>
      <c r="F27" s="423" t="s">
        <v>256</v>
      </c>
    </row>
    <row r="28" spans="2:6" x14ac:dyDescent="0.3">
      <c r="B28" s="759" t="s">
        <v>46</v>
      </c>
      <c r="C28" s="760">
        <v>35</v>
      </c>
      <c r="D28" s="747" t="s">
        <v>47</v>
      </c>
      <c r="E28" s="762" t="s">
        <v>46</v>
      </c>
      <c r="F28" s="423" t="s">
        <v>254</v>
      </c>
    </row>
    <row r="29" spans="2:6" x14ac:dyDescent="0.3">
      <c r="B29" s="759" t="s">
        <v>48</v>
      </c>
      <c r="C29" s="760">
        <v>36</v>
      </c>
      <c r="D29" s="747" t="s">
        <v>257</v>
      </c>
      <c r="E29" s="762" t="s">
        <v>48</v>
      </c>
      <c r="F29" s="423" t="s">
        <v>253</v>
      </c>
    </row>
    <row r="30" spans="2:6" x14ac:dyDescent="0.3">
      <c r="B30" s="759" t="s">
        <v>50</v>
      </c>
      <c r="C30" s="760">
        <v>37</v>
      </c>
      <c r="D30" s="747" t="s">
        <v>51</v>
      </c>
      <c r="E30" s="762" t="s">
        <v>50</v>
      </c>
      <c r="F30" s="423" t="s">
        <v>253</v>
      </c>
    </row>
    <row r="31" spans="2:6" x14ac:dyDescent="0.3">
      <c r="B31" s="759" t="s">
        <v>52</v>
      </c>
      <c r="C31" s="760">
        <v>540</v>
      </c>
      <c r="D31" s="747" t="s">
        <v>53</v>
      </c>
      <c r="E31" s="762" t="s">
        <v>52</v>
      </c>
      <c r="F31" s="423" t="s">
        <v>252</v>
      </c>
    </row>
    <row r="32" spans="2:6" x14ac:dyDescent="0.3">
      <c r="B32" s="759" t="s">
        <v>54</v>
      </c>
      <c r="C32" s="760">
        <v>550</v>
      </c>
      <c r="D32" s="747" t="s">
        <v>55</v>
      </c>
      <c r="E32" s="762" t="s">
        <v>54</v>
      </c>
      <c r="F32" s="423" t="s">
        <v>254</v>
      </c>
    </row>
    <row r="33" spans="2:6" x14ac:dyDescent="0.3">
      <c r="B33" s="759" t="s">
        <v>56</v>
      </c>
      <c r="C33" s="760">
        <v>41</v>
      </c>
      <c r="D33" s="747" t="s">
        <v>57</v>
      </c>
      <c r="E33" s="762" t="s">
        <v>56</v>
      </c>
      <c r="F33" s="423" t="s">
        <v>255</v>
      </c>
    </row>
    <row r="34" spans="2:6" x14ac:dyDescent="0.3">
      <c r="B34" s="759" t="s">
        <v>58</v>
      </c>
      <c r="C34" s="760">
        <v>43</v>
      </c>
      <c r="D34" s="747" t="s">
        <v>59</v>
      </c>
      <c r="E34" s="762" t="s">
        <v>58</v>
      </c>
      <c r="F34" s="423" t="s">
        <v>253</v>
      </c>
    </row>
    <row r="35" spans="2:6" x14ac:dyDescent="0.3">
      <c r="B35" s="759" t="s">
        <v>60</v>
      </c>
      <c r="C35" s="760">
        <v>45</v>
      </c>
      <c r="D35" s="747" t="s">
        <v>61</v>
      </c>
      <c r="E35" s="762" t="s">
        <v>60</v>
      </c>
      <c r="F35" s="423" t="s">
        <v>255</v>
      </c>
    </row>
    <row r="36" spans="2:6" x14ac:dyDescent="0.3">
      <c r="B36" s="759" t="s">
        <v>62</v>
      </c>
      <c r="C36" s="760">
        <v>47</v>
      </c>
      <c r="D36" s="747" t="s">
        <v>63</v>
      </c>
      <c r="E36" s="762" t="s">
        <v>62</v>
      </c>
      <c r="F36" s="423" t="s">
        <v>254</v>
      </c>
    </row>
    <row r="37" spans="2:6" x14ac:dyDescent="0.3">
      <c r="B37" s="759" t="s">
        <v>64</v>
      </c>
      <c r="C37" s="760">
        <v>49</v>
      </c>
      <c r="D37" s="747" t="s">
        <v>65</v>
      </c>
      <c r="E37" s="762" t="s">
        <v>64</v>
      </c>
      <c r="F37" s="423" t="s">
        <v>253</v>
      </c>
    </row>
    <row r="38" spans="2:6" x14ac:dyDescent="0.3">
      <c r="B38" s="759" t="s">
        <v>66</v>
      </c>
      <c r="C38" s="760">
        <v>590</v>
      </c>
      <c r="D38" s="747" t="s">
        <v>67</v>
      </c>
      <c r="E38" s="762" t="s">
        <v>66</v>
      </c>
      <c r="F38" s="423" t="s">
        <v>256</v>
      </c>
    </row>
    <row r="39" spans="2:6" x14ac:dyDescent="0.3">
      <c r="B39" s="759" t="s">
        <v>68</v>
      </c>
      <c r="C39" s="760">
        <v>51</v>
      </c>
      <c r="D39" s="747" t="s">
        <v>69</v>
      </c>
      <c r="E39" s="762" t="s">
        <v>68</v>
      </c>
      <c r="F39" s="423" t="s">
        <v>252</v>
      </c>
    </row>
    <row r="40" spans="2:6" x14ac:dyDescent="0.3">
      <c r="B40" s="759" t="s">
        <v>70</v>
      </c>
      <c r="C40" s="760">
        <v>53</v>
      </c>
      <c r="D40" s="747" t="s">
        <v>71</v>
      </c>
      <c r="E40" s="762" t="s">
        <v>70</v>
      </c>
      <c r="F40" s="423" t="s">
        <v>254</v>
      </c>
    </row>
    <row r="41" spans="2:6" x14ac:dyDescent="0.3">
      <c r="B41" s="759" t="s">
        <v>72</v>
      </c>
      <c r="C41" s="760">
        <v>57</v>
      </c>
      <c r="D41" s="747" t="s">
        <v>73</v>
      </c>
      <c r="E41" s="762" t="s">
        <v>72</v>
      </c>
      <c r="F41" s="423" t="s">
        <v>255</v>
      </c>
    </row>
    <row r="42" spans="2:6" x14ac:dyDescent="0.3">
      <c r="B42" s="759" t="s">
        <v>74</v>
      </c>
      <c r="C42" s="760">
        <v>59</v>
      </c>
      <c r="D42" s="747" t="s">
        <v>510</v>
      </c>
      <c r="E42" s="762" t="s">
        <v>74</v>
      </c>
      <c r="F42" s="423" t="s">
        <v>255</v>
      </c>
    </row>
    <row r="43" spans="2:6" x14ac:dyDescent="0.3">
      <c r="B43" s="759" t="s">
        <v>76</v>
      </c>
      <c r="C43" s="760">
        <v>61</v>
      </c>
      <c r="D43" s="747" t="s">
        <v>77</v>
      </c>
      <c r="E43" s="762" t="s">
        <v>76</v>
      </c>
      <c r="F43" s="423" t="s">
        <v>256</v>
      </c>
    </row>
    <row r="44" spans="2:6" x14ac:dyDescent="0.3">
      <c r="B44" s="759" t="s">
        <v>78</v>
      </c>
      <c r="C44" s="760">
        <v>63</v>
      </c>
      <c r="D44" s="747" t="s">
        <v>79</v>
      </c>
      <c r="E44" s="762" t="s">
        <v>78</v>
      </c>
      <c r="F44" s="423" t="s">
        <v>254</v>
      </c>
    </row>
    <row r="45" spans="2:6" x14ac:dyDescent="0.3">
      <c r="B45" s="759" t="s">
        <v>80</v>
      </c>
      <c r="C45" s="760">
        <v>65</v>
      </c>
      <c r="D45" s="747" t="s">
        <v>81</v>
      </c>
      <c r="E45" s="762" t="s">
        <v>80</v>
      </c>
      <c r="F45" s="423" t="s">
        <v>252</v>
      </c>
    </row>
    <row r="46" spans="2:6" x14ac:dyDescent="0.3">
      <c r="B46" s="759" t="s">
        <v>82</v>
      </c>
      <c r="C46" s="760">
        <v>620</v>
      </c>
      <c r="D46" s="747" t="s">
        <v>83</v>
      </c>
      <c r="E46" s="762" t="s">
        <v>82</v>
      </c>
      <c r="F46" s="423" t="s">
        <v>253</v>
      </c>
    </row>
    <row r="47" spans="2:6" x14ac:dyDescent="0.3">
      <c r="B47" s="759" t="s">
        <v>84</v>
      </c>
      <c r="C47" s="760">
        <v>67</v>
      </c>
      <c r="D47" s="747" t="s">
        <v>85</v>
      </c>
      <c r="E47" s="762" t="s">
        <v>84</v>
      </c>
      <c r="F47" s="423" t="s">
        <v>255</v>
      </c>
    </row>
    <row r="48" spans="2:6" x14ac:dyDescent="0.3">
      <c r="B48" s="759" t="s">
        <v>86</v>
      </c>
      <c r="C48" s="760">
        <v>69</v>
      </c>
      <c r="D48" s="747" t="s">
        <v>87</v>
      </c>
      <c r="E48" s="762" t="s">
        <v>86</v>
      </c>
      <c r="F48" s="423" t="s">
        <v>255</v>
      </c>
    </row>
    <row r="49" spans="2:6" x14ac:dyDescent="0.3">
      <c r="B49" s="759" t="s">
        <v>88</v>
      </c>
      <c r="C49" s="760">
        <v>630</v>
      </c>
      <c r="D49" s="747" t="s">
        <v>89</v>
      </c>
      <c r="E49" s="762" t="s">
        <v>88</v>
      </c>
      <c r="F49" s="423" t="s">
        <v>256</v>
      </c>
    </row>
    <row r="50" spans="2:6" x14ac:dyDescent="0.3">
      <c r="B50" s="759" t="s">
        <v>90</v>
      </c>
      <c r="C50" s="760">
        <v>640</v>
      </c>
      <c r="D50" s="747" t="s">
        <v>91</v>
      </c>
      <c r="E50" s="762" t="s">
        <v>90</v>
      </c>
      <c r="F50" s="423" t="s">
        <v>256</v>
      </c>
    </row>
    <row r="51" spans="2:6" x14ac:dyDescent="0.3">
      <c r="B51" s="759" t="s">
        <v>92</v>
      </c>
      <c r="C51" s="760">
        <v>71</v>
      </c>
      <c r="D51" s="747" t="s">
        <v>93</v>
      </c>
      <c r="E51" s="762" t="s">
        <v>92</v>
      </c>
      <c r="F51" s="423" t="s">
        <v>252</v>
      </c>
    </row>
    <row r="52" spans="2:6" x14ac:dyDescent="0.3">
      <c r="B52" s="759" t="s">
        <v>94</v>
      </c>
      <c r="C52" s="760">
        <v>73</v>
      </c>
      <c r="D52" s="747" t="s">
        <v>95</v>
      </c>
      <c r="E52" s="762" t="s">
        <v>94</v>
      </c>
      <c r="F52" s="423" t="s">
        <v>254</v>
      </c>
    </row>
    <row r="53" spans="2:6" x14ac:dyDescent="0.3">
      <c r="B53" s="759" t="s">
        <v>96</v>
      </c>
      <c r="C53" s="760">
        <v>75</v>
      </c>
      <c r="D53" s="747" t="s">
        <v>97</v>
      </c>
      <c r="E53" s="762" t="s">
        <v>96</v>
      </c>
      <c r="F53" s="423" t="s">
        <v>256</v>
      </c>
    </row>
    <row r="54" spans="2:6" x14ac:dyDescent="0.3">
      <c r="B54" s="759" t="s">
        <v>98</v>
      </c>
      <c r="C54" s="760">
        <v>77</v>
      </c>
      <c r="D54" s="747" t="s">
        <v>99</v>
      </c>
      <c r="E54" s="762" t="s">
        <v>98</v>
      </c>
      <c r="F54" s="423" t="s">
        <v>255</v>
      </c>
    </row>
    <row r="55" spans="2:6" x14ac:dyDescent="0.3">
      <c r="B55" s="759" t="s">
        <v>100</v>
      </c>
      <c r="C55" s="760">
        <v>79</v>
      </c>
      <c r="D55" s="747" t="s">
        <v>101</v>
      </c>
      <c r="E55" s="762" t="s">
        <v>100</v>
      </c>
      <c r="F55" s="423" t="s">
        <v>252</v>
      </c>
    </row>
    <row r="56" spans="2:6" x14ac:dyDescent="0.3">
      <c r="B56" s="759" t="s">
        <v>102</v>
      </c>
      <c r="C56" s="760">
        <v>81</v>
      </c>
      <c r="D56" s="747" t="s">
        <v>103</v>
      </c>
      <c r="E56" s="762" t="s">
        <v>102</v>
      </c>
      <c r="F56" s="423" t="s">
        <v>253</v>
      </c>
    </row>
    <row r="57" spans="2:6" x14ac:dyDescent="0.3">
      <c r="B57" s="759" t="s">
        <v>104</v>
      </c>
      <c r="C57" s="760">
        <v>83</v>
      </c>
      <c r="D57" s="747" t="s">
        <v>105</v>
      </c>
      <c r="E57" s="762" t="s">
        <v>104</v>
      </c>
      <c r="F57" s="423" t="s">
        <v>252</v>
      </c>
    </row>
    <row r="58" spans="2:6" x14ac:dyDescent="0.3">
      <c r="B58" s="759" t="s">
        <v>106</v>
      </c>
      <c r="C58" s="760">
        <v>650</v>
      </c>
      <c r="D58" s="747" t="s">
        <v>107</v>
      </c>
      <c r="E58" s="762" t="s">
        <v>106</v>
      </c>
      <c r="F58" s="423" t="s">
        <v>254</v>
      </c>
    </row>
    <row r="59" spans="2:6" x14ac:dyDescent="0.3">
      <c r="B59" s="759" t="s">
        <v>108</v>
      </c>
      <c r="C59" s="760">
        <v>85</v>
      </c>
      <c r="D59" s="747" t="s">
        <v>109</v>
      </c>
      <c r="E59" s="762" t="s">
        <v>108</v>
      </c>
      <c r="F59" s="423" t="s">
        <v>255</v>
      </c>
    </row>
    <row r="60" spans="2:6" x14ac:dyDescent="0.3">
      <c r="B60" s="759" t="s">
        <v>110</v>
      </c>
      <c r="C60" s="760">
        <v>87</v>
      </c>
      <c r="D60" s="747" t="s">
        <v>111</v>
      </c>
      <c r="E60" s="762" t="s">
        <v>110</v>
      </c>
      <c r="F60" s="423" t="s">
        <v>254</v>
      </c>
    </row>
    <row r="61" spans="2:6" x14ac:dyDescent="0.3">
      <c r="B61" s="759" t="s">
        <v>112</v>
      </c>
      <c r="C61" s="760">
        <v>89</v>
      </c>
      <c r="D61" s="747" t="s">
        <v>113</v>
      </c>
      <c r="E61" s="762" t="s">
        <v>112</v>
      </c>
      <c r="F61" s="423" t="s">
        <v>253</v>
      </c>
    </row>
    <row r="62" spans="2:6" x14ac:dyDescent="0.3">
      <c r="B62" s="759" t="s">
        <v>114</v>
      </c>
      <c r="C62" s="760">
        <v>91</v>
      </c>
      <c r="D62" s="747" t="s">
        <v>115</v>
      </c>
      <c r="E62" s="762" t="s">
        <v>114</v>
      </c>
      <c r="F62" s="423" t="s">
        <v>253</v>
      </c>
    </row>
    <row r="63" spans="2:6" x14ac:dyDescent="0.3">
      <c r="B63" s="759" t="s">
        <v>116</v>
      </c>
      <c r="C63" s="760">
        <v>670</v>
      </c>
      <c r="D63" s="747" t="s">
        <v>117</v>
      </c>
      <c r="E63" s="762" t="s">
        <v>116</v>
      </c>
      <c r="F63" s="423" t="s">
        <v>254</v>
      </c>
    </row>
    <row r="64" spans="2:6" x14ac:dyDescent="0.3">
      <c r="B64" s="759" t="s">
        <v>118</v>
      </c>
      <c r="C64" s="760">
        <v>93</v>
      </c>
      <c r="D64" s="747" t="s">
        <v>119</v>
      </c>
      <c r="E64" s="762" t="s">
        <v>118</v>
      </c>
      <c r="F64" s="423" t="s">
        <v>252</v>
      </c>
    </row>
    <row r="65" spans="2:6" x14ac:dyDescent="0.3">
      <c r="B65" s="759" t="s">
        <v>120</v>
      </c>
      <c r="C65" s="760">
        <v>95</v>
      </c>
      <c r="D65" s="747" t="s">
        <v>121</v>
      </c>
      <c r="E65" s="762" t="s">
        <v>120</v>
      </c>
      <c r="F65" s="423" t="s">
        <v>252</v>
      </c>
    </row>
    <row r="66" spans="2:6" x14ac:dyDescent="0.3">
      <c r="B66" s="759" t="s">
        <v>122</v>
      </c>
      <c r="C66" s="760">
        <v>97</v>
      </c>
      <c r="D66" s="747" t="s">
        <v>123</v>
      </c>
      <c r="E66" s="762" t="s">
        <v>122</v>
      </c>
      <c r="F66" s="423" t="s">
        <v>254</v>
      </c>
    </row>
    <row r="67" spans="2:6" x14ac:dyDescent="0.3">
      <c r="B67" s="759" t="s">
        <v>124</v>
      </c>
      <c r="C67" s="760">
        <v>99</v>
      </c>
      <c r="D67" s="747" t="s">
        <v>125</v>
      </c>
      <c r="E67" s="762" t="s">
        <v>124</v>
      </c>
      <c r="F67" s="423" t="s">
        <v>255</v>
      </c>
    </row>
    <row r="68" spans="2:6" x14ac:dyDescent="0.3">
      <c r="B68" s="759" t="s">
        <v>126</v>
      </c>
      <c r="C68" s="760">
        <v>101</v>
      </c>
      <c r="D68" s="747" t="s">
        <v>127</v>
      </c>
      <c r="E68" s="762" t="s">
        <v>126</v>
      </c>
      <c r="F68" s="423" t="s">
        <v>254</v>
      </c>
    </row>
    <row r="69" spans="2:6" x14ac:dyDescent="0.3">
      <c r="B69" s="759" t="s">
        <v>128</v>
      </c>
      <c r="C69" s="760">
        <v>103</v>
      </c>
      <c r="D69" s="747" t="s">
        <v>129</v>
      </c>
      <c r="E69" s="762" t="s">
        <v>128</v>
      </c>
      <c r="F69" s="423" t="s">
        <v>254</v>
      </c>
    </row>
    <row r="70" spans="2:6" x14ac:dyDescent="0.3">
      <c r="B70" s="759" t="s">
        <v>130</v>
      </c>
      <c r="C70" s="760">
        <v>105</v>
      </c>
      <c r="D70" s="747" t="s">
        <v>131</v>
      </c>
      <c r="E70" s="762" t="s">
        <v>130</v>
      </c>
      <c r="F70" s="423" t="s">
        <v>256</v>
      </c>
    </row>
    <row r="71" spans="2:6" x14ac:dyDescent="0.3">
      <c r="B71" s="759" t="s">
        <v>132</v>
      </c>
      <c r="C71" s="760">
        <v>107</v>
      </c>
      <c r="D71" s="747" t="s">
        <v>133</v>
      </c>
      <c r="E71" s="762" t="s">
        <v>132</v>
      </c>
      <c r="F71" s="423" t="s">
        <v>255</v>
      </c>
    </row>
    <row r="72" spans="2:6" x14ac:dyDescent="0.3">
      <c r="B72" s="759" t="s">
        <v>134</v>
      </c>
      <c r="C72" s="760">
        <v>109</v>
      </c>
      <c r="D72" s="747" t="s">
        <v>135</v>
      </c>
      <c r="E72" s="762" t="s">
        <v>134</v>
      </c>
      <c r="F72" s="423" t="s">
        <v>255</v>
      </c>
    </row>
    <row r="73" spans="2:6" x14ac:dyDescent="0.3">
      <c r="B73" s="759" t="s">
        <v>136</v>
      </c>
      <c r="C73" s="760">
        <v>111</v>
      </c>
      <c r="D73" s="747" t="s">
        <v>137</v>
      </c>
      <c r="E73" s="762" t="s">
        <v>136</v>
      </c>
      <c r="F73" s="423" t="s">
        <v>254</v>
      </c>
    </row>
    <row r="74" spans="2:6" x14ac:dyDescent="0.3">
      <c r="B74" s="759" t="s">
        <v>138</v>
      </c>
      <c r="C74" s="760">
        <v>680</v>
      </c>
      <c r="D74" s="747" t="s">
        <v>139</v>
      </c>
      <c r="E74" s="762" t="s">
        <v>138</v>
      </c>
      <c r="F74" s="423" t="s">
        <v>253</v>
      </c>
    </row>
    <row r="75" spans="2:6" x14ac:dyDescent="0.3">
      <c r="B75" s="759" t="s">
        <v>140</v>
      </c>
      <c r="C75" s="760">
        <v>113</v>
      </c>
      <c r="D75" s="747" t="s">
        <v>141</v>
      </c>
      <c r="E75" s="762" t="s">
        <v>140</v>
      </c>
      <c r="F75" s="423" t="s">
        <v>255</v>
      </c>
    </row>
    <row r="76" spans="2:6" x14ac:dyDescent="0.3">
      <c r="B76" s="759" t="s">
        <v>142</v>
      </c>
      <c r="C76" s="760">
        <v>683</v>
      </c>
      <c r="D76" s="747" t="s">
        <v>143</v>
      </c>
      <c r="E76" s="762" t="s">
        <v>142</v>
      </c>
      <c r="F76" s="423" t="s">
        <v>255</v>
      </c>
    </row>
    <row r="77" spans="2:6" x14ac:dyDescent="0.3">
      <c r="B77" s="759" t="s">
        <v>144</v>
      </c>
      <c r="C77" s="760">
        <v>685</v>
      </c>
      <c r="D77" s="747" t="s">
        <v>145</v>
      </c>
      <c r="E77" s="762" t="s">
        <v>144</v>
      </c>
      <c r="F77" s="423" t="s">
        <v>255</v>
      </c>
    </row>
    <row r="78" spans="2:6" x14ac:dyDescent="0.3">
      <c r="B78" s="759" t="s">
        <v>146</v>
      </c>
      <c r="C78" s="760">
        <v>115</v>
      </c>
      <c r="D78" s="747" t="s">
        <v>147</v>
      </c>
      <c r="E78" s="762" t="s">
        <v>146</v>
      </c>
      <c r="F78" s="423" t="s">
        <v>252</v>
      </c>
    </row>
    <row r="79" spans="2:6" x14ac:dyDescent="0.3">
      <c r="B79" s="759" t="s">
        <v>148</v>
      </c>
      <c r="C79" s="760">
        <v>117</v>
      </c>
      <c r="D79" s="747" t="s">
        <v>149</v>
      </c>
      <c r="E79" s="762" t="s">
        <v>148</v>
      </c>
      <c r="F79" s="423" t="s">
        <v>253</v>
      </c>
    </row>
    <row r="80" spans="2:6" x14ac:dyDescent="0.3">
      <c r="B80" s="759" t="s">
        <v>150</v>
      </c>
      <c r="C80" s="760">
        <v>119</v>
      </c>
      <c r="D80" s="747" t="s">
        <v>151</v>
      </c>
      <c r="E80" s="762" t="s">
        <v>150</v>
      </c>
      <c r="F80" s="423" t="s">
        <v>254</v>
      </c>
    </row>
    <row r="81" spans="2:6" x14ac:dyDescent="0.3">
      <c r="B81" s="759" t="s">
        <v>152</v>
      </c>
      <c r="C81" s="760">
        <v>121</v>
      </c>
      <c r="D81" s="747" t="s">
        <v>153</v>
      </c>
      <c r="E81" s="762" t="s">
        <v>152</v>
      </c>
      <c r="F81" s="423" t="s">
        <v>256</v>
      </c>
    </row>
    <row r="82" spans="2:6" x14ac:dyDescent="0.3">
      <c r="B82" s="759" t="s">
        <v>154</v>
      </c>
      <c r="C82" s="760">
        <v>125</v>
      </c>
      <c r="D82" s="747" t="s">
        <v>155</v>
      </c>
      <c r="E82" s="762" t="s">
        <v>154</v>
      </c>
      <c r="F82" s="423" t="s">
        <v>253</v>
      </c>
    </row>
    <row r="83" spans="2:6" x14ac:dyDescent="0.3">
      <c r="B83" s="759" t="s">
        <v>156</v>
      </c>
      <c r="C83" s="760">
        <v>127</v>
      </c>
      <c r="D83" s="747" t="s">
        <v>157</v>
      </c>
      <c r="E83" s="762" t="s">
        <v>156</v>
      </c>
      <c r="F83" s="423" t="s">
        <v>254</v>
      </c>
    </row>
    <row r="84" spans="2:6" x14ac:dyDescent="0.3">
      <c r="B84" s="763" t="s">
        <v>158</v>
      </c>
      <c r="C84" s="764">
        <v>700</v>
      </c>
      <c r="D84" s="747" t="s">
        <v>159</v>
      </c>
      <c r="E84" s="764" t="s">
        <v>158</v>
      </c>
      <c r="F84" s="423" t="s">
        <v>252</v>
      </c>
    </row>
    <row r="85" spans="2:6" x14ac:dyDescent="0.3">
      <c r="B85" s="759" t="s">
        <v>160</v>
      </c>
      <c r="C85" s="760">
        <v>710</v>
      </c>
      <c r="D85" s="747" t="s">
        <v>161</v>
      </c>
      <c r="E85" s="762" t="s">
        <v>160</v>
      </c>
      <c r="F85" s="423" t="s">
        <v>252</v>
      </c>
    </row>
    <row r="86" spans="2:6" x14ac:dyDescent="0.3">
      <c r="B86" s="759" t="s">
        <v>162</v>
      </c>
      <c r="C86" s="760">
        <v>131</v>
      </c>
      <c r="D86" s="747" t="s">
        <v>163</v>
      </c>
      <c r="E86" s="762" t="s">
        <v>162</v>
      </c>
      <c r="F86" s="423" t="s">
        <v>252</v>
      </c>
    </row>
    <row r="87" spans="2:6" x14ac:dyDescent="0.3">
      <c r="B87" s="759" t="s">
        <v>164</v>
      </c>
      <c r="C87" s="760">
        <v>133</v>
      </c>
      <c r="D87" s="747" t="s">
        <v>165</v>
      </c>
      <c r="E87" s="762" t="s">
        <v>164</v>
      </c>
      <c r="F87" s="423" t="s">
        <v>254</v>
      </c>
    </row>
    <row r="88" spans="2:6" x14ac:dyDescent="0.3">
      <c r="B88" s="759" t="s">
        <v>166</v>
      </c>
      <c r="C88" s="760">
        <v>720</v>
      </c>
      <c r="D88" s="747" t="s">
        <v>167</v>
      </c>
      <c r="E88" s="762" t="s">
        <v>166</v>
      </c>
      <c r="F88" s="423" t="s">
        <v>256</v>
      </c>
    </row>
    <row r="89" spans="2:6" x14ac:dyDescent="0.3">
      <c r="B89" s="759" t="s">
        <v>168</v>
      </c>
      <c r="C89" s="760">
        <v>135</v>
      </c>
      <c r="D89" s="747" t="s">
        <v>169</v>
      </c>
      <c r="E89" s="762" t="s">
        <v>168</v>
      </c>
      <c r="F89" s="423" t="s">
        <v>254</v>
      </c>
    </row>
    <row r="90" spans="2:6" x14ac:dyDescent="0.3">
      <c r="B90" s="759" t="s">
        <v>170</v>
      </c>
      <c r="C90" s="760">
        <v>137</v>
      </c>
      <c r="D90" s="747" t="s">
        <v>171</v>
      </c>
      <c r="E90" s="762" t="s">
        <v>170</v>
      </c>
      <c r="F90" s="423" t="s">
        <v>255</v>
      </c>
    </row>
    <row r="91" spans="2:6" x14ac:dyDescent="0.3">
      <c r="B91" s="759" t="s">
        <v>172</v>
      </c>
      <c r="C91" s="760">
        <v>139</v>
      </c>
      <c r="D91" s="747" t="s">
        <v>173</v>
      </c>
      <c r="E91" s="762" t="s">
        <v>172</v>
      </c>
      <c r="F91" s="423" t="s">
        <v>255</v>
      </c>
    </row>
    <row r="92" spans="2:6" x14ac:dyDescent="0.3">
      <c r="B92" s="759" t="s">
        <v>174</v>
      </c>
      <c r="C92" s="760">
        <v>141</v>
      </c>
      <c r="D92" s="747" t="s">
        <v>175</v>
      </c>
      <c r="E92" s="762" t="s">
        <v>174</v>
      </c>
      <c r="F92" s="423" t="s">
        <v>256</v>
      </c>
    </row>
    <row r="93" spans="2:6" x14ac:dyDescent="0.3">
      <c r="B93" s="759" t="s">
        <v>176</v>
      </c>
      <c r="C93" s="760">
        <v>730</v>
      </c>
      <c r="D93" s="747" t="s">
        <v>177</v>
      </c>
      <c r="E93" s="762" t="s">
        <v>176</v>
      </c>
      <c r="F93" s="423" t="s">
        <v>254</v>
      </c>
    </row>
    <row r="94" spans="2:6" x14ac:dyDescent="0.3">
      <c r="B94" s="759" t="s">
        <v>178</v>
      </c>
      <c r="C94" s="760">
        <v>143</v>
      </c>
      <c r="D94" s="747" t="s">
        <v>179</v>
      </c>
      <c r="E94" s="762" t="s">
        <v>178</v>
      </c>
      <c r="F94" s="423" t="s">
        <v>253</v>
      </c>
    </row>
    <row r="95" spans="2:6" x14ac:dyDescent="0.3">
      <c r="B95" s="759" t="s">
        <v>180</v>
      </c>
      <c r="C95" s="760">
        <v>740</v>
      </c>
      <c r="D95" s="747" t="s">
        <v>181</v>
      </c>
      <c r="E95" s="762" t="s">
        <v>180</v>
      </c>
      <c r="F95" s="423" t="s">
        <v>252</v>
      </c>
    </row>
    <row r="96" spans="2:6" x14ac:dyDescent="0.3">
      <c r="B96" s="759" t="s">
        <v>182</v>
      </c>
      <c r="C96" s="760">
        <v>145</v>
      </c>
      <c r="D96" s="747" t="s">
        <v>183</v>
      </c>
      <c r="E96" s="762" t="s">
        <v>182</v>
      </c>
      <c r="F96" s="423" t="s">
        <v>254</v>
      </c>
    </row>
    <row r="97" spans="2:6" x14ac:dyDescent="0.3">
      <c r="B97" s="759" t="s">
        <v>184</v>
      </c>
      <c r="C97" s="760">
        <v>147</v>
      </c>
      <c r="D97" s="747" t="s">
        <v>185</v>
      </c>
      <c r="E97" s="762" t="s">
        <v>184</v>
      </c>
      <c r="F97" s="423" t="s">
        <v>254</v>
      </c>
    </row>
    <row r="98" spans="2:6" x14ac:dyDescent="0.3">
      <c r="B98" s="759" t="s">
        <v>186</v>
      </c>
      <c r="C98" s="760">
        <v>149</v>
      </c>
      <c r="D98" s="747" t="s">
        <v>187</v>
      </c>
      <c r="E98" s="762" t="s">
        <v>186</v>
      </c>
      <c r="F98" s="423" t="s">
        <v>252</v>
      </c>
    </row>
    <row r="99" spans="2:6" x14ac:dyDescent="0.3">
      <c r="B99" s="759" t="s">
        <v>188</v>
      </c>
      <c r="C99" s="760">
        <v>153</v>
      </c>
      <c r="D99" s="747" t="s">
        <v>189</v>
      </c>
      <c r="E99" s="762" t="s">
        <v>188</v>
      </c>
      <c r="F99" s="423" t="s">
        <v>255</v>
      </c>
    </row>
    <row r="100" spans="2:6" x14ac:dyDescent="0.3">
      <c r="B100" s="759" t="s">
        <v>190</v>
      </c>
      <c r="C100" s="760">
        <v>155</v>
      </c>
      <c r="D100" s="747" t="s">
        <v>191</v>
      </c>
      <c r="E100" s="762" t="s">
        <v>190</v>
      </c>
      <c r="F100" s="423" t="s">
        <v>256</v>
      </c>
    </row>
    <row r="101" spans="2:6" x14ac:dyDescent="0.3">
      <c r="B101" s="759" t="s">
        <v>192</v>
      </c>
      <c r="C101" s="760">
        <v>750</v>
      </c>
      <c r="D101" s="747" t="s">
        <v>193</v>
      </c>
      <c r="E101" s="762" t="s">
        <v>192</v>
      </c>
      <c r="F101" s="423" t="s">
        <v>256</v>
      </c>
    </row>
    <row r="102" spans="2:6" x14ac:dyDescent="0.3">
      <c r="B102" s="759" t="s">
        <v>194</v>
      </c>
      <c r="C102" s="760">
        <v>157</v>
      </c>
      <c r="D102" s="747" t="s">
        <v>195</v>
      </c>
      <c r="E102" s="762" t="s">
        <v>194</v>
      </c>
      <c r="F102" s="423" t="s">
        <v>255</v>
      </c>
    </row>
    <row r="103" spans="2:6" x14ac:dyDescent="0.3">
      <c r="B103" s="759" t="s">
        <v>196</v>
      </c>
      <c r="C103" s="760">
        <v>760</v>
      </c>
      <c r="D103" s="747" t="s">
        <v>197</v>
      </c>
      <c r="E103" s="762" t="s">
        <v>196</v>
      </c>
      <c r="F103" s="423" t="s">
        <v>254</v>
      </c>
    </row>
    <row r="104" spans="2:6" x14ac:dyDescent="0.3">
      <c r="B104" s="759" t="s">
        <v>198</v>
      </c>
      <c r="C104" s="760">
        <v>159</v>
      </c>
      <c r="D104" s="747" t="s">
        <v>260</v>
      </c>
      <c r="E104" s="762" t="s">
        <v>198</v>
      </c>
      <c r="F104" s="423" t="s">
        <v>254</v>
      </c>
    </row>
    <row r="105" spans="2:6" x14ac:dyDescent="0.3">
      <c r="B105" s="759" t="s">
        <v>200</v>
      </c>
      <c r="C105" s="760">
        <v>770</v>
      </c>
      <c r="D105" s="747" t="s">
        <v>201</v>
      </c>
      <c r="E105" s="762" t="s">
        <v>200</v>
      </c>
      <c r="F105" s="423" t="s">
        <v>253</v>
      </c>
    </row>
    <row r="106" spans="2:6" x14ac:dyDescent="0.3">
      <c r="B106" s="759" t="s">
        <v>202</v>
      </c>
      <c r="C106" s="760">
        <v>161</v>
      </c>
      <c r="D106" s="747" t="s">
        <v>203</v>
      </c>
      <c r="E106" s="762" t="s">
        <v>202</v>
      </c>
      <c r="F106" s="423" t="s">
        <v>253</v>
      </c>
    </row>
    <row r="107" spans="2:6" x14ac:dyDescent="0.3">
      <c r="B107" s="759" t="s">
        <v>204</v>
      </c>
      <c r="C107" s="760">
        <v>163</v>
      </c>
      <c r="D107" s="747" t="s">
        <v>205</v>
      </c>
      <c r="E107" s="762" t="s">
        <v>204</v>
      </c>
      <c r="F107" s="423" t="s">
        <v>253</v>
      </c>
    </row>
    <row r="108" spans="2:6" x14ac:dyDescent="0.3">
      <c r="B108" s="759" t="s">
        <v>206</v>
      </c>
      <c r="C108" s="760">
        <v>165</v>
      </c>
      <c r="D108" s="747" t="s">
        <v>207</v>
      </c>
      <c r="E108" s="762" t="s">
        <v>206</v>
      </c>
      <c r="F108" s="423" t="s">
        <v>256</v>
      </c>
    </row>
    <row r="109" spans="2:6" x14ac:dyDescent="0.3">
      <c r="B109" s="759" t="s">
        <v>208</v>
      </c>
      <c r="C109" s="760">
        <v>167</v>
      </c>
      <c r="D109" s="747" t="s">
        <v>209</v>
      </c>
      <c r="E109" s="762" t="s">
        <v>208</v>
      </c>
      <c r="F109" s="423" t="s">
        <v>256</v>
      </c>
    </row>
    <row r="110" spans="2:6" x14ac:dyDescent="0.3">
      <c r="B110" s="759" t="s">
        <v>210</v>
      </c>
      <c r="C110" s="760">
        <v>169</v>
      </c>
      <c r="D110" s="747" t="s">
        <v>211</v>
      </c>
      <c r="E110" s="762" t="s">
        <v>210</v>
      </c>
      <c r="F110" s="423" t="s">
        <v>255</v>
      </c>
    </row>
    <row r="111" spans="2:6" x14ac:dyDescent="0.3">
      <c r="B111" s="759" t="s">
        <v>212</v>
      </c>
      <c r="C111" s="760">
        <v>171</v>
      </c>
      <c r="D111" s="747" t="s">
        <v>213</v>
      </c>
      <c r="E111" s="762" t="s">
        <v>212</v>
      </c>
      <c r="F111" s="423" t="s">
        <v>253</v>
      </c>
    </row>
    <row r="112" spans="2:6" x14ac:dyDescent="0.3">
      <c r="B112" s="759" t="s">
        <v>214</v>
      </c>
      <c r="C112" s="760">
        <v>173</v>
      </c>
      <c r="D112" s="747" t="s">
        <v>215</v>
      </c>
      <c r="E112" s="762" t="s">
        <v>214</v>
      </c>
      <c r="F112" s="423" t="s">
        <v>256</v>
      </c>
    </row>
    <row r="113" spans="2:6" x14ac:dyDescent="0.3">
      <c r="B113" s="759" t="s">
        <v>216</v>
      </c>
      <c r="C113" s="760">
        <v>175</v>
      </c>
      <c r="D113" s="747" t="s">
        <v>217</v>
      </c>
      <c r="E113" s="762" t="s">
        <v>216</v>
      </c>
      <c r="F113" s="423" t="s">
        <v>252</v>
      </c>
    </row>
    <row r="114" spans="2:6" x14ac:dyDescent="0.3">
      <c r="B114" s="759" t="s">
        <v>218</v>
      </c>
      <c r="C114" s="760">
        <v>177</v>
      </c>
      <c r="D114" s="747" t="s">
        <v>219</v>
      </c>
      <c r="E114" s="762" t="s">
        <v>218</v>
      </c>
      <c r="F114" s="423" t="s">
        <v>255</v>
      </c>
    </row>
    <row r="115" spans="2:6" x14ac:dyDescent="0.3">
      <c r="B115" s="759" t="s">
        <v>220</v>
      </c>
      <c r="C115" s="760">
        <v>179</v>
      </c>
      <c r="D115" s="747" t="s">
        <v>221</v>
      </c>
      <c r="E115" s="762" t="s">
        <v>220</v>
      </c>
      <c r="F115" s="423" t="s">
        <v>255</v>
      </c>
    </row>
    <row r="116" spans="2:6" x14ac:dyDescent="0.3">
      <c r="B116" s="759" t="s">
        <v>222</v>
      </c>
      <c r="C116" s="760">
        <v>800</v>
      </c>
      <c r="D116" s="747" t="s">
        <v>223</v>
      </c>
      <c r="E116" s="762" t="s">
        <v>222</v>
      </c>
      <c r="F116" s="423" t="s">
        <v>252</v>
      </c>
    </row>
    <row r="117" spans="2:6" x14ac:dyDescent="0.3">
      <c r="B117" s="759" t="s">
        <v>224</v>
      </c>
      <c r="C117" s="760">
        <v>181</v>
      </c>
      <c r="D117" s="747" t="s">
        <v>225</v>
      </c>
      <c r="E117" s="762" t="s">
        <v>224</v>
      </c>
      <c r="F117" s="423" t="s">
        <v>252</v>
      </c>
    </row>
    <row r="118" spans="2:6" x14ac:dyDescent="0.3">
      <c r="B118" s="759" t="s">
        <v>226</v>
      </c>
      <c r="C118" s="760">
        <v>183</v>
      </c>
      <c r="D118" s="747" t="s">
        <v>227</v>
      </c>
      <c r="E118" s="762" t="s">
        <v>226</v>
      </c>
      <c r="F118" s="423" t="s">
        <v>252</v>
      </c>
    </row>
    <row r="119" spans="2:6" x14ac:dyDescent="0.3">
      <c r="B119" s="759" t="s">
        <v>228</v>
      </c>
      <c r="C119" s="760">
        <v>185</v>
      </c>
      <c r="D119" s="747" t="s">
        <v>229</v>
      </c>
      <c r="E119" s="762" t="s">
        <v>228</v>
      </c>
      <c r="F119" s="423" t="s">
        <v>256</v>
      </c>
    </row>
    <row r="120" spans="2:6" x14ac:dyDescent="0.3">
      <c r="B120" s="759" t="s">
        <v>230</v>
      </c>
      <c r="C120" s="760">
        <v>810</v>
      </c>
      <c r="D120" s="747" t="s">
        <v>231</v>
      </c>
      <c r="E120" s="762" t="s">
        <v>230</v>
      </c>
      <c r="F120" s="423" t="s">
        <v>252</v>
      </c>
    </row>
    <row r="121" spans="2:6" x14ac:dyDescent="0.3">
      <c r="B121" s="759" t="s">
        <v>232</v>
      </c>
      <c r="C121" s="760">
        <v>187</v>
      </c>
      <c r="D121" s="747" t="s">
        <v>233</v>
      </c>
      <c r="E121" s="762" t="s">
        <v>232</v>
      </c>
      <c r="F121" s="423" t="s">
        <v>255</v>
      </c>
    </row>
    <row r="122" spans="2:6" x14ac:dyDescent="0.3">
      <c r="B122" s="759" t="s">
        <v>234</v>
      </c>
      <c r="C122" s="760">
        <v>191</v>
      </c>
      <c r="D122" s="747" t="s">
        <v>235</v>
      </c>
      <c r="E122" s="762" t="s">
        <v>234</v>
      </c>
      <c r="F122" s="423" t="s">
        <v>256</v>
      </c>
    </row>
    <row r="123" spans="2:6" x14ac:dyDescent="0.3">
      <c r="B123" s="759" t="s">
        <v>236</v>
      </c>
      <c r="C123" s="760">
        <v>193</v>
      </c>
      <c r="D123" s="747" t="s">
        <v>237</v>
      </c>
      <c r="E123" s="762" t="s">
        <v>236</v>
      </c>
      <c r="F123" s="423" t="s">
        <v>254</v>
      </c>
    </row>
    <row r="124" spans="2:6" x14ac:dyDescent="0.3">
      <c r="B124" s="759" t="s">
        <v>238</v>
      </c>
      <c r="C124" s="760">
        <v>830</v>
      </c>
      <c r="D124" s="747" t="s">
        <v>239</v>
      </c>
      <c r="E124" s="762" t="s">
        <v>238</v>
      </c>
      <c r="F124" s="423" t="s">
        <v>252</v>
      </c>
    </row>
    <row r="125" spans="2:6" x14ac:dyDescent="0.3">
      <c r="B125" s="759" t="s">
        <v>240</v>
      </c>
      <c r="C125" s="760">
        <v>840</v>
      </c>
      <c r="D125" s="747" t="s">
        <v>241</v>
      </c>
      <c r="E125" s="762" t="s">
        <v>240</v>
      </c>
      <c r="F125" s="423" t="s">
        <v>255</v>
      </c>
    </row>
    <row r="126" spans="2:6" x14ac:dyDescent="0.3">
      <c r="B126" s="759" t="s">
        <v>242</v>
      </c>
      <c r="C126" s="760">
        <v>195</v>
      </c>
      <c r="D126" s="747" t="s">
        <v>243</v>
      </c>
      <c r="E126" s="762" t="s">
        <v>242</v>
      </c>
      <c r="F126" s="423" t="s">
        <v>256</v>
      </c>
    </row>
    <row r="127" spans="2:6" x14ac:dyDescent="0.3">
      <c r="B127" s="759" t="s">
        <v>244</v>
      </c>
      <c r="C127" s="760">
        <v>197</v>
      </c>
      <c r="D127" s="747" t="s">
        <v>245</v>
      </c>
      <c r="E127" s="762" t="s">
        <v>244</v>
      </c>
      <c r="F127" s="423" t="s">
        <v>256</v>
      </c>
    </row>
    <row r="128" spans="2:6" x14ac:dyDescent="0.3">
      <c r="B128" s="765" t="s">
        <v>246</v>
      </c>
      <c r="C128" s="766">
        <v>199</v>
      </c>
      <c r="D128" s="767" t="s">
        <v>298</v>
      </c>
      <c r="E128" s="768" t="s">
        <v>246</v>
      </c>
      <c r="F128" s="423" t="s">
        <v>252</v>
      </c>
    </row>
    <row r="129" spans="2:5" x14ac:dyDescent="0.3">
      <c r="B129" s="2801" t="s">
        <v>651</v>
      </c>
      <c r="C129" s="2801"/>
      <c r="D129" s="2801"/>
      <c r="E129" s="2801"/>
    </row>
    <row r="130" spans="2:5" x14ac:dyDescent="0.3">
      <c r="B130" s="758"/>
      <c r="C130" s="758"/>
    </row>
    <row r="131" spans="2:5" x14ac:dyDescent="0.3">
      <c r="B131" s="2802" t="s">
        <v>248</v>
      </c>
      <c r="C131" s="2802"/>
      <c r="D131" s="2802"/>
      <c r="E131" s="2802"/>
    </row>
    <row r="132" spans="2:5" x14ac:dyDescent="0.3">
      <c r="B132" s="769" t="s">
        <v>249</v>
      </c>
      <c r="C132" s="769"/>
      <c r="D132" s="361" t="s">
        <v>250</v>
      </c>
      <c r="E132" s="770"/>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I23" sqref="I23"/>
    </sheetView>
  </sheetViews>
  <sheetFormatPr defaultRowHeight="15.6" x14ac:dyDescent="0.3"/>
  <sheetData>
    <row r="1" spans="1:4" x14ac:dyDescent="0.3">
      <c r="A1" t="s">
        <v>452</v>
      </c>
      <c r="D1" t="s">
        <v>453</v>
      </c>
    </row>
    <row r="2" spans="1:4" x14ac:dyDescent="0.3">
      <c r="D2" t="s">
        <v>454</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C8" sqref="C8"/>
    </sheetView>
  </sheetViews>
  <sheetFormatPr defaultRowHeight="15.6" x14ac:dyDescent="0.3"/>
  <sheetData>
    <row r="1" spans="1:1" x14ac:dyDescent="0.3">
      <c r="A1" t="s">
        <v>254</v>
      </c>
    </row>
    <row r="2" spans="1:1" x14ac:dyDescent="0.3">
      <c r="A2" t="s">
        <v>252</v>
      </c>
    </row>
    <row r="3" spans="1:1" x14ac:dyDescent="0.3">
      <c r="A3" t="s">
        <v>255</v>
      </c>
    </row>
    <row r="4" spans="1:1" x14ac:dyDescent="0.3">
      <c r="A4" t="s">
        <v>253</v>
      </c>
    </row>
    <row r="5" spans="1:1" x14ac:dyDescent="0.3">
      <c r="A5" t="s">
        <v>256</v>
      </c>
    </row>
    <row r="6" spans="1:1" x14ac:dyDescent="0.3">
      <c r="A6" t="s">
        <v>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134"/>
  <sheetViews>
    <sheetView workbookViewId="0">
      <pane xSplit="3" ySplit="5" topLeftCell="D6" activePane="bottomRight" state="frozen"/>
      <selection pane="topRight" activeCell="E1" sqref="E1"/>
      <selection pane="bottomLeft" activeCell="A6" sqref="A6"/>
      <selection pane="bottomRight" activeCell="A12" sqref="A12:XFD12"/>
    </sheetView>
  </sheetViews>
  <sheetFormatPr defaultColWidth="9" defaultRowHeight="13.8" x14ac:dyDescent="0.3"/>
  <cols>
    <col min="1" max="1" width="9" style="217"/>
    <col min="2" max="2" width="26.69921875" style="217" customWidth="1"/>
    <col min="3" max="12" width="12.09765625" style="217" customWidth="1"/>
    <col min="13" max="16384" width="9" style="217"/>
  </cols>
  <sheetData>
    <row r="1" spans="1:12" ht="14.4" x14ac:dyDescent="0.3">
      <c r="A1" s="1032" t="s">
        <v>1139</v>
      </c>
    </row>
    <row r="3" spans="1:12" x14ac:dyDescent="0.3">
      <c r="D3" s="2703" t="s">
        <v>952</v>
      </c>
      <c r="E3" s="2704"/>
      <c r="F3" s="2705"/>
      <c r="G3" s="2703" t="s">
        <v>951</v>
      </c>
      <c r="H3" s="2704"/>
      <c r="I3" s="2705"/>
      <c r="J3" s="2703" t="s">
        <v>950</v>
      </c>
      <c r="K3" s="2704"/>
      <c r="L3" s="2705"/>
    </row>
    <row r="4" spans="1:12" ht="27.6" x14ac:dyDescent="0.3">
      <c r="A4" s="65" t="s">
        <v>4</v>
      </c>
      <c r="B4" s="65" t="s">
        <v>469</v>
      </c>
      <c r="C4" s="65" t="s">
        <v>251</v>
      </c>
      <c r="D4" s="2402" t="s">
        <v>733</v>
      </c>
      <c r="E4" s="2403" t="s">
        <v>734</v>
      </c>
      <c r="F4" s="2404" t="s">
        <v>735</v>
      </c>
      <c r="G4" s="2402" t="s">
        <v>733</v>
      </c>
      <c r="H4" s="2403" t="s">
        <v>734</v>
      </c>
      <c r="I4" s="2404" t="s">
        <v>735</v>
      </c>
      <c r="J4" s="2402" t="s">
        <v>733</v>
      </c>
      <c r="K4" s="2403" t="s">
        <v>734</v>
      </c>
      <c r="L4" s="2404" t="s">
        <v>735</v>
      </c>
    </row>
    <row r="5" spans="1:12" x14ac:dyDescent="0.3">
      <c r="A5" s="1034">
        <v>999</v>
      </c>
      <c r="B5" s="1033" t="s">
        <v>670</v>
      </c>
      <c r="C5" s="1033"/>
      <c r="D5" s="2405">
        <v>8264098</v>
      </c>
      <c r="E5" s="2406">
        <v>884898</v>
      </c>
      <c r="F5" s="2407">
        <f t="shared" ref="F5" si="0">E5/D5</f>
        <v>0.10707738460991145</v>
      </c>
      <c r="G5" s="2405">
        <v>1839006</v>
      </c>
      <c r="H5" s="2406">
        <v>253481</v>
      </c>
      <c r="I5" s="2407">
        <f t="shared" ref="I5" si="1">H5/G5</f>
        <v>0.13783587437996395</v>
      </c>
      <c r="J5" s="2405">
        <v>1332231</v>
      </c>
      <c r="K5" s="2406">
        <v>169939</v>
      </c>
      <c r="L5" s="2407">
        <f t="shared" ref="L5" si="2">K5/J5</f>
        <v>0.12755970999023442</v>
      </c>
    </row>
    <row r="6" spans="1:12" x14ac:dyDescent="0.3">
      <c r="A6" s="217" t="s">
        <v>10</v>
      </c>
      <c r="B6" s="217" t="s">
        <v>11</v>
      </c>
      <c r="C6" s="232" t="s">
        <v>252</v>
      </c>
      <c r="D6" s="2408">
        <v>32003</v>
      </c>
      <c r="E6" s="2409">
        <v>5552</v>
      </c>
      <c r="F6" s="2410">
        <f t="shared" ref="F6:F37" si="3">E6/D6</f>
        <v>0.17348373589975941</v>
      </c>
      <c r="G6" s="2408">
        <v>6531</v>
      </c>
      <c r="H6" s="2409">
        <v>1761</v>
      </c>
      <c r="I6" s="2410">
        <f t="shared" ref="I6:I37" si="4">H6/G6</f>
        <v>0.26963711529627926</v>
      </c>
      <c r="J6" s="2408">
        <v>4751</v>
      </c>
      <c r="K6" s="2409">
        <v>1223</v>
      </c>
      <c r="L6" s="2410">
        <f t="shared" ref="L6:L37" si="5">K6/J6</f>
        <v>0.25741949063355085</v>
      </c>
    </row>
    <row r="7" spans="1:12" x14ac:dyDescent="0.3">
      <c r="A7" s="217" t="s">
        <v>12</v>
      </c>
      <c r="B7" s="217" t="s">
        <v>13</v>
      </c>
      <c r="C7" s="232" t="s">
        <v>253</v>
      </c>
      <c r="D7" s="2408">
        <v>102072</v>
      </c>
      <c r="E7" s="2409">
        <v>8912</v>
      </c>
      <c r="F7" s="2410">
        <f t="shared" si="3"/>
        <v>8.7310917783525357E-2</v>
      </c>
      <c r="G7" s="2408">
        <v>21272</v>
      </c>
      <c r="H7" s="2409">
        <v>2049</v>
      </c>
      <c r="I7" s="2410">
        <f t="shared" si="4"/>
        <v>9.6323805942083493E-2</v>
      </c>
      <c r="J7" s="2408">
        <v>15573</v>
      </c>
      <c r="K7" s="2409">
        <v>1208</v>
      </c>
      <c r="L7" s="2410">
        <f t="shared" si="5"/>
        <v>7.7570153470750663E-2</v>
      </c>
    </row>
    <row r="8" spans="1:12" x14ac:dyDescent="0.3">
      <c r="A8" s="217" t="s">
        <v>16</v>
      </c>
      <c r="B8" s="217" t="s">
        <v>285</v>
      </c>
      <c r="C8" s="232" t="s">
        <v>253</v>
      </c>
      <c r="D8" s="2408">
        <v>19986</v>
      </c>
      <c r="E8" s="2409">
        <v>2990</v>
      </c>
      <c r="F8" s="2410">
        <f t="shared" si="3"/>
        <v>0.14960472330631441</v>
      </c>
      <c r="G8" s="2408">
        <v>3659</v>
      </c>
      <c r="H8" s="232">
        <v>821</v>
      </c>
      <c r="I8" s="2410">
        <f t="shared" si="4"/>
        <v>0.22437824542224652</v>
      </c>
      <c r="J8" s="2408">
        <v>2886</v>
      </c>
      <c r="K8" s="232">
        <v>547</v>
      </c>
      <c r="L8" s="2410">
        <f t="shared" si="5"/>
        <v>0.18953568953568953</v>
      </c>
    </row>
    <row r="9" spans="1:12" x14ac:dyDescent="0.3">
      <c r="A9" s="217" t="s">
        <v>18</v>
      </c>
      <c r="B9" s="217" t="s">
        <v>19</v>
      </c>
      <c r="C9" s="232" t="s">
        <v>254</v>
      </c>
      <c r="D9" s="2408">
        <v>12871</v>
      </c>
      <c r="E9" s="2409">
        <v>1273</v>
      </c>
      <c r="F9" s="2410">
        <f t="shared" si="3"/>
        <v>9.890451402377437E-2</v>
      </c>
      <c r="G9" s="2408">
        <v>2619</v>
      </c>
      <c r="H9" s="232">
        <v>346</v>
      </c>
      <c r="I9" s="2410">
        <f t="shared" si="4"/>
        <v>0.1321114929362352</v>
      </c>
      <c r="J9" s="2408">
        <v>1966</v>
      </c>
      <c r="K9" s="232">
        <v>232</v>
      </c>
      <c r="L9" s="2410">
        <f t="shared" si="5"/>
        <v>0.11800610376398779</v>
      </c>
    </row>
    <row r="10" spans="1:12" x14ac:dyDescent="0.3">
      <c r="A10" s="217" t="s">
        <v>20</v>
      </c>
      <c r="B10" s="217" t="s">
        <v>21</v>
      </c>
      <c r="C10" s="232" t="s">
        <v>253</v>
      </c>
      <c r="D10" s="2408">
        <v>30564</v>
      </c>
      <c r="E10" s="2409">
        <v>3969</v>
      </c>
      <c r="F10" s="2410">
        <f t="shared" si="3"/>
        <v>0.12985865724381626</v>
      </c>
      <c r="G10" s="2408">
        <v>6103</v>
      </c>
      <c r="H10" s="2409">
        <v>1130</v>
      </c>
      <c r="I10" s="2410">
        <f t="shared" si="4"/>
        <v>0.18515484188104211</v>
      </c>
      <c r="J10" s="2408">
        <v>4456</v>
      </c>
      <c r="K10" s="232">
        <v>762</v>
      </c>
      <c r="L10" s="2410">
        <f t="shared" si="5"/>
        <v>0.17100538599640933</v>
      </c>
    </row>
    <row r="11" spans="1:12" x14ac:dyDescent="0.3">
      <c r="A11" s="217" t="s">
        <v>22</v>
      </c>
      <c r="B11" s="217" t="s">
        <v>23</v>
      </c>
      <c r="C11" s="232" t="s">
        <v>253</v>
      </c>
      <c r="D11" s="2408">
        <v>15725</v>
      </c>
      <c r="E11" s="2409">
        <v>2123</v>
      </c>
      <c r="F11" s="2410">
        <f t="shared" si="3"/>
        <v>0.13500794912559619</v>
      </c>
      <c r="G11" s="2408">
        <v>3288</v>
      </c>
      <c r="H11" s="232">
        <v>637</v>
      </c>
      <c r="I11" s="2410">
        <f t="shared" si="4"/>
        <v>0.19373479318734793</v>
      </c>
      <c r="J11" s="2408">
        <v>2375</v>
      </c>
      <c r="K11" s="232">
        <v>438</v>
      </c>
      <c r="L11" s="2410">
        <f t="shared" si="5"/>
        <v>0.18442105263157896</v>
      </c>
    </row>
    <row r="12" spans="1:12" x14ac:dyDescent="0.3">
      <c r="A12" s="217" t="s">
        <v>24</v>
      </c>
      <c r="B12" s="217" t="s">
        <v>25</v>
      </c>
      <c r="C12" s="232" t="s">
        <v>255</v>
      </c>
      <c r="D12" s="2408">
        <v>234770</v>
      </c>
      <c r="E12" s="2409">
        <v>14842</v>
      </c>
      <c r="F12" s="2410">
        <f t="shared" si="3"/>
        <v>6.3219321037611284E-2</v>
      </c>
      <c r="G12" s="2408">
        <v>42438</v>
      </c>
      <c r="H12" s="2409">
        <v>3102</v>
      </c>
      <c r="I12" s="2410">
        <f t="shared" si="4"/>
        <v>7.3094867807153963E-2</v>
      </c>
      <c r="J12" s="2408">
        <v>28282</v>
      </c>
      <c r="K12" s="2409">
        <v>2094</v>
      </c>
      <c r="L12" s="2410">
        <f t="shared" si="5"/>
        <v>7.4040025457888403E-2</v>
      </c>
    </row>
    <row r="13" spans="1:12" x14ac:dyDescent="0.3">
      <c r="A13" s="217" t="s">
        <v>26</v>
      </c>
      <c r="B13" s="217" t="s">
        <v>286</v>
      </c>
      <c r="C13" s="232" t="s">
        <v>253</v>
      </c>
      <c r="D13" s="2408">
        <v>118706</v>
      </c>
      <c r="E13" s="2409">
        <v>12838</v>
      </c>
      <c r="F13" s="2410">
        <f t="shared" si="3"/>
        <v>0.10814954593702088</v>
      </c>
      <c r="G13" s="2408">
        <v>23973</v>
      </c>
      <c r="H13" s="2409">
        <v>3913</v>
      </c>
      <c r="I13" s="2410">
        <f t="shared" si="4"/>
        <v>0.16322529512368081</v>
      </c>
      <c r="J13" s="2408">
        <v>17286</v>
      </c>
      <c r="K13" s="2409">
        <v>2545</v>
      </c>
      <c r="L13" s="2410">
        <f t="shared" si="5"/>
        <v>0.14722897142195998</v>
      </c>
    </row>
    <row r="14" spans="1:12" x14ac:dyDescent="0.3">
      <c r="A14" s="217" t="s">
        <v>27</v>
      </c>
      <c r="B14" s="217" t="s">
        <v>28</v>
      </c>
      <c r="C14" s="232" t="s">
        <v>253</v>
      </c>
      <c r="D14" s="2408">
        <v>4229</v>
      </c>
      <c r="E14" s="232">
        <v>451</v>
      </c>
      <c r="F14" s="2410">
        <f t="shared" si="3"/>
        <v>0.10664459683140222</v>
      </c>
      <c r="G14" s="2411">
        <v>633</v>
      </c>
      <c r="H14" s="232">
        <v>94</v>
      </c>
      <c r="I14" s="2410">
        <f t="shared" si="4"/>
        <v>0.14849921011058451</v>
      </c>
      <c r="J14" s="2411">
        <v>448</v>
      </c>
      <c r="K14" s="232">
        <v>65</v>
      </c>
      <c r="L14" s="2410">
        <f t="shared" si="5"/>
        <v>0.14508928571428573</v>
      </c>
    </row>
    <row r="15" spans="1:12" x14ac:dyDescent="0.3">
      <c r="A15" s="217" t="s">
        <v>29</v>
      </c>
      <c r="B15" s="232" t="s">
        <v>736</v>
      </c>
      <c r="C15" s="232" t="s">
        <v>253</v>
      </c>
      <c r="D15" s="2408">
        <v>78222</v>
      </c>
      <c r="E15" s="2409">
        <v>8162</v>
      </c>
      <c r="F15" s="2410">
        <f t="shared" si="3"/>
        <v>0.1043440464319501</v>
      </c>
      <c r="G15" s="2408">
        <v>15376</v>
      </c>
      <c r="H15" s="2409">
        <v>2018</v>
      </c>
      <c r="I15" s="2410">
        <f t="shared" si="4"/>
        <v>0.13124349635796045</v>
      </c>
      <c r="J15" s="2408">
        <v>11775</v>
      </c>
      <c r="K15" s="2409">
        <v>1393</v>
      </c>
      <c r="L15" s="2410">
        <f t="shared" si="5"/>
        <v>0.11830148619957537</v>
      </c>
    </row>
    <row r="16" spans="1:12" x14ac:dyDescent="0.3">
      <c r="A16" s="217" t="s">
        <v>30</v>
      </c>
      <c r="B16" s="217" t="s">
        <v>31</v>
      </c>
      <c r="C16" s="232" t="s">
        <v>256</v>
      </c>
      <c r="D16" s="2408">
        <v>5592</v>
      </c>
      <c r="E16" s="232">
        <v>786</v>
      </c>
      <c r="F16" s="2410">
        <f t="shared" si="3"/>
        <v>0.1405579399141631</v>
      </c>
      <c r="G16" s="2408">
        <v>943</v>
      </c>
      <c r="H16" s="232">
        <v>141</v>
      </c>
      <c r="I16" s="2410">
        <f t="shared" si="4"/>
        <v>0.14952279957582185</v>
      </c>
      <c r="J16" s="2411">
        <v>704</v>
      </c>
      <c r="K16" s="232">
        <v>94</v>
      </c>
      <c r="L16" s="2410">
        <f t="shared" si="5"/>
        <v>0.13352272727272727</v>
      </c>
    </row>
    <row r="17" spans="1:12" x14ac:dyDescent="0.3">
      <c r="A17" s="217" t="s">
        <v>32</v>
      </c>
      <c r="B17" s="217" t="s">
        <v>33</v>
      </c>
      <c r="C17" s="232" t="s">
        <v>253</v>
      </c>
      <c r="D17" s="2408">
        <v>32938</v>
      </c>
      <c r="E17" s="2409">
        <v>2441</v>
      </c>
      <c r="F17" s="2410">
        <f t="shared" si="3"/>
        <v>7.4108931932722083E-2</v>
      </c>
      <c r="G17" s="2408">
        <v>6164</v>
      </c>
      <c r="H17" s="232">
        <v>531</v>
      </c>
      <c r="I17" s="2410">
        <f t="shared" si="4"/>
        <v>8.614536015574302E-2</v>
      </c>
      <c r="J17" s="2408">
        <v>4757</v>
      </c>
      <c r="K17" s="232">
        <v>360</v>
      </c>
      <c r="L17" s="2410">
        <f t="shared" si="5"/>
        <v>7.5677948286735339E-2</v>
      </c>
    </row>
    <row r="18" spans="1:12" x14ac:dyDescent="0.3">
      <c r="A18" s="217" t="s">
        <v>36</v>
      </c>
      <c r="B18" s="217" t="s">
        <v>37</v>
      </c>
      <c r="C18" s="232" t="s">
        <v>252</v>
      </c>
      <c r="D18" s="2408">
        <v>14171</v>
      </c>
      <c r="E18" s="2409">
        <v>3187</v>
      </c>
      <c r="F18" s="2410">
        <f t="shared" si="3"/>
        <v>0.22489591419095337</v>
      </c>
      <c r="G18" s="2408">
        <v>2629</v>
      </c>
      <c r="H18" s="232">
        <v>711</v>
      </c>
      <c r="I18" s="2410">
        <f t="shared" si="4"/>
        <v>0.27044503613541271</v>
      </c>
      <c r="J18" s="2408">
        <v>1954</v>
      </c>
      <c r="K18" s="232">
        <v>489</v>
      </c>
      <c r="L18" s="2410">
        <f t="shared" si="5"/>
        <v>0.25025588536335719</v>
      </c>
    </row>
    <row r="19" spans="1:12" x14ac:dyDescent="0.3">
      <c r="A19" s="217" t="s">
        <v>38</v>
      </c>
      <c r="B19" s="217" t="s">
        <v>39</v>
      </c>
      <c r="C19" s="232" t="s">
        <v>256</v>
      </c>
      <c r="D19" s="2408">
        <v>20209</v>
      </c>
      <c r="E19" s="2409">
        <v>5568</v>
      </c>
      <c r="F19" s="2410">
        <f t="shared" si="3"/>
        <v>0.27552080756098768</v>
      </c>
      <c r="G19" s="2408">
        <v>3447</v>
      </c>
      <c r="H19" s="2409">
        <v>1118</v>
      </c>
      <c r="I19" s="2410">
        <f t="shared" si="4"/>
        <v>0.32434000580214678</v>
      </c>
      <c r="J19" s="2408">
        <v>2614</v>
      </c>
      <c r="K19" s="232">
        <v>747</v>
      </c>
      <c r="L19" s="2410">
        <f t="shared" si="5"/>
        <v>0.28576893649579188</v>
      </c>
    </row>
    <row r="20" spans="1:12" x14ac:dyDescent="0.3">
      <c r="A20" s="217" t="s">
        <v>40</v>
      </c>
      <c r="B20" s="217" t="s">
        <v>41</v>
      </c>
      <c r="C20" s="232" t="s">
        <v>254</v>
      </c>
      <c r="D20" s="2408">
        <v>14796</v>
      </c>
      <c r="E20" s="2409">
        <v>2993</v>
      </c>
      <c r="F20" s="2410">
        <f t="shared" si="3"/>
        <v>0.20228440118951069</v>
      </c>
      <c r="G20" s="2408">
        <v>2933</v>
      </c>
      <c r="H20" s="232">
        <v>730</v>
      </c>
      <c r="I20" s="2410">
        <f t="shared" si="4"/>
        <v>0.24889191953631096</v>
      </c>
      <c r="J20" s="2408">
        <v>2251</v>
      </c>
      <c r="K20" s="232">
        <v>507</v>
      </c>
      <c r="L20" s="2410">
        <f t="shared" si="5"/>
        <v>0.2252332296756997</v>
      </c>
    </row>
    <row r="21" spans="1:12" x14ac:dyDescent="0.3">
      <c r="A21" s="217" t="s">
        <v>42</v>
      </c>
      <c r="B21" s="217" t="s">
        <v>43</v>
      </c>
      <c r="C21" s="232" t="s">
        <v>253</v>
      </c>
      <c r="D21" s="2408">
        <v>54418</v>
      </c>
      <c r="E21" s="2409">
        <v>6132</v>
      </c>
      <c r="F21" s="2410">
        <f t="shared" si="3"/>
        <v>0.11268330331875483</v>
      </c>
      <c r="G21" s="2408">
        <v>10479</v>
      </c>
      <c r="H21" s="2409">
        <v>1736</v>
      </c>
      <c r="I21" s="2410">
        <f t="shared" si="4"/>
        <v>0.16566466265865062</v>
      </c>
      <c r="J21" s="2408">
        <v>7860</v>
      </c>
      <c r="K21" s="2409">
        <v>1199</v>
      </c>
      <c r="L21" s="2410">
        <f t="shared" si="5"/>
        <v>0.1525445292620865</v>
      </c>
    </row>
    <row r="22" spans="1:12" x14ac:dyDescent="0.3">
      <c r="A22" s="217" t="s">
        <v>44</v>
      </c>
      <c r="B22" s="217" t="s">
        <v>45</v>
      </c>
      <c r="C22" s="232" t="s">
        <v>254</v>
      </c>
      <c r="D22" s="2408">
        <v>30136</v>
      </c>
      <c r="E22" s="2409">
        <v>2930</v>
      </c>
      <c r="F22" s="2410">
        <f t="shared" si="3"/>
        <v>9.7225909211574202E-2</v>
      </c>
      <c r="G22" s="2408">
        <v>6932</v>
      </c>
      <c r="H22" s="2409">
        <v>1055</v>
      </c>
      <c r="I22" s="2410">
        <f t="shared" si="4"/>
        <v>0.1521927293710329</v>
      </c>
      <c r="J22" s="2408">
        <v>4932</v>
      </c>
      <c r="K22" s="232">
        <v>707</v>
      </c>
      <c r="L22" s="2410">
        <f t="shared" si="5"/>
        <v>0.14334955393349555</v>
      </c>
    </row>
    <row r="23" spans="1:12" x14ac:dyDescent="0.3">
      <c r="A23" s="217" t="s">
        <v>46</v>
      </c>
      <c r="B23" s="217" t="s">
        <v>47</v>
      </c>
      <c r="C23" s="232" t="s">
        <v>256</v>
      </c>
      <c r="D23" s="2408">
        <v>29417</v>
      </c>
      <c r="E23" s="2409">
        <v>4605</v>
      </c>
      <c r="F23" s="2410">
        <f t="shared" si="3"/>
        <v>0.15654213549988102</v>
      </c>
      <c r="G23" s="2408">
        <v>5272</v>
      </c>
      <c r="H23" s="2409">
        <v>1215</v>
      </c>
      <c r="I23" s="2410">
        <f t="shared" si="4"/>
        <v>0.2304628224582701</v>
      </c>
      <c r="J23" s="2408">
        <v>3964</v>
      </c>
      <c r="K23" s="232">
        <v>803</v>
      </c>
      <c r="L23" s="2410">
        <f t="shared" si="5"/>
        <v>0.20257315842583248</v>
      </c>
    </row>
    <row r="24" spans="1:12" x14ac:dyDescent="0.3">
      <c r="A24" s="217" t="s">
        <v>48</v>
      </c>
      <c r="B24" s="217" t="s">
        <v>257</v>
      </c>
      <c r="C24" s="232" t="s">
        <v>254</v>
      </c>
      <c r="D24" s="2408">
        <v>6921</v>
      </c>
      <c r="E24" s="232">
        <v>851</v>
      </c>
      <c r="F24" s="2410">
        <f t="shared" si="3"/>
        <v>0.12295910995520878</v>
      </c>
      <c r="G24" s="2408">
        <v>1032</v>
      </c>
      <c r="H24" s="232">
        <v>194</v>
      </c>
      <c r="I24" s="2410">
        <f t="shared" si="4"/>
        <v>0.18798449612403101</v>
      </c>
      <c r="J24" s="2411">
        <v>778</v>
      </c>
      <c r="K24" s="232">
        <v>138</v>
      </c>
      <c r="L24" s="2410">
        <f t="shared" si="5"/>
        <v>0.17737789203084833</v>
      </c>
    </row>
    <row r="25" spans="1:12" x14ac:dyDescent="0.3">
      <c r="A25" s="217" t="s">
        <v>50</v>
      </c>
      <c r="B25" s="217" t="s">
        <v>51</v>
      </c>
      <c r="C25" s="232" t="s">
        <v>253</v>
      </c>
      <c r="D25" s="2408">
        <v>11749</v>
      </c>
      <c r="E25" s="2409">
        <v>2264</v>
      </c>
      <c r="F25" s="2410">
        <f t="shared" si="3"/>
        <v>0.19269725082985786</v>
      </c>
      <c r="G25" s="2408">
        <v>2438</v>
      </c>
      <c r="H25" s="232">
        <v>724</v>
      </c>
      <c r="I25" s="2410">
        <f t="shared" si="4"/>
        <v>0.2969647251845775</v>
      </c>
      <c r="J25" s="2408">
        <v>1789</v>
      </c>
      <c r="K25" s="232">
        <v>517</v>
      </c>
      <c r="L25" s="2410">
        <f t="shared" si="5"/>
        <v>0.28898826159865848</v>
      </c>
    </row>
    <row r="26" spans="1:12" x14ac:dyDescent="0.3">
      <c r="A26" s="217" t="s">
        <v>56</v>
      </c>
      <c r="B26" s="217" t="s">
        <v>283</v>
      </c>
      <c r="C26" s="232" t="s">
        <v>254</v>
      </c>
      <c r="D26" s="2408">
        <v>360851</v>
      </c>
      <c r="E26" s="2409">
        <v>27849</v>
      </c>
      <c r="F26" s="2410">
        <f t="shared" si="3"/>
        <v>7.7175898085359337E-2</v>
      </c>
      <c r="G26" s="2408">
        <v>85612</v>
      </c>
      <c r="H26" s="2409">
        <v>8803</v>
      </c>
      <c r="I26" s="2410">
        <f t="shared" si="4"/>
        <v>0.10282437041536233</v>
      </c>
      <c r="J26" s="2408">
        <v>63605</v>
      </c>
      <c r="K26" s="2409">
        <v>5804</v>
      </c>
      <c r="L26" s="2410">
        <f t="shared" si="5"/>
        <v>9.1250687839006361E-2</v>
      </c>
    </row>
    <row r="27" spans="1:12" x14ac:dyDescent="0.3">
      <c r="A27" s="217" t="s">
        <v>58</v>
      </c>
      <c r="B27" s="217" t="s">
        <v>59</v>
      </c>
      <c r="C27" s="232" t="s">
        <v>255</v>
      </c>
      <c r="D27" s="2408">
        <v>14324</v>
      </c>
      <c r="E27" s="2409">
        <v>934</v>
      </c>
      <c r="F27" s="2410">
        <f t="shared" si="3"/>
        <v>6.5205249930187101E-2</v>
      </c>
      <c r="G27" s="2408">
        <v>2807</v>
      </c>
      <c r="H27" s="232">
        <v>225</v>
      </c>
      <c r="I27" s="2410">
        <f t="shared" si="4"/>
        <v>8.0156750979693617E-2</v>
      </c>
      <c r="J27" s="2408">
        <v>2136</v>
      </c>
      <c r="K27" s="232">
        <v>150</v>
      </c>
      <c r="L27" s="2410">
        <f t="shared" si="5"/>
        <v>7.02247191011236E-2</v>
      </c>
    </row>
    <row r="28" spans="1:12" x14ac:dyDescent="0.3">
      <c r="A28" s="217" t="s">
        <v>60</v>
      </c>
      <c r="B28" s="217" t="s">
        <v>61</v>
      </c>
      <c r="C28" s="232" t="s">
        <v>253</v>
      </c>
      <c r="D28" s="2408">
        <v>5041</v>
      </c>
      <c r="E28" s="232">
        <v>599</v>
      </c>
      <c r="F28" s="2410">
        <f t="shared" si="3"/>
        <v>0.11882562983535012</v>
      </c>
      <c r="G28" s="2408">
        <v>864</v>
      </c>
      <c r="H28" s="232">
        <v>183</v>
      </c>
      <c r="I28" s="2410">
        <f t="shared" si="4"/>
        <v>0.21180555555555555</v>
      </c>
      <c r="J28" s="2411">
        <v>672</v>
      </c>
      <c r="K28" s="232">
        <v>130</v>
      </c>
      <c r="L28" s="2410">
        <f t="shared" si="5"/>
        <v>0.19345238095238096</v>
      </c>
    </row>
    <row r="29" spans="1:12" x14ac:dyDescent="0.3">
      <c r="A29" s="217" t="s">
        <v>62</v>
      </c>
      <c r="B29" s="217" t="s">
        <v>63</v>
      </c>
      <c r="C29" s="232" t="s">
        <v>255</v>
      </c>
      <c r="D29" s="2408">
        <v>50220</v>
      </c>
      <c r="E29" s="2409">
        <v>4375</v>
      </c>
      <c r="F29" s="2410">
        <f t="shared" si="3"/>
        <v>8.7116686579052166E-2</v>
      </c>
      <c r="G29" s="2408">
        <v>12546</v>
      </c>
      <c r="H29" s="2409">
        <v>1419</v>
      </c>
      <c r="I29" s="2410">
        <f t="shared" si="4"/>
        <v>0.11310377809660449</v>
      </c>
      <c r="J29" s="2408">
        <v>9210</v>
      </c>
      <c r="K29" s="2409">
        <v>977</v>
      </c>
      <c r="L29" s="2410">
        <f t="shared" si="5"/>
        <v>0.10608034744842562</v>
      </c>
    </row>
    <row r="30" spans="1:12" x14ac:dyDescent="0.3">
      <c r="A30" s="217" t="s">
        <v>64</v>
      </c>
      <c r="B30" s="217" t="s">
        <v>65</v>
      </c>
      <c r="C30" s="232" t="s">
        <v>254</v>
      </c>
      <c r="D30" s="2408">
        <v>9782</v>
      </c>
      <c r="E30" s="2409">
        <v>1535</v>
      </c>
      <c r="F30" s="2410">
        <f t="shared" si="3"/>
        <v>0.15692087507667143</v>
      </c>
      <c r="G30" s="2408">
        <v>1872</v>
      </c>
      <c r="H30" s="232">
        <v>471</v>
      </c>
      <c r="I30" s="2410">
        <f t="shared" si="4"/>
        <v>0.2516025641025641</v>
      </c>
      <c r="J30" s="2408">
        <v>1399</v>
      </c>
      <c r="K30" s="232">
        <v>332</v>
      </c>
      <c r="L30" s="2410">
        <f t="shared" si="5"/>
        <v>0.23731236597569694</v>
      </c>
    </row>
    <row r="31" spans="1:12" x14ac:dyDescent="0.3">
      <c r="A31" s="217" t="s">
        <v>68</v>
      </c>
      <c r="B31" s="217" t="s">
        <v>69</v>
      </c>
      <c r="C31" s="232" t="s">
        <v>256</v>
      </c>
      <c r="D31" s="2408">
        <v>13986</v>
      </c>
      <c r="E31" s="2409">
        <v>3520</v>
      </c>
      <c r="F31" s="2410">
        <f t="shared" si="3"/>
        <v>0.25168025168025165</v>
      </c>
      <c r="G31" s="2408">
        <v>2835</v>
      </c>
      <c r="H31" s="232">
        <v>815</v>
      </c>
      <c r="I31" s="2410">
        <f t="shared" si="4"/>
        <v>0.2874779541446208</v>
      </c>
      <c r="J31" s="2408">
        <v>2149</v>
      </c>
      <c r="K31" s="232">
        <v>540</v>
      </c>
      <c r="L31" s="2410">
        <f t="shared" si="5"/>
        <v>0.25127966496044674</v>
      </c>
    </row>
    <row r="32" spans="1:12" x14ac:dyDescent="0.3">
      <c r="A32" s="217" t="s">
        <v>70</v>
      </c>
      <c r="B32" s="217" t="s">
        <v>71</v>
      </c>
      <c r="C32" s="232" t="s">
        <v>252</v>
      </c>
      <c r="D32" s="2408">
        <v>27980</v>
      </c>
      <c r="E32" s="2409">
        <v>3486</v>
      </c>
      <c r="F32" s="2410">
        <f t="shared" si="3"/>
        <v>0.12458899213724088</v>
      </c>
      <c r="G32" s="2408">
        <v>5598</v>
      </c>
      <c r="H32" s="232">
        <v>996</v>
      </c>
      <c r="I32" s="2410">
        <f t="shared" si="4"/>
        <v>0.17792068595927116</v>
      </c>
      <c r="J32" s="2408">
        <v>4250</v>
      </c>
      <c r="K32" s="232">
        <v>699</v>
      </c>
      <c r="L32" s="2410">
        <f t="shared" si="5"/>
        <v>0.16447058823529412</v>
      </c>
    </row>
    <row r="33" spans="1:12" x14ac:dyDescent="0.3">
      <c r="A33" s="217" t="s">
        <v>72</v>
      </c>
      <c r="B33" s="217" t="s">
        <v>73</v>
      </c>
      <c r="C33" s="232" t="s">
        <v>254</v>
      </c>
      <c r="D33" s="2408">
        <v>10776</v>
      </c>
      <c r="E33" s="2409">
        <v>1478</v>
      </c>
      <c r="F33" s="2410">
        <f t="shared" si="3"/>
        <v>0.13715664439495173</v>
      </c>
      <c r="G33" s="2408">
        <v>1962</v>
      </c>
      <c r="H33" s="232">
        <v>460</v>
      </c>
      <c r="I33" s="2410">
        <f t="shared" si="4"/>
        <v>0.2344546381243629</v>
      </c>
      <c r="J33" s="2408">
        <v>1397</v>
      </c>
      <c r="K33" s="232">
        <v>316</v>
      </c>
      <c r="L33" s="2410">
        <f t="shared" si="5"/>
        <v>0.22619899785254116</v>
      </c>
    </row>
    <row r="34" spans="1:12" x14ac:dyDescent="0.3">
      <c r="A34" s="217" t="s">
        <v>74</v>
      </c>
      <c r="B34" s="217" t="s">
        <v>284</v>
      </c>
      <c r="C34" s="232" t="s">
        <v>255</v>
      </c>
      <c r="D34" s="2408">
        <v>1176944</v>
      </c>
      <c r="E34" s="2409">
        <v>71735</v>
      </c>
      <c r="F34" s="2410">
        <f t="shared" si="3"/>
        <v>6.0950223630011284E-2</v>
      </c>
      <c r="G34" s="2408">
        <v>275629</v>
      </c>
      <c r="H34" s="2409">
        <v>19677</v>
      </c>
      <c r="I34" s="2410">
        <f t="shared" si="4"/>
        <v>7.1389440153249481E-2</v>
      </c>
      <c r="J34" s="2408">
        <v>200299</v>
      </c>
      <c r="K34" s="2409">
        <v>13353</v>
      </c>
      <c r="L34" s="2410">
        <f t="shared" si="5"/>
        <v>6.666533532369108E-2</v>
      </c>
    </row>
    <row r="35" spans="1:12" x14ac:dyDescent="0.3">
      <c r="A35" s="217" t="s">
        <v>76</v>
      </c>
      <c r="B35" s="217" t="s">
        <v>77</v>
      </c>
      <c r="C35" s="232" t="s">
        <v>255</v>
      </c>
      <c r="D35" s="2408">
        <v>70082</v>
      </c>
      <c r="E35" s="2409">
        <v>4260</v>
      </c>
      <c r="F35" s="2410">
        <f t="shared" si="3"/>
        <v>6.0785936474415686E-2</v>
      </c>
      <c r="G35" s="2408">
        <v>16230</v>
      </c>
      <c r="H35" s="2409">
        <v>1105</v>
      </c>
      <c r="I35" s="2410">
        <f t="shared" si="4"/>
        <v>6.8083795440542202E-2</v>
      </c>
      <c r="J35" s="2408">
        <v>12104</v>
      </c>
      <c r="K35" s="232">
        <v>737</v>
      </c>
      <c r="L35" s="2410">
        <f t="shared" si="5"/>
        <v>6.0888962326503634E-2</v>
      </c>
    </row>
    <row r="36" spans="1:12" x14ac:dyDescent="0.3">
      <c r="A36" s="217" t="s">
        <v>78</v>
      </c>
      <c r="B36" s="217" t="s">
        <v>79</v>
      </c>
      <c r="C36" s="232" t="s">
        <v>256</v>
      </c>
      <c r="D36" s="2408">
        <v>15665</v>
      </c>
      <c r="E36" s="2409">
        <v>1922</v>
      </c>
      <c r="F36" s="2410">
        <f t="shared" si="3"/>
        <v>0.12269390360676667</v>
      </c>
      <c r="G36" s="2408">
        <v>3065</v>
      </c>
      <c r="H36" s="232">
        <v>561</v>
      </c>
      <c r="I36" s="2410">
        <f t="shared" si="4"/>
        <v>0.18303425774877652</v>
      </c>
      <c r="J36" s="2408">
        <v>2288</v>
      </c>
      <c r="K36" s="232">
        <v>382</v>
      </c>
      <c r="L36" s="2410">
        <f t="shared" si="5"/>
        <v>0.16695804195804195</v>
      </c>
    </row>
    <row r="37" spans="1:12" x14ac:dyDescent="0.3">
      <c r="A37" s="217" t="s">
        <v>80</v>
      </c>
      <c r="B37" s="217" t="s">
        <v>81</v>
      </c>
      <c r="C37" s="232" t="s">
        <v>254</v>
      </c>
      <c r="D37" s="2408">
        <v>25458</v>
      </c>
      <c r="E37" s="2409">
        <v>1749</v>
      </c>
      <c r="F37" s="2410">
        <f t="shared" si="3"/>
        <v>6.8701390525571532E-2</v>
      </c>
      <c r="G37" s="2408">
        <v>5196</v>
      </c>
      <c r="H37" s="232">
        <v>469</v>
      </c>
      <c r="I37" s="2410">
        <f t="shared" si="4"/>
        <v>9.026173979984603E-2</v>
      </c>
      <c r="J37" s="2408">
        <v>3901</v>
      </c>
      <c r="K37" s="232">
        <v>312</v>
      </c>
      <c r="L37" s="2410">
        <f t="shared" si="5"/>
        <v>7.9979492437836447E-2</v>
      </c>
    </row>
    <row r="38" spans="1:12" x14ac:dyDescent="0.3">
      <c r="A38" s="217" t="s">
        <v>84</v>
      </c>
      <c r="B38" s="217" t="s">
        <v>85</v>
      </c>
      <c r="C38" s="232" t="s">
        <v>253</v>
      </c>
      <c r="D38" s="2408">
        <v>54962</v>
      </c>
      <c r="E38" s="2409">
        <v>8390</v>
      </c>
      <c r="F38" s="2410">
        <f t="shared" ref="F38:F69" si="6">E38/D38</f>
        <v>0.15265092245551473</v>
      </c>
      <c r="G38" s="2408">
        <v>10587</v>
      </c>
      <c r="H38" s="2409">
        <v>2430</v>
      </c>
      <c r="I38" s="2410">
        <f t="shared" ref="I38:I69" si="7">H38/G38</f>
        <v>0.22952677812411448</v>
      </c>
      <c r="J38" s="2408">
        <v>7910</v>
      </c>
      <c r="K38" s="2409">
        <v>1742</v>
      </c>
      <c r="L38" s="2410">
        <f t="shared" ref="L38:L69" si="8">K38/J38</f>
        <v>0.2202275600505689</v>
      </c>
    </row>
    <row r="39" spans="1:12" x14ac:dyDescent="0.3">
      <c r="A39" s="217" t="s">
        <v>86</v>
      </c>
      <c r="B39" s="217" t="s">
        <v>87</v>
      </c>
      <c r="C39" s="232" t="s">
        <v>255</v>
      </c>
      <c r="D39" s="2408">
        <v>87038</v>
      </c>
      <c r="E39" s="2409">
        <v>6107</v>
      </c>
      <c r="F39" s="2410">
        <f t="shared" si="6"/>
        <v>7.0164755623980335E-2</v>
      </c>
      <c r="G39" s="2408">
        <v>19986</v>
      </c>
      <c r="H39" s="2409">
        <v>1956</v>
      </c>
      <c r="I39" s="2410">
        <f t="shared" si="7"/>
        <v>9.7868507955568895E-2</v>
      </c>
      <c r="J39" s="2408">
        <v>14591</v>
      </c>
      <c r="K39" s="2409">
        <v>1350</v>
      </c>
      <c r="L39" s="2410">
        <f t="shared" si="8"/>
        <v>9.2522788020012334E-2</v>
      </c>
    </row>
    <row r="40" spans="1:12" x14ac:dyDescent="0.3">
      <c r="A40" s="217" t="s">
        <v>92</v>
      </c>
      <c r="B40" s="217" t="s">
        <v>93</v>
      </c>
      <c r="C40" s="232" t="s">
        <v>256</v>
      </c>
      <c r="D40" s="2408">
        <v>16659</v>
      </c>
      <c r="E40" s="2409">
        <v>2064</v>
      </c>
      <c r="F40" s="2410">
        <f t="shared" si="6"/>
        <v>0.12389699261660364</v>
      </c>
      <c r="G40" s="2408">
        <v>3418</v>
      </c>
      <c r="H40" s="232">
        <v>615</v>
      </c>
      <c r="I40" s="2410">
        <f t="shared" si="7"/>
        <v>0.17992978349912228</v>
      </c>
      <c r="J40" s="2408">
        <v>2521</v>
      </c>
      <c r="K40" s="232">
        <v>413</v>
      </c>
      <c r="L40" s="2410">
        <f t="shared" si="8"/>
        <v>0.16382387941293139</v>
      </c>
    </row>
    <row r="41" spans="1:12" x14ac:dyDescent="0.3">
      <c r="A41" s="217" t="s">
        <v>94</v>
      </c>
      <c r="B41" s="217" t="s">
        <v>95</v>
      </c>
      <c r="C41" s="232" t="s">
        <v>252</v>
      </c>
      <c r="D41" s="2408">
        <v>36942</v>
      </c>
      <c r="E41" s="2409">
        <v>3348</v>
      </c>
      <c r="F41" s="2410">
        <f t="shared" si="6"/>
        <v>9.0628552866655845E-2</v>
      </c>
      <c r="G41" s="2408">
        <v>7342</v>
      </c>
      <c r="H41" s="2409">
        <v>982</v>
      </c>
      <c r="I41" s="2410">
        <f t="shared" si="7"/>
        <v>0.1337510215200218</v>
      </c>
      <c r="J41" s="2408">
        <v>5435</v>
      </c>
      <c r="K41" s="232">
        <v>651</v>
      </c>
      <c r="L41" s="2410">
        <f t="shared" si="8"/>
        <v>0.11977920883164674</v>
      </c>
    </row>
    <row r="42" spans="1:12" x14ac:dyDescent="0.3">
      <c r="A42" s="217" t="s">
        <v>96</v>
      </c>
      <c r="B42" s="217" t="s">
        <v>684</v>
      </c>
      <c r="C42" s="232" t="s">
        <v>254</v>
      </c>
      <c r="D42" s="2408">
        <v>22252</v>
      </c>
      <c r="E42" s="2409">
        <v>1498</v>
      </c>
      <c r="F42" s="2410">
        <f t="shared" si="6"/>
        <v>6.7319791479417579E-2</v>
      </c>
      <c r="G42" s="2408">
        <v>4033</v>
      </c>
      <c r="H42" s="232">
        <v>319</v>
      </c>
      <c r="I42" s="2410">
        <f t="shared" si="7"/>
        <v>7.9097446069923139E-2</v>
      </c>
      <c r="J42" s="2408">
        <v>3143</v>
      </c>
      <c r="K42" s="232">
        <v>227</v>
      </c>
      <c r="L42" s="2410">
        <f t="shared" si="8"/>
        <v>7.2223989818644613E-2</v>
      </c>
    </row>
    <row r="43" spans="1:12" x14ac:dyDescent="0.3">
      <c r="A43" s="217" t="s">
        <v>98</v>
      </c>
      <c r="B43" s="217" t="s">
        <v>99</v>
      </c>
      <c r="C43" s="232" t="s">
        <v>256</v>
      </c>
      <c r="D43" s="2408">
        <v>14582</v>
      </c>
      <c r="E43" s="2409">
        <v>2686</v>
      </c>
      <c r="F43" s="2410">
        <f t="shared" si="6"/>
        <v>0.18419969825812646</v>
      </c>
      <c r="G43" s="2408">
        <v>2567</v>
      </c>
      <c r="H43" s="232">
        <v>705</v>
      </c>
      <c r="I43" s="2410">
        <f t="shared" si="7"/>
        <v>0.27463965718737826</v>
      </c>
      <c r="J43" s="2408">
        <v>1899</v>
      </c>
      <c r="K43" s="232">
        <v>512</v>
      </c>
      <c r="L43" s="2410">
        <f t="shared" si="8"/>
        <v>0.26961558715113215</v>
      </c>
    </row>
    <row r="44" spans="1:12" x14ac:dyDescent="0.3">
      <c r="A44" s="217" t="s">
        <v>100</v>
      </c>
      <c r="B44" s="217" t="s">
        <v>101</v>
      </c>
      <c r="C44" s="232" t="s">
        <v>255</v>
      </c>
      <c r="D44" s="2408">
        <v>19587</v>
      </c>
      <c r="E44" s="2409">
        <v>1583</v>
      </c>
      <c r="F44" s="2410">
        <f t="shared" si="6"/>
        <v>8.0818910501863475E-2</v>
      </c>
      <c r="G44" s="2408">
        <v>4664</v>
      </c>
      <c r="H44" s="232">
        <v>571</v>
      </c>
      <c r="I44" s="2410">
        <f t="shared" si="7"/>
        <v>0.1224271012006861</v>
      </c>
      <c r="J44" s="2408">
        <v>3433</v>
      </c>
      <c r="K44" s="232">
        <v>395</v>
      </c>
      <c r="L44" s="2410">
        <f t="shared" si="8"/>
        <v>0.11505971453539178</v>
      </c>
    </row>
    <row r="45" spans="1:12" x14ac:dyDescent="0.3">
      <c r="A45" s="217" t="s">
        <v>102</v>
      </c>
      <c r="B45" s="217" t="s">
        <v>270</v>
      </c>
      <c r="C45" s="232" t="s">
        <v>252</v>
      </c>
      <c r="D45" s="2408">
        <v>13056</v>
      </c>
      <c r="E45" s="2409">
        <v>3193</v>
      </c>
      <c r="F45" s="2410">
        <f t="shared" si="6"/>
        <v>0.24456188725490197</v>
      </c>
      <c r="G45" s="2408">
        <v>3014</v>
      </c>
      <c r="H45" s="232">
        <v>928</v>
      </c>
      <c r="I45" s="2410">
        <f t="shared" si="7"/>
        <v>0.30789648307896483</v>
      </c>
      <c r="J45" s="2408">
        <v>2272</v>
      </c>
      <c r="K45" s="232">
        <v>655</v>
      </c>
      <c r="L45" s="2410">
        <f t="shared" si="8"/>
        <v>0.28829225352112675</v>
      </c>
    </row>
    <row r="46" spans="1:12" x14ac:dyDescent="0.3">
      <c r="A46" s="217" t="s">
        <v>104</v>
      </c>
      <c r="B46" s="217" t="s">
        <v>105</v>
      </c>
      <c r="C46" s="232" t="s">
        <v>253</v>
      </c>
      <c r="D46" s="2408">
        <v>33298</v>
      </c>
      <c r="E46" s="2409">
        <v>4825</v>
      </c>
      <c r="F46" s="2410">
        <f t="shared" si="6"/>
        <v>0.14490359781368251</v>
      </c>
      <c r="G46" s="2408">
        <v>6813</v>
      </c>
      <c r="H46" s="2409">
        <v>1523</v>
      </c>
      <c r="I46" s="2410">
        <f t="shared" si="7"/>
        <v>0.22354322618523412</v>
      </c>
      <c r="J46" s="2408">
        <v>5032</v>
      </c>
      <c r="K46" s="2409">
        <v>1029</v>
      </c>
      <c r="L46" s="2410">
        <f t="shared" si="8"/>
        <v>0.2044912559618442</v>
      </c>
    </row>
    <row r="47" spans="1:12" x14ac:dyDescent="0.3">
      <c r="A47" s="217" t="s">
        <v>108</v>
      </c>
      <c r="B47" s="217" t="s">
        <v>109</v>
      </c>
      <c r="C47" s="232" t="s">
        <v>254</v>
      </c>
      <c r="D47" s="2408">
        <v>105187</v>
      </c>
      <c r="E47" s="2409">
        <v>5509</v>
      </c>
      <c r="F47" s="2410">
        <f t="shared" si="6"/>
        <v>5.2373392149219961E-2</v>
      </c>
      <c r="G47" s="2408">
        <v>23328</v>
      </c>
      <c r="H47" s="2409">
        <v>1440</v>
      </c>
      <c r="I47" s="2410">
        <f t="shared" si="7"/>
        <v>6.1728395061728392E-2</v>
      </c>
      <c r="J47" s="2408">
        <v>17914</v>
      </c>
      <c r="K47" s="2409">
        <v>997</v>
      </c>
      <c r="L47" s="2410">
        <f t="shared" si="8"/>
        <v>5.5654795132298762E-2</v>
      </c>
    </row>
    <row r="48" spans="1:12" x14ac:dyDescent="0.3">
      <c r="A48" s="217" t="s">
        <v>110</v>
      </c>
      <c r="B48" s="217" t="s">
        <v>111</v>
      </c>
      <c r="C48" s="232" t="s">
        <v>254</v>
      </c>
      <c r="D48" s="2408">
        <v>325999</v>
      </c>
      <c r="E48" s="2409">
        <v>29502</v>
      </c>
      <c r="F48" s="2410">
        <f t="shared" si="6"/>
        <v>9.0497210114141455E-2</v>
      </c>
      <c r="G48" s="2408">
        <v>73353</v>
      </c>
      <c r="H48" s="2409">
        <v>9253</v>
      </c>
      <c r="I48" s="2410">
        <f t="shared" si="7"/>
        <v>0.1261434433492836</v>
      </c>
      <c r="J48" s="2408">
        <v>53869</v>
      </c>
      <c r="K48" s="2409">
        <v>6171</v>
      </c>
      <c r="L48" s="2410">
        <f t="shared" si="8"/>
        <v>0.11455568137518796</v>
      </c>
    </row>
    <row r="49" spans="1:12" x14ac:dyDescent="0.3">
      <c r="A49" s="217" t="s">
        <v>112</v>
      </c>
      <c r="B49" s="217" t="s">
        <v>288</v>
      </c>
      <c r="C49" s="232" t="s">
        <v>253</v>
      </c>
      <c r="D49" s="2408">
        <v>62850</v>
      </c>
      <c r="E49" s="2409">
        <v>13166</v>
      </c>
      <c r="F49" s="2410">
        <f t="shared" si="6"/>
        <v>0.20948289578361176</v>
      </c>
      <c r="G49" s="2408">
        <v>12901</v>
      </c>
      <c r="H49" s="2409">
        <v>3793</v>
      </c>
      <c r="I49" s="2410">
        <f t="shared" si="7"/>
        <v>0.29400821641733199</v>
      </c>
      <c r="J49" s="2408">
        <v>9580</v>
      </c>
      <c r="K49" s="2409">
        <v>2587</v>
      </c>
      <c r="L49" s="2410">
        <f t="shared" si="8"/>
        <v>0.27004175365344468</v>
      </c>
    </row>
    <row r="50" spans="1:12" x14ac:dyDescent="0.3">
      <c r="A50" s="217" t="s">
        <v>114</v>
      </c>
      <c r="B50" s="217" t="s">
        <v>115</v>
      </c>
      <c r="C50" s="232" t="s">
        <v>253</v>
      </c>
      <c r="D50" s="2408">
        <v>2203</v>
      </c>
      <c r="E50" s="232">
        <v>280</v>
      </c>
      <c r="F50" s="2410">
        <f t="shared" si="6"/>
        <v>0.12709940989559693</v>
      </c>
      <c r="G50" s="2411">
        <v>283</v>
      </c>
      <c r="H50" s="232">
        <v>60</v>
      </c>
      <c r="I50" s="2410">
        <f t="shared" si="7"/>
        <v>0.21201413427561838</v>
      </c>
      <c r="J50" s="2411">
        <v>185</v>
      </c>
      <c r="K50" s="232">
        <v>43</v>
      </c>
      <c r="L50" s="2410">
        <f t="shared" si="8"/>
        <v>0.23243243243243245</v>
      </c>
    </row>
    <row r="51" spans="1:12" x14ac:dyDescent="0.3">
      <c r="A51" s="217" t="s">
        <v>118</v>
      </c>
      <c r="B51" s="217" t="s">
        <v>258</v>
      </c>
      <c r="C51" s="232" t="s">
        <v>252</v>
      </c>
      <c r="D51" s="2408">
        <v>36643</v>
      </c>
      <c r="E51" s="2409">
        <v>3368</v>
      </c>
      <c r="F51" s="2410">
        <f t="shared" si="6"/>
        <v>9.1913871680812165E-2</v>
      </c>
      <c r="G51" s="2408">
        <v>7599</v>
      </c>
      <c r="H51" s="2409">
        <v>920</v>
      </c>
      <c r="I51" s="2410">
        <f t="shared" si="7"/>
        <v>0.12106856165284906</v>
      </c>
      <c r="J51" s="2408">
        <v>5646</v>
      </c>
      <c r="K51" s="232">
        <v>628</v>
      </c>
      <c r="L51" s="2410">
        <f t="shared" si="8"/>
        <v>0.1112291888062345</v>
      </c>
    </row>
    <row r="52" spans="1:12" x14ac:dyDescent="0.3">
      <c r="A52" s="217" t="s">
        <v>120</v>
      </c>
      <c r="B52" s="217" t="s">
        <v>121</v>
      </c>
      <c r="C52" s="232" t="s">
        <v>252</v>
      </c>
      <c r="D52" s="2408">
        <v>75255</v>
      </c>
      <c r="E52" s="2409">
        <v>5288</v>
      </c>
      <c r="F52" s="2410">
        <f t="shared" si="6"/>
        <v>7.0267756295262773E-2</v>
      </c>
      <c r="G52" s="2408">
        <v>15103</v>
      </c>
      <c r="H52" s="2409">
        <v>1399</v>
      </c>
      <c r="I52" s="2410">
        <f t="shared" si="7"/>
        <v>9.2630603191418928E-2</v>
      </c>
      <c r="J52" s="2408">
        <v>11356</v>
      </c>
      <c r="K52" s="2409">
        <v>945</v>
      </c>
      <c r="L52" s="2410">
        <f t="shared" si="8"/>
        <v>8.3215921098978518E-2</v>
      </c>
    </row>
    <row r="53" spans="1:12" x14ac:dyDescent="0.3">
      <c r="A53" s="217" t="s">
        <v>122</v>
      </c>
      <c r="B53" s="217" t="s">
        <v>275</v>
      </c>
      <c r="C53" s="232" t="s">
        <v>254</v>
      </c>
      <c r="D53" s="2408">
        <v>7025</v>
      </c>
      <c r="E53" s="232">
        <v>858</v>
      </c>
      <c r="F53" s="2410">
        <f t="shared" si="6"/>
        <v>0.12213523131672598</v>
      </c>
      <c r="G53" s="2408">
        <v>1218</v>
      </c>
      <c r="H53" s="232">
        <v>235</v>
      </c>
      <c r="I53" s="2410">
        <f t="shared" si="7"/>
        <v>0.19293924466338258</v>
      </c>
      <c r="J53" s="2408">
        <v>915</v>
      </c>
      <c r="K53" s="232">
        <v>162</v>
      </c>
      <c r="L53" s="2410">
        <f t="shared" si="8"/>
        <v>0.17704918032786884</v>
      </c>
    </row>
    <row r="54" spans="1:12" x14ac:dyDescent="0.3">
      <c r="A54" s="217" t="s">
        <v>124</v>
      </c>
      <c r="B54" s="217" t="s">
        <v>125</v>
      </c>
      <c r="C54" s="232" t="s">
        <v>255</v>
      </c>
      <c r="D54" s="2408">
        <v>26177</v>
      </c>
      <c r="E54" s="2409">
        <v>1786</v>
      </c>
      <c r="F54" s="2410">
        <f t="shared" si="6"/>
        <v>6.8227833594376744E-2</v>
      </c>
      <c r="G54" s="2408">
        <v>6515</v>
      </c>
      <c r="H54" s="232">
        <v>594</v>
      </c>
      <c r="I54" s="2410">
        <f t="shared" si="7"/>
        <v>9.1174213353798925E-2</v>
      </c>
      <c r="J54" s="2408">
        <v>4924</v>
      </c>
      <c r="K54" s="232">
        <v>399</v>
      </c>
      <c r="L54" s="2410">
        <f t="shared" si="8"/>
        <v>8.1031681559707552E-2</v>
      </c>
    </row>
    <row r="55" spans="1:12" x14ac:dyDescent="0.3">
      <c r="A55" s="217" t="s">
        <v>126</v>
      </c>
      <c r="B55" s="217" t="s">
        <v>127</v>
      </c>
      <c r="C55" s="232" t="s">
        <v>254</v>
      </c>
      <c r="D55" s="2408">
        <v>16819</v>
      </c>
      <c r="E55" s="2409">
        <v>1223</v>
      </c>
      <c r="F55" s="2410">
        <f t="shared" si="6"/>
        <v>7.2715381413877164E-2</v>
      </c>
      <c r="G55" s="2408">
        <v>3856</v>
      </c>
      <c r="H55" s="232">
        <v>395</v>
      </c>
      <c r="I55" s="2410">
        <f t="shared" si="7"/>
        <v>0.10243775933609958</v>
      </c>
      <c r="J55" s="2408">
        <v>2836</v>
      </c>
      <c r="K55" s="232">
        <v>266</v>
      </c>
      <c r="L55" s="2410">
        <f t="shared" si="8"/>
        <v>9.3794076163610726E-2</v>
      </c>
    </row>
    <row r="56" spans="1:12" x14ac:dyDescent="0.3">
      <c r="A56" s="217" t="s">
        <v>128</v>
      </c>
      <c r="B56" s="217" t="s">
        <v>129</v>
      </c>
      <c r="C56" s="232" t="s">
        <v>254</v>
      </c>
      <c r="D56" s="2408">
        <v>10593</v>
      </c>
      <c r="E56" s="2409">
        <v>1306</v>
      </c>
      <c r="F56" s="2410">
        <f t="shared" si="6"/>
        <v>0.12328896441045974</v>
      </c>
      <c r="G56" s="2408">
        <v>1697</v>
      </c>
      <c r="H56" s="232">
        <v>409</v>
      </c>
      <c r="I56" s="2410">
        <f t="shared" si="7"/>
        <v>0.24101355332940483</v>
      </c>
      <c r="J56" s="2408">
        <v>1206</v>
      </c>
      <c r="K56" s="232">
        <v>291</v>
      </c>
      <c r="L56" s="2410">
        <f t="shared" si="8"/>
        <v>0.24129353233830847</v>
      </c>
    </row>
    <row r="57" spans="1:12" x14ac:dyDescent="0.3">
      <c r="A57" s="217" t="s">
        <v>130</v>
      </c>
      <c r="B57" s="217" t="s">
        <v>131</v>
      </c>
      <c r="C57" s="232" t="s">
        <v>256</v>
      </c>
      <c r="D57" s="2408">
        <v>22058</v>
      </c>
      <c r="E57" s="2409">
        <v>5461</v>
      </c>
      <c r="F57" s="2410">
        <f t="shared" si="6"/>
        <v>0.24757457611750838</v>
      </c>
      <c r="G57" s="2408">
        <v>4350</v>
      </c>
      <c r="H57" s="2409">
        <v>1414</v>
      </c>
      <c r="I57" s="2410">
        <f t="shared" si="7"/>
        <v>0.32505747126436779</v>
      </c>
      <c r="J57" s="2408">
        <v>3271</v>
      </c>
      <c r="K57" s="2409">
        <v>964</v>
      </c>
      <c r="L57" s="2410">
        <f t="shared" si="8"/>
        <v>0.29471109752369307</v>
      </c>
    </row>
    <row r="58" spans="1:12" x14ac:dyDescent="0.3">
      <c r="A58" s="217" t="s">
        <v>132</v>
      </c>
      <c r="B58" s="217" t="s">
        <v>133</v>
      </c>
      <c r="C58" s="232" t="s">
        <v>255</v>
      </c>
      <c r="D58" s="2408">
        <v>404541</v>
      </c>
      <c r="E58" s="2409">
        <v>14700</v>
      </c>
      <c r="F58" s="2410">
        <f t="shared" si="6"/>
        <v>3.6337478772238169E-2</v>
      </c>
      <c r="G58" s="2408">
        <v>113877</v>
      </c>
      <c r="H58" s="2409">
        <v>4117</v>
      </c>
      <c r="I58" s="2410">
        <f t="shared" si="7"/>
        <v>3.6153042317588278E-2</v>
      </c>
      <c r="J58" s="2408">
        <v>85278</v>
      </c>
      <c r="K58" s="2409">
        <v>2617</v>
      </c>
      <c r="L58" s="2410">
        <f t="shared" si="8"/>
        <v>3.068786791435071E-2</v>
      </c>
    </row>
    <row r="59" spans="1:12" x14ac:dyDescent="0.3">
      <c r="A59" s="217" t="s">
        <v>134</v>
      </c>
      <c r="B59" s="217" t="s">
        <v>135</v>
      </c>
      <c r="C59" s="232" t="s">
        <v>255</v>
      </c>
      <c r="D59" s="2408">
        <v>36552</v>
      </c>
      <c r="E59" s="2409">
        <v>4140</v>
      </c>
      <c r="F59" s="2410">
        <f t="shared" si="6"/>
        <v>0.11326329612606698</v>
      </c>
      <c r="G59" s="2408">
        <v>7264</v>
      </c>
      <c r="H59" s="2409">
        <v>1080</v>
      </c>
      <c r="I59" s="2410">
        <f t="shared" si="7"/>
        <v>0.14867841409691629</v>
      </c>
      <c r="J59" s="2408">
        <v>5303</v>
      </c>
      <c r="K59" s="232">
        <v>695</v>
      </c>
      <c r="L59" s="2410">
        <f t="shared" si="8"/>
        <v>0.13105789175938148</v>
      </c>
    </row>
    <row r="60" spans="1:12" x14ac:dyDescent="0.3">
      <c r="A60" s="217" t="s">
        <v>136</v>
      </c>
      <c r="B60" s="217" t="s">
        <v>137</v>
      </c>
      <c r="C60" s="232" t="s">
        <v>254</v>
      </c>
      <c r="D60" s="2408">
        <v>11051</v>
      </c>
      <c r="E60" s="2409">
        <v>2008</v>
      </c>
      <c r="F60" s="2410">
        <f t="shared" si="6"/>
        <v>0.18170301330196362</v>
      </c>
      <c r="G60" s="2408">
        <v>2200</v>
      </c>
      <c r="H60" s="232">
        <v>546</v>
      </c>
      <c r="I60" s="2410">
        <f t="shared" si="7"/>
        <v>0.24818181818181817</v>
      </c>
      <c r="J60" s="2408">
        <v>1616</v>
      </c>
      <c r="K60" s="232">
        <v>376</v>
      </c>
      <c r="L60" s="2410">
        <f t="shared" si="8"/>
        <v>0.23267326732673269</v>
      </c>
    </row>
    <row r="61" spans="1:12" x14ac:dyDescent="0.3">
      <c r="A61" s="217" t="s">
        <v>140</v>
      </c>
      <c r="B61" s="217" t="s">
        <v>141</v>
      </c>
      <c r="C61" s="232" t="s">
        <v>255</v>
      </c>
      <c r="D61" s="2408">
        <v>13143</v>
      </c>
      <c r="E61" s="2409">
        <v>1330</v>
      </c>
      <c r="F61" s="2410">
        <f t="shared" si="6"/>
        <v>0.1011945522331279</v>
      </c>
      <c r="G61" s="2408">
        <v>2662</v>
      </c>
      <c r="H61" s="232">
        <v>428</v>
      </c>
      <c r="I61" s="2410">
        <f t="shared" si="7"/>
        <v>0.16078136739293764</v>
      </c>
      <c r="J61" s="2408">
        <v>2008</v>
      </c>
      <c r="K61" s="232">
        <v>289</v>
      </c>
      <c r="L61" s="2410">
        <f t="shared" si="8"/>
        <v>0.14392430278884463</v>
      </c>
    </row>
    <row r="62" spans="1:12" x14ac:dyDescent="0.3">
      <c r="A62" s="217" t="s">
        <v>146</v>
      </c>
      <c r="B62" s="217" t="s">
        <v>147</v>
      </c>
      <c r="C62" s="232" t="s">
        <v>252</v>
      </c>
      <c r="D62" s="2408">
        <v>8717</v>
      </c>
      <c r="E62" s="232">
        <v>812</v>
      </c>
      <c r="F62" s="2410">
        <f t="shared" si="6"/>
        <v>9.3151313525295404E-2</v>
      </c>
      <c r="G62" s="2408">
        <v>1334</v>
      </c>
      <c r="H62" s="232">
        <v>221</v>
      </c>
      <c r="I62" s="2410">
        <f t="shared" si="7"/>
        <v>0.16566716641679161</v>
      </c>
      <c r="J62" s="2408">
        <v>1021</v>
      </c>
      <c r="K62" s="232">
        <v>157</v>
      </c>
      <c r="L62" s="2410">
        <f t="shared" si="8"/>
        <v>0.15377081292850148</v>
      </c>
    </row>
    <row r="63" spans="1:12" x14ac:dyDescent="0.3">
      <c r="A63" s="217" t="s">
        <v>148</v>
      </c>
      <c r="B63" s="217" t="s">
        <v>149</v>
      </c>
      <c r="C63" s="232" t="s">
        <v>253</v>
      </c>
      <c r="D63" s="2408">
        <v>29713</v>
      </c>
      <c r="E63" s="2409">
        <v>5565</v>
      </c>
      <c r="F63" s="2410">
        <f t="shared" si="6"/>
        <v>0.18729175781644397</v>
      </c>
      <c r="G63" s="2408">
        <v>5602</v>
      </c>
      <c r="H63" s="2409">
        <v>1668</v>
      </c>
      <c r="I63" s="2410">
        <f t="shared" si="7"/>
        <v>0.29775080328454123</v>
      </c>
      <c r="J63" s="2408">
        <v>4138</v>
      </c>
      <c r="K63" s="2409">
        <v>1270</v>
      </c>
      <c r="L63" s="2410">
        <f t="shared" si="8"/>
        <v>0.30691155147414212</v>
      </c>
    </row>
    <row r="64" spans="1:12" x14ac:dyDescent="0.3">
      <c r="A64" s="217" t="s">
        <v>150</v>
      </c>
      <c r="B64" s="217" t="s">
        <v>151</v>
      </c>
      <c r="C64" s="232" t="s">
        <v>254</v>
      </c>
      <c r="D64" s="2408">
        <v>10399</v>
      </c>
      <c r="E64" s="2409">
        <v>1317</v>
      </c>
      <c r="F64" s="2410">
        <f t="shared" si="6"/>
        <v>0.12664679296086162</v>
      </c>
      <c r="G64" s="2408">
        <v>1727</v>
      </c>
      <c r="H64" s="232">
        <v>395</v>
      </c>
      <c r="I64" s="2410">
        <f t="shared" si="7"/>
        <v>0.22872032426172553</v>
      </c>
      <c r="J64" s="2408">
        <v>1226</v>
      </c>
      <c r="K64" s="232">
        <v>276</v>
      </c>
      <c r="L64" s="2410">
        <f t="shared" si="8"/>
        <v>0.22512234910277323</v>
      </c>
    </row>
    <row r="65" spans="1:12" x14ac:dyDescent="0.3">
      <c r="A65" s="217" t="s">
        <v>152</v>
      </c>
      <c r="B65" s="217" t="s">
        <v>153</v>
      </c>
      <c r="C65" s="232" t="s">
        <v>256</v>
      </c>
      <c r="D65" s="2408">
        <v>89030</v>
      </c>
      <c r="E65" s="2409">
        <v>21444</v>
      </c>
      <c r="F65" s="2410">
        <f t="shared" si="6"/>
        <v>0.24086263057396384</v>
      </c>
      <c r="G65" s="2408">
        <v>14988</v>
      </c>
      <c r="H65" s="2409">
        <v>2194</v>
      </c>
      <c r="I65" s="2410">
        <f t="shared" si="7"/>
        <v>0.14638377368561517</v>
      </c>
      <c r="J65" s="2408">
        <v>10785</v>
      </c>
      <c r="K65" s="2409">
        <v>1441</v>
      </c>
      <c r="L65" s="2410">
        <f t="shared" si="8"/>
        <v>0.13361149745016226</v>
      </c>
    </row>
    <row r="66" spans="1:12" x14ac:dyDescent="0.3">
      <c r="A66" s="217" t="s">
        <v>154</v>
      </c>
      <c r="B66" s="217" t="s">
        <v>155</v>
      </c>
      <c r="C66" s="232" t="s">
        <v>253</v>
      </c>
      <c r="D66" s="2408">
        <v>14736</v>
      </c>
      <c r="E66" s="2409">
        <v>1814</v>
      </c>
      <c r="F66" s="2410">
        <f t="shared" si="6"/>
        <v>0.12309989142236699</v>
      </c>
      <c r="G66" s="2408">
        <v>2590</v>
      </c>
      <c r="H66" s="232">
        <v>516</v>
      </c>
      <c r="I66" s="2410">
        <f t="shared" si="7"/>
        <v>0.19922779922779923</v>
      </c>
      <c r="J66" s="2408">
        <v>1967</v>
      </c>
      <c r="K66" s="232">
        <v>364</v>
      </c>
      <c r="L66" s="2410">
        <f t="shared" si="8"/>
        <v>0.18505338078291814</v>
      </c>
    </row>
    <row r="67" spans="1:12" x14ac:dyDescent="0.3">
      <c r="A67" s="217" t="s">
        <v>156</v>
      </c>
      <c r="B67" s="217" t="s">
        <v>157</v>
      </c>
      <c r="C67" s="232" t="s">
        <v>254</v>
      </c>
      <c r="D67" s="2408">
        <v>21792</v>
      </c>
      <c r="E67" s="2409">
        <v>1132</v>
      </c>
      <c r="F67" s="2410">
        <f t="shared" si="6"/>
        <v>5.1945668135095449E-2</v>
      </c>
      <c r="G67" s="2408">
        <v>4349</v>
      </c>
      <c r="H67" s="232">
        <v>319</v>
      </c>
      <c r="I67" s="2410">
        <f t="shared" si="7"/>
        <v>7.3350195447229247E-2</v>
      </c>
      <c r="J67" s="2408">
        <v>3215</v>
      </c>
      <c r="K67" s="232">
        <v>223</v>
      </c>
      <c r="L67" s="2410">
        <f t="shared" si="8"/>
        <v>6.9362363919129089E-2</v>
      </c>
    </row>
    <row r="68" spans="1:12" x14ac:dyDescent="0.3">
      <c r="A68" s="217" t="s">
        <v>162</v>
      </c>
      <c r="B68" s="217" t="s">
        <v>163</v>
      </c>
      <c r="C68" s="232" t="s">
        <v>252</v>
      </c>
      <c r="D68" s="2408">
        <v>11512</v>
      </c>
      <c r="E68" s="2409">
        <v>2167</v>
      </c>
      <c r="F68" s="2410">
        <f t="shared" si="6"/>
        <v>0.18823835997220292</v>
      </c>
      <c r="G68" s="2408">
        <v>2278</v>
      </c>
      <c r="H68" s="232">
        <v>683</v>
      </c>
      <c r="I68" s="2410">
        <f t="shared" si="7"/>
        <v>0.29982440737489024</v>
      </c>
      <c r="J68" s="2408">
        <v>1723</v>
      </c>
      <c r="K68" s="232">
        <v>465</v>
      </c>
      <c r="L68" s="2410">
        <f t="shared" si="8"/>
        <v>0.26987811955890889</v>
      </c>
    </row>
    <row r="69" spans="1:12" x14ac:dyDescent="0.3">
      <c r="A69" s="217" t="s">
        <v>164</v>
      </c>
      <c r="B69" s="217" t="s">
        <v>165</v>
      </c>
      <c r="C69" s="232" t="s">
        <v>254</v>
      </c>
      <c r="D69" s="2408">
        <v>12115</v>
      </c>
      <c r="E69" s="2409">
        <v>1790</v>
      </c>
      <c r="F69" s="2410">
        <f t="shared" si="6"/>
        <v>0.14775072224515065</v>
      </c>
      <c r="G69" s="2408">
        <v>1732</v>
      </c>
      <c r="H69" s="232">
        <v>467</v>
      </c>
      <c r="I69" s="2410">
        <f t="shared" si="7"/>
        <v>0.26963048498845266</v>
      </c>
      <c r="J69" s="2408">
        <v>1326</v>
      </c>
      <c r="K69" s="232">
        <v>324</v>
      </c>
      <c r="L69" s="2410">
        <f t="shared" si="8"/>
        <v>0.24434389140271492</v>
      </c>
    </row>
    <row r="70" spans="1:12" x14ac:dyDescent="0.3">
      <c r="A70" s="217" t="s">
        <v>168</v>
      </c>
      <c r="B70" s="217" t="s">
        <v>169</v>
      </c>
      <c r="C70" s="232" t="s">
        <v>254</v>
      </c>
      <c r="D70" s="2408">
        <v>13152</v>
      </c>
      <c r="E70" s="2409">
        <v>2952</v>
      </c>
      <c r="F70" s="2410">
        <f t="shared" ref="F70:F101" si="9">E70/D70</f>
        <v>0.22445255474452555</v>
      </c>
      <c r="G70" s="2408">
        <v>2909</v>
      </c>
      <c r="H70" s="232">
        <v>812</v>
      </c>
      <c r="I70" s="2410">
        <f t="shared" ref="I70:I101" si="10">H70/G70</f>
        <v>0.27913372292884153</v>
      </c>
      <c r="J70" s="2408">
        <v>2147</v>
      </c>
      <c r="K70" s="232">
        <v>556</v>
      </c>
      <c r="L70" s="2410">
        <f t="shared" ref="L70:L101" si="11">K70/J70</f>
        <v>0.25896599906846762</v>
      </c>
    </row>
    <row r="71" spans="1:12" x14ac:dyDescent="0.3">
      <c r="A71" s="217" t="s">
        <v>170</v>
      </c>
      <c r="B71" s="217" t="s">
        <v>171</v>
      </c>
      <c r="C71" s="232" t="s">
        <v>255</v>
      </c>
      <c r="D71" s="2408">
        <v>35973</v>
      </c>
      <c r="E71" s="2409">
        <v>3387</v>
      </c>
      <c r="F71" s="2410">
        <f t="shared" si="9"/>
        <v>9.4153948794929526E-2</v>
      </c>
      <c r="G71" s="2408">
        <v>7604</v>
      </c>
      <c r="H71" s="2409">
        <v>978</v>
      </c>
      <c r="I71" s="2410">
        <f t="shared" si="10"/>
        <v>0.12861651762230406</v>
      </c>
      <c r="J71" s="2408">
        <v>5585</v>
      </c>
      <c r="K71" s="232">
        <v>644</v>
      </c>
      <c r="L71" s="2410">
        <f t="shared" si="11"/>
        <v>0.1153088630259624</v>
      </c>
    </row>
    <row r="72" spans="1:12" x14ac:dyDescent="0.3">
      <c r="A72" s="217" t="s">
        <v>172</v>
      </c>
      <c r="B72" s="217" t="s">
        <v>173</v>
      </c>
      <c r="C72" s="232" t="s">
        <v>255</v>
      </c>
      <c r="D72" s="2408">
        <v>23676</v>
      </c>
      <c r="E72" s="2409">
        <v>3293</v>
      </c>
      <c r="F72" s="2410">
        <f t="shared" si="9"/>
        <v>0.13908599425578644</v>
      </c>
      <c r="G72" s="2408">
        <v>4679</v>
      </c>
      <c r="H72" s="2409">
        <v>888</v>
      </c>
      <c r="I72" s="2410">
        <f t="shared" si="10"/>
        <v>0.18978414191066467</v>
      </c>
      <c r="J72" s="2408">
        <v>3436</v>
      </c>
      <c r="K72" s="232">
        <v>625</v>
      </c>
      <c r="L72" s="2410">
        <f t="shared" si="11"/>
        <v>0.18189755529685681</v>
      </c>
    </row>
    <row r="73" spans="1:12" x14ac:dyDescent="0.3">
      <c r="A73" s="217" t="s">
        <v>174</v>
      </c>
      <c r="B73" s="217" t="s">
        <v>175</v>
      </c>
      <c r="C73" s="232" t="s">
        <v>256</v>
      </c>
      <c r="D73" s="2408">
        <v>17336</v>
      </c>
      <c r="E73" s="2409">
        <v>2683</v>
      </c>
      <c r="F73" s="2410">
        <f t="shared" si="9"/>
        <v>0.15476465159206276</v>
      </c>
      <c r="G73" s="2408">
        <v>3022</v>
      </c>
      <c r="H73" s="232">
        <v>685</v>
      </c>
      <c r="I73" s="2410">
        <f t="shared" si="10"/>
        <v>0.22667107875579087</v>
      </c>
      <c r="J73" s="2408">
        <v>2302</v>
      </c>
      <c r="K73" s="232">
        <v>481</v>
      </c>
      <c r="L73" s="2410">
        <f t="shared" si="11"/>
        <v>0.20894874022589052</v>
      </c>
    </row>
    <row r="74" spans="1:12" x14ac:dyDescent="0.3">
      <c r="A74" s="217" t="s">
        <v>178</v>
      </c>
      <c r="B74" s="217" t="s">
        <v>179</v>
      </c>
      <c r="C74" s="232" t="s">
        <v>253</v>
      </c>
      <c r="D74" s="2408">
        <v>59828</v>
      </c>
      <c r="E74" s="2409">
        <v>9815</v>
      </c>
      <c r="F74" s="2410">
        <f t="shared" si="9"/>
        <v>0.16405362037841814</v>
      </c>
      <c r="G74" s="2408">
        <v>11344</v>
      </c>
      <c r="H74" s="2409">
        <v>2530</v>
      </c>
      <c r="I74" s="2410">
        <f t="shared" si="10"/>
        <v>0.22302538787023976</v>
      </c>
      <c r="J74" s="2408">
        <v>8752</v>
      </c>
      <c r="K74" s="2409">
        <v>1848</v>
      </c>
      <c r="L74" s="2410">
        <f t="shared" si="11"/>
        <v>0.21115173674588666</v>
      </c>
    </row>
    <row r="75" spans="1:12" x14ac:dyDescent="0.3">
      <c r="A75" s="217" t="s">
        <v>182</v>
      </c>
      <c r="B75" s="217" t="s">
        <v>183</v>
      </c>
      <c r="C75" s="232" t="s">
        <v>254</v>
      </c>
      <c r="D75" s="2408">
        <v>28054</v>
      </c>
      <c r="E75" s="2409">
        <v>1931</v>
      </c>
      <c r="F75" s="2410">
        <f t="shared" si="9"/>
        <v>6.8831539174449272E-2</v>
      </c>
      <c r="G75" s="2408">
        <v>5227</v>
      </c>
      <c r="H75" s="232">
        <v>421</v>
      </c>
      <c r="I75" s="2410">
        <f t="shared" si="10"/>
        <v>8.0543332695618905E-2</v>
      </c>
      <c r="J75" s="2408">
        <v>3948</v>
      </c>
      <c r="K75" s="232">
        <v>267</v>
      </c>
      <c r="L75" s="2410">
        <f t="shared" si="11"/>
        <v>6.7629179331306993E-2</v>
      </c>
    </row>
    <row r="76" spans="1:12" x14ac:dyDescent="0.3">
      <c r="A76" s="217" t="s">
        <v>184</v>
      </c>
      <c r="B76" s="217" t="s">
        <v>185</v>
      </c>
      <c r="C76" s="232" t="s">
        <v>254</v>
      </c>
      <c r="D76" s="2408">
        <v>18878</v>
      </c>
      <c r="E76" s="2409">
        <v>3782</v>
      </c>
      <c r="F76" s="2410">
        <f t="shared" si="9"/>
        <v>0.20033901896387329</v>
      </c>
      <c r="G76" s="2408">
        <v>3674</v>
      </c>
      <c r="H76" s="2409">
        <v>1025</v>
      </c>
      <c r="I76" s="2410">
        <f t="shared" si="10"/>
        <v>0.27898747958628201</v>
      </c>
      <c r="J76" s="2408">
        <v>2573</v>
      </c>
      <c r="K76" s="232">
        <v>705</v>
      </c>
      <c r="L76" s="2410">
        <f t="shared" si="11"/>
        <v>0.27399922269724059</v>
      </c>
    </row>
    <row r="77" spans="1:12" x14ac:dyDescent="0.3">
      <c r="A77" s="217" t="s">
        <v>186</v>
      </c>
      <c r="B77" s="217" t="s">
        <v>187</v>
      </c>
      <c r="C77" s="232" t="s">
        <v>252</v>
      </c>
      <c r="D77" s="2408">
        <v>33746</v>
      </c>
      <c r="E77" s="2409">
        <v>3019</v>
      </c>
      <c r="F77" s="2410">
        <f t="shared" si="9"/>
        <v>8.9462454809458899E-2</v>
      </c>
      <c r="G77" s="2408">
        <v>8123</v>
      </c>
      <c r="H77" s="2409">
        <v>917</v>
      </c>
      <c r="I77" s="2410">
        <f t="shared" si="10"/>
        <v>0.11288932660347162</v>
      </c>
      <c r="J77" s="2408">
        <v>5997</v>
      </c>
      <c r="K77" s="232">
        <v>589</v>
      </c>
      <c r="L77" s="2410">
        <f t="shared" si="11"/>
        <v>9.8215774553943633E-2</v>
      </c>
    </row>
    <row r="78" spans="1:12" x14ac:dyDescent="0.3">
      <c r="A78" s="217" t="s">
        <v>188</v>
      </c>
      <c r="B78" s="217" t="s">
        <v>189</v>
      </c>
      <c r="C78" s="232" t="s">
        <v>255</v>
      </c>
      <c r="D78" s="2408">
        <v>463504</v>
      </c>
      <c r="E78" s="2409">
        <v>29545</v>
      </c>
      <c r="F78" s="2410">
        <f t="shared" si="9"/>
        <v>6.3742707722047709E-2</v>
      </c>
      <c r="G78" s="2408">
        <v>124952</v>
      </c>
      <c r="H78" s="2409">
        <v>10821</v>
      </c>
      <c r="I78" s="2410">
        <f t="shared" si="10"/>
        <v>8.6601254881874645E-2</v>
      </c>
      <c r="J78" s="2408">
        <v>90402</v>
      </c>
      <c r="K78" s="2409">
        <v>7257</v>
      </c>
      <c r="L78" s="2410">
        <f t="shared" si="11"/>
        <v>8.0274772682020309E-2</v>
      </c>
    </row>
    <row r="79" spans="1:12" x14ac:dyDescent="0.3">
      <c r="A79" s="217" t="s">
        <v>190</v>
      </c>
      <c r="B79" s="217" t="s">
        <v>191</v>
      </c>
      <c r="C79" s="232" t="s">
        <v>256</v>
      </c>
      <c r="D79" s="2408">
        <v>32911</v>
      </c>
      <c r="E79" s="2409">
        <v>4791</v>
      </c>
      <c r="F79" s="2410">
        <f t="shared" si="9"/>
        <v>0.14557442800279541</v>
      </c>
      <c r="G79" s="2408">
        <v>5885</v>
      </c>
      <c r="H79" s="2409">
        <v>1209</v>
      </c>
      <c r="I79" s="2410">
        <f t="shared" si="10"/>
        <v>0.20543755310110451</v>
      </c>
      <c r="J79" s="2408">
        <v>4281</v>
      </c>
      <c r="K79" s="232">
        <v>804</v>
      </c>
      <c r="L79" s="2410">
        <f t="shared" si="11"/>
        <v>0.18780658724597057</v>
      </c>
    </row>
    <row r="80" spans="1:12" x14ac:dyDescent="0.3">
      <c r="A80" s="217" t="s">
        <v>194</v>
      </c>
      <c r="B80" s="217" t="s">
        <v>195</v>
      </c>
      <c r="C80" s="232" t="s">
        <v>255</v>
      </c>
      <c r="D80" s="2408">
        <v>7207</v>
      </c>
      <c r="E80" s="232">
        <v>629</v>
      </c>
      <c r="F80" s="2410">
        <f t="shared" si="9"/>
        <v>8.7276259192451786E-2</v>
      </c>
      <c r="G80" s="2408">
        <v>1159</v>
      </c>
      <c r="H80" s="232">
        <v>158</v>
      </c>
      <c r="I80" s="2410">
        <f t="shared" si="10"/>
        <v>0.1363244176013805</v>
      </c>
      <c r="J80" s="2408">
        <v>908</v>
      </c>
      <c r="K80" s="232">
        <v>112</v>
      </c>
      <c r="L80" s="2410">
        <f t="shared" si="11"/>
        <v>0.12334801762114538</v>
      </c>
    </row>
    <row r="81" spans="1:12" x14ac:dyDescent="0.3">
      <c r="A81" s="217" t="s">
        <v>198</v>
      </c>
      <c r="B81" s="217" t="s">
        <v>260</v>
      </c>
      <c r="C81" s="232" t="s">
        <v>254</v>
      </c>
      <c r="D81" s="2408">
        <v>7347</v>
      </c>
      <c r="E81" s="2409">
        <v>1169</v>
      </c>
      <c r="F81" s="2410">
        <f t="shared" si="9"/>
        <v>0.15911256295086429</v>
      </c>
      <c r="G81" s="2408">
        <v>1512</v>
      </c>
      <c r="H81" s="232">
        <v>340</v>
      </c>
      <c r="I81" s="2410">
        <f t="shared" si="10"/>
        <v>0.22486772486772486</v>
      </c>
      <c r="J81" s="2408">
        <v>1115</v>
      </c>
      <c r="K81" s="232">
        <v>232</v>
      </c>
      <c r="L81" s="2410">
        <f t="shared" si="11"/>
        <v>0.20807174887892377</v>
      </c>
    </row>
    <row r="82" spans="1:12" x14ac:dyDescent="0.3">
      <c r="A82" s="217" t="s">
        <v>202</v>
      </c>
      <c r="B82" s="217" t="s">
        <v>289</v>
      </c>
      <c r="C82" s="232" t="s">
        <v>253</v>
      </c>
      <c r="D82" s="2408">
        <v>115258</v>
      </c>
      <c r="E82" s="2409">
        <v>8425</v>
      </c>
      <c r="F82" s="2410">
        <f t="shared" si="9"/>
        <v>7.3096878307796417E-2</v>
      </c>
      <c r="G82" s="2408">
        <v>23420</v>
      </c>
      <c r="H82" s="2409">
        <v>2135</v>
      </c>
      <c r="I82" s="2410">
        <f t="shared" si="10"/>
        <v>9.1161400512382584E-2</v>
      </c>
      <c r="J82" s="2408">
        <v>17870</v>
      </c>
      <c r="K82" s="2409">
        <v>1465</v>
      </c>
      <c r="L82" s="2410">
        <f t="shared" si="11"/>
        <v>8.1980973698936768E-2</v>
      </c>
    </row>
    <row r="83" spans="1:12" x14ac:dyDescent="0.3">
      <c r="A83" s="217" t="s">
        <v>204</v>
      </c>
      <c r="B83" s="217" t="s">
        <v>281</v>
      </c>
      <c r="C83" s="232" t="s">
        <v>253</v>
      </c>
      <c r="D83" s="2408">
        <v>32355</v>
      </c>
      <c r="E83" s="2409">
        <v>4588</v>
      </c>
      <c r="F83" s="2410">
        <f t="shared" si="9"/>
        <v>0.14180188533456961</v>
      </c>
      <c r="G83" s="2408">
        <v>5665</v>
      </c>
      <c r="H83" s="232">
        <v>965</v>
      </c>
      <c r="I83" s="2410">
        <f t="shared" si="10"/>
        <v>0.17034421888790821</v>
      </c>
      <c r="J83" s="2408">
        <v>4443</v>
      </c>
      <c r="K83" s="232">
        <v>641</v>
      </c>
      <c r="L83" s="2410">
        <f t="shared" si="11"/>
        <v>0.14427188836371821</v>
      </c>
    </row>
    <row r="84" spans="1:12" x14ac:dyDescent="0.3">
      <c r="A84" s="217" t="s">
        <v>206</v>
      </c>
      <c r="B84" s="217" t="s">
        <v>282</v>
      </c>
      <c r="C84" s="232" t="s">
        <v>255</v>
      </c>
      <c r="D84" s="2408">
        <v>125786</v>
      </c>
      <c r="E84" s="2409">
        <v>19887</v>
      </c>
      <c r="F84" s="2410">
        <f t="shared" si="9"/>
        <v>0.15810185553241218</v>
      </c>
      <c r="G84" s="2408">
        <v>26469</v>
      </c>
      <c r="H84" s="2409">
        <v>3397</v>
      </c>
      <c r="I84" s="2410">
        <f t="shared" si="10"/>
        <v>0.1283388114397975</v>
      </c>
      <c r="J84" s="2408">
        <v>18978</v>
      </c>
      <c r="K84" s="2409">
        <v>2302</v>
      </c>
      <c r="L84" s="2410">
        <f t="shared" si="11"/>
        <v>0.12129834545262937</v>
      </c>
    </row>
    <row r="85" spans="1:12" x14ac:dyDescent="0.3">
      <c r="A85" s="217" t="s">
        <v>208</v>
      </c>
      <c r="B85" s="217" t="s">
        <v>209</v>
      </c>
      <c r="C85" s="232" t="s">
        <v>256</v>
      </c>
      <c r="D85" s="2408">
        <v>26470</v>
      </c>
      <c r="E85" s="2409">
        <v>5683</v>
      </c>
      <c r="F85" s="2410">
        <f t="shared" si="9"/>
        <v>0.21469588213071403</v>
      </c>
      <c r="G85" s="2408">
        <v>4982</v>
      </c>
      <c r="H85" s="2409">
        <v>1080</v>
      </c>
      <c r="I85" s="2410">
        <f t="shared" si="10"/>
        <v>0.21678040947410679</v>
      </c>
      <c r="J85" s="2408">
        <v>3708</v>
      </c>
      <c r="K85" s="232">
        <v>740</v>
      </c>
      <c r="L85" s="2410">
        <f t="shared" si="11"/>
        <v>0.19956850053937433</v>
      </c>
    </row>
    <row r="86" spans="1:12" x14ac:dyDescent="0.3">
      <c r="A86" s="217" t="s">
        <v>210</v>
      </c>
      <c r="B86" s="217" t="s">
        <v>211</v>
      </c>
      <c r="C86" s="232" t="s">
        <v>256</v>
      </c>
      <c r="D86" s="2408">
        <v>20693</v>
      </c>
      <c r="E86" s="2409">
        <v>3834</v>
      </c>
      <c r="F86" s="2410">
        <f t="shared" si="9"/>
        <v>0.18528004639249987</v>
      </c>
      <c r="G86" s="2408">
        <v>3756</v>
      </c>
      <c r="H86" s="2409">
        <v>921</v>
      </c>
      <c r="I86" s="2410">
        <f t="shared" si="10"/>
        <v>0.24520766773162939</v>
      </c>
      <c r="J86" s="2408">
        <v>2894</v>
      </c>
      <c r="K86" s="232">
        <v>624</v>
      </c>
      <c r="L86" s="2410">
        <f t="shared" si="11"/>
        <v>0.2156185210780926</v>
      </c>
    </row>
    <row r="87" spans="1:12" x14ac:dyDescent="0.3">
      <c r="A87" s="217" t="s">
        <v>212</v>
      </c>
      <c r="B87" s="217" t="s">
        <v>213</v>
      </c>
      <c r="C87" s="232" t="s">
        <v>255</v>
      </c>
      <c r="D87" s="2408">
        <v>42981</v>
      </c>
      <c r="E87" s="2409">
        <v>4479</v>
      </c>
      <c r="F87" s="2410">
        <f t="shared" si="9"/>
        <v>0.10420883646262302</v>
      </c>
      <c r="G87" s="2408">
        <v>9047</v>
      </c>
      <c r="H87" s="2409">
        <v>1345</v>
      </c>
      <c r="I87" s="2410">
        <f t="shared" si="10"/>
        <v>0.14866806676246269</v>
      </c>
      <c r="J87" s="2408">
        <v>6564</v>
      </c>
      <c r="K87" s="2409">
        <v>918</v>
      </c>
      <c r="L87" s="2410">
        <f t="shared" si="11"/>
        <v>0.13985374771480805</v>
      </c>
    </row>
    <row r="88" spans="1:12" x14ac:dyDescent="0.3">
      <c r="A88" s="217" t="s">
        <v>214</v>
      </c>
      <c r="B88" s="217" t="s">
        <v>215</v>
      </c>
      <c r="C88" s="232" t="s">
        <v>256</v>
      </c>
      <c r="D88" s="2408">
        <v>29766</v>
      </c>
      <c r="E88" s="2409">
        <v>6059</v>
      </c>
      <c r="F88" s="2410">
        <f t="shared" si="9"/>
        <v>0.20355439091580999</v>
      </c>
      <c r="G88" s="2408">
        <v>5748</v>
      </c>
      <c r="H88" s="2409">
        <v>1446</v>
      </c>
      <c r="I88" s="2410">
        <f t="shared" si="10"/>
        <v>0.25156576200417535</v>
      </c>
      <c r="J88" s="2408">
        <v>4350</v>
      </c>
      <c r="K88" s="2409">
        <v>988</v>
      </c>
      <c r="L88" s="2410">
        <f t="shared" si="11"/>
        <v>0.22712643678160921</v>
      </c>
    </row>
    <row r="89" spans="1:12" x14ac:dyDescent="0.3">
      <c r="A89" s="217" t="s">
        <v>216</v>
      </c>
      <c r="B89" s="217" t="s">
        <v>217</v>
      </c>
      <c r="C89" s="232" t="s">
        <v>252</v>
      </c>
      <c r="D89" s="2408">
        <v>15984</v>
      </c>
      <c r="E89" s="2409">
        <v>2350</v>
      </c>
      <c r="F89" s="2410">
        <f t="shared" si="9"/>
        <v>0.14702202202202203</v>
      </c>
      <c r="G89" s="2408">
        <v>3156</v>
      </c>
      <c r="H89" s="232">
        <v>638</v>
      </c>
      <c r="I89" s="2410">
        <f t="shared" si="10"/>
        <v>0.20215462610899873</v>
      </c>
      <c r="J89" s="2408">
        <v>2480</v>
      </c>
      <c r="K89" s="232">
        <v>442</v>
      </c>
      <c r="L89" s="2410">
        <f t="shared" si="11"/>
        <v>0.1782258064516129</v>
      </c>
    </row>
    <row r="90" spans="1:12" x14ac:dyDescent="0.3">
      <c r="A90" s="217" t="s">
        <v>218</v>
      </c>
      <c r="B90" s="217" t="s">
        <v>219</v>
      </c>
      <c r="C90" s="232" t="s">
        <v>255</v>
      </c>
      <c r="D90" s="2408">
        <v>133291</v>
      </c>
      <c r="E90" s="2409">
        <v>10061</v>
      </c>
      <c r="F90" s="2410">
        <f t="shared" si="9"/>
        <v>7.5481465365253464E-2</v>
      </c>
      <c r="G90" s="2408">
        <v>32608</v>
      </c>
      <c r="H90" s="2409">
        <v>3298</v>
      </c>
      <c r="I90" s="2410">
        <f t="shared" si="10"/>
        <v>0.10114082433758587</v>
      </c>
      <c r="J90" s="2408">
        <v>24455</v>
      </c>
      <c r="K90" s="2409">
        <v>2344</v>
      </c>
      <c r="L90" s="2410">
        <f t="shared" si="11"/>
        <v>9.5849519525659371E-2</v>
      </c>
    </row>
    <row r="91" spans="1:12" x14ac:dyDescent="0.3">
      <c r="A91" s="217" t="s">
        <v>220</v>
      </c>
      <c r="B91" s="217" t="s">
        <v>221</v>
      </c>
      <c r="C91" s="232" t="s">
        <v>255</v>
      </c>
      <c r="D91" s="2408">
        <v>146106</v>
      </c>
      <c r="E91" s="2409">
        <v>7822</v>
      </c>
      <c r="F91" s="2410">
        <f t="shared" si="9"/>
        <v>5.3536473519225768E-2</v>
      </c>
      <c r="G91" s="2408">
        <v>38564</v>
      </c>
      <c r="H91" s="2409">
        <v>2517</v>
      </c>
      <c r="I91" s="2410">
        <f t="shared" si="10"/>
        <v>6.5268125713100297E-2</v>
      </c>
      <c r="J91" s="2408">
        <v>29056</v>
      </c>
      <c r="K91" s="2409">
        <v>1617</v>
      </c>
      <c r="L91" s="2410">
        <f t="shared" si="11"/>
        <v>5.5651156387665199E-2</v>
      </c>
    </row>
    <row r="92" spans="1:12" x14ac:dyDescent="0.3">
      <c r="A92" s="217" t="s">
        <v>224</v>
      </c>
      <c r="B92" s="217" t="s">
        <v>225</v>
      </c>
      <c r="C92" s="232" t="s">
        <v>252</v>
      </c>
      <c r="D92" s="2408">
        <v>6465</v>
      </c>
      <c r="E92" s="232">
        <v>831</v>
      </c>
      <c r="F92" s="2410">
        <f t="shared" si="9"/>
        <v>0.128538283062645</v>
      </c>
      <c r="G92" s="2408">
        <v>1074</v>
      </c>
      <c r="H92" s="232">
        <v>217</v>
      </c>
      <c r="I92" s="2410">
        <f t="shared" si="10"/>
        <v>0.20204841713221602</v>
      </c>
      <c r="J92" s="2408">
        <v>810</v>
      </c>
      <c r="K92" s="232">
        <v>156</v>
      </c>
      <c r="L92" s="2410">
        <f t="shared" si="11"/>
        <v>0.19259259259259259</v>
      </c>
    </row>
    <row r="93" spans="1:12" x14ac:dyDescent="0.3">
      <c r="A93" s="217" t="s">
        <v>226</v>
      </c>
      <c r="B93" s="217" t="s">
        <v>227</v>
      </c>
      <c r="C93" s="232" t="s">
        <v>252</v>
      </c>
      <c r="D93" s="2408">
        <v>8659</v>
      </c>
      <c r="E93" s="2409">
        <v>1980</v>
      </c>
      <c r="F93" s="2410">
        <f t="shared" si="9"/>
        <v>0.22866381799283983</v>
      </c>
      <c r="G93" s="2408">
        <v>1707</v>
      </c>
      <c r="H93" s="232">
        <v>506</v>
      </c>
      <c r="I93" s="2410">
        <f t="shared" si="10"/>
        <v>0.29642647920328064</v>
      </c>
      <c r="J93" s="2408">
        <v>1236</v>
      </c>
      <c r="K93" s="232">
        <v>355</v>
      </c>
      <c r="L93" s="2410">
        <f t="shared" si="11"/>
        <v>0.2872168284789644</v>
      </c>
    </row>
    <row r="94" spans="1:12" x14ac:dyDescent="0.3">
      <c r="A94" s="217" t="s">
        <v>228</v>
      </c>
      <c r="B94" s="217" t="s">
        <v>229</v>
      </c>
      <c r="C94" s="232" t="s">
        <v>256</v>
      </c>
      <c r="D94" s="2408">
        <v>39105</v>
      </c>
      <c r="E94" s="2409">
        <v>7104</v>
      </c>
      <c r="F94" s="2410">
        <f t="shared" si="9"/>
        <v>0.18166474875335634</v>
      </c>
      <c r="G94" s="2408">
        <v>7767</v>
      </c>
      <c r="H94" s="2409">
        <v>1875</v>
      </c>
      <c r="I94" s="2410">
        <f t="shared" si="10"/>
        <v>0.2414059482425647</v>
      </c>
      <c r="J94" s="2408">
        <v>5723</v>
      </c>
      <c r="K94" s="2409">
        <v>1290</v>
      </c>
      <c r="L94" s="2410">
        <f t="shared" si="11"/>
        <v>0.22540625546042287</v>
      </c>
    </row>
    <row r="95" spans="1:12" x14ac:dyDescent="0.3">
      <c r="A95" s="217" t="s">
        <v>232</v>
      </c>
      <c r="B95" s="217" t="s">
        <v>233</v>
      </c>
      <c r="C95" s="232" t="s">
        <v>255</v>
      </c>
      <c r="D95" s="2408">
        <v>39227</v>
      </c>
      <c r="E95" s="2409">
        <v>4026</v>
      </c>
      <c r="F95" s="2410">
        <f t="shared" si="9"/>
        <v>0.102633390266908</v>
      </c>
      <c r="G95" s="2408">
        <v>8641</v>
      </c>
      <c r="H95" s="2409">
        <v>1198</v>
      </c>
      <c r="I95" s="2410">
        <f t="shared" si="10"/>
        <v>0.13864136095359333</v>
      </c>
      <c r="J95" s="2408">
        <v>6239</v>
      </c>
      <c r="K95" s="232">
        <v>801</v>
      </c>
      <c r="L95" s="2410">
        <f t="shared" si="11"/>
        <v>0.12838595928834748</v>
      </c>
    </row>
    <row r="96" spans="1:12" x14ac:dyDescent="0.3">
      <c r="A96" s="217" t="s">
        <v>234</v>
      </c>
      <c r="B96" s="217" t="s">
        <v>235</v>
      </c>
      <c r="C96" s="232" t="s">
        <v>256</v>
      </c>
      <c r="D96" s="2408">
        <v>52683</v>
      </c>
      <c r="E96" s="2409">
        <v>8022</v>
      </c>
      <c r="F96" s="2410">
        <f t="shared" si="9"/>
        <v>0.15226923295939868</v>
      </c>
      <c r="G96" s="2408">
        <v>9879</v>
      </c>
      <c r="H96" s="2409">
        <v>2024</v>
      </c>
      <c r="I96" s="2410">
        <f t="shared" si="10"/>
        <v>0.2048790363397105</v>
      </c>
      <c r="J96" s="2408">
        <v>7354</v>
      </c>
      <c r="K96" s="2409">
        <v>1262</v>
      </c>
      <c r="L96" s="2410">
        <f t="shared" si="11"/>
        <v>0.17160728855044874</v>
      </c>
    </row>
    <row r="97" spans="1:12" x14ac:dyDescent="0.3">
      <c r="A97" s="217" t="s">
        <v>236</v>
      </c>
      <c r="B97" s="217" t="s">
        <v>237</v>
      </c>
      <c r="C97" s="232" t="s">
        <v>254</v>
      </c>
      <c r="D97" s="2408">
        <v>17716</v>
      </c>
      <c r="E97" s="2409">
        <v>2914</v>
      </c>
      <c r="F97" s="2410">
        <f t="shared" si="9"/>
        <v>0.16448408218559493</v>
      </c>
      <c r="G97" s="2408">
        <v>3304</v>
      </c>
      <c r="H97" s="232">
        <v>885</v>
      </c>
      <c r="I97" s="2410">
        <f t="shared" si="10"/>
        <v>0.26785714285714285</v>
      </c>
      <c r="J97" s="2408">
        <v>2332</v>
      </c>
      <c r="K97" s="232">
        <v>588</v>
      </c>
      <c r="L97" s="2410">
        <f t="shared" si="11"/>
        <v>0.25214408233276159</v>
      </c>
    </row>
    <row r="98" spans="1:12" x14ac:dyDescent="0.3">
      <c r="A98" s="217" t="s">
        <v>242</v>
      </c>
      <c r="B98" s="217" t="s">
        <v>243</v>
      </c>
      <c r="C98" s="232" t="s">
        <v>256</v>
      </c>
      <c r="D98" s="2408">
        <v>35197</v>
      </c>
      <c r="E98" s="2409">
        <v>8929</v>
      </c>
      <c r="F98" s="2410">
        <f t="shared" si="9"/>
        <v>0.25368639372673807</v>
      </c>
      <c r="G98" s="2408">
        <v>7339</v>
      </c>
      <c r="H98" s="2409">
        <v>2382</v>
      </c>
      <c r="I98" s="2410">
        <f t="shared" si="10"/>
        <v>0.32456737975200983</v>
      </c>
      <c r="J98" s="2408">
        <v>5355</v>
      </c>
      <c r="K98" s="2409">
        <v>1615</v>
      </c>
      <c r="L98" s="2410">
        <f t="shared" si="11"/>
        <v>0.30158730158730157</v>
      </c>
    </row>
    <row r="99" spans="1:12" x14ac:dyDescent="0.3">
      <c r="A99" s="217" t="s">
        <v>244</v>
      </c>
      <c r="B99" s="217" t="s">
        <v>245</v>
      </c>
      <c r="C99" s="232" t="s">
        <v>256</v>
      </c>
      <c r="D99" s="2408">
        <v>28455</v>
      </c>
      <c r="E99" s="2409">
        <v>4391</v>
      </c>
      <c r="F99" s="2410">
        <f t="shared" si="9"/>
        <v>0.15431382885257425</v>
      </c>
      <c r="G99" s="2408">
        <v>5552</v>
      </c>
      <c r="H99" s="2409">
        <v>1324</v>
      </c>
      <c r="I99" s="2410">
        <f t="shared" si="10"/>
        <v>0.23847262247838616</v>
      </c>
      <c r="J99" s="2408">
        <v>4142</v>
      </c>
      <c r="K99" s="232">
        <v>830</v>
      </c>
      <c r="L99" s="2410">
        <f t="shared" si="11"/>
        <v>0.20038628681796233</v>
      </c>
    </row>
    <row r="100" spans="1:12" x14ac:dyDescent="0.3">
      <c r="A100" s="217" t="s">
        <v>246</v>
      </c>
      <c r="B100" s="217" t="s">
        <v>247</v>
      </c>
      <c r="C100" s="232" t="s">
        <v>252</v>
      </c>
      <c r="D100" s="2408">
        <v>79225</v>
      </c>
      <c r="E100" s="2409">
        <v>4308</v>
      </c>
      <c r="F100" s="2410">
        <f t="shared" si="9"/>
        <v>5.4376775007888921E-2</v>
      </c>
      <c r="G100" s="2408">
        <v>18707</v>
      </c>
      <c r="H100" s="2409">
        <v>1196</v>
      </c>
      <c r="I100" s="2410">
        <f t="shared" si="10"/>
        <v>6.3933287004864489E-2</v>
      </c>
      <c r="J100" s="2408">
        <v>14311</v>
      </c>
      <c r="K100" s="232">
        <v>808</v>
      </c>
      <c r="L100" s="2410">
        <f t="shared" si="11"/>
        <v>5.6460065683739784E-2</v>
      </c>
    </row>
    <row r="101" spans="1:12" x14ac:dyDescent="0.3">
      <c r="A101" s="217" t="s">
        <v>14</v>
      </c>
      <c r="B101" s="217" t="s">
        <v>15</v>
      </c>
      <c r="C101" s="232" t="s">
        <v>255</v>
      </c>
      <c r="D101" s="2408">
        <v>158611</v>
      </c>
      <c r="E101" s="2409">
        <v>16093</v>
      </c>
      <c r="F101" s="2410">
        <f t="shared" si="9"/>
        <v>0.1014620675741279</v>
      </c>
      <c r="G101" s="2408">
        <v>28569</v>
      </c>
      <c r="H101" s="2409">
        <v>4586</v>
      </c>
      <c r="I101" s="2410">
        <f t="shared" si="10"/>
        <v>0.16052364450978332</v>
      </c>
      <c r="J101" s="2408">
        <v>17278</v>
      </c>
      <c r="K101" s="2409">
        <v>2982</v>
      </c>
      <c r="L101" s="2410">
        <f t="shared" si="11"/>
        <v>0.17258942007176756</v>
      </c>
    </row>
    <row r="102" spans="1:12" x14ac:dyDescent="0.3">
      <c r="A102" s="217" t="s">
        <v>34</v>
      </c>
      <c r="B102" s="217" t="s">
        <v>35</v>
      </c>
      <c r="C102" s="232" t="s">
        <v>256</v>
      </c>
      <c r="D102" s="2408">
        <v>16252</v>
      </c>
      <c r="E102" s="2409">
        <v>3324</v>
      </c>
      <c r="F102" s="2410">
        <f t="shared" ref="F102:F125" si="12">E102/D102</f>
        <v>0.20452867339404382</v>
      </c>
      <c r="G102" s="2408">
        <v>3240</v>
      </c>
      <c r="H102" s="2409">
        <v>1072</v>
      </c>
      <c r="I102" s="2410">
        <f t="shared" ref="I102:I125" si="13">H102/G102</f>
        <v>0.33086419753086421</v>
      </c>
      <c r="J102" s="2408">
        <v>2398</v>
      </c>
      <c r="K102" s="232">
        <v>737</v>
      </c>
      <c r="L102" s="2410">
        <f t="shared" ref="L102:L125" si="14">K102/J102</f>
        <v>0.30733944954128439</v>
      </c>
    </row>
    <row r="103" spans="1:12" x14ac:dyDescent="0.3">
      <c r="A103" s="217" t="s">
        <v>52</v>
      </c>
      <c r="B103" s="217" t="s">
        <v>53</v>
      </c>
      <c r="C103" s="232" t="s">
        <v>253</v>
      </c>
      <c r="D103" s="2408">
        <v>46004</v>
      </c>
      <c r="E103" s="2409">
        <v>10614</v>
      </c>
      <c r="F103" s="2410">
        <f t="shared" si="12"/>
        <v>0.2307190679071385</v>
      </c>
      <c r="G103" s="2408">
        <v>7526</v>
      </c>
      <c r="H103" s="2409">
        <v>1380</v>
      </c>
      <c r="I103" s="2410">
        <f t="shared" si="13"/>
        <v>0.18336433696518736</v>
      </c>
      <c r="J103" s="2408">
        <v>4755</v>
      </c>
      <c r="K103" s="2409">
        <v>946</v>
      </c>
      <c r="L103" s="2410">
        <f t="shared" si="14"/>
        <v>0.19894847528916929</v>
      </c>
    </row>
    <row r="104" spans="1:12" x14ac:dyDescent="0.3">
      <c r="A104" s="217" t="s">
        <v>54</v>
      </c>
      <c r="B104" s="217" t="s">
        <v>55</v>
      </c>
      <c r="C104" s="232" t="s">
        <v>252</v>
      </c>
      <c r="D104" s="2408">
        <v>237736</v>
      </c>
      <c r="E104" s="2409">
        <v>20239</v>
      </c>
      <c r="F104" s="2410">
        <f t="shared" si="12"/>
        <v>8.5132247535080932E-2</v>
      </c>
      <c r="G104" s="2408">
        <v>57592</v>
      </c>
      <c r="H104" s="2409">
        <v>6860</v>
      </c>
      <c r="I104" s="2410">
        <f t="shared" si="13"/>
        <v>0.11911376580080567</v>
      </c>
      <c r="J104" s="2408">
        <v>42394</v>
      </c>
      <c r="K104" s="2409">
        <v>4525</v>
      </c>
      <c r="L104" s="2410">
        <f t="shared" si="14"/>
        <v>0.10673680237769495</v>
      </c>
    </row>
    <row r="105" spans="1:12" x14ac:dyDescent="0.3">
      <c r="A105" s="217" t="s">
        <v>66</v>
      </c>
      <c r="B105" s="217" t="s">
        <v>67</v>
      </c>
      <c r="C105" s="232" t="s">
        <v>253</v>
      </c>
      <c r="D105" s="2408">
        <v>39129</v>
      </c>
      <c r="E105" s="2409">
        <v>10006</v>
      </c>
      <c r="F105" s="2410">
        <f t="shared" si="12"/>
        <v>0.25571826522528046</v>
      </c>
      <c r="G105" s="2408">
        <v>8678</v>
      </c>
      <c r="H105" s="2409">
        <v>3306</v>
      </c>
      <c r="I105" s="2410">
        <f t="shared" si="13"/>
        <v>0.38096335561189215</v>
      </c>
      <c r="J105" s="2408">
        <v>6332</v>
      </c>
      <c r="K105" s="2409">
        <v>2287</v>
      </c>
      <c r="L105" s="2410">
        <f t="shared" si="14"/>
        <v>0.36118130132659509</v>
      </c>
    </row>
    <row r="106" spans="1:12" x14ac:dyDescent="0.3">
      <c r="A106" s="217" t="s">
        <v>82</v>
      </c>
      <c r="B106" s="217" t="s">
        <v>83</v>
      </c>
      <c r="C106" s="232" t="s">
        <v>252</v>
      </c>
      <c r="D106" s="2408">
        <v>7881</v>
      </c>
      <c r="E106" s="2409">
        <v>1444</v>
      </c>
      <c r="F106" s="2410">
        <f t="shared" si="12"/>
        <v>0.1832254790001269</v>
      </c>
      <c r="G106" s="2408">
        <v>1882</v>
      </c>
      <c r="H106" s="232">
        <v>642</v>
      </c>
      <c r="I106" s="2410">
        <f t="shared" si="13"/>
        <v>0.34112646121147716</v>
      </c>
      <c r="J106" s="2408">
        <v>1432</v>
      </c>
      <c r="K106" s="232">
        <v>467</v>
      </c>
      <c r="L106" s="2410">
        <f t="shared" si="14"/>
        <v>0.3261173184357542</v>
      </c>
    </row>
    <row r="107" spans="1:12" x14ac:dyDescent="0.3">
      <c r="A107" s="217" t="s">
        <v>88</v>
      </c>
      <c r="B107" s="217" t="s">
        <v>89</v>
      </c>
      <c r="C107" s="232" t="s">
        <v>255</v>
      </c>
      <c r="D107" s="2408">
        <v>26479</v>
      </c>
      <c r="E107" s="2409">
        <v>3851</v>
      </c>
      <c r="F107" s="2410">
        <f t="shared" si="12"/>
        <v>0.14543600589146116</v>
      </c>
      <c r="G107" s="2408">
        <v>5913</v>
      </c>
      <c r="H107" s="2409">
        <v>1254</v>
      </c>
      <c r="I107" s="2410">
        <f t="shared" si="13"/>
        <v>0.21207508878741754</v>
      </c>
      <c r="J107" s="2408">
        <v>3948</v>
      </c>
      <c r="K107" s="232">
        <v>829</v>
      </c>
      <c r="L107" s="2410">
        <f t="shared" si="14"/>
        <v>0.20997973657548125</v>
      </c>
    </row>
    <row r="108" spans="1:12" x14ac:dyDescent="0.3">
      <c r="A108" s="217" t="s">
        <v>90</v>
      </c>
      <c r="B108" s="217" t="s">
        <v>91</v>
      </c>
      <c r="C108" s="232" t="s">
        <v>256</v>
      </c>
      <c r="D108" s="2408">
        <v>6122</v>
      </c>
      <c r="E108" s="2409">
        <v>1326</v>
      </c>
      <c r="F108" s="2410">
        <f t="shared" si="12"/>
        <v>0.21659588369813787</v>
      </c>
      <c r="G108" s="2408">
        <v>1378</v>
      </c>
      <c r="H108" s="232">
        <v>478</v>
      </c>
      <c r="I108" s="2410">
        <f t="shared" si="13"/>
        <v>0.34687953555878082</v>
      </c>
      <c r="J108" s="2408">
        <v>1073</v>
      </c>
      <c r="K108" s="232">
        <v>335</v>
      </c>
      <c r="L108" s="2410">
        <f t="shared" si="14"/>
        <v>0.31220876048462254</v>
      </c>
    </row>
    <row r="109" spans="1:12" x14ac:dyDescent="0.3">
      <c r="A109" s="217" t="s">
        <v>106</v>
      </c>
      <c r="B109" s="217" t="s">
        <v>107</v>
      </c>
      <c r="C109" s="232" t="s">
        <v>252</v>
      </c>
      <c r="D109" s="2408">
        <v>129299</v>
      </c>
      <c r="E109" s="2409">
        <v>19954</v>
      </c>
      <c r="F109" s="2410">
        <f t="shared" si="12"/>
        <v>0.15432447273374117</v>
      </c>
      <c r="G109" s="2408">
        <v>27543</v>
      </c>
      <c r="H109" s="2409">
        <v>6538</v>
      </c>
      <c r="I109" s="2410">
        <f t="shared" si="13"/>
        <v>0.23737428747776204</v>
      </c>
      <c r="J109" s="2408">
        <v>19621</v>
      </c>
      <c r="K109" s="2409">
        <v>4444</v>
      </c>
      <c r="L109" s="2410">
        <f t="shared" si="14"/>
        <v>0.22649202385199532</v>
      </c>
    </row>
    <row r="110" spans="1:12" x14ac:dyDescent="0.3">
      <c r="A110" s="217" t="s">
        <v>116</v>
      </c>
      <c r="B110" s="217" t="s">
        <v>117</v>
      </c>
      <c r="C110" s="232" t="s">
        <v>254</v>
      </c>
      <c r="D110" s="2408">
        <v>22236</v>
      </c>
      <c r="E110" s="2409">
        <v>4381</v>
      </c>
      <c r="F110" s="2410">
        <f t="shared" si="12"/>
        <v>0.19702284583558194</v>
      </c>
      <c r="G110" s="2408">
        <v>5740</v>
      </c>
      <c r="H110" s="2409">
        <v>1775</v>
      </c>
      <c r="I110" s="2410">
        <f t="shared" si="13"/>
        <v>0.30923344947735193</v>
      </c>
      <c r="J110" s="2408">
        <v>4042</v>
      </c>
      <c r="K110" s="2409">
        <v>1097</v>
      </c>
      <c r="L110" s="2410">
        <f t="shared" si="14"/>
        <v>0.27140029688273132</v>
      </c>
    </row>
    <row r="111" spans="1:12" x14ac:dyDescent="0.3">
      <c r="A111" s="217" t="s">
        <v>138</v>
      </c>
      <c r="B111" s="217" t="s">
        <v>139</v>
      </c>
      <c r="C111" s="232" t="s">
        <v>253</v>
      </c>
      <c r="D111" s="2408">
        <v>71048</v>
      </c>
      <c r="E111" s="2409">
        <v>14789</v>
      </c>
      <c r="F111" s="2410">
        <f t="shared" si="12"/>
        <v>0.20815505010696994</v>
      </c>
      <c r="G111" s="2408">
        <v>15534</v>
      </c>
      <c r="H111" s="2409">
        <v>3899</v>
      </c>
      <c r="I111" s="2410">
        <f t="shared" si="13"/>
        <v>0.25099781125273596</v>
      </c>
      <c r="J111" s="2408">
        <v>10435</v>
      </c>
      <c r="K111" s="2409">
        <v>2600</v>
      </c>
      <c r="L111" s="2410">
        <f t="shared" si="14"/>
        <v>0.24916147580258743</v>
      </c>
    </row>
    <row r="112" spans="1:12" x14ac:dyDescent="0.3">
      <c r="A112" s="217" t="s">
        <v>142</v>
      </c>
      <c r="B112" s="217" t="s">
        <v>143</v>
      </c>
      <c r="C112" s="232" t="s">
        <v>255</v>
      </c>
      <c r="D112" s="2408">
        <v>41319</v>
      </c>
      <c r="E112" s="2409">
        <v>3451</v>
      </c>
      <c r="F112" s="2410">
        <f t="shared" si="12"/>
        <v>8.3520898376049757E-2</v>
      </c>
      <c r="G112" s="2408">
        <v>10905</v>
      </c>
      <c r="H112" s="2409">
        <v>1602</v>
      </c>
      <c r="I112" s="2410">
        <f t="shared" si="13"/>
        <v>0.1469050894085282</v>
      </c>
      <c r="J112" s="2408">
        <v>7455</v>
      </c>
      <c r="K112" s="2409">
        <v>1081</v>
      </c>
      <c r="L112" s="2410">
        <f t="shared" si="14"/>
        <v>0.14500335345405768</v>
      </c>
    </row>
    <row r="113" spans="1:12" x14ac:dyDescent="0.3">
      <c r="A113" s="217" t="s">
        <v>144</v>
      </c>
      <c r="B113" s="217" t="s">
        <v>145</v>
      </c>
      <c r="C113" s="232" t="s">
        <v>255</v>
      </c>
      <c r="D113" s="2408">
        <v>17227</v>
      </c>
      <c r="E113" s="2409">
        <v>1203</v>
      </c>
      <c r="F113" s="2410">
        <f t="shared" si="12"/>
        <v>6.9832240088233591E-2</v>
      </c>
      <c r="G113" s="2408">
        <v>3834</v>
      </c>
      <c r="H113" s="232">
        <v>455</v>
      </c>
      <c r="I113" s="2410">
        <f t="shared" si="13"/>
        <v>0.11867501304121023</v>
      </c>
      <c r="J113" s="2408">
        <v>3170</v>
      </c>
      <c r="K113" s="232">
        <v>305</v>
      </c>
      <c r="L113" s="2410">
        <f t="shared" si="14"/>
        <v>9.6214511041009462E-2</v>
      </c>
    </row>
    <row r="114" spans="1:12" x14ac:dyDescent="0.3">
      <c r="A114" s="217" t="s">
        <v>158</v>
      </c>
      <c r="B114" s="217" t="s">
        <v>159</v>
      </c>
      <c r="C114" s="232" t="s">
        <v>252</v>
      </c>
      <c r="D114" s="2408">
        <v>170589</v>
      </c>
      <c r="E114" s="2409">
        <v>26007</v>
      </c>
      <c r="F114" s="2410">
        <f t="shared" si="12"/>
        <v>0.15245414417107786</v>
      </c>
      <c r="G114" s="2408">
        <v>40475</v>
      </c>
      <c r="H114" s="2409">
        <v>8774</v>
      </c>
      <c r="I114" s="2410">
        <f t="shared" si="13"/>
        <v>0.21677578752316246</v>
      </c>
      <c r="J114" s="2408">
        <v>27581</v>
      </c>
      <c r="K114" s="2409">
        <v>6329</v>
      </c>
      <c r="L114" s="2410">
        <f t="shared" si="14"/>
        <v>0.22946956237989921</v>
      </c>
    </row>
    <row r="115" spans="1:12" x14ac:dyDescent="0.3">
      <c r="A115" s="217" t="s">
        <v>160</v>
      </c>
      <c r="B115" s="217" t="s">
        <v>161</v>
      </c>
      <c r="C115" s="232" t="s">
        <v>252</v>
      </c>
      <c r="D115" s="2408">
        <v>210043</v>
      </c>
      <c r="E115" s="2409">
        <v>41471</v>
      </c>
      <c r="F115" s="2410">
        <f t="shared" si="12"/>
        <v>0.19744052408316393</v>
      </c>
      <c r="G115" s="2408">
        <v>46800</v>
      </c>
      <c r="H115" s="2409">
        <v>13203</v>
      </c>
      <c r="I115" s="2410">
        <f t="shared" si="13"/>
        <v>0.2821153846153846</v>
      </c>
      <c r="J115" s="2408">
        <v>31085</v>
      </c>
      <c r="K115" s="2409">
        <v>8618</v>
      </c>
      <c r="L115" s="2410">
        <f t="shared" si="14"/>
        <v>0.27723982628277305</v>
      </c>
    </row>
    <row r="116" spans="1:12" x14ac:dyDescent="0.3">
      <c r="A116" s="217" t="s">
        <v>166</v>
      </c>
      <c r="B116" s="217" t="s">
        <v>167</v>
      </c>
      <c r="C116" s="232" t="s">
        <v>256</v>
      </c>
      <c r="D116" s="2408">
        <v>3907</v>
      </c>
      <c r="E116" s="232">
        <v>811</v>
      </c>
      <c r="F116" s="2410">
        <f t="shared" si="12"/>
        <v>0.20757614538008703</v>
      </c>
      <c r="G116" s="2411">
        <v>772</v>
      </c>
      <c r="H116" s="232">
        <v>242</v>
      </c>
      <c r="I116" s="2410">
        <f t="shared" si="13"/>
        <v>0.31347150259067358</v>
      </c>
      <c r="J116" s="2411">
        <v>569</v>
      </c>
      <c r="K116" s="232">
        <v>163</v>
      </c>
      <c r="L116" s="2410">
        <f t="shared" si="14"/>
        <v>0.28646748681898065</v>
      </c>
    </row>
    <row r="117" spans="1:12" x14ac:dyDescent="0.3">
      <c r="A117" s="217" t="s">
        <v>176</v>
      </c>
      <c r="B117" s="217" t="s">
        <v>177</v>
      </c>
      <c r="C117" s="232" t="s">
        <v>254</v>
      </c>
      <c r="D117" s="2408">
        <v>31019</v>
      </c>
      <c r="E117" s="2409">
        <v>7491</v>
      </c>
      <c r="F117" s="2410">
        <f t="shared" si="12"/>
        <v>0.24149714690995841</v>
      </c>
      <c r="G117" s="2408">
        <v>6890</v>
      </c>
      <c r="H117" s="2409">
        <v>2678</v>
      </c>
      <c r="I117" s="2410">
        <f t="shared" si="13"/>
        <v>0.38867924528301889</v>
      </c>
      <c r="J117" s="2408">
        <v>4220</v>
      </c>
      <c r="K117" s="2409">
        <v>1708</v>
      </c>
      <c r="L117" s="2410">
        <f t="shared" si="14"/>
        <v>0.40473933649289101</v>
      </c>
    </row>
    <row r="118" spans="1:12" x14ac:dyDescent="0.3">
      <c r="A118" s="217" t="s">
        <v>180</v>
      </c>
      <c r="B118" s="217" t="s">
        <v>181</v>
      </c>
      <c r="C118" s="232" t="s">
        <v>252</v>
      </c>
      <c r="D118" s="2408">
        <v>91452</v>
      </c>
      <c r="E118" s="2409">
        <v>17540</v>
      </c>
      <c r="F118" s="2410">
        <f t="shared" si="12"/>
        <v>0.19179460263307527</v>
      </c>
      <c r="G118" s="2408">
        <v>21426</v>
      </c>
      <c r="H118" s="2409">
        <v>6232</v>
      </c>
      <c r="I118" s="2410">
        <f t="shared" si="13"/>
        <v>0.29086157005507329</v>
      </c>
      <c r="J118" s="2408">
        <v>14569</v>
      </c>
      <c r="K118" s="2409">
        <v>3867</v>
      </c>
      <c r="L118" s="2410">
        <f t="shared" si="14"/>
        <v>0.26542659070629421</v>
      </c>
    </row>
    <row r="119" spans="1:12" x14ac:dyDescent="0.3">
      <c r="A119" s="217" t="s">
        <v>192</v>
      </c>
      <c r="B119" s="217" t="s">
        <v>193</v>
      </c>
      <c r="C119" s="232" t="s">
        <v>256</v>
      </c>
      <c r="D119" s="2408">
        <v>14868</v>
      </c>
      <c r="E119" s="2409">
        <v>4513</v>
      </c>
      <c r="F119" s="2410">
        <f t="shared" si="12"/>
        <v>0.30353779930051117</v>
      </c>
      <c r="G119" s="2408">
        <v>2236</v>
      </c>
      <c r="H119" s="232">
        <v>403</v>
      </c>
      <c r="I119" s="2410">
        <f t="shared" si="13"/>
        <v>0.18023255813953487</v>
      </c>
      <c r="J119" s="2408">
        <v>1596</v>
      </c>
      <c r="K119" s="232">
        <v>261</v>
      </c>
      <c r="L119" s="2410">
        <f t="shared" si="14"/>
        <v>0.16353383458646617</v>
      </c>
    </row>
    <row r="120" spans="1:12" x14ac:dyDescent="0.3">
      <c r="A120" s="217" t="s">
        <v>196</v>
      </c>
      <c r="B120" s="217" t="s">
        <v>197</v>
      </c>
      <c r="C120" s="232" t="s">
        <v>254</v>
      </c>
      <c r="D120" s="2408">
        <v>217195</v>
      </c>
      <c r="E120" s="2409">
        <v>48424</v>
      </c>
      <c r="F120" s="2410">
        <f t="shared" si="12"/>
        <v>0.22295172540804345</v>
      </c>
      <c r="G120" s="2408">
        <v>39259</v>
      </c>
      <c r="H120" s="2409">
        <v>13549</v>
      </c>
      <c r="I120" s="2410">
        <f t="shared" si="13"/>
        <v>0.34511831681907335</v>
      </c>
      <c r="J120" s="2408">
        <v>25968</v>
      </c>
      <c r="K120" s="2409">
        <v>8981</v>
      </c>
      <c r="L120" s="2410">
        <f t="shared" si="14"/>
        <v>0.34584873690696244</v>
      </c>
    </row>
    <row r="121" spans="1:12" x14ac:dyDescent="0.3">
      <c r="A121" s="217" t="s">
        <v>200</v>
      </c>
      <c r="B121" s="217" t="s">
        <v>201</v>
      </c>
      <c r="C121" s="232" t="s">
        <v>253</v>
      </c>
      <c r="D121" s="2408">
        <v>98289</v>
      </c>
      <c r="E121" s="2409">
        <v>19812</v>
      </c>
      <c r="F121" s="2410">
        <f t="shared" si="12"/>
        <v>0.20156884290205415</v>
      </c>
      <c r="G121" s="2408">
        <v>22037</v>
      </c>
      <c r="H121" s="2409">
        <v>7125</v>
      </c>
      <c r="I121" s="2410">
        <f t="shared" si="13"/>
        <v>0.32331987112583382</v>
      </c>
      <c r="J121" s="2408">
        <v>15046</v>
      </c>
      <c r="K121" s="2409">
        <v>4551</v>
      </c>
      <c r="L121" s="2410">
        <f t="shared" si="14"/>
        <v>0.30247241791838364</v>
      </c>
    </row>
    <row r="122" spans="1:12" x14ac:dyDescent="0.3">
      <c r="A122" s="217" t="s">
        <v>222</v>
      </c>
      <c r="B122" s="217" t="s">
        <v>223</v>
      </c>
      <c r="C122" s="232" t="s">
        <v>252</v>
      </c>
      <c r="D122" s="2408">
        <v>89949</v>
      </c>
      <c r="E122" s="2409">
        <v>9846</v>
      </c>
      <c r="F122" s="2410">
        <f t="shared" si="12"/>
        <v>0.10946202848280692</v>
      </c>
      <c r="G122" s="2408">
        <v>21772</v>
      </c>
      <c r="H122" s="2409">
        <v>3503</v>
      </c>
      <c r="I122" s="2410">
        <f t="shared" si="13"/>
        <v>0.16089472717251516</v>
      </c>
      <c r="J122" s="2408">
        <v>15631</v>
      </c>
      <c r="K122" s="2409">
        <v>2473</v>
      </c>
      <c r="L122" s="2410">
        <f t="shared" si="14"/>
        <v>0.15821124688119761</v>
      </c>
    </row>
    <row r="123" spans="1:12" x14ac:dyDescent="0.3">
      <c r="A123" s="217" t="s">
        <v>230</v>
      </c>
      <c r="B123" s="217" t="s">
        <v>231</v>
      </c>
      <c r="C123" s="232" t="s">
        <v>252</v>
      </c>
      <c r="D123" s="2408">
        <v>439771</v>
      </c>
      <c r="E123" s="2409">
        <v>33084</v>
      </c>
      <c r="F123" s="2410">
        <f t="shared" si="12"/>
        <v>7.5230062919110177E-2</v>
      </c>
      <c r="G123" s="2408">
        <v>98074</v>
      </c>
      <c r="H123" s="2409">
        <v>10176</v>
      </c>
      <c r="I123" s="2410">
        <f t="shared" si="13"/>
        <v>0.10375838652446112</v>
      </c>
      <c r="J123" s="2408">
        <v>70007</v>
      </c>
      <c r="K123" s="2409">
        <v>6467</v>
      </c>
      <c r="L123" s="2410">
        <f t="shared" si="14"/>
        <v>9.2376476638050486E-2</v>
      </c>
    </row>
    <row r="124" spans="1:12" x14ac:dyDescent="0.3">
      <c r="A124" s="217" t="s">
        <v>238</v>
      </c>
      <c r="B124" s="217" t="s">
        <v>239</v>
      </c>
      <c r="C124" s="232" t="s">
        <v>252</v>
      </c>
      <c r="D124" s="2408">
        <v>10602</v>
      </c>
      <c r="E124" s="2409">
        <v>2437</v>
      </c>
      <c r="F124" s="2410">
        <f t="shared" si="12"/>
        <v>0.229862290133937</v>
      </c>
      <c r="G124" s="2408">
        <v>1682</v>
      </c>
      <c r="H124" s="232">
        <v>475</v>
      </c>
      <c r="I124" s="2410">
        <f t="shared" si="13"/>
        <v>0.28240190249702735</v>
      </c>
      <c r="J124" s="2408">
        <v>1188</v>
      </c>
      <c r="K124" s="232">
        <v>316</v>
      </c>
      <c r="L124" s="2410">
        <f t="shared" si="14"/>
        <v>0.265993265993266</v>
      </c>
    </row>
    <row r="125" spans="1:12" x14ac:dyDescent="0.3">
      <c r="A125" s="217" t="s">
        <v>240</v>
      </c>
      <c r="B125" s="217" t="s">
        <v>241</v>
      </c>
      <c r="C125" s="232" t="s">
        <v>255</v>
      </c>
      <c r="D125" s="2408">
        <v>26946</v>
      </c>
      <c r="E125" s="2409">
        <v>4124</v>
      </c>
      <c r="F125" s="2410">
        <f t="shared" si="12"/>
        <v>0.15304683440955985</v>
      </c>
      <c r="G125" s="2408">
        <v>6166</v>
      </c>
      <c r="H125" s="2409">
        <v>1358</v>
      </c>
      <c r="I125" s="2410">
        <f t="shared" si="13"/>
        <v>0.22024002594875122</v>
      </c>
      <c r="J125" s="2408">
        <v>4335</v>
      </c>
      <c r="K125" s="232">
        <v>940</v>
      </c>
      <c r="L125" s="2410">
        <f t="shared" si="14"/>
        <v>0.21683967704728951</v>
      </c>
    </row>
    <row r="126" spans="1:12" x14ac:dyDescent="0.3">
      <c r="D126" s="2411"/>
      <c r="E126" s="232"/>
      <c r="F126" s="2412"/>
      <c r="G126" s="2411"/>
      <c r="H126" s="232"/>
      <c r="I126" s="2412"/>
      <c r="J126" s="2411"/>
      <c r="K126" s="232"/>
      <c r="L126" s="2412"/>
    </row>
    <row r="127" spans="1:12" x14ac:dyDescent="0.3">
      <c r="A127" s="217" t="s">
        <v>254</v>
      </c>
      <c r="D127" s="2413">
        <v>1370420</v>
      </c>
      <c r="E127" s="292">
        <v>159845</v>
      </c>
      <c r="F127" s="2410">
        <f t="shared" ref="F127:F131" si="15">E127/D127</f>
        <v>0.11663942441003489</v>
      </c>
      <c r="G127" s="2414">
        <v>294166</v>
      </c>
      <c r="H127" s="292">
        <v>47791</v>
      </c>
      <c r="I127" s="2410">
        <f t="shared" ref="I127:I131" si="16">H127/G127</f>
        <v>0.16246269113357764</v>
      </c>
      <c r="J127" s="2414">
        <v>213840</v>
      </c>
      <c r="K127" s="292">
        <v>31795</v>
      </c>
      <c r="L127" s="2410">
        <f t="shared" ref="L127:L131" si="17">K127/J127</f>
        <v>0.14868593340815564</v>
      </c>
    </row>
    <row r="128" spans="1:12" x14ac:dyDescent="0.3">
      <c r="A128" s="217" t="s">
        <v>252</v>
      </c>
      <c r="D128" s="2413">
        <v>1787680</v>
      </c>
      <c r="E128" s="292">
        <v>214911</v>
      </c>
      <c r="F128" s="2410">
        <f t="shared" si="15"/>
        <v>0.12021782421909961</v>
      </c>
      <c r="G128" s="2414">
        <v>401441</v>
      </c>
      <c r="H128" s="292">
        <v>68478</v>
      </c>
      <c r="I128" s="2410">
        <f t="shared" si="16"/>
        <v>0.17058048380708499</v>
      </c>
      <c r="J128" s="2414">
        <v>286750</v>
      </c>
      <c r="K128" s="292">
        <v>45768</v>
      </c>
      <c r="L128" s="2410">
        <f t="shared" si="17"/>
        <v>0.15960941586748037</v>
      </c>
    </row>
    <row r="129" spans="1:12" x14ac:dyDescent="0.3">
      <c r="A129" s="217" t="s">
        <v>255</v>
      </c>
      <c r="D129" s="2413">
        <v>3421711</v>
      </c>
      <c r="E129" s="292">
        <v>237643</v>
      </c>
      <c r="F129" s="2410">
        <f t="shared" si="15"/>
        <v>6.9451511246858666E-2</v>
      </c>
      <c r="G129" s="2414">
        <v>813728</v>
      </c>
      <c r="H129" s="292">
        <v>68129</v>
      </c>
      <c r="I129" s="2410">
        <f t="shared" si="16"/>
        <v>8.3724536946006525E-2</v>
      </c>
      <c r="J129" s="2414">
        <v>589377</v>
      </c>
      <c r="K129" s="292">
        <v>45813</v>
      </c>
      <c r="L129" s="2410">
        <f t="shared" si="17"/>
        <v>7.7731231452873112E-2</v>
      </c>
    </row>
    <row r="130" spans="1:12" x14ac:dyDescent="0.3">
      <c r="A130" s="217" t="s">
        <v>253</v>
      </c>
      <c r="D130" s="2413">
        <v>1133323</v>
      </c>
      <c r="E130" s="292">
        <v>162970</v>
      </c>
      <c r="F130" s="2410">
        <f t="shared" si="15"/>
        <v>0.14379836992631403</v>
      </c>
      <c r="G130" s="2414">
        <v>227229</v>
      </c>
      <c r="H130" s="292">
        <v>45166</v>
      </c>
      <c r="I130" s="2410">
        <f t="shared" si="16"/>
        <v>0.19876864308692993</v>
      </c>
      <c r="J130" s="2414">
        <v>166322</v>
      </c>
      <c r="K130" s="292">
        <v>30537</v>
      </c>
      <c r="L130" s="2410">
        <f t="shared" si="17"/>
        <v>0.18360168829138659</v>
      </c>
    </row>
    <row r="131" spans="1:12" x14ac:dyDescent="0.3">
      <c r="A131" s="217" t="s">
        <v>256</v>
      </c>
      <c r="D131" s="2413">
        <v>550963</v>
      </c>
      <c r="E131" s="292">
        <v>109526</v>
      </c>
      <c r="F131" s="2410">
        <f t="shared" si="15"/>
        <v>0.19879011839270513</v>
      </c>
      <c r="G131" s="2414">
        <v>102441</v>
      </c>
      <c r="H131" s="292">
        <v>23919</v>
      </c>
      <c r="I131" s="2410">
        <f t="shared" si="16"/>
        <v>0.23349049696898702</v>
      </c>
      <c r="J131" s="2414">
        <v>75940</v>
      </c>
      <c r="K131" s="292">
        <v>16026</v>
      </c>
      <c r="L131" s="2410">
        <f t="shared" si="17"/>
        <v>0.21103502765341059</v>
      </c>
    </row>
    <row r="134" spans="1:12" x14ac:dyDescent="0.3">
      <c r="B134" s="217" t="s">
        <v>910</v>
      </c>
    </row>
  </sheetData>
  <autoFilter ref="A4:C125"/>
  <sortState ref="A6:L125">
    <sortCondition ref="A6:A125"/>
  </sortState>
  <mergeCells count="3">
    <mergeCell ref="D3:F3"/>
    <mergeCell ref="G3:I3"/>
    <mergeCell ref="J3: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P135"/>
  <sheetViews>
    <sheetView workbookViewId="0">
      <pane ySplit="4" topLeftCell="A5" activePane="bottomLeft" state="frozen"/>
      <selection pane="bottomLeft" activeCell="A11" sqref="A11:XFD11"/>
    </sheetView>
  </sheetViews>
  <sheetFormatPr defaultColWidth="9" defaultRowHeight="15.6" x14ac:dyDescent="0.3"/>
  <cols>
    <col min="1" max="1" width="8.69921875" style="339" customWidth="1"/>
    <col min="2" max="2" width="34.59765625" style="339" customWidth="1"/>
    <col min="3" max="3" width="16.296875" style="339" customWidth="1"/>
    <col min="4" max="4" width="5.796875" style="339" customWidth="1"/>
    <col min="5" max="14" width="6" style="339" bestFit="1" customWidth="1"/>
    <col min="15" max="16" width="7.5" style="339" customWidth="1"/>
    <col min="17" max="17" width="7.09765625" style="339" customWidth="1"/>
    <col min="18" max="22" width="7.5" style="339" customWidth="1"/>
    <col min="23" max="23" width="3.59765625" style="339" customWidth="1"/>
    <col min="24" max="31" width="7.296875" style="339" bestFit="1" customWidth="1"/>
    <col min="32" max="34" width="7.796875" style="339" bestFit="1" customWidth="1"/>
    <col min="35" max="35" width="7.796875" style="339" customWidth="1"/>
    <col min="36" max="36" width="9.296875" style="339" customWidth="1"/>
    <col min="37" max="16384" width="9" style="339"/>
  </cols>
  <sheetData>
    <row r="1" spans="1:42" x14ac:dyDescent="0.3">
      <c r="A1" s="189" t="s">
        <v>1141</v>
      </c>
    </row>
    <row r="2" spans="1:42" x14ac:dyDescent="0.3">
      <c r="D2" s="2706"/>
      <c r="E2" s="2706"/>
      <c r="F2" s="2706"/>
      <c r="G2" s="2706"/>
      <c r="H2" s="2706"/>
      <c r="I2" s="2706"/>
      <c r="J2" s="2706"/>
      <c r="K2" s="2706"/>
      <c r="L2" s="2706"/>
      <c r="M2" s="2706"/>
      <c r="N2" s="2706"/>
      <c r="O2" s="303"/>
      <c r="P2" s="303"/>
      <c r="Q2" s="303"/>
      <c r="R2" s="303"/>
      <c r="S2" s="303"/>
      <c r="T2" s="303"/>
      <c r="U2" s="303"/>
      <c r="V2" s="303"/>
      <c r="X2" s="2706"/>
      <c r="Y2" s="2706"/>
      <c r="Z2" s="2706"/>
      <c r="AA2" s="2706"/>
      <c r="AB2" s="2706"/>
      <c r="AC2" s="2706"/>
      <c r="AD2" s="2706"/>
      <c r="AE2" s="2706"/>
      <c r="AF2" s="2706"/>
      <c r="AG2" s="2706"/>
      <c r="AH2" s="2706"/>
      <c r="AI2" s="303"/>
    </row>
    <row r="3" spans="1:42" ht="33" customHeight="1" x14ac:dyDescent="0.3">
      <c r="A3" s="421" t="s">
        <v>4</v>
      </c>
      <c r="B3" s="422" t="s">
        <v>5</v>
      </c>
      <c r="C3" s="1205" t="s">
        <v>251</v>
      </c>
      <c r="D3" s="381">
        <v>2000</v>
      </c>
      <c r="E3" s="381">
        <v>2001</v>
      </c>
      <c r="F3" s="381">
        <v>2002</v>
      </c>
      <c r="G3" s="381">
        <v>2003</v>
      </c>
      <c r="H3" s="381">
        <v>2004</v>
      </c>
      <c r="I3" s="381">
        <v>2005</v>
      </c>
      <c r="J3" s="381">
        <v>2006</v>
      </c>
      <c r="K3" s="381">
        <v>2007</v>
      </c>
      <c r="L3" s="382">
        <v>2008</v>
      </c>
      <c r="M3" s="382">
        <v>2009</v>
      </c>
      <c r="N3" s="383">
        <v>2010</v>
      </c>
      <c r="O3" s="824">
        <v>2011</v>
      </c>
      <c r="P3" s="825">
        <v>2012</v>
      </c>
      <c r="Q3" s="1035">
        <v>2013</v>
      </c>
      <c r="R3" s="383">
        <v>2014</v>
      </c>
      <c r="S3" s="1692">
        <v>2015</v>
      </c>
      <c r="T3" s="2373">
        <v>2016</v>
      </c>
      <c r="U3" s="2376">
        <v>2017</v>
      </c>
      <c r="V3" s="2380">
        <v>2018</v>
      </c>
      <c r="W3" s="377"/>
      <c r="X3" s="381">
        <v>2000</v>
      </c>
      <c r="Y3" s="381">
        <v>2001</v>
      </c>
      <c r="Z3" s="381">
        <v>2002</v>
      </c>
      <c r="AA3" s="381">
        <v>2003</v>
      </c>
      <c r="AB3" s="381">
        <v>2004</v>
      </c>
      <c r="AC3" s="381">
        <v>2005</v>
      </c>
      <c r="AD3" s="381">
        <v>2006</v>
      </c>
      <c r="AE3" s="381">
        <v>2007</v>
      </c>
      <c r="AF3" s="384">
        <v>2008</v>
      </c>
      <c r="AG3" s="384">
        <v>2009</v>
      </c>
      <c r="AH3" s="385">
        <v>2010</v>
      </c>
      <c r="AI3" s="832">
        <v>2011</v>
      </c>
      <c r="AJ3" s="1037">
        <v>2012</v>
      </c>
      <c r="AK3" s="1042">
        <v>2013</v>
      </c>
      <c r="AL3" s="1347">
        <v>2014</v>
      </c>
      <c r="AM3" s="1695">
        <v>2015</v>
      </c>
      <c r="AN3" s="2161">
        <v>2016</v>
      </c>
      <c r="AO3" s="2383">
        <v>2017</v>
      </c>
      <c r="AP3" s="2387">
        <v>2018</v>
      </c>
    </row>
    <row r="4" spans="1:42" x14ac:dyDescent="0.3">
      <c r="A4" s="344" t="s">
        <v>8</v>
      </c>
      <c r="B4" s="345" t="s">
        <v>9</v>
      </c>
      <c r="C4" s="1206"/>
      <c r="D4" s="378">
        <v>8.8499999999999995E-2</v>
      </c>
      <c r="E4" s="378">
        <v>8.77E-2</v>
      </c>
      <c r="F4" s="378">
        <v>9.5899999999999999E-2</v>
      </c>
      <c r="G4" s="378">
        <v>9.9399999999999988E-2</v>
      </c>
      <c r="H4" s="378">
        <v>9.5199999999999993E-2</v>
      </c>
      <c r="I4" s="378">
        <v>9.9600000000000008E-2</v>
      </c>
      <c r="J4" s="378">
        <v>9.6199999999999994E-2</v>
      </c>
      <c r="K4" s="378">
        <v>9.9000000000000005E-2</v>
      </c>
      <c r="L4" s="386">
        <v>0.10210000000000001</v>
      </c>
      <c r="M4" s="386">
        <v>0.1057</v>
      </c>
      <c r="N4" s="387">
        <v>0.11118840014389482</v>
      </c>
      <c r="O4" s="826">
        <v>0.11600000000000001</v>
      </c>
      <c r="P4" s="829">
        <v>0.11799999999999999</v>
      </c>
      <c r="Q4" s="829">
        <v>0.11747751027208382</v>
      </c>
      <c r="R4" s="1343">
        <v>0.1182560438559494</v>
      </c>
      <c r="S4" s="1693">
        <v>0.11243251566072024</v>
      </c>
      <c r="T4" s="2374">
        <v>0.11</v>
      </c>
      <c r="U4" s="2377">
        <v>0.10660964522446841</v>
      </c>
      <c r="V4" s="2381">
        <v>0.10707738460991145</v>
      </c>
      <c r="W4" s="379"/>
      <c r="X4" s="380">
        <v>620936</v>
      </c>
      <c r="Y4" s="380">
        <v>620238</v>
      </c>
      <c r="Z4" s="380">
        <v>692133</v>
      </c>
      <c r="AA4" s="380">
        <v>724326</v>
      </c>
      <c r="AB4" s="380">
        <v>705038</v>
      </c>
      <c r="AC4" s="380">
        <v>728860</v>
      </c>
      <c r="AD4" s="380">
        <v>713179</v>
      </c>
      <c r="AE4" s="380">
        <v>739139</v>
      </c>
      <c r="AF4" s="388">
        <v>766854</v>
      </c>
      <c r="AG4" s="388">
        <v>805553</v>
      </c>
      <c r="AH4" s="389">
        <f>SUM(AH5:AH124)</f>
        <v>865746</v>
      </c>
      <c r="AI4" s="833">
        <v>912779</v>
      </c>
      <c r="AJ4" s="1038">
        <v>936384</v>
      </c>
      <c r="AK4" s="1045">
        <v>941059</v>
      </c>
      <c r="AL4" s="1348">
        <v>955541</v>
      </c>
      <c r="AM4" s="1696">
        <v>914226</v>
      </c>
      <c r="AN4" s="2162">
        <v>897244</v>
      </c>
      <c r="AO4" s="2384">
        <v>876438</v>
      </c>
      <c r="AP4" s="2388">
        <v>884898</v>
      </c>
    </row>
    <row r="5" spans="1:42" ht="16.5" customHeight="1" x14ac:dyDescent="0.3">
      <c r="A5" s="349" t="s">
        <v>10</v>
      </c>
      <c r="B5" s="350" t="s">
        <v>319</v>
      </c>
      <c r="C5" s="1207" t="s">
        <v>252</v>
      </c>
      <c r="D5" s="390">
        <v>0.17100000000000001</v>
      </c>
      <c r="E5" s="390">
        <v>0.16300000000000001</v>
      </c>
      <c r="F5" s="390">
        <v>0.17699999999999999</v>
      </c>
      <c r="G5" s="390">
        <v>0.156</v>
      </c>
      <c r="H5" s="390">
        <v>0.14899999999999999</v>
      </c>
      <c r="I5" s="390">
        <v>0.183</v>
      </c>
      <c r="J5" s="390">
        <v>0.154</v>
      </c>
      <c r="K5" s="390">
        <v>0.16800000000000001</v>
      </c>
      <c r="L5" s="390">
        <v>0.20600000000000002</v>
      </c>
      <c r="M5" s="390">
        <v>0.183</v>
      </c>
      <c r="N5" s="391">
        <v>0.20499999999999999</v>
      </c>
      <c r="O5" s="827">
        <v>0.193</v>
      </c>
      <c r="P5" s="827">
        <v>0.19900000000000001</v>
      </c>
      <c r="Q5" s="827">
        <v>0.19252741881281887</v>
      </c>
      <c r="R5" s="1344">
        <v>0.19371551195585529</v>
      </c>
      <c r="S5" s="1344">
        <v>0.20385040530582166</v>
      </c>
      <c r="T5" s="1344">
        <v>0.19962491545225358</v>
      </c>
      <c r="U5" s="2378">
        <v>0.17779367844698854</v>
      </c>
      <c r="V5" s="1694">
        <v>0.17348373589975941</v>
      </c>
      <c r="W5" s="392"/>
      <c r="X5" s="393">
        <v>6549</v>
      </c>
      <c r="Y5" s="393">
        <v>6239</v>
      </c>
      <c r="Z5" s="393">
        <v>6871</v>
      </c>
      <c r="AA5" s="393">
        <v>6072</v>
      </c>
      <c r="AB5" s="393">
        <v>5820</v>
      </c>
      <c r="AC5" s="393">
        <v>7044</v>
      </c>
      <c r="AD5" s="393">
        <v>5956</v>
      </c>
      <c r="AE5" s="393">
        <v>6349</v>
      </c>
      <c r="AF5" s="393">
        <v>7733</v>
      </c>
      <c r="AG5" s="393">
        <v>6906</v>
      </c>
      <c r="AH5" s="394">
        <v>6722</v>
      </c>
      <c r="AI5" s="834">
        <v>6359</v>
      </c>
      <c r="AJ5" s="1039">
        <v>6541</v>
      </c>
      <c r="AK5" s="1043">
        <v>6302</v>
      </c>
      <c r="AL5" s="1349">
        <v>6319</v>
      </c>
      <c r="AM5" s="1349">
        <v>6639</v>
      </c>
      <c r="AN5" s="1349">
        <v>6493</v>
      </c>
      <c r="AO5" s="1349">
        <v>5715</v>
      </c>
      <c r="AP5" s="1697">
        <v>5552</v>
      </c>
    </row>
    <row r="6" spans="1:42" ht="16.5" customHeight="1" x14ac:dyDescent="0.3">
      <c r="A6" s="349" t="s">
        <v>12</v>
      </c>
      <c r="B6" s="350" t="s">
        <v>320</v>
      </c>
      <c r="C6" s="1207" t="s">
        <v>253</v>
      </c>
      <c r="D6" s="390">
        <v>6.0999999999999999E-2</v>
      </c>
      <c r="E6" s="390">
        <v>6.5000000000000002E-2</v>
      </c>
      <c r="F6" s="390">
        <v>7.2000000000000008E-2</v>
      </c>
      <c r="G6" s="390">
        <v>7.5999999999999998E-2</v>
      </c>
      <c r="H6" s="390">
        <v>7.2999999999999995E-2</v>
      </c>
      <c r="I6" s="390">
        <v>7.0000000000000007E-2</v>
      </c>
      <c r="J6" s="390">
        <v>7.0999999999999994E-2</v>
      </c>
      <c r="K6" s="390">
        <v>8.5000000000000006E-2</v>
      </c>
      <c r="L6" s="390">
        <v>6.8000000000000005E-2</v>
      </c>
      <c r="M6" s="390">
        <v>8.8000000000000009E-2</v>
      </c>
      <c r="N6" s="391">
        <v>9.0999999999999998E-2</v>
      </c>
      <c r="O6" s="827">
        <v>9.6999999999999989E-2</v>
      </c>
      <c r="P6" s="827">
        <v>9.4E-2</v>
      </c>
      <c r="Q6" s="827">
        <v>9.5165866996852908E-2</v>
      </c>
      <c r="R6" s="1344">
        <v>9.127121227517529E-2</v>
      </c>
      <c r="S6" s="1344">
        <v>9.5152855993563962E-2</v>
      </c>
      <c r="T6" s="1344">
        <v>8.495285933544619E-2</v>
      </c>
      <c r="U6" s="2378">
        <v>7.9302258852862892E-2</v>
      </c>
      <c r="V6" s="1694">
        <v>8.7310917783525357E-2</v>
      </c>
      <c r="W6" s="392"/>
      <c r="X6" s="393">
        <v>4843</v>
      </c>
      <c r="Y6" s="393">
        <v>5277</v>
      </c>
      <c r="Z6" s="393">
        <v>5901</v>
      </c>
      <c r="AA6" s="393">
        <v>6312</v>
      </c>
      <c r="AB6" s="393">
        <v>6205</v>
      </c>
      <c r="AC6" s="393">
        <v>5872</v>
      </c>
      <c r="AD6" s="393">
        <v>6107</v>
      </c>
      <c r="AE6" s="393">
        <v>7396</v>
      </c>
      <c r="AF6" s="393">
        <v>6008</v>
      </c>
      <c r="AG6" s="393">
        <v>7774</v>
      </c>
      <c r="AH6" s="394">
        <v>8419</v>
      </c>
      <c r="AI6" s="834">
        <v>9139</v>
      </c>
      <c r="AJ6" s="1039">
        <v>9026</v>
      </c>
      <c r="AK6" s="1043">
        <v>9223</v>
      </c>
      <c r="AL6" s="1349">
        <v>8982</v>
      </c>
      <c r="AM6" s="1349">
        <v>9462</v>
      </c>
      <c r="AN6" s="1349">
        <v>8524</v>
      </c>
      <c r="AO6" s="1349">
        <v>8015</v>
      </c>
      <c r="AP6" s="1697">
        <v>8912</v>
      </c>
    </row>
    <row r="7" spans="1:42" ht="16.5" customHeight="1" x14ac:dyDescent="0.3">
      <c r="A7" s="349" t="s">
        <v>16</v>
      </c>
      <c r="B7" s="350" t="s">
        <v>599</v>
      </c>
      <c r="C7" s="1207" t="s">
        <v>253</v>
      </c>
      <c r="D7" s="390">
        <v>0.1075</v>
      </c>
      <c r="E7" s="390">
        <v>0.10050000000000001</v>
      </c>
      <c r="F7" s="390">
        <v>0.10589999999999999</v>
      </c>
      <c r="G7" s="390">
        <v>0.11539999999999999</v>
      </c>
      <c r="H7" s="390">
        <v>0.1137</v>
      </c>
      <c r="I7" s="390">
        <v>0.12089999999999999</v>
      </c>
      <c r="J7" s="390">
        <v>0.12770000000000001</v>
      </c>
      <c r="K7" s="390">
        <v>0.12619999999999998</v>
      </c>
      <c r="L7" s="390">
        <v>0.13320000000000001</v>
      </c>
      <c r="M7" s="390">
        <v>0.13639999999999999</v>
      </c>
      <c r="N7" s="391">
        <v>0.13851337359792926</v>
      </c>
      <c r="O7" s="827">
        <v>0.14251596013411105</v>
      </c>
      <c r="P7" s="827">
        <v>0.14000000000000001</v>
      </c>
      <c r="Q7" s="827">
        <v>0.1451127471408066</v>
      </c>
      <c r="R7" s="1344">
        <v>0.15934117647058824</v>
      </c>
      <c r="S7" s="1344">
        <v>0.18249916503649982</v>
      </c>
      <c r="T7" s="1344">
        <v>0.15204170286707211</v>
      </c>
      <c r="U7" s="2378">
        <v>0.14904534017465093</v>
      </c>
      <c r="V7" s="1694">
        <v>0.14960472330631441</v>
      </c>
      <c r="W7" s="392"/>
      <c r="X7" s="393">
        <v>2473</v>
      </c>
      <c r="Y7" s="393">
        <v>2308</v>
      </c>
      <c r="Z7" s="393">
        <v>2422</v>
      </c>
      <c r="AA7" s="393">
        <v>2618</v>
      </c>
      <c r="AB7" s="393">
        <v>2574</v>
      </c>
      <c r="AC7" s="393">
        <v>2695</v>
      </c>
      <c r="AD7" s="393">
        <v>2836</v>
      </c>
      <c r="AE7" s="393">
        <v>2783</v>
      </c>
      <c r="AF7" s="393">
        <v>2902</v>
      </c>
      <c r="AG7" s="393">
        <v>2985</v>
      </c>
      <c r="AH7" s="394">
        <v>3029</v>
      </c>
      <c r="AI7" s="834">
        <v>3103</v>
      </c>
      <c r="AJ7" s="1039">
        <v>3032</v>
      </c>
      <c r="AK7" s="1043">
        <v>3134</v>
      </c>
      <c r="AL7" s="1349">
        <v>3386</v>
      </c>
      <c r="AM7" s="1349">
        <v>3825</v>
      </c>
      <c r="AN7" s="1349">
        <v>3150</v>
      </c>
      <c r="AO7" s="1349">
        <v>3021</v>
      </c>
      <c r="AP7" s="1697">
        <v>2990</v>
      </c>
    </row>
    <row r="8" spans="1:42" ht="16.5" customHeight="1" x14ac:dyDescent="0.3">
      <c r="A8" s="349" t="s">
        <v>18</v>
      </c>
      <c r="B8" s="350" t="s">
        <v>321</v>
      </c>
      <c r="C8" s="1207" t="s">
        <v>254</v>
      </c>
      <c r="D8" s="390">
        <v>9.3000000000000013E-2</v>
      </c>
      <c r="E8" s="390">
        <v>8.8000000000000009E-2</v>
      </c>
      <c r="F8" s="390">
        <v>9.0999999999999998E-2</v>
      </c>
      <c r="G8" s="390">
        <v>9.6999999999999989E-2</v>
      </c>
      <c r="H8" s="390">
        <v>9.0999999999999998E-2</v>
      </c>
      <c r="I8" s="390">
        <v>9.9000000000000005E-2</v>
      </c>
      <c r="J8" s="390">
        <v>9.1999999999999998E-2</v>
      </c>
      <c r="K8" s="390">
        <v>9.0999999999999998E-2</v>
      </c>
      <c r="L8" s="390">
        <v>9.6000000000000002E-2</v>
      </c>
      <c r="M8" s="390">
        <v>0.113</v>
      </c>
      <c r="N8" s="391">
        <v>0.114</v>
      </c>
      <c r="O8" s="827">
        <v>0.11900000000000001</v>
      </c>
      <c r="P8" s="827">
        <v>0.125</v>
      </c>
      <c r="Q8" s="827">
        <v>0.12147901293342855</v>
      </c>
      <c r="R8" s="1344">
        <v>0.12864669340253204</v>
      </c>
      <c r="S8" s="1344">
        <v>0.11071932299012693</v>
      </c>
      <c r="T8" s="1344">
        <v>0.10402631991226696</v>
      </c>
      <c r="U8" s="2378">
        <v>0.11381987577639752</v>
      </c>
      <c r="V8" s="1694">
        <v>9.890451402377437E-2</v>
      </c>
      <c r="W8" s="392"/>
      <c r="X8" s="393">
        <v>1072</v>
      </c>
      <c r="Y8" s="393">
        <v>1027</v>
      </c>
      <c r="Z8" s="393">
        <v>1068</v>
      </c>
      <c r="AA8" s="393">
        <v>1151</v>
      </c>
      <c r="AB8" s="393">
        <v>1110</v>
      </c>
      <c r="AC8" s="393">
        <v>1198</v>
      </c>
      <c r="AD8" s="393">
        <v>1140</v>
      </c>
      <c r="AE8" s="393">
        <v>1145</v>
      </c>
      <c r="AF8" s="393">
        <v>1215</v>
      </c>
      <c r="AG8" s="393">
        <v>1433</v>
      </c>
      <c r="AH8" s="394">
        <v>1432</v>
      </c>
      <c r="AI8" s="834">
        <v>1503</v>
      </c>
      <c r="AJ8" s="1039">
        <v>1578</v>
      </c>
      <c r="AK8" s="1043">
        <v>1531</v>
      </c>
      <c r="AL8" s="1349">
        <v>1636</v>
      </c>
      <c r="AM8" s="1349">
        <v>1413</v>
      </c>
      <c r="AN8" s="1349">
        <v>1328</v>
      </c>
      <c r="AO8" s="1349">
        <v>1466</v>
      </c>
      <c r="AP8" s="1697">
        <v>1273</v>
      </c>
    </row>
    <row r="9" spans="1:42" ht="16.5" customHeight="1" x14ac:dyDescent="0.3">
      <c r="A9" s="349" t="s">
        <v>20</v>
      </c>
      <c r="B9" s="350" t="s">
        <v>322</v>
      </c>
      <c r="C9" s="1207" t="s">
        <v>253</v>
      </c>
      <c r="D9" s="390">
        <v>0.105</v>
      </c>
      <c r="E9" s="390">
        <v>0.10400000000000001</v>
      </c>
      <c r="F9" s="390">
        <v>0.11599999999999999</v>
      </c>
      <c r="G9" s="390">
        <v>0.111</v>
      </c>
      <c r="H9" s="390">
        <v>0.11199999999999999</v>
      </c>
      <c r="I9" s="390">
        <v>0.12</v>
      </c>
      <c r="J9" s="390">
        <v>0.11800000000000001</v>
      </c>
      <c r="K9" s="390">
        <v>0.122</v>
      </c>
      <c r="L9" s="390">
        <v>0.125</v>
      </c>
      <c r="M9" s="390">
        <v>0.13900000000000001</v>
      </c>
      <c r="N9" s="391">
        <v>0.13600000000000001</v>
      </c>
      <c r="O9" s="827">
        <v>0.13400000000000001</v>
      </c>
      <c r="P9" s="827">
        <v>0.14499999999999999</v>
      </c>
      <c r="Q9" s="827">
        <v>0.14199021207177814</v>
      </c>
      <c r="R9" s="1344">
        <v>0.1367115938236064</v>
      </c>
      <c r="S9" s="1344">
        <v>0.14976256754543965</v>
      </c>
      <c r="T9" s="1344">
        <v>0.1426130389064143</v>
      </c>
      <c r="U9" s="2378">
        <v>0.12656773261540483</v>
      </c>
      <c r="V9" s="1694">
        <v>0.12985865724381626</v>
      </c>
      <c r="W9" s="392"/>
      <c r="X9" s="393">
        <v>3204</v>
      </c>
      <c r="Y9" s="393">
        <v>3146</v>
      </c>
      <c r="Z9" s="393">
        <v>3542</v>
      </c>
      <c r="AA9" s="393">
        <v>3391</v>
      </c>
      <c r="AB9" s="393">
        <v>3447</v>
      </c>
      <c r="AC9" s="393">
        <v>3615</v>
      </c>
      <c r="AD9" s="393">
        <v>3631</v>
      </c>
      <c r="AE9" s="393">
        <v>3726</v>
      </c>
      <c r="AF9" s="393">
        <v>3868</v>
      </c>
      <c r="AG9" s="393">
        <v>4269</v>
      </c>
      <c r="AH9" s="394">
        <v>4221</v>
      </c>
      <c r="AI9" s="834">
        <v>4136</v>
      </c>
      <c r="AJ9" s="1039">
        <v>4449</v>
      </c>
      <c r="AK9" s="1043">
        <v>4352</v>
      </c>
      <c r="AL9" s="1349">
        <v>4179</v>
      </c>
      <c r="AM9" s="1349">
        <v>4573</v>
      </c>
      <c r="AN9" s="1349">
        <v>4340</v>
      </c>
      <c r="AO9" s="1349">
        <v>3855</v>
      </c>
      <c r="AP9" s="1697">
        <v>3969</v>
      </c>
    </row>
    <row r="10" spans="1:42" ht="16.5" customHeight="1" x14ac:dyDescent="0.3">
      <c r="A10" s="349" t="s">
        <v>22</v>
      </c>
      <c r="B10" s="350" t="s">
        <v>323</v>
      </c>
      <c r="C10" s="1207" t="s">
        <v>253</v>
      </c>
      <c r="D10" s="390">
        <v>0.111</v>
      </c>
      <c r="E10" s="390">
        <v>0.111</v>
      </c>
      <c r="F10" s="390">
        <v>0.122</v>
      </c>
      <c r="G10" s="390">
        <v>0.124</v>
      </c>
      <c r="H10" s="390">
        <v>0.11800000000000001</v>
      </c>
      <c r="I10" s="390">
        <v>0.121</v>
      </c>
      <c r="J10" s="390">
        <v>0.13300000000000001</v>
      </c>
      <c r="K10" s="390">
        <v>0.126</v>
      </c>
      <c r="L10" s="390">
        <v>0.13</v>
      </c>
      <c r="M10" s="390">
        <v>0.14300000000000002</v>
      </c>
      <c r="N10" s="391">
        <v>0.14100000000000001</v>
      </c>
      <c r="O10" s="827">
        <v>0.14800000000000002</v>
      </c>
      <c r="P10" s="827">
        <v>0.16500000000000001</v>
      </c>
      <c r="Q10" s="827">
        <v>0.16161416022719768</v>
      </c>
      <c r="R10" s="1344">
        <v>0.15095583388266315</v>
      </c>
      <c r="S10" s="1344">
        <v>0.142082216848572</v>
      </c>
      <c r="T10" s="1344">
        <v>0.13872606486908948</v>
      </c>
      <c r="U10" s="2378">
        <v>0.11914702293018177</v>
      </c>
      <c r="V10" s="1694">
        <v>0.13500794912559619</v>
      </c>
      <c r="W10" s="392"/>
      <c r="X10" s="393">
        <v>1526</v>
      </c>
      <c r="Y10" s="393">
        <v>1522</v>
      </c>
      <c r="Z10" s="393">
        <v>1668</v>
      </c>
      <c r="AA10" s="393">
        <v>1716</v>
      </c>
      <c r="AB10" s="393">
        <v>1649</v>
      </c>
      <c r="AC10" s="393">
        <v>1660</v>
      </c>
      <c r="AD10" s="393">
        <v>1859</v>
      </c>
      <c r="AE10" s="393">
        <v>1772</v>
      </c>
      <c r="AF10" s="393">
        <v>1863</v>
      </c>
      <c r="AG10" s="393">
        <v>2055</v>
      </c>
      <c r="AH10" s="394">
        <v>2099</v>
      </c>
      <c r="AI10" s="834">
        <v>2209</v>
      </c>
      <c r="AJ10" s="1039">
        <v>2483</v>
      </c>
      <c r="AK10" s="1043">
        <v>2447</v>
      </c>
      <c r="AL10" s="1349">
        <v>2290</v>
      </c>
      <c r="AM10" s="1349">
        <v>2174</v>
      </c>
      <c r="AN10" s="1349">
        <v>2130</v>
      </c>
      <c r="AO10" s="1349">
        <v>1855</v>
      </c>
      <c r="AP10" s="1697">
        <v>2123</v>
      </c>
    </row>
    <row r="11" spans="1:42" ht="16.5" customHeight="1" x14ac:dyDescent="0.3">
      <c r="A11" s="349" t="s">
        <v>24</v>
      </c>
      <c r="B11" s="350" t="s">
        <v>324</v>
      </c>
      <c r="C11" s="1207" t="s">
        <v>255</v>
      </c>
      <c r="D11" s="390">
        <v>5.7999999999999996E-2</v>
      </c>
      <c r="E11" s="390">
        <v>5.7999999999999996E-2</v>
      </c>
      <c r="F11" s="390">
        <v>6.3E-2</v>
      </c>
      <c r="G11" s="390">
        <v>7.400000000000001E-2</v>
      </c>
      <c r="H11" s="390">
        <v>7.0999999999999994E-2</v>
      </c>
      <c r="I11" s="390">
        <v>7.6999999999999999E-2</v>
      </c>
      <c r="J11" s="390">
        <v>7.0000000000000007E-2</v>
      </c>
      <c r="K11" s="390">
        <v>6.5000000000000002E-2</v>
      </c>
      <c r="L11" s="390">
        <v>6.7000000000000004E-2</v>
      </c>
      <c r="M11" s="390">
        <v>6.6000000000000003E-2</v>
      </c>
      <c r="N11" s="391">
        <v>7.2000000000000008E-2</v>
      </c>
      <c r="O11" s="827">
        <v>7.400000000000001E-2</v>
      </c>
      <c r="P11" s="827">
        <v>0.08</v>
      </c>
      <c r="Q11" s="827">
        <v>8.4502920026836334E-2</v>
      </c>
      <c r="R11" s="1344">
        <v>8.5298435206296652E-2</v>
      </c>
      <c r="S11" s="1344">
        <v>7.0820503531968851E-2</v>
      </c>
      <c r="T11" s="1344">
        <v>7.5476597018078115E-2</v>
      </c>
      <c r="U11" s="2378">
        <v>5.7207577721601843E-2</v>
      </c>
      <c r="V11" s="1694">
        <v>6.3219321037611284E-2</v>
      </c>
      <c r="W11" s="392"/>
      <c r="X11" s="393">
        <v>10907</v>
      </c>
      <c r="Y11" s="393">
        <v>10867</v>
      </c>
      <c r="Z11" s="393">
        <v>11773</v>
      </c>
      <c r="AA11" s="393">
        <v>13587</v>
      </c>
      <c r="AB11" s="393">
        <v>13740</v>
      </c>
      <c r="AC11" s="393">
        <v>14781</v>
      </c>
      <c r="AD11" s="393">
        <v>13726</v>
      </c>
      <c r="AE11" s="393">
        <v>13005</v>
      </c>
      <c r="AF11" s="393">
        <v>13735</v>
      </c>
      <c r="AG11" s="393">
        <v>13988</v>
      </c>
      <c r="AH11" s="394">
        <v>14903</v>
      </c>
      <c r="AI11" s="834">
        <v>15894</v>
      </c>
      <c r="AJ11" s="1039">
        <v>17555</v>
      </c>
      <c r="AK11" s="1043">
        <v>18767</v>
      </c>
      <c r="AL11" s="1349">
        <v>19117</v>
      </c>
      <c r="AM11" s="1349">
        <v>16031</v>
      </c>
      <c r="AN11" s="1349">
        <v>17151</v>
      </c>
      <c r="AO11" s="1349">
        <v>13284</v>
      </c>
      <c r="AP11" s="1697">
        <v>14842</v>
      </c>
    </row>
    <row r="12" spans="1:42" ht="16.5" customHeight="1" x14ac:dyDescent="0.3">
      <c r="A12" s="349" t="s">
        <v>26</v>
      </c>
      <c r="B12" s="395" t="s">
        <v>600</v>
      </c>
      <c r="C12" s="395" t="s">
        <v>253</v>
      </c>
      <c r="D12" s="390">
        <v>9.0800000000000006E-2</v>
      </c>
      <c r="E12" s="390">
        <v>9.1799999999999993E-2</v>
      </c>
      <c r="F12" s="390">
        <v>9.9299999999999999E-2</v>
      </c>
      <c r="G12" s="390">
        <v>9.7299999999999998E-2</v>
      </c>
      <c r="H12" s="390">
        <v>9.2200000000000004E-2</v>
      </c>
      <c r="I12" s="390">
        <v>9.7699999999999995E-2</v>
      </c>
      <c r="J12" s="390">
        <v>0.1012</v>
      </c>
      <c r="K12" s="390">
        <v>0.1026</v>
      </c>
      <c r="L12" s="390">
        <v>0.1016</v>
      </c>
      <c r="M12" s="390">
        <v>0.10949999999999999</v>
      </c>
      <c r="N12" s="391">
        <v>0.12085412542078605</v>
      </c>
      <c r="O12" s="827">
        <v>0.12665573799233823</v>
      </c>
      <c r="P12" s="827">
        <v>0.122</v>
      </c>
      <c r="Q12" s="827">
        <v>0.11686507419660146</v>
      </c>
      <c r="R12" s="1344">
        <v>0.12002390086337539</v>
      </c>
      <c r="S12" s="1344">
        <v>0.11723965646454813</v>
      </c>
      <c r="T12" s="1344">
        <v>0.10900461775269368</v>
      </c>
      <c r="U12" s="2378">
        <v>0.10847489313969595</v>
      </c>
      <c r="V12" s="1694">
        <v>0.10814954593702088</v>
      </c>
      <c r="W12" s="392"/>
      <c r="X12" s="393">
        <v>9607</v>
      </c>
      <c r="Y12" s="393">
        <v>9789</v>
      </c>
      <c r="Z12" s="393">
        <v>10717</v>
      </c>
      <c r="AA12" s="393">
        <v>10642</v>
      </c>
      <c r="AB12" s="393">
        <v>10291</v>
      </c>
      <c r="AC12" s="393">
        <v>10737</v>
      </c>
      <c r="AD12" s="393">
        <v>11283</v>
      </c>
      <c r="AE12" s="393">
        <v>11545</v>
      </c>
      <c r="AF12" s="393">
        <v>11523</v>
      </c>
      <c r="AG12" s="393">
        <v>12447</v>
      </c>
      <c r="AH12" s="394">
        <v>13822</v>
      </c>
      <c r="AI12" s="834">
        <v>14448</v>
      </c>
      <c r="AJ12" s="1039">
        <v>14004</v>
      </c>
      <c r="AK12" s="1043">
        <v>13459</v>
      </c>
      <c r="AL12" s="1349">
        <v>13860</v>
      </c>
      <c r="AM12" s="1349">
        <v>13610</v>
      </c>
      <c r="AN12" s="1349">
        <v>12747</v>
      </c>
      <c r="AO12" s="1349">
        <v>12765</v>
      </c>
      <c r="AP12" s="1697">
        <v>12838</v>
      </c>
    </row>
    <row r="13" spans="1:42" ht="16.5" customHeight="1" x14ac:dyDescent="0.3">
      <c r="A13" s="349" t="s">
        <v>27</v>
      </c>
      <c r="B13" s="350" t="s">
        <v>325</v>
      </c>
      <c r="C13" s="1207" t="s">
        <v>253</v>
      </c>
      <c r="D13" s="390">
        <v>7.4999999999999997E-2</v>
      </c>
      <c r="E13" s="390">
        <v>7.5999999999999998E-2</v>
      </c>
      <c r="F13" s="390">
        <v>7.6999999999999999E-2</v>
      </c>
      <c r="G13" s="390">
        <v>7.9000000000000001E-2</v>
      </c>
      <c r="H13" s="390">
        <v>7.2999999999999995E-2</v>
      </c>
      <c r="I13" s="390">
        <v>7.6999999999999999E-2</v>
      </c>
      <c r="J13" s="390">
        <v>8.4000000000000005E-2</v>
      </c>
      <c r="K13" s="390">
        <v>8.5000000000000006E-2</v>
      </c>
      <c r="L13" s="390">
        <v>9.6000000000000002E-2</v>
      </c>
      <c r="M13" s="390">
        <v>0.11800000000000001</v>
      </c>
      <c r="N13" s="391">
        <v>0.11199999999999999</v>
      </c>
      <c r="O13" s="827">
        <v>0.10800000000000001</v>
      </c>
      <c r="P13" s="827">
        <v>0.115</v>
      </c>
      <c r="Q13" s="827">
        <v>0.11733684904416612</v>
      </c>
      <c r="R13" s="1344">
        <v>0.11533333333333333</v>
      </c>
      <c r="S13" s="1344">
        <v>0.10324483775811209</v>
      </c>
      <c r="T13" s="1344">
        <v>0.11700680272108843</v>
      </c>
      <c r="U13" s="2378">
        <v>0.10108644307982995</v>
      </c>
      <c r="V13" s="1694">
        <v>0.10664459683140222</v>
      </c>
      <c r="W13" s="392"/>
      <c r="X13" s="396">
        <v>374</v>
      </c>
      <c r="Y13" s="396">
        <v>381</v>
      </c>
      <c r="Z13" s="396">
        <v>385</v>
      </c>
      <c r="AA13" s="396">
        <v>392</v>
      </c>
      <c r="AB13" s="396">
        <v>361</v>
      </c>
      <c r="AC13" s="396">
        <v>362</v>
      </c>
      <c r="AD13" s="396">
        <v>397</v>
      </c>
      <c r="AE13" s="396">
        <v>390</v>
      </c>
      <c r="AF13" s="393">
        <v>430</v>
      </c>
      <c r="AG13" s="393">
        <v>522</v>
      </c>
      <c r="AH13" s="394">
        <v>520</v>
      </c>
      <c r="AI13" s="834">
        <v>498</v>
      </c>
      <c r="AJ13" s="1039">
        <v>526</v>
      </c>
      <c r="AK13" s="1043">
        <v>534</v>
      </c>
      <c r="AL13" s="1349">
        <v>519</v>
      </c>
      <c r="AM13" s="1349">
        <v>455</v>
      </c>
      <c r="AN13" s="1349">
        <v>516</v>
      </c>
      <c r="AO13" s="1349">
        <v>428</v>
      </c>
      <c r="AP13" s="1697">
        <v>451</v>
      </c>
    </row>
    <row r="14" spans="1:42" ht="16.5" customHeight="1" x14ac:dyDescent="0.3">
      <c r="A14" s="349" t="s">
        <v>29</v>
      </c>
      <c r="B14" s="350" t="s">
        <v>736</v>
      </c>
      <c r="C14" s="1207" t="s">
        <v>253</v>
      </c>
      <c r="D14" s="390">
        <v>7.4299999999999991E-2</v>
      </c>
      <c r="E14" s="390">
        <v>7.4499999999999997E-2</v>
      </c>
      <c r="F14" s="390">
        <v>0.08</v>
      </c>
      <c r="G14" s="390">
        <v>8.6699999999999999E-2</v>
      </c>
      <c r="H14" s="390">
        <v>8.3000000000000004E-2</v>
      </c>
      <c r="I14" s="390">
        <v>8.7899999999999992E-2</v>
      </c>
      <c r="J14" s="390">
        <v>8.6699999999999999E-2</v>
      </c>
      <c r="K14" s="390">
        <v>9.5600000000000004E-2</v>
      </c>
      <c r="L14" s="390">
        <v>8.5299999999999987E-2</v>
      </c>
      <c r="M14" s="390">
        <v>8.5999999999999993E-2</v>
      </c>
      <c r="N14" s="391">
        <v>0.10419212990455738</v>
      </c>
      <c r="O14" s="827">
        <v>0.10033904639863314</v>
      </c>
      <c r="P14" s="827">
        <v>0.106</v>
      </c>
      <c r="Q14" s="827">
        <v>9.7572970386517091E-2</v>
      </c>
      <c r="R14" s="1344">
        <v>9.4187849951368266E-2</v>
      </c>
      <c r="S14" s="1344">
        <v>9.0945595854922276E-2</v>
      </c>
      <c r="T14" s="1344">
        <v>9.6181174585949408E-2</v>
      </c>
      <c r="U14" s="2378">
        <v>8.970387008494049E-2</v>
      </c>
      <c r="V14" s="1694">
        <v>0.1043440464319501</v>
      </c>
      <c r="W14" s="392"/>
      <c r="X14" s="393">
        <v>4969</v>
      </c>
      <c r="Y14" s="393">
        <v>5012</v>
      </c>
      <c r="Z14" s="393">
        <v>5501</v>
      </c>
      <c r="AA14" s="393">
        <v>6078</v>
      </c>
      <c r="AB14" s="393">
        <v>5949</v>
      </c>
      <c r="AC14" s="393">
        <v>6174</v>
      </c>
      <c r="AD14" s="393">
        <v>6218</v>
      </c>
      <c r="AE14" s="393">
        <v>6907</v>
      </c>
      <c r="AF14" s="393">
        <v>6202</v>
      </c>
      <c r="AG14" s="393">
        <v>6252</v>
      </c>
      <c r="AH14" s="394">
        <v>7717</v>
      </c>
      <c r="AI14" s="834">
        <v>7517</v>
      </c>
      <c r="AJ14" s="1039">
        <v>7938</v>
      </c>
      <c r="AK14" s="1043">
        <v>7341</v>
      </c>
      <c r="AL14" s="1349">
        <v>7166</v>
      </c>
      <c r="AM14" s="1349">
        <v>7021</v>
      </c>
      <c r="AN14" s="1349">
        <v>7445</v>
      </c>
      <c r="AO14" s="1349">
        <v>6949</v>
      </c>
      <c r="AP14" s="1697">
        <v>8162</v>
      </c>
    </row>
    <row r="15" spans="1:42" ht="16.5" customHeight="1" x14ac:dyDescent="0.3">
      <c r="A15" s="349" t="s">
        <v>30</v>
      </c>
      <c r="B15" s="350" t="s">
        <v>326</v>
      </c>
      <c r="C15" s="1207" t="s">
        <v>256</v>
      </c>
      <c r="D15" s="390">
        <v>0.113</v>
      </c>
      <c r="E15" s="390">
        <v>0.12</v>
      </c>
      <c r="F15" s="390">
        <v>0.125</v>
      </c>
      <c r="G15" s="390">
        <v>0.12300000000000001</v>
      </c>
      <c r="H15" s="390">
        <v>0.11900000000000001</v>
      </c>
      <c r="I15" s="390">
        <v>0.13500000000000001</v>
      </c>
      <c r="J15" s="390">
        <v>0.13</v>
      </c>
      <c r="K15" s="390">
        <v>0.13500000000000001</v>
      </c>
      <c r="L15" s="390">
        <v>0.14599999999999999</v>
      </c>
      <c r="M15" s="390">
        <v>0.15</v>
      </c>
      <c r="N15" s="391">
        <v>0.15</v>
      </c>
      <c r="O15" s="827">
        <v>0.14400000000000002</v>
      </c>
      <c r="P15" s="827">
        <v>0.154</v>
      </c>
      <c r="Q15" s="827">
        <v>0.150066401062417</v>
      </c>
      <c r="R15" s="1344">
        <v>0.14087837837837838</v>
      </c>
      <c r="S15" s="1344">
        <v>0.13565692807107466</v>
      </c>
      <c r="T15" s="1344">
        <v>0.13788348845225784</v>
      </c>
      <c r="U15" s="2378">
        <v>0.1368066631224526</v>
      </c>
      <c r="V15" s="1694">
        <v>0.1405579399141631</v>
      </c>
      <c r="W15" s="392"/>
      <c r="X15" s="396">
        <v>711</v>
      </c>
      <c r="Y15" s="396">
        <v>751</v>
      </c>
      <c r="Z15" s="396">
        <v>794</v>
      </c>
      <c r="AA15" s="396">
        <v>783</v>
      </c>
      <c r="AB15" s="396">
        <v>751</v>
      </c>
      <c r="AC15" s="396">
        <v>846</v>
      </c>
      <c r="AD15" s="396">
        <v>807</v>
      </c>
      <c r="AE15" s="396">
        <v>842</v>
      </c>
      <c r="AF15" s="393">
        <v>908</v>
      </c>
      <c r="AG15" s="393">
        <v>921</v>
      </c>
      <c r="AH15" s="394">
        <v>917</v>
      </c>
      <c r="AI15" s="834">
        <v>879</v>
      </c>
      <c r="AJ15" s="1039">
        <v>928</v>
      </c>
      <c r="AK15" s="1043">
        <v>904</v>
      </c>
      <c r="AL15" s="1349">
        <v>834</v>
      </c>
      <c r="AM15" s="1349">
        <v>794</v>
      </c>
      <c r="AN15" s="1349">
        <v>800</v>
      </c>
      <c r="AO15" s="1349">
        <v>772</v>
      </c>
      <c r="AP15" s="1697">
        <v>786</v>
      </c>
    </row>
    <row r="16" spans="1:42" ht="16.5" customHeight="1" x14ac:dyDescent="0.3">
      <c r="A16" s="349" t="s">
        <v>32</v>
      </c>
      <c r="B16" s="350" t="s">
        <v>327</v>
      </c>
      <c r="C16" s="1207" t="s">
        <v>253</v>
      </c>
      <c r="D16" s="390">
        <v>5.2000000000000005E-2</v>
      </c>
      <c r="E16" s="390">
        <v>5.2999999999999999E-2</v>
      </c>
      <c r="F16" s="390">
        <v>5.7999999999999996E-2</v>
      </c>
      <c r="G16" s="390">
        <v>6.3E-2</v>
      </c>
      <c r="H16" s="390">
        <v>0.06</v>
      </c>
      <c r="I16" s="390">
        <v>6.0999999999999999E-2</v>
      </c>
      <c r="J16" s="390">
        <v>0.06</v>
      </c>
      <c r="K16" s="390">
        <v>6.2E-2</v>
      </c>
      <c r="L16" s="390">
        <v>6.4000000000000001E-2</v>
      </c>
      <c r="M16" s="390">
        <v>7.5999999999999998E-2</v>
      </c>
      <c r="N16" s="391">
        <v>6.5000000000000002E-2</v>
      </c>
      <c r="O16" s="827">
        <v>7.4999999999999997E-2</v>
      </c>
      <c r="P16" s="827">
        <v>7.5999999999999998E-2</v>
      </c>
      <c r="Q16" s="827">
        <v>7.4080876725747702E-2</v>
      </c>
      <c r="R16" s="1344">
        <v>7.7610665365020287E-2</v>
      </c>
      <c r="S16" s="1344">
        <v>7.3959658368162817E-2</v>
      </c>
      <c r="T16" s="1344">
        <v>7.783994162004379E-2</v>
      </c>
      <c r="U16" s="2378">
        <v>6.3956672549138921E-2</v>
      </c>
      <c r="V16" s="1694">
        <v>7.4108931932722083E-2</v>
      </c>
      <c r="W16" s="392"/>
      <c r="X16" s="393">
        <v>1586</v>
      </c>
      <c r="Y16" s="393">
        <v>1615</v>
      </c>
      <c r="Z16" s="393">
        <v>1803</v>
      </c>
      <c r="AA16" s="393">
        <v>1986</v>
      </c>
      <c r="AB16" s="393">
        <v>1900</v>
      </c>
      <c r="AC16" s="393">
        <v>1925</v>
      </c>
      <c r="AD16" s="393">
        <v>1901</v>
      </c>
      <c r="AE16" s="393">
        <v>1949</v>
      </c>
      <c r="AF16" s="393">
        <v>2018</v>
      </c>
      <c r="AG16" s="393">
        <v>2441</v>
      </c>
      <c r="AH16" s="394">
        <v>2131</v>
      </c>
      <c r="AI16" s="834">
        <v>2432</v>
      </c>
      <c r="AJ16" s="1039">
        <v>2503</v>
      </c>
      <c r="AK16" s="1043">
        <v>2420</v>
      </c>
      <c r="AL16" s="1349">
        <v>2544</v>
      </c>
      <c r="AM16" s="1349">
        <v>2442</v>
      </c>
      <c r="AN16" s="1349">
        <v>2560</v>
      </c>
      <c r="AO16" s="1349">
        <v>2102</v>
      </c>
      <c r="AP16" s="1697">
        <v>2441</v>
      </c>
    </row>
    <row r="17" spans="1:42" ht="16.5" customHeight="1" x14ac:dyDescent="0.3">
      <c r="A17" s="349" t="s">
        <v>36</v>
      </c>
      <c r="B17" s="350" t="s">
        <v>328</v>
      </c>
      <c r="C17" s="1207" t="s">
        <v>252</v>
      </c>
      <c r="D17" s="390">
        <v>0.16899999999999998</v>
      </c>
      <c r="E17" s="390">
        <v>0.17300000000000001</v>
      </c>
      <c r="F17" s="390">
        <v>0.19500000000000001</v>
      </c>
      <c r="G17" s="390">
        <v>0.18</v>
      </c>
      <c r="H17" s="390">
        <v>0.18100000000000002</v>
      </c>
      <c r="I17" s="390">
        <v>0.20100000000000001</v>
      </c>
      <c r="J17" s="390">
        <v>0.19</v>
      </c>
      <c r="K17" s="390">
        <v>0.21299999999999999</v>
      </c>
      <c r="L17" s="390">
        <v>0.222</v>
      </c>
      <c r="M17" s="390">
        <v>0.22</v>
      </c>
      <c r="N17" s="391">
        <v>0.20499999999999999</v>
      </c>
      <c r="O17" s="827">
        <v>0.25600000000000001</v>
      </c>
      <c r="P17" s="827">
        <v>0.248</v>
      </c>
      <c r="Q17" s="827">
        <v>0.21667792032410532</v>
      </c>
      <c r="R17" s="1344">
        <v>0.21902549033007584</v>
      </c>
      <c r="S17" s="1344">
        <v>0.2214103536223892</v>
      </c>
      <c r="T17" s="1344">
        <v>0.22804818605946661</v>
      </c>
      <c r="U17" s="2378">
        <v>0.21544998606854276</v>
      </c>
      <c r="V17" s="1694">
        <v>0.22489591419095337</v>
      </c>
      <c r="W17" s="392"/>
      <c r="X17" s="393">
        <v>2619</v>
      </c>
      <c r="Y17" s="393">
        <v>2661</v>
      </c>
      <c r="Z17" s="393">
        <v>2973</v>
      </c>
      <c r="AA17" s="393">
        <v>2737</v>
      </c>
      <c r="AB17" s="393">
        <v>2729</v>
      </c>
      <c r="AC17" s="393">
        <v>3001</v>
      </c>
      <c r="AD17" s="393">
        <v>2837</v>
      </c>
      <c r="AE17" s="393">
        <v>3125</v>
      </c>
      <c r="AF17" s="393">
        <v>3234</v>
      </c>
      <c r="AG17" s="393">
        <v>3155</v>
      </c>
      <c r="AH17" s="394">
        <v>3120</v>
      </c>
      <c r="AI17" s="834">
        <v>3840</v>
      </c>
      <c r="AJ17" s="1039">
        <v>3688</v>
      </c>
      <c r="AK17" s="1043">
        <v>3209</v>
      </c>
      <c r="AL17" s="1349">
        <v>3205</v>
      </c>
      <c r="AM17" s="1349">
        <v>3212</v>
      </c>
      <c r="AN17" s="1349">
        <v>3275</v>
      </c>
      <c r="AO17" s="1349">
        <v>3093</v>
      </c>
      <c r="AP17" s="1697">
        <v>3187</v>
      </c>
    </row>
    <row r="18" spans="1:42" ht="16.5" customHeight="1" x14ac:dyDescent="0.3">
      <c r="A18" s="349" t="s">
        <v>38</v>
      </c>
      <c r="B18" s="350" t="s">
        <v>329</v>
      </c>
      <c r="C18" s="1207" t="s">
        <v>256</v>
      </c>
      <c r="D18" s="390">
        <v>0.215</v>
      </c>
      <c r="E18" s="390">
        <v>0.20600000000000002</v>
      </c>
      <c r="F18" s="390">
        <v>0.22899999999999998</v>
      </c>
      <c r="G18" s="390">
        <v>0.217</v>
      </c>
      <c r="H18" s="390">
        <v>0.21100000000000002</v>
      </c>
      <c r="I18" s="390">
        <v>0.26600000000000001</v>
      </c>
      <c r="J18" s="390">
        <v>0.22899999999999998</v>
      </c>
      <c r="K18" s="390">
        <v>0.217</v>
      </c>
      <c r="L18" s="390">
        <v>0.23</v>
      </c>
      <c r="M18" s="390">
        <v>0.26500000000000001</v>
      </c>
      <c r="N18" s="391">
        <v>0.248</v>
      </c>
      <c r="O18" s="827">
        <v>0.24299999999999999</v>
      </c>
      <c r="P18" s="827">
        <v>0.23</v>
      </c>
      <c r="Q18" s="827">
        <v>0.2443899174659826</v>
      </c>
      <c r="R18" s="1344">
        <v>0.23180163785259328</v>
      </c>
      <c r="S18" s="1344">
        <v>0.28767186490726215</v>
      </c>
      <c r="T18" s="1344">
        <v>0.25078459343794579</v>
      </c>
      <c r="U18" s="2378">
        <v>0.27939385080153972</v>
      </c>
      <c r="V18" s="1694">
        <v>0.27552080756098768</v>
      </c>
      <c r="W18" s="392"/>
      <c r="X18" s="393">
        <v>5434</v>
      </c>
      <c r="Y18" s="393">
        <v>5116</v>
      </c>
      <c r="Z18" s="393">
        <v>5610</v>
      </c>
      <c r="AA18" s="393">
        <v>5208</v>
      </c>
      <c r="AB18" s="393">
        <v>4990</v>
      </c>
      <c r="AC18" s="393">
        <v>6221</v>
      </c>
      <c r="AD18" s="393">
        <v>5282</v>
      </c>
      <c r="AE18" s="393">
        <v>4913</v>
      </c>
      <c r="AF18" s="393">
        <v>5127</v>
      </c>
      <c r="AG18" s="393">
        <v>5737</v>
      </c>
      <c r="AH18" s="394">
        <v>5676</v>
      </c>
      <c r="AI18" s="834">
        <v>5459</v>
      </c>
      <c r="AJ18" s="1039">
        <v>5223</v>
      </c>
      <c r="AK18" s="1043">
        <v>5478</v>
      </c>
      <c r="AL18" s="1349">
        <v>5095</v>
      </c>
      <c r="AM18" s="1349">
        <v>6235</v>
      </c>
      <c r="AN18" s="1349">
        <v>5274</v>
      </c>
      <c r="AO18" s="1349">
        <v>5734</v>
      </c>
      <c r="AP18" s="1697">
        <v>5568</v>
      </c>
    </row>
    <row r="19" spans="1:42" ht="16.5" customHeight="1" x14ac:dyDescent="0.3">
      <c r="A19" s="349" t="s">
        <v>40</v>
      </c>
      <c r="B19" s="350" t="s">
        <v>330</v>
      </c>
      <c r="C19" s="1207" t="s">
        <v>254</v>
      </c>
      <c r="D19" s="390">
        <v>0.16899999999999998</v>
      </c>
      <c r="E19" s="390">
        <v>0.16600000000000001</v>
      </c>
      <c r="F19" s="390">
        <v>0.18</v>
      </c>
      <c r="G19" s="390">
        <v>0.17300000000000001</v>
      </c>
      <c r="H19" s="390">
        <v>0.17300000000000001</v>
      </c>
      <c r="I19" s="390">
        <v>0.20800000000000002</v>
      </c>
      <c r="J19" s="390">
        <v>0.17600000000000002</v>
      </c>
      <c r="K19" s="390">
        <v>0.193</v>
      </c>
      <c r="L19" s="390">
        <v>0.19399999999999998</v>
      </c>
      <c r="M19" s="390">
        <v>0.21600000000000003</v>
      </c>
      <c r="N19" s="391">
        <v>0.20499999999999999</v>
      </c>
      <c r="O19" s="827">
        <v>0.21299999999999999</v>
      </c>
      <c r="P19" s="827">
        <v>0.23</v>
      </c>
      <c r="Q19" s="827">
        <v>0.22771415176478468</v>
      </c>
      <c r="R19" s="1344">
        <v>0.22807728685312795</v>
      </c>
      <c r="S19" s="1344">
        <v>0.20222446916076844</v>
      </c>
      <c r="T19" s="1344">
        <v>0.17600700525394045</v>
      </c>
      <c r="U19" s="2378">
        <v>0.17503702706341726</v>
      </c>
      <c r="V19" s="1694">
        <v>0.20228440118951069</v>
      </c>
      <c r="W19" s="392"/>
      <c r="X19" s="393">
        <v>2304</v>
      </c>
      <c r="Y19" s="393">
        <v>2261</v>
      </c>
      <c r="Z19" s="393">
        <v>2471</v>
      </c>
      <c r="AA19" s="393">
        <v>2376</v>
      </c>
      <c r="AB19" s="393">
        <v>2401</v>
      </c>
      <c r="AC19" s="393">
        <v>2859</v>
      </c>
      <c r="AD19" s="393">
        <v>2429</v>
      </c>
      <c r="AE19" s="393">
        <v>2631</v>
      </c>
      <c r="AF19" s="393">
        <v>2640</v>
      </c>
      <c r="AG19" s="393">
        <v>2964</v>
      </c>
      <c r="AH19" s="394">
        <v>3042</v>
      </c>
      <c r="AI19" s="834">
        <v>3190</v>
      </c>
      <c r="AJ19" s="1039">
        <v>3414</v>
      </c>
      <c r="AK19" s="1043">
        <v>3400</v>
      </c>
      <c r="AL19" s="1349">
        <v>3376</v>
      </c>
      <c r="AM19" s="1349">
        <v>3000</v>
      </c>
      <c r="AN19" s="1349">
        <v>2613</v>
      </c>
      <c r="AO19" s="1349">
        <v>2600</v>
      </c>
      <c r="AP19" s="1697">
        <v>2993</v>
      </c>
    </row>
    <row r="20" spans="1:42" ht="16.5" customHeight="1" x14ac:dyDescent="0.3">
      <c r="A20" s="349" t="s">
        <v>42</v>
      </c>
      <c r="B20" s="350" t="s">
        <v>331</v>
      </c>
      <c r="C20" s="1207" t="s">
        <v>253</v>
      </c>
      <c r="D20" s="390">
        <v>9.6000000000000002E-2</v>
      </c>
      <c r="E20" s="390">
        <v>9.6000000000000002E-2</v>
      </c>
      <c r="F20" s="390">
        <v>0.10800000000000001</v>
      </c>
      <c r="G20" s="390">
        <v>0.115</v>
      </c>
      <c r="H20" s="390">
        <v>0.111</v>
      </c>
      <c r="I20" s="390">
        <v>0.11199999999999999</v>
      </c>
      <c r="J20" s="390">
        <v>0.11800000000000001</v>
      </c>
      <c r="K20" s="390">
        <v>0.11599999999999999</v>
      </c>
      <c r="L20" s="390">
        <v>0.121</v>
      </c>
      <c r="M20" s="390">
        <v>0.13100000000000001</v>
      </c>
      <c r="N20" s="391">
        <v>0.14300000000000002</v>
      </c>
      <c r="O20" s="827">
        <v>0.152</v>
      </c>
      <c r="P20" s="827">
        <v>0.14399999999999999</v>
      </c>
      <c r="Q20" s="827">
        <v>0.13262599469496023</v>
      </c>
      <c r="R20" s="1344">
        <v>0.14507609915895248</v>
      </c>
      <c r="S20" s="1344">
        <v>0.11703103220600103</v>
      </c>
      <c r="T20" s="1344">
        <v>0.13272790778903248</v>
      </c>
      <c r="U20" s="2378">
        <v>0.11300772718095553</v>
      </c>
      <c r="V20" s="1694">
        <v>0.11268330331875483</v>
      </c>
      <c r="W20" s="392"/>
      <c r="X20" s="393">
        <v>4861</v>
      </c>
      <c r="Y20" s="393">
        <v>4873</v>
      </c>
      <c r="Z20" s="393">
        <v>5502</v>
      </c>
      <c r="AA20" s="393">
        <v>5936</v>
      </c>
      <c r="AB20" s="393">
        <v>5792</v>
      </c>
      <c r="AC20" s="393">
        <v>5770</v>
      </c>
      <c r="AD20" s="393">
        <v>6152</v>
      </c>
      <c r="AE20" s="393">
        <v>6028</v>
      </c>
      <c r="AF20" s="393">
        <v>6334</v>
      </c>
      <c r="AG20" s="393">
        <v>6859</v>
      </c>
      <c r="AH20" s="394">
        <v>7770</v>
      </c>
      <c r="AI20" s="834">
        <v>8303</v>
      </c>
      <c r="AJ20" s="1039">
        <v>7899</v>
      </c>
      <c r="AK20" s="1043">
        <v>7250</v>
      </c>
      <c r="AL20" s="1349">
        <v>7883</v>
      </c>
      <c r="AM20" s="1349">
        <v>6381</v>
      </c>
      <c r="AN20" s="1349">
        <v>7220</v>
      </c>
      <c r="AO20" s="1349">
        <v>6157</v>
      </c>
      <c r="AP20" s="1697">
        <v>6132</v>
      </c>
    </row>
    <row r="21" spans="1:42" ht="16.5" customHeight="1" x14ac:dyDescent="0.3">
      <c r="A21" s="349" t="s">
        <v>44</v>
      </c>
      <c r="B21" s="350" t="s">
        <v>332</v>
      </c>
      <c r="C21" s="1207" t="s">
        <v>254</v>
      </c>
      <c r="D21" s="390">
        <v>0.10400000000000001</v>
      </c>
      <c r="E21" s="390">
        <v>0.1</v>
      </c>
      <c r="F21" s="390">
        <v>0.109</v>
      </c>
      <c r="G21" s="390">
        <v>0.1</v>
      </c>
      <c r="H21" s="390">
        <v>9.5000000000000001E-2</v>
      </c>
      <c r="I21" s="390">
        <v>9.9000000000000005E-2</v>
      </c>
      <c r="J21" s="390">
        <v>9.4E-2</v>
      </c>
      <c r="K21" s="390">
        <v>9.1999999999999998E-2</v>
      </c>
      <c r="L21" s="390">
        <v>9.3000000000000013E-2</v>
      </c>
      <c r="M21" s="390">
        <v>0.105</v>
      </c>
      <c r="N21" s="391">
        <v>0.112</v>
      </c>
      <c r="O21" s="827">
        <v>0.122</v>
      </c>
      <c r="P21" s="827">
        <v>0.121</v>
      </c>
      <c r="Q21" s="827">
        <v>0.14478044016602143</v>
      </c>
      <c r="R21" s="1344">
        <v>0.10994890085393876</v>
      </c>
      <c r="S21" s="1344">
        <v>0.12029434810751882</v>
      </c>
      <c r="T21" s="1344">
        <v>9.9448075034706943E-2</v>
      </c>
      <c r="U21" s="2378">
        <v>9.5830260776295501E-2</v>
      </c>
      <c r="V21" s="1694">
        <v>9.7225909211574202E-2</v>
      </c>
      <c r="W21" s="392"/>
      <c r="X21" s="393">
        <v>2265</v>
      </c>
      <c r="Y21" s="393">
        <v>2197</v>
      </c>
      <c r="Z21" s="393">
        <v>2470</v>
      </c>
      <c r="AA21" s="393">
        <v>2352</v>
      </c>
      <c r="AB21" s="393">
        <v>2396</v>
      </c>
      <c r="AC21" s="393">
        <v>2472</v>
      </c>
      <c r="AD21" s="393">
        <v>2449</v>
      </c>
      <c r="AE21" s="393">
        <v>2446</v>
      </c>
      <c r="AF21" s="393">
        <v>2518</v>
      </c>
      <c r="AG21" s="393">
        <v>2845</v>
      </c>
      <c r="AH21" s="394">
        <v>3150</v>
      </c>
      <c r="AI21" s="834">
        <v>3422</v>
      </c>
      <c r="AJ21" s="1039">
        <v>3433</v>
      </c>
      <c r="AK21" s="1043">
        <v>4151</v>
      </c>
      <c r="AL21" s="1349">
        <v>3206</v>
      </c>
      <c r="AM21" s="1349">
        <v>3531</v>
      </c>
      <c r="AN21" s="1349">
        <v>2937</v>
      </c>
      <c r="AO21" s="1349">
        <v>2859</v>
      </c>
      <c r="AP21" s="1697">
        <v>2930</v>
      </c>
    </row>
    <row r="22" spans="1:42" ht="16.5" customHeight="1" x14ac:dyDescent="0.3">
      <c r="A22" s="349" t="s">
        <v>46</v>
      </c>
      <c r="B22" s="350" t="s">
        <v>333</v>
      </c>
      <c r="C22" s="1207" t="s">
        <v>256</v>
      </c>
      <c r="D22" s="390">
        <v>0.12300000000000001</v>
      </c>
      <c r="E22" s="390">
        <v>0.128</v>
      </c>
      <c r="F22" s="390">
        <v>0.13600000000000001</v>
      </c>
      <c r="G22" s="390">
        <v>0.13900000000000001</v>
      </c>
      <c r="H22" s="390">
        <v>0.13300000000000001</v>
      </c>
      <c r="I22" s="390">
        <v>0.16399999999999998</v>
      </c>
      <c r="J22" s="390">
        <v>0.13900000000000001</v>
      </c>
      <c r="K22" s="390">
        <v>0.13900000000000001</v>
      </c>
      <c r="L22" s="390">
        <v>0.157</v>
      </c>
      <c r="M22" s="390">
        <v>0.16899999999999998</v>
      </c>
      <c r="N22" s="391">
        <v>0.17600000000000002</v>
      </c>
      <c r="O22" s="827">
        <v>0.19899999999999998</v>
      </c>
      <c r="P22" s="827">
        <v>0.19600000000000001</v>
      </c>
      <c r="Q22" s="827">
        <v>0.16512121927369591</v>
      </c>
      <c r="R22" s="1344">
        <v>0.1699537540805223</v>
      </c>
      <c r="S22" s="1344">
        <v>0.15021182850364345</v>
      </c>
      <c r="T22" s="1344">
        <v>0.16297484555786887</v>
      </c>
      <c r="U22" s="2378">
        <v>0.16774040417740405</v>
      </c>
      <c r="V22" s="1694">
        <v>0.15654213549988102</v>
      </c>
      <c r="W22" s="392"/>
      <c r="X22" s="393">
        <v>3612</v>
      </c>
      <c r="Y22" s="393">
        <v>3725</v>
      </c>
      <c r="Z22" s="393">
        <v>4004</v>
      </c>
      <c r="AA22" s="393">
        <v>4090</v>
      </c>
      <c r="AB22" s="393">
        <v>3931</v>
      </c>
      <c r="AC22" s="393">
        <v>4720</v>
      </c>
      <c r="AD22" s="393">
        <v>4070</v>
      </c>
      <c r="AE22" s="393">
        <v>4033</v>
      </c>
      <c r="AF22" s="393">
        <v>4549</v>
      </c>
      <c r="AG22" s="393">
        <v>4886</v>
      </c>
      <c r="AH22" s="394">
        <v>5248</v>
      </c>
      <c r="AI22" s="834">
        <v>5929</v>
      </c>
      <c r="AJ22" s="1039">
        <v>5794</v>
      </c>
      <c r="AK22" s="1043">
        <v>4897</v>
      </c>
      <c r="AL22" s="1349">
        <v>4998</v>
      </c>
      <c r="AM22" s="1349">
        <v>4432</v>
      </c>
      <c r="AN22" s="1349">
        <v>4775</v>
      </c>
      <c r="AO22" s="1349">
        <v>4947</v>
      </c>
      <c r="AP22" s="1697">
        <v>4605</v>
      </c>
    </row>
    <row r="23" spans="1:42" ht="16.5" customHeight="1" x14ac:dyDescent="0.3">
      <c r="A23" s="349" t="s">
        <v>48</v>
      </c>
      <c r="B23" s="350" t="s">
        <v>334</v>
      </c>
      <c r="C23" s="1207" t="s">
        <v>254</v>
      </c>
      <c r="D23" s="390">
        <v>9.5000000000000001E-2</v>
      </c>
      <c r="E23" s="390">
        <v>8.5999999999999993E-2</v>
      </c>
      <c r="F23" s="390">
        <v>9.6000000000000002E-2</v>
      </c>
      <c r="G23" s="390">
        <v>0.10400000000000001</v>
      </c>
      <c r="H23" s="390">
        <v>9.9000000000000005E-2</v>
      </c>
      <c r="I23" s="390">
        <v>0.109</v>
      </c>
      <c r="J23" s="390">
        <v>0.105</v>
      </c>
      <c r="K23" s="390">
        <v>0.106</v>
      </c>
      <c r="L23" s="390">
        <v>0.11199999999999999</v>
      </c>
      <c r="M23" s="390">
        <v>0.10199999999999999</v>
      </c>
      <c r="N23" s="391">
        <v>0.11900000000000001</v>
      </c>
      <c r="O23" s="827">
        <v>0.11699999999999999</v>
      </c>
      <c r="P23" s="827">
        <v>0.13300000000000001</v>
      </c>
      <c r="Q23" s="827">
        <v>0.12169386606640405</v>
      </c>
      <c r="R23" s="1344">
        <v>0.13121073672187322</v>
      </c>
      <c r="S23" s="1344">
        <v>0.11595441595441595</v>
      </c>
      <c r="T23" s="1344">
        <v>0.12443246311010216</v>
      </c>
      <c r="U23" s="2378">
        <v>0.1195589919816724</v>
      </c>
      <c r="V23" s="1694">
        <v>0.12295910995520878</v>
      </c>
      <c r="W23" s="392"/>
      <c r="X23" s="396">
        <v>672</v>
      </c>
      <c r="Y23" s="396">
        <v>611</v>
      </c>
      <c r="Z23" s="396">
        <v>686</v>
      </c>
      <c r="AA23" s="396">
        <v>744</v>
      </c>
      <c r="AB23" s="396">
        <v>712</v>
      </c>
      <c r="AC23" s="396">
        <v>772</v>
      </c>
      <c r="AD23" s="396">
        <v>753</v>
      </c>
      <c r="AE23" s="396">
        <v>755</v>
      </c>
      <c r="AF23" s="393">
        <v>809</v>
      </c>
      <c r="AG23" s="393">
        <v>735</v>
      </c>
      <c r="AH23" s="394">
        <v>864</v>
      </c>
      <c r="AI23" s="834">
        <v>843</v>
      </c>
      <c r="AJ23" s="1039">
        <v>946</v>
      </c>
      <c r="AK23" s="1043">
        <v>865</v>
      </c>
      <c r="AL23" s="1349">
        <v>919</v>
      </c>
      <c r="AM23" s="1349">
        <v>814</v>
      </c>
      <c r="AN23" s="1349">
        <v>877</v>
      </c>
      <c r="AO23" s="1349">
        <v>835</v>
      </c>
      <c r="AP23" s="1697">
        <v>851</v>
      </c>
    </row>
    <row r="24" spans="1:42" ht="16.5" customHeight="1" x14ac:dyDescent="0.3">
      <c r="A24" s="349" t="s">
        <v>50</v>
      </c>
      <c r="B24" s="350" t="s">
        <v>335</v>
      </c>
      <c r="C24" s="1207" t="s">
        <v>253</v>
      </c>
      <c r="D24" s="390">
        <v>0.14699999999999999</v>
      </c>
      <c r="E24" s="390">
        <v>0.14400000000000002</v>
      </c>
      <c r="F24" s="390">
        <v>0.157</v>
      </c>
      <c r="G24" s="390">
        <v>0.161</v>
      </c>
      <c r="H24" s="390">
        <v>0.152</v>
      </c>
      <c r="I24" s="390">
        <v>0.17399999999999999</v>
      </c>
      <c r="J24" s="390">
        <v>0.17300000000000001</v>
      </c>
      <c r="K24" s="390">
        <v>0.18100000000000002</v>
      </c>
      <c r="L24" s="390">
        <v>0.17199999999999999</v>
      </c>
      <c r="M24" s="390">
        <v>0.18899999999999997</v>
      </c>
      <c r="N24" s="391">
        <v>0.18600000000000003</v>
      </c>
      <c r="O24" s="827">
        <v>0.20899999999999999</v>
      </c>
      <c r="P24" s="827">
        <v>0.185</v>
      </c>
      <c r="Q24" s="827">
        <v>0.19663199603764239</v>
      </c>
      <c r="R24" s="1344">
        <v>0.20732618988288065</v>
      </c>
      <c r="S24" s="1344">
        <v>0.19230769230769232</v>
      </c>
      <c r="T24" s="1344">
        <v>0.20849744406268331</v>
      </c>
      <c r="U24" s="2378">
        <v>0.17374905707819965</v>
      </c>
      <c r="V24" s="1694">
        <v>0.19269725082985786</v>
      </c>
      <c r="W24" s="392"/>
      <c r="X24" s="393">
        <v>1779</v>
      </c>
      <c r="Y24" s="393">
        <v>1781</v>
      </c>
      <c r="Z24" s="393">
        <v>1935</v>
      </c>
      <c r="AA24" s="393">
        <v>1974</v>
      </c>
      <c r="AB24" s="393">
        <v>1871</v>
      </c>
      <c r="AC24" s="393">
        <v>2097</v>
      </c>
      <c r="AD24" s="393">
        <v>2118</v>
      </c>
      <c r="AE24" s="393">
        <v>2187</v>
      </c>
      <c r="AF24" s="393">
        <v>2071</v>
      </c>
      <c r="AG24" s="393">
        <v>2237</v>
      </c>
      <c r="AH24" s="394">
        <v>2309</v>
      </c>
      <c r="AI24" s="834">
        <v>2572</v>
      </c>
      <c r="AJ24" s="1039">
        <v>2262</v>
      </c>
      <c r="AK24" s="1043">
        <v>2382</v>
      </c>
      <c r="AL24" s="1349">
        <v>2496</v>
      </c>
      <c r="AM24" s="1349">
        <v>2310</v>
      </c>
      <c r="AN24" s="1349">
        <v>2488</v>
      </c>
      <c r="AO24" s="1349">
        <v>2073</v>
      </c>
      <c r="AP24" s="1697">
        <v>2264</v>
      </c>
    </row>
    <row r="25" spans="1:42" ht="16.5" customHeight="1" x14ac:dyDescent="0.3">
      <c r="A25" s="349" t="s">
        <v>56</v>
      </c>
      <c r="B25" s="350" t="s">
        <v>601</v>
      </c>
      <c r="C25" s="1207" t="s">
        <v>254</v>
      </c>
      <c r="D25" s="390">
        <v>4.8799999999999996E-2</v>
      </c>
      <c r="E25" s="390">
        <v>5.0799999999999998E-2</v>
      </c>
      <c r="F25" s="390">
        <v>5.9500000000000004E-2</v>
      </c>
      <c r="G25" s="390">
        <v>6.7400000000000002E-2</v>
      </c>
      <c r="H25" s="390">
        <v>6.5500000000000003E-2</v>
      </c>
      <c r="I25" s="390">
        <v>6.4500000000000002E-2</v>
      </c>
      <c r="J25" s="390">
        <v>5.5999999999999994E-2</v>
      </c>
      <c r="K25" s="390">
        <v>5.8899999999999994E-2</v>
      </c>
      <c r="L25" s="390">
        <v>5.8799999999999998E-2</v>
      </c>
      <c r="M25" s="390">
        <v>6.2300000000000001E-2</v>
      </c>
      <c r="N25" s="391">
        <v>7.0308637779240374E-2</v>
      </c>
      <c r="O25" s="827">
        <v>7.3295784531991093E-2</v>
      </c>
      <c r="P25" s="827">
        <v>7.4999999999999997E-2</v>
      </c>
      <c r="Q25" s="827">
        <v>8.1271283302108005E-2</v>
      </c>
      <c r="R25" s="1344">
        <v>8.4319663951356497E-2</v>
      </c>
      <c r="S25" s="1344">
        <v>7.1249486644131665E-2</v>
      </c>
      <c r="T25" s="1344">
        <v>7.196339079134971E-2</v>
      </c>
      <c r="U25" s="2378">
        <v>6.8325596277231726E-2</v>
      </c>
      <c r="V25" s="1694">
        <v>7.7175898085359337E-2</v>
      </c>
      <c r="W25" s="392"/>
      <c r="X25" s="393">
        <v>13693</v>
      </c>
      <c r="Y25" s="393">
        <v>14416</v>
      </c>
      <c r="Z25" s="393">
        <v>17303</v>
      </c>
      <c r="AA25" s="393">
        <v>19974</v>
      </c>
      <c r="AB25" s="393">
        <v>20050</v>
      </c>
      <c r="AC25" s="393">
        <v>19397</v>
      </c>
      <c r="AD25" s="393">
        <v>17221</v>
      </c>
      <c r="AE25" s="393">
        <v>18421</v>
      </c>
      <c r="AF25" s="393">
        <v>18608</v>
      </c>
      <c r="AG25" s="393">
        <v>19992</v>
      </c>
      <c r="AH25" s="394">
        <v>23091</v>
      </c>
      <c r="AI25" s="834">
        <v>24231</v>
      </c>
      <c r="AJ25" s="1039">
        <v>25129</v>
      </c>
      <c r="AK25" s="1043">
        <v>27589</v>
      </c>
      <c r="AL25" s="1349">
        <v>29066</v>
      </c>
      <c r="AM25" s="1349">
        <v>24809</v>
      </c>
      <c r="AN25" s="1349">
        <v>25287</v>
      </c>
      <c r="AO25" s="1349">
        <v>24344</v>
      </c>
      <c r="AP25" s="1697">
        <v>27849</v>
      </c>
    </row>
    <row r="26" spans="1:42" ht="16.5" customHeight="1" x14ac:dyDescent="0.3">
      <c r="A26" s="349" t="s">
        <v>58</v>
      </c>
      <c r="B26" s="350" t="s">
        <v>336</v>
      </c>
      <c r="C26" s="1207" t="s">
        <v>255</v>
      </c>
      <c r="D26" s="390">
        <v>6.5000000000000002E-2</v>
      </c>
      <c r="E26" s="390">
        <v>6.4000000000000001E-2</v>
      </c>
      <c r="F26" s="390">
        <v>6.7000000000000004E-2</v>
      </c>
      <c r="G26" s="390">
        <v>6.7000000000000004E-2</v>
      </c>
      <c r="H26" s="390">
        <v>6.0999999999999999E-2</v>
      </c>
      <c r="I26" s="390">
        <v>6.6000000000000003E-2</v>
      </c>
      <c r="J26" s="390">
        <v>6.4000000000000001E-2</v>
      </c>
      <c r="K26" s="390">
        <v>6.3E-2</v>
      </c>
      <c r="L26" s="390">
        <v>7.5999999999999998E-2</v>
      </c>
      <c r="M26" s="390">
        <v>7.5999999999999998E-2</v>
      </c>
      <c r="N26" s="391">
        <v>8.3000000000000004E-2</v>
      </c>
      <c r="O26" s="827">
        <v>8.199999999999999E-2</v>
      </c>
      <c r="P26" s="827">
        <v>8.5999999999999993E-2</v>
      </c>
      <c r="Q26" s="827">
        <v>7.9048295454545461E-2</v>
      </c>
      <c r="R26" s="1344">
        <v>8.2114338209313825E-2</v>
      </c>
      <c r="S26" s="1344">
        <v>8.3527501235613921E-2</v>
      </c>
      <c r="T26" s="1344">
        <v>7.8687367678193371E-2</v>
      </c>
      <c r="U26" s="2378">
        <v>6.6587479038569028E-2</v>
      </c>
      <c r="V26" s="1694">
        <v>6.5205249930187101E-2</v>
      </c>
      <c r="W26" s="392"/>
      <c r="X26" s="396">
        <v>831</v>
      </c>
      <c r="Y26" s="396">
        <v>833</v>
      </c>
      <c r="Z26" s="396">
        <v>878</v>
      </c>
      <c r="AA26" s="396">
        <v>914</v>
      </c>
      <c r="AB26" s="396">
        <v>857</v>
      </c>
      <c r="AC26" s="396">
        <v>917</v>
      </c>
      <c r="AD26" s="396">
        <v>917</v>
      </c>
      <c r="AE26" s="396">
        <v>892</v>
      </c>
      <c r="AF26" s="393">
        <v>1085</v>
      </c>
      <c r="AG26" s="393">
        <v>1091</v>
      </c>
      <c r="AH26" s="394">
        <v>1147</v>
      </c>
      <c r="AI26" s="834">
        <v>1145</v>
      </c>
      <c r="AJ26" s="1039">
        <v>1207</v>
      </c>
      <c r="AK26" s="1043">
        <v>1113</v>
      </c>
      <c r="AL26" s="1349">
        <v>1162</v>
      </c>
      <c r="AM26" s="1349">
        <v>1183</v>
      </c>
      <c r="AN26" s="1349">
        <v>1115</v>
      </c>
      <c r="AO26" s="1349">
        <v>953</v>
      </c>
      <c r="AP26" s="1697">
        <v>934</v>
      </c>
    </row>
    <row r="27" spans="1:42" ht="16.5" customHeight="1" x14ac:dyDescent="0.3">
      <c r="A27" s="349" t="s">
        <v>60</v>
      </c>
      <c r="B27" s="350" t="s">
        <v>337</v>
      </c>
      <c r="C27" s="1207" t="s">
        <v>253</v>
      </c>
      <c r="D27" s="390">
        <v>8.4000000000000005E-2</v>
      </c>
      <c r="E27" s="390">
        <v>0.08</v>
      </c>
      <c r="F27" s="390">
        <v>8.8000000000000009E-2</v>
      </c>
      <c r="G27" s="390">
        <v>9.6000000000000002E-2</v>
      </c>
      <c r="H27" s="390">
        <v>9.0999999999999998E-2</v>
      </c>
      <c r="I27" s="390">
        <v>0.10400000000000001</v>
      </c>
      <c r="J27" s="390">
        <v>0.106</v>
      </c>
      <c r="K27" s="390">
        <v>0.10300000000000001</v>
      </c>
      <c r="L27" s="390">
        <v>0.11199999999999999</v>
      </c>
      <c r="M27" s="390">
        <v>9.8000000000000004E-2</v>
      </c>
      <c r="N27" s="391">
        <v>0.11599999999999999</v>
      </c>
      <c r="O27" s="827">
        <v>0.122</v>
      </c>
      <c r="P27" s="827">
        <v>0.13500000000000001</v>
      </c>
      <c r="Q27" s="827">
        <v>0.12883317261330762</v>
      </c>
      <c r="R27" s="1344">
        <v>0.12358472462099405</v>
      </c>
      <c r="S27" s="1344">
        <v>0.11933680354732987</v>
      </c>
      <c r="T27" s="1344">
        <v>0.12626656274356976</v>
      </c>
      <c r="U27" s="2378">
        <v>0.11708672355626117</v>
      </c>
      <c r="V27" s="1694">
        <v>0.11882562983535012</v>
      </c>
      <c r="W27" s="392"/>
      <c r="X27" s="396">
        <v>428</v>
      </c>
      <c r="Y27" s="396">
        <v>407</v>
      </c>
      <c r="Z27" s="396">
        <v>457</v>
      </c>
      <c r="AA27" s="396">
        <v>493</v>
      </c>
      <c r="AB27" s="396">
        <v>471</v>
      </c>
      <c r="AC27" s="396">
        <v>531</v>
      </c>
      <c r="AD27" s="396">
        <v>544</v>
      </c>
      <c r="AE27" s="396">
        <v>528</v>
      </c>
      <c r="AF27" s="393">
        <v>565</v>
      </c>
      <c r="AG27" s="393">
        <v>486</v>
      </c>
      <c r="AH27" s="394">
        <v>599</v>
      </c>
      <c r="AI27" s="834">
        <v>619</v>
      </c>
      <c r="AJ27" s="1039">
        <v>699</v>
      </c>
      <c r="AK27" s="1043">
        <v>668</v>
      </c>
      <c r="AL27" s="1349">
        <v>644</v>
      </c>
      <c r="AM27" s="1349">
        <v>619</v>
      </c>
      <c r="AN27" s="1349">
        <v>648</v>
      </c>
      <c r="AO27" s="1349">
        <v>590</v>
      </c>
      <c r="AP27" s="1697">
        <v>599</v>
      </c>
    </row>
    <row r="28" spans="1:42" ht="16.5" customHeight="1" x14ac:dyDescent="0.3">
      <c r="A28" s="349" t="s">
        <v>62</v>
      </c>
      <c r="B28" s="350" t="s">
        <v>338</v>
      </c>
      <c r="C28" s="1207" t="s">
        <v>255</v>
      </c>
      <c r="D28" s="390">
        <v>0.09</v>
      </c>
      <c r="E28" s="390">
        <v>8.5999999999999993E-2</v>
      </c>
      <c r="F28" s="390">
        <v>8.8000000000000009E-2</v>
      </c>
      <c r="G28" s="390">
        <v>9.1999999999999998E-2</v>
      </c>
      <c r="H28" s="390">
        <v>8.8000000000000009E-2</v>
      </c>
      <c r="I28" s="390">
        <v>9.0999999999999998E-2</v>
      </c>
      <c r="J28" s="390">
        <v>8.4000000000000005E-2</v>
      </c>
      <c r="K28" s="390">
        <v>8.3000000000000004E-2</v>
      </c>
      <c r="L28" s="390">
        <v>8.1000000000000003E-2</v>
      </c>
      <c r="M28" s="390">
        <v>9.6000000000000002E-2</v>
      </c>
      <c r="N28" s="391">
        <v>0.105</v>
      </c>
      <c r="O28" s="827">
        <v>0.11699999999999999</v>
      </c>
      <c r="P28" s="827">
        <v>0.109</v>
      </c>
      <c r="Q28" s="827">
        <v>0.10147036791301928</v>
      </c>
      <c r="R28" s="1344">
        <v>0.10986674525819422</v>
      </c>
      <c r="S28" s="1344">
        <v>0.10225943869027732</v>
      </c>
      <c r="T28" s="1344">
        <v>9.8300470258229522E-2</v>
      </c>
      <c r="U28" s="2378">
        <v>9.8659042403253738E-2</v>
      </c>
      <c r="V28" s="1694">
        <v>8.7116686579052166E-2</v>
      </c>
      <c r="W28" s="392"/>
      <c r="X28" s="393">
        <v>3050</v>
      </c>
      <c r="Y28" s="393">
        <v>3019</v>
      </c>
      <c r="Z28" s="393">
        <v>3271</v>
      </c>
      <c r="AA28" s="393">
        <v>3571</v>
      </c>
      <c r="AB28" s="393">
        <v>3613</v>
      </c>
      <c r="AC28" s="393">
        <v>3722</v>
      </c>
      <c r="AD28" s="393">
        <v>3620</v>
      </c>
      <c r="AE28" s="393">
        <v>3621</v>
      </c>
      <c r="AF28" s="393">
        <v>3612</v>
      </c>
      <c r="AG28" s="393">
        <v>4296</v>
      </c>
      <c r="AH28" s="394">
        <v>4720</v>
      </c>
      <c r="AI28" s="834">
        <v>5335</v>
      </c>
      <c r="AJ28" s="1039">
        <v>5034</v>
      </c>
      <c r="AK28" s="1043">
        <v>4741</v>
      </c>
      <c r="AL28" s="1349">
        <v>5219</v>
      </c>
      <c r="AM28" s="1349">
        <v>4897</v>
      </c>
      <c r="AN28" s="1349">
        <v>4766</v>
      </c>
      <c r="AO28" s="1349">
        <v>4900</v>
      </c>
      <c r="AP28" s="1697">
        <v>4375</v>
      </c>
    </row>
    <row r="29" spans="1:42" ht="16.5" customHeight="1" x14ac:dyDescent="0.3">
      <c r="A29" s="349" t="s">
        <v>64</v>
      </c>
      <c r="B29" s="350" t="s">
        <v>339</v>
      </c>
      <c r="C29" s="1207" t="s">
        <v>254</v>
      </c>
      <c r="D29" s="390">
        <v>0.13500000000000001</v>
      </c>
      <c r="E29" s="390">
        <v>0.13100000000000001</v>
      </c>
      <c r="F29" s="390">
        <v>0.13699999999999998</v>
      </c>
      <c r="G29" s="390">
        <v>0.14099999999999999</v>
      </c>
      <c r="H29" s="390">
        <v>0.13900000000000001</v>
      </c>
      <c r="I29" s="390">
        <v>0.161</v>
      </c>
      <c r="J29" s="390">
        <v>0.15</v>
      </c>
      <c r="K29" s="390">
        <v>0.14899999999999999</v>
      </c>
      <c r="L29" s="390">
        <v>0.158</v>
      </c>
      <c r="M29" s="390">
        <v>0.155</v>
      </c>
      <c r="N29" s="391">
        <v>0.17199999999999999</v>
      </c>
      <c r="O29" s="827">
        <v>0.17899999999999999</v>
      </c>
      <c r="P29" s="827">
        <v>0.17299999999999999</v>
      </c>
      <c r="Q29" s="827">
        <v>0.18230918169774787</v>
      </c>
      <c r="R29" s="1344">
        <v>0.1898592124056315</v>
      </c>
      <c r="S29" s="1344">
        <v>0.19562525794469665</v>
      </c>
      <c r="T29" s="1344">
        <v>0.18156308459779671</v>
      </c>
      <c r="U29" s="2378">
        <v>0.15309146653040367</v>
      </c>
      <c r="V29" s="1694">
        <v>0.15692087507667143</v>
      </c>
      <c r="W29" s="392"/>
      <c r="X29" s="393">
        <v>1205</v>
      </c>
      <c r="Y29" s="393">
        <v>1185</v>
      </c>
      <c r="Z29" s="393">
        <v>1261</v>
      </c>
      <c r="AA29" s="393">
        <v>1301</v>
      </c>
      <c r="AB29" s="393">
        <v>1306</v>
      </c>
      <c r="AC29" s="393">
        <v>1502</v>
      </c>
      <c r="AD29" s="393">
        <v>1411</v>
      </c>
      <c r="AE29" s="393">
        <v>1432</v>
      </c>
      <c r="AF29" s="393">
        <v>1520</v>
      </c>
      <c r="AG29" s="393">
        <v>1503</v>
      </c>
      <c r="AH29" s="394">
        <v>1721</v>
      </c>
      <c r="AI29" s="834">
        <v>1782</v>
      </c>
      <c r="AJ29" s="1039">
        <v>1695</v>
      </c>
      <c r="AK29" s="1043">
        <v>1789</v>
      </c>
      <c r="AL29" s="1349">
        <v>1861</v>
      </c>
      <c r="AM29" s="1349">
        <v>1896</v>
      </c>
      <c r="AN29" s="1349">
        <v>1747</v>
      </c>
      <c r="AO29" s="1349">
        <v>1498</v>
      </c>
      <c r="AP29" s="1697">
        <v>1535</v>
      </c>
    </row>
    <row r="30" spans="1:42" ht="16.5" customHeight="1" x14ac:dyDescent="0.3">
      <c r="A30" s="349" t="s">
        <v>68</v>
      </c>
      <c r="B30" s="350" t="s">
        <v>340</v>
      </c>
      <c r="C30" s="1207" t="s">
        <v>256</v>
      </c>
      <c r="D30" s="390">
        <v>0.193</v>
      </c>
      <c r="E30" s="390">
        <v>0.183</v>
      </c>
      <c r="F30" s="390">
        <v>0.18899999999999997</v>
      </c>
      <c r="G30" s="390">
        <v>0.185</v>
      </c>
      <c r="H30" s="390">
        <v>0.183</v>
      </c>
      <c r="I30" s="390">
        <v>0.22800000000000001</v>
      </c>
      <c r="J30" s="390">
        <v>0.192</v>
      </c>
      <c r="K30" s="390">
        <v>0.21299999999999999</v>
      </c>
      <c r="L30" s="390">
        <v>0.218</v>
      </c>
      <c r="M30" s="390">
        <v>0.20499999999999999</v>
      </c>
      <c r="N30" s="391">
        <v>0.22999999999999998</v>
      </c>
      <c r="O30" s="827">
        <v>0.218</v>
      </c>
      <c r="P30" s="827">
        <v>0.21299999999999999</v>
      </c>
      <c r="Q30" s="827">
        <v>0.21787783920602144</v>
      </c>
      <c r="R30" s="1344">
        <v>0.21326056195674145</v>
      </c>
      <c r="S30" s="1344">
        <v>0.2503413435281267</v>
      </c>
      <c r="T30" s="1344">
        <v>0.25631392193696512</v>
      </c>
      <c r="U30" s="2378">
        <v>0.25049129702414374</v>
      </c>
      <c r="V30" s="1694">
        <v>0.25168025168025165</v>
      </c>
      <c r="W30" s="392"/>
      <c r="X30" s="393">
        <v>3126</v>
      </c>
      <c r="Y30" s="393">
        <v>2945</v>
      </c>
      <c r="Z30" s="393">
        <v>3038</v>
      </c>
      <c r="AA30" s="393">
        <v>2988</v>
      </c>
      <c r="AB30" s="393">
        <v>2972</v>
      </c>
      <c r="AC30" s="393">
        <v>3664</v>
      </c>
      <c r="AD30" s="393">
        <v>3078</v>
      </c>
      <c r="AE30" s="393">
        <v>3382</v>
      </c>
      <c r="AF30" s="393">
        <v>3508</v>
      </c>
      <c r="AG30" s="393">
        <v>3240</v>
      </c>
      <c r="AH30" s="394">
        <v>3567</v>
      </c>
      <c r="AI30" s="834">
        <v>3357</v>
      </c>
      <c r="AJ30" s="1039">
        <v>3243</v>
      </c>
      <c r="AK30" s="1043">
        <v>3271</v>
      </c>
      <c r="AL30" s="1349">
        <v>3165</v>
      </c>
      <c r="AM30" s="1349">
        <v>3667</v>
      </c>
      <c r="AN30" s="1349">
        <v>3684</v>
      </c>
      <c r="AO30" s="1349">
        <v>3569</v>
      </c>
      <c r="AP30" s="1697">
        <v>3520</v>
      </c>
    </row>
    <row r="31" spans="1:42" ht="16.5" customHeight="1" x14ac:dyDescent="0.3">
      <c r="A31" s="349" t="s">
        <v>70</v>
      </c>
      <c r="B31" s="350" t="s">
        <v>341</v>
      </c>
      <c r="C31" s="1207" t="s">
        <v>252</v>
      </c>
      <c r="D31" s="390">
        <v>9.4E-2</v>
      </c>
      <c r="E31" s="390">
        <v>8.8000000000000009E-2</v>
      </c>
      <c r="F31" s="390">
        <v>9.1999999999999998E-2</v>
      </c>
      <c r="G31" s="390">
        <v>0.10400000000000001</v>
      </c>
      <c r="H31" s="390">
        <v>0.10099999999999999</v>
      </c>
      <c r="I31" s="390">
        <v>0.10199999999999999</v>
      </c>
      <c r="J31" s="390">
        <v>0.111</v>
      </c>
      <c r="K31" s="390">
        <v>0.11</v>
      </c>
      <c r="L31" s="390">
        <v>0.113</v>
      </c>
      <c r="M31" s="390">
        <v>0.11199999999999999</v>
      </c>
      <c r="N31" s="391">
        <v>0.11900000000000001</v>
      </c>
      <c r="O31" s="827">
        <v>0.13300000000000001</v>
      </c>
      <c r="P31" s="827">
        <v>0.13100000000000001</v>
      </c>
      <c r="Q31" s="827">
        <v>0.1451978640918733</v>
      </c>
      <c r="R31" s="1344">
        <v>0.12132743039039919</v>
      </c>
      <c r="S31" s="1344">
        <v>0.12385152517456817</v>
      </c>
      <c r="T31" s="1344">
        <v>0.12982520029133285</v>
      </c>
      <c r="U31" s="2378">
        <v>0.10100606544873425</v>
      </c>
      <c r="V31" s="1694">
        <v>0.12458899213724088</v>
      </c>
      <c r="W31" s="392"/>
      <c r="X31" s="393">
        <v>2223</v>
      </c>
      <c r="Y31" s="393">
        <v>2095</v>
      </c>
      <c r="Z31" s="393">
        <v>2229</v>
      </c>
      <c r="AA31" s="393">
        <v>2547</v>
      </c>
      <c r="AB31" s="393">
        <v>2508</v>
      </c>
      <c r="AC31" s="393">
        <v>2499</v>
      </c>
      <c r="AD31" s="393">
        <v>2768</v>
      </c>
      <c r="AE31" s="393">
        <v>2748</v>
      </c>
      <c r="AF31" s="393">
        <v>2850</v>
      </c>
      <c r="AG31" s="393">
        <v>2839</v>
      </c>
      <c r="AH31" s="394">
        <v>3249</v>
      </c>
      <c r="AI31" s="834">
        <v>3625</v>
      </c>
      <c r="AJ31" s="1039">
        <v>3596</v>
      </c>
      <c r="AK31" s="1043">
        <v>3970</v>
      </c>
      <c r="AL31" s="1349">
        <v>3316</v>
      </c>
      <c r="AM31" s="1349">
        <v>3370</v>
      </c>
      <c r="AN31" s="1349">
        <v>3565</v>
      </c>
      <c r="AO31" s="1349">
        <v>2781</v>
      </c>
      <c r="AP31" s="1697">
        <v>3486</v>
      </c>
    </row>
    <row r="32" spans="1:42" ht="16.5" customHeight="1" x14ac:dyDescent="0.3">
      <c r="A32" s="349" t="s">
        <v>72</v>
      </c>
      <c r="B32" s="350" t="s">
        <v>342</v>
      </c>
      <c r="C32" s="1207" t="s">
        <v>254</v>
      </c>
      <c r="D32" s="390">
        <v>0.122</v>
      </c>
      <c r="E32" s="390">
        <v>0.113</v>
      </c>
      <c r="F32" s="390">
        <v>0.124</v>
      </c>
      <c r="G32" s="390">
        <v>0.126</v>
      </c>
      <c r="H32" s="390">
        <v>0.11699999999999999</v>
      </c>
      <c r="I32" s="390">
        <v>0.126</v>
      </c>
      <c r="J32" s="390">
        <v>0.124</v>
      </c>
      <c r="K32" s="390">
        <v>0.121</v>
      </c>
      <c r="L32" s="390">
        <v>0.13</v>
      </c>
      <c r="M32" s="390">
        <v>0.13300000000000001</v>
      </c>
      <c r="N32" s="391">
        <v>0.14099999999999999</v>
      </c>
      <c r="O32" s="827">
        <v>0.14899999999999999</v>
      </c>
      <c r="P32" s="827">
        <v>0.157</v>
      </c>
      <c r="Q32" s="827">
        <v>0.15535295179635314</v>
      </c>
      <c r="R32" s="1344">
        <v>0.14509947070633328</v>
      </c>
      <c r="S32" s="1344">
        <v>0.15514886642993717</v>
      </c>
      <c r="T32" s="1344">
        <v>0.13115202333211812</v>
      </c>
      <c r="U32" s="2378">
        <v>0.13616317530319735</v>
      </c>
      <c r="V32" s="1694">
        <v>0.13715664439495173</v>
      </c>
      <c r="W32" s="392"/>
      <c r="X32" s="393">
        <v>1195</v>
      </c>
      <c r="Y32" s="393">
        <v>1121</v>
      </c>
      <c r="Z32" s="393">
        <v>1264</v>
      </c>
      <c r="AA32" s="393">
        <v>1286</v>
      </c>
      <c r="AB32" s="393">
        <v>1211</v>
      </c>
      <c r="AC32" s="393">
        <v>1291</v>
      </c>
      <c r="AD32" s="393">
        <v>1294</v>
      </c>
      <c r="AE32" s="393">
        <v>1295</v>
      </c>
      <c r="AF32" s="393">
        <v>1412</v>
      </c>
      <c r="AG32" s="393">
        <v>1459</v>
      </c>
      <c r="AH32" s="394">
        <v>1553</v>
      </c>
      <c r="AI32" s="834">
        <v>1646</v>
      </c>
      <c r="AJ32" s="1039">
        <v>1741</v>
      </c>
      <c r="AK32" s="1043">
        <v>1721</v>
      </c>
      <c r="AL32" s="1349">
        <v>1590</v>
      </c>
      <c r="AM32" s="1349">
        <v>1704</v>
      </c>
      <c r="AN32" s="1349">
        <v>1439</v>
      </c>
      <c r="AO32" s="1349">
        <v>1482</v>
      </c>
      <c r="AP32" s="1697">
        <v>1478</v>
      </c>
    </row>
    <row r="33" spans="1:42" ht="16.5" customHeight="1" x14ac:dyDescent="0.3">
      <c r="A33" s="349" t="s">
        <v>74</v>
      </c>
      <c r="B33" s="350" t="s">
        <v>472</v>
      </c>
      <c r="C33" s="1207" t="s">
        <v>255</v>
      </c>
      <c r="D33" s="390">
        <v>4.0999999999999995E-2</v>
      </c>
      <c r="E33" s="390">
        <v>4.3899999999999995E-2</v>
      </c>
      <c r="F33" s="390">
        <v>0.05</v>
      </c>
      <c r="G33" s="390">
        <v>5.7599999999999998E-2</v>
      </c>
      <c r="H33" s="390">
        <v>5.2699999999999997E-2</v>
      </c>
      <c r="I33" s="390">
        <v>5.0799999999999998E-2</v>
      </c>
      <c r="J33" s="390">
        <v>5.1799999999999999E-2</v>
      </c>
      <c r="K33" s="390">
        <v>4.8899999999999999E-2</v>
      </c>
      <c r="L33" s="390">
        <v>4.8899999999999999E-2</v>
      </c>
      <c r="M33" s="390">
        <v>5.5999999999999994E-2</v>
      </c>
      <c r="N33" s="391">
        <v>5.8925506050903943E-2</v>
      </c>
      <c r="O33" s="827">
        <v>6.7652399342249744E-2</v>
      </c>
      <c r="P33" s="827">
        <v>0.06</v>
      </c>
      <c r="Q33" s="827">
        <v>5.96407525392708E-2</v>
      </c>
      <c r="R33" s="1344">
        <v>6.6558716423477798E-2</v>
      </c>
      <c r="S33" s="1344">
        <v>6.1822398928343229E-2</v>
      </c>
      <c r="T33" s="1344">
        <v>6.002282132006214E-2</v>
      </c>
      <c r="U33" s="2378">
        <v>6.6602194988235053E-2</v>
      </c>
      <c r="V33" s="1694">
        <v>6.0950223630011284E-2</v>
      </c>
      <c r="W33" s="392"/>
      <c r="X33" s="393">
        <v>42235</v>
      </c>
      <c r="Y33" s="393">
        <v>44521</v>
      </c>
      <c r="Z33" s="393">
        <v>51470</v>
      </c>
      <c r="AA33" s="393">
        <v>59756</v>
      </c>
      <c r="AB33" s="393">
        <v>54921</v>
      </c>
      <c r="AC33" s="393">
        <v>52050</v>
      </c>
      <c r="AD33" s="393">
        <v>53870</v>
      </c>
      <c r="AE33" s="393">
        <v>50909</v>
      </c>
      <c r="AF33" s="393">
        <v>50622</v>
      </c>
      <c r="AG33" s="393">
        <v>59537</v>
      </c>
      <c r="AH33" s="394">
        <v>65890</v>
      </c>
      <c r="AI33" s="834">
        <v>75783</v>
      </c>
      <c r="AJ33" s="1039">
        <v>68906</v>
      </c>
      <c r="AK33" s="1043">
        <v>68953</v>
      </c>
      <c r="AL33" s="1349">
        <v>77441</v>
      </c>
      <c r="AM33" s="1349">
        <v>72180</v>
      </c>
      <c r="AN33" s="1349">
        <v>69856</v>
      </c>
      <c r="AO33" s="1349">
        <v>78236</v>
      </c>
      <c r="AP33" s="1697">
        <v>71735</v>
      </c>
    </row>
    <row r="34" spans="1:42" ht="16.5" customHeight="1" x14ac:dyDescent="0.3">
      <c r="A34" s="349" t="s">
        <v>76</v>
      </c>
      <c r="B34" s="350" t="s">
        <v>343</v>
      </c>
      <c r="C34" s="1207" t="s">
        <v>255</v>
      </c>
      <c r="D34" s="390">
        <v>5.4000000000000006E-2</v>
      </c>
      <c r="E34" s="390">
        <v>0.05</v>
      </c>
      <c r="F34" s="390">
        <v>5.2999999999999999E-2</v>
      </c>
      <c r="G34" s="390">
        <v>5.7999999999999996E-2</v>
      </c>
      <c r="H34" s="390">
        <v>5.7999999999999996E-2</v>
      </c>
      <c r="I34" s="390">
        <v>5.2000000000000005E-2</v>
      </c>
      <c r="J34" s="390">
        <v>5.2999999999999999E-2</v>
      </c>
      <c r="K34" s="390">
        <v>5.7000000000000002E-2</v>
      </c>
      <c r="L34" s="390">
        <v>6.0999999999999999E-2</v>
      </c>
      <c r="M34" s="390">
        <v>5.9000000000000004E-2</v>
      </c>
      <c r="N34" s="391">
        <v>7.4999999999999997E-2</v>
      </c>
      <c r="O34" s="827">
        <v>6.3E-2</v>
      </c>
      <c r="P34" s="827">
        <v>6.9000000000000006E-2</v>
      </c>
      <c r="Q34" s="827">
        <v>7.0431624444711252E-2</v>
      </c>
      <c r="R34" s="1344">
        <v>7.3564169227133061E-2</v>
      </c>
      <c r="S34" s="1344">
        <v>6.8117174442131195E-2</v>
      </c>
      <c r="T34" s="1344">
        <v>5.810777253538614E-2</v>
      </c>
      <c r="U34" s="2378">
        <v>5.7285921625544266E-2</v>
      </c>
      <c r="V34" s="1694">
        <v>6.0785936474415686E-2</v>
      </c>
      <c r="W34" s="392"/>
      <c r="X34" s="393">
        <v>3072</v>
      </c>
      <c r="Y34" s="393">
        <v>2928</v>
      </c>
      <c r="Z34" s="393">
        <v>3249</v>
      </c>
      <c r="AA34" s="393">
        <v>3642</v>
      </c>
      <c r="AB34" s="393">
        <v>3741</v>
      </c>
      <c r="AC34" s="393">
        <v>3360</v>
      </c>
      <c r="AD34" s="393">
        <v>3484</v>
      </c>
      <c r="AE34" s="393">
        <v>3736</v>
      </c>
      <c r="AF34" s="393">
        <v>4048</v>
      </c>
      <c r="AG34" s="393">
        <v>4003</v>
      </c>
      <c r="AH34" s="394">
        <v>4839</v>
      </c>
      <c r="AI34" s="834">
        <v>4148</v>
      </c>
      <c r="AJ34" s="1039">
        <v>4523</v>
      </c>
      <c r="AK34" s="1043">
        <v>4693</v>
      </c>
      <c r="AL34" s="1349">
        <v>4980</v>
      </c>
      <c r="AM34" s="1349">
        <v>4646</v>
      </c>
      <c r="AN34" s="1349">
        <v>3978</v>
      </c>
      <c r="AO34" s="1349">
        <v>3947</v>
      </c>
      <c r="AP34" s="1697">
        <v>4260</v>
      </c>
    </row>
    <row r="35" spans="1:42" ht="16.5" customHeight="1" x14ac:dyDescent="0.3">
      <c r="A35" s="349" t="s">
        <v>78</v>
      </c>
      <c r="B35" s="350" t="s">
        <v>344</v>
      </c>
      <c r="C35" s="1207" t="s">
        <v>256</v>
      </c>
      <c r="D35" s="390">
        <v>0.106</v>
      </c>
      <c r="E35" s="390">
        <v>0.105</v>
      </c>
      <c r="F35" s="390">
        <v>0.111</v>
      </c>
      <c r="G35" s="390">
        <v>0.114</v>
      </c>
      <c r="H35" s="390">
        <v>0.109</v>
      </c>
      <c r="I35" s="390">
        <v>0.12300000000000001</v>
      </c>
      <c r="J35" s="390">
        <v>0.13400000000000001</v>
      </c>
      <c r="K35" s="390">
        <v>0.129</v>
      </c>
      <c r="L35" s="390">
        <v>0.11900000000000001</v>
      </c>
      <c r="M35" s="390">
        <v>0.15</v>
      </c>
      <c r="N35" s="391">
        <v>0.13599999999999998</v>
      </c>
      <c r="O35" s="827">
        <v>0.13500000000000001</v>
      </c>
      <c r="P35" s="827">
        <v>0.14099999999999999</v>
      </c>
      <c r="Q35" s="827">
        <v>0.14217055270507242</v>
      </c>
      <c r="R35" s="1344">
        <v>0.14094350611531742</v>
      </c>
      <c r="S35" s="1344">
        <v>0.11944337069965211</v>
      </c>
      <c r="T35" s="1344">
        <v>0.13651811478037831</v>
      </c>
      <c r="U35" s="2378">
        <v>0.12408011774492865</v>
      </c>
      <c r="V35" s="1694">
        <v>0.12269390360676667</v>
      </c>
      <c r="W35" s="392"/>
      <c r="X35" s="393">
        <v>1491</v>
      </c>
      <c r="Y35" s="393">
        <v>1499</v>
      </c>
      <c r="Z35" s="393">
        <v>1593</v>
      </c>
      <c r="AA35" s="393">
        <v>1649</v>
      </c>
      <c r="AB35" s="393">
        <v>1598</v>
      </c>
      <c r="AC35" s="393">
        <v>1788</v>
      </c>
      <c r="AD35" s="393">
        <v>1975</v>
      </c>
      <c r="AE35" s="393">
        <v>1883</v>
      </c>
      <c r="AF35" s="393">
        <v>1751</v>
      </c>
      <c r="AG35" s="393">
        <v>2236</v>
      </c>
      <c r="AH35" s="394">
        <v>2066</v>
      </c>
      <c r="AI35" s="834">
        <v>2056</v>
      </c>
      <c r="AJ35" s="1039">
        <v>2156</v>
      </c>
      <c r="AK35" s="1043">
        <v>2189</v>
      </c>
      <c r="AL35" s="1349">
        <v>2178</v>
      </c>
      <c r="AM35" s="1349">
        <v>1854</v>
      </c>
      <c r="AN35" s="1349">
        <v>2129</v>
      </c>
      <c r="AO35" s="1349">
        <v>1939</v>
      </c>
      <c r="AP35" s="1697">
        <v>1922</v>
      </c>
    </row>
    <row r="36" spans="1:42" ht="16.5" customHeight="1" x14ac:dyDescent="0.3">
      <c r="A36" s="349" t="s">
        <v>80</v>
      </c>
      <c r="B36" s="350" t="s">
        <v>345</v>
      </c>
      <c r="C36" s="1207" t="s">
        <v>254</v>
      </c>
      <c r="D36" s="390">
        <v>6.5000000000000002E-2</v>
      </c>
      <c r="E36" s="390">
        <v>6.0999999999999999E-2</v>
      </c>
      <c r="F36" s="390">
        <v>6.8000000000000005E-2</v>
      </c>
      <c r="G36" s="390">
        <v>6.6000000000000003E-2</v>
      </c>
      <c r="H36" s="390">
        <v>6.2E-2</v>
      </c>
      <c r="I36" s="390">
        <v>7.8E-2</v>
      </c>
      <c r="J36" s="390">
        <v>6.7000000000000004E-2</v>
      </c>
      <c r="K36" s="390">
        <v>7.0000000000000007E-2</v>
      </c>
      <c r="L36" s="390">
        <v>6.7000000000000004E-2</v>
      </c>
      <c r="M36" s="390">
        <v>7.2000000000000008E-2</v>
      </c>
      <c r="N36" s="391">
        <v>7.2999999999999995E-2</v>
      </c>
      <c r="O36" s="827">
        <v>7.5999999999999998E-2</v>
      </c>
      <c r="P36" s="827">
        <v>8.7999999999999995E-2</v>
      </c>
      <c r="Q36" s="827">
        <v>8.2229625416429669E-2</v>
      </c>
      <c r="R36" s="1344">
        <v>7.8642149929278649E-2</v>
      </c>
      <c r="S36" s="1344">
        <v>7.7872477285519021E-2</v>
      </c>
      <c r="T36" s="1344">
        <v>7.4647155251689259E-2</v>
      </c>
      <c r="U36" s="2378">
        <v>6.7122634006680448E-2</v>
      </c>
      <c r="V36" s="1694">
        <v>6.8701390525571532E-2</v>
      </c>
      <c r="W36" s="392"/>
      <c r="X36" s="393">
        <v>1307</v>
      </c>
      <c r="Y36" s="393">
        <v>1287</v>
      </c>
      <c r="Z36" s="393">
        <v>1498</v>
      </c>
      <c r="AA36" s="393">
        <v>1499</v>
      </c>
      <c r="AB36" s="393">
        <v>1477</v>
      </c>
      <c r="AC36" s="393">
        <v>1834</v>
      </c>
      <c r="AD36" s="393">
        <v>1597</v>
      </c>
      <c r="AE36" s="393">
        <v>1674</v>
      </c>
      <c r="AF36" s="393">
        <v>1624</v>
      </c>
      <c r="AG36" s="393">
        <v>1747</v>
      </c>
      <c r="AH36" s="394">
        <v>1784</v>
      </c>
      <c r="AI36" s="834">
        <v>1876</v>
      </c>
      <c r="AJ36" s="1039">
        <v>2155</v>
      </c>
      <c r="AK36" s="1043">
        <v>2024</v>
      </c>
      <c r="AL36" s="1349">
        <v>1946</v>
      </c>
      <c r="AM36" s="1349">
        <v>1937</v>
      </c>
      <c r="AN36" s="1349">
        <v>1867</v>
      </c>
      <c r="AO36" s="1349">
        <v>1688</v>
      </c>
      <c r="AP36" s="1697">
        <v>1749</v>
      </c>
    </row>
    <row r="37" spans="1:42" ht="16.5" customHeight="1" x14ac:dyDescent="0.3">
      <c r="A37" s="349" t="s">
        <v>84</v>
      </c>
      <c r="B37" s="350" t="s">
        <v>85</v>
      </c>
      <c r="C37" s="1207" t="s">
        <v>253</v>
      </c>
      <c r="D37" s="390">
        <v>0.1</v>
      </c>
      <c r="E37" s="390">
        <v>0.10099999999999999</v>
      </c>
      <c r="F37" s="390">
        <v>0.113</v>
      </c>
      <c r="G37" s="390">
        <v>0.115</v>
      </c>
      <c r="H37" s="390">
        <v>0.109</v>
      </c>
      <c r="I37" s="390">
        <v>0.105</v>
      </c>
      <c r="J37" s="390">
        <v>0.106</v>
      </c>
      <c r="K37" s="390">
        <v>0.115</v>
      </c>
      <c r="L37" s="390">
        <v>0.13200000000000001</v>
      </c>
      <c r="M37" s="390">
        <v>0.14000000000000001</v>
      </c>
      <c r="N37" s="391">
        <v>0.14400000000000002</v>
      </c>
      <c r="O37" s="827">
        <v>0.13100000000000001</v>
      </c>
      <c r="P37" s="827">
        <v>0.14099999999999999</v>
      </c>
      <c r="Q37" s="827">
        <v>0.14405155260227459</v>
      </c>
      <c r="R37" s="1344">
        <v>0.16289848725388223</v>
      </c>
      <c r="S37" s="1344">
        <v>0.13115023559922562</v>
      </c>
      <c r="T37" s="1344">
        <v>0.13168784560735342</v>
      </c>
      <c r="U37" s="2378">
        <v>0.13324617312196982</v>
      </c>
      <c r="V37" s="1694">
        <v>0.15265092245551473</v>
      </c>
      <c r="W37" s="392"/>
      <c r="X37" s="393">
        <v>4701</v>
      </c>
      <c r="Y37" s="393">
        <v>4813</v>
      </c>
      <c r="Z37" s="393">
        <v>5464</v>
      </c>
      <c r="AA37" s="393">
        <v>5618</v>
      </c>
      <c r="AB37" s="393">
        <v>5402</v>
      </c>
      <c r="AC37" s="393">
        <v>5187</v>
      </c>
      <c r="AD37" s="393">
        <v>5254</v>
      </c>
      <c r="AE37" s="393">
        <v>5704</v>
      </c>
      <c r="AF37" s="393">
        <v>6610</v>
      </c>
      <c r="AG37" s="393">
        <v>7043</v>
      </c>
      <c r="AH37" s="394">
        <v>7844</v>
      </c>
      <c r="AI37" s="834">
        <v>7171</v>
      </c>
      <c r="AJ37" s="1039">
        <v>7751</v>
      </c>
      <c r="AK37" s="1043">
        <v>7891</v>
      </c>
      <c r="AL37" s="1349">
        <v>8927</v>
      </c>
      <c r="AM37" s="1349">
        <v>7181</v>
      </c>
      <c r="AN37" s="1349">
        <v>7192</v>
      </c>
      <c r="AO37" s="1349">
        <v>7338</v>
      </c>
      <c r="AP37" s="1697">
        <v>8390</v>
      </c>
    </row>
    <row r="38" spans="1:42" ht="16.5" customHeight="1" x14ac:dyDescent="0.3">
      <c r="A38" s="349" t="s">
        <v>86</v>
      </c>
      <c r="B38" s="350" t="s">
        <v>346</v>
      </c>
      <c r="C38" s="1207" t="s">
        <v>255</v>
      </c>
      <c r="D38" s="390">
        <v>6.0999999999999999E-2</v>
      </c>
      <c r="E38" s="390">
        <v>0.06</v>
      </c>
      <c r="F38" s="390">
        <v>6.4000000000000001E-2</v>
      </c>
      <c r="G38" s="390">
        <v>6.7000000000000004E-2</v>
      </c>
      <c r="H38" s="390">
        <v>5.7999999999999996E-2</v>
      </c>
      <c r="I38" s="390">
        <v>6.5000000000000002E-2</v>
      </c>
      <c r="J38" s="390">
        <v>7.0999999999999994E-2</v>
      </c>
      <c r="K38" s="390">
        <v>6.6000000000000003E-2</v>
      </c>
      <c r="L38" s="390">
        <v>7.2999999999999995E-2</v>
      </c>
      <c r="M38" s="390">
        <v>9.1999999999999998E-2</v>
      </c>
      <c r="N38" s="391">
        <v>7.3999999999999996E-2</v>
      </c>
      <c r="O38" s="827">
        <v>8.900000000000001E-2</v>
      </c>
      <c r="P38" s="827">
        <v>8.7999999999999995E-2</v>
      </c>
      <c r="Q38" s="827">
        <v>7.8719237629566799E-2</v>
      </c>
      <c r="R38" s="1344">
        <v>7.6704405611617038E-2</v>
      </c>
      <c r="S38" s="1344">
        <v>7.7289622813966244E-2</v>
      </c>
      <c r="T38" s="1344">
        <v>6.8269277021501762E-2</v>
      </c>
      <c r="U38" s="2378">
        <v>6.7168208065349039E-2</v>
      </c>
      <c r="V38" s="1694">
        <v>7.0164755623980335E-2</v>
      </c>
      <c r="W38" s="392"/>
      <c r="X38" s="393">
        <v>3719</v>
      </c>
      <c r="Y38" s="393">
        <v>3714</v>
      </c>
      <c r="Z38" s="393">
        <v>4114</v>
      </c>
      <c r="AA38" s="393">
        <v>4446</v>
      </c>
      <c r="AB38" s="393">
        <v>3989</v>
      </c>
      <c r="AC38" s="393">
        <v>4429</v>
      </c>
      <c r="AD38" s="393">
        <v>5012</v>
      </c>
      <c r="AE38" s="393">
        <v>4736</v>
      </c>
      <c r="AF38" s="393">
        <v>5310</v>
      </c>
      <c r="AG38" s="393">
        <v>6796</v>
      </c>
      <c r="AH38" s="394">
        <v>5756</v>
      </c>
      <c r="AI38" s="834">
        <v>7026</v>
      </c>
      <c r="AJ38" s="1039">
        <v>6968</v>
      </c>
      <c r="AK38" s="1043">
        <v>6311</v>
      </c>
      <c r="AL38" s="1349">
        <v>6233</v>
      </c>
      <c r="AM38" s="1349">
        <v>6342</v>
      </c>
      <c r="AN38" s="1349">
        <v>5677</v>
      </c>
      <c r="AO38" s="1349">
        <v>5723</v>
      </c>
      <c r="AP38" s="1697">
        <v>6107</v>
      </c>
    </row>
    <row r="39" spans="1:42" ht="16.5" customHeight="1" x14ac:dyDescent="0.3">
      <c r="A39" s="349" t="s">
        <v>92</v>
      </c>
      <c r="B39" s="350" t="s">
        <v>347</v>
      </c>
      <c r="C39" s="1207" t="s">
        <v>256</v>
      </c>
      <c r="D39" s="390">
        <v>9.5000000000000001E-2</v>
      </c>
      <c r="E39" s="390">
        <v>9.6000000000000002E-2</v>
      </c>
      <c r="F39" s="390">
        <v>0.10400000000000001</v>
      </c>
      <c r="G39" s="390">
        <v>0.10800000000000001</v>
      </c>
      <c r="H39" s="390">
        <v>0.10300000000000001</v>
      </c>
      <c r="I39" s="390">
        <v>0.122</v>
      </c>
      <c r="J39" s="390">
        <v>0.11</v>
      </c>
      <c r="K39" s="390">
        <v>0.114</v>
      </c>
      <c r="L39" s="390">
        <v>0.125</v>
      </c>
      <c r="M39" s="390">
        <v>0.13100000000000001</v>
      </c>
      <c r="N39" s="391">
        <v>0.13399999999999998</v>
      </c>
      <c r="O39" s="827">
        <v>0.126</v>
      </c>
      <c r="P39" s="827">
        <v>0.127</v>
      </c>
      <c r="Q39" s="827">
        <v>0.13273596176821983</v>
      </c>
      <c r="R39" s="1344">
        <v>0.13548115645849612</v>
      </c>
      <c r="S39" s="1344">
        <v>0.10594784292370062</v>
      </c>
      <c r="T39" s="1344">
        <v>0.1219248769950798</v>
      </c>
      <c r="U39" s="2378">
        <v>0.11407985589912939</v>
      </c>
      <c r="V39" s="1694">
        <v>0.12389699261660364</v>
      </c>
      <c r="W39" s="392"/>
      <c r="X39" s="393">
        <v>1611</v>
      </c>
      <c r="Y39" s="393">
        <v>1612</v>
      </c>
      <c r="Z39" s="393">
        <v>1771</v>
      </c>
      <c r="AA39" s="393">
        <v>1837</v>
      </c>
      <c r="AB39" s="393">
        <v>1770</v>
      </c>
      <c r="AC39" s="393">
        <v>2068</v>
      </c>
      <c r="AD39" s="393">
        <v>1896</v>
      </c>
      <c r="AE39" s="393">
        <v>1953</v>
      </c>
      <c r="AF39" s="393">
        <v>2149</v>
      </c>
      <c r="AG39" s="393">
        <v>2255</v>
      </c>
      <c r="AH39" s="394">
        <v>2292</v>
      </c>
      <c r="AI39" s="834">
        <v>2136</v>
      </c>
      <c r="AJ39" s="1039">
        <v>2126</v>
      </c>
      <c r="AK39" s="1043">
        <v>2222</v>
      </c>
      <c r="AL39" s="1349">
        <v>2254</v>
      </c>
      <c r="AM39" s="1349">
        <v>1751</v>
      </c>
      <c r="AN39" s="1349">
        <v>2032</v>
      </c>
      <c r="AO39" s="1349">
        <v>1900</v>
      </c>
      <c r="AP39" s="1697">
        <v>2064</v>
      </c>
    </row>
    <row r="40" spans="1:42" ht="16.5" customHeight="1" x14ac:dyDescent="0.3">
      <c r="A40" s="349" t="s">
        <v>94</v>
      </c>
      <c r="B40" s="350" t="s">
        <v>348</v>
      </c>
      <c r="C40" s="1207" t="s">
        <v>252</v>
      </c>
      <c r="D40" s="390">
        <v>8.3000000000000004E-2</v>
      </c>
      <c r="E40" s="390">
        <v>7.8E-2</v>
      </c>
      <c r="F40" s="390">
        <v>8.5999999999999993E-2</v>
      </c>
      <c r="G40" s="390">
        <v>0.09</v>
      </c>
      <c r="H40" s="390">
        <v>8.6999999999999994E-2</v>
      </c>
      <c r="I40" s="390">
        <v>8.8000000000000009E-2</v>
      </c>
      <c r="J40" s="390">
        <v>9.6000000000000002E-2</v>
      </c>
      <c r="K40" s="390">
        <v>8.4000000000000005E-2</v>
      </c>
      <c r="L40" s="390">
        <v>9.0999999999999998E-2</v>
      </c>
      <c r="M40" s="390">
        <v>9.5000000000000001E-2</v>
      </c>
      <c r="N40" s="391">
        <v>9.9000000000000005E-2</v>
      </c>
      <c r="O40" s="827">
        <v>0.10199999999999999</v>
      </c>
      <c r="P40" s="827">
        <v>9.7000000000000003E-2</v>
      </c>
      <c r="Q40" s="827">
        <v>0.10574699988990421</v>
      </c>
      <c r="R40" s="1344">
        <v>9.655680453999782E-2</v>
      </c>
      <c r="S40" s="1344">
        <v>9.2839209693264924E-2</v>
      </c>
      <c r="T40" s="1344">
        <v>9.3873329522876345E-2</v>
      </c>
      <c r="U40" s="2378">
        <v>9.769740414901705E-2</v>
      </c>
      <c r="V40" s="1694">
        <v>9.0628552866655845E-2</v>
      </c>
      <c r="W40" s="392"/>
      <c r="X40" s="393">
        <v>2911</v>
      </c>
      <c r="Y40" s="393">
        <v>2787</v>
      </c>
      <c r="Z40" s="393">
        <v>3150</v>
      </c>
      <c r="AA40" s="393">
        <v>3349</v>
      </c>
      <c r="AB40" s="393">
        <v>3285</v>
      </c>
      <c r="AC40" s="393">
        <v>3292</v>
      </c>
      <c r="AD40" s="393">
        <v>3621</v>
      </c>
      <c r="AE40" s="393">
        <v>3179</v>
      </c>
      <c r="AF40" s="393">
        <v>3487</v>
      </c>
      <c r="AG40" s="393">
        <v>3704</v>
      </c>
      <c r="AH40" s="394">
        <v>3603</v>
      </c>
      <c r="AI40" s="834">
        <v>3721</v>
      </c>
      <c r="AJ40" s="1039">
        <v>3540</v>
      </c>
      <c r="AK40" s="1043">
        <v>3842</v>
      </c>
      <c r="AL40" s="1349">
        <v>3539</v>
      </c>
      <c r="AM40" s="1349">
        <v>3402</v>
      </c>
      <c r="AN40" s="1349">
        <v>3449</v>
      </c>
      <c r="AO40" s="1349">
        <v>3598</v>
      </c>
      <c r="AP40" s="1697">
        <v>3348</v>
      </c>
    </row>
    <row r="41" spans="1:42" ht="16.5" customHeight="1" x14ac:dyDescent="0.3">
      <c r="A41" s="349" t="s">
        <v>96</v>
      </c>
      <c r="B41" s="350" t="s">
        <v>349</v>
      </c>
      <c r="C41" s="1207" t="s">
        <v>254</v>
      </c>
      <c r="D41" s="390">
        <v>6.7000000000000004E-2</v>
      </c>
      <c r="E41" s="390">
        <v>5.7000000000000002E-2</v>
      </c>
      <c r="F41" s="390">
        <v>6.5000000000000002E-2</v>
      </c>
      <c r="G41" s="390">
        <v>7.2000000000000008E-2</v>
      </c>
      <c r="H41" s="390">
        <v>6.9000000000000006E-2</v>
      </c>
      <c r="I41" s="390">
        <v>6.7000000000000004E-2</v>
      </c>
      <c r="J41" s="390">
        <v>6.3E-2</v>
      </c>
      <c r="K41" s="390">
        <v>8.5000000000000006E-2</v>
      </c>
      <c r="L41" s="390">
        <v>6.4000000000000001E-2</v>
      </c>
      <c r="M41" s="390">
        <v>6.6000000000000003E-2</v>
      </c>
      <c r="N41" s="391">
        <v>7.7000000000000013E-2</v>
      </c>
      <c r="O41" s="827">
        <v>8.1000000000000003E-2</v>
      </c>
      <c r="P41" s="827">
        <v>7.3999999999999996E-2</v>
      </c>
      <c r="Q41" s="827">
        <v>7.4595014065379772E-2</v>
      </c>
      <c r="R41" s="1344">
        <v>7.4843578354109944E-2</v>
      </c>
      <c r="S41" s="1344">
        <v>7.4373940877424216E-2</v>
      </c>
      <c r="T41" s="1344">
        <v>6.4149205618236241E-2</v>
      </c>
      <c r="U41" s="2378">
        <v>6.1462251169617468E-2</v>
      </c>
      <c r="V41" s="1694">
        <v>6.7319791479417579E-2</v>
      </c>
      <c r="W41" s="392"/>
      <c r="X41" s="393">
        <v>1071</v>
      </c>
      <c r="Y41" s="396">
        <v>925</v>
      </c>
      <c r="Z41" s="393">
        <v>1098</v>
      </c>
      <c r="AA41" s="393">
        <v>1263</v>
      </c>
      <c r="AB41" s="393">
        <v>1252</v>
      </c>
      <c r="AC41" s="393">
        <v>1192</v>
      </c>
      <c r="AD41" s="393">
        <v>1176</v>
      </c>
      <c r="AE41" s="393">
        <v>1620</v>
      </c>
      <c r="AF41" s="393">
        <v>1240</v>
      </c>
      <c r="AG41" s="393">
        <v>1298</v>
      </c>
      <c r="AH41" s="394">
        <v>1566</v>
      </c>
      <c r="AI41" s="834">
        <v>1661</v>
      </c>
      <c r="AJ41" s="1039">
        <v>1515</v>
      </c>
      <c r="AK41" s="1043">
        <v>1538</v>
      </c>
      <c r="AL41" s="1349">
        <v>1567</v>
      </c>
      <c r="AM41" s="1349">
        <v>1580</v>
      </c>
      <c r="AN41" s="1349">
        <v>1393</v>
      </c>
      <c r="AO41" s="1349">
        <v>1340</v>
      </c>
      <c r="AP41" s="1697">
        <v>1498</v>
      </c>
    </row>
    <row r="42" spans="1:42" ht="16.5" customHeight="1" x14ac:dyDescent="0.3">
      <c r="A42" s="349" t="s">
        <v>98</v>
      </c>
      <c r="B42" s="350" t="s">
        <v>350</v>
      </c>
      <c r="C42" s="1207" t="s">
        <v>256</v>
      </c>
      <c r="D42" s="390">
        <v>0.13500000000000001</v>
      </c>
      <c r="E42" s="390">
        <v>0.13900000000000001</v>
      </c>
      <c r="F42" s="390">
        <v>0.15</v>
      </c>
      <c r="G42" s="390">
        <v>0.14899999999999999</v>
      </c>
      <c r="H42" s="390">
        <v>0.14300000000000002</v>
      </c>
      <c r="I42" s="390">
        <v>0.16699999999999998</v>
      </c>
      <c r="J42" s="390">
        <v>0.159</v>
      </c>
      <c r="K42" s="390">
        <v>0.17600000000000002</v>
      </c>
      <c r="L42" s="390">
        <v>0.17699999999999999</v>
      </c>
      <c r="M42" s="390">
        <v>0.16500000000000001</v>
      </c>
      <c r="N42" s="391">
        <v>0.17100000000000001</v>
      </c>
      <c r="O42" s="827">
        <v>0.18600000000000003</v>
      </c>
      <c r="P42" s="827">
        <v>0.19400000000000001</v>
      </c>
      <c r="Q42" s="827">
        <v>0.18346666666666667</v>
      </c>
      <c r="R42" s="1344">
        <v>0.19875485339402865</v>
      </c>
      <c r="S42" s="1344">
        <v>0.20131173872306252</v>
      </c>
      <c r="T42" s="1344">
        <v>0.17436621612534464</v>
      </c>
      <c r="U42" s="2378">
        <v>0.190564355756703</v>
      </c>
      <c r="V42" s="1694">
        <v>0.18419969825812646</v>
      </c>
      <c r="W42" s="392"/>
      <c r="X42" s="393">
        <v>2230</v>
      </c>
      <c r="Y42" s="393">
        <v>2302</v>
      </c>
      <c r="Z42" s="393">
        <v>2478</v>
      </c>
      <c r="AA42" s="393">
        <v>2448</v>
      </c>
      <c r="AB42" s="393">
        <v>2339</v>
      </c>
      <c r="AC42" s="393">
        <v>2710</v>
      </c>
      <c r="AD42" s="393">
        <v>2546</v>
      </c>
      <c r="AE42" s="393">
        <v>2801</v>
      </c>
      <c r="AF42" s="393">
        <v>2790</v>
      </c>
      <c r="AG42" s="393">
        <v>2574</v>
      </c>
      <c r="AH42" s="394">
        <v>2617</v>
      </c>
      <c r="AI42" s="834">
        <v>2817</v>
      </c>
      <c r="AJ42" s="1039">
        <v>2916</v>
      </c>
      <c r="AK42" s="1043">
        <v>2752</v>
      </c>
      <c r="AL42" s="1349">
        <v>2969</v>
      </c>
      <c r="AM42" s="1349">
        <v>3008</v>
      </c>
      <c r="AN42" s="1349">
        <v>2593</v>
      </c>
      <c r="AO42" s="1349">
        <v>2779</v>
      </c>
      <c r="AP42" s="1697">
        <v>2686</v>
      </c>
    </row>
    <row r="43" spans="1:42" ht="16.5" customHeight="1" x14ac:dyDescent="0.3">
      <c r="A43" s="349" t="s">
        <v>100</v>
      </c>
      <c r="B43" s="350" t="s">
        <v>351</v>
      </c>
      <c r="C43" s="1207" t="s">
        <v>255</v>
      </c>
      <c r="D43" s="390">
        <v>7.0999999999999994E-2</v>
      </c>
      <c r="E43" s="390">
        <v>6.9000000000000006E-2</v>
      </c>
      <c r="F43" s="390">
        <v>7.400000000000001E-2</v>
      </c>
      <c r="G43" s="390">
        <v>7.9000000000000001E-2</v>
      </c>
      <c r="H43" s="390">
        <v>7.8E-2</v>
      </c>
      <c r="I43" s="390">
        <v>0.08</v>
      </c>
      <c r="J43" s="390">
        <v>7.6999999999999999E-2</v>
      </c>
      <c r="K43" s="390">
        <v>7.400000000000001E-2</v>
      </c>
      <c r="L43" s="390">
        <v>7.2999999999999995E-2</v>
      </c>
      <c r="M43" s="390">
        <v>8.5999999999999993E-2</v>
      </c>
      <c r="N43" s="391">
        <v>9.7000000000000003E-2</v>
      </c>
      <c r="O43" s="827">
        <v>9.1999999999999998E-2</v>
      </c>
      <c r="P43" s="827">
        <v>9.5000000000000001E-2</v>
      </c>
      <c r="Q43" s="827">
        <v>0.11543213192243648</v>
      </c>
      <c r="R43" s="1344">
        <v>9.6339522546419101E-2</v>
      </c>
      <c r="S43" s="1344">
        <v>9.3433811129848235E-2</v>
      </c>
      <c r="T43" s="1344">
        <v>8.4389506076253062E-2</v>
      </c>
      <c r="U43" s="2378">
        <v>8.2514026869820359E-2</v>
      </c>
      <c r="V43" s="1694">
        <v>8.0818910501863475E-2</v>
      </c>
      <c r="W43" s="392"/>
      <c r="X43" s="393">
        <v>1121</v>
      </c>
      <c r="Y43" s="393">
        <v>1124</v>
      </c>
      <c r="Z43" s="393">
        <v>1244</v>
      </c>
      <c r="AA43" s="393">
        <v>1342</v>
      </c>
      <c r="AB43" s="393">
        <v>1355</v>
      </c>
      <c r="AC43" s="393">
        <v>1369</v>
      </c>
      <c r="AD43" s="393">
        <v>1343</v>
      </c>
      <c r="AE43" s="393">
        <v>1309</v>
      </c>
      <c r="AF43" s="393">
        <v>1294</v>
      </c>
      <c r="AG43" s="393">
        <v>1568</v>
      </c>
      <c r="AH43" s="394">
        <v>1774</v>
      </c>
      <c r="AI43" s="834">
        <v>1693</v>
      </c>
      <c r="AJ43" s="1039">
        <v>1773</v>
      </c>
      <c r="AK43" s="1043">
        <v>2149</v>
      </c>
      <c r="AL43" s="1349">
        <v>1816</v>
      </c>
      <c r="AM43" s="1349">
        <v>1773</v>
      </c>
      <c r="AN43" s="1349">
        <v>1618</v>
      </c>
      <c r="AO43" s="1349">
        <v>1603</v>
      </c>
      <c r="AP43" s="1697">
        <v>1583</v>
      </c>
    </row>
    <row r="44" spans="1:42" ht="16.5" customHeight="1" x14ac:dyDescent="0.3">
      <c r="A44" s="349" t="s">
        <v>102</v>
      </c>
      <c r="B44" s="350" t="s">
        <v>602</v>
      </c>
      <c r="C44" s="1207" t="s">
        <v>252</v>
      </c>
      <c r="D44" s="390">
        <v>0.17</v>
      </c>
      <c r="E44" s="390">
        <v>0.18280000000000002</v>
      </c>
      <c r="F44" s="390">
        <v>0.19070000000000001</v>
      </c>
      <c r="G44" s="390">
        <v>0.16339999999999999</v>
      </c>
      <c r="H44" s="390">
        <v>0.16500000000000001</v>
      </c>
      <c r="I44" s="390">
        <v>0.18809999999999999</v>
      </c>
      <c r="J44" s="390">
        <v>0.18760000000000002</v>
      </c>
      <c r="K44" s="390">
        <v>0.1948</v>
      </c>
      <c r="L44" s="390">
        <v>0.22699999999999998</v>
      </c>
      <c r="M44" s="390">
        <v>0.23089999999999999</v>
      </c>
      <c r="N44" s="391">
        <v>0.23464616256133752</v>
      </c>
      <c r="O44" s="827">
        <v>0.23945846848117333</v>
      </c>
      <c r="P44" s="827">
        <v>0.255</v>
      </c>
      <c r="Q44" s="827">
        <v>0.26195737401097724</v>
      </c>
      <c r="R44" s="1344">
        <v>0.25522528386490201</v>
      </c>
      <c r="S44" s="1344">
        <v>0.2584113516676419</v>
      </c>
      <c r="T44" s="1344">
        <v>0.24545047732696898</v>
      </c>
      <c r="U44" s="2378">
        <v>0.23739543296405155</v>
      </c>
      <c r="V44" s="1694">
        <v>0.24456188725490197</v>
      </c>
      <c r="W44" s="392"/>
      <c r="X44" s="393">
        <v>2389</v>
      </c>
      <c r="Y44" s="393">
        <v>2561</v>
      </c>
      <c r="Z44" s="393">
        <v>2682</v>
      </c>
      <c r="AA44" s="393">
        <v>2277</v>
      </c>
      <c r="AB44" s="393">
        <v>2312</v>
      </c>
      <c r="AC44" s="393">
        <v>2595</v>
      </c>
      <c r="AD44" s="393">
        <v>2602</v>
      </c>
      <c r="AE44" s="393">
        <v>2716</v>
      </c>
      <c r="AF44" s="393">
        <v>3193</v>
      </c>
      <c r="AG44" s="393">
        <v>3240</v>
      </c>
      <c r="AH44" s="394">
        <v>3375</v>
      </c>
      <c r="AI44" s="834">
        <v>3396</v>
      </c>
      <c r="AJ44" s="1039">
        <v>3608</v>
      </c>
      <c r="AK44" s="1043">
        <v>3675</v>
      </c>
      <c r="AL44" s="1349">
        <v>3529</v>
      </c>
      <c r="AM44" s="1349">
        <v>3533</v>
      </c>
      <c r="AN44" s="1349">
        <v>3291</v>
      </c>
      <c r="AO44" s="1349">
        <v>3150</v>
      </c>
      <c r="AP44" s="1697">
        <v>3193</v>
      </c>
    </row>
    <row r="45" spans="1:42" ht="16.5" customHeight="1" x14ac:dyDescent="0.3">
      <c r="A45" s="349" t="s">
        <v>104</v>
      </c>
      <c r="B45" s="350" t="s">
        <v>603</v>
      </c>
      <c r="C45" s="1207" t="s">
        <v>253</v>
      </c>
      <c r="D45" s="390">
        <v>0.14599999999999999</v>
      </c>
      <c r="E45" s="390">
        <v>0.14800000000000002</v>
      </c>
      <c r="F45" s="390">
        <v>0.16699999999999998</v>
      </c>
      <c r="G45" s="390">
        <v>0.16399999999999998</v>
      </c>
      <c r="H45" s="390">
        <v>0.16</v>
      </c>
      <c r="I45" s="390">
        <v>0.156</v>
      </c>
      <c r="J45" s="390">
        <v>0.184</v>
      </c>
      <c r="K45" s="390">
        <v>0.18600000000000003</v>
      </c>
      <c r="L45" s="390">
        <v>0.19500000000000001</v>
      </c>
      <c r="M45" s="390">
        <v>0.19800000000000001</v>
      </c>
      <c r="N45" s="391">
        <v>0.193</v>
      </c>
      <c r="O45" s="827">
        <v>0.193</v>
      </c>
      <c r="P45" s="827">
        <v>0.20100000000000001</v>
      </c>
      <c r="Q45" s="827">
        <v>0.22242790616955427</v>
      </c>
      <c r="R45" s="1344">
        <v>0.1797190798848402</v>
      </c>
      <c r="S45" s="1344">
        <v>0.16881905372707925</v>
      </c>
      <c r="T45" s="1344">
        <v>0.18677361749465735</v>
      </c>
      <c r="U45" s="2378">
        <v>0.17887094384353239</v>
      </c>
      <c r="V45" s="1694">
        <v>0.14490359781368251</v>
      </c>
      <c r="W45" s="392"/>
      <c r="X45" s="393">
        <v>5297</v>
      </c>
      <c r="Y45" s="393">
        <v>5345</v>
      </c>
      <c r="Z45" s="393">
        <v>6015</v>
      </c>
      <c r="AA45" s="393">
        <v>5875</v>
      </c>
      <c r="AB45" s="393">
        <v>5715</v>
      </c>
      <c r="AC45" s="393">
        <v>5506</v>
      </c>
      <c r="AD45" s="393">
        <v>6507</v>
      </c>
      <c r="AE45" s="393">
        <v>6462</v>
      </c>
      <c r="AF45" s="393">
        <v>6732</v>
      </c>
      <c r="AG45" s="393">
        <v>6819</v>
      </c>
      <c r="AH45" s="394">
        <v>6833</v>
      </c>
      <c r="AI45" s="834">
        <v>6795</v>
      </c>
      <c r="AJ45" s="1039">
        <v>7054</v>
      </c>
      <c r="AK45" s="1043">
        <v>7690</v>
      </c>
      <c r="AL45" s="1349">
        <v>6180</v>
      </c>
      <c r="AM45" s="1349">
        <v>5791</v>
      </c>
      <c r="AN45" s="1349">
        <v>6380</v>
      </c>
      <c r="AO45" s="1349">
        <v>6036</v>
      </c>
      <c r="AP45" s="1697">
        <v>4825</v>
      </c>
    </row>
    <row r="46" spans="1:42" ht="16.5" customHeight="1" x14ac:dyDescent="0.3">
      <c r="A46" s="349" t="s">
        <v>108</v>
      </c>
      <c r="B46" s="350" t="s">
        <v>352</v>
      </c>
      <c r="C46" s="1207" t="s">
        <v>254</v>
      </c>
      <c r="D46" s="390">
        <v>4.0999999999999995E-2</v>
      </c>
      <c r="E46" s="390">
        <v>0.04</v>
      </c>
      <c r="F46" s="390">
        <v>4.5999999999999999E-2</v>
      </c>
      <c r="G46" s="390">
        <v>5.2999999999999999E-2</v>
      </c>
      <c r="H46" s="390">
        <v>5.0999999999999997E-2</v>
      </c>
      <c r="I46" s="390">
        <v>4.8000000000000001E-2</v>
      </c>
      <c r="J46" s="390">
        <v>4.0999999999999995E-2</v>
      </c>
      <c r="K46" s="390">
        <v>5.0999999999999997E-2</v>
      </c>
      <c r="L46" s="390">
        <v>4.5999999999999999E-2</v>
      </c>
      <c r="M46" s="390">
        <v>4.9000000000000002E-2</v>
      </c>
      <c r="N46" s="391">
        <v>5.2999999999999999E-2</v>
      </c>
      <c r="O46" s="827">
        <v>6.0999999999999999E-2</v>
      </c>
      <c r="P46" s="827">
        <v>6.5000000000000002E-2</v>
      </c>
      <c r="Q46" s="827">
        <v>5.6380867971275769E-2</v>
      </c>
      <c r="R46" s="1344">
        <v>6.1393246742858287E-2</v>
      </c>
      <c r="S46" s="1344">
        <v>6.1947777272637429E-2</v>
      </c>
      <c r="T46" s="1344">
        <v>5.7708484125276314E-2</v>
      </c>
      <c r="U46" s="2378">
        <v>5.4466650614013963E-2</v>
      </c>
      <c r="V46" s="1694">
        <v>5.2373392149219961E-2</v>
      </c>
      <c r="W46" s="392"/>
      <c r="X46" s="393">
        <v>3611</v>
      </c>
      <c r="Y46" s="393">
        <v>3637</v>
      </c>
      <c r="Z46" s="393">
        <v>4303</v>
      </c>
      <c r="AA46" s="393">
        <v>5030</v>
      </c>
      <c r="AB46" s="393">
        <v>4938</v>
      </c>
      <c r="AC46" s="393">
        <v>4542</v>
      </c>
      <c r="AD46" s="393">
        <v>3965</v>
      </c>
      <c r="AE46" s="393">
        <v>4909</v>
      </c>
      <c r="AF46" s="393">
        <v>4518</v>
      </c>
      <c r="AG46" s="393">
        <v>4747</v>
      </c>
      <c r="AH46" s="394">
        <v>5218</v>
      </c>
      <c r="AI46" s="834">
        <v>6001</v>
      </c>
      <c r="AJ46" s="1039">
        <v>6372</v>
      </c>
      <c r="AK46" s="1043">
        <v>5598</v>
      </c>
      <c r="AL46" s="1349">
        <v>6140</v>
      </c>
      <c r="AM46" s="1349">
        <v>6268</v>
      </c>
      <c r="AN46" s="1349">
        <v>5900</v>
      </c>
      <c r="AO46" s="1349">
        <v>5655</v>
      </c>
      <c r="AP46" s="1697">
        <v>5509</v>
      </c>
    </row>
    <row r="47" spans="1:42" ht="16.5" customHeight="1" x14ac:dyDescent="0.3">
      <c r="A47" s="349" t="s">
        <v>110</v>
      </c>
      <c r="B47" s="350" t="s">
        <v>353</v>
      </c>
      <c r="C47" s="1207" t="s">
        <v>254</v>
      </c>
      <c r="D47" s="390">
        <v>6.2E-2</v>
      </c>
      <c r="E47" s="390">
        <v>6.3E-2</v>
      </c>
      <c r="F47" s="390">
        <v>7.0000000000000007E-2</v>
      </c>
      <c r="G47" s="390">
        <v>7.9000000000000001E-2</v>
      </c>
      <c r="H47" s="390">
        <v>7.8E-2</v>
      </c>
      <c r="I47" s="390">
        <v>7.9000000000000001E-2</v>
      </c>
      <c r="J47" s="390">
        <v>7.9000000000000001E-2</v>
      </c>
      <c r="K47" s="390">
        <v>8.5000000000000006E-2</v>
      </c>
      <c r="L47" s="390">
        <v>8.4000000000000005E-2</v>
      </c>
      <c r="M47" s="390">
        <v>0.1</v>
      </c>
      <c r="N47" s="391">
        <v>9.8000000000000004E-2</v>
      </c>
      <c r="O47" s="827">
        <v>0.10800000000000001</v>
      </c>
      <c r="P47" s="827">
        <v>0.10100000000000001</v>
      </c>
      <c r="Q47" s="827">
        <v>0.11338197509195573</v>
      </c>
      <c r="R47" s="1344">
        <v>0.10964919153897507</v>
      </c>
      <c r="S47" s="1344">
        <v>9.3226151864554074E-2</v>
      </c>
      <c r="T47" s="1344">
        <v>9.1514570314916791E-2</v>
      </c>
      <c r="U47" s="2378">
        <v>9.4972927356613543E-2</v>
      </c>
      <c r="V47" s="1694">
        <v>9.0497210114141455E-2</v>
      </c>
      <c r="W47" s="392"/>
      <c r="X47" s="393">
        <v>16209</v>
      </c>
      <c r="Y47" s="393">
        <v>16609</v>
      </c>
      <c r="Z47" s="393">
        <v>18976</v>
      </c>
      <c r="AA47" s="393">
        <v>21631</v>
      </c>
      <c r="AB47" s="393">
        <v>21612</v>
      </c>
      <c r="AC47" s="393">
        <v>21858</v>
      </c>
      <c r="AD47" s="393">
        <v>22038</v>
      </c>
      <c r="AE47" s="393">
        <v>24163</v>
      </c>
      <c r="AF47" s="393">
        <v>24078</v>
      </c>
      <c r="AG47" s="393">
        <v>29165</v>
      </c>
      <c r="AH47" s="394">
        <v>29987</v>
      </c>
      <c r="AI47" s="834">
        <v>33123</v>
      </c>
      <c r="AJ47" s="1039">
        <v>31395</v>
      </c>
      <c r="AK47" s="1043">
        <v>35788</v>
      </c>
      <c r="AL47" s="1349">
        <v>34985</v>
      </c>
      <c r="AM47" s="1349">
        <v>30037</v>
      </c>
      <c r="AN47" s="1349">
        <v>29583</v>
      </c>
      <c r="AO47" s="1349">
        <v>30836</v>
      </c>
      <c r="AP47" s="1697">
        <v>29502</v>
      </c>
    </row>
    <row r="48" spans="1:42" ht="16.5" customHeight="1" x14ac:dyDescent="0.3">
      <c r="A48" s="349" t="s">
        <v>112</v>
      </c>
      <c r="B48" s="350" t="s">
        <v>604</v>
      </c>
      <c r="C48" s="1207" t="s">
        <v>253</v>
      </c>
      <c r="D48" s="390">
        <v>0.12179999999999999</v>
      </c>
      <c r="E48" s="390">
        <v>0.1265</v>
      </c>
      <c r="F48" s="390">
        <v>0.14000000000000001</v>
      </c>
      <c r="G48" s="390">
        <v>0.14419999999999999</v>
      </c>
      <c r="H48" s="390">
        <v>0.1444</v>
      </c>
      <c r="I48" s="390">
        <v>0.16</v>
      </c>
      <c r="J48" s="390">
        <v>0.15590000000000001</v>
      </c>
      <c r="K48" s="390">
        <v>0.16949999999999998</v>
      </c>
      <c r="L48" s="390">
        <v>0.17499999999999999</v>
      </c>
      <c r="M48" s="390">
        <v>0.18659999999999999</v>
      </c>
      <c r="N48" s="391">
        <v>0.18966798312007913</v>
      </c>
      <c r="O48" s="827">
        <v>0.21296101159114858</v>
      </c>
      <c r="P48" s="827">
        <v>0.19600000000000001</v>
      </c>
      <c r="Q48" s="827">
        <v>0.20040392912879831</v>
      </c>
      <c r="R48" s="1344">
        <v>0.21203049288602205</v>
      </c>
      <c r="S48" s="1344">
        <v>0.20471208246144307</v>
      </c>
      <c r="T48" s="1344">
        <v>0.19367669396639473</v>
      </c>
      <c r="U48" s="2378">
        <v>0.1745483234714004</v>
      </c>
      <c r="V48" s="1694">
        <v>0.20948289578361176</v>
      </c>
      <c r="W48" s="392"/>
      <c r="X48" s="393">
        <v>8798</v>
      </c>
      <c r="Y48" s="393">
        <v>9061</v>
      </c>
      <c r="Z48" s="393">
        <v>10017</v>
      </c>
      <c r="AA48" s="393">
        <v>10271</v>
      </c>
      <c r="AB48" s="393">
        <v>10210</v>
      </c>
      <c r="AC48" s="393">
        <v>11198</v>
      </c>
      <c r="AD48" s="393">
        <v>10877</v>
      </c>
      <c r="AE48" s="393">
        <v>11653</v>
      </c>
      <c r="AF48" s="393">
        <v>12089</v>
      </c>
      <c r="AG48" s="393">
        <v>12724</v>
      </c>
      <c r="AH48" s="394">
        <v>12671</v>
      </c>
      <c r="AI48" s="834">
        <v>14147</v>
      </c>
      <c r="AJ48" s="1039">
        <v>12855</v>
      </c>
      <c r="AK48" s="1043">
        <v>13098</v>
      </c>
      <c r="AL48" s="1349">
        <v>13740</v>
      </c>
      <c r="AM48" s="1349">
        <v>13207</v>
      </c>
      <c r="AN48" s="1349">
        <v>12368</v>
      </c>
      <c r="AO48" s="1349">
        <v>11062</v>
      </c>
      <c r="AP48" s="1697">
        <v>13166</v>
      </c>
    </row>
    <row r="49" spans="1:42" ht="16.5" customHeight="1" x14ac:dyDescent="0.3">
      <c r="A49" s="349" t="s">
        <v>114</v>
      </c>
      <c r="B49" s="350" t="s">
        <v>354</v>
      </c>
      <c r="C49" s="1207" t="s">
        <v>253</v>
      </c>
      <c r="D49" s="390">
        <v>0.11900000000000001</v>
      </c>
      <c r="E49" s="390">
        <v>0.12</v>
      </c>
      <c r="F49" s="390">
        <v>0.121</v>
      </c>
      <c r="G49" s="390">
        <v>0.11599999999999999</v>
      </c>
      <c r="H49" s="390">
        <v>0.10800000000000001</v>
      </c>
      <c r="I49" s="390">
        <v>0.128</v>
      </c>
      <c r="J49" s="390">
        <v>0.129</v>
      </c>
      <c r="K49" s="390">
        <v>0.128</v>
      </c>
      <c r="L49" s="390">
        <v>0.128</v>
      </c>
      <c r="M49" s="390">
        <v>0.13800000000000001</v>
      </c>
      <c r="N49" s="391">
        <v>0.14400000000000002</v>
      </c>
      <c r="O49" s="827">
        <v>0.13800000000000001</v>
      </c>
      <c r="P49" s="827">
        <v>0.15</v>
      </c>
      <c r="Q49" s="827">
        <v>0.14628623188405798</v>
      </c>
      <c r="R49" s="1344">
        <v>0.1463632307005801</v>
      </c>
      <c r="S49" s="1344">
        <v>0.13774354327140914</v>
      </c>
      <c r="T49" s="1344">
        <v>0.13269927536231885</v>
      </c>
      <c r="U49" s="2378">
        <v>0.12471655328798185</v>
      </c>
      <c r="V49" s="1694">
        <v>0.12709940989559693</v>
      </c>
      <c r="W49" s="392"/>
      <c r="X49" s="396">
        <v>300</v>
      </c>
      <c r="Y49" s="396">
        <v>298</v>
      </c>
      <c r="Z49" s="396">
        <v>304</v>
      </c>
      <c r="AA49" s="396">
        <v>290</v>
      </c>
      <c r="AB49" s="396">
        <v>270</v>
      </c>
      <c r="AC49" s="396">
        <v>316</v>
      </c>
      <c r="AD49" s="396">
        <v>324</v>
      </c>
      <c r="AE49" s="396">
        <v>313</v>
      </c>
      <c r="AF49" s="393">
        <v>311</v>
      </c>
      <c r="AG49" s="393">
        <v>323</v>
      </c>
      <c r="AH49" s="394">
        <v>330</v>
      </c>
      <c r="AI49" s="834">
        <v>312</v>
      </c>
      <c r="AJ49" s="1039">
        <v>336</v>
      </c>
      <c r="AK49" s="1043">
        <v>323</v>
      </c>
      <c r="AL49" s="1349">
        <v>328</v>
      </c>
      <c r="AM49" s="1349">
        <v>304</v>
      </c>
      <c r="AN49" s="1349">
        <v>293</v>
      </c>
      <c r="AO49" s="1349">
        <v>275</v>
      </c>
      <c r="AP49" s="1697">
        <v>280</v>
      </c>
    </row>
    <row r="50" spans="1:42" ht="16.5" customHeight="1" x14ac:dyDescent="0.3">
      <c r="A50" s="349" t="s">
        <v>118</v>
      </c>
      <c r="B50" s="350" t="s">
        <v>605</v>
      </c>
      <c r="C50" s="1207" t="s">
        <v>252</v>
      </c>
      <c r="D50" s="390">
        <v>8.6999999999999994E-2</v>
      </c>
      <c r="E50" s="390">
        <v>0.08</v>
      </c>
      <c r="F50" s="390">
        <v>8.5000000000000006E-2</v>
      </c>
      <c r="G50" s="390">
        <v>9.3000000000000013E-2</v>
      </c>
      <c r="H50" s="390">
        <v>9.1999999999999998E-2</v>
      </c>
      <c r="I50" s="390">
        <v>8.5999999999999993E-2</v>
      </c>
      <c r="J50" s="390">
        <v>8.199999999999999E-2</v>
      </c>
      <c r="K50" s="390">
        <v>8.3000000000000004E-2</v>
      </c>
      <c r="L50" s="390">
        <v>7.8E-2</v>
      </c>
      <c r="M50" s="390">
        <v>0.10099999999999999</v>
      </c>
      <c r="N50" s="391">
        <v>8.7999999999999995E-2</v>
      </c>
      <c r="O50" s="827">
        <v>0.11199999999999999</v>
      </c>
      <c r="P50" s="827">
        <v>9.2999999999999999E-2</v>
      </c>
      <c r="Q50" s="827">
        <v>0.1055415688382224</v>
      </c>
      <c r="R50" s="1344">
        <v>0.10172196556068878</v>
      </c>
      <c r="S50" s="1344">
        <v>9.9219682874677181E-2</v>
      </c>
      <c r="T50" s="1344">
        <v>9.4558085681204163E-2</v>
      </c>
      <c r="U50" s="2378">
        <v>8.5153922542204566E-2</v>
      </c>
      <c r="V50" s="1694">
        <v>9.1913871680812165E-2</v>
      </c>
      <c r="W50" s="392"/>
      <c r="X50" s="393">
        <v>2640</v>
      </c>
      <c r="Y50" s="393">
        <v>2463</v>
      </c>
      <c r="Z50" s="393">
        <v>2727</v>
      </c>
      <c r="AA50" s="393">
        <v>3052</v>
      </c>
      <c r="AB50" s="393">
        <v>3070</v>
      </c>
      <c r="AC50" s="393">
        <v>2842</v>
      </c>
      <c r="AD50" s="393">
        <v>2829</v>
      </c>
      <c r="AE50" s="393">
        <v>2902</v>
      </c>
      <c r="AF50" s="393">
        <v>2740</v>
      </c>
      <c r="AG50" s="393">
        <v>3612</v>
      </c>
      <c r="AH50" s="394">
        <v>3082</v>
      </c>
      <c r="AI50" s="834">
        <v>3914</v>
      </c>
      <c r="AJ50" s="1039">
        <v>3278</v>
      </c>
      <c r="AK50" s="1043">
        <v>3731</v>
      </c>
      <c r="AL50" s="1349">
        <v>3633</v>
      </c>
      <c r="AM50" s="1349">
        <v>3573</v>
      </c>
      <c r="AN50" s="1349">
        <v>3430</v>
      </c>
      <c r="AO50" s="1349">
        <v>3087</v>
      </c>
      <c r="AP50" s="1697">
        <v>3368</v>
      </c>
    </row>
    <row r="51" spans="1:42" ht="16.5" customHeight="1" x14ac:dyDescent="0.3">
      <c r="A51" s="349" t="s">
        <v>120</v>
      </c>
      <c r="B51" s="350" t="s">
        <v>273</v>
      </c>
      <c r="C51" s="1207" t="s">
        <v>252</v>
      </c>
      <c r="D51" s="390">
        <v>5.7999999999999996E-2</v>
      </c>
      <c r="E51" s="390">
        <v>5.9000000000000004E-2</v>
      </c>
      <c r="F51" s="390">
        <v>6.4000000000000001E-2</v>
      </c>
      <c r="G51" s="390">
        <v>7.2000000000000008E-2</v>
      </c>
      <c r="H51" s="390">
        <v>6.6000000000000003E-2</v>
      </c>
      <c r="I51" s="390">
        <v>6.0999999999999999E-2</v>
      </c>
      <c r="J51" s="390">
        <v>6.4000000000000001E-2</v>
      </c>
      <c r="K51" s="390">
        <v>5.7000000000000002E-2</v>
      </c>
      <c r="L51" s="390">
        <v>0.06</v>
      </c>
      <c r="M51" s="390">
        <v>7.0999999999999994E-2</v>
      </c>
      <c r="N51" s="391">
        <v>7.7000000000000013E-2</v>
      </c>
      <c r="O51" s="827">
        <v>7.400000000000001E-2</v>
      </c>
      <c r="P51" s="827">
        <v>8.4000000000000005E-2</v>
      </c>
      <c r="Q51" s="827">
        <v>7.5441273863341873E-2</v>
      </c>
      <c r="R51" s="1344">
        <v>7.9360643827194988E-2</v>
      </c>
      <c r="S51" s="1344">
        <v>7.1432535168280575E-2</v>
      </c>
      <c r="T51" s="1344">
        <v>6.4655642872735217E-2</v>
      </c>
      <c r="U51" s="2378">
        <v>6.7814594442131282E-2</v>
      </c>
      <c r="V51" s="1694">
        <v>7.0267756295262773E-2</v>
      </c>
      <c r="W51" s="392"/>
      <c r="X51" s="393">
        <v>2805</v>
      </c>
      <c r="Y51" s="393">
        <v>2962</v>
      </c>
      <c r="Z51" s="393">
        <v>3406</v>
      </c>
      <c r="AA51" s="393">
        <v>3922</v>
      </c>
      <c r="AB51" s="393">
        <v>3780</v>
      </c>
      <c r="AC51" s="393">
        <v>3445</v>
      </c>
      <c r="AD51" s="393">
        <v>3771</v>
      </c>
      <c r="AE51" s="393">
        <v>3440</v>
      </c>
      <c r="AF51" s="393">
        <v>3706</v>
      </c>
      <c r="AG51" s="393">
        <v>4449</v>
      </c>
      <c r="AH51" s="394">
        <v>5067</v>
      </c>
      <c r="AI51" s="834">
        <v>4991</v>
      </c>
      <c r="AJ51" s="1039">
        <v>5730</v>
      </c>
      <c r="AK51" s="1043">
        <v>5240</v>
      </c>
      <c r="AL51" s="1349">
        <v>5680</v>
      </c>
      <c r="AM51" s="1349">
        <v>5149</v>
      </c>
      <c r="AN51" s="1349">
        <v>4739</v>
      </c>
      <c r="AO51" s="1349">
        <v>5049</v>
      </c>
      <c r="AP51" s="1697">
        <v>5288</v>
      </c>
    </row>
    <row r="52" spans="1:42" ht="16.5" customHeight="1" x14ac:dyDescent="0.3">
      <c r="A52" s="349" t="s">
        <v>122</v>
      </c>
      <c r="B52" s="350" t="s">
        <v>606</v>
      </c>
      <c r="C52" s="1207" t="s">
        <v>254</v>
      </c>
      <c r="D52" s="390">
        <v>0.11900000000000001</v>
      </c>
      <c r="E52" s="390">
        <v>0.11699999999999999</v>
      </c>
      <c r="F52" s="390">
        <v>0.121</v>
      </c>
      <c r="G52" s="390">
        <v>0.11599999999999999</v>
      </c>
      <c r="H52" s="390">
        <v>0.11199999999999999</v>
      </c>
      <c r="I52" s="390">
        <v>0.13400000000000001</v>
      </c>
      <c r="J52" s="390">
        <v>0.122</v>
      </c>
      <c r="K52" s="390">
        <v>0.121</v>
      </c>
      <c r="L52" s="390">
        <v>0.12300000000000001</v>
      </c>
      <c r="M52" s="390">
        <v>0.13200000000000001</v>
      </c>
      <c r="N52" s="391">
        <v>0.128</v>
      </c>
      <c r="O52" s="827">
        <v>0.13200000000000001</v>
      </c>
      <c r="P52" s="827">
        <v>0.13800000000000001</v>
      </c>
      <c r="Q52" s="827">
        <v>0.13415834622415976</v>
      </c>
      <c r="R52" s="1344">
        <v>0.14806537225869534</v>
      </c>
      <c r="S52" s="1344">
        <v>0.14033613445378151</v>
      </c>
      <c r="T52" s="1344">
        <v>0.13449145418884842</v>
      </c>
      <c r="U52" s="2378">
        <v>0.12338963641568852</v>
      </c>
      <c r="V52" s="1694">
        <v>0.12213523131672598</v>
      </c>
      <c r="W52" s="392"/>
      <c r="X52" s="396">
        <v>786</v>
      </c>
      <c r="Y52" s="396">
        <v>771</v>
      </c>
      <c r="Z52" s="396">
        <v>798</v>
      </c>
      <c r="AA52" s="396">
        <v>787</v>
      </c>
      <c r="AB52" s="396">
        <v>761</v>
      </c>
      <c r="AC52" s="396">
        <v>905</v>
      </c>
      <c r="AD52" s="396">
        <v>839</v>
      </c>
      <c r="AE52" s="396">
        <v>829</v>
      </c>
      <c r="AF52" s="393">
        <v>840</v>
      </c>
      <c r="AG52" s="393">
        <v>895</v>
      </c>
      <c r="AH52" s="394">
        <v>888</v>
      </c>
      <c r="AI52" s="834">
        <v>919</v>
      </c>
      <c r="AJ52" s="1039">
        <v>973</v>
      </c>
      <c r="AK52" s="1043">
        <v>954</v>
      </c>
      <c r="AL52" s="1349">
        <v>1060</v>
      </c>
      <c r="AM52" s="1349">
        <v>1002</v>
      </c>
      <c r="AN52" s="1349">
        <v>960</v>
      </c>
      <c r="AO52" s="1349">
        <v>862</v>
      </c>
      <c r="AP52" s="1697">
        <v>858</v>
      </c>
    </row>
    <row r="53" spans="1:42" ht="16.5" customHeight="1" x14ac:dyDescent="0.3">
      <c r="A53" s="349" t="s">
        <v>124</v>
      </c>
      <c r="B53" s="350" t="s">
        <v>357</v>
      </c>
      <c r="C53" s="1207" t="s">
        <v>255</v>
      </c>
      <c r="D53" s="390">
        <v>7.0000000000000007E-2</v>
      </c>
      <c r="E53" s="390">
        <v>6.3E-2</v>
      </c>
      <c r="F53" s="390">
        <v>6.5000000000000002E-2</v>
      </c>
      <c r="G53" s="390">
        <v>7.0000000000000007E-2</v>
      </c>
      <c r="H53" s="390">
        <v>6.6000000000000003E-2</v>
      </c>
      <c r="I53" s="390">
        <v>6.2E-2</v>
      </c>
      <c r="J53" s="390">
        <v>0.06</v>
      </c>
      <c r="K53" s="390">
        <v>6.2E-2</v>
      </c>
      <c r="L53" s="390">
        <v>6.2E-2</v>
      </c>
      <c r="M53" s="390">
        <v>7.0000000000000007E-2</v>
      </c>
      <c r="N53" s="391">
        <v>6.9000000000000006E-2</v>
      </c>
      <c r="O53" s="827">
        <v>6.9000000000000006E-2</v>
      </c>
      <c r="P53" s="827">
        <v>7.3999999999999996E-2</v>
      </c>
      <c r="Q53" s="827">
        <v>7.9488015653024616E-2</v>
      </c>
      <c r="R53" s="1344">
        <v>7.5159082723015969E-2</v>
      </c>
      <c r="S53" s="1344">
        <v>7.1289256856267164E-2</v>
      </c>
      <c r="T53" s="1344">
        <v>6.755805770584096E-2</v>
      </c>
      <c r="U53" s="2378">
        <v>6.7558193309696313E-2</v>
      </c>
      <c r="V53" s="1694">
        <v>6.8227833594376744E-2</v>
      </c>
      <c r="W53" s="392"/>
      <c r="X53" s="393">
        <v>1176</v>
      </c>
      <c r="Y53" s="393">
        <v>1088</v>
      </c>
      <c r="Z53" s="393">
        <v>1157</v>
      </c>
      <c r="AA53" s="393">
        <v>1336</v>
      </c>
      <c r="AB53" s="393">
        <v>1338</v>
      </c>
      <c r="AC53" s="393">
        <v>1259</v>
      </c>
      <c r="AD53" s="393">
        <v>1276</v>
      </c>
      <c r="AE53" s="393">
        <v>1384</v>
      </c>
      <c r="AF53" s="393">
        <v>1399</v>
      </c>
      <c r="AG53" s="393">
        <v>1614</v>
      </c>
      <c r="AH53" s="394">
        <v>1609</v>
      </c>
      <c r="AI53" s="834">
        <v>1645</v>
      </c>
      <c r="AJ53" s="1039">
        <v>1783</v>
      </c>
      <c r="AK53" s="1043">
        <v>1950</v>
      </c>
      <c r="AL53" s="1349">
        <v>1878</v>
      </c>
      <c r="AM53" s="1349">
        <v>1791</v>
      </c>
      <c r="AN53" s="1349">
        <v>1728</v>
      </c>
      <c r="AO53" s="1349">
        <v>1753</v>
      </c>
      <c r="AP53" s="1697">
        <v>1786</v>
      </c>
    </row>
    <row r="54" spans="1:42" ht="16.5" customHeight="1" x14ac:dyDescent="0.3">
      <c r="A54" s="349" t="s">
        <v>126</v>
      </c>
      <c r="B54" s="350" t="s">
        <v>358</v>
      </c>
      <c r="C54" s="1207" t="s">
        <v>254</v>
      </c>
      <c r="D54" s="390">
        <v>6.6000000000000003E-2</v>
      </c>
      <c r="E54" s="390">
        <v>6.3E-2</v>
      </c>
      <c r="F54" s="390">
        <v>6.5000000000000002E-2</v>
      </c>
      <c r="G54" s="390">
        <v>7.0999999999999994E-2</v>
      </c>
      <c r="H54" s="390">
        <v>6.8000000000000005E-2</v>
      </c>
      <c r="I54" s="390">
        <v>6.8000000000000005E-2</v>
      </c>
      <c r="J54" s="390">
        <v>6.9000000000000006E-2</v>
      </c>
      <c r="K54" s="390">
        <v>6.3E-2</v>
      </c>
      <c r="L54" s="390">
        <v>6.5000000000000002E-2</v>
      </c>
      <c r="M54" s="390">
        <v>7.2000000000000008E-2</v>
      </c>
      <c r="N54" s="391">
        <v>7.6999999999999999E-2</v>
      </c>
      <c r="O54" s="827">
        <v>8.6999999999999994E-2</v>
      </c>
      <c r="P54" s="827">
        <v>8.4000000000000005E-2</v>
      </c>
      <c r="Q54" s="827">
        <v>9.098873591989988E-2</v>
      </c>
      <c r="R54" s="1344">
        <v>8.7651632970451004E-2</v>
      </c>
      <c r="S54" s="1344">
        <v>7.9489878041230727E-2</v>
      </c>
      <c r="T54" s="1344">
        <v>7.6984763432237369E-2</v>
      </c>
      <c r="U54" s="2378">
        <v>6.8398216222731109E-2</v>
      </c>
      <c r="V54" s="1694">
        <v>7.2715381413877164E-2</v>
      </c>
      <c r="W54" s="392"/>
      <c r="X54" s="396">
        <v>894</v>
      </c>
      <c r="Y54" s="396">
        <v>872</v>
      </c>
      <c r="Z54" s="396">
        <v>921</v>
      </c>
      <c r="AA54" s="393">
        <v>1014</v>
      </c>
      <c r="AB54" s="393">
        <v>1007</v>
      </c>
      <c r="AC54" s="396">
        <v>994</v>
      </c>
      <c r="AD54" s="393">
        <v>1060</v>
      </c>
      <c r="AE54" s="396">
        <v>981</v>
      </c>
      <c r="AF54" s="393">
        <v>1033</v>
      </c>
      <c r="AG54" s="393">
        <v>1158</v>
      </c>
      <c r="AH54" s="394">
        <v>1230</v>
      </c>
      <c r="AI54" s="834">
        <v>1387</v>
      </c>
      <c r="AJ54" s="1039">
        <v>1333</v>
      </c>
      <c r="AK54" s="1043">
        <v>1454</v>
      </c>
      <c r="AL54" s="1349">
        <v>1409</v>
      </c>
      <c r="AM54" s="1349">
        <v>1284</v>
      </c>
      <c r="AN54" s="1349">
        <v>1248</v>
      </c>
      <c r="AO54" s="1349">
        <v>1135</v>
      </c>
      <c r="AP54" s="1697">
        <v>1223</v>
      </c>
    </row>
    <row r="55" spans="1:42" ht="16.5" customHeight="1" x14ac:dyDescent="0.3">
      <c r="A55" s="349" t="s">
        <v>128</v>
      </c>
      <c r="B55" s="350" t="s">
        <v>359</v>
      </c>
      <c r="C55" s="1207" t="s">
        <v>254</v>
      </c>
      <c r="D55" s="390">
        <v>0.129</v>
      </c>
      <c r="E55" s="390">
        <v>0.125</v>
      </c>
      <c r="F55" s="390">
        <v>0.13400000000000001</v>
      </c>
      <c r="G55" s="390">
        <v>0.13300000000000001</v>
      </c>
      <c r="H55" s="390">
        <v>0.12300000000000001</v>
      </c>
      <c r="I55" s="390">
        <v>0.13600000000000001</v>
      </c>
      <c r="J55" s="390">
        <v>0.13500000000000001</v>
      </c>
      <c r="K55" s="390">
        <v>0.129</v>
      </c>
      <c r="L55" s="390">
        <v>0.13200000000000001</v>
      </c>
      <c r="M55" s="390">
        <v>0.127</v>
      </c>
      <c r="N55" s="391">
        <v>0.13900000000000001</v>
      </c>
      <c r="O55" s="827">
        <v>0.157</v>
      </c>
      <c r="P55" s="827">
        <v>0.13600000000000001</v>
      </c>
      <c r="Q55" s="827">
        <v>0.15181668796786563</v>
      </c>
      <c r="R55" s="1344">
        <v>0.13735605711653615</v>
      </c>
      <c r="S55" s="1344">
        <v>0.13132250580046403</v>
      </c>
      <c r="T55" s="1344">
        <v>0.14045829854346414</v>
      </c>
      <c r="U55" s="2378">
        <v>0.12881004057752193</v>
      </c>
      <c r="V55" s="1694">
        <v>0.12328896441045974</v>
      </c>
      <c r="W55" s="392"/>
      <c r="X55" s="393">
        <v>1435</v>
      </c>
      <c r="Y55" s="393">
        <v>1399</v>
      </c>
      <c r="Z55" s="393">
        <v>1513</v>
      </c>
      <c r="AA55" s="393">
        <v>1498</v>
      </c>
      <c r="AB55" s="393">
        <v>1395</v>
      </c>
      <c r="AC55" s="393">
        <v>1518</v>
      </c>
      <c r="AD55" s="393">
        <v>1507</v>
      </c>
      <c r="AE55" s="393">
        <v>1434</v>
      </c>
      <c r="AF55" s="393">
        <v>1463</v>
      </c>
      <c r="AG55" s="393">
        <v>1379</v>
      </c>
      <c r="AH55" s="394">
        <v>1557</v>
      </c>
      <c r="AI55" s="834">
        <v>1741</v>
      </c>
      <c r="AJ55" s="1039">
        <v>1504</v>
      </c>
      <c r="AK55" s="1043">
        <v>1663</v>
      </c>
      <c r="AL55" s="1349">
        <v>1491</v>
      </c>
      <c r="AM55" s="1349">
        <v>1415</v>
      </c>
      <c r="AN55" s="1349">
        <v>1514</v>
      </c>
      <c r="AO55" s="1349">
        <v>1365</v>
      </c>
      <c r="AP55" s="1697">
        <v>1306</v>
      </c>
    </row>
    <row r="56" spans="1:42" ht="16.5" customHeight="1" x14ac:dyDescent="0.3">
      <c r="A56" s="349" t="s">
        <v>130</v>
      </c>
      <c r="B56" s="350" t="s">
        <v>360</v>
      </c>
      <c r="C56" s="1207" t="s">
        <v>256</v>
      </c>
      <c r="D56" s="390">
        <v>0.223</v>
      </c>
      <c r="E56" s="390">
        <v>0.21199999999999999</v>
      </c>
      <c r="F56" s="390">
        <v>0.23300000000000001</v>
      </c>
      <c r="G56" s="390">
        <v>0.21600000000000003</v>
      </c>
      <c r="H56" s="390">
        <v>0.21100000000000002</v>
      </c>
      <c r="I56" s="390">
        <v>0.26400000000000001</v>
      </c>
      <c r="J56" s="390">
        <v>0.22399999999999998</v>
      </c>
      <c r="K56" s="390">
        <v>0.22899999999999998</v>
      </c>
      <c r="L56" s="390">
        <v>0.23300000000000001</v>
      </c>
      <c r="M56" s="390">
        <v>0.26100000000000001</v>
      </c>
      <c r="N56" s="391">
        <v>0.255</v>
      </c>
      <c r="O56" s="827">
        <v>0.27600000000000002</v>
      </c>
      <c r="P56" s="827">
        <v>0.28399999999999997</v>
      </c>
      <c r="Q56" s="827">
        <v>0.2902290271676547</v>
      </c>
      <c r="R56" s="1344">
        <v>0.26576654300750585</v>
      </c>
      <c r="S56" s="1344">
        <v>0.2588460868049503</v>
      </c>
      <c r="T56" s="1344">
        <v>0.29873878674837906</v>
      </c>
      <c r="U56" s="2378">
        <v>0.28183575313525422</v>
      </c>
      <c r="V56" s="1694">
        <v>0.24757457611750838</v>
      </c>
      <c r="W56" s="392"/>
      <c r="X56" s="393">
        <v>5171</v>
      </c>
      <c r="Y56" s="393">
        <v>4988</v>
      </c>
      <c r="Z56" s="393">
        <v>5547</v>
      </c>
      <c r="AA56" s="393">
        <v>5144</v>
      </c>
      <c r="AB56" s="393">
        <v>4987</v>
      </c>
      <c r="AC56" s="393">
        <v>6163</v>
      </c>
      <c r="AD56" s="393">
        <v>5285</v>
      </c>
      <c r="AE56" s="393">
        <v>5343</v>
      </c>
      <c r="AF56" s="393">
        <v>5433</v>
      </c>
      <c r="AG56" s="393">
        <v>6079</v>
      </c>
      <c r="AH56" s="394">
        <v>6087</v>
      </c>
      <c r="AI56" s="834">
        <v>6454</v>
      </c>
      <c r="AJ56" s="1039">
        <v>6734</v>
      </c>
      <c r="AK56" s="1043">
        <v>6805</v>
      </c>
      <c r="AL56" s="1349">
        <v>6161</v>
      </c>
      <c r="AM56" s="1349">
        <v>5940</v>
      </c>
      <c r="AN56" s="1349">
        <v>6727</v>
      </c>
      <c r="AO56" s="1349">
        <v>6270</v>
      </c>
      <c r="AP56" s="1697">
        <v>5461</v>
      </c>
    </row>
    <row r="57" spans="1:42" ht="16.5" customHeight="1" x14ac:dyDescent="0.3">
      <c r="A57" s="349" t="s">
        <v>132</v>
      </c>
      <c r="B57" s="350" t="s">
        <v>361</v>
      </c>
      <c r="C57" s="1207" t="s">
        <v>255</v>
      </c>
      <c r="D57" s="390">
        <v>2.7999999999999997E-2</v>
      </c>
      <c r="E57" s="390">
        <v>2.8999999999999998E-2</v>
      </c>
      <c r="F57" s="390">
        <v>3.2000000000000001E-2</v>
      </c>
      <c r="G57" s="390">
        <v>3.6000000000000004E-2</v>
      </c>
      <c r="H57" s="390">
        <v>3.4000000000000002E-2</v>
      </c>
      <c r="I57" s="390">
        <v>2.7000000000000003E-2</v>
      </c>
      <c r="J57" s="390">
        <v>2.8999999999999998E-2</v>
      </c>
      <c r="K57" s="390">
        <v>0.03</v>
      </c>
      <c r="L57" s="390">
        <v>3.1E-2</v>
      </c>
      <c r="M57" s="390">
        <v>3.4000000000000002E-2</v>
      </c>
      <c r="N57" s="391">
        <v>3.7000000000000005E-2</v>
      </c>
      <c r="O57" s="827">
        <v>0.04</v>
      </c>
      <c r="P57" s="827">
        <v>0.04</v>
      </c>
      <c r="Q57" s="827">
        <v>3.8353526207620114E-2</v>
      </c>
      <c r="R57" s="1344">
        <v>3.8950546060258932E-2</v>
      </c>
      <c r="S57" s="1344">
        <v>3.7325950002006343E-2</v>
      </c>
      <c r="T57" s="1344">
        <v>3.5196536354471404E-2</v>
      </c>
      <c r="U57" s="2378">
        <v>3.001301951918613E-2</v>
      </c>
      <c r="V57" s="1694">
        <v>3.6337478772238169E-2</v>
      </c>
      <c r="W57" s="392"/>
      <c r="X57" s="393">
        <v>5340</v>
      </c>
      <c r="Y57" s="393">
        <v>5869</v>
      </c>
      <c r="Z57" s="393">
        <v>7055</v>
      </c>
      <c r="AA57" s="393">
        <v>8721</v>
      </c>
      <c r="AB57" s="393">
        <v>8788</v>
      </c>
      <c r="AC57" s="393">
        <v>6966</v>
      </c>
      <c r="AD57" s="393">
        <v>7794</v>
      </c>
      <c r="AE57" s="393">
        <v>8284</v>
      </c>
      <c r="AF57" s="393">
        <v>9033</v>
      </c>
      <c r="AG57" s="393">
        <v>10069</v>
      </c>
      <c r="AH57" s="394">
        <v>11525</v>
      </c>
      <c r="AI57" s="834">
        <v>12996</v>
      </c>
      <c r="AJ57" s="1039">
        <v>13489</v>
      </c>
      <c r="AK57" s="1043">
        <v>13343</v>
      </c>
      <c r="AL57" s="1349">
        <v>14077</v>
      </c>
      <c r="AM57" s="1349">
        <v>13953</v>
      </c>
      <c r="AN57" s="1349">
        <v>13511</v>
      </c>
      <c r="AO57" s="1349">
        <v>11895</v>
      </c>
      <c r="AP57" s="1697">
        <v>14700</v>
      </c>
    </row>
    <row r="58" spans="1:42" ht="16.5" customHeight="1" x14ac:dyDescent="0.3">
      <c r="A58" s="349" t="s">
        <v>134</v>
      </c>
      <c r="B58" s="350" t="s">
        <v>362</v>
      </c>
      <c r="C58" s="1207" t="s">
        <v>255</v>
      </c>
      <c r="D58" s="390">
        <v>9.1999999999999998E-2</v>
      </c>
      <c r="E58" s="390">
        <v>9.0999999999999998E-2</v>
      </c>
      <c r="F58" s="390">
        <v>0.1</v>
      </c>
      <c r="G58" s="390">
        <v>0.10199999999999999</v>
      </c>
      <c r="H58" s="390">
        <v>9.6999999999999989E-2</v>
      </c>
      <c r="I58" s="390">
        <v>0.113</v>
      </c>
      <c r="J58" s="390">
        <v>9.9000000000000005E-2</v>
      </c>
      <c r="K58" s="390">
        <v>9.6999999999999989E-2</v>
      </c>
      <c r="L58" s="390">
        <v>9.6000000000000002E-2</v>
      </c>
      <c r="M58" s="390">
        <v>0.11699999999999999</v>
      </c>
      <c r="N58" s="391">
        <v>9.9000000000000019E-2</v>
      </c>
      <c r="O58" s="827">
        <v>0.10800000000000001</v>
      </c>
      <c r="P58" s="827">
        <v>0.11700000000000001</v>
      </c>
      <c r="Q58" s="827">
        <v>0.11738021821631879</v>
      </c>
      <c r="R58" s="1344">
        <v>0.11482132396016403</v>
      </c>
      <c r="S58" s="1344">
        <v>0.10574378362658136</v>
      </c>
      <c r="T58" s="1344">
        <v>0.1217393788748893</v>
      </c>
      <c r="U58" s="2378">
        <v>0.10803759293028475</v>
      </c>
      <c r="V58" s="1694">
        <v>0.11326329612606698</v>
      </c>
      <c r="W58" s="392"/>
      <c r="X58" s="393">
        <v>2411</v>
      </c>
      <c r="Y58" s="393">
        <v>2456</v>
      </c>
      <c r="Z58" s="393">
        <v>2793</v>
      </c>
      <c r="AA58" s="393">
        <v>2928</v>
      </c>
      <c r="AB58" s="393">
        <v>2911</v>
      </c>
      <c r="AC58" s="393">
        <v>3364</v>
      </c>
      <c r="AD58" s="393">
        <v>3054</v>
      </c>
      <c r="AE58" s="393">
        <v>3080</v>
      </c>
      <c r="AF58" s="393">
        <v>3119</v>
      </c>
      <c r="AG58" s="393">
        <v>3828</v>
      </c>
      <c r="AH58" s="394">
        <v>3259</v>
      </c>
      <c r="AI58" s="834">
        <v>3597</v>
      </c>
      <c r="AJ58" s="1039">
        <v>3891</v>
      </c>
      <c r="AK58" s="1043">
        <v>3959</v>
      </c>
      <c r="AL58" s="1349">
        <v>3920</v>
      </c>
      <c r="AM58" s="1349">
        <v>3636</v>
      </c>
      <c r="AN58" s="1349">
        <v>4261</v>
      </c>
      <c r="AO58" s="1349">
        <v>3851</v>
      </c>
      <c r="AP58" s="1697">
        <v>4140</v>
      </c>
    </row>
    <row r="59" spans="1:42" ht="16.5" customHeight="1" x14ac:dyDescent="0.3">
      <c r="A59" s="349" t="s">
        <v>136</v>
      </c>
      <c r="B59" s="350" t="s">
        <v>363</v>
      </c>
      <c r="C59" s="1207" t="s">
        <v>254</v>
      </c>
      <c r="D59" s="390">
        <v>0.16300000000000001</v>
      </c>
      <c r="E59" s="390">
        <v>0.16600000000000001</v>
      </c>
      <c r="F59" s="390">
        <v>0.18</v>
      </c>
      <c r="G59" s="390">
        <v>0.17300000000000001</v>
      </c>
      <c r="H59" s="390">
        <v>0.17100000000000001</v>
      </c>
      <c r="I59" s="390">
        <v>0.22800000000000001</v>
      </c>
      <c r="J59" s="390">
        <v>0.19800000000000001</v>
      </c>
      <c r="K59" s="390">
        <v>0.193</v>
      </c>
      <c r="L59" s="390">
        <v>0.215</v>
      </c>
      <c r="M59" s="390">
        <v>0.22500000000000001</v>
      </c>
      <c r="N59" s="391">
        <v>0.20499999999999999</v>
      </c>
      <c r="O59" s="827">
        <v>0.22600000000000001</v>
      </c>
      <c r="P59" s="827">
        <v>0.27300000000000002</v>
      </c>
      <c r="Q59" s="827">
        <v>0.21353528278760286</v>
      </c>
      <c r="R59" s="1344">
        <v>0.22378293491537254</v>
      </c>
      <c r="S59" s="1344">
        <v>0.21113074204946997</v>
      </c>
      <c r="T59" s="1344">
        <v>0.19809980465281476</v>
      </c>
      <c r="U59" s="2378">
        <v>0.20502987603674305</v>
      </c>
      <c r="V59" s="1694">
        <v>0.18170301330196362</v>
      </c>
      <c r="W59" s="392"/>
      <c r="X59" s="393">
        <v>1965</v>
      </c>
      <c r="Y59" s="393">
        <v>1986</v>
      </c>
      <c r="Z59" s="393">
        <v>2164</v>
      </c>
      <c r="AA59" s="393">
        <v>2061</v>
      </c>
      <c r="AB59" s="393">
        <v>2055</v>
      </c>
      <c r="AC59" s="393">
        <v>2718</v>
      </c>
      <c r="AD59" s="393">
        <v>2368</v>
      </c>
      <c r="AE59" s="393">
        <v>2276</v>
      </c>
      <c r="AF59" s="393">
        <v>2516</v>
      </c>
      <c r="AG59" s="393">
        <v>2597</v>
      </c>
      <c r="AH59" s="394">
        <v>2396</v>
      </c>
      <c r="AI59" s="834">
        <v>2636</v>
      </c>
      <c r="AJ59" s="1039">
        <v>3131</v>
      </c>
      <c r="AK59" s="1043">
        <v>2439</v>
      </c>
      <c r="AL59" s="1349">
        <v>2565</v>
      </c>
      <c r="AM59" s="1349">
        <v>2390</v>
      </c>
      <c r="AN59" s="1349">
        <v>2231</v>
      </c>
      <c r="AO59" s="1349">
        <v>2299</v>
      </c>
      <c r="AP59" s="1697">
        <v>2008</v>
      </c>
    </row>
    <row r="60" spans="1:42" ht="16.5" customHeight="1" x14ac:dyDescent="0.3">
      <c r="A60" s="349" t="s">
        <v>140</v>
      </c>
      <c r="B60" s="350" t="s">
        <v>364</v>
      </c>
      <c r="C60" s="1207" t="s">
        <v>255</v>
      </c>
      <c r="D60" s="390">
        <v>9.8000000000000004E-2</v>
      </c>
      <c r="E60" s="390">
        <v>8.900000000000001E-2</v>
      </c>
      <c r="F60" s="390">
        <v>9.4E-2</v>
      </c>
      <c r="G60" s="390">
        <v>9.5000000000000001E-2</v>
      </c>
      <c r="H60" s="390">
        <v>9.0999999999999998E-2</v>
      </c>
      <c r="I60" s="390">
        <v>9.8000000000000004E-2</v>
      </c>
      <c r="J60" s="390">
        <v>0.10199999999999999</v>
      </c>
      <c r="K60" s="390">
        <v>9.8000000000000004E-2</v>
      </c>
      <c r="L60" s="390">
        <v>0.107</v>
      </c>
      <c r="M60" s="390">
        <v>0.10800000000000001</v>
      </c>
      <c r="N60" s="391">
        <v>0.11699999999999999</v>
      </c>
      <c r="O60" s="827">
        <v>0.11900000000000001</v>
      </c>
      <c r="P60" s="827">
        <v>0.13</v>
      </c>
      <c r="Q60" s="827">
        <v>0.1266191461638691</v>
      </c>
      <c r="R60" s="1344">
        <v>0.12283803520639557</v>
      </c>
      <c r="S60" s="1344">
        <v>0.10405915427867211</v>
      </c>
      <c r="T60" s="1344">
        <v>0.11174740752205541</v>
      </c>
      <c r="U60" s="2378">
        <v>0.11335415555724843</v>
      </c>
      <c r="V60" s="1694">
        <v>0.1011945522331279</v>
      </c>
      <c r="W60" s="392"/>
      <c r="X60" s="393">
        <v>1235</v>
      </c>
      <c r="Y60" s="393">
        <v>1141</v>
      </c>
      <c r="Z60" s="393">
        <v>1221</v>
      </c>
      <c r="AA60" s="393">
        <v>1231</v>
      </c>
      <c r="AB60" s="393">
        <v>1209</v>
      </c>
      <c r="AC60" s="393">
        <v>1293</v>
      </c>
      <c r="AD60" s="393">
        <v>1369</v>
      </c>
      <c r="AE60" s="393">
        <v>1319</v>
      </c>
      <c r="AF60" s="393">
        <v>1434</v>
      </c>
      <c r="AG60" s="393">
        <v>1456</v>
      </c>
      <c r="AH60" s="394">
        <v>1544</v>
      </c>
      <c r="AI60" s="834">
        <v>1549</v>
      </c>
      <c r="AJ60" s="1039">
        <v>1693</v>
      </c>
      <c r="AK60" s="1043">
        <v>1652</v>
      </c>
      <c r="AL60" s="1349">
        <v>1598</v>
      </c>
      <c r="AM60" s="1349">
        <v>1351</v>
      </c>
      <c r="AN60" s="1349">
        <v>1444</v>
      </c>
      <c r="AO60" s="1349">
        <v>1488</v>
      </c>
      <c r="AP60" s="1697">
        <v>1330</v>
      </c>
    </row>
    <row r="61" spans="1:42" ht="16.5" customHeight="1" x14ac:dyDescent="0.3">
      <c r="A61" s="349" t="s">
        <v>146</v>
      </c>
      <c r="B61" s="350" t="s">
        <v>365</v>
      </c>
      <c r="C61" s="1207" t="s">
        <v>252</v>
      </c>
      <c r="D61" s="390">
        <v>8.6999999999999994E-2</v>
      </c>
      <c r="E61" s="390">
        <v>8.5999999999999993E-2</v>
      </c>
      <c r="F61" s="390">
        <v>8.900000000000001E-2</v>
      </c>
      <c r="G61" s="390">
        <v>8.6999999999999994E-2</v>
      </c>
      <c r="H61" s="390">
        <v>8.3000000000000004E-2</v>
      </c>
      <c r="I61" s="390">
        <v>8.1000000000000003E-2</v>
      </c>
      <c r="J61" s="390">
        <v>8.3000000000000004E-2</v>
      </c>
      <c r="K61" s="390">
        <v>8.1000000000000003E-2</v>
      </c>
      <c r="L61" s="390">
        <v>8.6999999999999994E-2</v>
      </c>
      <c r="M61" s="390">
        <v>9.6999999999999989E-2</v>
      </c>
      <c r="N61" s="391">
        <v>0.10199999999999999</v>
      </c>
      <c r="O61" s="827">
        <v>0.1</v>
      </c>
      <c r="P61" s="827">
        <v>0.104</v>
      </c>
      <c r="Q61" s="827">
        <v>0.10547229791099001</v>
      </c>
      <c r="R61" s="1344">
        <v>0.10593075077134041</v>
      </c>
      <c r="S61" s="1344">
        <v>0.10198268003646307</v>
      </c>
      <c r="T61" s="1344">
        <v>0.10123087541700218</v>
      </c>
      <c r="U61" s="2378">
        <v>9.694876223373633E-2</v>
      </c>
      <c r="V61" s="1694">
        <v>9.3151313525295404E-2</v>
      </c>
      <c r="W61" s="392"/>
      <c r="X61" s="396">
        <v>799</v>
      </c>
      <c r="Y61" s="396">
        <v>785</v>
      </c>
      <c r="Z61" s="396">
        <v>819</v>
      </c>
      <c r="AA61" s="396">
        <v>800</v>
      </c>
      <c r="AB61" s="396">
        <v>766</v>
      </c>
      <c r="AC61" s="396">
        <v>735</v>
      </c>
      <c r="AD61" s="396">
        <v>756</v>
      </c>
      <c r="AE61" s="396">
        <v>723</v>
      </c>
      <c r="AF61" s="393">
        <v>777</v>
      </c>
      <c r="AG61" s="393">
        <v>860</v>
      </c>
      <c r="AH61" s="394">
        <v>903</v>
      </c>
      <c r="AI61" s="834">
        <v>888</v>
      </c>
      <c r="AJ61" s="1039">
        <v>917</v>
      </c>
      <c r="AK61" s="1043">
        <v>929</v>
      </c>
      <c r="AL61" s="1349">
        <v>927</v>
      </c>
      <c r="AM61" s="1349">
        <v>895</v>
      </c>
      <c r="AN61" s="1349">
        <v>880</v>
      </c>
      <c r="AO61" s="1349">
        <v>842</v>
      </c>
      <c r="AP61" s="1697">
        <v>812</v>
      </c>
    </row>
    <row r="62" spans="1:42" ht="16.5" customHeight="1" x14ac:dyDescent="0.3">
      <c r="A62" s="349" t="s">
        <v>148</v>
      </c>
      <c r="B62" s="350" t="s">
        <v>366</v>
      </c>
      <c r="C62" s="1207" t="s">
        <v>253</v>
      </c>
      <c r="D62" s="390">
        <v>0.13400000000000001</v>
      </c>
      <c r="E62" s="390">
        <v>0.13300000000000001</v>
      </c>
      <c r="F62" s="390">
        <v>0.153</v>
      </c>
      <c r="G62" s="390">
        <v>0.154</v>
      </c>
      <c r="H62" s="390">
        <v>0.14800000000000002</v>
      </c>
      <c r="I62" s="390">
        <v>0.16399999999999998</v>
      </c>
      <c r="J62" s="390">
        <v>0.14800000000000002</v>
      </c>
      <c r="K62" s="390">
        <v>0.16</v>
      </c>
      <c r="L62" s="390">
        <v>0.17399999999999999</v>
      </c>
      <c r="M62" s="390">
        <v>0.188</v>
      </c>
      <c r="N62" s="391">
        <v>0.20199999999999999</v>
      </c>
      <c r="O62" s="827">
        <v>0.19</v>
      </c>
      <c r="P62" s="827">
        <v>0.19900000000000001</v>
      </c>
      <c r="Q62" s="827">
        <v>0.17092054327143888</v>
      </c>
      <c r="R62" s="1344">
        <v>0.21091581868640147</v>
      </c>
      <c r="S62" s="1344">
        <v>0.20371599203715993</v>
      </c>
      <c r="T62" s="1344">
        <v>0.15882922270800653</v>
      </c>
      <c r="U62" s="2378">
        <v>0.17540559604984718</v>
      </c>
      <c r="V62" s="1694">
        <v>0.18729175781644397</v>
      </c>
      <c r="W62" s="392"/>
      <c r="X62" s="393">
        <v>4156</v>
      </c>
      <c r="Y62" s="393">
        <v>4113</v>
      </c>
      <c r="Z62" s="393">
        <v>4773</v>
      </c>
      <c r="AA62" s="393">
        <v>4779</v>
      </c>
      <c r="AB62" s="393">
        <v>4609</v>
      </c>
      <c r="AC62" s="393">
        <v>5062</v>
      </c>
      <c r="AD62" s="393">
        <v>4570</v>
      </c>
      <c r="AE62" s="393">
        <v>4889</v>
      </c>
      <c r="AF62" s="393">
        <v>5331</v>
      </c>
      <c r="AG62" s="393">
        <v>5731</v>
      </c>
      <c r="AH62" s="394">
        <v>6241</v>
      </c>
      <c r="AI62" s="834">
        <v>5870</v>
      </c>
      <c r="AJ62" s="1039">
        <v>6119</v>
      </c>
      <c r="AK62" s="1043">
        <v>5210</v>
      </c>
      <c r="AL62" s="1349">
        <v>6384</v>
      </c>
      <c r="AM62" s="1349">
        <v>6140</v>
      </c>
      <c r="AN62" s="1349">
        <v>4759</v>
      </c>
      <c r="AO62" s="1349">
        <v>5222</v>
      </c>
      <c r="AP62" s="1697">
        <v>5565</v>
      </c>
    </row>
    <row r="63" spans="1:42" ht="16.5" customHeight="1" x14ac:dyDescent="0.3">
      <c r="A63" s="349" t="s">
        <v>150</v>
      </c>
      <c r="B63" s="350" t="s">
        <v>367</v>
      </c>
      <c r="C63" s="1207" t="s">
        <v>254</v>
      </c>
      <c r="D63" s="390">
        <v>0.115</v>
      </c>
      <c r="E63" s="390">
        <v>0.11199999999999999</v>
      </c>
      <c r="F63" s="390">
        <v>0.11800000000000001</v>
      </c>
      <c r="G63" s="390">
        <v>0.11599999999999999</v>
      </c>
      <c r="H63" s="390">
        <v>0.11599999999999999</v>
      </c>
      <c r="I63" s="390">
        <v>0.13300000000000001</v>
      </c>
      <c r="J63" s="390">
        <v>0.127</v>
      </c>
      <c r="K63" s="390">
        <v>0.122</v>
      </c>
      <c r="L63" s="390">
        <v>0.124</v>
      </c>
      <c r="M63" s="390">
        <v>0.13800000000000001</v>
      </c>
      <c r="N63" s="391">
        <v>0.13599999999999998</v>
      </c>
      <c r="O63" s="827">
        <v>0.128</v>
      </c>
      <c r="P63" s="827">
        <v>0.14799999999999999</v>
      </c>
      <c r="Q63" s="827">
        <v>0.15497160458176917</v>
      </c>
      <c r="R63" s="1344">
        <v>0.14419910904512881</v>
      </c>
      <c r="S63" s="1344">
        <v>0.12779677576941867</v>
      </c>
      <c r="T63" s="1344">
        <v>0.14159036144578313</v>
      </c>
      <c r="U63" s="2378">
        <v>0.13634600465477115</v>
      </c>
      <c r="V63" s="1694">
        <v>0.12664679296086162</v>
      </c>
      <c r="W63" s="392"/>
      <c r="X63" s="393">
        <v>1117</v>
      </c>
      <c r="Y63" s="393">
        <v>1103</v>
      </c>
      <c r="Z63" s="393">
        <v>1189</v>
      </c>
      <c r="AA63" s="393">
        <v>1193</v>
      </c>
      <c r="AB63" s="393">
        <v>1190</v>
      </c>
      <c r="AC63" s="393">
        <v>1354</v>
      </c>
      <c r="AD63" s="393">
        <v>1307</v>
      </c>
      <c r="AE63" s="393">
        <v>1259</v>
      </c>
      <c r="AF63" s="393">
        <v>1272</v>
      </c>
      <c r="AG63" s="393">
        <v>1435</v>
      </c>
      <c r="AH63" s="394">
        <v>1442</v>
      </c>
      <c r="AI63" s="834">
        <v>1343</v>
      </c>
      <c r="AJ63" s="1039">
        <v>1544</v>
      </c>
      <c r="AK63" s="1043">
        <v>1610</v>
      </c>
      <c r="AL63" s="1349">
        <v>1489</v>
      </c>
      <c r="AM63" s="1349">
        <v>1308</v>
      </c>
      <c r="AN63" s="1349">
        <v>1469</v>
      </c>
      <c r="AO63" s="1349">
        <v>1406</v>
      </c>
      <c r="AP63" s="1697">
        <v>1317</v>
      </c>
    </row>
    <row r="64" spans="1:42" ht="16.5" customHeight="1" x14ac:dyDescent="0.3">
      <c r="A64" s="349" t="s">
        <v>152</v>
      </c>
      <c r="B64" s="350" t="s">
        <v>368</v>
      </c>
      <c r="C64" s="1207" t="s">
        <v>256</v>
      </c>
      <c r="D64" s="390">
        <v>0.125</v>
      </c>
      <c r="E64" s="390">
        <v>0.128</v>
      </c>
      <c r="F64" s="390">
        <v>0.14000000000000001</v>
      </c>
      <c r="G64" s="390">
        <v>0.152</v>
      </c>
      <c r="H64" s="390">
        <v>0.14899999999999999</v>
      </c>
      <c r="I64" s="390">
        <v>0.20899999999999999</v>
      </c>
      <c r="J64" s="390">
        <v>0.20300000000000001</v>
      </c>
      <c r="K64" s="390">
        <v>0.19899999999999998</v>
      </c>
      <c r="L64" s="390">
        <v>0.20600000000000002</v>
      </c>
      <c r="M64" s="390">
        <v>0.19</v>
      </c>
      <c r="N64" s="391">
        <v>0.20500000000000002</v>
      </c>
      <c r="O64" s="827">
        <v>0.22500000000000001</v>
      </c>
      <c r="P64" s="827">
        <v>0.23300000000000001</v>
      </c>
      <c r="Q64" s="827">
        <v>0.23402582688817211</v>
      </c>
      <c r="R64" s="1344">
        <v>0.24846957969015401</v>
      </c>
      <c r="S64" s="1344">
        <v>0.2082472823003427</v>
      </c>
      <c r="T64" s="1344">
        <v>0.20342310426139248</v>
      </c>
      <c r="U64" s="2378">
        <v>0.22982517207693776</v>
      </c>
      <c r="V64" s="1694">
        <v>0.24086263057396384</v>
      </c>
      <c r="W64" s="392"/>
      <c r="X64" s="393">
        <v>9453</v>
      </c>
      <c r="Y64" s="393">
        <v>9761</v>
      </c>
      <c r="Z64" s="393">
        <v>10779</v>
      </c>
      <c r="AA64" s="393">
        <v>11417</v>
      </c>
      <c r="AB64" s="393">
        <v>11267</v>
      </c>
      <c r="AC64" s="393">
        <v>15671</v>
      </c>
      <c r="AD64" s="393">
        <v>15296</v>
      </c>
      <c r="AE64" s="393">
        <v>15836</v>
      </c>
      <c r="AF64" s="393">
        <v>16498</v>
      </c>
      <c r="AG64" s="393">
        <v>15475</v>
      </c>
      <c r="AH64" s="394">
        <v>17470</v>
      </c>
      <c r="AI64" s="834">
        <v>19169</v>
      </c>
      <c r="AJ64" s="1039">
        <v>20087</v>
      </c>
      <c r="AK64" s="1043">
        <v>20243</v>
      </c>
      <c r="AL64" s="1349">
        <v>21796</v>
      </c>
      <c r="AM64" s="1349">
        <v>18352</v>
      </c>
      <c r="AN64" s="1349">
        <v>18030</v>
      </c>
      <c r="AO64" s="1349">
        <v>20468</v>
      </c>
      <c r="AP64" s="1697">
        <v>21444</v>
      </c>
    </row>
    <row r="65" spans="1:42" ht="16.5" customHeight="1" x14ac:dyDescent="0.3">
      <c r="A65" s="349" t="s">
        <v>154</v>
      </c>
      <c r="B65" s="350" t="s">
        <v>369</v>
      </c>
      <c r="C65" s="1207" t="s">
        <v>253</v>
      </c>
      <c r="D65" s="390">
        <v>0.10300000000000001</v>
      </c>
      <c r="E65" s="390">
        <v>0.10199999999999999</v>
      </c>
      <c r="F65" s="390">
        <v>0.109</v>
      </c>
      <c r="G65" s="390">
        <v>0.11199999999999999</v>
      </c>
      <c r="H65" s="390">
        <v>0.10400000000000001</v>
      </c>
      <c r="I65" s="390">
        <v>0.11900000000000001</v>
      </c>
      <c r="J65" s="390">
        <v>0.113</v>
      </c>
      <c r="K65" s="390">
        <v>0.114</v>
      </c>
      <c r="L65" s="390">
        <v>0.13200000000000001</v>
      </c>
      <c r="M65" s="390">
        <v>0.127</v>
      </c>
      <c r="N65" s="391">
        <v>0.13100000000000001</v>
      </c>
      <c r="O65" s="827">
        <v>0.13600000000000001</v>
      </c>
      <c r="P65" s="827">
        <v>0.14099999999999999</v>
      </c>
      <c r="Q65" s="827">
        <v>0.15804167234100505</v>
      </c>
      <c r="R65" s="1344">
        <v>0.1338801518438178</v>
      </c>
      <c r="S65" s="1344">
        <v>0.13879052029419778</v>
      </c>
      <c r="T65" s="1344">
        <v>0.12634645349231083</v>
      </c>
      <c r="U65" s="2378">
        <v>0.13198140537627165</v>
      </c>
      <c r="V65" s="1694">
        <v>0.12309989142236699</v>
      </c>
      <c r="W65" s="392"/>
      <c r="X65" s="393">
        <v>1493</v>
      </c>
      <c r="Y65" s="393">
        <v>1495</v>
      </c>
      <c r="Z65" s="393">
        <v>1638</v>
      </c>
      <c r="AA65" s="393">
        <v>1674</v>
      </c>
      <c r="AB65" s="393">
        <v>1574</v>
      </c>
      <c r="AC65" s="393">
        <v>1770</v>
      </c>
      <c r="AD65" s="393">
        <v>1704</v>
      </c>
      <c r="AE65" s="393">
        <v>1730</v>
      </c>
      <c r="AF65" s="393">
        <v>2009</v>
      </c>
      <c r="AG65" s="393">
        <v>1960</v>
      </c>
      <c r="AH65" s="394">
        <v>1956</v>
      </c>
      <c r="AI65" s="834">
        <v>2036</v>
      </c>
      <c r="AJ65" s="1039">
        <v>2075</v>
      </c>
      <c r="AK65" s="1043">
        <v>2321</v>
      </c>
      <c r="AL65" s="1349">
        <v>1975</v>
      </c>
      <c r="AM65" s="1349">
        <v>2038</v>
      </c>
      <c r="AN65" s="1349">
        <v>1865</v>
      </c>
      <c r="AO65" s="1349">
        <v>1959</v>
      </c>
      <c r="AP65" s="1697">
        <v>1814</v>
      </c>
    </row>
    <row r="66" spans="1:42" ht="16.5" customHeight="1" x14ac:dyDescent="0.3">
      <c r="A66" s="349" t="s">
        <v>156</v>
      </c>
      <c r="B66" s="350" t="s">
        <v>370</v>
      </c>
      <c r="C66" s="1207" t="s">
        <v>254</v>
      </c>
      <c r="D66" s="390">
        <v>5.0999999999999997E-2</v>
      </c>
      <c r="E66" s="390">
        <v>5.2000000000000005E-2</v>
      </c>
      <c r="F66" s="390">
        <v>5.7000000000000002E-2</v>
      </c>
      <c r="G66" s="390">
        <v>5.5999999999999994E-2</v>
      </c>
      <c r="H66" s="390">
        <v>5.5E-2</v>
      </c>
      <c r="I66" s="390">
        <v>5.2000000000000005E-2</v>
      </c>
      <c r="J66" s="390">
        <v>5.5E-2</v>
      </c>
      <c r="K66" s="390">
        <v>5.2999999999999999E-2</v>
      </c>
      <c r="L66" s="390">
        <v>5.5999999999999994E-2</v>
      </c>
      <c r="M66" s="390">
        <v>5.5999999999999994E-2</v>
      </c>
      <c r="N66" s="391">
        <v>5.7999999999999996E-2</v>
      </c>
      <c r="O66" s="827">
        <v>6.9000000000000006E-2</v>
      </c>
      <c r="P66" s="827">
        <v>6.7000000000000004E-2</v>
      </c>
      <c r="Q66" s="827">
        <v>6.6663142313385493E-2</v>
      </c>
      <c r="R66" s="1344">
        <v>6.1789370787672993E-2</v>
      </c>
      <c r="S66" s="1344">
        <v>6.7215432784567222E-2</v>
      </c>
      <c r="T66" s="1344">
        <v>5.8508566978193149E-2</v>
      </c>
      <c r="U66" s="2378">
        <v>5.5239449976292085E-2</v>
      </c>
      <c r="V66" s="1694">
        <v>5.1945668135095449E-2</v>
      </c>
      <c r="W66" s="392"/>
      <c r="X66" s="396">
        <v>683</v>
      </c>
      <c r="Y66" s="396">
        <v>720</v>
      </c>
      <c r="Z66" s="396">
        <v>823</v>
      </c>
      <c r="AA66" s="396">
        <v>858</v>
      </c>
      <c r="AB66" s="396">
        <v>864</v>
      </c>
      <c r="AC66" s="396">
        <v>821</v>
      </c>
      <c r="AD66" s="396">
        <v>905</v>
      </c>
      <c r="AE66" s="396">
        <v>880</v>
      </c>
      <c r="AF66" s="393">
        <v>959</v>
      </c>
      <c r="AG66" s="393">
        <v>981</v>
      </c>
      <c r="AH66" s="394">
        <v>1037</v>
      </c>
      <c r="AI66" s="834">
        <v>1257</v>
      </c>
      <c r="AJ66" s="1039">
        <v>1238</v>
      </c>
      <c r="AK66" s="1043">
        <v>1261</v>
      </c>
      <c r="AL66" s="1349">
        <v>1201</v>
      </c>
      <c r="AM66" s="1349">
        <v>1331</v>
      </c>
      <c r="AN66" s="1349">
        <v>1202</v>
      </c>
      <c r="AO66" s="1349">
        <v>1165</v>
      </c>
      <c r="AP66" s="1697">
        <v>1132</v>
      </c>
    </row>
    <row r="67" spans="1:42" ht="16.5" customHeight="1" x14ac:dyDescent="0.3">
      <c r="A67" s="349" t="s">
        <v>162</v>
      </c>
      <c r="B67" s="350" t="s">
        <v>371</v>
      </c>
      <c r="C67" s="1207" t="s">
        <v>252</v>
      </c>
      <c r="D67" s="390">
        <v>0.18600000000000003</v>
      </c>
      <c r="E67" s="390">
        <v>0.17600000000000002</v>
      </c>
      <c r="F67" s="390">
        <v>0.184</v>
      </c>
      <c r="G67" s="390">
        <v>0.18100000000000002</v>
      </c>
      <c r="H67" s="390">
        <v>0.17600000000000002</v>
      </c>
      <c r="I67" s="390">
        <v>0.19899999999999998</v>
      </c>
      <c r="J67" s="390">
        <v>0.18899999999999997</v>
      </c>
      <c r="K67" s="390">
        <v>0.20800000000000002</v>
      </c>
      <c r="L67" s="390">
        <v>0.19500000000000001</v>
      </c>
      <c r="M67" s="390">
        <v>0.20600000000000002</v>
      </c>
      <c r="N67" s="391">
        <v>0.18699999999999997</v>
      </c>
      <c r="O67" s="827">
        <v>0.22699999999999998</v>
      </c>
      <c r="P67" s="827">
        <v>0.22500000000000001</v>
      </c>
      <c r="Q67" s="827">
        <v>0.22372624852866993</v>
      </c>
      <c r="R67" s="1344">
        <v>0.21479613282891971</v>
      </c>
      <c r="S67" s="1344">
        <v>0.20504864139550485</v>
      </c>
      <c r="T67" s="1344">
        <v>0.20309087854863095</v>
      </c>
      <c r="U67" s="2378">
        <v>0.18561225367868514</v>
      </c>
      <c r="V67" s="1694">
        <v>0.18823835997220292</v>
      </c>
      <c r="W67" s="392"/>
      <c r="X67" s="393">
        <v>2377</v>
      </c>
      <c r="Y67" s="393">
        <v>2271</v>
      </c>
      <c r="Z67" s="393">
        <v>2426</v>
      </c>
      <c r="AA67" s="393">
        <v>2380</v>
      </c>
      <c r="AB67" s="393">
        <v>2359</v>
      </c>
      <c r="AC67" s="393">
        <v>2614</v>
      </c>
      <c r="AD67" s="393">
        <v>2527</v>
      </c>
      <c r="AE67" s="393">
        <v>2732</v>
      </c>
      <c r="AF67" s="393">
        <v>2560</v>
      </c>
      <c r="AG67" s="393">
        <v>2723</v>
      </c>
      <c r="AH67" s="394">
        <v>2258</v>
      </c>
      <c r="AI67" s="834">
        <v>2744</v>
      </c>
      <c r="AJ67" s="1039">
        <v>2705</v>
      </c>
      <c r="AK67" s="1043">
        <v>2661</v>
      </c>
      <c r="AL67" s="1349">
        <v>2555</v>
      </c>
      <c r="AM67" s="1349">
        <v>2445</v>
      </c>
      <c r="AN67" s="1349">
        <v>2418</v>
      </c>
      <c r="AO67" s="1349">
        <v>2157</v>
      </c>
      <c r="AP67" s="1697">
        <v>2167</v>
      </c>
    </row>
    <row r="68" spans="1:42" ht="16.5" customHeight="1" x14ac:dyDescent="0.3">
      <c r="A68" s="349" t="s">
        <v>164</v>
      </c>
      <c r="B68" s="350" t="s">
        <v>372</v>
      </c>
      <c r="C68" s="1207" t="s">
        <v>254</v>
      </c>
      <c r="D68" s="390">
        <v>0.11800000000000001</v>
      </c>
      <c r="E68" s="390">
        <v>0.11699999999999999</v>
      </c>
      <c r="F68" s="390">
        <v>0.13</v>
      </c>
      <c r="G68" s="390">
        <v>0.12300000000000001</v>
      </c>
      <c r="H68" s="390">
        <v>0.11800000000000001</v>
      </c>
      <c r="I68" s="390">
        <v>0.124</v>
      </c>
      <c r="J68" s="390">
        <v>0.13400000000000001</v>
      </c>
      <c r="K68" s="390">
        <v>0.13600000000000001</v>
      </c>
      <c r="L68" s="390">
        <v>0.13</v>
      </c>
      <c r="M68" s="390">
        <v>0.13600000000000001</v>
      </c>
      <c r="N68" s="391">
        <v>0.14399999999999999</v>
      </c>
      <c r="O68" s="827">
        <v>0.13800000000000001</v>
      </c>
      <c r="P68" s="827">
        <v>0.14699999999999999</v>
      </c>
      <c r="Q68" s="827">
        <v>0.16063794804340678</v>
      </c>
      <c r="R68" s="1344">
        <v>0.14321957607005484</v>
      </c>
      <c r="S68" s="1344">
        <v>0.13657976717494671</v>
      </c>
      <c r="T68" s="1344">
        <v>0.133946158896914</v>
      </c>
      <c r="U68" s="2378">
        <v>0.14386079568662691</v>
      </c>
      <c r="V68" s="1694">
        <v>0.14775072224515065</v>
      </c>
      <c r="W68" s="392"/>
      <c r="X68" s="393">
        <v>1458</v>
      </c>
      <c r="Y68" s="393">
        <v>1477</v>
      </c>
      <c r="Z68" s="393">
        <v>1666</v>
      </c>
      <c r="AA68" s="393">
        <v>1592</v>
      </c>
      <c r="AB68" s="393">
        <v>1523</v>
      </c>
      <c r="AC68" s="393">
        <v>1591</v>
      </c>
      <c r="AD68" s="393">
        <v>1709</v>
      </c>
      <c r="AE68" s="393">
        <v>1756</v>
      </c>
      <c r="AF68" s="393">
        <v>1679</v>
      </c>
      <c r="AG68" s="393">
        <v>1766</v>
      </c>
      <c r="AH68" s="394">
        <v>1766</v>
      </c>
      <c r="AI68" s="834">
        <v>1719</v>
      </c>
      <c r="AJ68" s="1039">
        <v>1816</v>
      </c>
      <c r="AK68" s="1043">
        <v>1954</v>
      </c>
      <c r="AL68" s="1349">
        <v>1750</v>
      </c>
      <c r="AM68" s="1349">
        <v>1666</v>
      </c>
      <c r="AN68" s="1349">
        <v>1632</v>
      </c>
      <c r="AO68" s="1349">
        <v>1761</v>
      </c>
      <c r="AP68" s="1697">
        <v>1790</v>
      </c>
    </row>
    <row r="69" spans="1:42" ht="16.5" customHeight="1" x14ac:dyDescent="0.3">
      <c r="A69" s="349" t="s">
        <v>168</v>
      </c>
      <c r="B69" s="350" t="s">
        <v>373</v>
      </c>
      <c r="C69" s="1207" t="s">
        <v>254</v>
      </c>
      <c r="D69" s="390">
        <v>0.16399999999999998</v>
      </c>
      <c r="E69" s="390">
        <v>0.156</v>
      </c>
      <c r="F69" s="390">
        <v>0.17</v>
      </c>
      <c r="G69" s="390">
        <v>0.17300000000000001</v>
      </c>
      <c r="H69" s="390">
        <v>0.16800000000000001</v>
      </c>
      <c r="I69" s="390">
        <v>0.19399999999999998</v>
      </c>
      <c r="J69" s="390">
        <v>0.193</v>
      </c>
      <c r="K69" s="390">
        <v>0.19899999999999998</v>
      </c>
      <c r="L69" s="390">
        <v>0.20600000000000002</v>
      </c>
      <c r="M69" s="390">
        <v>0.20300000000000001</v>
      </c>
      <c r="N69" s="391">
        <v>0.20799999999999999</v>
      </c>
      <c r="O69" s="827">
        <v>0.221</v>
      </c>
      <c r="P69" s="827">
        <v>0.23300000000000001</v>
      </c>
      <c r="Q69" s="827">
        <v>0.2353453911527566</v>
      </c>
      <c r="R69" s="1344">
        <v>0.24342873831775702</v>
      </c>
      <c r="S69" s="1344">
        <v>0.23663838022926903</v>
      </c>
      <c r="T69" s="1344">
        <v>0.22918707149853085</v>
      </c>
      <c r="U69" s="2378">
        <v>0.22122684482235044</v>
      </c>
      <c r="V69" s="1694">
        <v>0.22445255474452555</v>
      </c>
      <c r="W69" s="392"/>
      <c r="X69" s="393">
        <v>2331</v>
      </c>
      <c r="Y69" s="393">
        <v>2210</v>
      </c>
      <c r="Z69" s="393">
        <v>2405</v>
      </c>
      <c r="AA69" s="393">
        <v>2444</v>
      </c>
      <c r="AB69" s="393">
        <v>2367</v>
      </c>
      <c r="AC69" s="393">
        <v>2703</v>
      </c>
      <c r="AD69" s="393">
        <v>2702</v>
      </c>
      <c r="AE69" s="393">
        <v>2785</v>
      </c>
      <c r="AF69" s="393">
        <v>2921</v>
      </c>
      <c r="AG69" s="393">
        <v>2880</v>
      </c>
      <c r="AH69" s="394">
        <v>2903</v>
      </c>
      <c r="AI69" s="834">
        <v>3085</v>
      </c>
      <c r="AJ69" s="1039">
        <v>3226</v>
      </c>
      <c r="AK69" s="1043">
        <v>3240</v>
      </c>
      <c r="AL69" s="1349">
        <v>3334</v>
      </c>
      <c r="AM69" s="1349">
        <v>3179</v>
      </c>
      <c r="AN69" s="1349">
        <v>3042</v>
      </c>
      <c r="AO69" s="1349">
        <v>2914</v>
      </c>
      <c r="AP69" s="1697">
        <v>2952</v>
      </c>
    </row>
    <row r="70" spans="1:42" ht="16.5" customHeight="1" x14ac:dyDescent="0.3">
      <c r="A70" s="349" t="s">
        <v>170</v>
      </c>
      <c r="B70" s="350" t="s">
        <v>374</v>
      </c>
      <c r="C70" s="1207" t="s">
        <v>255</v>
      </c>
      <c r="D70" s="390">
        <v>8.900000000000001E-2</v>
      </c>
      <c r="E70" s="390">
        <v>8.6999999999999994E-2</v>
      </c>
      <c r="F70" s="390">
        <v>8.8000000000000009E-2</v>
      </c>
      <c r="G70" s="390">
        <v>8.5999999999999993E-2</v>
      </c>
      <c r="H70" s="390">
        <v>0.08</v>
      </c>
      <c r="I70" s="390">
        <v>8.4000000000000005E-2</v>
      </c>
      <c r="J70" s="390">
        <v>7.8E-2</v>
      </c>
      <c r="K70" s="390">
        <v>8.5999999999999993E-2</v>
      </c>
      <c r="L70" s="390">
        <v>8.199999999999999E-2</v>
      </c>
      <c r="M70" s="390">
        <v>9.5000000000000001E-2</v>
      </c>
      <c r="N70" s="391">
        <v>0.10699999999999998</v>
      </c>
      <c r="O70" s="827">
        <v>0.11900000000000001</v>
      </c>
      <c r="P70" s="827">
        <v>0.1</v>
      </c>
      <c r="Q70" s="827">
        <v>0.10405337879544987</v>
      </c>
      <c r="R70" s="1344">
        <v>0.10683735816118708</v>
      </c>
      <c r="S70" s="1344">
        <v>0.10368364966446819</v>
      </c>
      <c r="T70" s="1344">
        <v>9.2163782961751456E-2</v>
      </c>
      <c r="U70" s="2378">
        <v>9.1240257539817016E-2</v>
      </c>
      <c r="V70" s="1694">
        <v>9.4153948794929526E-2</v>
      </c>
      <c r="W70" s="392"/>
      <c r="X70" s="393">
        <v>2338</v>
      </c>
      <c r="Y70" s="393">
        <v>2333</v>
      </c>
      <c r="Z70" s="393">
        <v>2447</v>
      </c>
      <c r="AA70" s="393">
        <v>2444</v>
      </c>
      <c r="AB70" s="393">
        <v>2375</v>
      </c>
      <c r="AC70" s="393">
        <v>2490</v>
      </c>
      <c r="AD70" s="393">
        <v>2412</v>
      </c>
      <c r="AE70" s="393">
        <v>2728</v>
      </c>
      <c r="AF70" s="393">
        <v>2677</v>
      </c>
      <c r="AG70" s="393">
        <v>3130</v>
      </c>
      <c r="AH70" s="394">
        <v>3517</v>
      </c>
      <c r="AI70" s="834">
        <v>3950</v>
      </c>
      <c r="AJ70" s="1039">
        <v>3364</v>
      </c>
      <c r="AK70" s="1043">
        <v>3540</v>
      </c>
      <c r="AL70" s="1349">
        <v>3672</v>
      </c>
      <c r="AM70" s="1349">
        <v>3600</v>
      </c>
      <c r="AN70" s="1349">
        <v>3212</v>
      </c>
      <c r="AO70" s="1349">
        <v>3231</v>
      </c>
      <c r="AP70" s="1697">
        <v>3387</v>
      </c>
    </row>
    <row r="71" spans="1:42" ht="16.5" customHeight="1" x14ac:dyDescent="0.3">
      <c r="A71" s="349" t="s">
        <v>172</v>
      </c>
      <c r="B71" s="350" t="s">
        <v>375</v>
      </c>
      <c r="C71" s="1207" t="s">
        <v>255</v>
      </c>
      <c r="D71" s="390">
        <v>0.106</v>
      </c>
      <c r="E71" s="390">
        <v>0.10099999999999999</v>
      </c>
      <c r="F71" s="390">
        <v>0.11</v>
      </c>
      <c r="G71" s="390">
        <v>0.12</v>
      </c>
      <c r="H71" s="390">
        <v>0.11599999999999999</v>
      </c>
      <c r="I71" s="390">
        <v>0.13300000000000001</v>
      </c>
      <c r="J71" s="390">
        <v>0.13</v>
      </c>
      <c r="K71" s="390">
        <v>0.122</v>
      </c>
      <c r="L71" s="390">
        <v>0.14199999999999999</v>
      </c>
      <c r="M71" s="390">
        <v>0.125</v>
      </c>
      <c r="N71" s="391">
        <v>0.15699999999999997</v>
      </c>
      <c r="O71" s="827">
        <v>0.17100000000000001</v>
      </c>
      <c r="P71" s="827">
        <v>0.156</v>
      </c>
      <c r="Q71" s="827">
        <v>0.15255675790367071</v>
      </c>
      <c r="R71" s="1344">
        <v>0.16910300410999535</v>
      </c>
      <c r="S71" s="1344">
        <v>0.15047075363183232</v>
      </c>
      <c r="T71" s="1344">
        <v>0.16386644435894146</v>
      </c>
      <c r="U71" s="2378">
        <v>0.15408858603066439</v>
      </c>
      <c r="V71" s="1694">
        <v>0.13908599425578644</v>
      </c>
      <c r="W71" s="392"/>
      <c r="X71" s="393">
        <v>2439</v>
      </c>
      <c r="Y71" s="393">
        <v>2339</v>
      </c>
      <c r="Z71" s="393">
        <v>2578</v>
      </c>
      <c r="AA71" s="393">
        <v>2818</v>
      </c>
      <c r="AB71" s="393">
        <v>2752</v>
      </c>
      <c r="AC71" s="393">
        <v>3116</v>
      </c>
      <c r="AD71" s="393">
        <v>3093</v>
      </c>
      <c r="AE71" s="393">
        <v>2912</v>
      </c>
      <c r="AF71" s="393">
        <v>3370</v>
      </c>
      <c r="AG71" s="393">
        <v>2964</v>
      </c>
      <c r="AH71" s="394">
        <v>3725</v>
      </c>
      <c r="AI71" s="834">
        <v>4055</v>
      </c>
      <c r="AJ71" s="1039">
        <v>3683</v>
      </c>
      <c r="AK71" s="1043">
        <v>3595</v>
      </c>
      <c r="AL71" s="1349">
        <v>3991</v>
      </c>
      <c r="AM71" s="1349">
        <v>3532</v>
      </c>
      <c r="AN71" s="1349">
        <v>3833</v>
      </c>
      <c r="AO71" s="1349">
        <v>3618</v>
      </c>
      <c r="AP71" s="1697">
        <v>3293</v>
      </c>
    </row>
    <row r="72" spans="1:42" ht="16.5" customHeight="1" x14ac:dyDescent="0.3">
      <c r="A72" s="349" t="s">
        <v>174</v>
      </c>
      <c r="B72" s="350" t="s">
        <v>376</v>
      </c>
      <c r="C72" s="1207" t="s">
        <v>256</v>
      </c>
      <c r="D72" s="390">
        <v>0.125</v>
      </c>
      <c r="E72" s="390">
        <v>0.129</v>
      </c>
      <c r="F72" s="390">
        <v>0.13600000000000001</v>
      </c>
      <c r="G72" s="390">
        <v>0.14099999999999999</v>
      </c>
      <c r="H72" s="390">
        <v>0.14000000000000001</v>
      </c>
      <c r="I72" s="390">
        <v>0.161</v>
      </c>
      <c r="J72" s="390">
        <v>0.14099999999999999</v>
      </c>
      <c r="K72" s="390">
        <v>0.15</v>
      </c>
      <c r="L72" s="390">
        <v>0.17100000000000001</v>
      </c>
      <c r="M72" s="390">
        <v>0.17600000000000002</v>
      </c>
      <c r="N72" s="391">
        <v>0.187</v>
      </c>
      <c r="O72" s="827">
        <v>0.18</v>
      </c>
      <c r="P72" s="827">
        <v>0.18099999999999999</v>
      </c>
      <c r="Q72" s="827">
        <v>0.19443982942903029</v>
      </c>
      <c r="R72" s="1344">
        <v>0.21903012081732642</v>
      </c>
      <c r="S72" s="1344">
        <v>0.16968262021534472</v>
      </c>
      <c r="T72" s="1344">
        <v>0.17891210538269361</v>
      </c>
      <c r="U72" s="2378">
        <v>0.14533910533910535</v>
      </c>
      <c r="V72" s="1694">
        <v>0.15476465159206276</v>
      </c>
      <c r="W72" s="392"/>
      <c r="X72" s="393">
        <v>2427</v>
      </c>
      <c r="Y72" s="393">
        <v>2471</v>
      </c>
      <c r="Z72" s="393">
        <v>2610</v>
      </c>
      <c r="AA72" s="393">
        <v>2701</v>
      </c>
      <c r="AB72" s="393">
        <v>2690</v>
      </c>
      <c r="AC72" s="393">
        <v>3039</v>
      </c>
      <c r="AD72" s="393">
        <v>2686</v>
      </c>
      <c r="AE72" s="393">
        <v>2797</v>
      </c>
      <c r="AF72" s="393">
        <v>3185</v>
      </c>
      <c r="AG72" s="393">
        <v>3246</v>
      </c>
      <c r="AH72" s="394">
        <v>3407</v>
      </c>
      <c r="AI72" s="834">
        <v>3260</v>
      </c>
      <c r="AJ72" s="1039">
        <v>3280</v>
      </c>
      <c r="AK72" s="1043">
        <v>3511</v>
      </c>
      <c r="AL72" s="1349">
        <v>3934</v>
      </c>
      <c r="AM72" s="1349">
        <v>3010</v>
      </c>
      <c r="AN72" s="1349">
        <v>3151</v>
      </c>
      <c r="AO72" s="1349">
        <v>2518</v>
      </c>
      <c r="AP72" s="1697">
        <v>2683</v>
      </c>
    </row>
    <row r="73" spans="1:42" ht="16.5" customHeight="1" x14ac:dyDescent="0.3">
      <c r="A73" s="349" t="s">
        <v>178</v>
      </c>
      <c r="B73" s="350" t="s">
        <v>179</v>
      </c>
      <c r="C73" s="1207" t="s">
        <v>253</v>
      </c>
      <c r="D73" s="390">
        <v>0.10099999999999999</v>
      </c>
      <c r="E73" s="390">
        <v>0.10199999999999999</v>
      </c>
      <c r="F73" s="390">
        <v>0.11599999999999999</v>
      </c>
      <c r="G73" s="390">
        <v>0.124</v>
      </c>
      <c r="H73" s="390">
        <v>0.121</v>
      </c>
      <c r="I73" s="390">
        <v>0.14300000000000002</v>
      </c>
      <c r="J73" s="390">
        <v>0.13</v>
      </c>
      <c r="K73" s="390">
        <v>0.121</v>
      </c>
      <c r="L73" s="390">
        <v>0.14400000000000002</v>
      </c>
      <c r="M73" s="390">
        <v>0.156</v>
      </c>
      <c r="N73" s="391">
        <v>0.159</v>
      </c>
      <c r="O73" s="827">
        <v>0.14699999999999999</v>
      </c>
      <c r="P73" s="827">
        <v>0.14499999999999999</v>
      </c>
      <c r="Q73" s="827">
        <v>0.15218242317478958</v>
      </c>
      <c r="R73" s="1344">
        <v>0.14556993001288807</v>
      </c>
      <c r="S73" s="1344">
        <v>0.17141968436906554</v>
      </c>
      <c r="T73" s="1344">
        <v>0.13562933597621407</v>
      </c>
      <c r="U73" s="2378">
        <v>0.12636321319324378</v>
      </c>
      <c r="V73" s="1694">
        <v>0.16405362037841814</v>
      </c>
      <c r="W73" s="392"/>
      <c r="X73" s="393">
        <v>6252</v>
      </c>
      <c r="Y73" s="393">
        <v>6276</v>
      </c>
      <c r="Z73" s="393">
        <v>7149</v>
      </c>
      <c r="AA73" s="393">
        <v>7661</v>
      </c>
      <c r="AB73" s="393">
        <v>7497</v>
      </c>
      <c r="AC73" s="393">
        <v>8779</v>
      </c>
      <c r="AD73" s="393">
        <v>7914</v>
      </c>
      <c r="AE73" s="393">
        <v>7281</v>
      </c>
      <c r="AF73" s="393">
        <v>8732</v>
      </c>
      <c r="AG73" s="393">
        <v>9386</v>
      </c>
      <c r="AH73" s="394">
        <v>9951</v>
      </c>
      <c r="AI73" s="834">
        <v>9113</v>
      </c>
      <c r="AJ73" s="1039">
        <v>8965</v>
      </c>
      <c r="AK73" s="1043">
        <v>9330</v>
      </c>
      <c r="AL73" s="1349">
        <v>8923</v>
      </c>
      <c r="AM73" s="1349">
        <v>10471</v>
      </c>
      <c r="AN73" s="1349">
        <v>8211</v>
      </c>
      <c r="AO73" s="1349">
        <v>7601</v>
      </c>
      <c r="AP73" s="1697">
        <v>9815</v>
      </c>
    </row>
    <row r="74" spans="1:42" ht="16.5" customHeight="1" x14ac:dyDescent="0.3">
      <c r="A74" s="349" t="s">
        <v>182</v>
      </c>
      <c r="B74" s="350" t="s">
        <v>378</v>
      </c>
      <c r="C74" s="1207" t="s">
        <v>254</v>
      </c>
      <c r="D74" s="390">
        <v>5.4000000000000006E-2</v>
      </c>
      <c r="E74" s="390">
        <v>5.2999999999999999E-2</v>
      </c>
      <c r="F74" s="390">
        <v>5.5999999999999994E-2</v>
      </c>
      <c r="G74" s="390">
        <v>5.9000000000000004E-2</v>
      </c>
      <c r="H74" s="390">
        <v>5.7000000000000002E-2</v>
      </c>
      <c r="I74" s="390">
        <v>5.9000000000000004E-2</v>
      </c>
      <c r="J74" s="390">
        <v>5.7999999999999996E-2</v>
      </c>
      <c r="K74" s="390">
        <v>5.7999999999999996E-2</v>
      </c>
      <c r="L74" s="390">
        <v>5.7999999999999996E-2</v>
      </c>
      <c r="M74" s="390">
        <v>6.0999999999999999E-2</v>
      </c>
      <c r="N74" s="391">
        <v>7.1000000000000008E-2</v>
      </c>
      <c r="O74" s="827">
        <v>7.400000000000001E-2</v>
      </c>
      <c r="P74" s="827">
        <v>7.0999999999999994E-2</v>
      </c>
      <c r="Q74" s="827">
        <v>7.7032700381311867E-2</v>
      </c>
      <c r="R74" s="1344">
        <v>7.0709765952580619E-2</v>
      </c>
      <c r="S74" s="1344">
        <v>6.3804973477295815E-2</v>
      </c>
      <c r="T74" s="1344">
        <v>6.5818195271745164E-2</v>
      </c>
      <c r="U74" s="2378">
        <v>5.4209625122955296E-2</v>
      </c>
      <c r="V74" s="1694">
        <v>6.8831539174449272E-2</v>
      </c>
      <c r="W74" s="392"/>
      <c r="X74" s="393">
        <v>1116</v>
      </c>
      <c r="Y74" s="393">
        <v>1152</v>
      </c>
      <c r="Z74" s="393">
        <v>1271</v>
      </c>
      <c r="AA74" s="393">
        <v>1383</v>
      </c>
      <c r="AB74" s="393">
        <v>1375</v>
      </c>
      <c r="AC74" s="393">
        <v>1404</v>
      </c>
      <c r="AD74" s="393">
        <v>1445</v>
      </c>
      <c r="AE74" s="393">
        <v>1451</v>
      </c>
      <c r="AF74" s="393">
        <v>1489</v>
      </c>
      <c r="AG74" s="393">
        <v>1573</v>
      </c>
      <c r="AH74" s="394">
        <v>1821</v>
      </c>
      <c r="AI74" s="834">
        <v>1894</v>
      </c>
      <c r="AJ74" s="1039">
        <v>1821</v>
      </c>
      <c r="AK74" s="1043">
        <v>2000</v>
      </c>
      <c r="AL74" s="1349">
        <v>1855</v>
      </c>
      <c r="AM74" s="1349">
        <v>1696</v>
      </c>
      <c r="AN74" s="1349">
        <v>1779</v>
      </c>
      <c r="AO74" s="1349">
        <v>1488</v>
      </c>
      <c r="AP74" s="1697">
        <v>1931</v>
      </c>
    </row>
    <row r="75" spans="1:42" ht="16.5" customHeight="1" x14ac:dyDescent="0.3">
      <c r="A75" s="349" t="s">
        <v>184</v>
      </c>
      <c r="B75" s="350" t="s">
        <v>379</v>
      </c>
      <c r="C75" s="1207" t="s">
        <v>254</v>
      </c>
      <c r="D75" s="390">
        <v>0.18600000000000003</v>
      </c>
      <c r="E75" s="390">
        <v>0.19699999999999998</v>
      </c>
      <c r="F75" s="390">
        <v>0.221</v>
      </c>
      <c r="G75" s="390">
        <v>0.184</v>
      </c>
      <c r="H75" s="390">
        <v>0.187</v>
      </c>
      <c r="I75" s="390">
        <v>0.222</v>
      </c>
      <c r="J75" s="390">
        <v>0.19600000000000001</v>
      </c>
      <c r="K75" s="390">
        <v>0.20300000000000001</v>
      </c>
      <c r="L75" s="390">
        <v>0.23699999999999999</v>
      </c>
      <c r="M75" s="390">
        <v>0.222</v>
      </c>
      <c r="N75" s="391">
        <v>0.22800000000000001</v>
      </c>
      <c r="O75" s="827">
        <v>0.25</v>
      </c>
      <c r="P75" s="827">
        <v>0.23699999999999999</v>
      </c>
      <c r="Q75" s="827">
        <v>0.23520915801861561</v>
      </c>
      <c r="R75" s="1344">
        <v>0.25497038917089676</v>
      </c>
      <c r="S75" s="1344">
        <v>0.22297044519266743</v>
      </c>
      <c r="T75" s="1344">
        <v>0.22626925723966329</v>
      </c>
      <c r="U75" s="2378">
        <v>0.23365430653827737</v>
      </c>
      <c r="V75" s="1694">
        <v>0.20033901896387329</v>
      </c>
      <c r="W75" s="392"/>
      <c r="X75" s="393">
        <v>2980</v>
      </c>
      <c r="Y75" s="393">
        <v>3195</v>
      </c>
      <c r="Z75" s="393">
        <v>3635</v>
      </c>
      <c r="AA75" s="393">
        <v>3050</v>
      </c>
      <c r="AB75" s="393">
        <v>3136</v>
      </c>
      <c r="AC75" s="393">
        <v>3653</v>
      </c>
      <c r="AD75" s="393">
        <v>3275</v>
      </c>
      <c r="AE75" s="393">
        <v>3449</v>
      </c>
      <c r="AF75" s="393">
        <v>4105</v>
      </c>
      <c r="AG75" s="393">
        <v>3897</v>
      </c>
      <c r="AH75" s="394">
        <v>4338</v>
      </c>
      <c r="AI75" s="834">
        <v>4748</v>
      </c>
      <c r="AJ75" s="1039">
        <v>4460</v>
      </c>
      <c r="AK75" s="1043">
        <v>4397</v>
      </c>
      <c r="AL75" s="1349">
        <v>4822</v>
      </c>
      <c r="AM75" s="1349">
        <v>4172</v>
      </c>
      <c r="AN75" s="1349">
        <v>4274</v>
      </c>
      <c r="AO75" s="1349">
        <v>4392</v>
      </c>
      <c r="AP75" s="1697">
        <v>3782</v>
      </c>
    </row>
    <row r="76" spans="1:42" ht="16.5" customHeight="1" x14ac:dyDescent="0.3">
      <c r="A76" s="349" t="s">
        <v>186</v>
      </c>
      <c r="B76" s="350" t="s">
        <v>380</v>
      </c>
      <c r="C76" s="1207" t="s">
        <v>252</v>
      </c>
      <c r="D76" s="390">
        <v>7.5999999999999998E-2</v>
      </c>
      <c r="E76" s="390">
        <v>7.5999999999999998E-2</v>
      </c>
      <c r="F76" s="390">
        <v>8.1000000000000003E-2</v>
      </c>
      <c r="G76" s="390">
        <v>9.1999999999999998E-2</v>
      </c>
      <c r="H76" s="390">
        <v>8.5999999999999993E-2</v>
      </c>
      <c r="I76" s="390">
        <v>9.1999999999999998E-2</v>
      </c>
      <c r="J76" s="390">
        <v>8.5999999999999993E-2</v>
      </c>
      <c r="K76" s="390">
        <v>9.3000000000000013E-2</v>
      </c>
      <c r="L76" s="390">
        <v>0.105</v>
      </c>
      <c r="M76" s="390">
        <v>0.10199999999999999</v>
      </c>
      <c r="N76" s="391">
        <v>9.6999999999999989E-2</v>
      </c>
      <c r="O76" s="827">
        <v>0.107</v>
      </c>
      <c r="P76" s="827">
        <v>8.6999999999999994E-2</v>
      </c>
      <c r="Q76" s="827">
        <v>0.12900234886883422</v>
      </c>
      <c r="R76" s="1344">
        <v>0.10496949630583402</v>
      </c>
      <c r="S76" s="1344">
        <v>9.9328373942113662E-2</v>
      </c>
      <c r="T76" s="1344">
        <v>9.5203836930455629E-2</v>
      </c>
      <c r="U76" s="2378">
        <v>0.10739499820509753</v>
      </c>
      <c r="V76" s="1694">
        <v>8.9462454809458899E-2</v>
      </c>
      <c r="W76" s="392"/>
      <c r="X76" s="393">
        <v>2206</v>
      </c>
      <c r="Y76" s="393">
        <v>2201</v>
      </c>
      <c r="Z76" s="393">
        <v>2373</v>
      </c>
      <c r="AA76" s="393">
        <v>2716</v>
      </c>
      <c r="AB76" s="393">
        <v>2557</v>
      </c>
      <c r="AC76" s="393">
        <v>2706</v>
      </c>
      <c r="AD76" s="393">
        <v>2498</v>
      </c>
      <c r="AE76" s="393">
        <v>2663</v>
      </c>
      <c r="AF76" s="393">
        <v>3018</v>
      </c>
      <c r="AG76" s="393">
        <v>3025</v>
      </c>
      <c r="AH76" s="394">
        <v>3002</v>
      </c>
      <c r="AI76" s="834">
        <v>3404</v>
      </c>
      <c r="AJ76" s="1039">
        <v>2781</v>
      </c>
      <c r="AK76" s="1043">
        <v>4174</v>
      </c>
      <c r="AL76" s="1349">
        <v>3424</v>
      </c>
      <c r="AM76" s="1349">
        <v>3298</v>
      </c>
      <c r="AN76" s="1349">
        <v>3176</v>
      </c>
      <c r="AO76" s="1349">
        <v>3590</v>
      </c>
      <c r="AP76" s="1697">
        <v>3019</v>
      </c>
    </row>
    <row r="77" spans="1:42" ht="16.5" customHeight="1" x14ac:dyDescent="0.3">
      <c r="A77" s="349" t="s">
        <v>188</v>
      </c>
      <c r="B77" s="350" t="s">
        <v>381</v>
      </c>
      <c r="C77" s="1207" t="s">
        <v>255</v>
      </c>
      <c r="D77" s="390">
        <v>4.8000000000000001E-2</v>
      </c>
      <c r="E77" s="390">
        <v>4.8000000000000001E-2</v>
      </c>
      <c r="F77" s="390">
        <v>5.5E-2</v>
      </c>
      <c r="G77" s="390">
        <v>0.06</v>
      </c>
      <c r="H77" s="390">
        <v>5.5999999999999994E-2</v>
      </c>
      <c r="I77" s="390">
        <v>0.05</v>
      </c>
      <c r="J77" s="390">
        <v>5.0999999999999997E-2</v>
      </c>
      <c r="K77" s="390">
        <v>0.05</v>
      </c>
      <c r="L77" s="390">
        <v>5.2999999999999999E-2</v>
      </c>
      <c r="M77" s="390">
        <v>0.06</v>
      </c>
      <c r="N77" s="391">
        <v>6.0999999999999999E-2</v>
      </c>
      <c r="O77" s="827">
        <v>6.9000000000000006E-2</v>
      </c>
      <c r="P77" s="827">
        <v>6.7000000000000004E-2</v>
      </c>
      <c r="Q77" s="827">
        <v>6.9617601561636766E-2</v>
      </c>
      <c r="R77" s="1344">
        <v>7.2213511440537032E-2</v>
      </c>
      <c r="S77" s="1344">
        <v>6.6880924018353424E-2</v>
      </c>
      <c r="T77" s="1344">
        <v>7.3915445949274669E-2</v>
      </c>
      <c r="U77" s="2378">
        <v>6.1194595937798357E-2</v>
      </c>
      <c r="V77" s="1694">
        <v>6.3742707722047709E-2</v>
      </c>
      <c r="W77" s="392"/>
      <c r="X77" s="393">
        <v>14234</v>
      </c>
      <c r="Y77" s="393">
        <v>14982</v>
      </c>
      <c r="Z77" s="393">
        <v>17871</v>
      </c>
      <c r="AA77" s="393">
        <v>20293</v>
      </c>
      <c r="AB77" s="393">
        <v>19550</v>
      </c>
      <c r="AC77" s="393">
        <v>17235</v>
      </c>
      <c r="AD77" s="393">
        <v>18174</v>
      </c>
      <c r="AE77" s="393">
        <v>17703</v>
      </c>
      <c r="AF77" s="393">
        <v>19016</v>
      </c>
      <c r="AG77" s="393">
        <v>22535</v>
      </c>
      <c r="AH77" s="394">
        <v>24696</v>
      </c>
      <c r="AI77" s="834">
        <v>28639</v>
      </c>
      <c r="AJ77" s="1039">
        <v>28559</v>
      </c>
      <c r="AK77" s="1043">
        <v>30243</v>
      </c>
      <c r="AL77" s="1349">
        <v>31917</v>
      </c>
      <c r="AM77" s="1349">
        <v>29925</v>
      </c>
      <c r="AN77" s="1349">
        <v>33308</v>
      </c>
      <c r="AO77" s="1349">
        <v>28074</v>
      </c>
      <c r="AP77" s="1697">
        <v>29545</v>
      </c>
    </row>
    <row r="78" spans="1:42" ht="16.5" customHeight="1" x14ac:dyDescent="0.3">
      <c r="A78" s="349" t="s">
        <v>190</v>
      </c>
      <c r="B78" s="350" t="s">
        <v>382</v>
      </c>
      <c r="C78" s="1207" t="s">
        <v>256</v>
      </c>
      <c r="D78" s="390">
        <v>0.11199999999999999</v>
      </c>
      <c r="E78" s="390">
        <v>0.113</v>
      </c>
      <c r="F78" s="390">
        <v>0.124</v>
      </c>
      <c r="G78" s="390">
        <v>0.13</v>
      </c>
      <c r="H78" s="390">
        <v>0.13100000000000001</v>
      </c>
      <c r="I78" s="390">
        <v>0.157</v>
      </c>
      <c r="J78" s="390">
        <v>0.14099999999999999</v>
      </c>
      <c r="K78" s="390">
        <v>0.14099999999999999</v>
      </c>
      <c r="L78" s="390">
        <v>0.154</v>
      </c>
      <c r="M78" s="390">
        <v>0.14199999999999999</v>
      </c>
      <c r="N78" s="391">
        <v>0.158</v>
      </c>
      <c r="O78" s="827">
        <v>0.16500000000000001</v>
      </c>
      <c r="P78" s="827">
        <v>0.16600000000000001</v>
      </c>
      <c r="Q78" s="827">
        <v>0.15722911472258103</v>
      </c>
      <c r="R78" s="1344">
        <v>0.14719647332346991</v>
      </c>
      <c r="S78" s="1344">
        <v>0.15029285671155124</v>
      </c>
      <c r="T78" s="1344">
        <v>0.14430425815843745</v>
      </c>
      <c r="U78" s="2378">
        <v>0.1479752667313288</v>
      </c>
      <c r="V78" s="1694">
        <v>0.14557442800279541</v>
      </c>
      <c r="W78" s="392"/>
      <c r="X78" s="393">
        <v>3813</v>
      </c>
      <c r="Y78" s="393">
        <v>3825</v>
      </c>
      <c r="Z78" s="393">
        <v>4236</v>
      </c>
      <c r="AA78" s="393">
        <v>4427</v>
      </c>
      <c r="AB78" s="393">
        <v>4463</v>
      </c>
      <c r="AC78" s="393">
        <v>5295</v>
      </c>
      <c r="AD78" s="393">
        <v>4751</v>
      </c>
      <c r="AE78" s="393">
        <v>4753</v>
      </c>
      <c r="AF78" s="393">
        <v>5193</v>
      </c>
      <c r="AG78" s="393">
        <v>4766</v>
      </c>
      <c r="AH78" s="394">
        <v>5355</v>
      </c>
      <c r="AI78" s="834">
        <v>5533</v>
      </c>
      <c r="AJ78" s="1039">
        <v>5563</v>
      </c>
      <c r="AK78" s="1043">
        <v>5234</v>
      </c>
      <c r="AL78" s="1349">
        <v>4875</v>
      </c>
      <c r="AM78" s="1349">
        <v>4978</v>
      </c>
      <c r="AN78" s="1349">
        <v>4758</v>
      </c>
      <c r="AO78" s="1349">
        <v>4882</v>
      </c>
      <c r="AP78" s="1697">
        <v>4791</v>
      </c>
    </row>
    <row r="79" spans="1:42" ht="16.5" customHeight="1" x14ac:dyDescent="0.3">
      <c r="A79" s="349" t="s">
        <v>194</v>
      </c>
      <c r="B79" s="350" t="s">
        <v>195</v>
      </c>
      <c r="C79" s="1207" t="s">
        <v>255</v>
      </c>
      <c r="D79" s="390">
        <v>7.9000000000000001E-2</v>
      </c>
      <c r="E79" s="390">
        <v>7.5999999999999998E-2</v>
      </c>
      <c r="F79" s="390">
        <v>7.5999999999999998E-2</v>
      </c>
      <c r="G79" s="390">
        <v>7.400000000000001E-2</v>
      </c>
      <c r="H79" s="390">
        <v>6.6000000000000003E-2</v>
      </c>
      <c r="I79" s="390">
        <v>7.0999999999999994E-2</v>
      </c>
      <c r="J79" s="390">
        <v>7.8E-2</v>
      </c>
      <c r="K79" s="390">
        <v>7.8E-2</v>
      </c>
      <c r="L79" s="390">
        <v>8.199999999999999E-2</v>
      </c>
      <c r="M79" s="390">
        <v>9.1999999999999998E-2</v>
      </c>
      <c r="N79" s="391">
        <v>9.8000000000000004E-2</v>
      </c>
      <c r="O79" s="827">
        <v>0.1</v>
      </c>
      <c r="P79" s="827">
        <v>0.106</v>
      </c>
      <c r="Q79" s="827">
        <v>0.10336473755047107</v>
      </c>
      <c r="R79" s="1344">
        <v>9.3493712411153632E-2</v>
      </c>
      <c r="S79" s="1344">
        <v>9.8063284233497E-2</v>
      </c>
      <c r="T79" s="1344">
        <v>9.9345870809484871E-2</v>
      </c>
      <c r="U79" s="2378">
        <v>8.9484536082474225E-2</v>
      </c>
      <c r="V79" s="1694">
        <v>8.7276259192451786E-2</v>
      </c>
      <c r="W79" s="392"/>
      <c r="X79" s="396">
        <v>557</v>
      </c>
      <c r="Y79" s="396">
        <v>541</v>
      </c>
      <c r="Z79" s="396">
        <v>542</v>
      </c>
      <c r="AA79" s="396">
        <v>532</v>
      </c>
      <c r="AB79" s="396">
        <v>482</v>
      </c>
      <c r="AC79" s="396">
        <v>515</v>
      </c>
      <c r="AD79" s="396">
        <v>555</v>
      </c>
      <c r="AE79" s="396">
        <v>561</v>
      </c>
      <c r="AF79" s="393">
        <v>581</v>
      </c>
      <c r="AG79" s="393">
        <v>644</v>
      </c>
      <c r="AH79" s="394">
        <v>720</v>
      </c>
      <c r="AI79" s="834">
        <v>742</v>
      </c>
      <c r="AJ79" s="1039">
        <v>783</v>
      </c>
      <c r="AK79" s="1043">
        <v>768</v>
      </c>
      <c r="AL79" s="1349">
        <v>684</v>
      </c>
      <c r="AM79" s="1349">
        <v>719</v>
      </c>
      <c r="AN79" s="1349">
        <v>729</v>
      </c>
      <c r="AO79" s="1349">
        <v>651</v>
      </c>
      <c r="AP79" s="1697">
        <v>629</v>
      </c>
    </row>
    <row r="80" spans="1:42" ht="16.5" customHeight="1" x14ac:dyDescent="0.3">
      <c r="A80" s="349" t="s">
        <v>198</v>
      </c>
      <c r="B80" s="350" t="s">
        <v>260</v>
      </c>
      <c r="C80" s="1207" t="s">
        <v>254</v>
      </c>
      <c r="D80" s="390">
        <v>0.157</v>
      </c>
      <c r="E80" s="390">
        <v>0.16</v>
      </c>
      <c r="F80" s="390">
        <v>0.16800000000000001</v>
      </c>
      <c r="G80" s="390">
        <v>0.156</v>
      </c>
      <c r="H80" s="390">
        <v>0.158</v>
      </c>
      <c r="I80" s="390">
        <v>0.17</v>
      </c>
      <c r="J80" s="390">
        <v>0.16500000000000001</v>
      </c>
      <c r="K80" s="390">
        <v>0.17699999999999999</v>
      </c>
      <c r="L80" s="390">
        <v>0.184</v>
      </c>
      <c r="M80" s="390">
        <v>0.193</v>
      </c>
      <c r="N80" s="391">
        <v>0.185</v>
      </c>
      <c r="O80" s="827">
        <v>0.20399999999999999</v>
      </c>
      <c r="P80" s="827">
        <v>0.20300000000000001</v>
      </c>
      <c r="Q80" s="827">
        <v>0.20313143798928718</v>
      </c>
      <c r="R80" s="1344">
        <v>0.19712328767123288</v>
      </c>
      <c r="S80" s="1344">
        <v>0.17666528754654531</v>
      </c>
      <c r="T80" s="1344">
        <v>0.19269972451790635</v>
      </c>
      <c r="U80" s="2378">
        <v>0.18377120963327859</v>
      </c>
      <c r="V80" s="1694">
        <v>0.15911256295086429</v>
      </c>
      <c r="W80" s="392"/>
      <c r="X80" s="393">
        <v>1110</v>
      </c>
      <c r="Y80" s="393">
        <v>1144</v>
      </c>
      <c r="Z80" s="393">
        <v>1216</v>
      </c>
      <c r="AA80" s="393">
        <v>1120</v>
      </c>
      <c r="AB80" s="393">
        <v>1141</v>
      </c>
      <c r="AC80" s="393">
        <v>1219</v>
      </c>
      <c r="AD80" s="393">
        <v>1192</v>
      </c>
      <c r="AE80" s="393">
        <v>1272</v>
      </c>
      <c r="AF80" s="393">
        <v>1315</v>
      </c>
      <c r="AG80" s="393">
        <v>1342</v>
      </c>
      <c r="AH80" s="394">
        <v>1377</v>
      </c>
      <c r="AI80" s="834">
        <v>1510</v>
      </c>
      <c r="AJ80" s="1039">
        <v>1484</v>
      </c>
      <c r="AK80" s="1043">
        <v>1479</v>
      </c>
      <c r="AL80" s="1349">
        <v>1439</v>
      </c>
      <c r="AM80" s="1349">
        <v>1281</v>
      </c>
      <c r="AN80" s="1349">
        <v>1399</v>
      </c>
      <c r="AO80" s="1349">
        <v>1343</v>
      </c>
      <c r="AP80" s="1697">
        <v>1169</v>
      </c>
    </row>
    <row r="81" spans="1:42" ht="16.5" customHeight="1" x14ac:dyDescent="0.3">
      <c r="A81" s="349" t="s">
        <v>202</v>
      </c>
      <c r="B81" s="350" t="s">
        <v>474</v>
      </c>
      <c r="C81" s="1207" t="s">
        <v>253</v>
      </c>
      <c r="D81" s="390">
        <v>5.2900000000000003E-2</v>
      </c>
      <c r="E81" s="390">
        <v>5.7000000000000002E-2</v>
      </c>
      <c r="F81" s="390">
        <v>6.5299999999999997E-2</v>
      </c>
      <c r="G81" s="390">
        <v>7.2300000000000003E-2</v>
      </c>
      <c r="H81" s="390">
        <v>6.8699999999999997E-2</v>
      </c>
      <c r="I81" s="390">
        <v>6.3E-2</v>
      </c>
      <c r="J81" s="390">
        <v>6.1500000000000006E-2</v>
      </c>
      <c r="K81" s="390">
        <v>6.480000000000001E-2</v>
      </c>
      <c r="L81" s="390">
        <v>7.0800000000000002E-2</v>
      </c>
      <c r="M81" s="390">
        <v>6.8199999999999997E-2</v>
      </c>
      <c r="N81" s="391">
        <v>7.553320643060675E-2</v>
      </c>
      <c r="O81" s="827">
        <v>0.191</v>
      </c>
      <c r="P81" s="827">
        <v>8.4000000000000005E-2</v>
      </c>
      <c r="Q81" s="827">
        <v>8.2284058881530148E-2</v>
      </c>
      <c r="R81" s="1344">
        <v>8.5998974029022804E-2</v>
      </c>
      <c r="S81" s="1344">
        <v>7.9032062706556161E-2</v>
      </c>
      <c r="T81" s="1344">
        <v>7.7581715238459137E-2</v>
      </c>
      <c r="U81" s="2378">
        <v>8.0307056392087392E-2</v>
      </c>
      <c r="V81" s="1694">
        <v>7.3096878307796417E-2</v>
      </c>
      <c r="W81" s="392"/>
      <c r="X81" s="393">
        <v>5681</v>
      </c>
      <c r="Y81" s="393">
        <v>6098</v>
      </c>
      <c r="Z81" s="393">
        <v>7107</v>
      </c>
      <c r="AA81" s="393">
        <v>7856</v>
      </c>
      <c r="AB81" s="393">
        <v>7558</v>
      </c>
      <c r="AC81" s="393">
        <v>6809</v>
      </c>
      <c r="AD81" s="393">
        <v>6852</v>
      </c>
      <c r="AE81" s="393">
        <v>7238</v>
      </c>
      <c r="AF81" s="393">
        <v>7950</v>
      </c>
      <c r="AG81" s="393">
        <v>7619</v>
      </c>
      <c r="AH81" s="394">
        <v>8538</v>
      </c>
      <c r="AI81" s="834">
        <v>9852</v>
      </c>
      <c r="AJ81" s="1039">
        <v>9504</v>
      </c>
      <c r="AK81" s="1043">
        <v>9430</v>
      </c>
      <c r="AL81" s="1349">
        <v>9891</v>
      </c>
      <c r="AM81" s="1349">
        <v>9135</v>
      </c>
      <c r="AN81" s="1349">
        <v>8934</v>
      </c>
      <c r="AO81" s="1349">
        <v>9248</v>
      </c>
      <c r="AP81" s="1697">
        <v>8425</v>
      </c>
    </row>
    <row r="82" spans="1:42" ht="16.5" customHeight="1" x14ac:dyDescent="0.3">
      <c r="A82" s="349" t="s">
        <v>204</v>
      </c>
      <c r="B82" s="350" t="s">
        <v>607</v>
      </c>
      <c r="C82" s="1207" t="s">
        <v>253</v>
      </c>
      <c r="D82" s="390">
        <v>0.1038</v>
      </c>
      <c r="E82" s="390">
        <v>0.10199999999999999</v>
      </c>
      <c r="F82" s="390">
        <v>0.1124</v>
      </c>
      <c r="G82" s="390">
        <v>0.1109</v>
      </c>
      <c r="H82" s="390">
        <v>0.10630000000000001</v>
      </c>
      <c r="I82" s="390">
        <v>0.12130000000000001</v>
      </c>
      <c r="J82" s="390">
        <v>0.13339999999999999</v>
      </c>
      <c r="K82" s="390">
        <v>0.1273</v>
      </c>
      <c r="L82" s="390">
        <v>0.1346</v>
      </c>
      <c r="M82" s="390">
        <v>0.1338</v>
      </c>
      <c r="N82" s="391">
        <v>0.14077673638184915</v>
      </c>
      <c r="O82" s="827">
        <v>0.14656092725331707</v>
      </c>
      <c r="P82" s="827">
        <v>0.153</v>
      </c>
      <c r="Q82" s="827">
        <v>0.15709268590624523</v>
      </c>
      <c r="R82" s="1344">
        <v>0.15356089850755342</v>
      </c>
      <c r="S82" s="1344">
        <v>0.150208707839493</v>
      </c>
      <c r="T82" s="1344">
        <v>0.14378421603001784</v>
      </c>
      <c r="U82" s="2378">
        <v>0.14456417698459259</v>
      </c>
      <c r="V82" s="1694">
        <v>0.14180188533456961</v>
      </c>
      <c r="W82" s="392"/>
      <c r="X82" s="393">
        <v>3255</v>
      </c>
      <c r="Y82" s="393">
        <v>3202</v>
      </c>
      <c r="Z82" s="393">
        <v>3574</v>
      </c>
      <c r="AA82" s="393">
        <v>3517</v>
      </c>
      <c r="AB82" s="393">
        <v>3365</v>
      </c>
      <c r="AC82" s="393">
        <v>3820</v>
      </c>
      <c r="AD82" s="393">
        <v>4213</v>
      </c>
      <c r="AE82" s="393">
        <v>4049</v>
      </c>
      <c r="AF82" s="393">
        <v>4265</v>
      </c>
      <c r="AG82" s="393">
        <v>4221</v>
      </c>
      <c r="AH82" s="394">
        <v>4625</v>
      </c>
      <c r="AI82" s="834">
        <v>4805</v>
      </c>
      <c r="AJ82" s="1039">
        <v>4988</v>
      </c>
      <c r="AK82" s="1043">
        <v>5144</v>
      </c>
      <c r="AL82" s="1349">
        <v>5052</v>
      </c>
      <c r="AM82" s="1349">
        <v>4930</v>
      </c>
      <c r="AN82" s="1349">
        <v>4675</v>
      </c>
      <c r="AO82" s="1349">
        <v>4682</v>
      </c>
      <c r="AP82" s="1697">
        <v>4588</v>
      </c>
    </row>
    <row r="83" spans="1:42" ht="16.5" customHeight="1" x14ac:dyDescent="0.3">
      <c r="A83" s="349" t="s">
        <v>206</v>
      </c>
      <c r="B83" s="350" t="s">
        <v>608</v>
      </c>
      <c r="C83" s="1207" t="s">
        <v>255</v>
      </c>
      <c r="D83" s="390">
        <v>0.11710000000000001</v>
      </c>
      <c r="E83" s="390">
        <v>0.11119999999999999</v>
      </c>
      <c r="F83" s="390">
        <v>0.1217</v>
      </c>
      <c r="G83" s="390">
        <v>0.1188</v>
      </c>
      <c r="H83" s="390">
        <v>0.11539999999999999</v>
      </c>
      <c r="I83" s="390">
        <v>0.14130000000000001</v>
      </c>
      <c r="J83" s="390">
        <v>0.14990000000000001</v>
      </c>
      <c r="K83" s="390">
        <v>0.1454</v>
      </c>
      <c r="L83" s="390">
        <v>0.158</v>
      </c>
      <c r="M83" s="390">
        <v>0.15340000000000001</v>
      </c>
      <c r="N83" s="391">
        <v>0.17707606256042166</v>
      </c>
      <c r="O83" s="827">
        <v>0.15870237569248546</v>
      </c>
      <c r="P83" s="827">
        <v>0.20499999999999999</v>
      </c>
      <c r="Q83" s="827">
        <v>0.16851109998330829</v>
      </c>
      <c r="R83" s="1344">
        <v>0.17851205662085426</v>
      </c>
      <c r="S83" s="1344">
        <v>0.18337093400057428</v>
      </c>
      <c r="T83" s="1344">
        <v>0.16614915644482639</v>
      </c>
      <c r="U83" s="2378">
        <v>0.13963091598777189</v>
      </c>
      <c r="V83" s="1694">
        <v>0.15810185553241218</v>
      </c>
      <c r="W83" s="392"/>
      <c r="X83" s="393">
        <v>11774</v>
      </c>
      <c r="Y83" s="393">
        <v>11332</v>
      </c>
      <c r="Z83" s="393">
        <v>12457</v>
      </c>
      <c r="AA83" s="393">
        <v>12312</v>
      </c>
      <c r="AB83" s="393">
        <v>12047</v>
      </c>
      <c r="AC83" s="393">
        <v>14559</v>
      </c>
      <c r="AD83" s="393">
        <v>15701</v>
      </c>
      <c r="AE83" s="393">
        <v>15770</v>
      </c>
      <c r="AF83" s="393">
        <v>17273</v>
      </c>
      <c r="AG83" s="393">
        <v>17133</v>
      </c>
      <c r="AH83" s="394">
        <v>20566</v>
      </c>
      <c r="AI83" s="834">
        <v>18678</v>
      </c>
      <c r="AJ83" s="1039">
        <v>24402</v>
      </c>
      <c r="AK83" s="1043">
        <v>20191</v>
      </c>
      <c r="AL83" s="1349">
        <v>21691</v>
      </c>
      <c r="AM83" s="1349">
        <v>22352</v>
      </c>
      <c r="AN83" s="1349">
        <v>20494</v>
      </c>
      <c r="AO83" s="1349">
        <v>17448</v>
      </c>
      <c r="AP83" s="1697">
        <v>19887</v>
      </c>
    </row>
    <row r="84" spans="1:42" ht="16.5" customHeight="1" x14ac:dyDescent="0.3">
      <c r="A84" s="349" t="s">
        <v>208</v>
      </c>
      <c r="B84" s="350" t="s">
        <v>384</v>
      </c>
      <c r="C84" s="1207" t="s">
        <v>256</v>
      </c>
      <c r="D84" s="390">
        <v>0.16699999999999998</v>
      </c>
      <c r="E84" s="390">
        <v>0.159</v>
      </c>
      <c r="F84" s="390">
        <v>0.17600000000000002</v>
      </c>
      <c r="G84" s="390">
        <v>0.16800000000000001</v>
      </c>
      <c r="H84" s="390">
        <v>0.16500000000000001</v>
      </c>
      <c r="I84" s="390">
        <v>0.193</v>
      </c>
      <c r="J84" s="390">
        <v>0.17399999999999999</v>
      </c>
      <c r="K84" s="390">
        <v>0.184</v>
      </c>
      <c r="L84" s="390">
        <v>0.19399999999999998</v>
      </c>
      <c r="M84" s="390">
        <v>0.191</v>
      </c>
      <c r="N84" s="391">
        <v>0.18100000000000002</v>
      </c>
      <c r="O84" s="827">
        <v>0.23499999999999999</v>
      </c>
      <c r="P84" s="827">
        <v>0.183</v>
      </c>
      <c r="Q84" s="827">
        <v>0.18802044244308638</v>
      </c>
      <c r="R84" s="1344">
        <v>0.17881081081081082</v>
      </c>
      <c r="S84" s="1344">
        <v>0.21238681637088011</v>
      </c>
      <c r="T84" s="1344">
        <v>0.16924496954033597</v>
      </c>
      <c r="U84" s="2378">
        <v>0.2015388063046239</v>
      </c>
      <c r="V84" s="1694">
        <v>0.21469588213071403</v>
      </c>
      <c r="W84" s="392"/>
      <c r="X84" s="393">
        <v>4793</v>
      </c>
      <c r="Y84" s="393">
        <v>4565</v>
      </c>
      <c r="Z84" s="393">
        <v>5059</v>
      </c>
      <c r="AA84" s="393">
        <v>4823</v>
      </c>
      <c r="AB84" s="393">
        <v>4762</v>
      </c>
      <c r="AC84" s="393">
        <v>5492</v>
      </c>
      <c r="AD84" s="393">
        <v>4932</v>
      </c>
      <c r="AE84" s="393">
        <v>5243</v>
      </c>
      <c r="AF84" s="393">
        <v>5516</v>
      </c>
      <c r="AG84" s="393">
        <v>5527</v>
      </c>
      <c r="AH84" s="394">
        <v>5173</v>
      </c>
      <c r="AI84" s="834">
        <v>6704</v>
      </c>
      <c r="AJ84" s="1039">
        <v>5145</v>
      </c>
      <c r="AK84" s="1043">
        <v>5261</v>
      </c>
      <c r="AL84" s="1349">
        <v>4962</v>
      </c>
      <c r="AM84" s="1349">
        <v>5864</v>
      </c>
      <c r="AN84" s="1349">
        <v>4584</v>
      </c>
      <c r="AO84" s="1349">
        <v>5396</v>
      </c>
      <c r="AP84" s="1697">
        <v>5683</v>
      </c>
    </row>
    <row r="85" spans="1:42" ht="16.5" customHeight="1" x14ac:dyDescent="0.3">
      <c r="A85" s="349" t="s">
        <v>210</v>
      </c>
      <c r="B85" s="350" t="s">
        <v>385</v>
      </c>
      <c r="C85" s="1207" t="s">
        <v>256</v>
      </c>
      <c r="D85" s="390">
        <v>0.14099999999999999</v>
      </c>
      <c r="E85" s="390">
        <v>0.13900000000000001</v>
      </c>
      <c r="F85" s="390">
        <v>0.14599999999999999</v>
      </c>
      <c r="G85" s="390">
        <v>0.153</v>
      </c>
      <c r="H85" s="390">
        <v>0.14899999999999999</v>
      </c>
      <c r="I85" s="390">
        <v>0.17899999999999999</v>
      </c>
      <c r="J85" s="390">
        <v>0.17699999999999999</v>
      </c>
      <c r="K85" s="390">
        <v>0.18100000000000002</v>
      </c>
      <c r="L85" s="390">
        <v>0.17300000000000001</v>
      </c>
      <c r="M85" s="390">
        <v>0.192</v>
      </c>
      <c r="N85" s="391">
        <v>0.189</v>
      </c>
      <c r="O85" s="827">
        <v>0.187</v>
      </c>
      <c r="P85" s="827">
        <v>0.21299999999999999</v>
      </c>
      <c r="Q85" s="827">
        <v>0.18399158895593345</v>
      </c>
      <c r="R85" s="1344">
        <v>0.20782283045910582</v>
      </c>
      <c r="S85" s="1344">
        <v>0.19170644949920435</v>
      </c>
      <c r="T85" s="1344">
        <v>0.19476882179815816</v>
      </c>
      <c r="U85" s="2378">
        <v>0.17551622418879056</v>
      </c>
      <c r="V85" s="1694">
        <v>0.18528004639249987</v>
      </c>
      <c r="W85" s="392"/>
      <c r="X85" s="393">
        <v>3268</v>
      </c>
      <c r="Y85" s="393">
        <v>3183</v>
      </c>
      <c r="Z85" s="393">
        <v>3348</v>
      </c>
      <c r="AA85" s="393">
        <v>3508</v>
      </c>
      <c r="AB85" s="393">
        <v>3402</v>
      </c>
      <c r="AC85" s="393">
        <v>4040</v>
      </c>
      <c r="AD85" s="393">
        <v>4000</v>
      </c>
      <c r="AE85" s="393">
        <v>4033</v>
      </c>
      <c r="AF85" s="393">
        <v>3856</v>
      </c>
      <c r="AG85" s="393">
        <v>4220</v>
      </c>
      <c r="AH85" s="394">
        <v>4248</v>
      </c>
      <c r="AI85" s="834">
        <v>4193</v>
      </c>
      <c r="AJ85" s="1039">
        <v>4699</v>
      </c>
      <c r="AK85" s="1043">
        <v>4025</v>
      </c>
      <c r="AL85" s="1349">
        <v>4495</v>
      </c>
      <c r="AM85" s="1349">
        <v>4096</v>
      </c>
      <c r="AN85" s="1349">
        <v>4103</v>
      </c>
      <c r="AO85" s="1349">
        <v>3689</v>
      </c>
      <c r="AP85" s="1697">
        <v>3834</v>
      </c>
    </row>
    <row r="86" spans="1:42" ht="16.5" customHeight="1" x14ac:dyDescent="0.3">
      <c r="A86" s="349" t="s">
        <v>212</v>
      </c>
      <c r="B86" s="350" t="s">
        <v>386</v>
      </c>
      <c r="C86" s="1207" t="s">
        <v>255</v>
      </c>
      <c r="D86" s="390">
        <v>0.08</v>
      </c>
      <c r="E86" s="390">
        <v>8.1000000000000003E-2</v>
      </c>
      <c r="F86" s="390">
        <v>8.3000000000000004E-2</v>
      </c>
      <c r="G86" s="390">
        <v>8.900000000000001E-2</v>
      </c>
      <c r="H86" s="390">
        <v>8.5999999999999993E-2</v>
      </c>
      <c r="I86" s="390">
        <v>8.4000000000000005E-2</v>
      </c>
      <c r="J86" s="390">
        <v>8.3000000000000004E-2</v>
      </c>
      <c r="K86" s="390">
        <v>0.09</v>
      </c>
      <c r="L86" s="390">
        <v>9.8000000000000004E-2</v>
      </c>
      <c r="M86" s="390">
        <v>0.10400000000000001</v>
      </c>
      <c r="N86" s="391">
        <v>0.11700000000000001</v>
      </c>
      <c r="O86" s="827">
        <v>0.13400000000000001</v>
      </c>
      <c r="P86" s="827">
        <v>0.114</v>
      </c>
      <c r="Q86" s="827">
        <v>0.11587982832618025</v>
      </c>
      <c r="R86" s="1344">
        <v>0.12025867136978248</v>
      </c>
      <c r="S86" s="1344">
        <v>0.11484935101447917</v>
      </c>
      <c r="T86" s="1344">
        <v>0.10767715612249683</v>
      </c>
      <c r="U86" s="2378">
        <v>9.4728711202659049E-2</v>
      </c>
      <c r="V86" s="1694">
        <v>0.10420883646262302</v>
      </c>
      <c r="W86" s="392"/>
      <c r="X86" s="393">
        <v>2849</v>
      </c>
      <c r="Y86" s="393">
        <v>2927</v>
      </c>
      <c r="Z86" s="393">
        <v>3072</v>
      </c>
      <c r="AA86" s="393">
        <v>3357</v>
      </c>
      <c r="AB86" s="393">
        <v>3349</v>
      </c>
      <c r="AC86" s="393">
        <v>3235</v>
      </c>
      <c r="AD86" s="393">
        <v>3297</v>
      </c>
      <c r="AE86" s="393">
        <v>3602</v>
      </c>
      <c r="AF86" s="393">
        <v>3934</v>
      </c>
      <c r="AG86" s="393">
        <v>4206</v>
      </c>
      <c r="AH86" s="394">
        <v>4862</v>
      </c>
      <c r="AI86" s="834">
        <v>5620</v>
      </c>
      <c r="AJ86" s="1039">
        <v>4797</v>
      </c>
      <c r="AK86" s="1043">
        <v>4887</v>
      </c>
      <c r="AL86" s="1349">
        <v>5114</v>
      </c>
      <c r="AM86" s="1349">
        <v>4902</v>
      </c>
      <c r="AN86" s="1349">
        <v>4592</v>
      </c>
      <c r="AO86" s="1349">
        <v>4047</v>
      </c>
      <c r="AP86" s="1697">
        <v>4479</v>
      </c>
    </row>
    <row r="87" spans="1:42" ht="16.5" customHeight="1" x14ac:dyDescent="0.3">
      <c r="A87" s="349" t="s">
        <v>214</v>
      </c>
      <c r="B87" s="350" t="s">
        <v>387</v>
      </c>
      <c r="C87" s="1207" t="s">
        <v>256</v>
      </c>
      <c r="D87" s="390">
        <v>0.13100000000000001</v>
      </c>
      <c r="E87" s="390">
        <v>0.13300000000000001</v>
      </c>
      <c r="F87" s="390">
        <v>0.14300000000000002</v>
      </c>
      <c r="G87" s="390">
        <v>0.14800000000000002</v>
      </c>
      <c r="H87" s="390">
        <v>0.14000000000000001</v>
      </c>
      <c r="I87" s="390">
        <v>0.13300000000000001</v>
      </c>
      <c r="J87" s="390">
        <v>0.155</v>
      </c>
      <c r="K87" s="390">
        <v>0.17100000000000001</v>
      </c>
      <c r="L87" s="390">
        <v>0.18100000000000002</v>
      </c>
      <c r="M87" s="390">
        <v>0.17800000000000002</v>
      </c>
      <c r="N87" s="391">
        <v>0.187</v>
      </c>
      <c r="O87" s="827">
        <v>0.19399999999999998</v>
      </c>
      <c r="P87" s="827">
        <v>0.19</v>
      </c>
      <c r="Q87" s="827">
        <v>0.17253418679080593</v>
      </c>
      <c r="R87" s="1344">
        <v>0.19735477178423236</v>
      </c>
      <c r="S87" s="1344">
        <v>0.18109131257750799</v>
      </c>
      <c r="T87" s="1344">
        <v>0.18122645873257121</v>
      </c>
      <c r="U87" s="2378">
        <v>0.17699853196316562</v>
      </c>
      <c r="V87" s="1694">
        <v>0.20355439091580999</v>
      </c>
      <c r="W87" s="392"/>
      <c r="X87" s="393">
        <v>4212</v>
      </c>
      <c r="Y87" s="393">
        <v>4289</v>
      </c>
      <c r="Z87" s="393">
        <v>4596</v>
      </c>
      <c r="AA87" s="393">
        <v>4737</v>
      </c>
      <c r="AB87" s="393">
        <v>4505</v>
      </c>
      <c r="AC87" s="393">
        <v>4166</v>
      </c>
      <c r="AD87" s="393">
        <v>4930</v>
      </c>
      <c r="AE87" s="393">
        <v>5338</v>
      </c>
      <c r="AF87" s="393">
        <v>5626</v>
      </c>
      <c r="AG87" s="393">
        <v>5516</v>
      </c>
      <c r="AH87" s="394">
        <v>5874</v>
      </c>
      <c r="AI87" s="834">
        <v>6085</v>
      </c>
      <c r="AJ87" s="1039">
        <v>5898</v>
      </c>
      <c r="AK87" s="1043">
        <v>5337</v>
      </c>
      <c r="AL87" s="1349">
        <v>6088</v>
      </c>
      <c r="AM87" s="1349">
        <v>5549</v>
      </c>
      <c r="AN87" s="1349">
        <v>5485</v>
      </c>
      <c r="AO87" s="1349">
        <v>5305</v>
      </c>
      <c r="AP87" s="1697">
        <v>6059</v>
      </c>
    </row>
    <row r="88" spans="1:42" ht="16.5" customHeight="1" x14ac:dyDescent="0.3">
      <c r="A88" s="349" t="s">
        <v>216</v>
      </c>
      <c r="B88" s="350" t="s">
        <v>388</v>
      </c>
      <c r="C88" s="1207" t="s">
        <v>252</v>
      </c>
      <c r="D88" s="390">
        <v>0.14000000000000001</v>
      </c>
      <c r="E88" s="390">
        <v>0.13100000000000001</v>
      </c>
      <c r="F88" s="390">
        <v>0.13800000000000001</v>
      </c>
      <c r="G88" s="390">
        <v>0.14000000000000001</v>
      </c>
      <c r="H88" s="390">
        <v>0.13500000000000001</v>
      </c>
      <c r="I88" s="390">
        <v>0.151</v>
      </c>
      <c r="J88" s="390">
        <v>0.154</v>
      </c>
      <c r="K88" s="390">
        <v>0.15</v>
      </c>
      <c r="L88" s="390">
        <v>0.17499999999999999</v>
      </c>
      <c r="M88" s="390">
        <v>0.159</v>
      </c>
      <c r="N88" s="391">
        <v>0.16400000000000001</v>
      </c>
      <c r="O88" s="827">
        <v>0.16</v>
      </c>
      <c r="P88" s="827">
        <v>0.16700000000000001</v>
      </c>
      <c r="Q88" s="827">
        <v>0.1668684911600872</v>
      </c>
      <c r="R88" s="1344">
        <v>0.15262388895653234</v>
      </c>
      <c r="S88" s="1344">
        <v>0.15154846985523182</v>
      </c>
      <c r="T88" s="1344">
        <v>0.15558681426212465</v>
      </c>
      <c r="U88" s="2378">
        <v>0.14706792990278036</v>
      </c>
      <c r="V88" s="1694">
        <v>0.14702202202202203</v>
      </c>
      <c r="W88" s="392"/>
      <c r="X88" s="393">
        <v>2211</v>
      </c>
      <c r="Y88" s="393">
        <v>2053</v>
      </c>
      <c r="Z88" s="393">
        <v>2186</v>
      </c>
      <c r="AA88" s="393">
        <v>2240</v>
      </c>
      <c r="AB88" s="393">
        <v>2194</v>
      </c>
      <c r="AC88" s="393">
        <v>2433</v>
      </c>
      <c r="AD88" s="393">
        <v>2504</v>
      </c>
      <c r="AE88" s="393">
        <v>2431</v>
      </c>
      <c r="AF88" s="393">
        <v>2843</v>
      </c>
      <c r="AG88" s="393">
        <v>2561</v>
      </c>
      <c r="AH88" s="394">
        <v>2789</v>
      </c>
      <c r="AI88" s="834">
        <v>2696</v>
      </c>
      <c r="AJ88" s="1039">
        <v>2799</v>
      </c>
      <c r="AK88" s="1043">
        <v>2756</v>
      </c>
      <c r="AL88" s="1349">
        <v>2507</v>
      </c>
      <c r="AM88" s="1349">
        <v>2481</v>
      </c>
      <c r="AN88" s="1349">
        <v>2544</v>
      </c>
      <c r="AO88" s="1349">
        <v>2375</v>
      </c>
      <c r="AP88" s="1697">
        <v>2350</v>
      </c>
    </row>
    <row r="89" spans="1:42" ht="16.5" customHeight="1" x14ac:dyDescent="0.3">
      <c r="A89" s="349" t="s">
        <v>218</v>
      </c>
      <c r="B89" s="350" t="s">
        <v>389</v>
      </c>
      <c r="C89" s="1207" t="s">
        <v>255</v>
      </c>
      <c r="D89" s="390">
        <v>5.2999999999999999E-2</v>
      </c>
      <c r="E89" s="390">
        <v>5.2000000000000005E-2</v>
      </c>
      <c r="F89" s="390">
        <v>5.7000000000000002E-2</v>
      </c>
      <c r="G89" s="390">
        <v>5.9000000000000004E-2</v>
      </c>
      <c r="H89" s="390">
        <v>5.7000000000000002E-2</v>
      </c>
      <c r="I89" s="390">
        <v>5.5E-2</v>
      </c>
      <c r="J89" s="390">
        <v>5.5999999999999994E-2</v>
      </c>
      <c r="K89" s="390">
        <v>0.06</v>
      </c>
      <c r="L89" s="390">
        <v>6.4000000000000001E-2</v>
      </c>
      <c r="M89" s="390">
        <v>7.5999999999999998E-2</v>
      </c>
      <c r="N89" s="391">
        <v>7.9000000000000001E-2</v>
      </c>
      <c r="O89" s="827">
        <v>7.5999999999999998E-2</v>
      </c>
      <c r="P89" s="827">
        <v>8.5000000000000006E-2</v>
      </c>
      <c r="Q89" s="827">
        <v>7.6984528743632735E-2</v>
      </c>
      <c r="R89" s="1344">
        <v>9.1506324082949522E-2</v>
      </c>
      <c r="S89" s="1344">
        <v>7.6504503670085905E-2</v>
      </c>
      <c r="T89" s="1344">
        <v>7.36392987169604E-2</v>
      </c>
      <c r="U89" s="2378">
        <v>6.9322516195435002E-2</v>
      </c>
      <c r="V89" s="1694">
        <v>7.5481465365253464E-2</v>
      </c>
      <c r="W89" s="392"/>
      <c r="X89" s="393">
        <v>5080</v>
      </c>
      <c r="Y89" s="393">
        <v>5342</v>
      </c>
      <c r="Z89" s="393">
        <v>6138</v>
      </c>
      <c r="AA89" s="393">
        <v>6655</v>
      </c>
      <c r="AB89" s="393">
        <v>6611</v>
      </c>
      <c r="AC89" s="393">
        <v>6346</v>
      </c>
      <c r="AD89" s="393">
        <v>6591</v>
      </c>
      <c r="AE89" s="393">
        <v>7118</v>
      </c>
      <c r="AF89" s="393">
        <v>7586</v>
      </c>
      <c r="AG89" s="393">
        <v>9132</v>
      </c>
      <c r="AH89" s="394">
        <v>9645</v>
      </c>
      <c r="AI89" s="834">
        <v>9356</v>
      </c>
      <c r="AJ89" s="1039">
        <v>10558</v>
      </c>
      <c r="AK89" s="1043">
        <v>9733</v>
      </c>
      <c r="AL89" s="1349">
        <v>11742</v>
      </c>
      <c r="AM89" s="1349">
        <v>9912</v>
      </c>
      <c r="AN89" s="1349">
        <v>9648</v>
      </c>
      <c r="AO89" s="1349">
        <v>9160</v>
      </c>
      <c r="AP89" s="1697">
        <v>10061</v>
      </c>
    </row>
    <row r="90" spans="1:42" ht="16.5" customHeight="1" x14ac:dyDescent="0.3">
      <c r="A90" s="349" t="s">
        <v>220</v>
      </c>
      <c r="B90" s="350" t="s">
        <v>390</v>
      </c>
      <c r="C90" s="1207" t="s">
        <v>255</v>
      </c>
      <c r="D90" s="390">
        <v>4.4000000000000004E-2</v>
      </c>
      <c r="E90" s="390">
        <v>4.2999999999999997E-2</v>
      </c>
      <c r="F90" s="390">
        <v>4.4999999999999998E-2</v>
      </c>
      <c r="G90" s="390">
        <v>0.05</v>
      </c>
      <c r="H90" s="390">
        <v>4.9000000000000002E-2</v>
      </c>
      <c r="I90" s="390">
        <v>4.5999999999999999E-2</v>
      </c>
      <c r="J90" s="390">
        <v>4.4000000000000004E-2</v>
      </c>
      <c r="K90" s="390">
        <v>4.2000000000000003E-2</v>
      </c>
      <c r="L90" s="390">
        <v>4.8000000000000001E-2</v>
      </c>
      <c r="M90" s="390">
        <v>4.7E-2</v>
      </c>
      <c r="N90" s="391">
        <v>5.1999999999999998E-2</v>
      </c>
      <c r="O90" s="827">
        <v>6.3E-2</v>
      </c>
      <c r="P90" s="827">
        <v>5.5E-2</v>
      </c>
      <c r="Q90" s="827">
        <v>6.358634205170724E-2</v>
      </c>
      <c r="R90" s="1344">
        <v>5.8501129266013877E-2</v>
      </c>
      <c r="S90" s="1344">
        <v>5.4025039532285907E-2</v>
      </c>
      <c r="T90" s="1344">
        <v>5.6549315849486886E-2</v>
      </c>
      <c r="U90" s="2378">
        <v>4.5646377055031807E-2</v>
      </c>
      <c r="V90" s="1694">
        <v>5.3536473519225768E-2</v>
      </c>
      <c r="W90" s="392"/>
      <c r="X90" s="393">
        <v>4307</v>
      </c>
      <c r="Y90" s="393">
        <v>4394</v>
      </c>
      <c r="Z90" s="393">
        <v>4901</v>
      </c>
      <c r="AA90" s="393">
        <v>5671</v>
      </c>
      <c r="AB90" s="393">
        <v>5772</v>
      </c>
      <c r="AC90" s="393">
        <v>5366</v>
      </c>
      <c r="AD90" s="393">
        <v>5152</v>
      </c>
      <c r="AE90" s="393">
        <v>4954</v>
      </c>
      <c r="AF90" s="393">
        <v>5713</v>
      </c>
      <c r="AG90" s="393">
        <v>5764</v>
      </c>
      <c r="AH90" s="394">
        <v>6531</v>
      </c>
      <c r="AI90" s="834">
        <v>8070</v>
      </c>
      <c r="AJ90" s="1039">
        <v>7231</v>
      </c>
      <c r="AK90" s="1043">
        <v>8436</v>
      </c>
      <c r="AL90" s="1349">
        <v>7952</v>
      </c>
      <c r="AM90" s="1349">
        <v>7448</v>
      </c>
      <c r="AN90" s="1349">
        <v>7935</v>
      </c>
      <c r="AO90" s="1349">
        <v>6522</v>
      </c>
      <c r="AP90" s="1697">
        <v>7822</v>
      </c>
    </row>
    <row r="91" spans="1:42" ht="16.5" customHeight="1" x14ac:dyDescent="0.3">
      <c r="A91" s="349" t="s">
        <v>224</v>
      </c>
      <c r="B91" s="350" t="s">
        <v>391</v>
      </c>
      <c r="C91" s="1207" t="s">
        <v>252</v>
      </c>
      <c r="D91" s="390">
        <v>0.11599999999999999</v>
      </c>
      <c r="E91" s="390">
        <v>0.10800000000000001</v>
      </c>
      <c r="F91" s="390">
        <v>0.11199999999999999</v>
      </c>
      <c r="G91" s="390">
        <v>0.109</v>
      </c>
      <c r="H91" s="390">
        <v>0.107</v>
      </c>
      <c r="I91" s="390">
        <v>0.11900000000000001</v>
      </c>
      <c r="J91" s="390">
        <v>0.107</v>
      </c>
      <c r="K91" s="390">
        <v>0.11</v>
      </c>
      <c r="L91" s="390">
        <v>0.11599999999999999</v>
      </c>
      <c r="M91" s="390">
        <v>0.11699999999999999</v>
      </c>
      <c r="N91" s="391">
        <v>0.123</v>
      </c>
      <c r="O91" s="827">
        <v>0.128</v>
      </c>
      <c r="P91" s="827">
        <v>0.129</v>
      </c>
      <c r="Q91" s="827">
        <v>0.13636363636363635</v>
      </c>
      <c r="R91" s="1344">
        <v>0.12947942781300692</v>
      </c>
      <c r="S91" s="1344">
        <v>0.13046723391550977</v>
      </c>
      <c r="T91" s="1344">
        <v>0.13410900183710961</v>
      </c>
      <c r="U91" s="2378">
        <v>0.12754555198285103</v>
      </c>
      <c r="V91" s="1694">
        <v>0.128538283062645</v>
      </c>
      <c r="W91" s="392"/>
      <c r="X91" s="396">
        <v>810</v>
      </c>
      <c r="Y91" s="396">
        <v>755</v>
      </c>
      <c r="Z91" s="396">
        <v>792</v>
      </c>
      <c r="AA91" s="396">
        <v>764</v>
      </c>
      <c r="AB91" s="396">
        <v>753</v>
      </c>
      <c r="AC91" s="396">
        <v>829</v>
      </c>
      <c r="AD91" s="396">
        <v>758</v>
      </c>
      <c r="AE91" s="396">
        <v>775</v>
      </c>
      <c r="AF91" s="393">
        <v>823</v>
      </c>
      <c r="AG91" s="393">
        <v>827</v>
      </c>
      <c r="AH91" s="394">
        <v>871</v>
      </c>
      <c r="AI91" s="834">
        <v>884</v>
      </c>
      <c r="AJ91" s="1039">
        <v>881</v>
      </c>
      <c r="AK91" s="1043">
        <v>921</v>
      </c>
      <c r="AL91" s="1349">
        <v>878</v>
      </c>
      <c r="AM91" s="1349">
        <v>874</v>
      </c>
      <c r="AN91" s="1349">
        <v>876</v>
      </c>
      <c r="AO91" s="1349">
        <v>833</v>
      </c>
      <c r="AP91" s="1697">
        <v>831</v>
      </c>
    </row>
    <row r="92" spans="1:42" ht="16.5" customHeight="1" x14ac:dyDescent="0.3">
      <c r="A92" s="349" t="s">
        <v>226</v>
      </c>
      <c r="B92" s="350" t="s">
        <v>392</v>
      </c>
      <c r="C92" s="1207" t="s">
        <v>252</v>
      </c>
      <c r="D92" s="390">
        <v>0.17199999999999999</v>
      </c>
      <c r="E92" s="390">
        <v>0.16899999999999998</v>
      </c>
      <c r="F92" s="390">
        <v>0.17899999999999999</v>
      </c>
      <c r="G92" s="390">
        <v>0.17199999999999999</v>
      </c>
      <c r="H92" s="390">
        <v>0.17699999999999999</v>
      </c>
      <c r="I92" s="390">
        <v>0.19500000000000001</v>
      </c>
      <c r="J92" s="390">
        <v>0.23499999999999999</v>
      </c>
      <c r="K92" s="390">
        <v>0.20399999999999999</v>
      </c>
      <c r="L92" s="390">
        <v>0.20699999999999999</v>
      </c>
      <c r="M92" s="390">
        <v>0.184</v>
      </c>
      <c r="N92" s="391">
        <v>0.22500000000000001</v>
      </c>
      <c r="O92" s="827">
        <v>0.20699999999999999</v>
      </c>
      <c r="P92" s="827">
        <v>0.23</v>
      </c>
      <c r="Q92" s="827">
        <v>0.2401219113965386</v>
      </c>
      <c r="R92" s="1344">
        <v>0.2390852390852391</v>
      </c>
      <c r="S92" s="1344">
        <v>0.22065934065934065</v>
      </c>
      <c r="T92" s="1344">
        <v>0.23074350685542303</v>
      </c>
      <c r="U92" s="2378">
        <v>0.22415954415954417</v>
      </c>
      <c r="V92" s="1694">
        <v>0.22866381799283983</v>
      </c>
      <c r="W92" s="392"/>
      <c r="X92" s="393">
        <v>1694</v>
      </c>
      <c r="Y92" s="393">
        <v>1651</v>
      </c>
      <c r="Z92" s="393">
        <v>1728</v>
      </c>
      <c r="AA92" s="393">
        <v>1647</v>
      </c>
      <c r="AB92" s="393">
        <v>1678</v>
      </c>
      <c r="AC92" s="393">
        <v>1832</v>
      </c>
      <c r="AD92" s="393">
        <v>2257</v>
      </c>
      <c r="AE92" s="393">
        <v>1947</v>
      </c>
      <c r="AF92" s="393">
        <v>1973</v>
      </c>
      <c r="AG92" s="393">
        <v>1742</v>
      </c>
      <c r="AH92" s="394">
        <v>2132</v>
      </c>
      <c r="AI92" s="834">
        <v>1966</v>
      </c>
      <c r="AJ92" s="1039">
        <v>2156</v>
      </c>
      <c r="AK92" s="1043">
        <v>2206</v>
      </c>
      <c r="AL92" s="1349">
        <v>2185</v>
      </c>
      <c r="AM92" s="1349">
        <v>2008</v>
      </c>
      <c r="AN92" s="1349">
        <v>2070</v>
      </c>
      <c r="AO92" s="1349">
        <v>1967</v>
      </c>
      <c r="AP92" s="1697">
        <v>1980</v>
      </c>
    </row>
    <row r="93" spans="1:42" ht="16.5" customHeight="1" x14ac:dyDescent="0.3">
      <c r="A93" s="349" t="s">
        <v>228</v>
      </c>
      <c r="B93" s="350" t="s">
        <v>393</v>
      </c>
      <c r="C93" s="1207" t="s">
        <v>256</v>
      </c>
      <c r="D93" s="390">
        <v>0.155</v>
      </c>
      <c r="E93" s="390">
        <v>0.15</v>
      </c>
      <c r="F93" s="390">
        <v>0.16600000000000001</v>
      </c>
      <c r="G93" s="390">
        <v>0.156</v>
      </c>
      <c r="H93" s="390">
        <v>0.157</v>
      </c>
      <c r="I93" s="390">
        <v>0.17300000000000001</v>
      </c>
      <c r="J93" s="390">
        <v>0.16500000000000001</v>
      </c>
      <c r="K93" s="390">
        <v>0.17800000000000002</v>
      </c>
      <c r="L93" s="390">
        <v>0.17600000000000002</v>
      </c>
      <c r="M93" s="390">
        <v>0.159</v>
      </c>
      <c r="N93" s="391">
        <v>0.185</v>
      </c>
      <c r="O93" s="827">
        <v>0.17600000000000002</v>
      </c>
      <c r="P93" s="827">
        <v>0.214</v>
      </c>
      <c r="Q93" s="827">
        <v>0.17508154871649412</v>
      </c>
      <c r="R93" s="1344">
        <v>0.19205663546916246</v>
      </c>
      <c r="S93" s="1344">
        <v>0.17210241931558196</v>
      </c>
      <c r="T93" s="1344">
        <v>0.17969791203909374</v>
      </c>
      <c r="U93" s="2378">
        <v>0.18096609570006569</v>
      </c>
      <c r="V93" s="1694">
        <v>0.18166474875335634</v>
      </c>
      <c r="W93" s="392"/>
      <c r="X93" s="393">
        <v>6733</v>
      </c>
      <c r="Y93" s="393">
        <v>6533</v>
      </c>
      <c r="Z93" s="393">
        <v>7281</v>
      </c>
      <c r="AA93" s="393">
        <v>6895</v>
      </c>
      <c r="AB93" s="393">
        <v>6960</v>
      </c>
      <c r="AC93" s="393">
        <v>7559</v>
      </c>
      <c r="AD93" s="393">
        <v>7195</v>
      </c>
      <c r="AE93" s="393">
        <v>7640</v>
      </c>
      <c r="AF93" s="393">
        <v>7561</v>
      </c>
      <c r="AG93" s="393">
        <v>6852</v>
      </c>
      <c r="AH93" s="394">
        <v>8035</v>
      </c>
      <c r="AI93" s="834">
        <v>7580</v>
      </c>
      <c r="AJ93" s="1039">
        <v>9089</v>
      </c>
      <c r="AK93" s="1043">
        <v>7407</v>
      </c>
      <c r="AL93" s="1349">
        <v>8003</v>
      </c>
      <c r="AM93" s="1349">
        <v>7071</v>
      </c>
      <c r="AN93" s="1349">
        <v>7281</v>
      </c>
      <c r="AO93" s="1349">
        <v>7163</v>
      </c>
      <c r="AP93" s="1697">
        <v>7104</v>
      </c>
    </row>
    <row r="94" spans="1:42" ht="16.5" customHeight="1" x14ac:dyDescent="0.3">
      <c r="A94" s="349" t="s">
        <v>232</v>
      </c>
      <c r="B94" s="350" t="s">
        <v>394</v>
      </c>
      <c r="C94" s="1207" t="s">
        <v>255</v>
      </c>
      <c r="D94" s="390">
        <v>8.5999999999999993E-2</v>
      </c>
      <c r="E94" s="390">
        <v>8.3000000000000004E-2</v>
      </c>
      <c r="F94" s="390">
        <v>8.6999999999999994E-2</v>
      </c>
      <c r="G94" s="390">
        <v>9.5000000000000001E-2</v>
      </c>
      <c r="H94" s="390">
        <v>8.900000000000001E-2</v>
      </c>
      <c r="I94" s="390">
        <v>9.8000000000000004E-2</v>
      </c>
      <c r="J94" s="390">
        <v>9.6000000000000002E-2</v>
      </c>
      <c r="K94" s="390">
        <v>0.09</v>
      </c>
      <c r="L94" s="390">
        <v>0.10099999999999999</v>
      </c>
      <c r="M94" s="390">
        <v>9.8000000000000004E-2</v>
      </c>
      <c r="N94" s="391">
        <v>0.10300000000000002</v>
      </c>
      <c r="O94" s="827">
        <v>0.10400000000000001</v>
      </c>
      <c r="P94" s="827">
        <v>0.11</v>
      </c>
      <c r="Q94" s="827">
        <v>0.11989748738407884</v>
      </c>
      <c r="R94" s="1344">
        <v>0.11250131150981009</v>
      </c>
      <c r="S94" s="1344">
        <v>0.10846685516808043</v>
      </c>
      <c r="T94" s="1344">
        <v>0.10292342413268252</v>
      </c>
      <c r="U94" s="2378">
        <v>9.2975581908295926E-2</v>
      </c>
      <c r="V94" s="1694">
        <v>0.102633390266908</v>
      </c>
      <c r="W94" s="392"/>
      <c r="X94" s="393">
        <v>2737</v>
      </c>
      <c r="Y94" s="393">
        <v>2697</v>
      </c>
      <c r="Z94" s="393">
        <v>2908</v>
      </c>
      <c r="AA94" s="393">
        <v>3236</v>
      </c>
      <c r="AB94" s="393">
        <v>3114</v>
      </c>
      <c r="AC94" s="393">
        <v>3399</v>
      </c>
      <c r="AD94" s="393">
        <v>3382</v>
      </c>
      <c r="AE94" s="393">
        <v>3180</v>
      </c>
      <c r="AF94" s="393">
        <v>3625</v>
      </c>
      <c r="AG94" s="393">
        <v>3519</v>
      </c>
      <c r="AH94" s="394">
        <v>3812</v>
      </c>
      <c r="AI94" s="834">
        <v>3858</v>
      </c>
      <c r="AJ94" s="1039">
        <v>4085</v>
      </c>
      <c r="AK94" s="1043">
        <v>4538</v>
      </c>
      <c r="AL94" s="1349">
        <v>4289</v>
      </c>
      <c r="AM94" s="1349">
        <v>4143</v>
      </c>
      <c r="AN94" s="1349">
        <v>3922</v>
      </c>
      <c r="AO94" s="1349">
        <v>3583</v>
      </c>
      <c r="AP94" s="1697">
        <v>4026</v>
      </c>
    </row>
    <row r="95" spans="1:42" ht="16.5" customHeight="1" x14ac:dyDescent="0.3">
      <c r="A95" s="349" t="s">
        <v>234</v>
      </c>
      <c r="B95" s="350" t="s">
        <v>395</v>
      </c>
      <c r="C95" s="1207" t="s">
        <v>256</v>
      </c>
      <c r="D95" s="390">
        <v>0.114</v>
      </c>
      <c r="E95" s="390">
        <v>0.111</v>
      </c>
      <c r="F95" s="390">
        <v>0.12</v>
      </c>
      <c r="G95" s="390">
        <v>0.122</v>
      </c>
      <c r="H95" s="390">
        <v>0.12300000000000001</v>
      </c>
      <c r="I95" s="390">
        <v>0.11</v>
      </c>
      <c r="J95" s="390">
        <v>0.129</v>
      </c>
      <c r="K95" s="390">
        <v>0.14800000000000002</v>
      </c>
      <c r="L95" s="390">
        <v>0.14199999999999999</v>
      </c>
      <c r="M95" s="390">
        <v>0.13900000000000001</v>
      </c>
      <c r="N95" s="391">
        <v>0.14099999999999999</v>
      </c>
      <c r="O95" s="827">
        <v>0.128</v>
      </c>
      <c r="P95" s="827">
        <v>0.13900000000000001</v>
      </c>
      <c r="Q95" s="827">
        <v>0.14870006935462707</v>
      </c>
      <c r="R95" s="1344">
        <v>0.14543608259054497</v>
      </c>
      <c r="S95" s="1344">
        <v>0.16333924595237195</v>
      </c>
      <c r="T95" s="1344">
        <v>0.14676117196679681</v>
      </c>
      <c r="U95" s="2378">
        <v>0.13877442509637114</v>
      </c>
      <c r="V95" s="1694">
        <v>0.15226923295939868</v>
      </c>
      <c r="W95" s="392"/>
      <c r="X95" s="393">
        <v>5761</v>
      </c>
      <c r="Y95" s="393">
        <v>5609</v>
      </c>
      <c r="Z95" s="393">
        <v>6108</v>
      </c>
      <c r="AA95" s="393">
        <v>6265</v>
      </c>
      <c r="AB95" s="393">
        <v>6344</v>
      </c>
      <c r="AC95" s="393">
        <v>5561</v>
      </c>
      <c r="AD95" s="393">
        <v>6576</v>
      </c>
      <c r="AE95" s="393">
        <v>7589</v>
      </c>
      <c r="AF95" s="393">
        <v>7302</v>
      </c>
      <c r="AG95" s="393">
        <v>7165</v>
      </c>
      <c r="AH95" s="394">
        <v>7500</v>
      </c>
      <c r="AI95" s="834">
        <v>6831</v>
      </c>
      <c r="AJ95" s="1039">
        <v>7405</v>
      </c>
      <c r="AK95" s="1043">
        <v>7933</v>
      </c>
      <c r="AL95" s="1349">
        <v>7734</v>
      </c>
      <c r="AM95" s="1349">
        <v>8656</v>
      </c>
      <c r="AN95" s="1349">
        <v>7744</v>
      </c>
      <c r="AO95" s="1349">
        <v>7308</v>
      </c>
      <c r="AP95" s="1697">
        <v>8022</v>
      </c>
    </row>
    <row r="96" spans="1:42" ht="16.5" customHeight="1" x14ac:dyDescent="0.3">
      <c r="A96" s="349" t="s">
        <v>236</v>
      </c>
      <c r="B96" s="350" t="s">
        <v>396</v>
      </c>
      <c r="C96" s="1207" t="s">
        <v>254</v>
      </c>
      <c r="D96" s="390">
        <v>0.13400000000000001</v>
      </c>
      <c r="E96" s="390">
        <v>0.13</v>
      </c>
      <c r="F96" s="390">
        <v>0.13800000000000001</v>
      </c>
      <c r="G96" s="390">
        <v>0.13800000000000001</v>
      </c>
      <c r="H96" s="390">
        <v>0.13300000000000001</v>
      </c>
      <c r="I96" s="390">
        <v>0.16</v>
      </c>
      <c r="J96" s="390">
        <v>0.14499999999999999</v>
      </c>
      <c r="K96" s="390">
        <v>0.124</v>
      </c>
      <c r="L96" s="390">
        <v>0.14699999999999999</v>
      </c>
      <c r="M96" s="390">
        <v>0.14099999999999999</v>
      </c>
      <c r="N96" s="391">
        <v>0.14699999999999999</v>
      </c>
      <c r="O96" s="827">
        <v>0.17300000000000001</v>
      </c>
      <c r="P96" s="827">
        <v>0.17599999999999999</v>
      </c>
      <c r="Q96" s="827">
        <v>0.15309446254071662</v>
      </c>
      <c r="R96" s="1344">
        <v>0.14984744689424903</v>
      </c>
      <c r="S96" s="1344">
        <v>0.14054115766640027</v>
      </c>
      <c r="T96" s="1344">
        <v>0.14771361529216506</v>
      </c>
      <c r="U96" s="2378">
        <v>0.15518705076687986</v>
      </c>
      <c r="V96" s="1694">
        <v>0.16448408218559493</v>
      </c>
      <c r="W96" s="392"/>
      <c r="X96" s="393">
        <v>2218</v>
      </c>
      <c r="Y96" s="393">
        <v>2171</v>
      </c>
      <c r="Z96" s="393">
        <v>2347</v>
      </c>
      <c r="AA96" s="393">
        <v>2355</v>
      </c>
      <c r="AB96" s="393">
        <v>2293</v>
      </c>
      <c r="AC96" s="393">
        <v>2736</v>
      </c>
      <c r="AD96" s="393">
        <v>2476</v>
      </c>
      <c r="AE96" s="393">
        <v>2118</v>
      </c>
      <c r="AF96" s="393">
        <v>2546</v>
      </c>
      <c r="AG96" s="393">
        <v>2472</v>
      </c>
      <c r="AH96" s="394">
        <v>2555</v>
      </c>
      <c r="AI96" s="834">
        <v>3020</v>
      </c>
      <c r="AJ96" s="1039">
        <v>3073</v>
      </c>
      <c r="AK96" s="1043">
        <v>2679</v>
      </c>
      <c r="AL96" s="1349">
        <v>2603</v>
      </c>
      <c r="AM96" s="1349">
        <v>2462</v>
      </c>
      <c r="AN96" s="1349">
        <v>2581</v>
      </c>
      <c r="AO96" s="1349">
        <v>2742</v>
      </c>
      <c r="AP96" s="1697">
        <v>2914</v>
      </c>
    </row>
    <row r="97" spans="1:42" ht="16.5" customHeight="1" x14ac:dyDescent="0.3">
      <c r="A97" s="349" t="s">
        <v>242</v>
      </c>
      <c r="B97" s="350" t="s">
        <v>397</v>
      </c>
      <c r="C97" s="1207" t="s">
        <v>256</v>
      </c>
      <c r="D97" s="390">
        <v>0.193</v>
      </c>
      <c r="E97" s="390">
        <v>0.183</v>
      </c>
      <c r="F97" s="390">
        <v>0.20199999999999999</v>
      </c>
      <c r="G97" s="390">
        <v>0.19500000000000001</v>
      </c>
      <c r="H97" s="390">
        <v>0.192</v>
      </c>
      <c r="I97" s="390">
        <v>0.23300000000000001</v>
      </c>
      <c r="J97" s="390">
        <v>0.20100000000000001</v>
      </c>
      <c r="K97" s="390">
        <v>0.21600000000000003</v>
      </c>
      <c r="L97" s="390">
        <v>0.215</v>
      </c>
      <c r="M97" s="390">
        <v>0.193</v>
      </c>
      <c r="N97" s="391">
        <v>0.222</v>
      </c>
      <c r="O97" s="827">
        <v>0.22800000000000001</v>
      </c>
      <c r="P97" s="827">
        <v>0.25600000000000001</v>
      </c>
      <c r="Q97" s="827">
        <v>0.19320836873406966</v>
      </c>
      <c r="R97" s="1344">
        <v>0.21919210973079306</v>
      </c>
      <c r="S97" s="1344">
        <v>0.22680804785209352</v>
      </c>
      <c r="T97" s="1344">
        <v>0.23459643908748176</v>
      </c>
      <c r="U97" s="2378">
        <v>0.23252224186803627</v>
      </c>
      <c r="V97" s="1694">
        <v>0.25368639372673807</v>
      </c>
      <c r="W97" s="392"/>
      <c r="X97" s="393">
        <v>7550</v>
      </c>
      <c r="Y97" s="393">
        <v>7157</v>
      </c>
      <c r="Z97" s="393">
        <v>7942</v>
      </c>
      <c r="AA97" s="393">
        <v>7607</v>
      </c>
      <c r="AB97" s="393">
        <v>7545</v>
      </c>
      <c r="AC97" s="393">
        <v>9005</v>
      </c>
      <c r="AD97" s="393">
        <v>7809</v>
      </c>
      <c r="AE97" s="393">
        <v>8333</v>
      </c>
      <c r="AF97" s="393">
        <v>8287</v>
      </c>
      <c r="AG97" s="393">
        <v>7453</v>
      </c>
      <c r="AH97" s="394">
        <v>8524</v>
      </c>
      <c r="AI97" s="834">
        <v>8782</v>
      </c>
      <c r="AJ97" s="1039">
        <v>9750</v>
      </c>
      <c r="AK97" s="1043">
        <v>7277</v>
      </c>
      <c r="AL97" s="1349">
        <v>8134</v>
      </c>
      <c r="AM97" s="1349">
        <v>8342</v>
      </c>
      <c r="AN97" s="1349">
        <v>8525</v>
      </c>
      <c r="AO97" s="1349">
        <v>8285</v>
      </c>
      <c r="AP97" s="1697">
        <v>8929</v>
      </c>
    </row>
    <row r="98" spans="1:42" ht="16.5" customHeight="1" x14ac:dyDescent="0.3">
      <c r="A98" s="349" t="s">
        <v>244</v>
      </c>
      <c r="B98" s="350" t="s">
        <v>398</v>
      </c>
      <c r="C98" s="1207" t="s">
        <v>256</v>
      </c>
      <c r="D98" s="390">
        <v>0.11800000000000001</v>
      </c>
      <c r="E98" s="390">
        <v>0.122</v>
      </c>
      <c r="F98" s="390">
        <v>0.13699999999999998</v>
      </c>
      <c r="G98" s="390">
        <v>0.128</v>
      </c>
      <c r="H98" s="390">
        <v>0.11900000000000001</v>
      </c>
      <c r="I98" s="390">
        <v>0.13699999999999998</v>
      </c>
      <c r="J98" s="390">
        <v>0.14599999999999999</v>
      </c>
      <c r="K98" s="390">
        <v>0.122</v>
      </c>
      <c r="L98" s="390">
        <v>0.14000000000000001</v>
      </c>
      <c r="M98" s="390">
        <v>0.14300000000000002</v>
      </c>
      <c r="N98" s="391">
        <v>0.158</v>
      </c>
      <c r="O98" s="827">
        <v>0.14300000000000002</v>
      </c>
      <c r="P98" s="827">
        <v>0.16900000000000001</v>
      </c>
      <c r="Q98" s="827">
        <v>0.15119482129329936</v>
      </c>
      <c r="R98" s="1344">
        <v>0.15584460631286853</v>
      </c>
      <c r="S98" s="1344">
        <v>0.14443827631670253</v>
      </c>
      <c r="T98" s="1344">
        <v>0.14405657748049053</v>
      </c>
      <c r="U98" s="2378">
        <v>0.13848467888624597</v>
      </c>
      <c r="V98" s="1694">
        <v>0.15431382885257425</v>
      </c>
      <c r="W98" s="392"/>
      <c r="X98" s="393">
        <v>3228</v>
      </c>
      <c r="Y98" s="393">
        <v>3351</v>
      </c>
      <c r="Z98" s="393">
        <v>3806</v>
      </c>
      <c r="AA98" s="393">
        <v>3543</v>
      </c>
      <c r="AB98" s="393">
        <v>3366</v>
      </c>
      <c r="AC98" s="393">
        <v>3825</v>
      </c>
      <c r="AD98" s="393">
        <v>4130</v>
      </c>
      <c r="AE98" s="393">
        <v>3421</v>
      </c>
      <c r="AF98" s="393">
        <v>3967</v>
      </c>
      <c r="AG98" s="393">
        <v>4058</v>
      </c>
      <c r="AH98" s="394">
        <v>4578</v>
      </c>
      <c r="AI98" s="834">
        <v>4148</v>
      </c>
      <c r="AJ98" s="1039">
        <v>4889</v>
      </c>
      <c r="AK98" s="1043">
        <v>4391</v>
      </c>
      <c r="AL98" s="1349">
        <v>4493</v>
      </c>
      <c r="AM98" s="1349">
        <v>4163</v>
      </c>
      <c r="AN98" s="1349">
        <v>4135</v>
      </c>
      <c r="AO98" s="1349">
        <v>3959</v>
      </c>
      <c r="AP98" s="1697">
        <v>4391</v>
      </c>
    </row>
    <row r="99" spans="1:42" ht="16.5" customHeight="1" x14ac:dyDescent="0.3">
      <c r="A99" s="349" t="s">
        <v>246</v>
      </c>
      <c r="B99" s="350" t="s">
        <v>609</v>
      </c>
      <c r="C99" s="1207" t="s">
        <v>252</v>
      </c>
      <c r="D99" s="390">
        <v>4.2800000000000005E-2</v>
      </c>
      <c r="E99" s="390">
        <v>4.2699999999999995E-2</v>
      </c>
      <c r="F99" s="390">
        <v>4.4400000000000002E-2</v>
      </c>
      <c r="G99" s="390">
        <v>4.9699999999999994E-2</v>
      </c>
      <c r="H99" s="390">
        <v>4.7699999999999992E-2</v>
      </c>
      <c r="I99" s="390">
        <v>4.2599999999999999E-2</v>
      </c>
      <c r="J99" s="390">
        <v>4.4000000000000004E-2</v>
      </c>
      <c r="K99" s="390">
        <v>4.2000000000000003E-2</v>
      </c>
      <c r="L99" s="390">
        <v>4.4000000000000004E-2</v>
      </c>
      <c r="M99" s="390">
        <v>4.7300000000000002E-2</v>
      </c>
      <c r="N99" s="391">
        <v>5.3157922199184374E-2</v>
      </c>
      <c r="O99" s="827">
        <v>5.3691962856227987E-2</v>
      </c>
      <c r="P99" s="827">
        <v>6.6000000000000003E-2</v>
      </c>
      <c r="Q99" s="827">
        <v>5.9275493103003736E-2</v>
      </c>
      <c r="R99" s="1344">
        <v>5.5706574251813301E-2</v>
      </c>
      <c r="S99" s="1344">
        <v>5.3377498514482216E-2</v>
      </c>
      <c r="T99" s="1344">
        <v>5.1383449147188884E-2</v>
      </c>
      <c r="U99" s="2378">
        <v>4.9628513929145517E-2</v>
      </c>
      <c r="V99" s="1694">
        <v>5.4376775007888921E-2</v>
      </c>
      <c r="W99" s="392"/>
      <c r="X99" s="393">
        <v>2965</v>
      </c>
      <c r="Y99" s="393">
        <v>3035</v>
      </c>
      <c r="Z99" s="393">
        <v>3230</v>
      </c>
      <c r="AA99" s="393">
        <v>3589</v>
      </c>
      <c r="AB99" s="393">
        <v>3510</v>
      </c>
      <c r="AC99" s="393">
        <v>3102</v>
      </c>
      <c r="AD99" s="393">
        <v>3228</v>
      </c>
      <c r="AE99" s="393">
        <v>3067</v>
      </c>
      <c r="AF99" s="393">
        <v>3172</v>
      </c>
      <c r="AG99" s="393">
        <v>3402</v>
      </c>
      <c r="AH99" s="834">
        <v>4058</v>
      </c>
      <c r="AI99" s="834">
        <v>4192</v>
      </c>
      <c r="AJ99" s="1039">
        <v>5134</v>
      </c>
      <c r="AK99" s="1043">
        <v>4598</v>
      </c>
      <c r="AL99" s="1349">
        <v>4324</v>
      </c>
      <c r="AM99" s="1349">
        <v>4222</v>
      </c>
      <c r="AN99" s="1349">
        <v>4067</v>
      </c>
      <c r="AO99" s="1349">
        <v>3921</v>
      </c>
      <c r="AP99" s="1697">
        <v>4308</v>
      </c>
    </row>
    <row r="100" spans="1:42" ht="16.5" customHeight="1" x14ac:dyDescent="0.3">
      <c r="A100" s="349" t="s">
        <v>14</v>
      </c>
      <c r="B100" s="350" t="s">
        <v>15</v>
      </c>
      <c r="C100" s="1207" t="s">
        <v>255</v>
      </c>
      <c r="D100" s="390">
        <v>7.4999999999999997E-2</v>
      </c>
      <c r="E100" s="390">
        <v>7.2000000000000008E-2</v>
      </c>
      <c r="F100" s="390">
        <v>7.8E-2</v>
      </c>
      <c r="G100" s="390">
        <v>8.8000000000000009E-2</v>
      </c>
      <c r="H100" s="390">
        <v>8.3000000000000004E-2</v>
      </c>
      <c r="I100" s="390">
        <v>7.6999999999999999E-2</v>
      </c>
      <c r="J100" s="390">
        <v>7.2000000000000008E-2</v>
      </c>
      <c r="K100" s="390">
        <v>8.3000000000000004E-2</v>
      </c>
      <c r="L100" s="390">
        <v>0.08</v>
      </c>
      <c r="M100" s="390">
        <v>9.0999999999999998E-2</v>
      </c>
      <c r="N100" s="391">
        <v>9.3000000000000013E-2</v>
      </c>
      <c r="O100" s="827">
        <v>8.1000000000000003E-2</v>
      </c>
      <c r="P100" s="827">
        <v>8.5999999999999993E-2</v>
      </c>
      <c r="Q100" s="827">
        <v>8.7829889090624724E-2</v>
      </c>
      <c r="R100" s="1344">
        <v>9.5899435332078523E-2</v>
      </c>
      <c r="S100" s="1344">
        <v>9.1208820193601145E-2</v>
      </c>
      <c r="T100" s="1344">
        <v>0.10460302709306785</v>
      </c>
      <c r="U100" s="2378">
        <v>0.10069121655378271</v>
      </c>
      <c r="V100" s="1694">
        <v>0.1014620675741279</v>
      </c>
      <c r="W100" s="392"/>
      <c r="X100" s="393">
        <v>9744</v>
      </c>
      <c r="Y100" s="393">
        <v>9285</v>
      </c>
      <c r="Z100" s="393">
        <v>10067</v>
      </c>
      <c r="AA100" s="393">
        <v>11271</v>
      </c>
      <c r="AB100" s="393">
        <v>11165</v>
      </c>
      <c r="AC100" s="393">
        <v>10320</v>
      </c>
      <c r="AD100" s="393">
        <v>9685</v>
      </c>
      <c r="AE100" s="393">
        <v>11450</v>
      </c>
      <c r="AF100" s="393">
        <v>11398</v>
      </c>
      <c r="AG100" s="393">
        <v>13486</v>
      </c>
      <c r="AH100" s="394">
        <v>12898</v>
      </c>
      <c r="AI100" s="834">
        <v>11522</v>
      </c>
      <c r="AJ100" s="1039">
        <v>12412</v>
      </c>
      <c r="AK100" s="1043">
        <v>12916</v>
      </c>
      <c r="AL100" s="1349">
        <v>14266</v>
      </c>
      <c r="AM100" s="1349">
        <v>13832</v>
      </c>
      <c r="AN100" s="1349">
        <v>16096</v>
      </c>
      <c r="AO100" s="1349">
        <v>15922</v>
      </c>
      <c r="AP100" s="1697">
        <v>16093</v>
      </c>
    </row>
    <row r="101" spans="1:42" ht="16.5" customHeight="1" x14ac:dyDescent="0.3">
      <c r="A101" s="349" t="s">
        <v>34</v>
      </c>
      <c r="B101" s="350" t="s">
        <v>35</v>
      </c>
      <c r="C101" s="1207" t="s">
        <v>256</v>
      </c>
      <c r="D101" s="390">
        <v>0.154</v>
      </c>
      <c r="E101" s="390">
        <v>0.156</v>
      </c>
      <c r="F101" s="390">
        <v>0.17100000000000001</v>
      </c>
      <c r="G101" s="390">
        <v>0.16399999999999998</v>
      </c>
      <c r="H101" s="390">
        <v>0.16800000000000001</v>
      </c>
      <c r="I101" s="390">
        <v>0.182</v>
      </c>
      <c r="J101" s="390">
        <v>0.214</v>
      </c>
      <c r="K101" s="390">
        <v>0.183</v>
      </c>
      <c r="L101" s="390">
        <v>0.21299999999999999</v>
      </c>
      <c r="M101" s="390">
        <v>0.20199999999999999</v>
      </c>
      <c r="N101" s="391">
        <v>0.21500000000000002</v>
      </c>
      <c r="O101" s="827">
        <v>0.25800000000000001</v>
      </c>
      <c r="P101" s="827">
        <v>0.21099999999999999</v>
      </c>
      <c r="Q101" s="827">
        <v>0.21624151649894688</v>
      </c>
      <c r="R101" s="1344">
        <v>0.21793737838315938</v>
      </c>
      <c r="S101" s="1344">
        <v>0.19269417188793</v>
      </c>
      <c r="T101" s="1344">
        <v>0.23628212791392708</v>
      </c>
      <c r="U101" s="2378">
        <v>0.19348219674109837</v>
      </c>
      <c r="V101" s="1694">
        <v>0.20452867339404382</v>
      </c>
      <c r="W101" s="392"/>
      <c r="X101" s="393">
        <v>2597</v>
      </c>
      <c r="Y101" s="393">
        <v>2577</v>
      </c>
      <c r="Z101" s="393">
        <v>2861</v>
      </c>
      <c r="AA101" s="393">
        <v>2763</v>
      </c>
      <c r="AB101" s="393">
        <v>2805</v>
      </c>
      <c r="AC101" s="393">
        <v>2999</v>
      </c>
      <c r="AD101" s="393">
        <v>3584</v>
      </c>
      <c r="AE101" s="393">
        <v>3098</v>
      </c>
      <c r="AF101" s="393">
        <v>3605</v>
      </c>
      <c r="AG101" s="393">
        <v>3458</v>
      </c>
      <c r="AH101" s="394">
        <v>3744</v>
      </c>
      <c r="AI101" s="834">
        <v>4466</v>
      </c>
      <c r="AJ101" s="1039">
        <v>3624</v>
      </c>
      <c r="AK101" s="1043">
        <v>3696</v>
      </c>
      <c r="AL101" s="1349">
        <v>3696</v>
      </c>
      <c r="AM101" s="1349">
        <v>3260</v>
      </c>
      <c r="AN101" s="1349">
        <v>3953</v>
      </c>
      <c r="AO101" s="1349">
        <v>3206</v>
      </c>
      <c r="AP101" s="1697">
        <v>3324</v>
      </c>
    </row>
    <row r="102" spans="1:42" ht="16.5" customHeight="1" x14ac:dyDescent="0.3">
      <c r="A102" s="349" t="s">
        <v>52</v>
      </c>
      <c r="B102" s="350" t="s">
        <v>53</v>
      </c>
      <c r="C102" s="1207" t="s">
        <v>253</v>
      </c>
      <c r="D102" s="390">
        <v>0.16800000000000001</v>
      </c>
      <c r="E102" s="390">
        <v>0.14599999999999999</v>
      </c>
      <c r="F102" s="390">
        <v>0.16399999999999998</v>
      </c>
      <c r="G102" s="390">
        <v>0.18</v>
      </c>
      <c r="H102" s="390">
        <v>0.17199999999999999</v>
      </c>
      <c r="I102" s="390">
        <v>0.23699999999999999</v>
      </c>
      <c r="J102" s="390">
        <v>0.24</v>
      </c>
      <c r="K102" s="390">
        <v>0.23600000000000002</v>
      </c>
      <c r="L102" s="390">
        <v>0.218</v>
      </c>
      <c r="M102" s="390">
        <v>0.214</v>
      </c>
      <c r="N102" s="391">
        <v>0.20200000000000001</v>
      </c>
      <c r="O102" s="827">
        <v>0.23</v>
      </c>
      <c r="P102" s="827">
        <v>0.24199999999999999</v>
      </c>
      <c r="Q102" s="827">
        <v>0.22897096751295459</v>
      </c>
      <c r="R102" s="1344">
        <v>0.2591647705072514</v>
      </c>
      <c r="S102" s="1344">
        <v>0.2073885980090335</v>
      </c>
      <c r="T102" s="1344">
        <v>0.22848532202254715</v>
      </c>
      <c r="U102" s="2378">
        <v>0.20323149620016115</v>
      </c>
      <c r="V102" s="1694">
        <v>0.2307190679071385</v>
      </c>
      <c r="W102" s="392"/>
      <c r="X102" s="393">
        <v>6470</v>
      </c>
      <c r="Y102" s="393">
        <v>5556</v>
      </c>
      <c r="Z102" s="393">
        <v>6184</v>
      </c>
      <c r="AA102" s="393">
        <v>6295</v>
      </c>
      <c r="AB102" s="393">
        <v>6720</v>
      </c>
      <c r="AC102" s="393">
        <v>9101</v>
      </c>
      <c r="AD102" s="393">
        <v>9240</v>
      </c>
      <c r="AE102" s="393">
        <v>9299</v>
      </c>
      <c r="AF102" s="393">
        <v>8640</v>
      </c>
      <c r="AG102" s="393">
        <v>8666</v>
      </c>
      <c r="AH102" s="394">
        <v>8387</v>
      </c>
      <c r="AI102" s="834">
        <v>9508</v>
      </c>
      <c r="AJ102" s="1039">
        <v>10138</v>
      </c>
      <c r="AK102" s="1043">
        <v>9677</v>
      </c>
      <c r="AL102" s="1349">
        <v>11276</v>
      </c>
      <c r="AM102" s="1349">
        <v>9229</v>
      </c>
      <c r="AN102" s="1349">
        <v>10235</v>
      </c>
      <c r="AO102" s="1349">
        <v>9333</v>
      </c>
      <c r="AP102" s="1697">
        <v>10614</v>
      </c>
    </row>
    <row r="103" spans="1:42" ht="16.5" customHeight="1" x14ac:dyDescent="0.3">
      <c r="A103" s="349" t="s">
        <v>54</v>
      </c>
      <c r="B103" s="350" t="s">
        <v>55</v>
      </c>
      <c r="C103" s="1207" t="s">
        <v>252</v>
      </c>
      <c r="D103" s="390">
        <v>7.6999999999999999E-2</v>
      </c>
      <c r="E103" s="390">
        <v>7.5999999999999998E-2</v>
      </c>
      <c r="F103" s="390">
        <v>8.3000000000000004E-2</v>
      </c>
      <c r="G103" s="390">
        <v>9.0999999999999998E-2</v>
      </c>
      <c r="H103" s="390">
        <v>8.6999999999999994E-2</v>
      </c>
      <c r="I103" s="390">
        <v>6.8000000000000005E-2</v>
      </c>
      <c r="J103" s="390">
        <v>6.8000000000000005E-2</v>
      </c>
      <c r="K103" s="390">
        <v>0.08</v>
      </c>
      <c r="L103" s="390">
        <v>7.9000000000000001E-2</v>
      </c>
      <c r="M103" s="390">
        <v>7.2999999999999995E-2</v>
      </c>
      <c r="N103" s="391">
        <v>0.08</v>
      </c>
      <c r="O103" s="827">
        <v>9.3000000000000013E-2</v>
      </c>
      <c r="P103" s="827">
        <v>0.104</v>
      </c>
      <c r="Q103" s="827">
        <v>9.568905157362026E-2</v>
      </c>
      <c r="R103" s="1344">
        <v>9.8083057307003993E-2</v>
      </c>
      <c r="S103" s="1344">
        <v>9.7339874128725287E-2</v>
      </c>
      <c r="T103" s="1344">
        <v>8.6093965143761608E-2</v>
      </c>
      <c r="U103" s="2378">
        <v>9.3067869769494896E-2</v>
      </c>
      <c r="V103" s="1694">
        <v>8.5132247535080932E-2</v>
      </c>
      <c r="W103" s="392"/>
      <c r="X103" s="393">
        <v>15364</v>
      </c>
      <c r="Y103" s="393">
        <v>15393</v>
      </c>
      <c r="Z103" s="393">
        <v>17353</v>
      </c>
      <c r="AA103" s="393">
        <v>19330</v>
      </c>
      <c r="AB103" s="393">
        <v>18815</v>
      </c>
      <c r="AC103" s="393">
        <v>14571</v>
      </c>
      <c r="AD103" s="393">
        <v>14811</v>
      </c>
      <c r="AE103" s="393">
        <v>17246</v>
      </c>
      <c r="AF103" s="393">
        <v>17088</v>
      </c>
      <c r="AG103" s="393">
        <v>15859</v>
      </c>
      <c r="AH103" s="394">
        <v>17468</v>
      </c>
      <c r="AI103" s="834">
        <v>20551</v>
      </c>
      <c r="AJ103" s="1039">
        <v>23308</v>
      </c>
      <c r="AK103" s="1043">
        <v>21593</v>
      </c>
      <c r="AL103" s="1349">
        <v>22416</v>
      </c>
      <c r="AM103" s="1349">
        <v>22442</v>
      </c>
      <c r="AN103" s="1349">
        <v>20071</v>
      </c>
      <c r="AO103" s="1349">
        <v>21928</v>
      </c>
      <c r="AP103" s="1697">
        <v>20239</v>
      </c>
    </row>
    <row r="104" spans="1:42" ht="16.5" customHeight="1" x14ac:dyDescent="0.3">
      <c r="A104" s="349" t="s">
        <v>66</v>
      </c>
      <c r="B104" s="350" t="s">
        <v>67</v>
      </c>
      <c r="C104" s="1207" t="s">
        <v>253</v>
      </c>
      <c r="D104" s="390">
        <v>0.17100000000000001</v>
      </c>
      <c r="E104" s="390">
        <v>0.17300000000000001</v>
      </c>
      <c r="F104" s="390">
        <v>0.192</v>
      </c>
      <c r="G104" s="390">
        <v>0.19399999999999998</v>
      </c>
      <c r="H104" s="390">
        <v>0.19399999999999998</v>
      </c>
      <c r="I104" s="390">
        <v>0.24299999999999999</v>
      </c>
      <c r="J104" s="390">
        <v>0.223</v>
      </c>
      <c r="K104" s="390">
        <v>0.22800000000000001</v>
      </c>
      <c r="L104" s="390">
        <v>0.20800000000000002</v>
      </c>
      <c r="M104" s="390">
        <v>0.251</v>
      </c>
      <c r="N104" s="391">
        <v>0.26600000000000001</v>
      </c>
      <c r="O104" s="827">
        <v>0.26500000000000001</v>
      </c>
      <c r="P104" s="827">
        <v>0.25900000000000001</v>
      </c>
      <c r="Q104" s="827">
        <v>0.25023586617316207</v>
      </c>
      <c r="R104" s="1344">
        <v>0.2357767382625946</v>
      </c>
      <c r="S104" s="1344">
        <v>0.23496324073617211</v>
      </c>
      <c r="T104" s="1344">
        <v>0.22336624820126036</v>
      </c>
      <c r="U104" s="2378">
        <v>0.2442526560173619</v>
      </c>
      <c r="V104" s="1694">
        <v>0.25571826522528046</v>
      </c>
      <c r="W104" s="392"/>
      <c r="X104" s="393">
        <v>7972</v>
      </c>
      <c r="Y104" s="393">
        <v>7971</v>
      </c>
      <c r="Z104" s="393">
        <v>8821</v>
      </c>
      <c r="AA104" s="393">
        <v>8796</v>
      </c>
      <c r="AB104" s="393">
        <v>8715</v>
      </c>
      <c r="AC104" s="393">
        <v>10779</v>
      </c>
      <c r="AD104" s="393">
        <v>9838</v>
      </c>
      <c r="AE104" s="393">
        <v>9930</v>
      </c>
      <c r="AF104" s="393">
        <v>8991</v>
      </c>
      <c r="AG104" s="393">
        <v>10764</v>
      </c>
      <c r="AH104" s="394">
        <v>11032</v>
      </c>
      <c r="AI104" s="834">
        <v>10984</v>
      </c>
      <c r="AJ104" s="1039">
        <v>10719</v>
      </c>
      <c r="AK104" s="1043">
        <v>10344</v>
      </c>
      <c r="AL104" s="1349">
        <v>9627</v>
      </c>
      <c r="AM104" s="1349">
        <v>9524</v>
      </c>
      <c r="AN104" s="1349">
        <v>9003</v>
      </c>
      <c r="AO104" s="1349">
        <v>9679</v>
      </c>
      <c r="AP104" s="1697">
        <v>10006</v>
      </c>
    </row>
    <row r="105" spans="1:42" ht="16.5" customHeight="1" x14ac:dyDescent="0.3">
      <c r="A105" s="349" t="s">
        <v>82</v>
      </c>
      <c r="B105" s="350" t="s">
        <v>83</v>
      </c>
      <c r="C105" s="1207" t="s">
        <v>252</v>
      </c>
      <c r="D105" s="390">
        <v>0.17499999999999999</v>
      </c>
      <c r="E105" s="390">
        <v>0.156</v>
      </c>
      <c r="F105" s="390">
        <v>0.17100000000000001</v>
      </c>
      <c r="G105" s="390">
        <v>0.17399999999999999</v>
      </c>
      <c r="H105" s="390">
        <v>0.16600000000000001</v>
      </c>
      <c r="I105" s="390">
        <v>0.20100000000000001</v>
      </c>
      <c r="J105" s="390">
        <v>0.185</v>
      </c>
      <c r="K105" s="390">
        <v>0.184</v>
      </c>
      <c r="L105" s="390">
        <v>0.19399999999999998</v>
      </c>
      <c r="M105" s="390">
        <v>0.17699999999999999</v>
      </c>
      <c r="N105" s="391">
        <v>0.216</v>
      </c>
      <c r="O105" s="827">
        <v>0.218</v>
      </c>
      <c r="P105" s="827">
        <v>0.20799999999999999</v>
      </c>
      <c r="Q105" s="827">
        <v>0.2186030103480715</v>
      </c>
      <c r="R105" s="1344">
        <v>0.22489577129243599</v>
      </c>
      <c r="S105" s="1344">
        <v>0.19408878784252723</v>
      </c>
      <c r="T105" s="1344">
        <v>0.1824969400244798</v>
      </c>
      <c r="U105" s="2378">
        <v>0.20805369127516779</v>
      </c>
      <c r="V105" s="1694">
        <v>0.1832254790001269</v>
      </c>
      <c r="W105" s="392"/>
      <c r="X105" s="393">
        <v>1401</v>
      </c>
      <c r="Y105" s="393">
        <v>1237</v>
      </c>
      <c r="Z105" s="393">
        <v>1374</v>
      </c>
      <c r="AA105" s="393">
        <v>1435</v>
      </c>
      <c r="AB105" s="393">
        <v>1388</v>
      </c>
      <c r="AC105" s="393">
        <v>1668</v>
      </c>
      <c r="AD105" s="393">
        <v>1576</v>
      </c>
      <c r="AE105" s="393">
        <v>1586</v>
      </c>
      <c r="AF105" s="393">
        <v>1663</v>
      </c>
      <c r="AG105" s="393">
        <v>1506</v>
      </c>
      <c r="AH105" s="394">
        <v>1833</v>
      </c>
      <c r="AI105" s="834">
        <v>1843</v>
      </c>
      <c r="AJ105" s="1039">
        <v>1750</v>
      </c>
      <c r="AK105" s="1043">
        <v>1859</v>
      </c>
      <c r="AL105" s="1349">
        <v>1888</v>
      </c>
      <c r="AM105" s="1349">
        <v>1622</v>
      </c>
      <c r="AN105" s="1349">
        <v>1491</v>
      </c>
      <c r="AO105" s="1349">
        <v>1674</v>
      </c>
      <c r="AP105" s="1697">
        <v>1444</v>
      </c>
    </row>
    <row r="106" spans="1:42" ht="16.5" customHeight="1" x14ac:dyDescent="0.3">
      <c r="A106" s="349" t="s">
        <v>88</v>
      </c>
      <c r="B106" s="350" t="s">
        <v>89</v>
      </c>
      <c r="C106" s="1207" t="s">
        <v>255</v>
      </c>
      <c r="D106" s="390">
        <v>0.128</v>
      </c>
      <c r="E106" s="390">
        <v>0.126</v>
      </c>
      <c r="F106" s="390">
        <v>0.13699999999999998</v>
      </c>
      <c r="G106" s="390">
        <v>0.14199999999999999</v>
      </c>
      <c r="H106" s="390">
        <v>0.14400000000000002</v>
      </c>
      <c r="I106" s="390">
        <v>0.17</v>
      </c>
      <c r="J106" s="390">
        <v>0.14899999999999999</v>
      </c>
      <c r="K106" s="390">
        <v>0.13</v>
      </c>
      <c r="L106" s="390">
        <v>0.154</v>
      </c>
      <c r="M106" s="390">
        <v>0.17300000000000001</v>
      </c>
      <c r="N106" s="391">
        <v>0.19800000000000001</v>
      </c>
      <c r="O106" s="827">
        <v>0.159</v>
      </c>
      <c r="P106" s="827">
        <v>0.157</v>
      </c>
      <c r="Q106" s="827">
        <v>0.17524306378942375</v>
      </c>
      <c r="R106" s="1344">
        <v>0.16764338177840299</v>
      </c>
      <c r="S106" s="1344">
        <v>0.1590642359752758</v>
      </c>
      <c r="T106" s="1344">
        <v>0.14608621226268284</v>
      </c>
      <c r="U106" s="2378">
        <v>0.1409090909090909</v>
      </c>
      <c r="V106" s="1694">
        <v>0.14543600589146116</v>
      </c>
      <c r="W106" s="392"/>
      <c r="X106" s="393">
        <v>2267</v>
      </c>
      <c r="Y106" s="393">
        <v>2247</v>
      </c>
      <c r="Z106" s="393">
        <v>2476</v>
      </c>
      <c r="AA106" s="393">
        <v>2594</v>
      </c>
      <c r="AB106" s="393">
        <v>2630</v>
      </c>
      <c r="AC106" s="393">
        <v>3050</v>
      </c>
      <c r="AD106" s="393">
        <v>2783</v>
      </c>
      <c r="AE106" s="393">
        <v>2585</v>
      </c>
      <c r="AF106" s="393">
        <v>3118</v>
      </c>
      <c r="AG106" s="393">
        <v>3581</v>
      </c>
      <c r="AH106" s="394">
        <v>4338</v>
      </c>
      <c r="AI106" s="834">
        <v>3681</v>
      </c>
      <c r="AJ106" s="1039">
        <v>3860</v>
      </c>
      <c r="AK106" s="1043">
        <v>4434</v>
      </c>
      <c r="AL106" s="1349">
        <v>4291</v>
      </c>
      <c r="AM106" s="1349">
        <v>4066</v>
      </c>
      <c r="AN106" s="1349">
        <v>3755</v>
      </c>
      <c r="AO106" s="1349">
        <v>3627</v>
      </c>
      <c r="AP106" s="1697">
        <v>3851</v>
      </c>
    </row>
    <row r="107" spans="1:42" ht="16.5" customHeight="1" x14ac:dyDescent="0.3">
      <c r="A107" s="349" t="s">
        <v>90</v>
      </c>
      <c r="B107" s="350" t="s">
        <v>91</v>
      </c>
      <c r="C107" s="1207" t="s">
        <v>256</v>
      </c>
      <c r="D107" s="390">
        <v>0.184</v>
      </c>
      <c r="E107" s="390">
        <v>0.16899999999999998</v>
      </c>
      <c r="F107" s="390">
        <v>0.17699999999999999</v>
      </c>
      <c r="G107" s="390">
        <v>0.18</v>
      </c>
      <c r="H107" s="390">
        <v>0.17</v>
      </c>
      <c r="I107" s="390">
        <v>0.20699999999999999</v>
      </c>
      <c r="J107" s="390">
        <v>0.23</v>
      </c>
      <c r="K107" s="390">
        <v>0.19</v>
      </c>
      <c r="L107" s="390">
        <v>0.20699999999999999</v>
      </c>
      <c r="M107" s="390">
        <v>0.191</v>
      </c>
      <c r="N107" s="391">
        <v>0.223</v>
      </c>
      <c r="O107" s="827">
        <v>0.22899999999999998</v>
      </c>
      <c r="P107" s="827">
        <v>0.22800000000000001</v>
      </c>
      <c r="Q107" s="827">
        <v>0.22763744427934621</v>
      </c>
      <c r="R107" s="1344">
        <v>0.22738787066011026</v>
      </c>
      <c r="S107" s="1344">
        <v>0.24190620272314675</v>
      </c>
      <c r="T107" s="1344">
        <v>0.20513216880507035</v>
      </c>
      <c r="U107" s="2378">
        <v>0.21549407114624505</v>
      </c>
      <c r="V107" s="1694">
        <v>0.21659588369813787</v>
      </c>
      <c r="W107" s="392"/>
      <c r="X107" s="393">
        <v>1202</v>
      </c>
      <c r="Y107" s="393">
        <v>1094</v>
      </c>
      <c r="Z107" s="393">
        <v>1163</v>
      </c>
      <c r="AA107" s="393">
        <v>1180</v>
      </c>
      <c r="AB107" s="393">
        <v>1118</v>
      </c>
      <c r="AC107" s="393">
        <v>1349</v>
      </c>
      <c r="AD107" s="393">
        <v>1504</v>
      </c>
      <c r="AE107" s="393">
        <v>1267</v>
      </c>
      <c r="AF107" s="393">
        <v>1378</v>
      </c>
      <c r="AG107" s="393">
        <v>1286</v>
      </c>
      <c r="AH107" s="394">
        <v>1512</v>
      </c>
      <c r="AI107" s="834">
        <v>1530</v>
      </c>
      <c r="AJ107" s="1039">
        <v>1506</v>
      </c>
      <c r="AK107" s="1043">
        <v>1532</v>
      </c>
      <c r="AL107" s="1349">
        <v>1526</v>
      </c>
      <c r="AM107" s="1349">
        <v>1599</v>
      </c>
      <c r="AN107" s="1349">
        <v>1327</v>
      </c>
      <c r="AO107" s="1349">
        <v>1363</v>
      </c>
      <c r="AP107" s="1697">
        <v>1326</v>
      </c>
    </row>
    <row r="108" spans="1:42" ht="16.5" customHeight="1" x14ac:dyDescent="0.3">
      <c r="A108" s="349" t="s">
        <v>106</v>
      </c>
      <c r="B108" s="350" t="s">
        <v>107</v>
      </c>
      <c r="C108" s="1207" t="s">
        <v>252</v>
      </c>
      <c r="D108" s="390">
        <v>0.122</v>
      </c>
      <c r="E108" s="390">
        <v>0.121</v>
      </c>
      <c r="F108" s="390">
        <v>0.13</v>
      </c>
      <c r="G108" s="390">
        <v>0.13100000000000001</v>
      </c>
      <c r="H108" s="390">
        <v>0.125</v>
      </c>
      <c r="I108" s="390">
        <v>0.13400000000000001</v>
      </c>
      <c r="J108" s="390">
        <v>0.121</v>
      </c>
      <c r="K108" s="390">
        <v>0.15</v>
      </c>
      <c r="L108" s="390">
        <v>0.14199999999999999</v>
      </c>
      <c r="M108" s="390">
        <v>0.14800000000000002</v>
      </c>
      <c r="N108" s="391">
        <v>0.13099999999999998</v>
      </c>
      <c r="O108" s="827">
        <v>0.153</v>
      </c>
      <c r="P108" s="827">
        <v>0.16500000000000001</v>
      </c>
      <c r="Q108" s="827">
        <v>0.15595928806935214</v>
      </c>
      <c r="R108" s="1344">
        <v>0.15181356519642561</v>
      </c>
      <c r="S108" s="1344">
        <v>0.15230752887256613</v>
      </c>
      <c r="T108" s="1344">
        <v>0.16433467355925713</v>
      </c>
      <c r="U108" s="2378">
        <v>0.15489403084142445</v>
      </c>
      <c r="V108" s="1694">
        <v>0.15432447273374117</v>
      </c>
      <c r="W108" s="392"/>
      <c r="X108" s="393">
        <v>16301</v>
      </c>
      <c r="Y108" s="393">
        <v>16154</v>
      </c>
      <c r="Z108" s="393">
        <v>17671</v>
      </c>
      <c r="AA108" s="393">
        <v>17544</v>
      </c>
      <c r="AB108" s="393">
        <v>16802</v>
      </c>
      <c r="AC108" s="393">
        <v>17885</v>
      </c>
      <c r="AD108" s="393">
        <v>16140</v>
      </c>
      <c r="AE108" s="393">
        <v>20115</v>
      </c>
      <c r="AF108" s="393">
        <v>18827</v>
      </c>
      <c r="AG108" s="393">
        <v>19499</v>
      </c>
      <c r="AH108" s="394">
        <v>17439</v>
      </c>
      <c r="AI108" s="834">
        <v>20153</v>
      </c>
      <c r="AJ108" s="1039">
        <v>21855</v>
      </c>
      <c r="AK108" s="1043">
        <v>20671</v>
      </c>
      <c r="AL108" s="1349">
        <v>20149</v>
      </c>
      <c r="AM108" s="1349">
        <v>20072</v>
      </c>
      <c r="AN108" s="1349">
        <v>21458</v>
      </c>
      <c r="AO108" s="1349">
        <v>20069</v>
      </c>
      <c r="AP108" s="1697">
        <v>19954</v>
      </c>
    </row>
    <row r="109" spans="1:42" ht="16.5" customHeight="1" x14ac:dyDescent="0.3">
      <c r="A109" s="349" t="s">
        <v>116</v>
      </c>
      <c r="B109" s="350" t="s">
        <v>117</v>
      </c>
      <c r="C109" s="1207" t="s">
        <v>254</v>
      </c>
      <c r="D109" s="390">
        <v>0.14499999999999999</v>
      </c>
      <c r="E109" s="390">
        <v>0.14099999999999999</v>
      </c>
      <c r="F109" s="390">
        <v>0.16</v>
      </c>
      <c r="G109" s="390">
        <v>0.16399999999999998</v>
      </c>
      <c r="H109" s="390">
        <v>0.155</v>
      </c>
      <c r="I109" s="390">
        <v>0.16600000000000001</v>
      </c>
      <c r="J109" s="390">
        <v>0.16600000000000001</v>
      </c>
      <c r="K109" s="390">
        <v>0.15</v>
      </c>
      <c r="L109" s="390">
        <v>0.17899999999999999</v>
      </c>
      <c r="M109" s="390">
        <v>0.19699999999999998</v>
      </c>
      <c r="N109" s="391">
        <v>0.17299999999999999</v>
      </c>
      <c r="O109" s="827">
        <v>0.183</v>
      </c>
      <c r="P109" s="827">
        <v>0.189</v>
      </c>
      <c r="Q109" s="827">
        <v>0.22586412395709177</v>
      </c>
      <c r="R109" s="1344">
        <v>0.19529605564198774</v>
      </c>
      <c r="S109" s="1344">
        <v>0.20570209288600355</v>
      </c>
      <c r="T109" s="1344">
        <v>0.20701064115174819</v>
      </c>
      <c r="U109" s="2378">
        <v>0.19910193084867533</v>
      </c>
      <c r="V109" s="1694">
        <v>0.19702284583558194</v>
      </c>
      <c r="W109" s="392"/>
      <c r="X109" s="393">
        <v>3195</v>
      </c>
      <c r="Y109" s="393">
        <v>3132</v>
      </c>
      <c r="Z109" s="393">
        <v>3571</v>
      </c>
      <c r="AA109" s="393">
        <v>3635</v>
      </c>
      <c r="AB109" s="393">
        <v>3497</v>
      </c>
      <c r="AC109" s="393">
        <v>3715</v>
      </c>
      <c r="AD109" s="393">
        <v>3720</v>
      </c>
      <c r="AE109" s="393">
        <v>3402</v>
      </c>
      <c r="AF109" s="393">
        <v>4079</v>
      </c>
      <c r="AG109" s="393">
        <v>4486</v>
      </c>
      <c r="AH109" s="394">
        <v>3859</v>
      </c>
      <c r="AI109" s="834">
        <v>4076</v>
      </c>
      <c r="AJ109" s="1039">
        <v>4153</v>
      </c>
      <c r="AK109" s="1043">
        <v>4927</v>
      </c>
      <c r="AL109" s="1349">
        <v>4268</v>
      </c>
      <c r="AM109" s="1349">
        <v>4531</v>
      </c>
      <c r="AN109" s="1349">
        <v>4630</v>
      </c>
      <c r="AO109" s="1349">
        <v>4434</v>
      </c>
      <c r="AP109" s="1697">
        <v>4381</v>
      </c>
    </row>
    <row r="110" spans="1:42" ht="16.5" customHeight="1" x14ac:dyDescent="0.3">
      <c r="A110" s="349" t="s">
        <v>138</v>
      </c>
      <c r="B110" s="350" t="s">
        <v>139</v>
      </c>
      <c r="C110" s="1207" t="s">
        <v>253</v>
      </c>
      <c r="D110" s="390">
        <v>0.15</v>
      </c>
      <c r="E110" s="390">
        <v>0.157</v>
      </c>
      <c r="F110" s="390">
        <v>0.183</v>
      </c>
      <c r="G110" s="390">
        <v>0.17600000000000002</v>
      </c>
      <c r="H110" s="390">
        <v>0.17800000000000002</v>
      </c>
      <c r="I110" s="390">
        <v>0.192</v>
      </c>
      <c r="J110" s="390">
        <v>0.191</v>
      </c>
      <c r="K110" s="390">
        <v>0.19399999999999998</v>
      </c>
      <c r="L110" s="390">
        <v>0.19800000000000001</v>
      </c>
      <c r="M110" s="390">
        <v>0.20699999999999999</v>
      </c>
      <c r="N110" s="391">
        <v>0.22800000000000001</v>
      </c>
      <c r="O110" s="827">
        <v>0.221</v>
      </c>
      <c r="P110" s="827">
        <v>0.23799999999999999</v>
      </c>
      <c r="Q110" s="827">
        <v>0.22646971935007384</v>
      </c>
      <c r="R110" s="1344">
        <v>0.24981818181818183</v>
      </c>
      <c r="S110" s="1344">
        <v>0.23141441650249159</v>
      </c>
      <c r="T110" s="1344">
        <v>0.17788031723143474</v>
      </c>
      <c r="U110" s="2378">
        <v>0.18778510245813732</v>
      </c>
      <c r="V110" s="1694">
        <v>0.20815505010696994</v>
      </c>
      <c r="W110" s="392"/>
      <c r="X110" s="393">
        <v>8790</v>
      </c>
      <c r="Y110" s="393">
        <v>9167</v>
      </c>
      <c r="Z110" s="393">
        <v>10764</v>
      </c>
      <c r="AA110" s="393">
        <v>10265</v>
      </c>
      <c r="AB110" s="393">
        <v>10524</v>
      </c>
      <c r="AC110" s="393">
        <v>11145</v>
      </c>
      <c r="AD110" s="393">
        <v>11322</v>
      </c>
      <c r="AE110" s="393">
        <v>11980</v>
      </c>
      <c r="AF110" s="393">
        <v>12344</v>
      </c>
      <c r="AG110" s="393">
        <v>13122</v>
      </c>
      <c r="AH110" s="394">
        <v>14921</v>
      </c>
      <c r="AI110" s="834">
        <v>14671</v>
      </c>
      <c r="AJ110" s="1039">
        <v>15896</v>
      </c>
      <c r="AK110" s="1043">
        <v>15332</v>
      </c>
      <c r="AL110" s="1349">
        <v>17175</v>
      </c>
      <c r="AM110" s="1349">
        <v>15975</v>
      </c>
      <c r="AN110" s="1349">
        <v>12336</v>
      </c>
      <c r="AO110" s="1349">
        <v>13132</v>
      </c>
      <c r="AP110" s="1697">
        <v>14789</v>
      </c>
    </row>
    <row r="111" spans="1:42" ht="16.5" customHeight="1" x14ac:dyDescent="0.3">
      <c r="A111" s="349" t="s">
        <v>142</v>
      </c>
      <c r="B111" s="350" t="s">
        <v>143</v>
      </c>
      <c r="C111" s="1207" t="s">
        <v>255</v>
      </c>
      <c r="D111" s="390">
        <v>5.9000000000000004E-2</v>
      </c>
      <c r="E111" s="390">
        <v>5.9000000000000004E-2</v>
      </c>
      <c r="F111" s="390">
        <v>6.4000000000000001E-2</v>
      </c>
      <c r="G111" s="390">
        <v>7.400000000000001E-2</v>
      </c>
      <c r="H111" s="390">
        <v>7.4999999999999997E-2</v>
      </c>
      <c r="I111" s="390">
        <v>6.8000000000000005E-2</v>
      </c>
      <c r="J111" s="390">
        <v>7.400000000000001E-2</v>
      </c>
      <c r="K111" s="390">
        <v>8.900000000000001E-2</v>
      </c>
      <c r="L111" s="390">
        <v>8.6999999999999994E-2</v>
      </c>
      <c r="M111" s="390">
        <v>0.09</v>
      </c>
      <c r="N111" s="391">
        <v>0.11699999999999998</v>
      </c>
      <c r="O111" s="827">
        <v>0.10300000000000001</v>
      </c>
      <c r="P111" s="827">
        <v>0.107</v>
      </c>
      <c r="Q111" s="827">
        <v>0.10119869233563386</v>
      </c>
      <c r="R111" s="1344">
        <v>9.8221764832587419E-2</v>
      </c>
      <c r="S111" s="1344">
        <v>9.5834237885037504E-2</v>
      </c>
      <c r="T111" s="1344">
        <v>9.6702869499720581E-2</v>
      </c>
      <c r="U111" s="2378">
        <v>8.7248810795068438E-2</v>
      </c>
      <c r="V111" s="1694">
        <v>8.3520898376049757E-2</v>
      </c>
      <c r="W111" s="392"/>
      <c r="X111" s="393">
        <v>2076</v>
      </c>
      <c r="Y111" s="393">
        <v>2135</v>
      </c>
      <c r="Z111" s="393">
        <v>2358</v>
      </c>
      <c r="AA111" s="393">
        <v>2747</v>
      </c>
      <c r="AB111" s="393">
        <v>2756</v>
      </c>
      <c r="AC111" s="393">
        <v>2461</v>
      </c>
      <c r="AD111" s="393">
        <v>2642</v>
      </c>
      <c r="AE111" s="393">
        <v>3070</v>
      </c>
      <c r="AF111" s="393">
        <v>2972</v>
      </c>
      <c r="AG111" s="393">
        <v>3234</v>
      </c>
      <c r="AH111" s="394">
        <v>4427</v>
      </c>
      <c r="AI111" s="834">
        <v>4035</v>
      </c>
      <c r="AJ111" s="1039">
        <v>4331</v>
      </c>
      <c r="AK111" s="1043">
        <v>4179</v>
      </c>
      <c r="AL111" s="1349">
        <v>4104</v>
      </c>
      <c r="AM111" s="1349">
        <v>3973</v>
      </c>
      <c r="AN111" s="1349">
        <v>3980</v>
      </c>
      <c r="AO111" s="1349">
        <v>3595</v>
      </c>
      <c r="AP111" s="1697">
        <v>3451</v>
      </c>
    </row>
    <row r="112" spans="1:42" ht="16.5" customHeight="1" x14ac:dyDescent="0.3">
      <c r="A112" s="349" t="s">
        <v>144</v>
      </c>
      <c r="B112" s="350" t="s">
        <v>145</v>
      </c>
      <c r="C112" s="1207" t="s">
        <v>255</v>
      </c>
      <c r="D112" s="390">
        <v>5.9000000000000004E-2</v>
      </c>
      <c r="E112" s="390">
        <v>5.7000000000000002E-2</v>
      </c>
      <c r="F112" s="390">
        <v>6.0999999999999999E-2</v>
      </c>
      <c r="G112" s="390">
        <v>6.5000000000000002E-2</v>
      </c>
      <c r="H112" s="390">
        <v>0.06</v>
      </c>
      <c r="I112" s="390">
        <v>6.0999999999999999E-2</v>
      </c>
      <c r="J112" s="390">
        <v>6.9000000000000006E-2</v>
      </c>
      <c r="K112" s="390">
        <v>6.2E-2</v>
      </c>
      <c r="L112" s="390">
        <v>6.3E-2</v>
      </c>
      <c r="M112" s="390">
        <v>7.5999999999999998E-2</v>
      </c>
      <c r="N112" s="391">
        <v>8.5999999999999993E-2</v>
      </c>
      <c r="O112" s="827">
        <v>0.08</v>
      </c>
      <c r="P112" s="827">
        <v>8.5999999999999993E-2</v>
      </c>
      <c r="Q112" s="827">
        <v>8.4299065420560745E-2</v>
      </c>
      <c r="R112" s="1344">
        <v>8.9398053109065623E-2</v>
      </c>
      <c r="S112" s="1344">
        <v>7.6539420679071546E-2</v>
      </c>
      <c r="T112" s="1344">
        <v>7.7817814021113846E-2</v>
      </c>
      <c r="U112" s="2378">
        <v>7.0796996124031009E-2</v>
      </c>
      <c r="V112" s="1694">
        <v>6.9832240088233591E-2</v>
      </c>
      <c r="W112" s="392"/>
      <c r="X112" s="396">
        <v>641</v>
      </c>
      <c r="Y112" s="396">
        <v>619</v>
      </c>
      <c r="Z112" s="396">
        <v>671</v>
      </c>
      <c r="AA112" s="396">
        <v>750</v>
      </c>
      <c r="AB112" s="396">
        <v>699</v>
      </c>
      <c r="AC112" s="396">
        <v>705</v>
      </c>
      <c r="AD112" s="396">
        <v>794</v>
      </c>
      <c r="AE112" s="396">
        <v>703</v>
      </c>
      <c r="AF112" s="393">
        <v>713</v>
      </c>
      <c r="AG112" s="393">
        <v>906</v>
      </c>
      <c r="AH112" s="394">
        <v>1238</v>
      </c>
      <c r="AI112" s="834">
        <v>1214</v>
      </c>
      <c r="AJ112" s="1039">
        <v>1356</v>
      </c>
      <c r="AK112" s="1043">
        <v>1353</v>
      </c>
      <c r="AL112" s="1349">
        <v>1350</v>
      </c>
      <c r="AM112" s="1349">
        <v>1197</v>
      </c>
      <c r="AN112" s="1349">
        <v>1231</v>
      </c>
      <c r="AO112" s="1349">
        <v>1169</v>
      </c>
      <c r="AP112" s="1697">
        <v>1203</v>
      </c>
    </row>
    <row r="113" spans="1:42" ht="16.5" customHeight="1" x14ac:dyDescent="0.3">
      <c r="A113" s="349" t="s">
        <v>158</v>
      </c>
      <c r="B113" s="350" t="s">
        <v>159</v>
      </c>
      <c r="C113" s="1207" t="s">
        <v>252</v>
      </c>
      <c r="D113" s="390">
        <v>0.124</v>
      </c>
      <c r="E113" s="390">
        <v>0.11900000000000001</v>
      </c>
      <c r="F113" s="390">
        <v>0.13100000000000001</v>
      </c>
      <c r="G113" s="390">
        <v>0.14000000000000001</v>
      </c>
      <c r="H113" s="390">
        <v>0.13400000000000001</v>
      </c>
      <c r="I113" s="390">
        <v>0.14199999999999999</v>
      </c>
      <c r="J113" s="390">
        <v>0.126</v>
      </c>
      <c r="K113" s="390">
        <v>0.14699999999999999</v>
      </c>
      <c r="L113" s="390">
        <v>0.13200000000000001</v>
      </c>
      <c r="M113" s="390">
        <v>0.13500000000000001</v>
      </c>
      <c r="N113" s="391">
        <v>0.151</v>
      </c>
      <c r="O113" s="827">
        <v>0.155</v>
      </c>
      <c r="P113" s="827">
        <v>0.16400000000000001</v>
      </c>
      <c r="Q113" s="827">
        <v>0.17539417654505696</v>
      </c>
      <c r="R113" s="1344">
        <v>0.16662655986799133</v>
      </c>
      <c r="S113" s="1344">
        <v>0.16834640865215814</v>
      </c>
      <c r="T113" s="1344">
        <v>0.1466181692214428</v>
      </c>
      <c r="U113" s="2378">
        <v>0.17184953197038141</v>
      </c>
      <c r="V113" s="1694">
        <v>0.15245414417107786</v>
      </c>
      <c r="W113" s="392"/>
      <c r="X113" s="393">
        <v>21921</v>
      </c>
      <c r="Y113" s="393">
        <v>21150</v>
      </c>
      <c r="Z113" s="393">
        <v>23577</v>
      </c>
      <c r="AA113" s="393">
        <v>25148</v>
      </c>
      <c r="AB113" s="393">
        <v>23864</v>
      </c>
      <c r="AC113" s="393">
        <v>24948</v>
      </c>
      <c r="AD113" s="393">
        <v>22043</v>
      </c>
      <c r="AE113" s="393">
        <v>25758</v>
      </c>
      <c r="AF113" s="393">
        <v>22966</v>
      </c>
      <c r="AG113" s="393">
        <v>25430</v>
      </c>
      <c r="AH113" s="394">
        <v>26088</v>
      </c>
      <c r="AI113" s="834">
        <v>26712</v>
      </c>
      <c r="AJ113" s="1039">
        <v>28299</v>
      </c>
      <c r="AK113" s="1043">
        <v>30480</v>
      </c>
      <c r="AL113" s="1349">
        <v>29082</v>
      </c>
      <c r="AM113" s="1349">
        <v>29248</v>
      </c>
      <c r="AN113" s="1349">
        <v>25395</v>
      </c>
      <c r="AO113" s="1349">
        <v>29521</v>
      </c>
      <c r="AP113" s="1697">
        <v>26007</v>
      </c>
    </row>
    <row r="114" spans="1:42" ht="16.5" customHeight="1" x14ac:dyDescent="0.3">
      <c r="A114" s="349" t="s">
        <v>160</v>
      </c>
      <c r="B114" s="350" t="s">
        <v>161</v>
      </c>
      <c r="C114" s="1207" t="s">
        <v>252</v>
      </c>
      <c r="D114" s="390">
        <v>0.18600000000000003</v>
      </c>
      <c r="E114" s="390">
        <v>0.18600000000000003</v>
      </c>
      <c r="F114" s="390">
        <v>0.20300000000000001</v>
      </c>
      <c r="G114" s="390">
        <v>0.19800000000000001</v>
      </c>
      <c r="H114" s="390">
        <v>0.188</v>
      </c>
      <c r="I114" s="390">
        <v>0.18899999999999997</v>
      </c>
      <c r="J114" s="390">
        <v>0.17499999999999999</v>
      </c>
      <c r="K114" s="390">
        <v>0.17899999999999999</v>
      </c>
      <c r="L114" s="390">
        <v>0.19500000000000001</v>
      </c>
      <c r="M114" s="390">
        <v>0.184</v>
      </c>
      <c r="N114" s="391">
        <v>0.19</v>
      </c>
      <c r="O114" s="827">
        <v>0.20300000000000001</v>
      </c>
      <c r="P114" s="827">
        <v>0.22600000000000001</v>
      </c>
      <c r="Q114" s="827">
        <v>0.23264248217208874</v>
      </c>
      <c r="R114" s="1344">
        <v>0.23356786563084178</v>
      </c>
      <c r="S114" s="1344">
        <v>0.21482194417709335</v>
      </c>
      <c r="T114" s="1344">
        <v>0.21321872141381945</v>
      </c>
      <c r="U114" s="2378">
        <v>0.2094283276450512</v>
      </c>
      <c r="V114" s="1694">
        <v>0.19744052408316393</v>
      </c>
      <c r="W114" s="392"/>
      <c r="X114" s="393">
        <v>39503</v>
      </c>
      <c r="Y114" s="393">
        <v>39711</v>
      </c>
      <c r="Z114" s="393">
        <v>43514</v>
      </c>
      <c r="AA114" s="393">
        <v>41488</v>
      </c>
      <c r="AB114" s="393">
        <v>38960</v>
      </c>
      <c r="AC114" s="393">
        <v>38857</v>
      </c>
      <c r="AD114" s="393">
        <v>35487</v>
      </c>
      <c r="AE114" s="393">
        <v>37343</v>
      </c>
      <c r="AF114" s="393">
        <v>40407</v>
      </c>
      <c r="AG114" s="393">
        <v>37917</v>
      </c>
      <c r="AH114" s="394">
        <v>39903</v>
      </c>
      <c r="AI114" s="834">
        <v>42703</v>
      </c>
      <c r="AJ114" s="1039">
        <v>47978</v>
      </c>
      <c r="AK114" s="1043">
        <v>49457</v>
      </c>
      <c r="AL114" s="1349">
        <v>49728</v>
      </c>
      <c r="AM114" s="1349">
        <v>45756</v>
      </c>
      <c r="AN114" s="1349">
        <v>45219</v>
      </c>
      <c r="AO114" s="1349">
        <v>44181</v>
      </c>
      <c r="AP114" s="1697">
        <v>41471</v>
      </c>
    </row>
    <row r="115" spans="1:42" ht="16.5" customHeight="1" x14ac:dyDescent="0.3">
      <c r="A115" s="349" t="s">
        <v>166</v>
      </c>
      <c r="B115" s="350" t="s">
        <v>167</v>
      </c>
      <c r="C115" s="1207" t="s">
        <v>256</v>
      </c>
      <c r="D115" s="390">
        <v>0.18600000000000003</v>
      </c>
      <c r="E115" s="390">
        <v>0.17600000000000002</v>
      </c>
      <c r="F115" s="390">
        <v>0.16899999999999998</v>
      </c>
      <c r="G115" s="390">
        <v>0.182</v>
      </c>
      <c r="H115" s="390">
        <v>0.18</v>
      </c>
      <c r="I115" s="390">
        <v>0.221</v>
      </c>
      <c r="J115" s="390">
        <v>0.20300000000000001</v>
      </c>
      <c r="K115" s="390">
        <v>0.20600000000000002</v>
      </c>
      <c r="L115" s="390">
        <v>0.20800000000000002</v>
      </c>
      <c r="M115" s="390">
        <v>0.20899999999999999</v>
      </c>
      <c r="N115" s="391">
        <v>0.19500000000000001</v>
      </c>
      <c r="O115" s="827">
        <v>0.20499999999999999</v>
      </c>
      <c r="P115" s="827">
        <v>0.18099999999999999</v>
      </c>
      <c r="Q115" s="827">
        <v>0.22028325746079919</v>
      </c>
      <c r="R115" s="1344">
        <v>0.21567145376669186</v>
      </c>
      <c r="S115" s="1344">
        <v>0.23729687903017796</v>
      </c>
      <c r="T115" s="1344">
        <v>0.23014203051025775</v>
      </c>
      <c r="U115" s="2378">
        <v>0.22265221878224975</v>
      </c>
      <c r="V115" s="1694">
        <v>0.20757614538008703</v>
      </c>
      <c r="W115" s="392"/>
      <c r="X115" s="396">
        <v>717</v>
      </c>
      <c r="Y115" s="396">
        <v>686</v>
      </c>
      <c r="Z115" s="396">
        <v>659</v>
      </c>
      <c r="AA115" s="396">
        <v>678</v>
      </c>
      <c r="AB115" s="396">
        <v>658</v>
      </c>
      <c r="AC115" s="396">
        <v>801</v>
      </c>
      <c r="AD115" s="396">
        <v>730</v>
      </c>
      <c r="AE115" s="396">
        <v>757</v>
      </c>
      <c r="AF115" s="393">
        <v>759</v>
      </c>
      <c r="AG115" s="393">
        <v>763</v>
      </c>
      <c r="AH115" s="394">
        <v>761</v>
      </c>
      <c r="AI115" s="834">
        <v>819</v>
      </c>
      <c r="AJ115" s="1039">
        <v>727</v>
      </c>
      <c r="AK115" s="1043">
        <v>871</v>
      </c>
      <c r="AL115" s="1349">
        <v>856</v>
      </c>
      <c r="AM115" s="1349">
        <v>920</v>
      </c>
      <c r="AN115" s="1349">
        <v>875</v>
      </c>
      <c r="AO115" s="1349">
        <v>863</v>
      </c>
      <c r="AP115" s="1697">
        <v>811</v>
      </c>
    </row>
    <row r="116" spans="1:42" ht="16.5" customHeight="1" x14ac:dyDescent="0.3">
      <c r="A116" s="349" t="s">
        <v>176</v>
      </c>
      <c r="B116" s="350" t="s">
        <v>177</v>
      </c>
      <c r="C116" s="1207" t="s">
        <v>254</v>
      </c>
      <c r="D116" s="390">
        <v>0.17800000000000002</v>
      </c>
      <c r="E116" s="390">
        <v>0.17100000000000001</v>
      </c>
      <c r="F116" s="390">
        <v>0.185</v>
      </c>
      <c r="G116" s="390">
        <v>0.18600000000000003</v>
      </c>
      <c r="H116" s="390">
        <v>0.183</v>
      </c>
      <c r="I116" s="390">
        <v>0.218</v>
      </c>
      <c r="J116" s="390">
        <v>0.193</v>
      </c>
      <c r="K116" s="390">
        <v>0.191</v>
      </c>
      <c r="L116" s="390">
        <v>0.20100000000000001</v>
      </c>
      <c r="M116" s="390">
        <v>0.222</v>
      </c>
      <c r="N116" s="391">
        <v>0.252</v>
      </c>
      <c r="O116" s="827">
        <v>0.24299999999999999</v>
      </c>
      <c r="P116" s="827">
        <v>0.25800000000000001</v>
      </c>
      <c r="Q116" s="827">
        <v>0.28128436331647239</v>
      </c>
      <c r="R116" s="1344">
        <v>0.25802418976779073</v>
      </c>
      <c r="S116" s="1344">
        <v>0.2838254737769943</v>
      </c>
      <c r="T116" s="1344">
        <v>0.25163576010979544</v>
      </c>
      <c r="U116" s="2378">
        <v>0.21795816382099498</v>
      </c>
      <c r="V116" s="1694">
        <v>0.24149714690995841</v>
      </c>
      <c r="W116" s="392"/>
      <c r="X116" s="393">
        <v>5826</v>
      </c>
      <c r="Y116" s="393">
        <v>5569</v>
      </c>
      <c r="Z116" s="393">
        <v>6046</v>
      </c>
      <c r="AA116" s="393">
        <v>5978</v>
      </c>
      <c r="AB116" s="393">
        <v>5874</v>
      </c>
      <c r="AC116" s="393">
        <v>6854</v>
      </c>
      <c r="AD116" s="393">
        <v>6098</v>
      </c>
      <c r="AE116" s="393">
        <v>6131</v>
      </c>
      <c r="AF116" s="393">
        <v>6478</v>
      </c>
      <c r="AG116" s="393">
        <v>7164</v>
      </c>
      <c r="AH116" s="394">
        <v>8015</v>
      </c>
      <c r="AI116" s="834">
        <v>7697</v>
      </c>
      <c r="AJ116" s="1039">
        <v>8084</v>
      </c>
      <c r="AK116" s="1043">
        <v>8953</v>
      </c>
      <c r="AL116" s="1349">
        <v>8256</v>
      </c>
      <c r="AM116" s="1349">
        <v>9016</v>
      </c>
      <c r="AN116" s="1349">
        <v>7884</v>
      </c>
      <c r="AO116" s="1349">
        <v>6804</v>
      </c>
      <c r="AP116" s="1697">
        <v>7491</v>
      </c>
    </row>
    <row r="117" spans="1:42" ht="16.5" customHeight="1" x14ac:dyDescent="0.3">
      <c r="A117" s="349" t="s">
        <v>180</v>
      </c>
      <c r="B117" s="350" t="s">
        <v>181</v>
      </c>
      <c r="C117" s="1207" t="s">
        <v>252</v>
      </c>
      <c r="D117" s="390">
        <v>0.157</v>
      </c>
      <c r="E117" s="390">
        <v>0.153</v>
      </c>
      <c r="F117" s="390">
        <v>0.16399999999999998</v>
      </c>
      <c r="G117" s="390">
        <v>0.16600000000000001</v>
      </c>
      <c r="H117" s="390">
        <v>0.159</v>
      </c>
      <c r="I117" s="390">
        <v>0.17199999999999999</v>
      </c>
      <c r="J117" s="390">
        <v>0.14800000000000002</v>
      </c>
      <c r="K117" s="390">
        <v>0.156</v>
      </c>
      <c r="L117" s="390">
        <v>0.17899999999999999</v>
      </c>
      <c r="M117" s="390">
        <v>0.16699999999999998</v>
      </c>
      <c r="N117" s="391">
        <v>0.183</v>
      </c>
      <c r="O117" s="827">
        <v>0.18</v>
      </c>
      <c r="P117" s="827">
        <v>0.19500000000000001</v>
      </c>
      <c r="Q117" s="827">
        <v>0.20878695712919276</v>
      </c>
      <c r="R117" s="1344">
        <v>0.18325633487330253</v>
      </c>
      <c r="S117" s="1344">
        <v>0.18621533967653944</v>
      </c>
      <c r="T117" s="1344">
        <v>0.1824658726273998</v>
      </c>
      <c r="U117" s="2378">
        <v>0.18502332594041232</v>
      </c>
      <c r="V117" s="1694">
        <v>0.19179460263307527</v>
      </c>
      <c r="W117" s="392"/>
      <c r="X117" s="393">
        <v>15026</v>
      </c>
      <c r="Y117" s="393">
        <v>14553</v>
      </c>
      <c r="Z117" s="393">
        <v>15656</v>
      </c>
      <c r="AA117" s="393">
        <v>15789</v>
      </c>
      <c r="AB117" s="393">
        <v>15226</v>
      </c>
      <c r="AC117" s="393">
        <v>16256</v>
      </c>
      <c r="AD117" s="393">
        <v>14186</v>
      </c>
      <c r="AE117" s="393">
        <v>15038</v>
      </c>
      <c r="AF117" s="393">
        <v>16990</v>
      </c>
      <c r="AG117" s="393">
        <v>15687</v>
      </c>
      <c r="AH117" s="394">
        <v>16884</v>
      </c>
      <c r="AI117" s="834">
        <v>16640</v>
      </c>
      <c r="AJ117" s="1039">
        <v>18123</v>
      </c>
      <c r="AK117" s="1043">
        <v>19427</v>
      </c>
      <c r="AL117" s="1349">
        <v>17017</v>
      </c>
      <c r="AM117" s="1349">
        <v>17340</v>
      </c>
      <c r="AN117" s="1349">
        <v>16775</v>
      </c>
      <c r="AO117" s="1349">
        <v>16935</v>
      </c>
      <c r="AP117" s="1697">
        <v>17540</v>
      </c>
    </row>
    <row r="118" spans="1:42" ht="16.5" customHeight="1" x14ac:dyDescent="0.3">
      <c r="A118" s="349" t="s">
        <v>192</v>
      </c>
      <c r="B118" s="350" t="s">
        <v>193</v>
      </c>
      <c r="C118" s="1207" t="s">
        <v>256</v>
      </c>
      <c r="D118" s="390">
        <v>0.17199999999999999</v>
      </c>
      <c r="E118" s="390">
        <v>0.17300000000000001</v>
      </c>
      <c r="F118" s="390">
        <v>0.19399999999999998</v>
      </c>
      <c r="G118" s="390">
        <v>0.188</v>
      </c>
      <c r="H118" s="390">
        <v>0.191</v>
      </c>
      <c r="I118" s="390">
        <v>0.28199999999999997</v>
      </c>
      <c r="J118" s="390">
        <v>0.24</v>
      </c>
      <c r="K118" s="390">
        <v>0.309</v>
      </c>
      <c r="L118" s="390">
        <v>0.26700000000000002</v>
      </c>
      <c r="M118" s="390">
        <v>0.27699999999999997</v>
      </c>
      <c r="N118" s="391">
        <v>0.25600000000000001</v>
      </c>
      <c r="O118" s="827">
        <v>0.26800000000000002</v>
      </c>
      <c r="P118" s="827">
        <v>0.34200000000000003</v>
      </c>
      <c r="Q118" s="827">
        <v>0.31280630726614106</v>
      </c>
      <c r="R118" s="1344">
        <v>0.32384908272758739</v>
      </c>
      <c r="S118" s="1344">
        <v>0.32802413696323324</v>
      </c>
      <c r="T118" s="1344">
        <v>0.27151540267992819</v>
      </c>
      <c r="U118" s="2378">
        <v>0.28564648450742425</v>
      </c>
      <c r="V118" s="1694">
        <v>0.30353779930051117</v>
      </c>
      <c r="W118" s="392"/>
      <c r="X118" s="393">
        <v>2217</v>
      </c>
      <c r="Y118" s="393">
        <v>2194</v>
      </c>
      <c r="Z118" s="393">
        <v>2408</v>
      </c>
      <c r="AA118" s="393">
        <v>2282</v>
      </c>
      <c r="AB118" s="393">
        <v>2299</v>
      </c>
      <c r="AC118" s="393">
        <v>3357</v>
      </c>
      <c r="AD118" s="393">
        <v>2857</v>
      </c>
      <c r="AE118" s="393">
        <v>4146</v>
      </c>
      <c r="AF118" s="393">
        <v>3573</v>
      </c>
      <c r="AG118" s="393">
        <v>3735</v>
      </c>
      <c r="AH118" s="394">
        <v>3525</v>
      </c>
      <c r="AI118" s="834">
        <v>3685</v>
      </c>
      <c r="AJ118" s="1039">
        <v>4643</v>
      </c>
      <c r="AK118" s="1043">
        <v>4404</v>
      </c>
      <c r="AL118" s="1349">
        <v>4678</v>
      </c>
      <c r="AM118" s="1349">
        <v>4675</v>
      </c>
      <c r="AN118" s="1349">
        <v>3931</v>
      </c>
      <c r="AO118" s="1349">
        <v>4213</v>
      </c>
      <c r="AP118" s="1697">
        <v>4513</v>
      </c>
    </row>
    <row r="119" spans="1:42" ht="16.5" customHeight="1" x14ac:dyDescent="0.3">
      <c r="A119" s="349" t="s">
        <v>196</v>
      </c>
      <c r="B119" s="350" t="s">
        <v>197</v>
      </c>
      <c r="C119" s="1207" t="s">
        <v>254</v>
      </c>
      <c r="D119" s="390">
        <v>0.18100000000000002</v>
      </c>
      <c r="E119" s="390">
        <v>0.17600000000000002</v>
      </c>
      <c r="F119" s="390">
        <v>0.20100000000000001</v>
      </c>
      <c r="G119" s="390">
        <v>0.20300000000000001</v>
      </c>
      <c r="H119" s="390">
        <v>0.19800000000000001</v>
      </c>
      <c r="I119" s="390">
        <v>0.19899999999999998</v>
      </c>
      <c r="J119" s="390">
        <v>0.20699999999999999</v>
      </c>
      <c r="K119" s="390">
        <v>0.22399999999999998</v>
      </c>
      <c r="L119" s="390">
        <v>0.251</v>
      </c>
      <c r="M119" s="390">
        <v>0.23300000000000001</v>
      </c>
      <c r="N119" s="391">
        <v>0.253</v>
      </c>
      <c r="O119" s="827">
        <v>0.26400000000000001</v>
      </c>
      <c r="P119" s="827">
        <v>0.26200000000000001</v>
      </c>
      <c r="Q119" s="827">
        <v>0.25372750388333187</v>
      </c>
      <c r="R119" s="1344">
        <v>0.25015569351731115</v>
      </c>
      <c r="S119" s="1344">
        <v>0.24435715626669746</v>
      </c>
      <c r="T119" s="1344">
        <v>0.26174381791734408</v>
      </c>
      <c r="U119" s="2378">
        <v>0.23991241934584132</v>
      </c>
      <c r="V119" s="1694">
        <v>0.22295172540804345</v>
      </c>
      <c r="W119" s="392"/>
      <c r="X119" s="393">
        <v>34154</v>
      </c>
      <c r="Y119" s="393">
        <v>32966</v>
      </c>
      <c r="Z119" s="393">
        <v>37577</v>
      </c>
      <c r="AA119" s="393">
        <v>37320</v>
      </c>
      <c r="AB119" s="393">
        <v>36402</v>
      </c>
      <c r="AC119" s="393">
        <v>35775</v>
      </c>
      <c r="AD119" s="393">
        <v>37513</v>
      </c>
      <c r="AE119" s="393">
        <v>42273</v>
      </c>
      <c r="AF119" s="393">
        <v>47850</v>
      </c>
      <c r="AG119" s="393">
        <v>44931</v>
      </c>
      <c r="AH119" s="394">
        <v>48830</v>
      </c>
      <c r="AI119" s="834">
        <v>51117</v>
      </c>
      <c r="AJ119" s="1039">
        <v>52017</v>
      </c>
      <c r="AK119" s="1043">
        <v>51290</v>
      </c>
      <c r="AL119" s="1349">
        <v>51415</v>
      </c>
      <c r="AM119" s="1349">
        <v>50763</v>
      </c>
      <c r="AN119" s="1349">
        <v>55062</v>
      </c>
      <c r="AO119" s="1349">
        <v>51609</v>
      </c>
      <c r="AP119" s="1697">
        <v>48424</v>
      </c>
    </row>
    <row r="120" spans="1:42" ht="16.5" customHeight="1" x14ac:dyDescent="0.3">
      <c r="A120" s="349" t="s">
        <v>200</v>
      </c>
      <c r="B120" s="350" t="s">
        <v>201</v>
      </c>
      <c r="C120" s="1207" t="s">
        <v>253</v>
      </c>
      <c r="D120" s="390">
        <v>0.15</v>
      </c>
      <c r="E120" s="390">
        <v>0.151</v>
      </c>
      <c r="F120" s="390">
        <v>0.16600000000000001</v>
      </c>
      <c r="G120" s="390">
        <v>0.16899999999999998</v>
      </c>
      <c r="H120" s="390">
        <v>0.16300000000000001</v>
      </c>
      <c r="I120" s="390">
        <v>0.17199999999999999</v>
      </c>
      <c r="J120" s="390">
        <v>0.16699999999999998</v>
      </c>
      <c r="K120" s="390">
        <v>0.16899999999999998</v>
      </c>
      <c r="L120" s="390">
        <v>0.17800000000000002</v>
      </c>
      <c r="M120" s="390">
        <v>0.2</v>
      </c>
      <c r="N120" s="391">
        <v>0.22399999999999998</v>
      </c>
      <c r="O120" s="827">
        <v>0.19500000000000001</v>
      </c>
      <c r="P120" s="827">
        <v>0.20100000000000001</v>
      </c>
      <c r="Q120" s="827">
        <v>0.23344757107170139</v>
      </c>
      <c r="R120" s="1344">
        <v>0.20376710578760718</v>
      </c>
      <c r="S120" s="1344">
        <v>0.21280731032237057</v>
      </c>
      <c r="T120" s="1344">
        <v>0.2233128583964247</v>
      </c>
      <c r="U120" s="2378">
        <v>0.19278727237564</v>
      </c>
      <c r="V120" s="1694">
        <v>0.20156884290205415</v>
      </c>
      <c r="W120" s="392"/>
      <c r="X120" s="393">
        <v>13870</v>
      </c>
      <c r="Y120" s="393">
        <v>13866</v>
      </c>
      <c r="Z120" s="393">
        <v>15210</v>
      </c>
      <c r="AA120" s="393">
        <v>15372</v>
      </c>
      <c r="AB120" s="393">
        <v>14874</v>
      </c>
      <c r="AC120" s="393">
        <v>15465</v>
      </c>
      <c r="AD120" s="393">
        <v>14908</v>
      </c>
      <c r="AE120" s="393">
        <v>15233</v>
      </c>
      <c r="AF120" s="393">
        <v>16170</v>
      </c>
      <c r="AG120" s="393">
        <v>18382</v>
      </c>
      <c r="AH120" s="394">
        <v>21414</v>
      </c>
      <c r="AI120" s="834">
        <v>18565</v>
      </c>
      <c r="AJ120" s="1039">
        <v>19291</v>
      </c>
      <c r="AK120" s="1043">
        <v>22615</v>
      </c>
      <c r="AL120" s="1349">
        <v>19938</v>
      </c>
      <c r="AM120" s="1349">
        <v>20913</v>
      </c>
      <c r="AN120" s="1349">
        <v>21886</v>
      </c>
      <c r="AO120" s="1349">
        <v>18940</v>
      </c>
      <c r="AP120" s="1697">
        <v>19812</v>
      </c>
    </row>
    <row r="121" spans="1:42" ht="16.5" customHeight="1" x14ac:dyDescent="0.3">
      <c r="A121" s="349" t="s">
        <v>222</v>
      </c>
      <c r="B121" s="350" t="s">
        <v>223</v>
      </c>
      <c r="C121" s="1207" t="s">
        <v>252</v>
      </c>
      <c r="D121" s="390">
        <v>0.11599999999999999</v>
      </c>
      <c r="E121" s="390">
        <v>0.105</v>
      </c>
      <c r="F121" s="390">
        <v>0.109</v>
      </c>
      <c r="G121" s="390">
        <v>0.114</v>
      </c>
      <c r="H121" s="390">
        <v>0.10800000000000001</v>
      </c>
      <c r="I121" s="390">
        <v>0.11900000000000001</v>
      </c>
      <c r="J121" s="390">
        <v>0.107</v>
      </c>
      <c r="K121" s="390">
        <v>0.109</v>
      </c>
      <c r="L121" s="390">
        <v>0.10800000000000001</v>
      </c>
      <c r="M121" s="390">
        <v>0.12300000000000001</v>
      </c>
      <c r="N121" s="391">
        <v>0.11900000000000001</v>
      </c>
      <c r="O121" s="827">
        <v>0.122</v>
      </c>
      <c r="P121" s="827">
        <v>0.11899999999999999</v>
      </c>
      <c r="Q121" s="827">
        <v>0.11481139228509146</v>
      </c>
      <c r="R121" s="1344">
        <v>0.1364391122336818</v>
      </c>
      <c r="S121" s="1344">
        <v>0.13092893909558848</v>
      </c>
      <c r="T121" s="1344">
        <v>0.11716742102031069</v>
      </c>
      <c r="U121" s="2378">
        <v>0.11312761271182631</v>
      </c>
      <c r="V121" s="1694">
        <v>0.10946202848280692</v>
      </c>
      <c r="W121" s="392"/>
      <c r="X121" s="393">
        <v>7629</v>
      </c>
      <c r="Y121" s="393">
        <v>7214</v>
      </c>
      <c r="Z121" s="393">
        <v>7948</v>
      </c>
      <c r="AA121" s="393">
        <v>8623</v>
      </c>
      <c r="AB121" s="393">
        <v>8441</v>
      </c>
      <c r="AC121" s="393">
        <v>9199</v>
      </c>
      <c r="AD121" s="393">
        <v>8556</v>
      </c>
      <c r="AE121" s="393">
        <v>8698</v>
      </c>
      <c r="AF121" s="393">
        <v>8727</v>
      </c>
      <c r="AG121" s="393">
        <v>10091</v>
      </c>
      <c r="AH121" s="834">
        <v>9956</v>
      </c>
      <c r="AI121" s="834">
        <v>10214</v>
      </c>
      <c r="AJ121" s="1039">
        <v>9986</v>
      </c>
      <c r="AK121" s="1043">
        <v>9691</v>
      </c>
      <c r="AL121" s="1349">
        <v>11668</v>
      </c>
      <c r="AM121" s="1349">
        <v>11370</v>
      </c>
      <c r="AN121" s="1349">
        <v>10303</v>
      </c>
      <c r="AO121" s="1349">
        <v>10067</v>
      </c>
      <c r="AP121" s="1697">
        <v>9846</v>
      </c>
    </row>
    <row r="122" spans="1:42" ht="16.5" customHeight="1" x14ac:dyDescent="0.3">
      <c r="A122" s="349" t="s">
        <v>230</v>
      </c>
      <c r="B122" s="350" t="s">
        <v>231</v>
      </c>
      <c r="C122" s="1207" t="s">
        <v>252</v>
      </c>
      <c r="D122" s="390">
        <v>6.8000000000000005E-2</v>
      </c>
      <c r="E122" s="390">
        <v>6.8000000000000005E-2</v>
      </c>
      <c r="F122" s="390">
        <v>7.400000000000001E-2</v>
      </c>
      <c r="G122" s="390">
        <v>0.08</v>
      </c>
      <c r="H122" s="390">
        <v>7.8E-2</v>
      </c>
      <c r="I122" s="390">
        <v>7.400000000000001E-2</v>
      </c>
      <c r="J122" s="390">
        <v>7.2000000000000008E-2</v>
      </c>
      <c r="K122" s="390">
        <v>6.6000000000000003E-2</v>
      </c>
      <c r="L122" s="390">
        <v>7.0000000000000007E-2</v>
      </c>
      <c r="M122" s="390">
        <v>6.8000000000000005E-2</v>
      </c>
      <c r="N122" s="391">
        <v>0.08</v>
      </c>
      <c r="O122" s="827">
        <v>8.900000000000001E-2</v>
      </c>
      <c r="P122" s="827">
        <v>9.0999999999999998E-2</v>
      </c>
      <c r="Q122" s="827">
        <v>9.0395711980747667E-2</v>
      </c>
      <c r="R122" s="1344">
        <v>8.5917089985486209E-2</v>
      </c>
      <c r="S122" s="1344">
        <v>8.236881233984282E-2</v>
      </c>
      <c r="T122" s="1344">
        <v>8.2537600361868149E-2</v>
      </c>
      <c r="U122" s="2378">
        <v>8.3308342420937848E-2</v>
      </c>
      <c r="V122" s="1694">
        <v>7.5230062919110177E-2</v>
      </c>
      <c r="W122" s="392"/>
      <c r="X122" s="393">
        <v>28643</v>
      </c>
      <c r="Y122" s="393">
        <v>28856</v>
      </c>
      <c r="Z122" s="393">
        <v>32396</v>
      </c>
      <c r="AA122" s="393">
        <v>34892</v>
      </c>
      <c r="AB122" s="393">
        <v>33970</v>
      </c>
      <c r="AC122" s="393">
        <v>31958</v>
      </c>
      <c r="AD122" s="393">
        <v>30762</v>
      </c>
      <c r="AE122" s="393">
        <v>28246</v>
      </c>
      <c r="AF122" s="393">
        <v>29532</v>
      </c>
      <c r="AG122" s="393">
        <v>28889</v>
      </c>
      <c r="AH122" s="394">
        <v>34303</v>
      </c>
      <c r="AI122" s="834">
        <v>38498</v>
      </c>
      <c r="AJ122" s="1039">
        <v>39564</v>
      </c>
      <c r="AK122" s="1043">
        <v>39666</v>
      </c>
      <c r="AL122" s="1349">
        <v>37886</v>
      </c>
      <c r="AM122" s="1349">
        <v>36451</v>
      </c>
      <c r="AN122" s="1349">
        <v>36494</v>
      </c>
      <c r="AO122" s="1349">
        <v>36669</v>
      </c>
      <c r="AP122" s="1697">
        <v>33084</v>
      </c>
    </row>
    <row r="123" spans="1:42" ht="16.5" customHeight="1" x14ac:dyDescent="0.3">
      <c r="A123" s="349" t="s">
        <v>238</v>
      </c>
      <c r="B123" s="350" t="s">
        <v>239</v>
      </c>
      <c r="C123" s="1207" t="s">
        <v>252</v>
      </c>
      <c r="D123" s="390">
        <v>0.17699999999999999</v>
      </c>
      <c r="E123" s="390">
        <v>0.19500000000000001</v>
      </c>
      <c r="F123" s="390">
        <v>0.21299999999999999</v>
      </c>
      <c r="G123" s="390">
        <v>0.17800000000000002</v>
      </c>
      <c r="H123" s="390">
        <v>0.17300000000000001</v>
      </c>
      <c r="I123" s="390">
        <v>0.22699999999999998</v>
      </c>
      <c r="J123" s="390">
        <v>0.20699999999999999</v>
      </c>
      <c r="K123" s="390">
        <v>0.2</v>
      </c>
      <c r="L123" s="390">
        <v>0.187</v>
      </c>
      <c r="M123" s="390">
        <v>0.20300000000000001</v>
      </c>
      <c r="N123" s="391">
        <v>0.185</v>
      </c>
      <c r="O123" s="827">
        <v>0.191</v>
      </c>
      <c r="P123" s="827">
        <v>0.23</v>
      </c>
      <c r="Q123" s="827">
        <v>0.21086817308571951</v>
      </c>
      <c r="R123" s="1344">
        <v>0.20104844189884477</v>
      </c>
      <c r="S123" s="1344">
        <v>0.22005097706032287</v>
      </c>
      <c r="T123" s="1344">
        <v>0.21103896103896103</v>
      </c>
      <c r="U123" s="2378">
        <v>0.22514564931403871</v>
      </c>
      <c r="V123" s="1694">
        <v>0.229862290133937</v>
      </c>
      <c r="W123" s="392"/>
      <c r="X123" s="393">
        <v>1312</v>
      </c>
      <c r="Y123" s="393">
        <v>1402</v>
      </c>
      <c r="Z123" s="393">
        <v>1518</v>
      </c>
      <c r="AA123" s="393">
        <v>1244</v>
      </c>
      <c r="AB123" s="393">
        <v>1266</v>
      </c>
      <c r="AC123" s="393">
        <v>1643</v>
      </c>
      <c r="AD123" s="393">
        <v>1509</v>
      </c>
      <c r="AE123" s="393">
        <v>1570</v>
      </c>
      <c r="AF123" s="393">
        <v>1474</v>
      </c>
      <c r="AG123" s="393">
        <v>1645</v>
      </c>
      <c r="AH123" s="394">
        <v>1850</v>
      </c>
      <c r="AI123" s="834">
        <v>1962</v>
      </c>
      <c r="AJ123" s="1039">
        <v>2500</v>
      </c>
      <c r="AK123" s="1043">
        <v>2305</v>
      </c>
      <c r="AL123" s="1349">
        <v>2071</v>
      </c>
      <c r="AM123" s="1349">
        <v>2331</v>
      </c>
      <c r="AN123" s="1349">
        <v>2275</v>
      </c>
      <c r="AO123" s="1349">
        <v>2396</v>
      </c>
      <c r="AP123" s="1697">
        <v>2437</v>
      </c>
    </row>
    <row r="124" spans="1:42" ht="16.5" customHeight="1" x14ac:dyDescent="0.3">
      <c r="A124" s="404" t="s">
        <v>240</v>
      </c>
      <c r="B124" s="405" t="s">
        <v>241</v>
      </c>
      <c r="C124" s="1208" t="s">
        <v>255</v>
      </c>
      <c r="D124" s="397">
        <v>0.11</v>
      </c>
      <c r="E124" s="397">
        <v>0.109</v>
      </c>
      <c r="F124" s="397">
        <v>0.115</v>
      </c>
      <c r="G124" s="397">
        <v>0.121</v>
      </c>
      <c r="H124" s="397">
        <v>0.115</v>
      </c>
      <c r="I124" s="397">
        <v>0.124</v>
      </c>
      <c r="J124" s="397">
        <v>0.13900000000000001</v>
      </c>
      <c r="K124" s="397">
        <v>0.12</v>
      </c>
      <c r="L124" s="397">
        <v>0.128</v>
      </c>
      <c r="M124" s="397">
        <v>0.16300000000000001</v>
      </c>
      <c r="N124" s="391">
        <v>0.193</v>
      </c>
      <c r="O124" s="828">
        <v>0.17800000000000002</v>
      </c>
      <c r="P124" s="828">
        <v>0.16400000000000001</v>
      </c>
      <c r="Q124" s="1036">
        <v>0.14078832338743397</v>
      </c>
      <c r="R124" s="1345">
        <v>0.13437100533874727</v>
      </c>
      <c r="S124" s="1345">
        <v>0.17840732161166598</v>
      </c>
      <c r="T124" s="2375">
        <v>0.14967167333383652</v>
      </c>
      <c r="U124" s="2379">
        <v>0.12640554024871548</v>
      </c>
      <c r="V124" s="2372">
        <v>0.15304683440955985</v>
      </c>
      <c r="W124" s="406"/>
      <c r="X124" s="398">
        <v>2584</v>
      </c>
      <c r="Y124" s="398">
        <v>2568</v>
      </c>
      <c r="Z124" s="398">
        <v>2739</v>
      </c>
      <c r="AA124" s="398">
        <v>2912</v>
      </c>
      <c r="AB124" s="398">
        <v>2811</v>
      </c>
      <c r="AC124" s="398">
        <v>3008</v>
      </c>
      <c r="AD124" s="398">
        <v>3394</v>
      </c>
      <c r="AE124" s="398">
        <v>2971</v>
      </c>
      <c r="AF124" s="398">
        <v>3198</v>
      </c>
      <c r="AG124" s="398">
        <v>4126</v>
      </c>
      <c r="AH124" s="835">
        <v>4873</v>
      </c>
      <c r="AI124" s="835">
        <v>4545</v>
      </c>
      <c r="AJ124" s="1040">
        <v>4257</v>
      </c>
      <c r="AK124" s="1044">
        <v>3704</v>
      </c>
      <c r="AL124" s="1350">
        <v>3574</v>
      </c>
      <c r="AM124" s="1698">
        <v>4698</v>
      </c>
      <c r="AN124" s="2163">
        <v>3966</v>
      </c>
      <c r="AO124" s="2385">
        <v>3395</v>
      </c>
      <c r="AP124" s="2386">
        <v>4124</v>
      </c>
    </row>
    <row r="125" spans="1:42" ht="16.5" customHeight="1" x14ac:dyDescent="0.3">
      <c r="A125" s="408" t="s">
        <v>583</v>
      </c>
      <c r="B125" s="409"/>
      <c r="C125" s="1209"/>
      <c r="D125" s="410"/>
      <c r="E125" s="410"/>
      <c r="F125" s="410"/>
      <c r="G125" s="410"/>
      <c r="H125" s="410"/>
      <c r="I125" s="410"/>
      <c r="J125" s="410"/>
      <c r="K125" s="410"/>
      <c r="L125" s="410"/>
      <c r="M125" s="410"/>
      <c r="N125" s="410"/>
      <c r="O125" s="410"/>
      <c r="P125" s="823"/>
      <c r="Q125" s="823"/>
      <c r="R125" s="1204"/>
      <c r="S125" s="823"/>
      <c r="T125" s="1691"/>
      <c r="U125" s="1691"/>
      <c r="V125" s="1691"/>
      <c r="W125" s="410"/>
      <c r="X125" s="411"/>
      <c r="Y125" s="411"/>
      <c r="Z125" s="411"/>
      <c r="AA125" s="411"/>
      <c r="AB125" s="411"/>
      <c r="AC125" s="411"/>
      <c r="AD125" s="411"/>
      <c r="AE125" s="411"/>
      <c r="AF125" s="411"/>
      <c r="AG125" s="411"/>
      <c r="AH125" s="412"/>
      <c r="AI125" s="412"/>
    </row>
    <row r="126" spans="1:42" x14ac:dyDescent="0.3">
      <c r="A126" s="339" t="s">
        <v>254</v>
      </c>
      <c r="D126" s="407">
        <v>9.3237188436489218E-2</v>
      </c>
      <c r="E126" s="402">
        <v>9.1662354335324478E-2</v>
      </c>
      <c r="F126" s="402">
        <v>0.10219205581508556</v>
      </c>
      <c r="G126" s="402">
        <v>0.10581525657938262</v>
      </c>
      <c r="H126" s="402">
        <v>0.10259856552094609</v>
      </c>
      <c r="I126" s="402">
        <v>0.10695106549307283</v>
      </c>
      <c r="J126" s="402">
        <v>0.10257514754789548</v>
      </c>
      <c r="K126" s="402">
        <v>0.10835783455696647</v>
      </c>
      <c r="L126" s="402">
        <v>0.11361696871248311</v>
      </c>
      <c r="M126" s="402">
        <v>0.11740460777833268</v>
      </c>
      <c r="N126" s="403">
        <v>0.1231238887172626</v>
      </c>
      <c r="O126" s="403">
        <v>0.13054553620300066</v>
      </c>
      <c r="P126" s="403">
        <v>0.13100000000000001</v>
      </c>
      <c r="Q126" s="1041">
        <v>0.13459992380300864</v>
      </c>
      <c r="R126" s="1346">
        <v>0.13232941112509713</v>
      </c>
      <c r="S126" s="1346">
        <v>0.12321056846076116</v>
      </c>
      <c r="T126" s="1346">
        <v>0.12334055579762625</v>
      </c>
      <c r="U126" s="2382">
        <v>0.11797030617298122</v>
      </c>
      <c r="V126" s="1699">
        <v>0.11663942441003489</v>
      </c>
      <c r="X126" s="399">
        <v>105872</v>
      </c>
      <c r="Y126" s="400">
        <v>105143</v>
      </c>
      <c r="Z126" s="400">
        <v>119540</v>
      </c>
      <c r="AA126" s="400">
        <v>124895</v>
      </c>
      <c r="AB126" s="400">
        <v>123345</v>
      </c>
      <c r="AC126" s="400">
        <v>126877</v>
      </c>
      <c r="AD126" s="400">
        <v>123589</v>
      </c>
      <c r="AE126" s="400">
        <v>132787</v>
      </c>
      <c r="AF126" s="400">
        <v>140727</v>
      </c>
      <c r="AG126" s="400">
        <v>146844</v>
      </c>
      <c r="AH126" s="836">
        <v>157422</v>
      </c>
      <c r="AI126" s="400">
        <v>167427</v>
      </c>
      <c r="AJ126" s="837">
        <v>169230</v>
      </c>
      <c r="AK126" s="558">
        <v>176294</v>
      </c>
      <c r="AL126" s="1351">
        <v>175249</v>
      </c>
      <c r="AM126" s="1351">
        <v>164485</v>
      </c>
      <c r="AN126" s="1351">
        <v>165878</v>
      </c>
      <c r="AO126" s="2389">
        <v>160322</v>
      </c>
      <c r="AP126" s="2390">
        <v>159845</v>
      </c>
    </row>
    <row r="127" spans="1:42" x14ac:dyDescent="0.3">
      <c r="A127" s="339" t="s">
        <v>252</v>
      </c>
      <c r="D127" s="401">
        <v>0.10860533120908807</v>
      </c>
      <c r="E127" s="402">
        <v>0.10641206375217382</v>
      </c>
      <c r="F127" s="402">
        <v>0.11466279980893911</v>
      </c>
      <c r="G127" s="402">
        <v>0.11758377928142934</v>
      </c>
      <c r="H127" s="402">
        <v>0.11259360124640222</v>
      </c>
      <c r="I127" s="402">
        <v>0.11367927485747498</v>
      </c>
      <c r="J127" s="402">
        <v>0.10639459370059251</v>
      </c>
      <c r="K127" s="402">
        <v>0.11202655946373949</v>
      </c>
      <c r="L127" s="402">
        <v>0.11571808952754851</v>
      </c>
      <c r="M127" s="402">
        <v>0.11429957969100746</v>
      </c>
      <c r="N127" s="403">
        <v>0.12023872863352066</v>
      </c>
      <c r="O127" s="403">
        <v>0.12870004950966066</v>
      </c>
      <c r="P127" s="403">
        <v>0.13600000000000001</v>
      </c>
      <c r="Q127" s="1041">
        <v>0.13722953804582269</v>
      </c>
      <c r="R127" s="1346">
        <v>0.13349245196423984</v>
      </c>
      <c r="S127" s="1346">
        <v>0.12957719229379919</v>
      </c>
      <c r="T127" s="1346">
        <v>0.12507315600745675</v>
      </c>
      <c r="U127" s="2382">
        <v>0.12629211243904365</v>
      </c>
      <c r="V127" s="1699">
        <v>0.12021782421909961</v>
      </c>
      <c r="X127" s="399">
        <v>182298</v>
      </c>
      <c r="Y127" s="400">
        <v>180189</v>
      </c>
      <c r="Z127" s="400">
        <v>198599</v>
      </c>
      <c r="AA127" s="400">
        <v>203585</v>
      </c>
      <c r="AB127" s="400">
        <v>196053</v>
      </c>
      <c r="AC127" s="400">
        <v>195954</v>
      </c>
      <c r="AD127" s="400">
        <v>183982</v>
      </c>
      <c r="AE127" s="400">
        <v>194397</v>
      </c>
      <c r="AF127" s="400">
        <v>199783</v>
      </c>
      <c r="AG127" s="400">
        <v>199568</v>
      </c>
      <c r="AH127" s="836">
        <v>209955</v>
      </c>
      <c r="AI127" s="400">
        <v>225896</v>
      </c>
      <c r="AJ127" s="837">
        <v>240717</v>
      </c>
      <c r="AK127" s="558">
        <v>243363</v>
      </c>
      <c r="AL127" s="1351">
        <v>237926</v>
      </c>
      <c r="AM127" s="1351">
        <v>231733</v>
      </c>
      <c r="AN127" s="1351">
        <v>223754</v>
      </c>
      <c r="AO127" s="2389">
        <v>225598</v>
      </c>
      <c r="AP127" s="2390">
        <v>214911</v>
      </c>
    </row>
    <row r="128" spans="1:42" x14ac:dyDescent="0.3">
      <c r="A128" s="339" t="s">
        <v>255</v>
      </c>
      <c r="D128" s="401">
        <v>5.3819970982672265E-2</v>
      </c>
      <c r="E128" s="402">
        <v>5.4187387148898883E-2</v>
      </c>
      <c r="F128" s="402">
        <v>5.9488325891117154E-2</v>
      </c>
      <c r="G128" s="402">
        <v>6.5356715447867419E-2</v>
      </c>
      <c r="H128" s="402">
        <v>6.1376226711921139E-2</v>
      </c>
      <c r="I128" s="402">
        <v>6.0904658056330392E-2</v>
      </c>
      <c r="J128" s="402">
        <v>6.0991227226495109E-2</v>
      </c>
      <c r="K128" s="402">
        <v>5.9939990840376267E-2</v>
      </c>
      <c r="L128" s="402">
        <v>6.2179277100436824E-2</v>
      </c>
      <c r="M128" s="402">
        <v>6.816119052357604E-2</v>
      </c>
      <c r="N128" s="403">
        <v>7.2466232957629648E-2</v>
      </c>
      <c r="O128" s="403">
        <v>7.6399225436204074E-2</v>
      </c>
      <c r="P128" s="403">
        <v>7.4999999999999997E-2</v>
      </c>
      <c r="Q128" s="1041">
        <v>7.4164709719101329E-2</v>
      </c>
      <c r="R128" s="1346">
        <v>7.802179923184123E-2</v>
      </c>
      <c r="S128" s="1346">
        <v>7.3019746357413137E-2</v>
      </c>
      <c r="T128" s="1346">
        <v>7.2471430241235757E-2</v>
      </c>
      <c r="U128" s="2382">
        <v>6.8339740322260922E-2</v>
      </c>
      <c r="V128" s="1699">
        <v>6.9451511246858666E-2</v>
      </c>
      <c r="X128" s="399">
        <v>138724</v>
      </c>
      <c r="Y128" s="400">
        <v>141301</v>
      </c>
      <c r="Z128" s="400">
        <v>159450</v>
      </c>
      <c r="AA128" s="400">
        <v>179066</v>
      </c>
      <c r="AB128" s="400">
        <v>172575</v>
      </c>
      <c r="AC128" s="400">
        <v>169315</v>
      </c>
      <c r="AD128" s="400">
        <v>173120</v>
      </c>
      <c r="AE128" s="400">
        <v>171582</v>
      </c>
      <c r="AF128" s="400">
        <v>179865</v>
      </c>
      <c r="AG128" s="400">
        <v>202606</v>
      </c>
      <c r="AH128" s="836">
        <v>222814</v>
      </c>
      <c r="AI128" s="400">
        <v>238776</v>
      </c>
      <c r="AJ128" s="837">
        <v>240500</v>
      </c>
      <c r="AK128" s="558">
        <v>240148</v>
      </c>
      <c r="AL128" s="1351">
        <v>256078</v>
      </c>
      <c r="AM128" s="1351">
        <v>242082</v>
      </c>
      <c r="AN128" s="1351">
        <v>241806</v>
      </c>
      <c r="AO128" s="2389">
        <v>231675</v>
      </c>
      <c r="AP128" s="2390">
        <v>237643</v>
      </c>
    </row>
    <row r="129" spans="1:42" x14ac:dyDescent="0.3">
      <c r="A129" s="339" t="s">
        <v>253</v>
      </c>
      <c r="D129" s="401">
        <v>0.1060107079665315</v>
      </c>
      <c r="E129" s="402">
        <v>0.1065999802563027</v>
      </c>
      <c r="F129" s="402">
        <v>0.11841703973751314</v>
      </c>
      <c r="G129" s="402">
        <v>0.12117460527154147</v>
      </c>
      <c r="H129" s="402">
        <v>0.11757933953315472</v>
      </c>
      <c r="I129" s="402">
        <v>0.12749971521740955</v>
      </c>
      <c r="J129" s="402">
        <v>0.12641918305043012</v>
      </c>
      <c r="K129" s="402">
        <v>0.13010546173078325</v>
      </c>
      <c r="L129" s="402">
        <v>0.13219259468761307</v>
      </c>
      <c r="M129" s="402">
        <v>0.142187426757521</v>
      </c>
      <c r="N129" s="403">
        <v>0.15006267141167387</v>
      </c>
      <c r="O129" s="403">
        <v>0.15103930395133242</v>
      </c>
      <c r="P129" s="403">
        <v>0.152</v>
      </c>
      <c r="Q129" s="1041">
        <v>0.15284502014599163</v>
      </c>
      <c r="R129" s="1346">
        <v>0.1537987260694452</v>
      </c>
      <c r="S129" s="1346">
        <v>0.148271200765978</v>
      </c>
      <c r="T129" s="1346">
        <v>0.14148643710421094</v>
      </c>
      <c r="U129" s="2382">
        <v>0.13461606445295238</v>
      </c>
      <c r="V129" s="1699">
        <v>0.14379836992631403</v>
      </c>
      <c r="X129" s="399">
        <v>112685</v>
      </c>
      <c r="Y129" s="400">
        <v>113372</v>
      </c>
      <c r="Z129" s="400">
        <v>126853</v>
      </c>
      <c r="AA129" s="400">
        <v>129807</v>
      </c>
      <c r="AB129" s="400">
        <v>127543</v>
      </c>
      <c r="AC129" s="400">
        <v>136375</v>
      </c>
      <c r="AD129" s="400">
        <v>136569</v>
      </c>
      <c r="AE129" s="400">
        <v>140972</v>
      </c>
      <c r="AF129" s="400">
        <v>143958</v>
      </c>
      <c r="AG129" s="400">
        <v>155087</v>
      </c>
      <c r="AH129" s="836">
        <v>167379</v>
      </c>
      <c r="AI129" s="400">
        <v>168805</v>
      </c>
      <c r="AJ129" s="837">
        <v>170512</v>
      </c>
      <c r="AK129" s="558">
        <v>171615</v>
      </c>
      <c r="AL129" s="1351">
        <v>173365</v>
      </c>
      <c r="AM129" s="1351">
        <v>167710</v>
      </c>
      <c r="AN129" s="1351">
        <v>159905</v>
      </c>
      <c r="AO129" s="2389">
        <v>152317</v>
      </c>
      <c r="AP129" s="2390">
        <v>162970</v>
      </c>
    </row>
    <row r="130" spans="1:42" x14ac:dyDescent="0.3">
      <c r="A130" s="339" t="s">
        <v>256</v>
      </c>
      <c r="D130" s="401">
        <v>0.14487555201488991</v>
      </c>
      <c r="E130" s="402">
        <v>0.14306900004758574</v>
      </c>
      <c r="F130" s="402">
        <v>0.15556163257278338</v>
      </c>
      <c r="G130" s="402">
        <v>0.15499536649748308</v>
      </c>
      <c r="H130" s="402">
        <v>0.15195219671506743</v>
      </c>
      <c r="I130" s="402">
        <v>0.18084455028541141</v>
      </c>
      <c r="J130" s="402">
        <v>0.17204522870846353</v>
      </c>
      <c r="K130" s="402">
        <v>0.17744474990181727</v>
      </c>
      <c r="L130" s="402">
        <v>0.18285150683367846</v>
      </c>
      <c r="M130" s="402">
        <v>0.18067404001948281</v>
      </c>
      <c r="N130" s="403">
        <v>0.18929818575976814</v>
      </c>
      <c r="O130" s="403">
        <v>0.19649936328107848</v>
      </c>
      <c r="P130" s="403">
        <v>0.20300000000000001</v>
      </c>
      <c r="Q130" s="1041">
        <v>0.19352424524838319</v>
      </c>
      <c r="R130" s="1346">
        <v>0.20012831009928084</v>
      </c>
      <c r="S130" s="1346">
        <v>0.19270500371285146</v>
      </c>
      <c r="T130" s="1346">
        <v>0.1899159603582535</v>
      </c>
      <c r="U130" s="2382">
        <v>0.19224022810120187</v>
      </c>
      <c r="V130" s="1699">
        <v>0.19879011839270513</v>
      </c>
      <c r="X130" s="399">
        <v>81357</v>
      </c>
      <c r="Y130" s="400">
        <v>80233</v>
      </c>
      <c r="Z130" s="400">
        <v>87691</v>
      </c>
      <c r="AA130" s="400">
        <v>86973</v>
      </c>
      <c r="AB130" s="400">
        <v>85522</v>
      </c>
      <c r="AC130" s="400">
        <v>100339</v>
      </c>
      <c r="AD130" s="400">
        <v>95919</v>
      </c>
      <c r="AE130" s="400">
        <v>99401</v>
      </c>
      <c r="AF130" s="400">
        <v>102521</v>
      </c>
      <c r="AG130" s="400">
        <v>101448</v>
      </c>
      <c r="AH130" s="836">
        <v>108176</v>
      </c>
      <c r="AI130" s="400">
        <v>111872</v>
      </c>
      <c r="AJ130" s="837">
        <v>115425</v>
      </c>
      <c r="AK130" s="558">
        <v>109640</v>
      </c>
      <c r="AL130" s="1351">
        <v>112924</v>
      </c>
      <c r="AM130" s="1351">
        <v>108216</v>
      </c>
      <c r="AN130" s="1351">
        <v>105896</v>
      </c>
      <c r="AO130" s="2389">
        <v>106528</v>
      </c>
      <c r="AP130" s="2390">
        <v>109526</v>
      </c>
    </row>
    <row r="132" spans="1:42" x14ac:dyDescent="0.3">
      <c r="A132" s="839" t="s">
        <v>911</v>
      </c>
    </row>
    <row r="134" spans="1:42" s="359" customFormat="1" x14ac:dyDescent="0.3">
      <c r="A134" s="359" t="s">
        <v>248</v>
      </c>
    </row>
    <row r="135" spans="1:42" s="359" customFormat="1" x14ac:dyDescent="0.3">
      <c r="A135" s="360" t="s">
        <v>249</v>
      </c>
      <c r="B135" s="361" t="s">
        <v>250</v>
      </c>
      <c r="C135" s="361"/>
    </row>
  </sheetData>
  <autoFilter ref="A3:C3"/>
  <sortState ref="A5:AL124">
    <sortCondition ref="A5:A124"/>
  </sortState>
  <mergeCells count="2">
    <mergeCell ref="D2:N2"/>
    <mergeCell ref="X2:AH2"/>
  </mergeCells>
  <hyperlinks>
    <hyperlink ref="B135"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85</vt:i4>
      </vt:variant>
    </vt:vector>
  </HeadingPairs>
  <TitlesOfParts>
    <vt:vector size="162" baseType="lpstr">
      <vt:lpstr>Profile</vt:lpstr>
      <vt:lpstr>Spending By Region</vt:lpstr>
      <vt:lpstr>Social Svcs Spending Summary</vt:lpstr>
      <vt:lpstr>Data for Graphs</vt:lpstr>
      <vt:lpstr>Agency Level &amp; HR Policy</vt:lpstr>
      <vt:lpstr>IT Support</vt:lpstr>
      <vt:lpstr>2018 Population</vt:lpstr>
      <vt:lpstr>Poverty Estimates</vt:lpstr>
      <vt:lpstr>Poverty_All ages</vt:lpstr>
      <vt:lpstr>Poverty_Child</vt:lpstr>
      <vt:lpstr>Income to Poverty Ratio</vt:lpstr>
      <vt:lpstr>Unemployment</vt:lpstr>
      <vt:lpstr>Non-marital births</vt:lpstr>
      <vt:lpstr>Teen births</vt:lpstr>
      <vt:lpstr>NM Births_Trend</vt:lpstr>
      <vt:lpstr>Teen Births_Trend</vt:lpstr>
      <vt:lpstr>Children in Single Parent Homes</vt:lpstr>
      <vt:lpstr>SNAP Clients by SFY-2005-2015</vt:lpstr>
      <vt:lpstr>SNAP Applications Received</vt:lpstr>
      <vt:lpstr>SNAP Applications Disposed</vt:lpstr>
      <vt:lpstr>TANF Applications Received</vt:lpstr>
      <vt:lpstr>TANF Applications Disposed</vt:lpstr>
      <vt:lpstr>Medicaid Applications Received</vt:lpstr>
      <vt:lpstr>Medicaid Applications Disposed</vt:lpstr>
      <vt:lpstr>Child Care Application Received</vt:lpstr>
      <vt:lpstr>Child Care Application Disposed</vt:lpstr>
      <vt:lpstr>SNAP Clients_Annual</vt:lpstr>
      <vt:lpstr>TANF Clients by SFY</vt:lpstr>
      <vt:lpstr>TANF Clients_Annual</vt:lpstr>
      <vt:lpstr>Medicaid Clients by SFY</vt:lpstr>
      <vt:lpstr>Medicaid Clients_Annual</vt:lpstr>
      <vt:lpstr>Benefit Clients_Annual</vt:lpstr>
      <vt:lpstr>Child Care_Annual</vt:lpstr>
      <vt:lpstr>TANF Cases - Annual</vt:lpstr>
      <vt:lpstr>SNAP Cases - Annual</vt:lpstr>
      <vt:lpstr>Medicaid Cases- Annual</vt:lpstr>
      <vt:lpstr>EA Cases - Annual</vt:lpstr>
      <vt:lpstr>Child Care Cases - Annual</vt:lpstr>
      <vt:lpstr>SNAP Client Demographics</vt:lpstr>
      <vt:lpstr>TANF Client Demographics</vt:lpstr>
      <vt:lpstr>MA Client Demographics</vt:lpstr>
      <vt:lpstr>Hispanic Adjustment</vt:lpstr>
      <vt:lpstr>Child Care Client Demographics</vt:lpstr>
      <vt:lpstr>Benefit Client Demographics</vt:lpstr>
      <vt:lpstr>Child Welfare Caseload</vt:lpstr>
      <vt:lpstr>Children in Foster Care</vt:lpstr>
      <vt:lpstr>Adoption Child by Race</vt:lpstr>
      <vt:lpstr>Adopted Children</vt:lpstr>
      <vt:lpstr>Adoption Subsidies</vt:lpstr>
      <vt:lpstr>APS Reports</vt:lpstr>
      <vt:lpstr>CPS Referrals</vt:lpstr>
      <vt:lpstr>Compare Recipients Census Med</vt:lpstr>
      <vt:lpstr>Compare Recipients Census SNAP</vt:lpstr>
      <vt:lpstr>Compare Recipients Census TANF</vt:lpstr>
      <vt:lpstr>Adoption Counts Summed SFY 2010</vt:lpstr>
      <vt:lpstr>CPS Ref Child Demo 2010 (2)</vt:lpstr>
      <vt:lpstr>Administration LASER</vt:lpstr>
      <vt:lpstr>Other Oper Exp. LASER</vt:lpstr>
      <vt:lpstr>Client Services LASER</vt:lpstr>
      <vt:lpstr>CSA LASER</vt:lpstr>
      <vt:lpstr>Medicaid &amp; FAMIS - LASER</vt:lpstr>
      <vt:lpstr>SNAP LASER</vt:lpstr>
      <vt:lpstr>Energy Assistance LASER</vt:lpstr>
      <vt:lpstr>TANF LASER</vt:lpstr>
      <vt:lpstr>ChildCare LASER</vt:lpstr>
      <vt:lpstr>FC &amp; Adoptions LASER</vt:lpstr>
      <vt:lpstr>Other Benefits LASER</vt:lpstr>
      <vt:lpstr>Statewide Benefits</vt:lpstr>
      <vt:lpstr>Medicaid Clients</vt:lpstr>
      <vt:lpstr>Staffing</vt:lpstr>
      <vt:lpstr>Children in Single-Parent Homes</vt:lpstr>
      <vt:lpstr>Married Parent Households</vt:lpstr>
      <vt:lpstr>SNAP Participation Rate</vt:lpstr>
      <vt:lpstr>AuxGrant</vt:lpstr>
      <vt:lpstr>Locality Name</vt:lpstr>
      <vt:lpstr>Password</vt:lpstr>
      <vt:lpstr>Region Name</vt:lpstr>
      <vt:lpstr>Admin_Costs_LASER</vt:lpstr>
      <vt:lpstr>'Compare Recipients Census Med'!ADOP_AVG</vt:lpstr>
      <vt:lpstr>'Compare Recipients Census SNAP'!ADOP_AVG</vt:lpstr>
      <vt:lpstr>'Compare Recipients Census TANF'!ADOP_AVG</vt:lpstr>
      <vt:lpstr>ADOP_AVG</vt:lpstr>
      <vt:lpstr>Adoption_Child_Demo</vt:lpstr>
      <vt:lpstr>adoption_race</vt:lpstr>
      <vt:lpstr>AdoptionServices</vt:lpstr>
      <vt:lpstr>Agency_Level</vt:lpstr>
      <vt:lpstr>APS_Reports</vt:lpstr>
      <vt:lpstr>AuxGrant</vt:lpstr>
      <vt:lpstr>BenefitClient_Demo</vt:lpstr>
      <vt:lpstr>BenefitClnts_Annual</vt:lpstr>
      <vt:lpstr>cc_apps_disp</vt:lpstr>
      <vt:lpstr>cc_apps_recvd</vt:lpstr>
      <vt:lpstr>CCClient_Demo</vt:lpstr>
      <vt:lpstr>Child_SingleParentHH</vt:lpstr>
      <vt:lpstr>ChildCareClients_Annual</vt:lpstr>
      <vt:lpstr>ChildCareFamilies</vt:lpstr>
      <vt:lpstr>ChildCareLASER</vt:lpstr>
      <vt:lpstr>Children_CPS_Referrals</vt:lpstr>
      <vt:lpstr>Client_Svcs_LASER</vt:lpstr>
      <vt:lpstr>CPSReferrals</vt:lpstr>
      <vt:lpstr>CSA_LASER</vt:lpstr>
      <vt:lpstr>EA_LASER</vt:lpstr>
      <vt:lpstr>EACases_Annual</vt:lpstr>
      <vt:lpstr>Employment</vt:lpstr>
      <vt:lpstr>FC_Adop_LASER</vt:lpstr>
      <vt:lpstr>FC_DEMO</vt:lpstr>
      <vt:lpstr>FCMAP</vt:lpstr>
      <vt:lpstr>FIPS</vt:lpstr>
      <vt:lpstr>FIPS_NUM</vt:lpstr>
      <vt:lpstr>FIPSN</vt:lpstr>
      <vt:lpstr>fs_caseload</vt:lpstr>
      <vt:lpstr>IT_Support</vt:lpstr>
      <vt:lpstr>Loc_Name</vt:lpstr>
      <vt:lpstr>Locality</vt:lpstr>
      <vt:lpstr>ma_apps_disp</vt:lpstr>
      <vt:lpstr>ma_apps_recvd</vt:lpstr>
      <vt:lpstr>MAClnts_Annual</vt:lpstr>
      <vt:lpstr>marriedcouples</vt:lpstr>
      <vt:lpstr>MarriedParentHouseholds</vt:lpstr>
      <vt:lpstr>Medicaid_FAMIS_LASER</vt:lpstr>
      <vt:lpstr>MedicaidCases_Annual</vt:lpstr>
      <vt:lpstr>MedicaidClient_Demo</vt:lpstr>
      <vt:lpstr>MedicaidClients</vt:lpstr>
      <vt:lpstr>NMBirths_Trend</vt:lpstr>
      <vt:lpstr>NonMaritalBirths</vt:lpstr>
      <vt:lpstr>OT_BENE_LASER</vt:lpstr>
      <vt:lpstr>OT_EXP_LASER_2013</vt:lpstr>
      <vt:lpstr>Other_Oper_Exp_LASER</vt:lpstr>
      <vt:lpstr>Pop_Estimates</vt:lpstr>
      <vt:lpstr>Poverty</vt:lpstr>
      <vt:lpstr>Poverty_AllAges</vt:lpstr>
      <vt:lpstr>Poverty_Child</vt:lpstr>
      <vt:lpstr>'Children in Foster Care'!Print_Area</vt:lpstr>
      <vt:lpstr>'Locality Name'!Print_Area</vt:lpstr>
      <vt:lpstr>Profile!Print_Area</vt:lpstr>
      <vt:lpstr>'SNAP Participation Rate'!Print_Area</vt:lpstr>
      <vt:lpstr>'Spending By Region'!Print_Area</vt:lpstr>
      <vt:lpstr>Unemployment!Print_Area</vt:lpstr>
      <vt:lpstr>'Children in Foster Care'!Print_Titles</vt:lpstr>
      <vt:lpstr>Profile!Print_Titles</vt:lpstr>
      <vt:lpstr>'SNAP Participation Rate'!Print_Titles</vt:lpstr>
      <vt:lpstr>Unemployment!Print_Titles</vt:lpstr>
      <vt:lpstr>Region</vt:lpstr>
      <vt:lpstr>SingleParentHomes</vt:lpstr>
      <vt:lpstr>snap_apps_disp</vt:lpstr>
      <vt:lpstr>snap_apps_recvd</vt:lpstr>
      <vt:lpstr>SNAP_LASER</vt:lpstr>
      <vt:lpstr>SNAP_RACE</vt:lpstr>
      <vt:lpstr>SNAPCases_Annual</vt:lpstr>
      <vt:lpstr>SNAPClient_Demo</vt:lpstr>
      <vt:lpstr>SNAPClients</vt:lpstr>
      <vt:lpstr>SNAPClnts_Yearly</vt:lpstr>
      <vt:lpstr>Staffing</vt:lpstr>
      <vt:lpstr>tanf_apps_disp</vt:lpstr>
      <vt:lpstr>tanf_apps_recvd</vt:lpstr>
      <vt:lpstr>TANF_LASER</vt:lpstr>
      <vt:lpstr>TANFCases_Annual</vt:lpstr>
      <vt:lpstr>TANFClient_Demo</vt:lpstr>
      <vt:lpstr>TANFClients</vt:lpstr>
      <vt:lpstr>TANFClnts_Yearly</vt:lpstr>
      <vt:lpstr>TeenBirths</vt:lpstr>
      <vt:lpstr>TeenBirths_Trend</vt:lpstr>
    </vt:vector>
  </TitlesOfParts>
  <Company>Virginia IT Infrastructure Partnership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VITA Program</cp:lastModifiedBy>
  <cp:lastPrinted>2020-01-08T15:54:32Z</cp:lastPrinted>
  <dcterms:created xsi:type="dcterms:W3CDTF">2011-04-04T18:14:50Z</dcterms:created>
  <dcterms:modified xsi:type="dcterms:W3CDTF">2021-01-19T14:00:21Z</dcterms:modified>
</cp:coreProperties>
</file>